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Z:\Projects\8790 - Bishopthorpe Road, York (BO - 11.07)\Raw data\INDIA\July-21\"/>
    </mc:Choice>
  </mc:AlternateContent>
  <bookViews>
    <workbookView xWindow="0" yWindow="0" windowWidth="22488" windowHeight="9264" firstSheet="1" activeTab="2"/>
  </bookViews>
  <sheets>
    <sheet name="About" sheetId="2" state="hidden" r:id="rId1"/>
    <sheet name="PCU Values" sheetId="3" r:id="rId2"/>
    <sheet name="J1 A - (North) Bishopthorpe Roa" sheetId="4" r:id="rId3"/>
    <sheet name="J1 B - Butcher Terrace" sheetId="5" r:id="rId4"/>
    <sheet name="J1 C - (South) Bishopthorpe Roa" sheetId="6" r:id="rId5"/>
    <sheet name="J1 D - South Bank Avenue" sheetId="7" r:id="rId6"/>
    <sheet name="Diagram" sheetId="8" r:id="rId7"/>
  </sheets>
  <definedNames>
    <definedName name="End">Diagram!$B$1:$B$96</definedName>
    <definedName name="Presets">Diagram!$D$1:$D$1</definedName>
    <definedName name="Start">Diagram!$A$1:$A$96</definedName>
  </definedNames>
  <calcPr calcId="162913" fullPrecision="0" concurrentManualCount="2"/>
</workbook>
</file>

<file path=xl/calcChain.xml><?xml version="1.0" encoding="utf-8"?>
<calcChain xmlns="http://schemas.openxmlformats.org/spreadsheetml/2006/main">
  <c r="I18" i="8" l="1"/>
  <c r="L15" i="8"/>
  <c r="K15" i="8"/>
  <c r="M10" i="8"/>
  <c r="L10" i="8"/>
  <c r="K10" i="8"/>
  <c r="D1" i="8"/>
  <c r="BL131" i="7"/>
  <c r="BK131" i="7"/>
  <c r="BJ131" i="7"/>
  <c r="BI131" i="7"/>
  <c r="BH131" i="7"/>
  <c r="BG131" i="7"/>
  <c r="BF131" i="7"/>
  <c r="BE131" i="7"/>
  <c r="BV131" i="7" s="1"/>
  <c r="AT131" i="7"/>
  <c r="AS131" i="7"/>
  <c r="AR131" i="7"/>
  <c r="AQ131" i="7"/>
  <c r="AP131" i="7"/>
  <c r="AO131" i="7"/>
  <c r="AN131" i="7"/>
  <c r="AM131" i="7"/>
  <c r="BD131" i="7" s="1"/>
  <c r="AB131" i="7"/>
  <c r="AA131" i="7"/>
  <c r="Z131" i="7"/>
  <c r="Y131" i="7"/>
  <c r="X131" i="7"/>
  <c r="W131" i="7"/>
  <c r="V131" i="7"/>
  <c r="U131" i="7"/>
  <c r="AL131" i="7" s="1"/>
  <c r="J131" i="7"/>
  <c r="I131" i="7"/>
  <c r="H131" i="7"/>
  <c r="G131" i="7"/>
  <c r="F131" i="7"/>
  <c r="E131" i="7"/>
  <c r="D131" i="7"/>
  <c r="C131" i="7"/>
  <c r="T131" i="7" s="1"/>
  <c r="CX130" i="7"/>
  <c r="DF130" i="7" s="1"/>
  <c r="CW130" i="7"/>
  <c r="DE130" i="7" s="1"/>
  <c r="CV130" i="7"/>
  <c r="DD130" i="7" s="1"/>
  <c r="CU130" i="7"/>
  <c r="DC130" i="7" s="1"/>
  <c r="CT130" i="7"/>
  <c r="DB130" i="7" s="1"/>
  <c r="CS130" i="7"/>
  <c r="DA130" i="7" s="1"/>
  <c r="CR130" i="7"/>
  <c r="CZ130" i="7" s="1"/>
  <c r="CQ130" i="7"/>
  <c r="DH130" i="7" s="1"/>
  <c r="CF130" i="7"/>
  <c r="CN130" i="7" s="1"/>
  <c r="CE130" i="7"/>
  <c r="CM130" i="7" s="1"/>
  <c r="CD130" i="7"/>
  <c r="CL130" i="7" s="1"/>
  <c r="CC130" i="7"/>
  <c r="CK130" i="7" s="1"/>
  <c r="CB130" i="7"/>
  <c r="CJ130" i="7" s="1"/>
  <c r="CA130" i="7"/>
  <c r="CI130" i="7" s="1"/>
  <c r="BZ130" i="7"/>
  <c r="CH130" i="7" s="1"/>
  <c r="BY130" i="7"/>
  <c r="CP130" i="7" s="1"/>
  <c r="BV130" i="7"/>
  <c r="BT130" i="7"/>
  <c r="BS130" i="7"/>
  <c r="BR130" i="7"/>
  <c r="BQ130" i="7"/>
  <c r="BP130" i="7"/>
  <c r="BO130" i="7"/>
  <c r="BN130" i="7"/>
  <c r="BM130" i="7"/>
  <c r="BU130" i="7" s="1"/>
  <c r="BD130" i="7"/>
  <c r="BB130" i="7"/>
  <c r="BA130" i="7"/>
  <c r="AZ130" i="7"/>
  <c r="AY130" i="7"/>
  <c r="AX130" i="7"/>
  <c r="AW130" i="7"/>
  <c r="AV130" i="7"/>
  <c r="AU130" i="7"/>
  <c r="BC130" i="7" s="1"/>
  <c r="AL130" i="7"/>
  <c r="AJ130" i="7"/>
  <c r="AI130" i="7"/>
  <c r="AH130" i="7"/>
  <c r="AG130" i="7"/>
  <c r="AF130" i="7"/>
  <c r="AE130" i="7"/>
  <c r="AD130" i="7"/>
  <c r="AC130" i="7"/>
  <c r="AK130" i="7" s="1"/>
  <c r="T130" i="7"/>
  <c r="R130" i="7"/>
  <c r="Q130" i="7"/>
  <c r="P130" i="7"/>
  <c r="O130" i="7"/>
  <c r="N130" i="7"/>
  <c r="M130" i="7"/>
  <c r="L130" i="7"/>
  <c r="K130" i="7"/>
  <c r="S130" i="7" s="1"/>
  <c r="CX129" i="7"/>
  <c r="DF129" i="7" s="1"/>
  <c r="CW129" i="7"/>
  <c r="DE129" i="7" s="1"/>
  <c r="CV129" i="7"/>
  <c r="DD129" i="7" s="1"/>
  <c r="CU129" i="7"/>
  <c r="DC129" i="7" s="1"/>
  <c r="CT129" i="7"/>
  <c r="DB129" i="7" s="1"/>
  <c r="CS129" i="7"/>
  <c r="DA129" i="7" s="1"/>
  <c r="CR129" i="7"/>
  <c r="CZ129" i="7" s="1"/>
  <c r="CQ129" i="7"/>
  <c r="DH129" i="7" s="1"/>
  <c r="CF129" i="7"/>
  <c r="CN129" i="7" s="1"/>
  <c r="CE129" i="7"/>
  <c r="CM129" i="7" s="1"/>
  <c r="CD129" i="7"/>
  <c r="CL129" i="7" s="1"/>
  <c r="CC129" i="7"/>
  <c r="CK129" i="7" s="1"/>
  <c r="CB129" i="7"/>
  <c r="CJ129" i="7" s="1"/>
  <c r="CA129" i="7"/>
  <c r="CI129" i="7" s="1"/>
  <c r="BZ129" i="7"/>
  <c r="CH129" i="7" s="1"/>
  <c r="BY129" i="7"/>
  <c r="CP129" i="7" s="1"/>
  <c r="BV129" i="7"/>
  <c r="BT129" i="7"/>
  <c r="BS129" i="7"/>
  <c r="BR129" i="7"/>
  <c r="BQ129" i="7"/>
  <c r="BP129" i="7"/>
  <c r="BO129" i="7"/>
  <c r="BN129" i="7"/>
  <c r="BM129" i="7"/>
  <c r="BU129" i="7" s="1"/>
  <c r="BD129" i="7"/>
  <c r="BB129" i="7"/>
  <c r="BA129" i="7"/>
  <c r="AZ129" i="7"/>
  <c r="AY129" i="7"/>
  <c r="AX129" i="7"/>
  <c r="AW129" i="7"/>
  <c r="AV129" i="7"/>
  <c r="AU129" i="7"/>
  <c r="BC129" i="7" s="1"/>
  <c r="AL129" i="7"/>
  <c r="AJ129" i="7"/>
  <c r="AI129" i="7"/>
  <c r="AH129" i="7"/>
  <c r="AG129" i="7"/>
  <c r="AF129" i="7"/>
  <c r="AE129" i="7"/>
  <c r="AD129" i="7"/>
  <c r="AC129" i="7"/>
  <c r="AK129" i="7" s="1"/>
  <c r="T129" i="7"/>
  <c r="R129" i="7"/>
  <c r="Q129" i="7"/>
  <c r="P129" i="7"/>
  <c r="O129" i="7"/>
  <c r="N129" i="7"/>
  <c r="M129" i="7"/>
  <c r="L129" i="7"/>
  <c r="K129" i="7"/>
  <c r="S129" i="7" s="1"/>
  <c r="CX128" i="7"/>
  <c r="DF128" i="7" s="1"/>
  <c r="CW128" i="7"/>
  <c r="DE128" i="7" s="1"/>
  <c r="CV128" i="7"/>
  <c r="DD128" i="7" s="1"/>
  <c r="CU128" i="7"/>
  <c r="DC128" i="7" s="1"/>
  <c r="CT128" i="7"/>
  <c r="DB128" i="7" s="1"/>
  <c r="CS128" i="7"/>
  <c r="DA128" i="7" s="1"/>
  <c r="CR128" i="7"/>
  <c r="CZ128" i="7" s="1"/>
  <c r="CQ128" i="7"/>
  <c r="DH128" i="7" s="1"/>
  <c r="CF128" i="7"/>
  <c r="CN128" i="7" s="1"/>
  <c r="CE128" i="7"/>
  <c r="CM128" i="7" s="1"/>
  <c r="CD128" i="7"/>
  <c r="CL128" i="7" s="1"/>
  <c r="CC128" i="7"/>
  <c r="CK128" i="7" s="1"/>
  <c r="CB128" i="7"/>
  <c r="CJ128" i="7" s="1"/>
  <c r="CA128" i="7"/>
  <c r="CI128" i="7" s="1"/>
  <c r="BZ128" i="7"/>
  <c r="CH128" i="7" s="1"/>
  <c r="BY128" i="7"/>
  <c r="CP128" i="7" s="1"/>
  <c r="BV128" i="7"/>
  <c r="BT128" i="7"/>
  <c r="BS128" i="7"/>
  <c r="BR128" i="7"/>
  <c r="BQ128" i="7"/>
  <c r="BP128" i="7"/>
  <c r="BO128" i="7"/>
  <c r="BN128" i="7"/>
  <c r="BM128" i="7"/>
  <c r="BU128" i="7" s="1"/>
  <c r="BD128" i="7"/>
  <c r="BB128" i="7"/>
  <c r="BA128" i="7"/>
  <c r="AZ128" i="7"/>
  <c r="AY128" i="7"/>
  <c r="AX128" i="7"/>
  <c r="AW128" i="7"/>
  <c r="AV128" i="7"/>
  <c r="AU128" i="7"/>
  <c r="BC128" i="7" s="1"/>
  <c r="AL128" i="7"/>
  <c r="AJ128" i="7"/>
  <c r="AI128" i="7"/>
  <c r="AH128" i="7"/>
  <c r="AG128" i="7"/>
  <c r="AF128" i="7"/>
  <c r="AE128" i="7"/>
  <c r="AD128" i="7"/>
  <c r="AC128" i="7"/>
  <c r="AK128" i="7" s="1"/>
  <c r="T128" i="7"/>
  <c r="R128" i="7"/>
  <c r="Q128" i="7"/>
  <c r="P128" i="7"/>
  <c r="O128" i="7"/>
  <c r="N128" i="7"/>
  <c r="M128" i="7"/>
  <c r="L128" i="7"/>
  <c r="K128" i="7"/>
  <c r="S128" i="7" s="1"/>
  <c r="CX127" i="7"/>
  <c r="CX131" i="7" s="1"/>
  <c r="CW127" i="7"/>
  <c r="CW131" i="7" s="1"/>
  <c r="CV127" i="7"/>
  <c r="CV131" i="7" s="1"/>
  <c r="CU127" i="7"/>
  <c r="CU131" i="7" s="1"/>
  <c r="CT127" i="7"/>
  <c r="CT131" i="7" s="1"/>
  <c r="CS127" i="7"/>
  <c r="CS131" i="7" s="1"/>
  <c r="CR127" i="7"/>
  <c r="CR131" i="7" s="1"/>
  <c r="CQ127" i="7"/>
  <c r="DH127" i="7" s="1"/>
  <c r="CF127" i="7"/>
  <c r="CF131" i="7" s="1"/>
  <c r="CE127" i="7"/>
  <c r="CE131" i="7" s="1"/>
  <c r="CD127" i="7"/>
  <c r="CD131" i="7" s="1"/>
  <c r="CC127" i="7"/>
  <c r="CC131" i="7" s="1"/>
  <c r="CB127" i="7"/>
  <c r="CB131" i="7" s="1"/>
  <c r="CA127" i="7"/>
  <c r="CA131" i="7" s="1"/>
  <c r="BZ127" i="7"/>
  <c r="BZ131" i="7" s="1"/>
  <c r="BY127" i="7"/>
  <c r="CP127" i="7" s="1"/>
  <c r="BV127" i="7"/>
  <c r="BT127" i="7"/>
  <c r="BT131" i="7" s="1"/>
  <c r="BS127" i="7"/>
  <c r="BS131" i="7" s="1"/>
  <c r="BR127" i="7"/>
  <c r="BR131" i="7" s="1"/>
  <c r="BQ127" i="7"/>
  <c r="BQ131" i="7" s="1"/>
  <c r="BP127" i="7"/>
  <c r="BP131" i="7" s="1"/>
  <c r="BO127" i="7"/>
  <c r="BO131" i="7" s="1"/>
  <c r="BN127" i="7"/>
  <c r="BN131" i="7" s="1"/>
  <c r="BM127" i="7"/>
  <c r="BM131" i="7" s="1"/>
  <c r="BD127" i="7"/>
  <c r="BB127" i="7"/>
  <c r="BB131" i="7" s="1"/>
  <c r="BA127" i="7"/>
  <c r="BA131" i="7" s="1"/>
  <c r="AZ127" i="7"/>
  <c r="AZ131" i="7" s="1"/>
  <c r="AY127" i="7"/>
  <c r="AY131" i="7" s="1"/>
  <c r="AX127" i="7"/>
  <c r="AX131" i="7" s="1"/>
  <c r="AW127" i="7"/>
  <c r="AW131" i="7" s="1"/>
  <c r="AV127" i="7"/>
  <c r="AV131" i="7" s="1"/>
  <c r="AU127" i="7"/>
  <c r="AU131" i="7" s="1"/>
  <c r="BC131" i="7" s="1"/>
  <c r="AL127" i="7"/>
  <c r="AJ127" i="7"/>
  <c r="AJ131" i="7" s="1"/>
  <c r="AI127" i="7"/>
  <c r="AI131" i="7" s="1"/>
  <c r="AH127" i="7"/>
  <c r="AH131" i="7" s="1"/>
  <c r="AG127" i="7"/>
  <c r="AG131" i="7" s="1"/>
  <c r="AF127" i="7"/>
  <c r="AF131" i="7" s="1"/>
  <c r="AE127" i="7"/>
  <c r="AE131" i="7" s="1"/>
  <c r="AD127" i="7"/>
  <c r="AD131" i="7" s="1"/>
  <c r="AC127" i="7"/>
  <c r="AC131" i="7" s="1"/>
  <c r="T127" i="7"/>
  <c r="R127" i="7"/>
  <c r="R131" i="7" s="1"/>
  <c r="Q127" i="7"/>
  <c r="Q131" i="7" s="1"/>
  <c r="P127" i="7"/>
  <c r="P131" i="7" s="1"/>
  <c r="O127" i="7"/>
  <c r="O131" i="7" s="1"/>
  <c r="N127" i="7"/>
  <c r="N131" i="7" s="1"/>
  <c r="M127" i="7"/>
  <c r="M131" i="7" s="1"/>
  <c r="L127" i="7"/>
  <c r="L131" i="7" s="1"/>
  <c r="K127" i="7"/>
  <c r="K131" i="7" s="1"/>
  <c r="S131" i="7" s="1"/>
  <c r="BL126" i="7"/>
  <c r="BK126" i="7"/>
  <c r="BJ126" i="7"/>
  <c r="BI126" i="7"/>
  <c r="BH126" i="7"/>
  <c r="BG126" i="7"/>
  <c r="BF126" i="7"/>
  <c r="BE126" i="7"/>
  <c r="BV126" i="7" s="1"/>
  <c r="AT126" i="7"/>
  <c r="AS126" i="7"/>
  <c r="AR126" i="7"/>
  <c r="AQ126" i="7"/>
  <c r="AP126" i="7"/>
  <c r="AO126" i="7"/>
  <c r="AN126" i="7"/>
  <c r="AM126" i="7"/>
  <c r="BD126" i="7" s="1"/>
  <c r="AB126" i="7"/>
  <c r="AA126" i="7"/>
  <c r="Z126" i="7"/>
  <c r="Y126" i="7"/>
  <c r="X126" i="7"/>
  <c r="W126" i="7"/>
  <c r="V126" i="7"/>
  <c r="U126" i="7"/>
  <c r="AL126" i="7" s="1"/>
  <c r="J126" i="7"/>
  <c r="I126" i="7"/>
  <c r="H126" i="7"/>
  <c r="G126" i="7"/>
  <c r="F126" i="7"/>
  <c r="E126" i="7"/>
  <c r="D126" i="7"/>
  <c r="C126" i="7"/>
  <c r="T126" i="7" s="1"/>
  <c r="CX125" i="7"/>
  <c r="DF125" i="7" s="1"/>
  <c r="CW125" i="7"/>
  <c r="DE125" i="7" s="1"/>
  <c r="CV125" i="7"/>
  <c r="DD125" i="7" s="1"/>
  <c r="CU125" i="7"/>
  <c r="DC125" i="7" s="1"/>
  <c r="CT125" i="7"/>
  <c r="DB125" i="7" s="1"/>
  <c r="CS125" i="7"/>
  <c r="DA125" i="7" s="1"/>
  <c r="CR125" i="7"/>
  <c r="CZ125" i="7" s="1"/>
  <c r="CQ125" i="7"/>
  <c r="DH125" i="7" s="1"/>
  <c r="CF125" i="7"/>
  <c r="CN125" i="7" s="1"/>
  <c r="CE125" i="7"/>
  <c r="CM125" i="7" s="1"/>
  <c r="CD125" i="7"/>
  <c r="CL125" i="7" s="1"/>
  <c r="CC125" i="7"/>
  <c r="CK125" i="7" s="1"/>
  <c r="CB125" i="7"/>
  <c r="CJ125" i="7" s="1"/>
  <c r="CA125" i="7"/>
  <c r="CI125" i="7" s="1"/>
  <c r="BZ125" i="7"/>
  <c r="CH125" i="7" s="1"/>
  <c r="BY125" i="7"/>
  <c r="CP125" i="7" s="1"/>
  <c r="BV125" i="7"/>
  <c r="BT125" i="7"/>
  <c r="BS125" i="7"/>
  <c r="BR125" i="7"/>
  <c r="BQ125" i="7"/>
  <c r="BP125" i="7"/>
  <c r="BO125" i="7"/>
  <c r="BN125" i="7"/>
  <c r="BM125" i="7"/>
  <c r="BU125" i="7" s="1"/>
  <c r="BD125" i="7"/>
  <c r="BB125" i="7"/>
  <c r="BA125" i="7"/>
  <c r="AZ125" i="7"/>
  <c r="AY125" i="7"/>
  <c r="AX125" i="7"/>
  <c r="AW125" i="7"/>
  <c r="AV125" i="7"/>
  <c r="AU125" i="7"/>
  <c r="BC125" i="7" s="1"/>
  <c r="AL125" i="7"/>
  <c r="AJ125" i="7"/>
  <c r="AI125" i="7"/>
  <c r="AH125" i="7"/>
  <c r="AG125" i="7"/>
  <c r="AF125" i="7"/>
  <c r="AE125" i="7"/>
  <c r="AD125" i="7"/>
  <c r="AC125" i="7"/>
  <c r="AK125" i="7" s="1"/>
  <c r="T125" i="7"/>
  <c r="R125" i="7"/>
  <c r="Q125" i="7"/>
  <c r="P125" i="7"/>
  <c r="O125" i="7"/>
  <c r="N125" i="7"/>
  <c r="M125" i="7"/>
  <c r="L125" i="7"/>
  <c r="K125" i="7"/>
  <c r="S125" i="7" s="1"/>
  <c r="CX124" i="7"/>
  <c r="DF124" i="7" s="1"/>
  <c r="CW124" i="7"/>
  <c r="DE124" i="7" s="1"/>
  <c r="CV124" i="7"/>
  <c r="DD124" i="7" s="1"/>
  <c r="CU124" i="7"/>
  <c r="DC124" i="7" s="1"/>
  <c r="CT124" i="7"/>
  <c r="DB124" i="7" s="1"/>
  <c r="CS124" i="7"/>
  <c r="DA124" i="7" s="1"/>
  <c r="CR124" i="7"/>
  <c r="CZ124" i="7" s="1"/>
  <c r="CQ124" i="7"/>
  <c r="DH124" i="7" s="1"/>
  <c r="CF124" i="7"/>
  <c r="CN124" i="7" s="1"/>
  <c r="CE124" i="7"/>
  <c r="CM124" i="7" s="1"/>
  <c r="CD124" i="7"/>
  <c r="CL124" i="7" s="1"/>
  <c r="CC124" i="7"/>
  <c r="CK124" i="7" s="1"/>
  <c r="CB124" i="7"/>
  <c r="CJ124" i="7" s="1"/>
  <c r="CA124" i="7"/>
  <c r="CI124" i="7" s="1"/>
  <c r="BZ124" i="7"/>
  <c r="CH124" i="7" s="1"/>
  <c r="BY124" i="7"/>
  <c r="CP124" i="7" s="1"/>
  <c r="BV124" i="7"/>
  <c r="BT124" i="7"/>
  <c r="BS124" i="7"/>
  <c r="BR124" i="7"/>
  <c r="BQ124" i="7"/>
  <c r="BP124" i="7"/>
  <c r="BO124" i="7"/>
  <c r="BN124" i="7"/>
  <c r="BM124" i="7"/>
  <c r="BU124" i="7" s="1"/>
  <c r="BD124" i="7"/>
  <c r="BB124" i="7"/>
  <c r="BA124" i="7"/>
  <c r="AZ124" i="7"/>
  <c r="AY124" i="7"/>
  <c r="AX124" i="7"/>
  <c r="AW124" i="7"/>
  <c r="AV124" i="7"/>
  <c r="AU124" i="7"/>
  <c r="BC124" i="7" s="1"/>
  <c r="AL124" i="7"/>
  <c r="AJ124" i="7"/>
  <c r="AI124" i="7"/>
  <c r="AH124" i="7"/>
  <c r="AG124" i="7"/>
  <c r="AF124" i="7"/>
  <c r="AE124" i="7"/>
  <c r="AD124" i="7"/>
  <c r="AC124" i="7"/>
  <c r="AK124" i="7" s="1"/>
  <c r="T124" i="7"/>
  <c r="R124" i="7"/>
  <c r="Q124" i="7"/>
  <c r="P124" i="7"/>
  <c r="O124" i="7"/>
  <c r="N124" i="7"/>
  <c r="M124" i="7"/>
  <c r="L124" i="7"/>
  <c r="K124" i="7"/>
  <c r="S124" i="7" s="1"/>
  <c r="CX123" i="7"/>
  <c r="DF123" i="7" s="1"/>
  <c r="CW123" i="7"/>
  <c r="DE123" i="7" s="1"/>
  <c r="CV123" i="7"/>
  <c r="DD123" i="7" s="1"/>
  <c r="CU123" i="7"/>
  <c r="DC123" i="7" s="1"/>
  <c r="CT123" i="7"/>
  <c r="DB123" i="7" s="1"/>
  <c r="CS123" i="7"/>
  <c r="DA123" i="7" s="1"/>
  <c r="CR123" i="7"/>
  <c r="CZ123" i="7" s="1"/>
  <c r="CQ123" i="7"/>
  <c r="DH123" i="7" s="1"/>
  <c r="CF123" i="7"/>
  <c r="CN123" i="7" s="1"/>
  <c r="CE123" i="7"/>
  <c r="CM123" i="7" s="1"/>
  <c r="CD123" i="7"/>
  <c r="CL123" i="7" s="1"/>
  <c r="CC123" i="7"/>
  <c r="CK123" i="7" s="1"/>
  <c r="CB123" i="7"/>
  <c r="CJ123" i="7" s="1"/>
  <c r="CA123" i="7"/>
  <c r="CI123" i="7" s="1"/>
  <c r="BZ123" i="7"/>
  <c r="CH123" i="7" s="1"/>
  <c r="BY123" i="7"/>
  <c r="CP123" i="7" s="1"/>
  <c r="BV123" i="7"/>
  <c r="BT123" i="7"/>
  <c r="BS123" i="7"/>
  <c r="BR123" i="7"/>
  <c r="BQ123" i="7"/>
  <c r="BP123" i="7"/>
  <c r="BO123" i="7"/>
  <c r="BN123" i="7"/>
  <c r="BM123" i="7"/>
  <c r="BU123" i="7" s="1"/>
  <c r="BD123" i="7"/>
  <c r="BB123" i="7"/>
  <c r="BA123" i="7"/>
  <c r="AZ123" i="7"/>
  <c r="AY123" i="7"/>
  <c r="AX123" i="7"/>
  <c r="AW123" i="7"/>
  <c r="AV123" i="7"/>
  <c r="AU123" i="7"/>
  <c r="BC123" i="7" s="1"/>
  <c r="AL123" i="7"/>
  <c r="AJ123" i="7"/>
  <c r="AI123" i="7"/>
  <c r="AH123" i="7"/>
  <c r="AG123" i="7"/>
  <c r="AF123" i="7"/>
  <c r="AE123" i="7"/>
  <c r="AD123" i="7"/>
  <c r="AC123" i="7"/>
  <c r="AK123" i="7" s="1"/>
  <c r="T123" i="7"/>
  <c r="R123" i="7"/>
  <c r="Q123" i="7"/>
  <c r="P123" i="7"/>
  <c r="O123" i="7"/>
  <c r="N123" i="7"/>
  <c r="M123" i="7"/>
  <c r="L123" i="7"/>
  <c r="K123" i="7"/>
  <c r="S123" i="7" s="1"/>
  <c r="CX122" i="7"/>
  <c r="CX126" i="7" s="1"/>
  <c r="CW122" i="7"/>
  <c r="CW126" i="7" s="1"/>
  <c r="CV122" i="7"/>
  <c r="CV126" i="7" s="1"/>
  <c r="CU122" i="7"/>
  <c r="CU126" i="7" s="1"/>
  <c r="CT122" i="7"/>
  <c r="CT126" i="7" s="1"/>
  <c r="CS122" i="7"/>
  <c r="CS126" i="7" s="1"/>
  <c r="CR122" i="7"/>
  <c r="CR126" i="7" s="1"/>
  <c r="CQ122" i="7"/>
  <c r="DH122" i="7" s="1"/>
  <c r="CF122" i="7"/>
  <c r="CF126" i="7" s="1"/>
  <c r="CE122" i="7"/>
  <c r="CE126" i="7" s="1"/>
  <c r="CD122" i="7"/>
  <c r="CD126" i="7" s="1"/>
  <c r="CC122" i="7"/>
  <c r="CC126" i="7" s="1"/>
  <c r="CB122" i="7"/>
  <c r="CB126" i="7" s="1"/>
  <c r="CA122" i="7"/>
  <c r="CA126" i="7" s="1"/>
  <c r="BZ122" i="7"/>
  <c r="BZ126" i="7" s="1"/>
  <c r="BY122" i="7"/>
  <c r="CP122" i="7" s="1"/>
  <c r="BV122" i="7"/>
  <c r="BT122" i="7"/>
  <c r="BT126" i="7" s="1"/>
  <c r="BS122" i="7"/>
  <c r="BS126" i="7" s="1"/>
  <c r="BR122" i="7"/>
  <c r="BR126" i="7" s="1"/>
  <c r="BQ122" i="7"/>
  <c r="BQ126" i="7" s="1"/>
  <c r="BP122" i="7"/>
  <c r="BP126" i="7" s="1"/>
  <c r="BO122" i="7"/>
  <c r="BO126" i="7" s="1"/>
  <c r="BN122" i="7"/>
  <c r="BN126" i="7" s="1"/>
  <c r="BM122" i="7"/>
  <c r="BM126" i="7" s="1"/>
  <c r="BD122" i="7"/>
  <c r="BB122" i="7"/>
  <c r="BB126" i="7" s="1"/>
  <c r="BA122" i="7"/>
  <c r="BA126" i="7" s="1"/>
  <c r="AZ122" i="7"/>
  <c r="AZ126" i="7" s="1"/>
  <c r="AY122" i="7"/>
  <c r="AY126" i="7" s="1"/>
  <c r="AX122" i="7"/>
  <c r="AX126" i="7" s="1"/>
  <c r="AW122" i="7"/>
  <c r="AW126" i="7" s="1"/>
  <c r="AV122" i="7"/>
  <c r="AV126" i="7" s="1"/>
  <c r="AU122" i="7"/>
  <c r="AU126" i="7" s="1"/>
  <c r="BC126" i="7" s="1"/>
  <c r="AL122" i="7"/>
  <c r="AJ122" i="7"/>
  <c r="AJ126" i="7" s="1"/>
  <c r="AI122" i="7"/>
  <c r="AI126" i="7" s="1"/>
  <c r="AH122" i="7"/>
  <c r="AH126" i="7" s="1"/>
  <c r="AG122" i="7"/>
  <c r="AG126" i="7" s="1"/>
  <c r="AF122" i="7"/>
  <c r="AF126" i="7" s="1"/>
  <c r="AE122" i="7"/>
  <c r="AE126" i="7" s="1"/>
  <c r="AD122" i="7"/>
  <c r="AD126" i="7" s="1"/>
  <c r="AC122" i="7"/>
  <c r="AC126" i="7" s="1"/>
  <c r="T122" i="7"/>
  <c r="R122" i="7"/>
  <c r="R126" i="7" s="1"/>
  <c r="Q122" i="7"/>
  <c r="Q126" i="7" s="1"/>
  <c r="P122" i="7"/>
  <c r="P126" i="7" s="1"/>
  <c r="O122" i="7"/>
  <c r="O126" i="7" s="1"/>
  <c r="N122" i="7"/>
  <c r="N126" i="7" s="1"/>
  <c r="M122" i="7"/>
  <c r="M126" i="7" s="1"/>
  <c r="L122" i="7"/>
  <c r="L126" i="7" s="1"/>
  <c r="K122" i="7"/>
  <c r="K126" i="7" s="1"/>
  <c r="S126" i="7" s="1"/>
  <c r="BL121" i="7"/>
  <c r="BK121" i="7"/>
  <c r="BJ121" i="7"/>
  <c r="BI121" i="7"/>
  <c r="BH121" i="7"/>
  <c r="BG121" i="7"/>
  <c r="BF121" i="7"/>
  <c r="BE121" i="7"/>
  <c r="BV121" i="7" s="1"/>
  <c r="AT121" i="7"/>
  <c r="AS121" i="7"/>
  <c r="AR121" i="7"/>
  <c r="AQ121" i="7"/>
  <c r="AP121" i="7"/>
  <c r="AO121" i="7"/>
  <c r="AN121" i="7"/>
  <c r="AM121" i="7"/>
  <c r="BD121" i="7" s="1"/>
  <c r="AB121" i="7"/>
  <c r="AA121" i="7"/>
  <c r="Z121" i="7"/>
  <c r="Y121" i="7"/>
  <c r="X121" i="7"/>
  <c r="W121" i="7"/>
  <c r="V121" i="7"/>
  <c r="U121" i="7"/>
  <c r="AL121" i="7" s="1"/>
  <c r="J121" i="7"/>
  <c r="I121" i="7"/>
  <c r="H121" i="7"/>
  <c r="G121" i="7"/>
  <c r="F121" i="7"/>
  <c r="E121" i="7"/>
  <c r="D121" i="7"/>
  <c r="C121" i="7"/>
  <c r="T121" i="7" s="1"/>
  <c r="CX120" i="7"/>
  <c r="DF120" i="7" s="1"/>
  <c r="CW120" i="7"/>
  <c r="DE120" i="7" s="1"/>
  <c r="CV120" i="7"/>
  <c r="DD120" i="7" s="1"/>
  <c r="CU120" i="7"/>
  <c r="DC120" i="7" s="1"/>
  <c r="CT120" i="7"/>
  <c r="DB120" i="7" s="1"/>
  <c r="CS120" i="7"/>
  <c r="DA120" i="7" s="1"/>
  <c r="CR120" i="7"/>
  <c r="CZ120" i="7" s="1"/>
  <c r="CQ120" i="7"/>
  <c r="DH120" i="7" s="1"/>
  <c r="CF120" i="7"/>
  <c r="CN120" i="7" s="1"/>
  <c r="CE120" i="7"/>
  <c r="CM120" i="7" s="1"/>
  <c r="CD120" i="7"/>
  <c r="CL120" i="7" s="1"/>
  <c r="CC120" i="7"/>
  <c r="CK120" i="7" s="1"/>
  <c r="CB120" i="7"/>
  <c r="CJ120" i="7" s="1"/>
  <c r="CA120" i="7"/>
  <c r="CI120" i="7" s="1"/>
  <c r="BZ120" i="7"/>
  <c r="CH120" i="7" s="1"/>
  <c r="BY120" i="7"/>
  <c r="CP120" i="7" s="1"/>
  <c r="BV120" i="7"/>
  <c r="BT120" i="7"/>
  <c r="BS120" i="7"/>
  <c r="BR120" i="7"/>
  <c r="BQ120" i="7"/>
  <c r="BP120" i="7"/>
  <c r="BO120" i="7"/>
  <c r="BN120" i="7"/>
  <c r="BM120" i="7"/>
  <c r="BU120" i="7" s="1"/>
  <c r="BD120" i="7"/>
  <c r="BB120" i="7"/>
  <c r="BA120" i="7"/>
  <c r="AZ120" i="7"/>
  <c r="AY120" i="7"/>
  <c r="AX120" i="7"/>
  <c r="AW120" i="7"/>
  <c r="AV120" i="7"/>
  <c r="AU120" i="7"/>
  <c r="BC120" i="7" s="1"/>
  <c r="AL120" i="7"/>
  <c r="AJ120" i="7"/>
  <c r="AI120" i="7"/>
  <c r="AH120" i="7"/>
  <c r="AG120" i="7"/>
  <c r="AF120" i="7"/>
  <c r="AE120" i="7"/>
  <c r="AD120" i="7"/>
  <c r="AC120" i="7"/>
  <c r="AK120" i="7" s="1"/>
  <c r="T120" i="7"/>
  <c r="R120" i="7"/>
  <c r="Q120" i="7"/>
  <c r="P120" i="7"/>
  <c r="O120" i="7"/>
  <c r="N120" i="7"/>
  <c r="M120" i="7"/>
  <c r="L120" i="7"/>
  <c r="K120" i="7"/>
  <c r="S120" i="7" s="1"/>
  <c r="CX119" i="7"/>
  <c r="DF119" i="7" s="1"/>
  <c r="CW119" i="7"/>
  <c r="DE119" i="7" s="1"/>
  <c r="CV119" i="7"/>
  <c r="DD119" i="7" s="1"/>
  <c r="CU119" i="7"/>
  <c r="DC119" i="7" s="1"/>
  <c r="CT119" i="7"/>
  <c r="DB119" i="7" s="1"/>
  <c r="CS119" i="7"/>
  <c r="DA119" i="7" s="1"/>
  <c r="CR119" i="7"/>
  <c r="CZ119" i="7" s="1"/>
  <c r="CQ119" i="7"/>
  <c r="DH119" i="7" s="1"/>
  <c r="CF119" i="7"/>
  <c r="CN119" i="7" s="1"/>
  <c r="CE119" i="7"/>
  <c r="CM119" i="7" s="1"/>
  <c r="CD119" i="7"/>
  <c r="CL119" i="7" s="1"/>
  <c r="CC119" i="7"/>
  <c r="CK119" i="7" s="1"/>
  <c r="CB119" i="7"/>
  <c r="CJ119" i="7" s="1"/>
  <c r="CA119" i="7"/>
  <c r="CI119" i="7" s="1"/>
  <c r="BZ119" i="7"/>
  <c r="CH119" i="7" s="1"/>
  <c r="BY119" i="7"/>
  <c r="CP119" i="7" s="1"/>
  <c r="BV119" i="7"/>
  <c r="BT119" i="7"/>
  <c r="BS119" i="7"/>
  <c r="BR119" i="7"/>
  <c r="BQ119" i="7"/>
  <c r="BP119" i="7"/>
  <c r="BO119" i="7"/>
  <c r="BN119" i="7"/>
  <c r="BM119" i="7"/>
  <c r="BU119" i="7" s="1"/>
  <c r="BD119" i="7"/>
  <c r="BB119" i="7"/>
  <c r="BA119" i="7"/>
  <c r="AZ119" i="7"/>
  <c r="AY119" i="7"/>
  <c r="AX119" i="7"/>
  <c r="AW119" i="7"/>
  <c r="AV119" i="7"/>
  <c r="AU119" i="7"/>
  <c r="BC119" i="7" s="1"/>
  <c r="AL119" i="7"/>
  <c r="AJ119" i="7"/>
  <c r="AI119" i="7"/>
  <c r="AH119" i="7"/>
  <c r="AG119" i="7"/>
  <c r="AF119" i="7"/>
  <c r="AE119" i="7"/>
  <c r="AD119" i="7"/>
  <c r="AC119" i="7"/>
  <c r="AK119" i="7" s="1"/>
  <c r="T119" i="7"/>
  <c r="R119" i="7"/>
  <c r="Q119" i="7"/>
  <c r="P119" i="7"/>
  <c r="O119" i="7"/>
  <c r="N119" i="7"/>
  <c r="M119" i="7"/>
  <c r="L119" i="7"/>
  <c r="K119" i="7"/>
  <c r="S119" i="7" s="1"/>
  <c r="CX118" i="7"/>
  <c r="DF118" i="7" s="1"/>
  <c r="CW118" i="7"/>
  <c r="DE118" i="7" s="1"/>
  <c r="CV118" i="7"/>
  <c r="DD118" i="7" s="1"/>
  <c r="CU118" i="7"/>
  <c r="DC118" i="7" s="1"/>
  <c r="CT118" i="7"/>
  <c r="DB118" i="7" s="1"/>
  <c r="CS118" i="7"/>
  <c r="DA118" i="7" s="1"/>
  <c r="CR118" i="7"/>
  <c r="CZ118" i="7" s="1"/>
  <c r="CQ118" i="7"/>
  <c r="DH118" i="7" s="1"/>
  <c r="CF118" i="7"/>
  <c r="CN118" i="7" s="1"/>
  <c r="CE118" i="7"/>
  <c r="CM118" i="7" s="1"/>
  <c r="CD118" i="7"/>
  <c r="CL118" i="7" s="1"/>
  <c r="CC118" i="7"/>
  <c r="CK118" i="7" s="1"/>
  <c r="CB118" i="7"/>
  <c r="CJ118" i="7" s="1"/>
  <c r="CA118" i="7"/>
  <c r="CI118" i="7" s="1"/>
  <c r="BZ118" i="7"/>
  <c r="CH118" i="7" s="1"/>
  <c r="BY118" i="7"/>
  <c r="CP118" i="7" s="1"/>
  <c r="BV118" i="7"/>
  <c r="BT118" i="7"/>
  <c r="BS118" i="7"/>
  <c r="BR118" i="7"/>
  <c r="BQ118" i="7"/>
  <c r="BP118" i="7"/>
  <c r="BO118" i="7"/>
  <c r="BN118" i="7"/>
  <c r="BM118" i="7"/>
  <c r="BU118" i="7" s="1"/>
  <c r="BD118" i="7"/>
  <c r="BB118" i="7"/>
  <c r="BA118" i="7"/>
  <c r="AZ118" i="7"/>
  <c r="AY118" i="7"/>
  <c r="AX118" i="7"/>
  <c r="AW118" i="7"/>
  <c r="AV118" i="7"/>
  <c r="AU118" i="7"/>
  <c r="BC118" i="7" s="1"/>
  <c r="AL118" i="7"/>
  <c r="AJ118" i="7"/>
  <c r="AI118" i="7"/>
  <c r="AH118" i="7"/>
  <c r="AG118" i="7"/>
  <c r="AF118" i="7"/>
  <c r="AE118" i="7"/>
  <c r="AD118" i="7"/>
  <c r="AC118" i="7"/>
  <c r="AK118" i="7" s="1"/>
  <c r="T118" i="7"/>
  <c r="R118" i="7"/>
  <c r="Q118" i="7"/>
  <c r="P118" i="7"/>
  <c r="O118" i="7"/>
  <c r="N118" i="7"/>
  <c r="M118" i="7"/>
  <c r="L118" i="7"/>
  <c r="K118" i="7"/>
  <c r="S118" i="7" s="1"/>
  <c r="CX117" i="7"/>
  <c r="CX121" i="7" s="1"/>
  <c r="CW117" i="7"/>
  <c r="CW121" i="7" s="1"/>
  <c r="CV117" i="7"/>
  <c r="CV121" i="7" s="1"/>
  <c r="CU117" i="7"/>
  <c r="CU121" i="7" s="1"/>
  <c r="CT117" i="7"/>
  <c r="CT121" i="7" s="1"/>
  <c r="CS117" i="7"/>
  <c r="CS121" i="7" s="1"/>
  <c r="CR117" i="7"/>
  <c r="CR121" i="7" s="1"/>
  <c r="CQ117" i="7"/>
  <c r="DH117" i="7" s="1"/>
  <c r="CF117" i="7"/>
  <c r="CF121" i="7" s="1"/>
  <c r="CE117" i="7"/>
  <c r="CE121" i="7" s="1"/>
  <c r="CD117" i="7"/>
  <c r="CD121" i="7" s="1"/>
  <c r="CC117" i="7"/>
  <c r="CC121" i="7" s="1"/>
  <c r="CB117" i="7"/>
  <c r="CB121" i="7" s="1"/>
  <c r="CA117" i="7"/>
  <c r="CA121" i="7" s="1"/>
  <c r="BZ117" i="7"/>
  <c r="BZ121" i="7" s="1"/>
  <c r="BY117" i="7"/>
  <c r="CP117" i="7" s="1"/>
  <c r="BV117" i="7"/>
  <c r="BT117" i="7"/>
  <c r="BT121" i="7" s="1"/>
  <c r="BS117" i="7"/>
  <c r="BS121" i="7" s="1"/>
  <c r="BR117" i="7"/>
  <c r="BR121" i="7" s="1"/>
  <c r="BQ117" i="7"/>
  <c r="BQ121" i="7" s="1"/>
  <c r="BP117" i="7"/>
  <c r="BP121" i="7" s="1"/>
  <c r="BO117" i="7"/>
  <c r="BO121" i="7" s="1"/>
  <c r="BN117" i="7"/>
  <c r="BN121" i="7" s="1"/>
  <c r="BM117" i="7"/>
  <c r="BM121" i="7" s="1"/>
  <c r="BD117" i="7"/>
  <c r="BB117" i="7"/>
  <c r="BB121" i="7" s="1"/>
  <c r="BA117" i="7"/>
  <c r="BA121" i="7" s="1"/>
  <c r="AZ117" i="7"/>
  <c r="AZ121" i="7" s="1"/>
  <c r="AY117" i="7"/>
  <c r="AY121" i="7" s="1"/>
  <c r="AX117" i="7"/>
  <c r="AX121" i="7" s="1"/>
  <c r="AW117" i="7"/>
  <c r="AW121" i="7" s="1"/>
  <c r="AV117" i="7"/>
  <c r="AV121" i="7" s="1"/>
  <c r="AU117" i="7"/>
  <c r="AU121" i="7" s="1"/>
  <c r="BC121" i="7" s="1"/>
  <c r="AL117" i="7"/>
  <c r="AJ117" i="7"/>
  <c r="AJ121" i="7" s="1"/>
  <c r="AI117" i="7"/>
  <c r="AI121" i="7" s="1"/>
  <c r="AH117" i="7"/>
  <c r="AH121" i="7" s="1"/>
  <c r="AG117" i="7"/>
  <c r="AG121" i="7" s="1"/>
  <c r="AF117" i="7"/>
  <c r="AF121" i="7" s="1"/>
  <c r="AE117" i="7"/>
  <c r="AE121" i="7" s="1"/>
  <c r="AD117" i="7"/>
  <c r="AD121" i="7" s="1"/>
  <c r="AC117" i="7"/>
  <c r="AC121" i="7" s="1"/>
  <c r="T117" i="7"/>
  <c r="R117" i="7"/>
  <c r="R121" i="7" s="1"/>
  <c r="Q117" i="7"/>
  <c r="Q121" i="7" s="1"/>
  <c r="P117" i="7"/>
  <c r="P121" i="7" s="1"/>
  <c r="O117" i="7"/>
  <c r="O121" i="7" s="1"/>
  <c r="N117" i="7"/>
  <c r="N121" i="7" s="1"/>
  <c r="M117" i="7"/>
  <c r="M121" i="7" s="1"/>
  <c r="L117" i="7"/>
  <c r="L121" i="7" s="1"/>
  <c r="K117" i="7"/>
  <c r="K121" i="7" s="1"/>
  <c r="S121" i="7" s="1"/>
  <c r="BL116" i="7"/>
  <c r="BK116" i="7"/>
  <c r="BJ116" i="7"/>
  <c r="BI116" i="7"/>
  <c r="BH116" i="7"/>
  <c r="BG116" i="7"/>
  <c r="BF116" i="7"/>
  <c r="BE116" i="7"/>
  <c r="BV116" i="7" s="1"/>
  <c r="AT116" i="7"/>
  <c r="AS116" i="7"/>
  <c r="AR116" i="7"/>
  <c r="AQ116" i="7"/>
  <c r="AP116" i="7"/>
  <c r="AO116" i="7"/>
  <c r="AN116" i="7"/>
  <c r="AM116" i="7"/>
  <c r="BD116" i="7" s="1"/>
  <c r="AB116" i="7"/>
  <c r="AA116" i="7"/>
  <c r="Z116" i="7"/>
  <c r="Y116" i="7"/>
  <c r="X116" i="7"/>
  <c r="W116" i="7"/>
  <c r="V116" i="7"/>
  <c r="U116" i="7"/>
  <c r="AL116" i="7" s="1"/>
  <c r="J116" i="7"/>
  <c r="I116" i="7"/>
  <c r="H116" i="7"/>
  <c r="G116" i="7"/>
  <c r="F116" i="7"/>
  <c r="E116" i="7"/>
  <c r="D116" i="7"/>
  <c r="C116" i="7"/>
  <c r="T116" i="7" s="1"/>
  <c r="CX115" i="7"/>
  <c r="DF115" i="7" s="1"/>
  <c r="CW115" i="7"/>
  <c r="DE115" i="7" s="1"/>
  <c r="CV115" i="7"/>
  <c r="DD115" i="7" s="1"/>
  <c r="CU115" i="7"/>
  <c r="DC115" i="7" s="1"/>
  <c r="CT115" i="7"/>
  <c r="DB115" i="7" s="1"/>
  <c r="CS115" i="7"/>
  <c r="DA115" i="7" s="1"/>
  <c r="CR115" i="7"/>
  <c r="CZ115" i="7" s="1"/>
  <c r="CQ115" i="7"/>
  <c r="DH115" i="7" s="1"/>
  <c r="CF115" i="7"/>
  <c r="CN115" i="7" s="1"/>
  <c r="CE115" i="7"/>
  <c r="CM115" i="7" s="1"/>
  <c r="CD115" i="7"/>
  <c r="CL115" i="7" s="1"/>
  <c r="CC115" i="7"/>
  <c r="CK115" i="7" s="1"/>
  <c r="CB115" i="7"/>
  <c r="CJ115" i="7" s="1"/>
  <c r="CA115" i="7"/>
  <c r="CI115" i="7" s="1"/>
  <c r="BZ115" i="7"/>
  <c r="CH115" i="7" s="1"/>
  <c r="BY115" i="7"/>
  <c r="CP115" i="7" s="1"/>
  <c r="BV115" i="7"/>
  <c r="BT115" i="7"/>
  <c r="BS115" i="7"/>
  <c r="BR115" i="7"/>
  <c r="BQ115" i="7"/>
  <c r="BP115" i="7"/>
  <c r="BO115" i="7"/>
  <c r="BN115" i="7"/>
  <c r="BM115" i="7"/>
  <c r="BU115" i="7" s="1"/>
  <c r="BD115" i="7"/>
  <c r="BB115" i="7"/>
  <c r="BA115" i="7"/>
  <c r="AZ115" i="7"/>
  <c r="AY115" i="7"/>
  <c r="AX115" i="7"/>
  <c r="AW115" i="7"/>
  <c r="AV115" i="7"/>
  <c r="AU115" i="7"/>
  <c r="BC115" i="7" s="1"/>
  <c r="AL115" i="7"/>
  <c r="AJ115" i="7"/>
  <c r="AI115" i="7"/>
  <c r="AH115" i="7"/>
  <c r="AG115" i="7"/>
  <c r="AF115" i="7"/>
  <c r="AE115" i="7"/>
  <c r="AD115" i="7"/>
  <c r="AC115" i="7"/>
  <c r="AK115" i="7" s="1"/>
  <c r="T115" i="7"/>
  <c r="R115" i="7"/>
  <c r="Q115" i="7"/>
  <c r="P115" i="7"/>
  <c r="O115" i="7"/>
  <c r="N115" i="7"/>
  <c r="M115" i="7"/>
  <c r="L115" i="7"/>
  <c r="K115" i="7"/>
  <c r="S115" i="7" s="1"/>
  <c r="CX114" i="7"/>
  <c r="DF114" i="7" s="1"/>
  <c r="CW114" i="7"/>
  <c r="DE114" i="7" s="1"/>
  <c r="CV114" i="7"/>
  <c r="DD114" i="7" s="1"/>
  <c r="CU114" i="7"/>
  <c r="DC114" i="7" s="1"/>
  <c r="CT114" i="7"/>
  <c r="DB114" i="7" s="1"/>
  <c r="CS114" i="7"/>
  <c r="DA114" i="7" s="1"/>
  <c r="CR114" i="7"/>
  <c r="CZ114" i="7" s="1"/>
  <c r="CQ114" i="7"/>
  <c r="DH114" i="7" s="1"/>
  <c r="CF114" i="7"/>
  <c r="CN114" i="7" s="1"/>
  <c r="CE114" i="7"/>
  <c r="CM114" i="7" s="1"/>
  <c r="CD114" i="7"/>
  <c r="CL114" i="7" s="1"/>
  <c r="CC114" i="7"/>
  <c r="CK114" i="7" s="1"/>
  <c r="CB114" i="7"/>
  <c r="CJ114" i="7" s="1"/>
  <c r="CA114" i="7"/>
  <c r="CI114" i="7" s="1"/>
  <c r="BZ114" i="7"/>
  <c r="CH114" i="7" s="1"/>
  <c r="BY114" i="7"/>
  <c r="CP114" i="7" s="1"/>
  <c r="BV114" i="7"/>
  <c r="BT114" i="7"/>
  <c r="BS114" i="7"/>
  <c r="BR114" i="7"/>
  <c r="BQ114" i="7"/>
  <c r="BP114" i="7"/>
  <c r="BO114" i="7"/>
  <c r="BN114" i="7"/>
  <c r="BM114" i="7"/>
  <c r="BU114" i="7" s="1"/>
  <c r="BD114" i="7"/>
  <c r="BB114" i="7"/>
  <c r="BA114" i="7"/>
  <c r="AZ114" i="7"/>
  <c r="AY114" i="7"/>
  <c r="AX114" i="7"/>
  <c r="AW114" i="7"/>
  <c r="AV114" i="7"/>
  <c r="AU114" i="7"/>
  <c r="BC114" i="7" s="1"/>
  <c r="AL114" i="7"/>
  <c r="AJ114" i="7"/>
  <c r="AI114" i="7"/>
  <c r="AH114" i="7"/>
  <c r="AG114" i="7"/>
  <c r="AF114" i="7"/>
  <c r="AE114" i="7"/>
  <c r="AD114" i="7"/>
  <c r="AC114" i="7"/>
  <c r="AK114" i="7" s="1"/>
  <c r="T114" i="7"/>
  <c r="R114" i="7"/>
  <c r="Q114" i="7"/>
  <c r="P114" i="7"/>
  <c r="O114" i="7"/>
  <c r="N114" i="7"/>
  <c r="M114" i="7"/>
  <c r="L114" i="7"/>
  <c r="K114" i="7"/>
  <c r="S114" i="7" s="1"/>
  <c r="CX113" i="7"/>
  <c r="DF113" i="7" s="1"/>
  <c r="CW113" i="7"/>
  <c r="DE113" i="7" s="1"/>
  <c r="CV113" i="7"/>
  <c r="DD113" i="7" s="1"/>
  <c r="CU113" i="7"/>
  <c r="DC113" i="7" s="1"/>
  <c r="CT113" i="7"/>
  <c r="DB113" i="7" s="1"/>
  <c r="CS113" i="7"/>
  <c r="DA113" i="7" s="1"/>
  <c r="CR113" i="7"/>
  <c r="CZ113" i="7" s="1"/>
  <c r="CQ113" i="7"/>
  <c r="DH113" i="7" s="1"/>
  <c r="CF113" i="7"/>
  <c r="CN113" i="7" s="1"/>
  <c r="CE113" i="7"/>
  <c r="CM113" i="7" s="1"/>
  <c r="CD113" i="7"/>
  <c r="CL113" i="7" s="1"/>
  <c r="CC113" i="7"/>
  <c r="CK113" i="7" s="1"/>
  <c r="CB113" i="7"/>
  <c r="CJ113" i="7" s="1"/>
  <c r="CA113" i="7"/>
  <c r="CI113" i="7" s="1"/>
  <c r="BZ113" i="7"/>
  <c r="CH113" i="7" s="1"/>
  <c r="BY113" i="7"/>
  <c r="CP113" i="7" s="1"/>
  <c r="BV113" i="7"/>
  <c r="BT113" i="7"/>
  <c r="BS113" i="7"/>
  <c r="BR113" i="7"/>
  <c r="BQ113" i="7"/>
  <c r="BP113" i="7"/>
  <c r="BO113" i="7"/>
  <c r="BN113" i="7"/>
  <c r="BM113" i="7"/>
  <c r="BU113" i="7" s="1"/>
  <c r="BD113" i="7"/>
  <c r="BB113" i="7"/>
  <c r="BA113" i="7"/>
  <c r="AZ113" i="7"/>
  <c r="AY113" i="7"/>
  <c r="AX113" i="7"/>
  <c r="AW113" i="7"/>
  <c r="AV113" i="7"/>
  <c r="AU113" i="7"/>
  <c r="BC113" i="7" s="1"/>
  <c r="AL113" i="7"/>
  <c r="AJ113" i="7"/>
  <c r="AI113" i="7"/>
  <c r="AH113" i="7"/>
  <c r="AG113" i="7"/>
  <c r="AF113" i="7"/>
  <c r="AE113" i="7"/>
  <c r="AD113" i="7"/>
  <c r="AC113" i="7"/>
  <c r="AK113" i="7" s="1"/>
  <c r="T113" i="7"/>
  <c r="R113" i="7"/>
  <c r="Q113" i="7"/>
  <c r="P113" i="7"/>
  <c r="O113" i="7"/>
  <c r="N113" i="7"/>
  <c r="M113" i="7"/>
  <c r="L113" i="7"/>
  <c r="K113" i="7"/>
  <c r="S113" i="7" s="1"/>
  <c r="CX112" i="7"/>
  <c r="CX116" i="7" s="1"/>
  <c r="CW112" i="7"/>
  <c r="CW116" i="7" s="1"/>
  <c r="CV112" i="7"/>
  <c r="CV116" i="7" s="1"/>
  <c r="CU112" i="7"/>
  <c r="CU116" i="7" s="1"/>
  <c r="CT112" i="7"/>
  <c r="CT116" i="7" s="1"/>
  <c r="CS112" i="7"/>
  <c r="CS116" i="7" s="1"/>
  <c r="CR112" i="7"/>
  <c r="CR116" i="7" s="1"/>
  <c r="CQ112" i="7"/>
  <c r="DH112" i="7" s="1"/>
  <c r="CF112" i="7"/>
  <c r="CF116" i="7" s="1"/>
  <c r="CE112" i="7"/>
  <c r="CE116" i="7" s="1"/>
  <c r="CD112" i="7"/>
  <c r="CD116" i="7" s="1"/>
  <c r="CC112" i="7"/>
  <c r="CC116" i="7" s="1"/>
  <c r="CB112" i="7"/>
  <c r="CB116" i="7" s="1"/>
  <c r="CA112" i="7"/>
  <c r="CA116" i="7" s="1"/>
  <c r="BZ112" i="7"/>
  <c r="BZ116" i="7" s="1"/>
  <c r="BY112" i="7"/>
  <c r="CP112" i="7" s="1"/>
  <c r="BV112" i="7"/>
  <c r="BT112" i="7"/>
  <c r="BT116" i="7" s="1"/>
  <c r="BS112" i="7"/>
  <c r="BS116" i="7" s="1"/>
  <c r="BR112" i="7"/>
  <c r="BR116" i="7" s="1"/>
  <c r="BQ112" i="7"/>
  <c r="BQ116" i="7" s="1"/>
  <c r="BP112" i="7"/>
  <c r="BP116" i="7" s="1"/>
  <c r="BO112" i="7"/>
  <c r="BO116" i="7" s="1"/>
  <c r="BN112" i="7"/>
  <c r="BN116" i="7" s="1"/>
  <c r="BM112" i="7"/>
  <c r="BM116" i="7" s="1"/>
  <c r="BD112" i="7"/>
  <c r="BB112" i="7"/>
  <c r="BB116" i="7" s="1"/>
  <c r="BA112" i="7"/>
  <c r="BA116" i="7" s="1"/>
  <c r="AZ112" i="7"/>
  <c r="AZ116" i="7" s="1"/>
  <c r="AY112" i="7"/>
  <c r="AY116" i="7" s="1"/>
  <c r="AX112" i="7"/>
  <c r="AX116" i="7" s="1"/>
  <c r="AW112" i="7"/>
  <c r="AW116" i="7" s="1"/>
  <c r="AV112" i="7"/>
  <c r="AV116" i="7" s="1"/>
  <c r="AU112" i="7"/>
  <c r="AU116" i="7" s="1"/>
  <c r="BC116" i="7" s="1"/>
  <c r="AL112" i="7"/>
  <c r="AJ112" i="7"/>
  <c r="AJ116" i="7" s="1"/>
  <c r="AI112" i="7"/>
  <c r="AI116" i="7" s="1"/>
  <c r="AH112" i="7"/>
  <c r="AH116" i="7" s="1"/>
  <c r="AG112" i="7"/>
  <c r="AG116" i="7" s="1"/>
  <c r="AF112" i="7"/>
  <c r="AF116" i="7" s="1"/>
  <c r="AE112" i="7"/>
  <c r="AE116" i="7" s="1"/>
  <c r="AD112" i="7"/>
  <c r="AD116" i="7" s="1"/>
  <c r="AC112" i="7"/>
  <c r="AC116" i="7" s="1"/>
  <c r="T112" i="7"/>
  <c r="R112" i="7"/>
  <c r="R116" i="7" s="1"/>
  <c r="Q112" i="7"/>
  <c r="Q116" i="7" s="1"/>
  <c r="P112" i="7"/>
  <c r="P116" i="7" s="1"/>
  <c r="O112" i="7"/>
  <c r="O116" i="7" s="1"/>
  <c r="N112" i="7"/>
  <c r="N116" i="7" s="1"/>
  <c r="M112" i="7"/>
  <c r="M116" i="7" s="1"/>
  <c r="L112" i="7"/>
  <c r="L116" i="7" s="1"/>
  <c r="K112" i="7"/>
  <c r="K116" i="7" s="1"/>
  <c r="S116" i="7" s="1"/>
  <c r="BL111" i="7"/>
  <c r="BK111" i="7"/>
  <c r="BJ111" i="7"/>
  <c r="BI111" i="7"/>
  <c r="BH111" i="7"/>
  <c r="BG111" i="7"/>
  <c r="BF111" i="7"/>
  <c r="BE111" i="7"/>
  <c r="BV111" i="7" s="1"/>
  <c r="AT111" i="7"/>
  <c r="AS111" i="7"/>
  <c r="AR111" i="7"/>
  <c r="AQ111" i="7"/>
  <c r="AP111" i="7"/>
  <c r="AO111" i="7"/>
  <c r="AN111" i="7"/>
  <c r="AM111" i="7"/>
  <c r="BD111" i="7" s="1"/>
  <c r="AB111" i="7"/>
  <c r="AA111" i="7"/>
  <c r="Z111" i="7"/>
  <c r="Y111" i="7"/>
  <c r="X111" i="7"/>
  <c r="W111" i="7"/>
  <c r="V111" i="7"/>
  <c r="U111" i="7"/>
  <c r="AL111" i="7" s="1"/>
  <c r="J111" i="7"/>
  <c r="I111" i="7"/>
  <c r="H111" i="7"/>
  <c r="G111" i="7"/>
  <c r="F111" i="7"/>
  <c r="E111" i="7"/>
  <c r="D111" i="7"/>
  <c r="C111" i="7"/>
  <c r="T111" i="7" s="1"/>
  <c r="CX110" i="7"/>
  <c r="DF110" i="7" s="1"/>
  <c r="CW110" i="7"/>
  <c r="DE110" i="7" s="1"/>
  <c r="CV110" i="7"/>
  <c r="DD110" i="7" s="1"/>
  <c r="CU110" i="7"/>
  <c r="DC110" i="7" s="1"/>
  <c r="CT110" i="7"/>
  <c r="DB110" i="7" s="1"/>
  <c r="CS110" i="7"/>
  <c r="DA110" i="7" s="1"/>
  <c r="CR110" i="7"/>
  <c r="CZ110" i="7" s="1"/>
  <c r="CQ110" i="7"/>
  <c r="DH110" i="7" s="1"/>
  <c r="CF110" i="7"/>
  <c r="CN110" i="7" s="1"/>
  <c r="CE110" i="7"/>
  <c r="CM110" i="7" s="1"/>
  <c r="CD110" i="7"/>
  <c r="CL110" i="7" s="1"/>
  <c r="CC110" i="7"/>
  <c r="CK110" i="7" s="1"/>
  <c r="CB110" i="7"/>
  <c r="CJ110" i="7" s="1"/>
  <c r="CA110" i="7"/>
  <c r="CI110" i="7" s="1"/>
  <c r="BZ110" i="7"/>
  <c r="CH110" i="7" s="1"/>
  <c r="BY110" i="7"/>
  <c r="CP110" i="7" s="1"/>
  <c r="BV110" i="7"/>
  <c r="BT110" i="7"/>
  <c r="BS110" i="7"/>
  <c r="BR110" i="7"/>
  <c r="BQ110" i="7"/>
  <c r="BP110" i="7"/>
  <c r="BO110" i="7"/>
  <c r="BN110" i="7"/>
  <c r="BM110" i="7"/>
  <c r="BU110" i="7" s="1"/>
  <c r="BD110" i="7"/>
  <c r="BB110" i="7"/>
  <c r="BA110" i="7"/>
  <c r="AZ110" i="7"/>
  <c r="AY110" i="7"/>
  <c r="AX110" i="7"/>
  <c r="AW110" i="7"/>
  <c r="AV110" i="7"/>
  <c r="AU110" i="7"/>
  <c r="BC110" i="7" s="1"/>
  <c r="AL110" i="7"/>
  <c r="AJ110" i="7"/>
  <c r="AI110" i="7"/>
  <c r="AH110" i="7"/>
  <c r="AG110" i="7"/>
  <c r="AF110" i="7"/>
  <c r="AE110" i="7"/>
  <c r="AD110" i="7"/>
  <c r="AC110" i="7"/>
  <c r="AK110" i="7" s="1"/>
  <c r="T110" i="7"/>
  <c r="R110" i="7"/>
  <c r="Q110" i="7"/>
  <c r="P110" i="7"/>
  <c r="O110" i="7"/>
  <c r="N110" i="7"/>
  <c r="M110" i="7"/>
  <c r="L110" i="7"/>
  <c r="K110" i="7"/>
  <c r="S110" i="7" s="1"/>
  <c r="CX109" i="7"/>
  <c r="DF109" i="7" s="1"/>
  <c r="CW109" i="7"/>
  <c r="DE109" i="7" s="1"/>
  <c r="CV109" i="7"/>
  <c r="DD109" i="7" s="1"/>
  <c r="CU109" i="7"/>
  <c r="DC109" i="7" s="1"/>
  <c r="CT109" i="7"/>
  <c r="DB109" i="7" s="1"/>
  <c r="CS109" i="7"/>
  <c r="DA109" i="7" s="1"/>
  <c r="CR109" i="7"/>
  <c r="CZ109" i="7" s="1"/>
  <c r="CQ109" i="7"/>
  <c r="DH109" i="7" s="1"/>
  <c r="CF109" i="7"/>
  <c r="CN109" i="7" s="1"/>
  <c r="CE109" i="7"/>
  <c r="CM109" i="7" s="1"/>
  <c r="CD109" i="7"/>
  <c r="CL109" i="7" s="1"/>
  <c r="CC109" i="7"/>
  <c r="CK109" i="7" s="1"/>
  <c r="CB109" i="7"/>
  <c r="CJ109" i="7" s="1"/>
  <c r="CA109" i="7"/>
  <c r="CI109" i="7" s="1"/>
  <c r="BZ109" i="7"/>
  <c r="CH109" i="7" s="1"/>
  <c r="BY109" i="7"/>
  <c r="CP109" i="7" s="1"/>
  <c r="BV109" i="7"/>
  <c r="BT109" i="7"/>
  <c r="BS109" i="7"/>
  <c r="BR109" i="7"/>
  <c r="BQ109" i="7"/>
  <c r="BP109" i="7"/>
  <c r="BO109" i="7"/>
  <c r="BN109" i="7"/>
  <c r="BM109" i="7"/>
  <c r="BU109" i="7" s="1"/>
  <c r="BD109" i="7"/>
  <c r="BB109" i="7"/>
  <c r="BA109" i="7"/>
  <c r="AZ109" i="7"/>
  <c r="AY109" i="7"/>
  <c r="AX109" i="7"/>
  <c r="AW109" i="7"/>
  <c r="AV109" i="7"/>
  <c r="AU109" i="7"/>
  <c r="BC109" i="7" s="1"/>
  <c r="AL109" i="7"/>
  <c r="AJ109" i="7"/>
  <c r="AI109" i="7"/>
  <c r="AH109" i="7"/>
  <c r="AG109" i="7"/>
  <c r="AF109" i="7"/>
  <c r="AE109" i="7"/>
  <c r="AD109" i="7"/>
  <c r="AC109" i="7"/>
  <c r="AK109" i="7" s="1"/>
  <c r="T109" i="7"/>
  <c r="R109" i="7"/>
  <c r="Q109" i="7"/>
  <c r="P109" i="7"/>
  <c r="O109" i="7"/>
  <c r="N109" i="7"/>
  <c r="M109" i="7"/>
  <c r="L109" i="7"/>
  <c r="K109" i="7"/>
  <c r="S109" i="7" s="1"/>
  <c r="CX108" i="7"/>
  <c r="DF108" i="7" s="1"/>
  <c r="CW108" i="7"/>
  <c r="DE108" i="7" s="1"/>
  <c r="CV108" i="7"/>
  <c r="DD108" i="7" s="1"/>
  <c r="CU108" i="7"/>
  <c r="DC108" i="7" s="1"/>
  <c r="CT108" i="7"/>
  <c r="DB108" i="7" s="1"/>
  <c r="CS108" i="7"/>
  <c r="DA108" i="7" s="1"/>
  <c r="CR108" i="7"/>
  <c r="CZ108" i="7" s="1"/>
  <c r="CQ108" i="7"/>
  <c r="DH108" i="7" s="1"/>
  <c r="CF108" i="7"/>
  <c r="CN108" i="7" s="1"/>
  <c r="CE108" i="7"/>
  <c r="CM108" i="7" s="1"/>
  <c r="CD108" i="7"/>
  <c r="CL108" i="7" s="1"/>
  <c r="CC108" i="7"/>
  <c r="CK108" i="7" s="1"/>
  <c r="CB108" i="7"/>
  <c r="CJ108" i="7" s="1"/>
  <c r="CA108" i="7"/>
  <c r="CI108" i="7" s="1"/>
  <c r="BZ108" i="7"/>
  <c r="CH108" i="7" s="1"/>
  <c r="BY108" i="7"/>
  <c r="CP108" i="7" s="1"/>
  <c r="BV108" i="7"/>
  <c r="BT108" i="7"/>
  <c r="BS108" i="7"/>
  <c r="BR108" i="7"/>
  <c r="BQ108" i="7"/>
  <c r="BP108" i="7"/>
  <c r="BO108" i="7"/>
  <c r="BN108" i="7"/>
  <c r="BM108" i="7"/>
  <c r="BU108" i="7" s="1"/>
  <c r="BD108" i="7"/>
  <c r="BB108" i="7"/>
  <c r="BA108" i="7"/>
  <c r="AZ108" i="7"/>
  <c r="AY108" i="7"/>
  <c r="AX108" i="7"/>
  <c r="AW108" i="7"/>
  <c r="AV108" i="7"/>
  <c r="AU108" i="7"/>
  <c r="BC108" i="7" s="1"/>
  <c r="AL108" i="7"/>
  <c r="AJ108" i="7"/>
  <c r="AI108" i="7"/>
  <c r="AH108" i="7"/>
  <c r="AG108" i="7"/>
  <c r="AF108" i="7"/>
  <c r="AE108" i="7"/>
  <c r="AD108" i="7"/>
  <c r="AC108" i="7"/>
  <c r="AK108" i="7" s="1"/>
  <c r="T108" i="7"/>
  <c r="R108" i="7"/>
  <c r="Q108" i="7"/>
  <c r="P108" i="7"/>
  <c r="O108" i="7"/>
  <c r="N108" i="7"/>
  <c r="M108" i="7"/>
  <c r="L108" i="7"/>
  <c r="K108" i="7"/>
  <c r="S108" i="7" s="1"/>
  <c r="CX107" i="7"/>
  <c r="CX111" i="7" s="1"/>
  <c r="CW107" i="7"/>
  <c r="CW111" i="7" s="1"/>
  <c r="CV107" i="7"/>
  <c r="CV111" i="7" s="1"/>
  <c r="CU107" i="7"/>
  <c r="CU111" i="7" s="1"/>
  <c r="CT107" i="7"/>
  <c r="CT111" i="7" s="1"/>
  <c r="CS107" i="7"/>
  <c r="CS111" i="7" s="1"/>
  <c r="CR107" i="7"/>
  <c r="CR111" i="7" s="1"/>
  <c r="CQ107" i="7"/>
  <c r="DH107" i="7" s="1"/>
  <c r="CF107" i="7"/>
  <c r="CF111" i="7" s="1"/>
  <c r="CE107" i="7"/>
  <c r="CE111" i="7" s="1"/>
  <c r="CD107" i="7"/>
  <c r="CD111" i="7" s="1"/>
  <c r="CC107" i="7"/>
  <c r="CC111" i="7" s="1"/>
  <c r="CB107" i="7"/>
  <c r="CB111" i="7" s="1"/>
  <c r="CA107" i="7"/>
  <c r="CA111" i="7" s="1"/>
  <c r="BZ107" i="7"/>
  <c r="BZ111" i="7" s="1"/>
  <c r="BY107" i="7"/>
  <c r="CP107" i="7" s="1"/>
  <c r="BV107" i="7"/>
  <c r="BT107" i="7"/>
  <c r="BT111" i="7" s="1"/>
  <c r="BS107" i="7"/>
  <c r="BS111" i="7" s="1"/>
  <c r="BR107" i="7"/>
  <c r="BR111" i="7" s="1"/>
  <c r="BQ107" i="7"/>
  <c r="BQ111" i="7" s="1"/>
  <c r="BP107" i="7"/>
  <c r="BP111" i="7" s="1"/>
  <c r="BO107" i="7"/>
  <c r="BO111" i="7" s="1"/>
  <c r="BN107" i="7"/>
  <c r="BN111" i="7" s="1"/>
  <c r="BM107" i="7"/>
  <c r="BM111" i="7" s="1"/>
  <c r="BD107" i="7"/>
  <c r="BB107" i="7"/>
  <c r="BB111" i="7" s="1"/>
  <c r="BA107" i="7"/>
  <c r="BA111" i="7" s="1"/>
  <c r="AZ107" i="7"/>
  <c r="AZ111" i="7" s="1"/>
  <c r="AY107" i="7"/>
  <c r="AY111" i="7" s="1"/>
  <c r="AX107" i="7"/>
  <c r="AX111" i="7" s="1"/>
  <c r="AW107" i="7"/>
  <c r="AW111" i="7" s="1"/>
  <c r="AV107" i="7"/>
  <c r="AV111" i="7" s="1"/>
  <c r="AU107" i="7"/>
  <c r="AU111" i="7" s="1"/>
  <c r="BC111" i="7" s="1"/>
  <c r="AL107" i="7"/>
  <c r="AJ107" i="7"/>
  <c r="AJ111" i="7" s="1"/>
  <c r="AI107" i="7"/>
  <c r="AI111" i="7" s="1"/>
  <c r="AH107" i="7"/>
  <c r="AH111" i="7" s="1"/>
  <c r="AG107" i="7"/>
  <c r="AG111" i="7" s="1"/>
  <c r="AF107" i="7"/>
  <c r="AF111" i="7" s="1"/>
  <c r="AE107" i="7"/>
  <c r="AE111" i="7" s="1"/>
  <c r="AD107" i="7"/>
  <c r="AD111" i="7" s="1"/>
  <c r="AC107" i="7"/>
  <c r="AC111" i="7" s="1"/>
  <c r="T107" i="7"/>
  <c r="R107" i="7"/>
  <c r="R111" i="7" s="1"/>
  <c r="Q107" i="7"/>
  <c r="Q111" i="7" s="1"/>
  <c r="P107" i="7"/>
  <c r="P111" i="7" s="1"/>
  <c r="O107" i="7"/>
  <c r="O111" i="7" s="1"/>
  <c r="N107" i="7"/>
  <c r="N111" i="7" s="1"/>
  <c r="M107" i="7"/>
  <c r="M111" i="7" s="1"/>
  <c r="L107" i="7"/>
  <c r="L111" i="7" s="1"/>
  <c r="K107" i="7"/>
  <c r="K111" i="7" s="1"/>
  <c r="S111" i="7" s="1"/>
  <c r="BL106" i="7"/>
  <c r="BK106" i="7"/>
  <c r="BJ106" i="7"/>
  <c r="BI106" i="7"/>
  <c r="BH106" i="7"/>
  <c r="BG106" i="7"/>
  <c r="BF106" i="7"/>
  <c r="BE106" i="7"/>
  <c r="BV106" i="7" s="1"/>
  <c r="AT106" i="7"/>
  <c r="AS106" i="7"/>
  <c r="AR106" i="7"/>
  <c r="AQ106" i="7"/>
  <c r="AP106" i="7"/>
  <c r="AO106" i="7"/>
  <c r="AN106" i="7"/>
  <c r="AM106" i="7"/>
  <c r="BD106" i="7" s="1"/>
  <c r="AB106" i="7"/>
  <c r="AA106" i="7"/>
  <c r="Z106" i="7"/>
  <c r="Y106" i="7"/>
  <c r="X106" i="7"/>
  <c r="W106" i="7"/>
  <c r="V106" i="7"/>
  <c r="U106" i="7"/>
  <c r="AL106" i="7" s="1"/>
  <c r="J106" i="7"/>
  <c r="I106" i="7"/>
  <c r="H106" i="7"/>
  <c r="G106" i="7"/>
  <c r="F106" i="7"/>
  <c r="E106" i="7"/>
  <c r="D106" i="7"/>
  <c r="C106" i="7"/>
  <c r="T106" i="7" s="1"/>
  <c r="CX105" i="7"/>
  <c r="DF105" i="7" s="1"/>
  <c r="CW105" i="7"/>
  <c r="DE105" i="7" s="1"/>
  <c r="CV105" i="7"/>
  <c r="DD105" i="7" s="1"/>
  <c r="CU105" i="7"/>
  <c r="DC105" i="7" s="1"/>
  <c r="CT105" i="7"/>
  <c r="DB105" i="7" s="1"/>
  <c r="CS105" i="7"/>
  <c r="DA105" i="7" s="1"/>
  <c r="CR105" i="7"/>
  <c r="CZ105" i="7" s="1"/>
  <c r="CQ105" i="7"/>
  <c r="DH105" i="7" s="1"/>
  <c r="CF105" i="7"/>
  <c r="CN105" i="7" s="1"/>
  <c r="CE105" i="7"/>
  <c r="CM105" i="7" s="1"/>
  <c r="CD105" i="7"/>
  <c r="CL105" i="7" s="1"/>
  <c r="CC105" i="7"/>
  <c r="CK105" i="7" s="1"/>
  <c r="CB105" i="7"/>
  <c r="CJ105" i="7" s="1"/>
  <c r="CA105" i="7"/>
  <c r="CI105" i="7" s="1"/>
  <c r="BZ105" i="7"/>
  <c r="CH105" i="7" s="1"/>
  <c r="BY105" i="7"/>
  <c r="CP105" i="7" s="1"/>
  <c r="BV105" i="7"/>
  <c r="BT105" i="7"/>
  <c r="BS105" i="7"/>
  <c r="BR105" i="7"/>
  <c r="BQ105" i="7"/>
  <c r="BP105" i="7"/>
  <c r="BO105" i="7"/>
  <c r="BN105" i="7"/>
  <c r="BM105" i="7"/>
  <c r="BU105" i="7" s="1"/>
  <c r="BD105" i="7"/>
  <c r="BB105" i="7"/>
  <c r="BA105" i="7"/>
  <c r="AZ105" i="7"/>
  <c r="AY105" i="7"/>
  <c r="AX105" i="7"/>
  <c r="AW105" i="7"/>
  <c r="AV105" i="7"/>
  <c r="AU105" i="7"/>
  <c r="BC105" i="7" s="1"/>
  <c r="AL105" i="7"/>
  <c r="AJ105" i="7"/>
  <c r="AI105" i="7"/>
  <c r="AH105" i="7"/>
  <c r="AG105" i="7"/>
  <c r="AF105" i="7"/>
  <c r="AE105" i="7"/>
  <c r="AD105" i="7"/>
  <c r="AC105" i="7"/>
  <c r="AK105" i="7" s="1"/>
  <c r="T105" i="7"/>
  <c r="R105" i="7"/>
  <c r="Q105" i="7"/>
  <c r="P105" i="7"/>
  <c r="O105" i="7"/>
  <c r="N105" i="7"/>
  <c r="M105" i="7"/>
  <c r="L105" i="7"/>
  <c r="K105" i="7"/>
  <c r="S105" i="7" s="1"/>
  <c r="CX104" i="7"/>
  <c r="DF104" i="7" s="1"/>
  <c r="CW104" i="7"/>
  <c r="DE104" i="7" s="1"/>
  <c r="CV104" i="7"/>
  <c r="DD104" i="7" s="1"/>
  <c r="CU104" i="7"/>
  <c r="DC104" i="7" s="1"/>
  <c r="CT104" i="7"/>
  <c r="DB104" i="7" s="1"/>
  <c r="CS104" i="7"/>
  <c r="DA104" i="7" s="1"/>
  <c r="CR104" i="7"/>
  <c r="CZ104" i="7" s="1"/>
  <c r="CQ104" i="7"/>
  <c r="DH104" i="7" s="1"/>
  <c r="CF104" i="7"/>
  <c r="CN104" i="7" s="1"/>
  <c r="CE104" i="7"/>
  <c r="CM104" i="7" s="1"/>
  <c r="CD104" i="7"/>
  <c r="CL104" i="7" s="1"/>
  <c r="CC104" i="7"/>
  <c r="CK104" i="7" s="1"/>
  <c r="CB104" i="7"/>
  <c r="CJ104" i="7" s="1"/>
  <c r="CA104" i="7"/>
  <c r="CI104" i="7" s="1"/>
  <c r="BZ104" i="7"/>
  <c r="CH104" i="7" s="1"/>
  <c r="BY104" i="7"/>
  <c r="CP104" i="7" s="1"/>
  <c r="BV104" i="7"/>
  <c r="BT104" i="7"/>
  <c r="BS104" i="7"/>
  <c r="BR104" i="7"/>
  <c r="BQ104" i="7"/>
  <c r="BP104" i="7"/>
  <c r="BO104" i="7"/>
  <c r="BN104" i="7"/>
  <c r="BM104" i="7"/>
  <c r="BU104" i="7" s="1"/>
  <c r="BD104" i="7"/>
  <c r="BB104" i="7"/>
  <c r="BA104" i="7"/>
  <c r="AZ104" i="7"/>
  <c r="AY104" i="7"/>
  <c r="AX104" i="7"/>
  <c r="AW104" i="7"/>
  <c r="AV104" i="7"/>
  <c r="AU104" i="7"/>
  <c r="BC104" i="7" s="1"/>
  <c r="AL104" i="7"/>
  <c r="AJ104" i="7"/>
  <c r="AI104" i="7"/>
  <c r="AH104" i="7"/>
  <c r="AG104" i="7"/>
  <c r="AF104" i="7"/>
  <c r="AE104" i="7"/>
  <c r="AD104" i="7"/>
  <c r="AC104" i="7"/>
  <c r="AK104" i="7" s="1"/>
  <c r="T104" i="7"/>
  <c r="R104" i="7"/>
  <c r="Q104" i="7"/>
  <c r="P104" i="7"/>
  <c r="O104" i="7"/>
  <c r="N104" i="7"/>
  <c r="M104" i="7"/>
  <c r="L104" i="7"/>
  <c r="K104" i="7"/>
  <c r="S104" i="7" s="1"/>
  <c r="CX103" i="7"/>
  <c r="DF103" i="7" s="1"/>
  <c r="CW103" i="7"/>
  <c r="DE103" i="7" s="1"/>
  <c r="CV103" i="7"/>
  <c r="DD103" i="7" s="1"/>
  <c r="CU103" i="7"/>
  <c r="DC103" i="7" s="1"/>
  <c r="CT103" i="7"/>
  <c r="DB103" i="7" s="1"/>
  <c r="CS103" i="7"/>
  <c r="DA103" i="7" s="1"/>
  <c r="CR103" i="7"/>
  <c r="CZ103" i="7" s="1"/>
  <c r="CQ103" i="7"/>
  <c r="DH103" i="7" s="1"/>
  <c r="CF103" i="7"/>
  <c r="CN103" i="7" s="1"/>
  <c r="CE103" i="7"/>
  <c r="CM103" i="7" s="1"/>
  <c r="CD103" i="7"/>
  <c r="CL103" i="7" s="1"/>
  <c r="CC103" i="7"/>
  <c r="CK103" i="7" s="1"/>
  <c r="CB103" i="7"/>
  <c r="CJ103" i="7" s="1"/>
  <c r="CA103" i="7"/>
  <c r="CI103" i="7" s="1"/>
  <c r="BZ103" i="7"/>
  <c r="CH103" i="7" s="1"/>
  <c r="BY103" i="7"/>
  <c r="CP103" i="7" s="1"/>
  <c r="BV103" i="7"/>
  <c r="BT103" i="7"/>
  <c r="BS103" i="7"/>
  <c r="BR103" i="7"/>
  <c r="BQ103" i="7"/>
  <c r="BP103" i="7"/>
  <c r="BO103" i="7"/>
  <c r="BN103" i="7"/>
  <c r="BM103" i="7"/>
  <c r="BU103" i="7" s="1"/>
  <c r="BD103" i="7"/>
  <c r="BB103" i="7"/>
  <c r="BA103" i="7"/>
  <c r="AZ103" i="7"/>
  <c r="AY103" i="7"/>
  <c r="AX103" i="7"/>
  <c r="AW103" i="7"/>
  <c r="AV103" i="7"/>
  <c r="AU103" i="7"/>
  <c r="BC103" i="7" s="1"/>
  <c r="AL103" i="7"/>
  <c r="AJ103" i="7"/>
  <c r="AI103" i="7"/>
  <c r="AH103" i="7"/>
  <c r="AG103" i="7"/>
  <c r="AF103" i="7"/>
  <c r="AE103" i="7"/>
  <c r="AD103" i="7"/>
  <c r="AC103" i="7"/>
  <c r="AK103" i="7" s="1"/>
  <c r="T103" i="7"/>
  <c r="R103" i="7"/>
  <c r="Q103" i="7"/>
  <c r="P103" i="7"/>
  <c r="O103" i="7"/>
  <c r="N103" i="7"/>
  <c r="M103" i="7"/>
  <c r="L103" i="7"/>
  <c r="K103" i="7"/>
  <c r="S103" i="7" s="1"/>
  <c r="CX102" i="7"/>
  <c r="CX106" i="7" s="1"/>
  <c r="CW102" i="7"/>
  <c r="CW106" i="7" s="1"/>
  <c r="CV102" i="7"/>
  <c r="CV106" i="7" s="1"/>
  <c r="CU102" i="7"/>
  <c r="CU106" i="7" s="1"/>
  <c r="CT102" i="7"/>
  <c r="CT106" i="7" s="1"/>
  <c r="CS102" i="7"/>
  <c r="CS106" i="7" s="1"/>
  <c r="CR102" i="7"/>
  <c r="CR106" i="7" s="1"/>
  <c r="CQ102" i="7"/>
  <c r="DH102" i="7" s="1"/>
  <c r="CF102" i="7"/>
  <c r="CF106" i="7" s="1"/>
  <c r="CE102" i="7"/>
  <c r="CE106" i="7" s="1"/>
  <c r="CD102" i="7"/>
  <c r="CD106" i="7" s="1"/>
  <c r="CC102" i="7"/>
  <c r="CC106" i="7" s="1"/>
  <c r="CB102" i="7"/>
  <c r="CB106" i="7" s="1"/>
  <c r="CA102" i="7"/>
  <c r="CA106" i="7" s="1"/>
  <c r="BZ102" i="7"/>
  <c r="BZ106" i="7" s="1"/>
  <c r="BY102" i="7"/>
  <c r="CP102" i="7" s="1"/>
  <c r="BV102" i="7"/>
  <c r="BT102" i="7"/>
  <c r="BT106" i="7" s="1"/>
  <c r="BS102" i="7"/>
  <c r="BS106" i="7" s="1"/>
  <c r="BR102" i="7"/>
  <c r="BR106" i="7" s="1"/>
  <c r="BQ102" i="7"/>
  <c r="BQ106" i="7" s="1"/>
  <c r="BP102" i="7"/>
  <c r="BP106" i="7" s="1"/>
  <c r="BO102" i="7"/>
  <c r="BO106" i="7" s="1"/>
  <c r="BN102" i="7"/>
  <c r="BN106" i="7" s="1"/>
  <c r="BM102" i="7"/>
  <c r="BM106" i="7" s="1"/>
  <c r="BD102" i="7"/>
  <c r="BB102" i="7"/>
  <c r="BB106" i="7" s="1"/>
  <c r="BA102" i="7"/>
  <c r="BA106" i="7" s="1"/>
  <c r="AZ102" i="7"/>
  <c r="AZ106" i="7" s="1"/>
  <c r="AY102" i="7"/>
  <c r="AY106" i="7" s="1"/>
  <c r="AX102" i="7"/>
  <c r="AX106" i="7" s="1"/>
  <c r="AW102" i="7"/>
  <c r="AW106" i="7" s="1"/>
  <c r="AV102" i="7"/>
  <c r="AV106" i="7" s="1"/>
  <c r="AU102" i="7"/>
  <c r="AU106" i="7" s="1"/>
  <c r="BC106" i="7" s="1"/>
  <c r="AL102" i="7"/>
  <c r="AJ102" i="7"/>
  <c r="AJ106" i="7" s="1"/>
  <c r="AI102" i="7"/>
  <c r="AI106" i="7" s="1"/>
  <c r="AH102" i="7"/>
  <c r="AH106" i="7" s="1"/>
  <c r="AG102" i="7"/>
  <c r="AG106" i="7" s="1"/>
  <c r="AF102" i="7"/>
  <c r="AF106" i="7" s="1"/>
  <c r="AE102" i="7"/>
  <c r="AE106" i="7" s="1"/>
  <c r="AD102" i="7"/>
  <c r="AD106" i="7" s="1"/>
  <c r="AC102" i="7"/>
  <c r="AC106" i="7" s="1"/>
  <c r="T102" i="7"/>
  <c r="R102" i="7"/>
  <c r="R106" i="7" s="1"/>
  <c r="Q102" i="7"/>
  <c r="Q106" i="7" s="1"/>
  <c r="P102" i="7"/>
  <c r="P106" i="7" s="1"/>
  <c r="O102" i="7"/>
  <c r="O106" i="7" s="1"/>
  <c r="N102" i="7"/>
  <c r="N106" i="7" s="1"/>
  <c r="M102" i="7"/>
  <c r="M106" i="7" s="1"/>
  <c r="L102" i="7"/>
  <c r="L106" i="7" s="1"/>
  <c r="K102" i="7"/>
  <c r="K106" i="7" s="1"/>
  <c r="S106" i="7" s="1"/>
  <c r="BL101" i="7"/>
  <c r="BK101" i="7"/>
  <c r="BJ101" i="7"/>
  <c r="BI101" i="7"/>
  <c r="BH101" i="7"/>
  <c r="BG101" i="7"/>
  <c r="BF101" i="7"/>
  <c r="BE101" i="7"/>
  <c r="BV101" i="7" s="1"/>
  <c r="AT101" i="7"/>
  <c r="AS101" i="7"/>
  <c r="AR101" i="7"/>
  <c r="AQ101" i="7"/>
  <c r="AP101" i="7"/>
  <c r="AO101" i="7"/>
  <c r="AN101" i="7"/>
  <c r="AM101" i="7"/>
  <c r="BD101" i="7" s="1"/>
  <c r="AB101" i="7"/>
  <c r="AA101" i="7"/>
  <c r="Z101" i="7"/>
  <c r="Y101" i="7"/>
  <c r="X101" i="7"/>
  <c r="W101" i="7"/>
  <c r="V101" i="7"/>
  <c r="U101" i="7"/>
  <c r="AL101" i="7" s="1"/>
  <c r="J101" i="7"/>
  <c r="I101" i="7"/>
  <c r="H101" i="7"/>
  <c r="G101" i="7"/>
  <c r="F101" i="7"/>
  <c r="E101" i="7"/>
  <c r="D101" i="7"/>
  <c r="C101" i="7"/>
  <c r="T101" i="7" s="1"/>
  <c r="CX100" i="7"/>
  <c r="DF100" i="7" s="1"/>
  <c r="CW100" i="7"/>
  <c r="DE100" i="7" s="1"/>
  <c r="CV100" i="7"/>
  <c r="DD100" i="7" s="1"/>
  <c r="CU100" i="7"/>
  <c r="DC100" i="7" s="1"/>
  <c r="CT100" i="7"/>
  <c r="DB100" i="7" s="1"/>
  <c r="CS100" i="7"/>
  <c r="DA100" i="7" s="1"/>
  <c r="CR100" i="7"/>
  <c r="CZ100" i="7" s="1"/>
  <c r="CQ100" i="7"/>
  <c r="DH100" i="7" s="1"/>
  <c r="CF100" i="7"/>
  <c r="CN100" i="7" s="1"/>
  <c r="CE100" i="7"/>
  <c r="CM100" i="7" s="1"/>
  <c r="CD100" i="7"/>
  <c r="CL100" i="7" s="1"/>
  <c r="CC100" i="7"/>
  <c r="CK100" i="7" s="1"/>
  <c r="CB100" i="7"/>
  <c r="CJ100" i="7" s="1"/>
  <c r="CA100" i="7"/>
  <c r="CI100" i="7" s="1"/>
  <c r="BZ100" i="7"/>
  <c r="CH100" i="7" s="1"/>
  <c r="BY100" i="7"/>
  <c r="CP100" i="7" s="1"/>
  <c r="BV100" i="7"/>
  <c r="BT100" i="7"/>
  <c r="BS100" i="7"/>
  <c r="BR100" i="7"/>
  <c r="BQ100" i="7"/>
  <c r="BP100" i="7"/>
  <c r="BO100" i="7"/>
  <c r="BN100" i="7"/>
  <c r="BM100" i="7"/>
  <c r="BU100" i="7" s="1"/>
  <c r="BD100" i="7"/>
  <c r="BB100" i="7"/>
  <c r="BA100" i="7"/>
  <c r="AZ100" i="7"/>
  <c r="AY100" i="7"/>
  <c r="AX100" i="7"/>
  <c r="AW100" i="7"/>
  <c r="AV100" i="7"/>
  <c r="AU100" i="7"/>
  <c r="BC100" i="7" s="1"/>
  <c r="AL100" i="7"/>
  <c r="AJ100" i="7"/>
  <c r="AI100" i="7"/>
  <c r="AH100" i="7"/>
  <c r="AG100" i="7"/>
  <c r="AF100" i="7"/>
  <c r="AE100" i="7"/>
  <c r="AD100" i="7"/>
  <c r="AC100" i="7"/>
  <c r="AK100" i="7" s="1"/>
  <c r="T100" i="7"/>
  <c r="R100" i="7"/>
  <c r="Q100" i="7"/>
  <c r="P100" i="7"/>
  <c r="O100" i="7"/>
  <c r="N100" i="7"/>
  <c r="M100" i="7"/>
  <c r="L100" i="7"/>
  <c r="K100" i="7"/>
  <c r="S100" i="7" s="1"/>
  <c r="CX99" i="7"/>
  <c r="DF99" i="7" s="1"/>
  <c r="CW99" i="7"/>
  <c r="DE99" i="7" s="1"/>
  <c r="CV99" i="7"/>
  <c r="DD99" i="7" s="1"/>
  <c r="CU99" i="7"/>
  <c r="DC99" i="7" s="1"/>
  <c r="CT99" i="7"/>
  <c r="DB99" i="7" s="1"/>
  <c r="CS99" i="7"/>
  <c r="DA99" i="7" s="1"/>
  <c r="CR99" i="7"/>
  <c r="CZ99" i="7" s="1"/>
  <c r="CQ99" i="7"/>
  <c r="DH99" i="7" s="1"/>
  <c r="CF99" i="7"/>
  <c r="CN99" i="7" s="1"/>
  <c r="CE99" i="7"/>
  <c r="CM99" i="7" s="1"/>
  <c r="CD99" i="7"/>
  <c r="CL99" i="7" s="1"/>
  <c r="CC99" i="7"/>
  <c r="CK99" i="7" s="1"/>
  <c r="CB99" i="7"/>
  <c r="CJ99" i="7" s="1"/>
  <c r="CA99" i="7"/>
  <c r="CI99" i="7" s="1"/>
  <c r="BZ99" i="7"/>
  <c r="CH99" i="7" s="1"/>
  <c r="BY99" i="7"/>
  <c r="CP99" i="7" s="1"/>
  <c r="BV99" i="7"/>
  <c r="BT99" i="7"/>
  <c r="BS99" i="7"/>
  <c r="BR99" i="7"/>
  <c r="BQ99" i="7"/>
  <c r="BP99" i="7"/>
  <c r="BO99" i="7"/>
  <c r="BN99" i="7"/>
  <c r="BM99" i="7"/>
  <c r="BU99" i="7" s="1"/>
  <c r="BD99" i="7"/>
  <c r="BB99" i="7"/>
  <c r="BA99" i="7"/>
  <c r="AZ99" i="7"/>
  <c r="AY99" i="7"/>
  <c r="AX99" i="7"/>
  <c r="AW99" i="7"/>
  <c r="AV99" i="7"/>
  <c r="AU99" i="7"/>
  <c r="BC99" i="7" s="1"/>
  <c r="AL99" i="7"/>
  <c r="AJ99" i="7"/>
  <c r="AI99" i="7"/>
  <c r="AH99" i="7"/>
  <c r="AG99" i="7"/>
  <c r="AF99" i="7"/>
  <c r="AE99" i="7"/>
  <c r="AD99" i="7"/>
  <c r="AC99" i="7"/>
  <c r="AK99" i="7" s="1"/>
  <c r="T99" i="7"/>
  <c r="R99" i="7"/>
  <c r="Q99" i="7"/>
  <c r="P99" i="7"/>
  <c r="O99" i="7"/>
  <c r="N99" i="7"/>
  <c r="M99" i="7"/>
  <c r="L99" i="7"/>
  <c r="K99" i="7"/>
  <c r="S99" i="7" s="1"/>
  <c r="CX98" i="7"/>
  <c r="DF98" i="7" s="1"/>
  <c r="CW98" i="7"/>
  <c r="DE98" i="7" s="1"/>
  <c r="CV98" i="7"/>
  <c r="DD98" i="7" s="1"/>
  <c r="CU98" i="7"/>
  <c r="DC98" i="7" s="1"/>
  <c r="CT98" i="7"/>
  <c r="DB98" i="7" s="1"/>
  <c r="CS98" i="7"/>
  <c r="DA98" i="7" s="1"/>
  <c r="CR98" i="7"/>
  <c r="CZ98" i="7" s="1"/>
  <c r="CQ98" i="7"/>
  <c r="DH98" i="7" s="1"/>
  <c r="CF98" i="7"/>
  <c r="CN98" i="7" s="1"/>
  <c r="CE98" i="7"/>
  <c r="CM98" i="7" s="1"/>
  <c r="CD98" i="7"/>
  <c r="CL98" i="7" s="1"/>
  <c r="CC98" i="7"/>
  <c r="CK98" i="7" s="1"/>
  <c r="CB98" i="7"/>
  <c r="CJ98" i="7" s="1"/>
  <c r="CA98" i="7"/>
  <c r="CI98" i="7" s="1"/>
  <c r="BZ98" i="7"/>
  <c r="CH98" i="7" s="1"/>
  <c r="BY98" i="7"/>
  <c r="CP98" i="7" s="1"/>
  <c r="BV98" i="7"/>
  <c r="BT98" i="7"/>
  <c r="BS98" i="7"/>
  <c r="BR98" i="7"/>
  <c r="BQ98" i="7"/>
  <c r="BP98" i="7"/>
  <c r="BO98" i="7"/>
  <c r="BN98" i="7"/>
  <c r="BM98" i="7"/>
  <c r="BU98" i="7" s="1"/>
  <c r="BD98" i="7"/>
  <c r="BB98" i="7"/>
  <c r="BA98" i="7"/>
  <c r="AZ98" i="7"/>
  <c r="AY98" i="7"/>
  <c r="AX98" i="7"/>
  <c r="AW98" i="7"/>
  <c r="AV98" i="7"/>
  <c r="AU98" i="7"/>
  <c r="BC98" i="7" s="1"/>
  <c r="AL98" i="7"/>
  <c r="AJ98" i="7"/>
  <c r="AI98" i="7"/>
  <c r="AH98" i="7"/>
  <c r="AG98" i="7"/>
  <c r="AF98" i="7"/>
  <c r="AE98" i="7"/>
  <c r="AD98" i="7"/>
  <c r="AC98" i="7"/>
  <c r="AK98" i="7" s="1"/>
  <c r="T98" i="7"/>
  <c r="R98" i="7"/>
  <c r="Q98" i="7"/>
  <c r="P98" i="7"/>
  <c r="O98" i="7"/>
  <c r="N98" i="7"/>
  <c r="M98" i="7"/>
  <c r="L98" i="7"/>
  <c r="K98" i="7"/>
  <c r="S98" i="7" s="1"/>
  <c r="CX97" i="7"/>
  <c r="CX101" i="7" s="1"/>
  <c r="CW97" i="7"/>
  <c r="CW101" i="7" s="1"/>
  <c r="CV97" i="7"/>
  <c r="CV101" i="7" s="1"/>
  <c r="CU97" i="7"/>
  <c r="CU101" i="7" s="1"/>
  <c r="CT97" i="7"/>
  <c r="CT101" i="7" s="1"/>
  <c r="CS97" i="7"/>
  <c r="CS101" i="7" s="1"/>
  <c r="CR97" i="7"/>
  <c r="CR101" i="7" s="1"/>
  <c r="CQ97" i="7"/>
  <c r="DH97" i="7" s="1"/>
  <c r="CF97" i="7"/>
  <c r="CF101" i="7" s="1"/>
  <c r="CE97" i="7"/>
  <c r="CE101" i="7" s="1"/>
  <c r="CD97" i="7"/>
  <c r="CD101" i="7" s="1"/>
  <c r="CC97" i="7"/>
  <c r="CC101" i="7" s="1"/>
  <c r="CB97" i="7"/>
  <c r="CB101" i="7" s="1"/>
  <c r="CA97" i="7"/>
  <c r="CA101" i="7" s="1"/>
  <c r="BZ97" i="7"/>
  <c r="BZ101" i="7" s="1"/>
  <c r="BY97" i="7"/>
  <c r="CP97" i="7" s="1"/>
  <c r="BV97" i="7"/>
  <c r="BT97" i="7"/>
  <c r="BT101" i="7" s="1"/>
  <c r="BS97" i="7"/>
  <c r="BS101" i="7" s="1"/>
  <c r="BR97" i="7"/>
  <c r="BR101" i="7" s="1"/>
  <c r="BQ97" i="7"/>
  <c r="BQ101" i="7" s="1"/>
  <c r="BP97" i="7"/>
  <c r="BP101" i="7" s="1"/>
  <c r="BO97" i="7"/>
  <c r="BO101" i="7" s="1"/>
  <c r="BN97" i="7"/>
  <c r="BN101" i="7" s="1"/>
  <c r="BM97" i="7"/>
  <c r="BM101" i="7" s="1"/>
  <c r="BD97" i="7"/>
  <c r="BB97" i="7"/>
  <c r="BB101" i="7" s="1"/>
  <c r="BA97" i="7"/>
  <c r="BA101" i="7" s="1"/>
  <c r="AZ97" i="7"/>
  <c r="AZ101" i="7" s="1"/>
  <c r="AY97" i="7"/>
  <c r="AY101" i="7" s="1"/>
  <c r="AX97" i="7"/>
  <c r="AX101" i="7" s="1"/>
  <c r="AW97" i="7"/>
  <c r="AW101" i="7" s="1"/>
  <c r="AV97" i="7"/>
  <c r="AV101" i="7" s="1"/>
  <c r="AU97" i="7"/>
  <c r="AU101" i="7" s="1"/>
  <c r="BC101" i="7" s="1"/>
  <c r="AL97" i="7"/>
  <c r="AJ97" i="7"/>
  <c r="AJ101" i="7" s="1"/>
  <c r="AI97" i="7"/>
  <c r="AI101" i="7" s="1"/>
  <c r="AH97" i="7"/>
  <c r="AH101" i="7" s="1"/>
  <c r="AG97" i="7"/>
  <c r="AG101" i="7" s="1"/>
  <c r="AF97" i="7"/>
  <c r="AF101" i="7" s="1"/>
  <c r="AE97" i="7"/>
  <c r="AE101" i="7" s="1"/>
  <c r="AD97" i="7"/>
  <c r="AD101" i="7" s="1"/>
  <c r="AC97" i="7"/>
  <c r="AC101" i="7" s="1"/>
  <c r="T97" i="7"/>
  <c r="R97" i="7"/>
  <c r="R101" i="7" s="1"/>
  <c r="Q97" i="7"/>
  <c r="Q101" i="7" s="1"/>
  <c r="P97" i="7"/>
  <c r="P101" i="7" s="1"/>
  <c r="O97" i="7"/>
  <c r="O101" i="7" s="1"/>
  <c r="N97" i="7"/>
  <c r="N101" i="7" s="1"/>
  <c r="M97" i="7"/>
  <c r="M101" i="7" s="1"/>
  <c r="L97" i="7"/>
  <c r="L101" i="7" s="1"/>
  <c r="K97" i="7"/>
  <c r="K101" i="7" s="1"/>
  <c r="S101" i="7" s="1"/>
  <c r="BL96" i="7"/>
  <c r="BK96" i="7"/>
  <c r="BJ96" i="7"/>
  <c r="BI96" i="7"/>
  <c r="BH96" i="7"/>
  <c r="BG96" i="7"/>
  <c r="BF96" i="7"/>
  <c r="BE96" i="7"/>
  <c r="BV96" i="7" s="1"/>
  <c r="AT96" i="7"/>
  <c r="AS96" i="7"/>
  <c r="AR96" i="7"/>
  <c r="AQ96" i="7"/>
  <c r="AP96" i="7"/>
  <c r="AO96" i="7"/>
  <c r="AN96" i="7"/>
  <c r="AM96" i="7"/>
  <c r="BD96" i="7" s="1"/>
  <c r="AB96" i="7"/>
  <c r="AA96" i="7"/>
  <c r="Z96" i="7"/>
  <c r="Y96" i="7"/>
  <c r="X96" i="7"/>
  <c r="W96" i="7"/>
  <c r="V96" i="7"/>
  <c r="U96" i="7"/>
  <c r="AL96" i="7" s="1"/>
  <c r="J96" i="7"/>
  <c r="I96" i="7"/>
  <c r="H96" i="7"/>
  <c r="G96" i="7"/>
  <c r="F96" i="7"/>
  <c r="E96" i="7"/>
  <c r="D96" i="7"/>
  <c r="C96" i="7"/>
  <c r="T96" i="7" s="1"/>
  <c r="CX95" i="7"/>
  <c r="DF95" i="7" s="1"/>
  <c r="CW95" i="7"/>
  <c r="DE95" i="7" s="1"/>
  <c r="CV95" i="7"/>
  <c r="DD95" i="7" s="1"/>
  <c r="CU95" i="7"/>
  <c r="DC95" i="7" s="1"/>
  <c r="CT95" i="7"/>
  <c r="DB95" i="7" s="1"/>
  <c r="CS95" i="7"/>
  <c r="DA95" i="7" s="1"/>
  <c r="CR95" i="7"/>
  <c r="CZ95" i="7" s="1"/>
  <c r="CQ95" i="7"/>
  <c r="DH95" i="7" s="1"/>
  <c r="CF95" i="7"/>
  <c r="CN95" i="7" s="1"/>
  <c r="CE95" i="7"/>
  <c r="CM95" i="7" s="1"/>
  <c r="CD95" i="7"/>
  <c r="CL95" i="7" s="1"/>
  <c r="CC95" i="7"/>
  <c r="CK95" i="7" s="1"/>
  <c r="CB95" i="7"/>
  <c r="CJ95" i="7" s="1"/>
  <c r="CA95" i="7"/>
  <c r="CI95" i="7" s="1"/>
  <c r="BZ95" i="7"/>
  <c r="CH95" i="7" s="1"/>
  <c r="BY95" i="7"/>
  <c r="CP95" i="7" s="1"/>
  <c r="BV95" i="7"/>
  <c r="BT95" i="7"/>
  <c r="BS95" i="7"/>
  <c r="BR95" i="7"/>
  <c r="BQ95" i="7"/>
  <c r="BP95" i="7"/>
  <c r="BO95" i="7"/>
  <c r="BN95" i="7"/>
  <c r="BM95" i="7"/>
  <c r="BU95" i="7" s="1"/>
  <c r="BD95" i="7"/>
  <c r="BB95" i="7"/>
  <c r="BA95" i="7"/>
  <c r="AZ95" i="7"/>
  <c r="AY95" i="7"/>
  <c r="AX95" i="7"/>
  <c r="AW95" i="7"/>
  <c r="AV95" i="7"/>
  <c r="AU95" i="7"/>
  <c r="BC95" i="7" s="1"/>
  <c r="AL95" i="7"/>
  <c r="AJ95" i="7"/>
  <c r="AI95" i="7"/>
  <c r="AH95" i="7"/>
  <c r="AG95" i="7"/>
  <c r="AF95" i="7"/>
  <c r="AE95" i="7"/>
  <c r="AD95" i="7"/>
  <c r="AC95" i="7"/>
  <c r="AK95" i="7" s="1"/>
  <c r="T95" i="7"/>
  <c r="R95" i="7"/>
  <c r="Q95" i="7"/>
  <c r="P95" i="7"/>
  <c r="O95" i="7"/>
  <c r="N95" i="7"/>
  <c r="M95" i="7"/>
  <c r="L95" i="7"/>
  <c r="K95" i="7"/>
  <c r="S95" i="7" s="1"/>
  <c r="CX94" i="7"/>
  <c r="DF94" i="7" s="1"/>
  <c r="CW94" i="7"/>
  <c r="DE94" i="7" s="1"/>
  <c r="CV94" i="7"/>
  <c r="DD94" i="7" s="1"/>
  <c r="CU94" i="7"/>
  <c r="DC94" i="7" s="1"/>
  <c r="CT94" i="7"/>
  <c r="DB94" i="7" s="1"/>
  <c r="CS94" i="7"/>
  <c r="DA94" i="7" s="1"/>
  <c r="CR94" i="7"/>
  <c r="CZ94" i="7" s="1"/>
  <c r="CQ94" i="7"/>
  <c r="DH94" i="7" s="1"/>
  <c r="CF94" i="7"/>
  <c r="CN94" i="7" s="1"/>
  <c r="CE94" i="7"/>
  <c r="CM94" i="7" s="1"/>
  <c r="CD94" i="7"/>
  <c r="CL94" i="7" s="1"/>
  <c r="CC94" i="7"/>
  <c r="CK94" i="7" s="1"/>
  <c r="CB94" i="7"/>
  <c r="CJ94" i="7" s="1"/>
  <c r="CA94" i="7"/>
  <c r="CI94" i="7" s="1"/>
  <c r="BZ94" i="7"/>
  <c r="CH94" i="7" s="1"/>
  <c r="BY94" i="7"/>
  <c r="CP94" i="7" s="1"/>
  <c r="BV94" i="7"/>
  <c r="BT94" i="7"/>
  <c r="BS94" i="7"/>
  <c r="BR94" i="7"/>
  <c r="BQ94" i="7"/>
  <c r="BP94" i="7"/>
  <c r="BO94" i="7"/>
  <c r="BN94" i="7"/>
  <c r="BM94" i="7"/>
  <c r="BU94" i="7" s="1"/>
  <c r="BD94" i="7"/>
  <c r="BB94" i="7"/>
  <c r="BA94" i="7"/>
  <c r="AZ94" i="7"/>
  <c r="AY94" i="7"/>
  <c r="AX94" i="7"/>
  <c r="AW94" i="7"/>
  <c r="AV94" i="7"/>
  <c r="AU94" i="7"/>
  <c r="BC94" i="7" s="1"/>
  <c r="AL94" i="7"/>
  <c r="AJ94" i="7"/>
  <c r="AI94" i="7"/>
  <c r="AH94" i="7"/>
  <c r="AG94" i="7"/>
  <c r="AF94" i="7"/>
  <c r="AE94" i="7"/>
  <c r="AD94" i="7"/>
  <c r="AC94" i="7"/>
  <c r="AK94" i="7" s="1"/>
  <c r="T94" i="7"/>
  <c r="R94" i="7"/>
  <c r="Q94" i="7"/>
  <c r="P94" i="7"/>
  <c r="O94" i="7"/>
  <c r="N94" i="7"/>
  <c r="M94" i="7"/>
  <c r="L94" i="7"/>
  <c r="K94" i="7"/>
  <c r="S94" i="7" s="1"/>
  <c r="CX93" i="7"/>
  <c r="DF93" i="7" s="1"/>
  <c r="CW93" i="7"/>
  <c r="DE93" i="7" s="1"/>
  <c r="CV93" i="7"/>
  <c r="DD93" i="7" s="1"/>
  <c r="CU93" i="7"/>
  <c r="DC93" i="7" s="1"/>
  <c r="CT93" i="7"/>
  <c r="DB93" i="7" s="1"/>
  <c r="CS93" i="7"/>
  <c r="DA93" i="7" s="1"/>
  <c r="CR93" i="7"/>
  <c r="CZ93" i="7" s="1"/>
  <c r="CQ93" i="7"/>
  <c r="DH93" i="7" s="1"/>
  <c r="CF93" i="7"/>
  <c r="CN93" i="7" s="1"/>
  <c r="CE93" i="7"/>
  <c r="CM93" i="7" s="1"/>
  <c r="CD93" i="7"/>
  <c r="CL93" i="7" s="1"/>
  <c r="CC93" i="7"/>
  <c r="CK93" i="7" s="1"/>
  <c r="CB93" i="7"/>
  <c r="CJ93" i="7" s="1"/>
  <c r="CA93" i="7"/>
  <c r="CI93" i="7" s="1"/>
  <c r="BZ93" i="7"/>
  <c r="CH93" i="7" s="1"/>
  <c r="BY93" i="7"/>
  <c r="CP93" i="7" s="1"/>
  <c r="BV93" i="7"/>
  <c r="BT93" i="7"/>
  <c r="BS93" i="7"/>
  <c r="BR93" i="7"/>
  <c r="BQ93" i="7"/>
  <c r="BP93" i="7"/>
  <c r="BO93" i="7"/>
  <c r="BN93" i="7"/>
  <c r="BM93" i="7"/>
  <c r="BU93" i="7" s="1"/>
  <c r="BD93" i="7"/>
  <c r="BB93" i="7"/>
  <c r="BA93" i="7"/>
  <c r="AZ93" i="7"/>
  <c r="AY93" i="7"/>
  <c r="AX93" i="7"/>
  <c r="AW93" i="7"/>
  <c r="AV93" i="7"/>
  <c r="AU93" i="7"/>
  <c r="BC93" i="7" s="1"/>
  <c r="AL93" i="7"/>
  <c r="AJ93" i="7"/>
  <c r="AI93" i="7"/>
  <c r="AH93" i="7"/>
  <c r="AG93" i="7"/>
  <c r="AF93" i="7"/>
  <c r="AE93" i="7"/>
  <c r="AD93" i="7"/>
  <c r="AC93" i="7"/>
  <c r="AK93" i="7" s="1"/>
  <c r="T93" i="7"/>
  <c r="R93" i="7"/>
  <c r="Q93" i="7"/>
  <c r="P93" i="7"/>
  <c r="O93" i="7"/>
  <c r="N93" i="7"/>
  <c r="M93" i="7"/>
  <c r="L93" i="7"/>
  <c r="K93" i="7"/>
  <c r="S93" i="7" s="1"/>
  <c r="CX92" i="7"/>
  <c r="CX96" i="7" s="1"/>
  <c r="CW92" i="7"/>
  <c r="CW96" i="7" s="1"/>
  <c r="CV92" i="7"/>
  <c r="CV96" i="7" s="1"/>
  <c r="CU92" i="7"/>
  <c r="CU96" i="7" s="1"/>
  <c r="CT92" i="7"/>
  <c r="CT96" i="7" s="1"/>
  <c r="CS92" i="7"/>
  <c r="CS96" i="7" s="1"/>
  <c r="CR92" i="7"/>
  <c r="CR96" i="7" s="1"/>
  <c r="CQ92" i="7"/>
  <c r="DH92" i="7" s="1"/>
  <c r="CF92" i="7"/>
  <c r="CF96" i="7" s="1"/>
  <c r="CE92" i="7"/>
  <c r="CE96" i="7" s="1"/>
  <c r="CD92" i="7"/>
  <c r="CD96" i="7" s="1"/>
  <c r="CC92" i="7"/>
  <c r="CC96" i="7" s="1"/>
  <c r="CB92" i="7"/>
  <c r="CB96" i="7" s="1"/>
  <c r="CA92" i="7"/>
  <c r="CA96" i="7" s="1"/>
  <c r="BZ92" i="7"/>
  <c r="BZ96" i="7" s="1"/>
  <c r="BY92" i="7"/>
  <c r="CP92" i="7" s="1"/>
  <c r="BV92" i="7"/>
  <c r="BT92" i="7"/>
  <c r="BT96" i="7" s="1"/>
  <c r="BS92" i="7"/>
  <c r="BS96" i="7" s="1"/>
  <c r="BR92" i="7"/>
  <c r="BR96" i="7" s="1"/>
  <c r="BQ92" i="7"/>
  <c r="BQ96" i="7" s="1"/>
  <c r="BP92" i="7"/>
  <c r="BP96" i="7" s="1"/>
  <c r="BO92" i="7"/>
  <c r="BO96" i="7" s="1"/>
  <c r="BN92" i="7"/>
  <c r="BN96" i="7" s="1"/>
  <c r="BM92" i="7"/>
  <c r="BM96" i="7" s="1"/>
  <c r="BD92" i="7"/>
  <c r="BB92" i="7"/>
  <c r="BB96" i="7" s="1"/>
  <c r="BA92" i="7"/>
  <c r="BA96" i="7" s="1"/>
  <c r="AZ92" i="7"/>
  <c r="AZ96" i="7" s="1"/>
  <c r="AY92" i="7"/>
  <c r="AY96" i="7" s="1"/>
  <c r="AX92" i="7"/>
  <c r="AX96" i="7" s="1"/>
  <c r="AW92" i="7"/>
  <c r="AW96" i="7" s="1"/>
  <c r="AV92" i="7"/>
  <c r="AV96" i="7" s="1"/>
  <c r="AU92" i="7"/>
  <c r="AU96" i="7" s="1"/>
  <c r="BC96" i="7" s="1"/>
  <c r="AL92" i="7"/>
  <c r="AJ92" i="7"/>
  <c r="AJ96" i="7" s="1"/>
  <c r="AI92" i="7"/>
  <c r="AI96" i="7" s="1"/>
  <c r="AH92" i="7"/>
  <c r="AH96" i="7" s="1"/>
  <c r="AG92" i="7"/>
  <c r="AG96" i="7" s="1"/>
  <c r="AF92" i="7"/>
  <c r="AF96" i="7" s="1"/>
  <c r="AE92" i="7"/>
  <c r="AE96" i="7" s="1"/>
  <c r="AD92" i="7"/>
  <c r="AD96" i="7" s="1"/>
  <c r="AC92" i="7"/>
  <c r="AC96" i="7" s="1"/>
  <c r="T92" i="7"/>
  <c r="R92" i="7"/>
  <c r="R96" i="7" s="1"/>
  <c r="Q92" i="7"/>
  <c r="Q96" i="7" s="1"/>
  <c r="P92" i="7"/>
  <c r="P96" i="7" s="1"/>
  <c r="O92" i="7"/>
  <c r="O96" i="7" s="1"/>
  <c r="N92" i="7"/>
  <c r="N96" i="7" s="1"/>
  <c r="M92" i="7"/>
  <c r="M96" i="7" s="1"/>
  <c r="L92" i="7"/>
  <c r="L96" i="7" s="1"/>
  <c r="K92" i="7"/>
  <c r="K96" i="7" s="1"/>
  <c r="S96" i="7" s="1"/>
  <c r="BL91" i="7"/>
  <c r="BK91" i="7"/>
  <c r="BJ91" i="7"/>
  <c r="BI91" i="7"/>
  <c r="BH91" i="7"/>
  <c r="BG91" i="7"/>
  <c r="BF91" i="7"/>
  <c r="BE91" i="7"/>
  <c r="BV91" i="7" s="1"/>
  <c r="AT91" i="7"/>
  <c r="AS91" i="7"/>
  <c r="AR91" i="7"/>
  <c r="AQ91" i="7"/>
  <c r="AP91" i="7"/>
  <c r="AO91" i="7"/>
  <c r="AN91" i="7"/>
  <c r="AM91" i="7"/>
  <c r="BD91" i="7" s="1"/>
  <c r="AB91" i="7"/>
  <c r="AA91" i="7"/>
  <c r="Z91" i="7"/>
  <c r="Y91" i="7"/>
  <c r="X91" i="7"/>
  <c r="W91" i="7"/>
  <c r="V91" i="7"/>
  <c r="U91" i="7"/>
  <c r="AL91" i="7" s="1"/>
  <c r="J91" i="7"/>
  <c r="I91" i="7"/>
  <c r="H91" i="7"/>
  <c r="G91" i="7"/>
  <c r="F91" i="7"/>
  <c r="E91" i="7"/>
  <c r="D91" i="7"/>
  <c r="C91" i="7"/>
  <c r="T91" i="7" s="1"/>
  <c r="CX90" i="7"/>
  <c r="DF90" i="7" s="1"/>
  <c r="CW90" i="7"/>
  <c r="DE90" i="7" s="1"/>
  <c r="CV90" i="7"/>
  <c r="DD90" i="7" s="1"/>
  <c r="CU90" i="7"/>
  <c r="DC90" i="7" s="1"/>
  <c r="CT90" i="7"/>
  <c r="DB90" i="7" s="1"/>
  <c r="CS90" i="7"/>
  <c r="DA90" i="7" s="1"/>
  <c r="CR90" i="7"/>
  <c r="CZ90" i="7" s="1"/>
  <c r="CQ90" i="7"/>
  <c r="DH90" i="7" s="1"/>
  <c r="CF90" i="7"/>
  <c r="CN90" i="7" s="1"/>
  <c r="CE90" i="7"/>
  <c r="CM90" i="7" s="1"/>
  <c r="CD90" i="7"/>
  <c r="CL90" i="7" s="1"/>
  <c r="CC90" i="7"/>
  <c r="CK90" i="7" s="1"/>
  <c r="CB90" i="7"/>
  <c r="CJ90" i="7" s="1"/>
  <c r="CA90" i="7"/>
  <c r="CI90" i="7" s="1"/>
  <c r="BZ90" i="7"/>
  <c r="CH90" i="7" s="1"/>
  <c r="BY90" i="7"/>
  <c r="CP90" i="7" s="1"/>
  <c r="BV90" i="7"/>
  <c r="BT90" i="7"/>
  <c r="BS90" i="7"/>
  <c r="BR90" i="7"/>
  <c r="BQ90" i="7"/>
  <c r="BP90" i="7"/>
  <c r="BO90" i="7"/>
  <c r="BN90" i="7"/>
  <c r="BM90" i="7"/>
  <c r="BU90" i="7" s="1"/>
  <c r="BD90" i="7"/>
  <c r="BB90" i="7"/>
  <c r="BA90" i="7"/>
  <c r="AZ90" i="7"/>
  <c r="AY90" i="7"/>
  <c r="AX90" i="7"/>
  <c r="AW90" i="7"/>
  <c r="AV90" i="7"/>
  <c r="AU90" i="7"/>
  <c r="BC90" i="7" s="1"/>
  <c r="AL90" i="7"/>
  <c r="AJ90" i="7"/>
  <c r="AI90" i="7"/>
  <c r="AH90" i="7"/>
  <c r="AG90" i="7"/>
  <c r="AF90" i="7"/>
  <c r="AE90" i="7"/>
  <c r="AD90" i="7"/>
  <c r="AC90" i="7"/>
  <c r="AK90" i="7" s="1"/>
  <c r="T90" i="7"/>
  <c r="R90" i="7"/>
  <c r="Q90" i="7"/>
  <c r="P90" i="7"/>
  <c r="O90" i="7"/>
  <c r="N90" i="7"/>
  <c r="M90" i="7"/>
  <c r="L90" i="7"/>
  <c r="K90" i="7"/>
  <c r="S90" i="7" s="1"/>
  <c r="CX89" i="7"/>
  <c r="DF89" i="7" s="1"/>
  <c r="CW89" i="7"/>
  <c r="DE89" i="7" s="1"/>
  <c r="CV89" i="7"/>
  <c r="DD89" i="7" s="1"/>
  <c r="CU89" i="7"/>
  <c r="DC89" i="7" s="1"/>
  <c r="CT89" i="7"/>
  <c r="DB89" i="7" s="1"/>
  <c r="CS89" i="7"/>
  <c r="DA89" i="7" s="1"/>
  <c r="CR89" i="7"/>
  <c r="CZ89" i="7" s="1"/>
  <c r="CQ89" i="7"/>
  <c r="DH89" i="7" s="1"/>
  <c r="CF89" i="7"/>
  <c r="CN89" i="7" s="1"/>
  <c r="CE89" i="7"/>
  <c r="CM89" i="7" s="1"/>
  <c r="CD89" i="7"/>
  <c r="CL89" i="7" s="1"/>
  <c r="CC89" i="7"/>
  <c r="CK89" i="7" s="1"/>
  <c r="CB89" i="7"/>
  <c r="CJ89" i="7" s="1"/>
  <c r="CA89" i="7"/>
  <c r="CI89" i="7" s="1"/>
  <c r="BZ89" i="7"/>
  <c r="CH89" i="7" s="1"/>
  <c r="BY89" i="7"/>
  <c r="CP89" i="7" s="1"/>
  <c r="BV89" i="7"/>
  <c r="BT89" i="7"/>
  <c r="BS89" i="7"/>
  <c r="BR89" i="7"/>
  <c r="BQ89" i="7"/>
  <c r="BP89" i="7"/>
  <c r="BO89" i="7"/>
  <c r="BN89" i="7"/>
  <c r="BM89" i="7"/>
  <c r="BU89" i="7" s="1"/>
  <c r="BD89" i="7"/>
  <c r="BB89" i="7"/>
  <c r="BA89" i="7"/>
  <c r="AZ89" i="7"/>
  <c r="AY89" i="7"/>
  <c r="AX89" i="7"/>
  <c r="AW89" i="7"/>
  <c r="AV89" i="7"/>
  <c r="AU89" i="7"/>
  <c r="BC89" i="7" s="1"/>
  <c r="AL89" i="7"/>
  <c r="AJ89" i="7"/>
  <c r="AI89" i="7"/>
  <c r="AH89" i="7"/>
  <c r="AG89" i="7"/>
  <c r="AF89" i="7"/>
  <c r="AE89" i="7"/>
  <c r="AD89" i="7"/>
  <c r="AC89" i="7"/>
  <c r="AK89" i="7" s="1"/>
  <c r="T89" i="7"/>
  <c r="R89" i="7"/>
  <c r="Q89" i="7"/>
  <c r="P89" i="7"/>
  <c r="O89" i="7"/>
  <c r="N89" i="7"/>
  <c r="M89" i="7"/>
  <c r="L89" i="7"/>
  <c r="K89" i="7"/>
  <c r="S89" i="7" s="1"/>
  <c r="CX88" i="7"/>
  <c r="DF88" i="7" s="1"/>
  <c r="CW88" i="7"/>
  <c r="DE88" i="7" s="1"/>
  <c r="CV88" i="7"/>
  <c r="DD88" i="7" s="1"/>
  <c r="CU88" i="7"/>
  <c r="DC88" i="7" s="1"/>
  <c r="CT88" i="7"/>
  <c r="DB88" i="7" s="1"/>
  <c r="CS88" i="7"/>
  <c r="DA88" i="7" s="1"/>
  <c r="CR88" i="7"/>
  <c r="CZ88" i="7" s="1"/>
  <c r="CQ88" i="7"/>
  <c r="DH88" i="7" s="1"/>
  <c r="CF88" i="7"/>
  <c r="CN88" i="7" s="1"/>
  <c r="CE88" i="7"/>
  <c r="CM88" i="7" s="1"/>
  <c r="CD88" i="7"/>
  <c r="CL88" i="7" s="1"/>
  <c r="CC88" i="7"/>
  <c r="CK88" i="7" s="1"/>
  <c r="CB88" i="7"/>
  <c r="CJ88" i="7" s="1"/>
  <c r="CA88" i="7"/>
  <c r="CI88" i="7" s="1"/>
  <c r="BZ88" i="7"/>
  <c r="CH88" i="7" s="1"/>
  <c r="BY88" i="7"/>
  <c r="CP88" i="7" s="1"/>
  <c r="BV88" i="7"/>
  <c r="BT88" i="7"/>
  <c r="BS88" i="7"/>
  <c r="BR88" i="7"/>
  <c r="BQ88" i="7"/>
  <c r="BP88" i="7"/>
  <c r="BO88" i="7"/>
  <c r="BN88" i="7"/>
  <c r="BM88" i="7"/>
  <c r="BU88" i="7" s="1"/>
  <c r="BD88" i="7"/>
  <c r="BB88" i="7"/>
  <c r="BA88" i="7"/>
  <c r="AZ88" i="7"/>
  <c r="AY88" i="7"/>
  <c r="AX88" i="7"/>
  <c r="AW88" i="7"/>
  <c r="AV88" i="7"/>
  <c r="AU88" i="7"/>
  <c r="BC88" i="7" s="1"/>
  <c r="AL88" i="7"/>
  <c r="AJ88" i="7"/>
  <c r="AI88" i="7"/>
  <c r="AH88" i="7"/>
  <c r="AG88" i="7"/>
  <c r="AF88" i="7"/>
  <c r="AE88" i="7"/>
  <c r="AD88" i="7"/>
  <c r="AC88" i="7"/>
  <c r="AK88" i="7" s="1"/>
  <c r="T88" i="7"/>
  <c r="R88" i="7"/>
  <c r="Q88" i="7"/>
  <c r="P88" i="7"/>
  <c r="O88" i="7"/>
  <c r="N88" i="7"/>
  <c r="M88" i="7"/>
  <c r="L88" i="7"/>
  <c r="K88" i="7"/>
  <c r="S88" i="7" s="1"/>
  <c r="CX87" i="7"/>
  <c r="CX91" i="7" s="1"/>
  <c r="CW87" i="7"/>
  <c r="CW91" i="7" s="1"/>
  <c r="CV87" i="7"/>
  <c r="CV91" i="7" s="1"/>
  <c r="CU87" i="7"/>
  <c r="CU91" i="7" s="1"/>
  <c r="CT87" i="7"/>
  <c r="CT91" i="7" s="1"/>
  <c r="CS87" i="7"/>
  <c r="CS91" i="7" s="1"/>
  <c r="CR87" i="7"/>
  <c r="CR91" i="7" s="1"/>
  <c r="CQ87" i="7"/>
  <c r="DH87" i="7" s="1"/>
  <c r="CF87" i="7"/>
  <c r="CF91" i="7" s="1"/>
  <c r="CE87" i="7"/>
  <c r="CE91" i="7" s="1"/>
  <c r="CD87" i="7"/>
  <c r="CD91" i="7" s="1"/>
  <c r="CC87" i="7"/>
  <c r="CC91" i="7" s="1"/>
  <c r="CB87" i="7"/>
  <c r="CB91" i="7" s="1"/>
  <c r="CA87" i="7"/>
  <c r="CA91" i="7" s="1"/>
  <c r="BZ87" i="7"/>
  <c r="BZ91" i="7" s="1"/>
  <c r="BY87" i="7"/>
  <c r="CP87" i="7" s="1"/>
  <c r="BV87" i="7"/>
  <c r="BT87" i="7"/>
  <c r="BT91" i="7" s="1"/>
  <c r="BS87" i="7"/>
  <c r="BS91" i="7" s="1"/>
  <c r="BR87" i="7"/>
  <c r="BR91" i="7" s="1"/>
  <c r="BQ87" i="7"/>
  <c r="BQ91" i="7" s="1"/>
  <c r="BP87" i="7"/>
  <c r="BP91" i="7" s="1"/>
  <c r="BO87" i="7"/>
  <c r="BO91" i="7" s="1"/>
  <c r="BN87" i="7"/>
  <c r="BN91" i="7" s="1"/>
  <c r="BM87" i="7"/>
  <c r="BM91" i="7" s="1"/>
  <c r="BD87" i="7"/>
  <c r="BB87" i="7"/>
  <c r="BB91" i="7" s="1"/>
  <c r="BA87" i="7"/>
  <c r="BA91" i="7" s="1"/>
  <c r="AZ87" i="7"/>
  <c r="AZ91" i="7" s="1"/>
  <c r="AY87" i="7"/>
  <c r="AY91" i="7" s="1"/>
  <c r="AX87" i="7"/>
  <c r="AX91" i="7" s="1"/>
  <c r="AW87" i="7"/>
  <c r="AW91" i="7" s="1"/>
  <c r="AV87" i="7"/>
  <c r="AV91" i="7" s="1"/>
  <c r="AU87" i="7"/>
  <c r="AU91" i="7" s="1"/>
  <c r="BC91" i="7" s="1"/>
  <c r="AL87" i="7"/>
  <c r="AJ87" i="7"/>
  <c r="AJ91" i="7" s="1"/>
  <c r="AI87" i="7"/>
  <c r="AI91" i="7" s="1"/>
  <c r="AH87" i="7"/>
  <c r="AH91" i="7" s="1"/>
  <c r="AG87" i="7"/>
  <c r="AG91" i="7" s="1"/>
  <c r="AF87" i="7"/>
  <c r="AF91" i="7" s="1"/>
  <c r="AE87" i="7"/>
  <c r="AE91" i="7" s="1"/>
  <c r="AD87" i="7"/>
  <c r="AD91" i="7" s="1"/>
  <c r="AC87" i="7"/>
  <c r="AC91" i="7" s="1"/>
  <c r="T87" i="7"/>
  <c r="R87" i="7"/>
  <c r="R91" i="7" s="1"/>
  <c r="Q87" i="7"/>
  <c r="Q91" i="7" s="1"/>
  <c r="P87" i="7"/>
  <c r="P91" i="7" s="1"/>
  <c r="O87" i="7"/>
  <c r="O91" i="7" s="1"/>
  <c r="N87" i="7"/>
  <c r="N91" i="7" s="1"/>
  <c r="M87" i="7"/>
  <c r="M91" i="7" s="1"/>
  <c r="L87" i="7"/>
  <c r="L91" i="7" s="1"/>
  <c r="K87" i="7"/>
  <c r="K91" i="7" s="1"/>
  <c r="S91" i="7" s="1"/>
  <c r="BL86" i="7"/>
  <c r="BK86" i="7"/>
  <c r="BJ86" i="7"/>
  <c r="BI86" i="7"/>
  <c r="BH86" i="7"/>
  <c r="BG86" i="7"/>
  <c r="BF86" i="7"/>
  <c r="BE86" i="7"/>
  <c r="BV86" i="7" s="1"/>
  <c r="AT86" i="7"/>
  <c r="AS86" i="7"/>
  <c r="AR86" i="7"/>
  <c r="AQ86" i="7"/>
  <c r="AP86" i="7"/>
  <c r="AO86" i="7"/>
  <c r="AN86" i="7"/>
  <c r="AM86" i="7"/>
  <c r="BD86" i="7" s="1"/>
  <c r="AB86" i="7"/>
  <c r="AA86" i="7"/>
  <c r="Z86" i="7"/>
  <c r="Y86" i="7"/>
  <c r="X86" i="7"/>
  <c r="W86" i="7"/>
  <c r="V86" i="7"/>
  <c r="U86" i="7"/>
  <c r="AL86" i="7" s="1"/>
  <c r="J86" i="7"/>
  <c r="I86" i="7"/>
  <c r="H86" i="7"/>
  <c r="G86" i="7"/>
  <c r="F86" i="7"/>
  <c r="E86" i="7"/>
  <c r="D86" i="7"/>
  <c r="C86" i="7"/>
  <c r="T86" i="7" s="1"/>
  <c r="CX85" i="7"/>
  <c r="DF85" i="7" s="1"/>
  <c r="CW85" i="7"/>
  <c r="DE85" i="7" s="1"/>
  <c r="CV85" i="7"/>
  <c r="DD85" i="7" s="1"/>
  <c r="CU85" i="7"/>
  <c r="DC85" i="7" s="1"/>
  <c r="CT85" i="7"/>
  <c r="DB85" i="7" s="1"/>
  <c r="CS85" i="7"/>
  <c r="DA85" i="7" s="1"/>
  <c r="CR85" i="7"/>
  <c r="CZ85" i="7" s="1"/>
  <c r="CQ85" i="7"/>
  <c r="DH85" i="7" s="1"/>
  <c r="CF85" i="7"/>
  <c r="CN85" i="7" s="1"/>
  <c r="CE85" i="7"/>
  <c r="CM85" i="7" s="1"/>
  <c r="CD85" i="7"/>
  <c r="CL85" i="7" s="1"/>
  <c r="CC85" i="7"/>
  <c r="CK85" i="7" s="1"/>
  <c r="CB85" i="7"/>
  <c r="CJ85" i="7" s="1"/>
  <c r="CA85" i="7"/>
  <c r="CI85" i="7" s="1"/>
  <c r="BZ85" i="7"/>
  <c r="CH85" i="7" s="1"/>
  <c r="BY85" i="7"/>
  <c r="CP85" i="7" s="1"/>
  <c r="BV85" i="7"/>
  <c r="BT85" i="7"/>
  <c r="BS85" i="7"/>
  <c r="BR85" i="7"/>
  <c r="BQ85" i="7"/>
  <c r="BP85" i="7"/>
  <c r="BO85" i="7"/>
  <c r="BN85" i="7"/>
  <c r="BM85" i="7"/>
  <c r="BU85" i="7" s="1"/>
  <c r="BD85" i="7"/>
  <c r="BB85" i="7"/>
  <c r="BA85" i="7"/>
  <c r="AZ85" i="7"/>
  <c r="AY85" i="7"/>
  <c r="AX85" i="7"/>
  <c r="AW85" i="7"/>
  <c r="AV85" i="7"/>
  <c r="AU85" i="7"/>
  <c r="BC85" i="7" s="1"/>
  <c r="AL85" i="7"/>
  <c r="AJ85" i="7"/>
  <c r="AI85" i="7"/>
  <c r="AH85" i="7"/>
  <c r="AG85" i="7"/>
  <c r="AF85" i="7"/>
  <c r="AE85" i="7"/>
  <c r="AD85" i="7"/>
  <c r="AC85" i="7"/>
  <c r="AK85" i="7" s="1"/>
  <c r="T85" i="7"/>
  <c r="R85" i="7"/>
  <c r="Q85" i="7"/>
  <c r="P85" i="7"/>
  <c r="O85" i="7"/>
  <c r="N85" i="7"/>
  <c r="M85" i="7"/>
  <c r="L85" i="7"/>
  <c r="K85" i="7"/>
  <c r="S85" i="7" s="1"/>
  <c r="CX84" i="7"/>
  <c r="DF84" i="7" s="1"/>
  <c r="CW84" i="7"/>
  <c r="DE84" i="7" s="1"/>
  <c r="CV84" i="7"/>
  <c r="DD84" i="7" s="1"/>
  <c r="CU84" i="7"/>
  <c r="DC84" i="7" s="1"/>
  <c r="CT84" i="7"/>
  <c r="DB84" i="7" s="1"/>
  <c r="CS84" i="7"/>
  <c r="DA84" i="7" s="1"/>
  <c r="CR84" i="7"/>
  <c r="CZ84" i="7" s="1"/>
  <c r="CQ84" i="7"/>
  <c r="DH84" i="7" s="1"/>
  <c r="CF84" i="7"/>
  <c r="CN84" i="7" s="1"/>
  <c r="CE84" i="7"/>
  <c r="CM84" i="7" s="1"/>
  <c r="CD84" i="7"/>
  <c r="CL84" i="7" s="1"/>
  <c r="CC84" i="7"/>
  <c r="CK84" i="7" s="1"/>
  <c r="CB84" i="7"/>
  <c r="CJ84" i="7" s="1"/>
  <c r="CA84" i="7"/>
  <c r="CI84" i="7" s="1"/>
  <c r="BZ84" i="7"/>
  <c r="CH84" i="7" s="1"/>
  <c r="BY84" i="7"/>
  <c r="CP84" i="7" s="1"/>
  <c r="BV84" i="7"/>
  <c r="BT84" i="7"/>
  <c r="BS84" i="7"/>
  <c r="BR84" i="7"/>
  <c r="BQ84" i="7"/>
  <c r="BP84" i="7"/>
  <c r="BO84" i="7"/>
  <c r="BN84" i="7"/>
  <c r="BM84" i="7"/>
  <c r="BU84" i="7" s="1"/>
  <c r="BD84" i="7"/>
  <c r="BB84" i="7"/>
  <c r="BA84" i="7"/>
  <c r="AZ84" i="7"/>
  <c r="AY84" i="7"/>
  <c r="AX84" i="7"/>
  <c r="AW84" i="7"/>
  <c r="AV84" i="7"/>
  <c r="AU84" i="7"/>
  <c r="BC84" i="7" s="1"/>
  <c r="AL84" i="7"/>
  <c r="AJ84" i="7"/>
  <c r="AI84" i="7"/>
  <c r="AH84" i="7"/>
  <c r="AG84" i="7"/>
  <c r="AF84" i="7"/>
  <c r="AE84" i="7"/>
  <c r="AD84" i="7"/>
  <c r="AC84" i="7"/>
  <c r="AK84" i="7" s="1"/>
  <c r="T84" i="7"/>
  <c r="R84" i="7"/>
  <c r="Q84" i="7"/>
  <c r="P84" i="7"/>
  <c r="O84" i="7"/>
  <c r="N84" i="7"/>
  <c r="M84" i="7"/>
  <c r="L84" i="7"/>
  <c r="K84" i="7"/>
  <c r="S84" i="7" s="1"/>
  <c r="CX83" i="7"/>
  <c r="DF83" i="7" s="1"/>
  <c r="CW83" i="7"/>
  <c r="DE83" i="7" s="1"/>
  <c r="CV83" i="7"/>
  <c r="DD83" i="7" s="1"/>
  <c r="CU83" i="7"/>
  <c r="DC83" i="7" s="1"/>
  <c r="CT83" i="7"/>
  <c r="DB83" i="7" s="1"/>
  <c r="CS83" i="7"/>
  <c r="DA83" i="7" s="1"/>
  <c r="CR83" i="7"/>
  <c r="CZ83" i="7" s="1"/>
  <c r="CQ83" i="7"/>
  <c r="DH83" i="7" s="1"/>
  <c r="CF83" i="7"/>
  <c r="CN83" i="7" s="1"/>
  <c r="CE83" i="7"/>
  <c r="CM83" i="7" s="1"/>
  <c r="CD83" i="7"/>
  <c r="CL83" i="7" s="1"/>
  <c r="CC83" i="7"/>
  <c r="CK83" i="7" s="1"/>
  <c r="CB83" i="7"/>
  <c r="CJ83" i="7" s="1"/>
  <c r="CA83" i="7"/>
  <c r="CI83" i="7" s="1"/>
  <c r="BZ83" i="7"/>
  <c r="CH83" i="7" s="1"/>
  <c r="BY83" i="7"/>
  <c r="CP83" i="7" s="1"/>
  <c r="BV83" i="7"/>
  <c r="BT83" i="7"/>
  <c r="BS83" i="7"/>
  <c r="BR83" i="7"/>
  <c r="BQ83" i="7"/>
  <c r="BP83" i="7"/>
  <c r="BO83" i="7"/>
  <c r="BN83" i="7"/>
  <c r="BM83" i="7"/>
  <c r="BU83" i="7" s="1"/>
  <c r="BD83" i="7"/>
  <c r="BB83" i="7"/>
  <c r="BA83" i="7"/>
  <c r="AZ83" i="7"/>
  <c r="AY83" i="7"/>
  <c r="AX83" i="7"/>
  <c r="AW83" i="7"/>
  <c r="AV83" i="7"/>
  <c r="AU83" i="7"/>
  <c r="BC83" i="7" s="1"/>
  <c r="AL83" i="7"/>
  <c r="AJ83" i="7"/>
  <c r="AI83" i="7"/>
  <c r="AH83" i="7"/>
  <c r="AG83" i="7"/>
  <c r="AF83" i="7"/>
  <c r="AE83" i="7"/>
  <c r="AD83" i="7"/>
  <c r="AC83" i="7"/>
  <c r="AK83" i="7" s="1"/>
  <c r="T83" i="7"/>
  <c r="R83" i="7"/>
  <c r="Q83" i="7"/>
  <c r="P83" i="7"/>
  <c r="O83" i="7"/>
  <c r="N83" i="7"/>
  <c r="M83" i="7"/>
  <c r="L83" i="7"/>
  <c r="K83" i="7"/>
  <c r="S83" i="7" s="1"/>
  <c r="CX82" i="7"/>
  <c r="CX86" i="7" s="1"/>
  <c r="CW82" i="7"/>
  <c r="CW86" i="7" s="1"/>
  <c r="CV82" i="7"/>
  <c r="CV86" i="7" s="1"/>
  <c r="CU82" i="7"/>
  <c r="CU86" i="7" s="1"/>
  <c r="CT82" i="7"/>
  <c r="CT86" i="7" s="1"/>
  <c r="CS82" i="7"/>
  <c r="CS86" i="7" s="1"/>
  <c r="CR82" i="7"/>
  <c r="CR86" i="7" s="1"/>
  <c r="CQ82" i="7"/>
  <c r="DH82" i="7" s="1"/>
  <c r="CF82" i="7"/>
  <c r="CF86" i="7" s="1"/>
  <c r="CE82" i="7"/>
  <c r="CE86" i="7" s="1"/>
  <c r="CD82" i="7"/>
  <c r="CD86" i="7" s="1"/>
  <c r="CC82" i="7"/>
  <c r="CC86" i="7" s="1"/>
  <c r="CB82" i="7"/>
  <c r="CB86" i="7" s="1"/>
  <c r="CA82" i="7"/>
  <c r="CA86" i="7" s="1"/>
  <c r="BZ82" i="7"/>
  <c r="BZ86" i="7" s="1"/>
  <c r="BY82" i="7"/>
  <c r="CP82" i="7" s="1"/>
  <c r="BV82" i="7"/>
  <c r="BT82" i="7"/>
  <c r="BT86" i="7" s="1"/>
  <c r="BS82" i="7"/>
  <c r="BS86" i="7" s="1"/>
  <c r="BR82" i="7"/>
  <c r="BR86" i="7" s="1"/>
  <c r="BQ82" i="7"/>
  <c r="BQ86" i="7" s="1"/>
  <c r="BP82" i="7"/>
  <c r="BP86" i="7" s="1"/>
  <c r="BO82" i="7"/>
  <c r="BO86" i="7" s="1"/>
  <c r="BN82" i="7"/>
  <c r="BN86" i="7" s="1"/>
  <c r="BM82" i="7"/>
  <c r="BM86" i="7" s="1"/>
  <c r="BD82" i="7"/>
  <c r="BB82" i="7"/>
  <c r="BB86" i="7" s="1"/>
  <c r="BA82" i="7"/>
  <c r="BA86" i="7" s="1"/>
  <c r="AZ82" i="7"/>
  <c r="AZ86" i="7" s="1"/>
  <c r="AY82" i="7"/>
  <c r="AY86" i="7" s="1"/>
  <c r="AX82" i="7"/>
  <c r="AX86" i="7" s="1"/>
  <c r="AW82" i="7"/>
  <c r="AW86" i="7" s="1"/>
  <c r="AV82" i="7"/>
  <c r="AV86" i="7" s="1"/>
  <c r="AU82" i="7"/>
  <c r="AU86" i="7" s="1"/>
  <c r="BC86" i="7" s="1"/>
  <c r="AL82" i="7"/>
  <c r="AJ82" i="7"/>
  <c r="AJ86" i="7" s="1"/>
  <c r="AI82" i="7"/>
  <c r="AI86" i="7" s="1"/>
  <c r="AH82" i="7"/>
  <c r="AH86" i="7" s="1"/>
  <c r="AG82" i="7"/>
  <c r="AG86" i="7" s="1"/>
  <c r="AF82" i="7"/>
  <c r="AF86" i="7" s="1"/>
  <c r="AE82" i="7"/>
  <c r="AE86" i="7" s="1"/>
  <c r="AD82" i="7"/>
  <c r="AD86" i="7" s="1"/>
  <c r="AC82" i="7"/>
  <c r="AC86" i="7" s="1"/>
  <c r="T82" i="7"/>
  <c r="R82" i="7"/>
  <c r="R86" i="7" s="1"/>
  <c r="Q82" i="7"/>
  <c r="Q86" i="7" s="1"/>
  <c r="P82" i="7"/>
  <c r="P86" i="7" s="1"/>
  <c r="O82" i="7"/>
  <c r="O86" i="7" s="1"/>
  <c r="N82" i="7"/>
  <c r="N86" i="7" s="1"/>
  <c r="M82" i="7"/>
  <c r="M86" i="7" s="1"/>
  <c r="L82" i="7"/>
  <c r="L86" i="7" s="1"/>
  <c r="K82" i="7"/>
  <c r="K86" i="7" s="1"/>
  <c r="S86" i="7" s="1"/>
  <c r="BL81" i="7"/>
  <c r="BK81" i="7"/>
  <c r="BJ81" i="7"/>
  <c r="BI81" i="7"/>
  <c r="BH81" i="7"/>
  <c r="BG81" i="7"/>
  <c r="BF81" i="7"/>
  <c r="BE81" i="7"/>
  <c r="BV81" i="7" s="1"/>
  <c r="AT81" i="7"/>
  <c r="AS81" i="7"/>
  <c r="AR81" i="7"/>
  <c r="AQ81" i="7"/>
  <c r="AP81" i="7"/>
  <c r="AO81" i="7"/>
  <c r="AN81" i="7"/>
  <c r="AM81" i="7"/>
  <c r="BD81" i="7" s="1"/>
  <c r="AB81" i="7"/>
  <c r="AA81" i="7"/>
  <c r="Z81" i="7"/>
  <c r="Y81" i="7"/>
  <c r="X81" i="7"/>
  <c r="W81" i="7"/>
  <c r="V81" i="7"/>
  <c r="U81" i="7"/>
  <c r="AL81" i="7" s="1"/>
  <c r="J81" i="7"/>
  <c r="I81" i="7"/>
  <c r="H81" i="7"/>
  <c r="G81" i="7"/>
  <c r="F81" i="7"/>
  <c r="E81" i="7"/>
  <c r="D81" i="7"/>
  <c r="C81" i="7"/>
  <c r="T81" i="7" s="1"/>
  <c r="CX80" i="7"/>
  <c r="DF80" i="7" s="1"/>
  <c r="CW80" i="7"/>
  <c r="DE80" i="7" s="1"/>
  <c r="CV80" i="7"/>
  <c r="DD80" i="7" s="1"/>
  <c r="CU80" i="7"/>
  <c r="DC80" i="7" s="1"/>
  <c r="CT80" i="7"/>
  <c r="DB80" i="7" s="1"/>
  <c r="CS80" i="7"/>
  <c r="DA80" i="7" s="1"/>
  <c r="CR80" i="7"/>
  <c r="CZ80" i="7" s="1"/>
  <c r="CQ80" i="7"/>
  <c r="DH80" i="7" s="1"/>
  <c r="CF80" i="7"/>
  <c r="CN80" i="7" s="1"/>
  <c r="CE80" i="7"/>
  <c r="CM80" i="7" s="1"/>
  <c r="CD80" i="7"/>
  <c r="CL80" i="7" s="1"/>
  <c r="CC80" i="7"/>
  <c r="CK80" i="7" s="1"/>
  <c r="CB80" i="7"/>
  <c r="CJ80" i="7" s="1"/>
  <c r="CA80" i="7"/>
  <c r="CI80" i="7" s="1"/>
  <c r="BZ80" i="7"/>
  <c r="CH80" i="7" s="1"/>
  <c r="BY80" i="7"/>
  <c r="CP80" i="7" s="1"/>
  <c r="BV80" i="7"/>
  <c r="BT80" i="7"/>
  <c r="BS80" i="7"/>
  <c r="BR80" i="7"/>
  <c r="BQ80" i="7"/>
  <c r="BP80" i="7"/>
  <c r="BO80" i="7"/>
  <c r="BN80" i="7"/>
  <c r="BM80" i="7"/>
  <c r="BU80" i="7" s="1"/>
  <c r="BD80" i="7"/>
  <c r="BB80" i="7"/>
  <c r="BA80" i="7"/>
  <c r="AZ80" i="7"/>
  <c r="AY80" i="7"/>
  <c r="AX80" i="7"/>
  <c r="AW80" i="7"/>
  <c r="AV80" i="7"/>
  <c r="AU80" i="7"/>
  <c r="BC80" i="7" s="1"/>
  <c r="AL80" i="7"/>
  <c r="AJ80" i="7"/>
  <c r="AI80" i="7"/>
  <c r="AH80" i="7"/>
  <c r="AG80" i="7"/>
  <c r="AF80" i="7"/>
  <c r="AE80" i="7"/>
  <c r="AD80" i="7"/>
  <c r="AC80" i="7"/>
  <c r="AK80" i="7" s="1"/>
  <c r="T80" i="7"/>
  <c r="R80" i="7"/>
  <c r="Q80" i="7"/>
  <c r="P80" i="7"/>
  <c r="O80" i="7"/>
  <c r="N80" i="7"/>
  <c r="M80" i="7"/>
  <c r="L80" i="7"/>
  <c r="K80" i="7"/>
  <c r="S80" i="7" s="1"/>
  <c r="CX79" i="7"/>
  <c r="DF79" i="7" s="1"/>
  <c r="CW79" i="7"/>
  <c r="DE79" i="7" s="1"/>
  <c r="CV79" i="7"/>
  <c r="DD79" i="7" s="1"/>
  <c r="CU79" i="7"/>
  <c r="DC79" i="7" s="1"/>
  <c r="CT79" i="7"/>
  <c r="DB79" i="7" s="1"/>
  <c r="CS79" i="7"/>
  <c r="DA79" i="7" s="1"/>
  <c r="CR79" i="7"/>
  <c r="CZ79" i="7" s="1"/>
  <c r="CQ79" i="7"/>
  <c r="DH79" i="7" s="1"/>
  <c r="CF79" i="7"/>
  <c r="CN79" i="7" s="1"/>
  <c r="CE79" i="7"/>
  <c r="CM79" i="7" s="1"/>
  <c r="CD79" i="7"/>
  <c r="CL79" i="7" s="1"/>
  <c r="CC79" i="7"/>
  <c r="CK79" i="7" s="1"/>
  <c r="CB79" i="7"/>
  <c r="CJ79" i="7" s="1"/>
  <c r="CA79" i="7"/>
  <c r="CI79" i="7" s="1"/>
  <c r="BZ79" i="7"/>
  <c r="CH79" i="7" s="1"/>
  <c r="BY79" i="7"/>
  <c r="CP79" i="7" s="1"/>
  <c r="BV79" i="7"/>
  <c r="BT79" i="7"/>
  <c r="BS79" i="7"/>
  <c r="BR79" i="7"/>
  <c r="BQ79" i="7"/>
  <c r="BP79" i="7"/>
  <c r="BO79" i="7"/>
  <c r="BN79" i="7"/>
  <c r="BM79" i="7"/>
  <c r="BU79" i="7" s="1"/>
  <c r="BD79" i="7"/>
  <c r="BB79" i="7"/>
  <c r="BA79" i="7"/>
  <c r="AZ79" i="7"/>
  <c r="AY79" i="7"/>
  <c r="AX79" i="7"/>
  <c r="AW79" i="7"/>
  <c r="AV79" i="7"/>
  <c r="AU79" i="7"/>
  <c r="BC79" i="7" s="1"/>
  <c r="AL79" i="7"/>
  <c r="AJ79" i="7"/>
  <c r="AI79" i="7"/>
  <c r="AH79" i="7"/>
  <c r="AG79" i="7"/>
  <c r="AF79" i="7"/>
  <c r="AE79" i="7"/>
  <c r="AD79" i="7"/>
  <c r="AC79" i="7"/>
  <c r="AK79" i="7" s="1"/>
  <c r="T79" i="7"/>
  <c r="R79" i="7"/>
  <c r="Q79" i="7"/>
  <c r="P79" i="7"/>
  <c r="O79" i="7"/>
  <c r="N79" i="7"/>
  <c r="M79" i="7"/>
  <c r="L79" i="7"/>
  <c r="K79" i="7"/>
  <c r="S79" i="7" s="1"/>
  <c r="CX78" i="7"/>
  <c r="DF78" i="7" s="1"/>
  <c r="CW78" i="7"/>
  <c r="DE78" i="7" s="1"/>
  <c r="CV78" i="7"/>
  <c r="DD78" i="7" s="1"/>
  <c r="CU78" i="7"/>
  <c r="DC78" i="7" s="1"/>
  <c r="CT78" i="7"/>
  <c r="DB78" i="7" s="1"/>
  <c r="CS78" i="7"/>
  <c r="DA78" i="7" s="1"/>
  <c r="CR78" i="7"/>
  <c r="CZ78" i="7" s="1"/>
  <c r="CQ78" i="7"/>
  <c r="DH78" i="7" s="1"/>
  <c r="CF78" i="7"/>
  <c r="CN78" i="7" s="1"/>
  <c r="CE78" i="7"/>
  <c r="CM78" i="7" s="1"/>
  <c r="CD78" i="7"/>
  <c r="CL78" i="7" s="1"/>
  <c r="CC78" i="7"/>
  <c r="CK78" i="7" s="1"/>
  <c r="CB78" i="7"/>
  <c r="CJ78" i="7" s="1"/>
  <c r="CA78" i="7"/>
  <c r="CI78" i="7" s="1"/>
  <c r="BZ78" i="7"/>
  <c r="CH78" i="7" s="1"/>
  <c r="BY78" i="7"/>
  <c r="CP78" i="7" s="1"/>
  <c r="BV78" i="7"/>
  <c r="BT78" i="7"/>
  <c r="BS78" i="7"/>
  <c r="BR78" i="7"/>
  <c r="BQ78" i="7"/>
  <c r="BP78" i="7"/>
  <c r="BO78" i="7"/>
  <c r="BN78" i="7"/>
  <c r="BM78" i="7"/>
  <c r="BU78" i="7" s="1"/>
  <c r="BD78" i="7"/>
  <c r="BB78" i="7"/>
  <c r="BA78" i="7"/>
  <c r="AZ78" i="7"/>
  <c r="AY78" i="7"/>
  <c r="AX78" i="7"/>
  <c r="AW78" i="7"/>
  <c r="AV78" i="7"/>
  <c r="AU78" i="7"/>
  <c r="BC78" i="7" s="1"/>
  <c r="AL78" i="7"/>
  <c r="AJ78" i="7"/>
  <c r="AI78" i="7"/>
  <c r="AH78" i="7"/>
  <c r="AG78" i="7"/>
  <c r="AF78" i="7"/>
  <c r="AE78" i="7"/>
  <c r="AD78" i="7"/>
  <c r="AC78" i="7"/>
  <c r="AK78" i="7" s="1"/>
  <c r="T78" i="7"/>
  <c r="R78" i="7"/>
  <c r="Q78" i="7"/>
  <c r="P78" i="7"/>
  <c r="O78" i="7"/>
  <c r="N78" i="7"/>
  <c r="M78" i="7"/>
  <c r="L78" i="7"/>
  <c r="K78" i="7"/>
  <c r="S78" i="7" s="1"/>
  <c r="CX77" i="7"/>
  <c r="CX81" i="7" s="1"/>
  <c r="CW77" i="7"/>
  <c r="CW81" i="7" s="1"/>
  <c r="CV77" i="7"/>
  <c r="CV81" i="7" s="1"/>
  <c r="CU77" i="7"/>
  <c r="CU81" i="7" s="1"/>
  <c r="CT77" i="7"/>
  <c r="CT81" i="7" s="1"/>
  <c r="CS77" i="7"/>
  <c r="CS81" i="7" s="1"/>
  <c r="CR77" i="7"/>
  <c r="CR81" i="7" s="1"/>
  <c r="CQ77" i="7"/>
  <c r="DH77" i="7" s="1"/>
  <c r="CF77" i="7"/>
  <c r="CF81" i="7" s="1"/>
  <c r="CE77" i="7"/>
  <c r="CE81" i="7" s="1"/>
  <c r="CD77" i="7"/>
  <c r="CD81" i="7" s="1"/>
  <c r="CC77" i="7"/>
  <c r="CC81" i="7" s="1"/>
  <c r="CB77" i="7"/>
  <c r="CB81" i="7" s="1"/>
  <c r="CA77" i="7"/>
  <c r="CA81" i="7" s="1"/>
  <c r="BZ77" i="7"/>
  <c r="BZ81" i="7" s="1"/>
  <c r="BY77" i="7"/>
  <c r="CP77" i="7" s="1"/>
  <c r="BV77" i="7"/>
  <c r="BT77" i="7"/>
  <c r="BT81" i="7" s="1"/>
  <c r="BS77" i="7"/>
  <c r="BS81" i="7" s="1"/>
  <c r="BR77" i="7"/>
  <c r="BR81" i="7" s="1"/>
  <c r="BQ77" i="7"/>
  <c r="BQ81" i="7" s="1"/>
  <c r="BP77" i="7"/>
  <c r="BP81" i="7" s="1"/>
  <c r="BO77" i="7"/>
  <c r="BO81" i="7" s="1"/>
  <c r="BN77" i="7"/>
  <c r="BN81" i="7" s="1"/>
  <c r="BM77" i="7"/>
  <c r="BM81" i="7" s="1"/>
  <c r="BD77" i="7"/>
  <c r="BB77" i="7"/>
  <c r="BB81" i="7" s="1"/>
  <c r="BA77" i="7"/>
  <c r="BA81" i="7" s="1"/>
  <c r="AZ77" i="7"/>
  <c r="AZ81" i="7" s="1"/>
  <c r="AY77" i="7"/>
  <c r="AY81" i="7" s="1"/>
  <c r="AX77" i="7"/>
  <c r="AX81" i="7" s="1"/>
  <c r="AW77" i="7"/>
  <c r="AW81" i="7" s="1"/>
  <c r="AV77" i="7"/>
  <c r="AV81" i="7" s="1"/>
  <c r="AU77" i="7"/>
  <c r="AU81" i="7" s="1"/>
  <c r="BC81" i="7" s="1"/>
  <c r="AL77" i="7"/>
  <c r="AJ77" i="7"/>
  <c r="AJ81" i="7" s="1"/>
  <c r="AI77" i="7"/>
  <c r="AI81" i="7" s="1"/>
  <c r="AH77" i="7"/>
  <c r="AH81" i="7" s="1"/>
  <c r="AG77" i="7"/>
  <c r="AG81" i="7" s="1"/>
  <c r="AF77" i="7"/>
  <c r="AF81" i="7" s="1"/>
  <c r="AE77" i="7"/>
  <c r="AE81" i="7" s="1"/>
  <c r="AD77" i="7"/>
  <c r="AD81" i="7" s="1"/>
  <c r="AC77" i="7"/>
  <c r="AC81" i="7" s="1"/>
  <c r="T77" i="7"/>
  <c r="R77" i="7"/>
  <c r="R81" i="7" s="1"/>
  <c r="Q77" i="7"/>
  <c r="Q81" i="7" s="1"/>
  <c r="P77" i="7"/>
  <c r="P81" i="7" s="1"/>
  <c r="O77" i="7"/>
  <c r="O81" i="7" s="1"/>
  <c r="N77" i="7"/>
  <c r="N81" i="7" s="1"/>
  <c r="M77" i="7"/>
  <c r="M81" i="7" s="1"/>
  <c r="L77" i="7"/>
  <c r="L81" i="7" s="1"/>
  <c r="K77" i="7"/>
  <c r="K81" i="7" s="1"/>
  <c r="S81" i="7" s="1"/>
  <c r="BL76" i="7"/>
  <c r="BK76" i="7"/>
  <c r="BJ76" i="7"/>
  <c r="BI76" i="7"/>
  <c r="BH76" i="7"/>
  <c r="BG76" i="7"/>
  <c r="BF76" i="7"/>
  <c r="BE76" i="7"/>
  <c r="BV76" i="7" s="1"/>
  <c r="AT76" i="7"/>
  <c r="AS76" i="7"/>
  <c r="AR76" i="7"/>
  <c r="AQ76" i="7"/>
  <c r="AP76" i="7"/>
  <c r="AO76" i="7"/>
  <c r="AN76" i="7"/>
  <c r="AM76" i="7"/>
  <c r="BD76" i="7" s="1"/>
  <c r="AB76" i="7"/>
  <c r="AA76" i="7"/>
  <c r="Z76" i="7"/>
  <c r="Y76" i="7"/>
  <c r="X76" i="7"/>
  <c r="W76" i="7"/>
  <c r="V76" i="7"/>
  <c r="U76" i="7"/>
  <c r="AL76" i="7" s="1"/>
  <c r="J76" i="7"/>
  <c r="I76" i="7"/>
  <c r="H76" i="7"/>
  <c r="G76" i="7"/>
  <c r="F76" i="7"/>
  <c r="E76" i="7"/>
  <c r="D76" i="7"/>
  <c r="C76" i="7"/>
  <c r="T76" i="7" s="1"/>
  <c r="CX75" i="7"/>
  <c r="DF75" i="7" s="1"/>
  <c r="CW75" i="7"/>
  <c r="DE75" i="7" s="1"/>
  <c r="CV75" i="7"/>
  <c r="DD75" i="7" s="1"/>
  <c r="CU75" i="7"/>
  <c r="DC75" i="7" s="1"/>
  <c r="CT75" i="7"/>
  <c r="DB75" i="7" s="1"/>
  <c r="CS75" i="7"/>
  <c r="DA75" i="7" s="1"/>
  <c r="CR75" i="7"/>
  <c r="CZ75" i="7" s="1"/>
  <c r="CQ75" i="7"/>
  <c r="DH75" i="7" s="1"/>
  <c r="CF75" i="7"/>
  <c r="CN75" i="7" s="1"/>
  <c r="CE75" i="7"/>
  <c r="CM75" i="7" s="1"/>
  <c r="CD75" i="7"/>
  <c r="CL75" i="7" s="1"/>
  <c r="CC75" i="7"/>
  <c r="CK75" i="7" s="1"/>
  <c r="CB75" i="7"/>
  <c r="CJ75" i="7" s="1"/>
  <c r="CA75" i="7"/>
  <c r="CI75" i="7" s="1"/>
  <c r="BZ75" i="7"/>
  <c r="CH75" i="7" s="1"/>
  <c r="BY75" i="7"/>
  <c r="CP75" i="7" s="1"/>
  <c r="BV75" i="7"/>
  <c r="BT75" i="7"/>
  <c r="BS75" i="7"/>
  <c r="BR75" i="7"/>
  <c r="BQ75" i="7"/>
  <c r="BP75" i="7"/>
  <c r="BO75" i="7"/>
  <c r="BN75" i="7"/>
  <c r="BM75" i="7"/>
  <c r="BU75" i="7" s="1"/>
  <c r="BD75" i="7"/>
  <c r="BB75" i="7"/>
  <c r="BA75" i="7"/>
  <c r="AZ75" i="7"/>
  <c r="AY75" i="7"/>
  <c r="AX75" i="7"/>
  <c r="AW75" i="7"/>
  <c r="AV75" i="7"/>
  <c r="AU75" i="7"/>
  <c r="BC75" i="7" s="1"/>
  <c r="AL75" i="7"/>
  <c r="AJ75" i="7"/>
  <c r="AI75" i="7"/>
  <c r="AH75" i="7"/>
  <c r="AG75" i="7"/>
  <c r="AF75" i="7"/>
  <c r="AE75" i="7"/>
  <c r="AD75" i="7"/>
  <c r="AC75" i="7"/>
  <c r="AK75" i="7" s="1"/>
  <c r="T75" i="7"/>
  <c r="R75" i="7"/>
  <c r="Q75" i="7"/>
  <c r="P75" i="7"/>
  <c r="O75" i="7"/>
  <c r="N75" i="7"/>
  <c r="M75" i="7"/>
  <c r="L75" i="7"/>
  <c r="K75" i="7"/>
  <c r="S75" i="7" s="1"/>
  <c r="CX74" i="7"/>
  <c r="DF74" i="7" s="1"/>
  <c r="CW74" i="7"/>
  <c r="DE74" i="7" s="1"/>
  <c r="CV74" i="7"/>
  <c r="DD74" i="7" s="1"/>
  <c r="CU74" i="7"/>
  <c r="DC74" i="7" s="1"/>
  <c r="CT74" i="7"/>
  <c r="DB74" i="7" s="1"/>
  <c r="CS74" i="7"/>
  <c r="DA74" i="7" s="1"/>
  <c r="CR74" i="7"/>
  <c r="CZ74" i="7" s="1"/>
  <c r="CQ74" i="7"/>
  <c r="DH74" i="7" s="1"/>
  <c r="CF74" i="7"/>
  <c r="CN74" i="7" s="1"/>
  <c r="CE74" i="7"/>
  <c r="CM74" i="7" s="1"/>
  <c r="CD74" i="7"/>
  <c r="CL74" i="7" s="1"/>
  <c r="CC74" i="7"/>
  <c r="CK74" i="7" s="1"/>
  <c r="CB74" i="7"/>
  <c r="CJ74" i="7" s="1"/>
  <c r="CA74" i="7"/>
  <c r="CI74" i="7" s="1"/>
  <c r="BZ74" i="7"/>
  <c r="CH74" i="7" s="1"/>
  <c r="BY74" i="7"/>
  <c r="CP74" i="7" s="1"/>
  <c r="BV74" i="7"/>
  <c r="BT74" i="7"/>
  <c r="BS74" i="7"/>
  <c r="BR74" i="7"/>
  <c r="BQ74" i="7"/>
  <c r="BP74" i="7"/>
  <c r="BO74" i="7"/>
  <c r="BN74" i="7"/>
  <c r="BM74" i="7"/>
  <c r="BU74" i="7" s="1"/>
  <c r="BD74" i="7"/>
  <c r="BB74" i="7"/>
  <c r="BA74" i="7"/>
  <c r="AZ74" i="7"/>
  <c r="AY74" i="7"/>
  <c r="AX74" i="7"/>
  <c r="AW74" i="7"/>
  <c r="AV74" i="7"/>
  <c r="AU74" i="7"/>
  <c r="BC74" i="7" s="1"/>
  <c r="AL74" i="7"/>
  <c r="AJ74" i="7"/>
  <c r="AI74" i="7"/>
  <c r="AH74" i="7"/>
  <c r="AG74" i="7"/>
  <c r="AF74" i="7"/>
  <c r="AE74" i="7"/>
  <c r="AD74" i="7"/>
  <c r="AC74" i="7"/>
  <c r="AK74" i="7" s="1"/>
  <c r="T74" i="7"/>
  <c r="R74" i="7"/>
  <c r="Q74" i="7"/>
  <c r="P74" i="7"/>
  <c r="O74" i="7"/>
  <c r="N74" i="7"/>
  <c r="M74" i="7"/>
  <c r="L74" i="7"/>
  <c r="K74" i="7"/>
  <c r="S74" i="7" s="1"/>
  <c r="CX73" i="7"/>
  <c r="DF73" i="7" s="1"/>
  <c r="CW73" i="7"/>
  <c r="DE73" i="7" s="1"/>
  <c r="CV73" i="7"/>
  <c r="DD73" i="7" s="1"/>
  <c r="CU73" i="7"/>
  <c r="DC73" i="7" s="1"/>
  <c r="CT73" i="7"/>
  <c r="DB73" i="7" s="1"/>
  <c r="CS73" i="7"/>
  <c r="DA73" i="7" s="1"/>
  <c r="CR73" i="7"/>
  <c r="CZ73" i="7" s="1"/>
  <c r="CQ73" i="7"/>
  <c r="DH73" i="7" s="1"/>
  <c r="CF73" i="7"/>
  <c r="CN73" i="7" s="1"/>
  <c r="CE73" i="7"/>
  <c r="CM73" i="7" s="1"/>
  <c r="CD73" i="7"/>
  <c r="CL73" i="7" s="1"/>
  <c r="CC73" i="7"/>
  <c r="CK73" i="7" s="1"/>
  <c r="CB73" i="7"/>
  <c r="CJ73" i="7" s="1"/>
  <c r="CA73" i="7"/>
  <c r="CI73" i="7" s="1"/>
  <c r="BZ73" i="7"/>
  <c r="CH73" i="7" s="1"/>
  <c r="BY73" i="7"/>
  <c r="CP73" i="7" s="1"/>
  <c r="BV73" i="7"/>
  <c r="BT73" i="7"/>
  <c r="BS73" i="7"/>
  <c r="BR73" i="7"/>
  <c r="BQ73" i="7"/>
  <c r="BP73" i="7"/>
  <c r="BO73" i="7"/>
  <c r="BN73" i="7"/>
  <c r="BM73" i="7"/>
  <c r="BU73" i="7" s="1"/>
  <c r="BD73" i="7"/>
  <c r="BB73" i="7"/>
  <c r="BA73" i="7"/>
  <c r="AZ73" i="7"/>
  <c r="AY73" i="7"/>
  <c r="AX73" i="7"/>
  <c r="AW73" i="7"/>
  <c r="AV73" i="7"/>
  <c r="AU73" i="7"/>
  <c r="BC73" i="7" s="1"/>
  <c r="AL73" i="7"/>
  <c r="AJ73" i="7"/>
  <c r="AI73" i="7"/>
  <c r="AH73" i="7"/>
  <c r="AG73" i="7"/>
  <c r="AF73" i="7"/>
  <c r="AE73" i="7"/>
  <c r="AD73" i="7"/>
  <c r="AC73" i="7"/>
  <c r="AK73" i="7" s="1"/>
  <c r="T73" i="7"/>
  <c r="R73" i="7"/>
  <c r="Q73" i="7"/>
  <c r="P73" i="7"/>
  <c r="O73" i="7"/>
  <c r="N73" i="7"/>
  <c r="M73" i="7"/>
  <c r="L73" i="7"/>
  <c r="K73" i="7"/>
  <c r="S73" i="7" s="1"/>
  <c r="CX72" i="7"/>
  <c r="CX76" i="7" s="1"/>
  <c r="CW72" i="7"/>
  <c r="CW76" i="7" s="1"/>
  <c r="CV72" i="7"/>
  <c r="CV76" i="7" s="1"/>
  <c r="CU72" i="7"/>
  <c r="CU76" i="7" s="1"/>
  <c r="CT72" i="7"/>
  <c r="CT76" i="7" s="1"/>
  <c r="CS72" i="7"/>
  <c r="CS76" i="7" s="1"/>
  <c r="CR72" i="7"/>
  <c r="CR76" i="7" s="1"/>
  <c r="CQ72" i="7"/>
  <c r="DH72" i="7" s="1"/>
  <c r="CF72" i="7"/>
  <c r="CF76" i="7" s="1"/>
  <c r="CE72" i="7"/>
  <c r="CE76" i="7" s="1"/>
  <c r="CD72" i="7"/>
  <c r="CD76" i="7" s="1"/>
  <c r="CC72" i="7"/>
  <c r="CC76" i="7" s="1"/>
  <c r="CB72" i="7"/>
  <c r="CB76" i="7" s="1"/>
  <c r="CA72" i="7"/>
  <c r="CA76" i="7" s="1"/>
  <c r="BZ72" i="7"/>
  <c r="BZ76" i="7" s="1"/>
  <c r="BY72" i="7"/>
  <c r="CP72" i="7" s="1"/>
  <c r="BV72" i="7"/>
  <c r="BT72" i="7"/>
  <c r="BT76" i="7" s="1"/>
  <c r="BS72" i="7"/>
  <c r="BS76" i="7" s="1"/>
  <c r="BR72" i="7"/>
  <c r="BR76" i="7" s="1"/>
  <c r="BQ72" i="7"/>
  <c r="BQ76" i="7" s="1"/>
  <c r="BP72" i="7"/>
  <c r="BP76" i="7" s="1"/>
  <c r="BO72" i="7"/>
  <c r="BO76" i="7" s="1"/>
  <c r="BN72" i="7"/>
  <c r="BN76" i="7" s="1"/>
  <c r="BM72" i="7"/>
  <c r="BM76" i="7" s="1"/>
  <c r="BD72" i="7"/>
  <c r="BB72" i="7"/>
  <c r="BB76" i="7" s="1"/>
  <c r="BA72" i="7"/>
  <c r="BA76" i="7" s="1"/>
  <c r="AZ72" i="7"/>
  <c r="AZ76" i="7" s="1"/>
  <c r="AY72" i="7"/>
  <c r="AY76" i="7" s="1"/>
  <c r="AX72" i="7"/>
  <c r="AX76" i="7" s="1"/>
  <c r="AW72" i="7"/>
  <c r="AW76" i="7" s="1"/>
  <c r="AV72" i="7"/>
  <c r="AV76" i="7" s="1"/>
  <c r="AU72" i="7"/>
  <c r="AU76" i="7" s="1"/>
  <c r="BC76" i="7" s="1"/>
  <c r="AL72" i="7"/>
  <c r="AJ72" i="7"/>
  <c r="AJ76" i="7" s="1"/>
  <c r="AI72" i="7"/>
  <c r="AI76" i="7" s="1"/>
  <c r="AH72" i="7"/>
  <c r="AH76" i="7" s="1"/>
  <c r="AG72" i="7"/>
  <c r="AG76" i="7" s="1"/>
  <c r="AF72" i="7"/>
  <c r="AF76" i="7" s="1"/>
  <c r="AE72" i="7"/>
  <c r="AE76" i="7" s="1"/>
  <c r="AD72" i="7"/>
  <c r="AD76" i="7" s="1"/>
  <c r="AC72" i="7"/>
  <c r="AC76" i="7" s="1"/>
  <c r="T72" i="7"/>
  <c r="R72" i="7"/>
  <c r="R76" i="7" s="1"/>
  <c r="Q72" i="7"/>
  <c r="Q76" i="7" s="1"/>
  <c r="P72" i="7"/>
  <c r="P76" i="7" s="1"/>
  <c r="O72" i="7"/>
  <c r="O76" i="7" s="1"/>
  <c r="N72" i="7"/>
  <c r="N76" i="7" s="1"/>
  <c r="M72" i="7"/>
  <c r="M76" i="7" s="1"/>
  <c r="L72" i="7"/>
  <c r="L76" i="7" s="1"/>
  <c r="K72" i="7"/>
  <c r="K76" i="7" s="1"/>
  <c r="S76" i="7" s="1"/>
  <c r="BL71" i="7"/>
  <c r="BK71" i="7"/>
  <c r="BJ71" i="7"/>
  <c r="BI71" i="7"/>
  <c r="BH71" i="7"/>
  <c r="BG71" i="7"/>
  <c r="BF71" i="7"/>
  <c r="BE71" i="7"/>
  <c r="BV71" i="7" s="1"/>
  <c r="AT71" i="7"/>
  <c r="AS71" i="7"/>
  <c r="AR71" i="7"/>
  <c r="AQ71" i="7"/>
  <c r="AP71" i="7"/>
  <c r="AO71" i="7"/>
  <c r="AN71" i="7"/>
  <c r="AM71" i="7"/>
  <c r="BD71" i="7" s="1"/>
  <c r="AB71" i="7"/>
  <c r="AA71" i="7"/>
  <c r="Z71" i="7"/>
  <c r="Y71" i="7"/>
  <c r="X71" i="7"/>
  <c r="W71" i="7"/>
  <c r="V71" i="7"/>
  <c r="U71" i="7"/>
  <c r="AL71" i="7" s="1"/>
  <c r="J71" i="7"/>
  <c r="I71" i="7"/>
  <c r="H71" i="7"/>
  <c r="G71" i="7"/>
  <c r="F71" i="7"/>
  <c r="E71" i="7"/>
  <c r="D71" i="7"/>
  <c r="C71" i="7"/>
  <c r="T71" i="7" s="1"/>
  <c r="CX70" i="7"/>
  <c r="DF70" i="7" s="1"/>
  <c r="CW70" i="7"/>
  <c r="DE70" i="7" s="1"/>
  <c r="CV70" i="7"/>
  <c r="DD70" i="7" s="1"/>
  <c r="CU70" i="7"/>
  <c r="DC70" i="7" s="1"/>
  <c r="CT70" i="7"/>
  <c r="DB70" i="7" s="1"/>
  <c r="CS70" i="7"/>
  <c r="DA70" i="7" s="1"/>
  <c r="CR70" i="7"/>
  <c r="CZ70" i="7" s="1"/>
  <c r="CQ70" i="7"/>
  <c r="DH70" i="7" s="1"/>
  <c r="CF70" i="7"/>
  <c r="CN70" i="7" s="1"/>
  <c r="CE70" i="7"/>
  <c r="CM70" i="7" s="1"/>
  <c r="CD70" i="7"/>
  <c r="CL70" i="7" s="1"/>
  <c r="CC70" i="7"/>
  <c r="CK70" i="7" s="1"/>
  <c r="CB70" i="7"/>
  <c r="CJ70" i="7" s="1"/>
  <c r="CA70" i="7"/>
  <c r="CI70" i="7" s="1"/>
  <c r="BZ70" i="7"/>
  <c r="CH70" i="7" s="1"/>
  <c r="BY70" i="7"/>
  <c r="CP70" i="7" s="1"/>
  <c r="BV70" i="7"/>
  <c r="BT70" i="7"/>
  <c r="BS70" i="7"/>
  <c r="BR70" i="7"/>
  <c r="BQ70" i="7"/>
  <c r="BP70" i="7"/>
  <c r="BO70" i="7"/>
  <c r="BN70" i="7"/>
  <c r="BM70" i="7"/>
  <c r="BU70" i="7" s="1"/>
  <c r="BD70" i="7"/>
  <c r="BB70" i="7"/>
  <c r="BA70" i="7"/>
  <c r="AZ70" i="7"/>
  <c r="AY70" i="7"/>
  <c r="AX70" i="7"/>
  <c r="AW70" i="7"/>
  <c r="AV70" i="7"/>
  <c r="AU70" i="7"/>
  <c r="BC70" i="7" s="1"/>
  <c r="AL70" i="7"/>
  <c r="AJ70" i="7"/>
  <c r="AI70" i="7"/>
  <c r="AH70" i="7"/>
  <c r="AG70" i="7"/>
  <c r="AF70" i="7"/>
  <c r="AE70" i="7"/>
  <c r="AD70" i="7"/>
  <c r="AC70" i="7"/>
  <c r="AK70" i="7" s="1"/>
  <c r="T70" i="7"/>
  <c r="R70" i="7"/>
  <c r="Q70" i="7"/>
  <c r="P70" i="7"/>
  <c r="O70" i="7"/>
  <c r="N70" i="7"/>
  <c r="M70" i="7"/>
  <c r="L70" i="7"/>
  <c r="K70" i="7"/>
  <c r="S70" i="7" s="1"/>
  <c r="CX69" i="7"/>
  <c r="DF69" i="7" s="1"/>
  <c r="CW69" i="7"/>
  <c r="DE69" i="7" s="1"/>
  <c r="CV69" i="7"/>
  <c r="DD69" i="7" s="1"/>
  <c r="CU69" i="7"/>
  <c r="DC69" i="7" s="1"/>
  <c r="CT69" i="7"/>
  <c r="DB69" i="7" s="1"/>
  <c r="CS69" i="7"/>
  <c r="DA69" i="7" s="1"/>
  <c r="CR69" i="7"/>
  <c r="CZ69" i="7" s="1"/>
  <c r="CQ69" i="7"/>
  <c r="DH69" i="7" s="1"/>
  <c r="CF69" i="7"/>
  <c r="CN69" i="7" s="1"/>
  <c r="CE69" i="7"/>
  <c r="CM69" i="7" s="1"/>
  <c r="CD69" i="7"/>
  <c r="CL69" i="7" s="1"/>
  <c r="CC69" i="7"/>
  <c r="CK69" i="7" s="1"/>
  <c r="CB69" i="7"/>
  <c r="CJ69" i="7" s="1"/>
  <c r="CA69" i="7"/>
  <c r="CI69" i="7" s="1"/>
  <c r="BZ69" i="7"/>
  <c r="CH69" i="7" s="1"/>
  <c r="BY69" i="7"/>
  <c r="CP69" i="7" s="1"/>
  <c r="BV69" i="7"/>
  <c r="BT69" i="7"/>
  <c r="BS69" i="7"/>
  <c r="BR69" i="7"/>
  <c r="BQ69" i="7"/>
  <c r="BP69" i="7"/>
  <c r="BO69" i="7"/>
  <c r="BN69" i="7"/>
  <c r="BM69" i="7"/>
  <c r="BU69" i="7" s="1"/>
  <c r="BD69" i="7"/>
  <c r="BB69" i="7"/>
  <c r="BA69" i="7"/>
  <c r="AZ69" i="7"/>
  <c r="AY69" i="7"/>
  <c r="AX69" i="7"/>
  <c r="AW69" i="7"/>
  <c r="AV69" i="7"/>
  <c r="AU69" i="7"/>
  <c r="BC69" i="7" s="1"/>
  <c r="AL69" i="7"/>
  <c r="AJ69" i="7"/>
  <c r="AI69" i="7"/>
  <c r="AH69" i="7"/>
  <c r="AG69" i="7"/>
  <c r="AF69" i="7"/>
  <c r="AE69" i="7"/>
  <c r="AD69" i="7"/>
  <c r="AC69" i="7"/>
  <c r="AK69" i="7" s="1"/>
  <c r="T69" i="7"/>
  <c r="R69" i="7"/>
  <c r="Q69" i="7"/>
  <c r="P69" i="7"/>
  <c r="O69" i="7"/>
  <c r="N69" i="7"/>
  <c r="M69" i="7"/>
  <c r="L69" i="7"/>
  <c r="K69" i="7"/>
  <c r="S69" i="7" s="1"/>
  <c r="CX68" i="7"/>
  <c r="DF68" i="7" s="1"/>
  <c r="CW68" i="7"/>
  <c r="DE68" i="7" s="1"/>
  <c r="CV68" i="7"/>
  <c r="DD68" i="7" s="1"/>
  <c r="CU68" i="7"/>
  <c r="DC68" i="7" s="1"/>
  <c r="CT68" i="7"/>
  <c r="DB68" i="7" s="1"/>
  <c r="CS68" i="7"/>
  <c r="DA68" i="7" s="1"/>
  <c r="CR68" i="7"/>
  <c r="CZ68" i="7" s="1"/>
  <c r="CQ68" i="7"/>
  <c r="DH68" i="7" s="1"/>
  <c r="CF68" i="7"/>
  <c r="CN68" i="7" s="1"/>
  <c r="CE68" i="7"/>
  <c r="CM68" i="7" s="1"/>
  <c r="CD68" i="7"/>
  <c r="CL68" i="7" s="1"/>
  <c r="CC68" i="7"/>
  <c r="CK68" i="7" s="1"/>
  <c r="CB68" i="7"/>
  <c r="CJ68" i="7" s="1"/>
  <c r="CA68" i="7"/>
  <c r="CI68" i="7" s="1"/>
  <c r="BZ68" i="7"/>
  <c r="CH68" i="7" s="1"/>
  <c r="BY68" i="7"/>
  <c r="CP68" i="7" s="1"/>
  <c r="BV68" i="7"/>
  <c r="BT68" i="7"/>
  <c r="BS68" i="7"/>
  <c r="BR68" i="7"/>
  <c r="BQ68" i="7"/>
  <c r="BP68" i="7"/>
  <c r="BO68" i="7"/>
  <c r="BN68" i="7"/>
  <c r="BM68" i="7"/>
  <c r="BU68" i="7" s="1"/>
  <c r="BD68" i="7"/>
  <c r="BB68" i="7"/>
  <c r="BA68" i="7"/>
  <c r="AZ68" i="7"/>
  <c r="AY68" i="7"/>
  <c r="AX68" i="7"/>
  <c r="AW68" i="7"/>
  <c r="AV68" i="7"/>
  <c r="AU68" i="7"/>
  <c r="BC68" i="7" s="1"/>
  <c r="AL68" i="7"/>
  <c r="AJ68" i="7"/>
  <c r="AI68" i="7"/>
  <c r="AH68" i="7"/>
  <c r="AG68" i="7"/>
  <c r="AF68" i="7"/>
  <c r="AE68" i="7"/>
  <c r="AD68" i="7"/>
  <c r="AC68" i="7"/>
  <c r="AK68" i="7" s="1"/>
  <c r="T68" i="7"/>
  <c r="R68" i="7"/>
  <c r="Q68" i="7"/>
  <c r="P68" i="7"/>
  <c r="O68" i="7"/>
  <c r="N68" i="7"/>
  <c r="M68" i="7"/>
  <c r="L68" i="7"/>
  <c r="K68" i="7"/>
  <c r="S68" i="7" s="1"/>
  <c r="CX67" i="7"/>
  <c r="CX71" i="7" s="1"/>
  <c r="CW67" i="7"/>
  <c r="CW71" i="7" s="1"/>
  <c r="CV67" i="7"/>
  <c r="CV71" i="7" s="1"/>
  <c r="CU67" i="7"/>
  <c r="CU71" i="7" s="1"/>
  <c r="CT67" i="7"/>
  <c r="CT71" i="7" s="1"/>
  <c r="CS67" i="7"/>
  <c r="CS71" i="7" s="1"/>
  <c r="CR67" i="7"/>
  <c r="CR71" i="7" s="1"/>
  <c r="CQ67" i="7"/>
  <c r="DH67" i="7" s="1"/>
  <c r="CF67" i="7"/>
  <c r="CF71" i="7" s="1"/>
  <c r="CE67" i="7"/>
  <c r="CE71" i="7" s="1"/>
  <c r="CD67" i="7"/>
  <c r="CD71" i="7" s="1"/>
  <c r="CC67" i="7"/>
  <c r="CC71" i="7" s="1"/>
  <c r="CB67" i="7"/>
  <c r="CB71" i="7" s="1"/>
  <c r="CA67" i="7"/>
  <c r="CA71" i="7" s="1"/>
  <c r="BZ67" i="7"/>
  <c r="BZ71" i="7" s="1"/>
  <c r="BY67" i="7"/>
  <c r="CP67" i="7" s="1"/>
  <c r="BV67" i="7"/>
  <c r="BT67" i="7"/>
  <c r="BT71" i="7" s="1"/>
  <c r="BS67" i="7"/>
  <c r="BS71" i="7" s="1"/>
  <c r="BR67" i="7"/>
  <c r="BR71" i="7" s="1"/>
  <c r="BQ67" i="7"/>
  <c r="BQ71" i="7" s="1"/>
  <c r="BP67" i="7"/>
  <c r="BP71" i="7" s="1"/>
  <c r="BO67" i="7"/>
  <c r="BO71" i="7" s="1"/>
  <c r="BN67" i="7"/>
  <c r="BN71" i="7" s="1"/>
  <c r="BM67" i="7"/>
  <c r="BM71" i="7" s="1"/>
  <c r="BD67" i="7"/>
  <c r="BB67" i="7"/>
  <c r="BB71" i="7" s="1"/>
  <c r="BA67" i="7"/>
  <c r="BA71" i="7" s="1"/>
  <c r="AZ67" i="7"/>
  <c r="AZ71" i="7" s="1"/>
  <c r="AY67" i="7"/>
  <c r="AY71" i="7" s="1"/>
  <c r="AX67" i="7"/>
  <c r="AX71" i="7" s="1"/>
  <c r="AW67" i="7"/>
  <c r="AW71" i="7" s="1"/>
  <c r="AV67" i="7"/>
  <c r="AV71" i="7" s="1"/>
  <c r="AU67" i="7"/>
  <c r="AU71" i="7" s="1"/>
  <c r="BC71" i="7" s="1"/>
  <c r="AL67" i="7"/>
  <c r="AJ67" i="7"/>
  <c r="AJ71" i="7" s="1"/>
  <c r="AI67" i="7"/>
  <c r="AI71" i="7" s="1"/>
  <c r="AH67" i="7"/>
  <c r="AH71" i="7" s="1"/>
  <c r="AG67" i="7"/>
  <c r="AG71" i="7" s="1"/>
  <c r="AF67" i="7"/>
  <c r="AF71" i="7" s="1"/>
  <c r="AE67" i="7"/>
  <c r="AE71" i="7" s="1"/>
  <c r="AD67" i="7"/>
  <c r="AD71" i="7" s="1"/>
  <c r="AC67" i="7"/>
  <c r="AC71" i="7" s="1"/>
  <c r="T67" i="7"/>
  <c r="R67" i="7"/>
  <c r="R71" i="7" s="1"/>
  <c r="Q67" i="7"/>
  <c r="Q71" i="7" s="1"/>
  <c r="P67" i="7"/>
  <c r="P71" i="7" s="1"/>
  <c r="O67" i="7"/>
  <c r="O71" i="7" s="1"/>
  <c r="N67" i="7"/>
  <c r="N71" i="7" s="1"/>
  <c r="M67" i="7"/>
  <c r="M71" i="7" s="1"/>
  <c r="L67" i="7"/>
  <c r="L71" i="7" s="1"/>
  <c r="K67" i="7"/>
  <c r="K71" i="7" s="1"/>
  <c r="S71" i="7" s="1"/>
  <c r="BL66" i="7"/>
  <c r="BK66" i="7"/>
  <c r="BJ66" i="7"/>
  <c r="BI66" i="7"/>
  <c r="BH66" i="7"/>
  <c r="BG66" i="7"/>
  <c r="BF66" i="7"/>
  <c r="BE66" i="7"/>
  <c r="BV66" i="7" s="1"/>
  <c r="AT66" i="7"/>
  <c r="AS66" i="7"/>
  <c r="AR66" i="7"/>
  <c r="AQ66" i="7"/>
  <c r="AP66" i="7"/>
  <c r="AO66" i="7"/>
  <c r="AN66" i="7"/>
  <c r="AM66" i="7"/>
  <c r="BD66" i="7" s="1"/>
  <c r="AB66" i="7"/>
  <c r="AA66" i="7"/>
  <c r="Z66" i="7"/>
  <c r="Y66" i="7"/>
  <c r="X66" i="7"/>
  <c r="W66" i="7"/>
  <c r="V66" i="7"/>
  <c r="U66" i="7"/>
  <c r="AL66" i="7" s="1"/>
  <c r="J66" i="7"/>
  <c r="I66" i="7"/>
  <c r="H66" i="7"/>
  <c r="G66" i="7"/>
  <c r="F66" i="7"/>
  <c r="E66" i="7"/>
  <c r="D66" i="7"/>
  <c r="C66" i="7"/>
  <c r="T66" i="7" s="1"/>
  <c r="CX65" i="7"/>
  <c r="DF65" i="7" s="1"/>
  <c r="CW65" i="7"/>
  <c r="DE65" i="7" s="1"/>
  <c r="CV65" i="7"/>
  <c r="DD65" i="7" s="1"/>
  <c r="CU65" i="7"/>
  <c r="DC65" i="7" s="1"/>
  <c r="CT65" i="7"/>
  <c r="DB65" i="7" s="1"/>
  <c r="CS65" i="7"/>
  <c r="DA65" i="7" s="1"/>
  <c r="CR65" i="7"/>
  <c r="CZ65" i="7" s="1"/>
  <c r="CQ65" i="7"/>
  <c r="DH65" i="7" s="1"/>
  <c r="CF65" i="7"/>
  <c r="CN65" i="7" s="1"/>
  <c r="CE65" i="7"/>
  <c r="CM65" i="7" s="1"/>
  <c r="CD65" i="7"/>
  <c r="CL65" i="7" s="1"/>
  <c r="CC65" i="7"/>
  <c r="CK65" i="7" s="1"/>
  <c r="CB65" i="7"/>
  <c r="CJ65" i="7" s="1"/>
  <c r="CA65" i="7"/>
  <c r="CI65" i="7" s="1"/>
  <c r="BZ65" i="7"/>
  <c r="CH65" i="7" s="1"/>
  <c r="BY65" i="7"/>
  <c r="CP65" i="7" s="1"/>
  <c r="BV65" i="7"/>
  <c r="BT65" i="7"/>
  <c r="BS65" i="7"/>
  <c r="BR65" i="7"/>
  <c r="BQ65" i="7"/>
  <c r="BP65" i="7"/>
  <c r="BO65" i="7"/>
  <c r="BN65" i="7"/>
  <c r="BM65" i="7"/>
  <c r="BU65" i="7" s="1"/>
  <c r="BD65" i="7"/>
  <c r="BB65" i="7"/>
  <c r="BA65" i="7"/>
  <c r="AZ65" i="7"/>
  <c r="AY65" i="7"/>
  <c r="AX65" i="7"/>
  <c r="AW65" i="7"/>
  <c r="AV65" i="7"/>
  <c r="AU65" i="7"/>
  <c r="BC65" i="7" s="1"/>
  <c r="AL65" i="7"/>
  <c r="AJ65" i="7"/>
  <c r="AI65" i="7"/>
  <c r="AH65" i="7"/>
  <c r="AG65" i="7"/>
  <c r="AF65" i="7"/>
  <c r="AE65" i="7"/>
  <c r="AD65" i="7"/>
  <c r="AC65" i="7"/>
  <c r="AK65" i="7" s="1"/>
  <c r="T65" i="7"/>
  <c r="R65" i="7"/>
  <c r="Q65" i="7"/>
  <c r="P65" i="7"/>
  <c r="O65" i="7"/>
  <c r="N65" i="7"/>
  <c r="M65" i="7"/>
  <c r="L65" i="7"/>
  <c r="K65" i="7"/>
  <c r="S65" i="7" s="1"/>
  <c r="CX64" i="7"/>
  <c r="DF64" i="7" s="1"/>
  <c r="CW64" i="7"/>
  <c r="DE64" i="7" s="1"/>
  <c r="CV64" i="7"/>
  <c r="DD64" i="7" s="1"/>
  <c r="CU64" i="7"/>
  <c r="DC64" i="7" s="1"/>
  <c r="CT64" i="7"/>
  <c r="DB64" i="7" s="1"/>
  <c r="CS64" i="7"/>
  <c r="DA64" i="7" s="1"/>
  <c r="CR64" i="7"/>
  <c r="CZ64" i="7" s="1"/>
  <c r="CQ64" i="7"/>
  <c r="DH64" i="7" s="1"/>
  <c r="CF64" i="7"/>
  <c r="CN64" i="7" s="1"/>
  <c r="CE64" i="7"/>
  <c r="CM64" i="7" s="1"/>
  <c r="CD64" i="7"/>
  <c r="CL64" i="7" s="1"/>
  <c r="CC64" i="7"/>
  <c r="CK64" i="7" s="1"/>
  <c r="CB64" i="7"/>
  <c r="CJ64" i="7" s="1"/>
  <c r="CA64" i="7"/>
  <c r="CI64" i="7" s="1"/>
  <c r="BZ64" i="7"/>
  <c r="CH64" i="7" s="1"/>
  <c r="BY64" i="7"/>
  <c r="CP64" i="7" s="1"/>
  <c r="BV64" i="7"/>
  <c r="BT64" i="7"/>
  <c r="BS64" i="7"/>
  <c r="BR64" i="7"/>
  <c r="BQ64" i="7"/>
  <c r="BP64" i="7"/>
  <c r="BO64" i="7"/>
  <c r="BN64" i="7"/>
  <c r="BM64" i="7"/>
  <c r="BU64" i="7" s="1"/>
  <c r="BD64" i="7"/>
  <c r="BB64" i="7"/>
  <c r="BA64" i="7"/>
  <c r="AZ64" i="7"/>
  <c r="AY64" i="7"/>
  <c r="AX64" i="7"/>
  <c r="AW64" i="7"/>
  <c r="AV64" i="7"/>
  <c r="AU64" i="7"/>
  <c r="BC64" i="7" s="1"/>
  <c r="AL64" i="7"/>
  <c r="AJ64" i="7"/>
  <c r="AI64" i="7"/>
  <c r="AH64" i="7"/>
  <c r="AG64" i="7"/>
  <c r="AF64" i="7"/>
  <c r="AE64" i="7"/>
  <c r="AD64" i="7"/>
  <c r="AC64" i="7"/>
  <c r="AK64" i="7" s="1"/>
  <c r="T64" i="7"/>
  <c r="R64" i="7"/>
  <c r="Q64" i="7"/>
  <c r="P64" i="7"/>
  <c r="O64" i="7"/>
  <c r="N64" i="7"/>
  <c r="M64" i="7"/>
  <c r="L64" i="7"/>
  <c r="K64" i="7"/>
  <c r="S64" i="7" s="1"/>
  <c r="CX63" i="7"/>
  <c r="DF63" i="7" s="1"/>
  <c r="CW63" i="7"/>
  <c r="DE63" i="7" s="1"/>
  <c r="CV63" i="7"/>
  <c r="DD63" i="7" s="1"/>
  <c r="CU63" i="7"/>
  <c r="DC63" i="7" s="1"/>
  <c r="CT63" i="7"/>
  <c r="DB63" i="7" s="1"/>
  <c r="CS63" i="7"/>
  <c r="DA63" i="7" s="1"/>
  <c r="CR63" i="7"/>
  <c r="CZ63" i="7" s="1"/>
  <c r="CQ63" i="7"/>
  <c r="DH63" i="7" s="1"/>
  <c r="CF63" i="7"/>
  <c r="CN63" i="7" s="1"/>
  <c r="CE63" i="7"/>
  <c r="CM63" i="7" s="1"/>
  <c r="CD63" i="7"/>
  <c r="CL63" i="7" s="1"/>
  <c r="CC63" i="7"/>
  <c r="CK63" i="7" s="1"/>
  <c r="CB63" i="7"/>
  <c r="CJ63" i="7" s="1"/>
  <c r="CA63" i="7"/>
  <c r="CI63" i="7" s="1"/>
  <c r="BZ63" i="7"/>
  <c r="CH63" i="7" s="1"/>
  <c r="BY63" i="7"/>
  <c r="CP63" i="7" s="1"/>
  <c r="BV63" i="7"/>
  <c r="BT63" i="7"/>
  <c r="BS63" i="7"/>
  <c r="BR63" i="7"/>
  <c r="BQ63" i="7"/>
  <c r="BP63" i="7"/>
  <c r="BO63" i="7"/>
  <c r="BN63" i="7"/>
  <c r="BM63" i="7"/>
  <c r="BU63" i="7" s="1"/>
  <c r="BD63" i="7"/>
  <c r="BB63" i="7"/>
  <c r="BA63" i="7"/>
  <c r="AZ63" i="7"/>
  <c r="AY63" i="7"/>
  <c r="AX63" i="7"/>
  <c r="AW63" i="7"/>
  <c r="AV63" i="7"/>
  <c r="AU63" i="7"/>
  <c r="BC63" i="7" s="1"/>
  <c r="AL63" i="7"/>
  <c r="AJ63" i="7"/>
  <c r="AI63" i="7"/>
  <c r="AH63" i="7"/>
  <c r="AG63" i="7"/>
  <c r="AF63" i="7"/>
  <c r="AE63" i="7"/>
  <c r="AD63" i="7"/>
  <c r="AC63" i="7"/>
  <c r="AK63" i="7" s="1"/>
  <c r="T63" i="7"/>
  <c r="R63" i="7"/>
  <c r="Q63" i="7"/>
  <c r="P63" i="7"/>
  <c r="O63" i="7"/>
  <c r="N63" i="7"/>
  <c r="M63" i="7"/>
  <c r="L63" i="7"/>
  <c r="K63" i="7"/>
  <c r="S63" i="7" s="1"/>
  <c r="CX62" i="7"/>
  <c r="CX66" i="7" s="1"/>
  <c r="CW62" i="7"/>
  <c r="CW66" i="7" s="1"/>
  <c r="CV62" i="7"/>
  <c r="CV66" i="7" s="1"/>
  <c r="CU62" i="7"/>
  <c r="CU66" i="7" s="1"/>
  <c r="CT62" i="7"/>
  <c r="CT66" i="7" s="1"/>
  <c r="CS62" i="7"/>
  <c r="CS66" i="7" s="1"/>
  <c r="CR62" i="7"/>
  <c r="CR66" i="7" s="1"/>
  <c r="CQ62" i="7"/>
  <c r="DH62" i="7" s="1"/>
  <c r="CF62" i="7"/>
  <c r="CF66" i="7" s="1"/>
  <c r="CE62" i="7"/>
  <c r="CE66" i="7" s="1"/>
  <c r="CD62" i="7"/>
  <c r="CD66" i="7" s="1"/>
  <c r="CC62" i="7"/>
  <c r="CC66" i="7" s="1"/>
  <c r="CB62" i="7"/>
  <c r="CB66" i="7" s="1"/>
  <c r="CA62" i="7"/>
  <c r="CA66" i="7" s="1"/>
  <c r="BZ62" i="7"/>
  <c r="BZ66" i="7" s="1"/>
  <c r="BY62" i="7"/>
  <c r="CP62" i="7" s="1"/>
  <c r="BV62" i="7"/>
  <c r="BT62" i="7"/>
  <c r="BT66" i="7" s="1"/>
  <c r="BS62" i="7"/>
  <c r="BS66" i="7" s="1"/>
  <c r="BR62" i="7"/>
  <c r="BR66" i="7" s="1"/>
  <c r="BQ62" i="7"/>
  <c r="BQ66" i="7" s="1"/>
  <c r="BP62" i="7"/>
  <c r="BP66" i="7" s="1"/>
  <c r="BO62" i="7"/>
  <c r="BO66" i="7" s="1"/>
  <c r="BN62" i="7"/>
  <c r="BN66" i="7" s="1"/>
  <c r="BM62" i="7"/>
  <c r="BM66" i="7" s="1"/>
  <c r="BD62" i="7"/>
  <c r="BB62" i="7"/>
  <c r="BB66" i="7" s="1"/>
  <c r="BA62" i="7"/>
  <c r="BA66" i="7" s="1"/>
  <c r="AZ62" i="7"/>
  <c r="AZ66" i="7" s="1"/>
  <c r="AY62" i="7"/>
  <c r="AY66" i="7" s="1"/>
  <c r="AX62" i="7"/>
  <c r="AX66" i="7" s="1"/>
  <c r="AW62" i="7"/>
  <c r="AW66" i="7" s="1"/>
  <c r="AV62" i="7"/>
  <c r="AV66" i="7" s="1"/>
  <c r="AU62" i="7"/>
  <c r="AU66" i="7" s="1"/>
  <c r="BC66" i="7" s="1"/>
  <c r="AL62" i="7"/>
  <c r="AJ62" i="7"/>
  <c r="AJ66" i="7" s="1"/>
  <c r="AI62" i="7"/>
  <c r="AI66" i="7" s="1"/>
  <c r="AH62" i="7"/>
  <c r="AH66" i="7" s="1"/>
  <c r="AG62" i="7"/>
  <c r="AG66" i="7" s="1"/>
  <c r="AF62" i="7"/>
  <c r="AF66" i="7" s="1"/>
  <c r="AE62" i="7"/>
  <c r="AE66" i="7" s="1"/>
  <c r="AD62" i="7"/>
  <c r="AD66" i="7" s="1"/>
  <c r="AC62" i="7"/>
  <c r="AC66" i="7" s="1"/>
  <c r="T62" i="7"/>
  <c r="R62" i="7"/>
  <c r="R66" i="7" s="1"/>
  <c r="Q62" i="7"/>
  <c r="Q66" i="7" s="1"/>
  <c r="P62" i="7"/>
  <c r="P66" i="7" s="1"/>
  <c r="O62" i="7"/>
  <c r="O66" i="7" s="1"/>
  <c r="N62" i="7"/>
  <c r="N66" i="7" s="1"/>
  <c r="M62" i="7"/>
  <c r="M66" i="7" s="1"/>
  <c r="L62" i="7"/>
  <c r="L66" i="7" s="1"/>
  <c r="K62" i="7"/>
  <c r="K66" i="7" s="1"/>
  <c r="S66" i="7" s="1"/>
  <c r="BL61" i="7"/>
  <c r="BK61" i="7"/>
  <c r="BJ61" i="7"/>
  <c r="BI61" i="7"/>
  <c r="BH61" i="7"/>
  <c r="BG61" i="7"/>
  <c r="BF61" i="7"/>
  <c r="BE61" i="7"/>
  <c r="BV61" i="7" s="1"/>
  <c r="AT61" i="7"/>
  <c r="AS61" i="7"/>
  <c r="AR61" i="7"/>
  <c r="AQ61" i="7"/>
  <c r="AP61" i="7"/>
  <c r="AO61" i="7"/>
  <c r="AN61" i="7"/>
  <c r="AM61" i="7"/>
  <c r="BD61" i="7" s="1"/>
  <c r="AB61" i="7"/>
  <c r="AA61" i="7"/>
  <c r="Z61" i="7"/>
  <c r="Y61" i="7"/>
  <c r="X61" i="7"/>
  <c r="W61" i="7"/>
  <c r="V61" i="7"/>
  <c r="U61" i="7"/>
  <c r="AL61" i="7" s="1"/>
  <c r="J61" i="7"/>
  <c r="I61" i="7"/>
  <c r="H61" i="7"/>
  <c r="G61" i="7"/>
  <c r="F61" i="7"/>
  <c r="E61" i="7"/>
  <c r="D61" i="7"/>
  <c r="C61" i="7"/>
  <c r="T61" i="7" s="1"/>
  <c r="CX60" i="7"/>
  <c r="DF60" i="7" s="1"/>
  <c r="CW60" i="7"/>
  <c r="DE60" i="7" s="1"/>
  <c r="CV60" i="7"/>
  <c r="DD60" i="7" s="1"/>
  <c r="CU60" i="7"/>
  <c r="DC60" i="7" s="1"/>
  <c r="CT60" i="7"/>
  <c r="DB60" i="7" s="1"/>
  <c r="CS60" i="7"/>
  <c r="DA60" i="7" s="1"/>
  <c r="CR60" i="7"/>
  <c r="CZ60" i="7" s="1"/>
  <c r="CQ60" i="7"/>
  <c r="DH60" i="7" s="1"/>
  <c r="CF60" i="7"/>
  <c r="CN60" i="7" s="1"/>
  <c r="CE60" i="7"/>
  <c r="CM60" i="7" s="1"/>
  <c r="CD60" i="7"/>
  <c r="CL60" i="7" s="1"/>
  <c r="CC60" i="7"/>
  <c r="CK60" i="7" s="1"/>
  <c r="CB60" i="7"/>
  <c r="CJ60" i="7" s="1"/>
  <c r="CA60" i="7"/>
  <c r="CI60" i="7" s="1"/>
  <c r="BZ60" i="7"/>
  <c r="CH60" i="7" s="1"/>
  <c r="BY60" i="7"/>
  <c r="CP60" i="7" s="1"/>
  <c r="BV60" i="7"/>
  <c r="BT60" i="7"/>
  <c r="BS60" i="7"/>
  <c r="BR60" i="7"/>
  <c r="BQ60" i="7"/>
  <c r="BP60" i="7"/>
  <c r="BO60" i="7"/>
  <c r="BN60" i="7"/>
  <c r="BM60" i="7"/>
  <c r="BU60" i="7" s="1"/>
  <c r="BD60" i="7"/>
  <c r="BB60" i="7"/>
  <c r="BA60" i="7"/>
  <c r="AZ60" i="7"/>
  <c r="AY60" i="7"/>
  <c r="AX60" i="7"/>
  <c r="AW60" i="7"/>
  <c r="AV60" i="7"/>
  <c r="AU60" i="7"/>
  <c r="BC60" i="7" s="1"/>
  <c r="AL60" i="7"/>
  <c r="AJ60" i="7"/>
  <c r="AI60" i="7"/>
  <c r="AH60" i="7"/>
  <c r="AG60" i="7"/>
  <c r="AF60" i="7"/>
  <c r="AE60" i="7"/>
  <c r="AD60" i="7"/>
  <c r="AC60" i="7"/>
  <c r="AK60" i="7" s="1"/>
  <c r="T60" i="7"/>
  <c r="R60" i="7"/>
  <c r="Q60" i="7"/>
  <c r="P60" i="7"/>
  <c r="O60" i="7"/>
  <c r="N60" i="7"/>
  <c r="M60" i="7"/>
  <c r="L60" i="7"/>
  <c r="K60" i="7"/>
  <c r="S60" i="7" s="1"/>
  <c r="CX59" i="7"/>
  <c r="DF59" i="7" s="1"/>
  <c r="CW59" i="7"/>
  <c r="DE59" i="7" s="1"/>
  <c r="CV59" i="7"/>
  <c r="DD59" i="7" s="1"/>
  <c r="CU59" i="7"/>
  <c r="DC59" i="7" s="1"/>
  <c r="CT59" i="7"/>
  <c r="DB59" i="7" s="1"/>
  <c r="CS59" i="7"/>
  <c r="DA59" i="7" s="1"/>
  <c r="CR59" i="7"/>
  <c r="CZ59" i="7" s="1"/>
  <c r="CQ59" i="7"/>
  <c r="DH59" i="7" s="1"/>
  <c r="CF59" i="7"/>
  <c r="CN59" i="7" s="1"/>
  <c r="CE59" i="7"/>
  <c r="CM59" i="7" s="1"/>
  <c r="CD59" i="7"/>
  <c r="CL59" i="7" s="1"/>
  <c r="CC59" i="7"/>
  <c r="CK59" i="7" s="1"/>
  <c r="CB59" i="7"/>
  <c r="CJ59" i="7" s="1"/>
  <c r="CA59" i="7"/>
  <c r="CI59" i="7" s="1"/>
  <c r="BZ59" i="7"/>
  <c r="CH59" i="7" s="1"/>
  <c r="BY59" i="7"/>
  <c r="CP59" i="7" s="1"/>
  <c r="BV59" i="7"/>
  <c r="BT59" i="7"/>
  <c r="BS59" i="7"/>
  <c r="BR59" i="7"/>
  <c r="BQ59" i="7"/>
  <c r="BP59" i="7"/>
  <c r="BO59" i="7"/>
  <c r="BN59" i="7"/>
  <c r="BM59" i="7"/>
  <c r="BU59" i="7" s="1"/>
  <c r="BD59" i="7"/>
  <c r="BB59" i="7"/>
  <c r="BA59" i="7"/>
  <c r="AZ59" i="7"/>
  <c r="AY59" i="7"/>
  <c r="AX59" i="7"/>
  <c r="AW59" i="7"/>
  <c r="AV59" i="7"/>
  <c r="AU59" i="7"/>
  <c r="BC59" i="7" s="1"/>
  <c r="AL59" i="7"/>
  <c r="AJ59" i="7"/>
  <c r="AI59" i="7"/>
  <c r="AH59" i="7"/>
  <c r="AG59" i="7"/>
  <c r="AF59" i="7"/>
  <c r="AE59" i="7"/>
  <c r="AD59" i="7"/>
  <c r="AC59" i="7"/>
  <c r="AK59" i="7" s="1"/>
  <c r="T59" i="7"/>
  <c r="R59" i="7"/>
  <c r="Q59" i="7"/>
  <c r="P59" i="7"/>
  <c r="O59" i="7"/>
  <c r="N59" i="7"/>
  <c r="M59" i="7"/>
  <c r="L59" i="7"/>
  <c r="K59" i="7"/>
  <c r="S59" i="7" s="1"/>
  <c r="CX58" i="7"/>
  <c r="DF58" i="7" s="1"/>
  <c r="CW58" i="7"/>
  <c r="DE58" i="7" s="1"/>
  <c r="CV58" i="7"/>
  <c r="DD58" i="7" s="1"/>
  <c r="CU58" i="7"/>
  <c r="DC58" i="7" s="1"/>
  <c r="CT58" i="7"/>
  <c r="DB58" i="7" s="1"/>
  <c r="CS58" i="7"/>
  <c r="DA58" i="7" s="1"/>
  <c r="CR58" i="7"/>
  <c r="CZ58" i="7" s="1"/>
  <c r="CQ58" i="7"/>
  <c r="DH58" i="7" s="1"/>
  <c r="CF58" i="7"/>
  <c r="CN58" i="7" s="1"/>
  <c r="CE58" i="7"/>
  <c r="CM58" i="7" s="1"/>
  <c r="CD58" i="7"/>
  <c r="CL58" i="7" s="1"/>
  <c r="CC58" i="7"/>
  <c r="CK58" i="7" s="1"/>
  <c r="CB58" i="7"/>
  <c r="CJ58" i="7" s="1"/>
  <c r="CA58" i="7"/>
  <c r="CI58" i="7" s="1"/>
  <c r="BZ58" i="7"/>
  <c r="CH58" i="7" s="1"/>
  <c r="BY58" i="7"/>
  <c r="CP58" i="7" s="1"/>
  <c r="BV58" i="7"/>
  <c r="BT58" i="7"/>
  <c r="BS58" i="7"/>
  <c r="BR58" i="7"/>
  <c r="BQ58" i="7"/>
  <c r="BP58" i="7"/>
  <c r="BO58" i="7"/>
  <c r="BN58" i="7"/>
  <c r="BM58" i="7"/>
  <c r="BU58" i="7" s="1"/>
  <c r="BD58" i="7"/>
  <c r="BB58" i="7"/>
  <c r="BA58" i="7"/>
  <c r="AZ58" i="7"/>
  <c r="AY58" i="7"/>
  <c r="AX58" i="7"/>
  <c r="AW58" i="7"/>
  <c r="AV58" i="7"/>
  <c r="AU58" i="7"/>
  <c r="BC58" i="7" s="1"/>
  <c r="AL58" i="7"/>
  <c r="AJ58" i="7"/>
  <c r="AI58" i="7"/>
  <c r="AH58" i="7"/>
  <c r="AG58" i="7"/>
  <c r="AF58" i="7"/>
  <c r="AE58" i="7"/>
  <c r="AD58" i="7"/>
  <c r="AC58" i="7"/>
  <c r="AK58" i="7" s="1"/>
  <c r="T58" i="7"/>
  <c r="R58" i="7"/>
  <c r="Q58" i="7"/>
  <c r="P58" i="7"/>
  <c r="O58" i="7"/>
  <c r="N58" i="7"/>
  <c r="M58" i="7"/>
  <c r="L58" i="7"/>
  <c r="K58" i="7"/>
  <c r="S58" i="7" s="1"/>
  <c r="CX57" i="7"/>
  <c r="CX61" i="7" s="1"/>
  <c r="CW57" i="7"/>
  <c r="CW61" i="7" s="1"/>
  <c r="CV57" i="7"/>
  <c r="CV61" i="7" s="1"/>
  <c r="CU57" i="7"/>
  <c r="CU61" i="7" s="1"/>
  <c r="CT57" i="7"/>
  <c r="CT61" i="7" s="1"/>
  <c r="CS57" i="7"/>
  <c r="CS61" i="7" s="1"/>
  <c r="CR57" i="7"/>
  <c r="CR61" i="7" s="1"/>
  <c r="CQ57" i="7"/>
  <c r="DH57" i="7" s="1"/>
  <c r="CF57" i="7"/>
  <c r="CF61" i="7" s="1"/>
  <c r="CE57" i="7"/>
  <c r="CE61" i="7" s="1"/>
  <c r="CD57" i="7"/>
  <c r="CD61" i="7" s="1"/>
  <c r="CC57" i="7"/>
  <c r="CC61" i="7" s="1"/>
  <c r="CB57" i="7"/>
  <c r="CB61" i="7" s="1"/>
  <c r="CA57" i="7"/>
  <c r="CA61" i="7" s="1"/>
  <c r="BZ57" i="7"/>
  <c r="BZ61" i="7" s="1"/>
  <c r="BY57" i="7"/>
  <c r="CP57" i="7" s="1"/>
  <c r="BV57" i="7"/>
  <c r="BT57" i="7"/>
  <c r="BT61" i="7" s="1"/>
  <c r="BS57" i="7"/>
  <c r="BS61" i="7" s="1"/>
  <c r="BR57" i="7"/>
  <c r="BR61" i="7" s="1"/>
  <c r="BQ57" i="7"/>
  <c r="BQ61" i="7" s="1"/>
  <c r="BP57" i="7"/>
  <c r="BP61" i="7" s="1"/>
  <c r="BO57" i="7"/>
  <c r="BO61" i="7" s="1"/>
  <c r="BN57" i="7"/>
  <c r="BN61" i="7" s="1"/>
  <c r="BM57" i="7"/>
  <c r="BM61" i="7" s="1"/>
  <c r="BD57" i="7"/>
  <c r="BB57" i="7"/>
  <c r="BB61" i="7" s="1"/>
  <c r="BA57" i="7"/>
  <c r="BA61" i="7" s="1"/>
  <c r="AZ57" i="7"/>
  <c r="AZ61" i="7" s="1"/>
  <c r="AY57" i="7"/>
  <c r="AY61" i="7" s="1"/>
  <c r="AX57" i="7"/>
  <c r="AX61" i="7" s="1"/>
  <c r="AW57" i="7"/>
  <c r="AW61" i="7" s="1"/>
  <c r="AV57" i="7"/>
  <c r="AV61" i="7" s="1"/>
  <c r="AU57" i="7"/>
  <c r="AU61" i="7" s="1"/>
  <c r="BC61" i="7" s="1"/>
  <c r="AL57" i="7"/>
  <c r="AJ57" i="7"/>
  <c r="AJ61" i="7" s="1"/>
  <c r="AI57" i="7"/>
  <c r="AI61" i="7" s="1"/>
  <c r="AH57" i="7"/>
  <c r="AH61" i="7" s="1"/>
  <c r="AG57" i="7"/>
  <c r="AG61" i="7" s="1"/>
  <c r="AF57" i="7"/>
  <c r="AF61" i="7" s="1"/>
  <c r="AE57" i="7"/>
  <c r="AE61" i="7" s="1"/>
  <c r="AD57" i="7"/>
  <c r="AD61" i="7" s="1"/>
  <c r="AC57" i="7"/>
  <c r="AC61" i="7" s="1"/>
  <c r="T57" i="7"/>
  <c r="R57" i="7"/>
  <c r="R61" i="7" s="1"/>
  <c r="Q57" i="7"/>
  <c r="Q61" i="7" s="1"/>
  <c r="P57" i="7"/>
  <c r="P61" i="7" s="1"/>
  <c r="O57" i="7"/>
  <c r="O61" i="7" s="1"/>
  <c r="N57" i="7"/>
  <c r="N61" i="7" s="1"/>
  <c r="M57" i="7"/>
  <c r="M61" i="7" s="1"/>
  <c r="L57" i="7"/>
  <c r="L61" i="7" s="1"/>
  <c r="K57" i="7"/>
  <c r="K61" i="7" s="1"/>
  <c r="S61" i="7" s="1"/>
  <c r="BL56" i="7"/>
  <c r="BK56" i="7"/>
  <c r="BJ56" i="7"/>
  <c r="BI56" i="7"/>
  <c r="BH56" i="7"/>
  <c r="BG56" i="7"/>
  <c r="BF56" i="7"/>
  <c r="BE56" i="7"/>
  <c r="BV56" i="7" s="1"/>
  <c r="AT56" i="7"/>
  <c r="AS56" i="7"/>
  <c r="AR56" i="7"/>
  <c r="AQ56" i="7"/>
  <c r="AP56" i="7"/>
  <c r="AO56" i="7"/>
  <c r="AN56" i="7"/>
  <c r="AM56" i="7"/>
  <c r="BD56" i="7" s="1"/>
  <c r="AB56" i="7"/>
  <c r="AA56" i="7"/>
  <c r="Z56" i="7"/>
  <c r="Y56" i="7"/>
  <c r="X56" i="7"/>
  <c r="W56" i="7"/>
  <c r="V56" i="7"/>
  <c r="U56" i="7"/>
  <c r="AL56" i="7" s="1"/>
  <c r="J56" i="7"/>
  <c r="I56" i="7"/>
  <c r="H56" i="7"/>
  <c r="G56" i="7"/>
  <c r="F56" i="7"/>
  <c r="E56" i="7"/>
  <c r="D56" i="7"/>
  <c r="C56" i="7"/>
  <c r="T56" i="7" s="1"/>
  <c r="CX55" i="7"/>
  <c r="DF55" i="7" s="1"/>
  <c r="CW55" i="7"/>
  <c r="DE55" i="7" s="1"/>
  <c r="CV55" i="7"/>
  <c r="DD55" i="7" s="1"/>
  <c r="CU55" i="7"/>
  <c r="DC55" i="7" s="1"/>
  <c r="CT55" i="7"/>
  <c r="DB55" i="7" s="1"/>
  <c r="CS55" i="7"/>
  <c r="DA55" i="7" s="1"/>
  <c r="CR55" i="7"/>
  <c r="CZ55" i="7" s="1"/>
  <c r="CQ55" i="7"/>
  <c r="DH55" i="7" s="1"/>
  <c r="CF55" i="7"/>
  <c r="CN55" i="7" s="1"/>
  <c r="CE55" i="7"/>
  <c r="CM55" i="7" s="1"/>
  <c r="CD55" i="7"/>
  <c r="CL55" i="7" s="1"/>
  <c r="CC55" i="7"/>
  <c r="CK55" i="7" s="1"/>
  <c r="CB55" i="7"/>
  <c r="CJ55" i="7" s="1"/>
  <c r="CA55" i="7"/>
  <c r="CI55" i="7" s="1"/>
  <c r="BZ55" i="7"/>
  <c r="CH55" i="7" s="1"/>
  <c r="BY55" i="7"/>
  <c r="CP55" i="7" s="1"/>
  <c r="BV55" i="7"/>
  <c r="BT55" i="7"/>
  <c r="BS55" i="7"/>
  <c r="BR55" i="7"/>
  <c r="BQ55" i="7"/>
  <c r="BP55" i="7"/>
  <c r="BO55" i="7"/>
  <c r="BN55" i="7"/>
  <c r="BM55" i="7"/>
  <c r="BU55" i="7" s="1"/>
  <c r="BD55" i="7"/>
  <c r="BB55" i="7"/>
  <c r="BA55" i="7"/>
  <c r="AZ55" i="7"/>
  <c r="AY55" i="7"/>
  <c r="AX55" i="7"/>
  <c r="AW55" i="7"/>
  <c r="AV55" i="7"/>
  <c r="AU55" i="7"/>
  <c r="BC55" i="7" s="1"/>
  <c r="AL55" i="7"/>
  <c r="AJ55" i="7"/>
  <c r="AI55" i="7"/>
  <c r="AH55" i="7"/>
  <c r="AG55" i="7"/>
  <c r="AF55" i="7"/>
  <c r="AE55" i="7"/>
  <c r="AD55" i="7"/>
  <c r="AC55" i="7"/>
  <c r="AK55" i="7" s="1"/>
  <c r="T55" i="7"/>
  <c r="R55" i="7"/>
  <c r="Q55" i="7"/>
  <c r="P55" i="7"/>
  <c r="O55" i="7"/>
  <c r="N55" i="7"/>
  <c r="M55" i="7"/>
  <c r="L55" i="7"/>
  <c r="K55" i="7"/>
  <c r="S55" i="7" s="1"/>
  <c r="CX54" i="7"/>
  <c r="DF54" i="7" s="1"/>
  <c r="CW54" i="7"/>
  <c r="DE54" i="7" s="1"/>
  <c r="CV54" i="7"/>
  <c r="DD54" i="7" s="1"/>
  <c r="CU54" i="7"/>
  <c r="DC54" i="7" s="1"/>
  <c r="CT54" i="7"/>
  <c r="DB54" i="7" s="1"/>
  <c r="CS54" i="7"/>
  <c r="DA54" i="7" s="1"/>
  <c r="CR54" i="7"/>
  <c r="CZ54" i="7" s="1"/>
  <c r="CQ54" i="7"/>
  <c r="DH54" i="7" s="1"/>
  <c r="CF54" i="7"/>
  <c r="CN54" i="7" s="1"/>
  <c r="CE54" i="7"/>
  <c r="CM54" i="7" s="1"/>
  <c r="CD54" i="7"/>
  <c r="CL54" i="7" s="1"/>
  <c r="CC54" i="7"/>
  <c r="CK54" i="7" s="1"/>
  <c r="CB54" i="7"/>
  <c r="CJ54" i="7" s="1"/>
  <c r="CA54" i="7"/>
  <c r="CI54" i="7" s="1"/>
  <c r="BZ54" i="7"/>
  <c r="CH54" i="7" s="1"/>
  <c r="BY54" i="7"/>
  <c r="CP54" i="7" s="1"/>
  <c r="BV54" i="7"/>
  <c r="BT54" i="7"/>
  <c r="BS54" i="7"/>
  <c r="BR54" i="7"/>
  <c r="BQ54" i="7"/>
  <c r="BP54" i="7"/>
  <c r="BO54" i="7"/>
  <c r="BN54" i="7"/>
  <c r="BM54" i="7"/>
  <c r="BU54" i="7" s="1"/>
  <c r="BD54" i="7"/>
  <c r="BB54" i="7"/>
  <c r="BA54" i="7"/>
  <c r="AZ54" i="7"/>
  <c r="AY54" i="7"/>
  <c r="AX54" i="7"/>
  <c r="AW54" i="7"/>
  <c r="AV54" i="7"/>
  <c r="AU54" i="7"/>
  <c r="BC54" i="7" s="1"/>
  <c r="AL54" i="7"/>
  <c r="AJ54" i="7"/>
  <c r="AI54" i="7"/>
  <c r="AH54" i="7"/>
  <c r="AG54" i="7"/>
  <c r="AF54" i="7"/>
  <c r="AE54" i="7"/>
  <c r="AD54" i="7"/>
  <c r="AC54" i="7"/>
  <c r="AK54" i="7" s="1"/>
  <c r="T54" i="7"/>
  <c r="R54" i="7"/>
  <c r="Q54" i="7"/>
  <c r="P54" i="7"/>
  <c r="O54" i="7"/>
  <c r="N54" i="7"/>
  <c r="M54" i="7"/>
  <c r="L54" i="7"/>
  <c r="K54" i="7"/>
  <c r="S54" i="7" s="1"/>
  <c r="CX53" i="7"/>
  <c r="DF53" i="7" s="1"/>
  <c r="CW53" i="7"/>
  <c r="DE53" i="7" s="1"/>
  <c r="CV53" i="7"/>
  <c r="DD53" i="7" s="1"/>
  <c r="CU53" i="7"/>
  <c r="DC53" i="7" s="1"/>
  <c r="CT53" i="7"/>
  <c r="DB53" i="7" s="1"/>
  <c r="CS53" i="7"/>
  <c r="DA53" i="7" s="1"/>
  <c r="CR53" i="7"/>
  <c r="CZ53" i="7" s="1"/>
  <c r="CQ53" i="7"/>
  <c r="DH53" i="7" s="1"/>
  <c r="CF53" i="7"/>
  <c r="CN53" i="7" s="1"/>
  <c r="CE53" i="7"/>
  <c r="CM53" i="7" s="1"/>
  <c r="CD53" i="7"/>
  <c r="CL53" i="7" s="1"/>
  <c r="CC53" i="7"/>
  <c r="CK53" i="7" s="1"/>
  <c r="CB53" i="7"/>
  <c r="CJ53" i="7" s="1"/>
  <c r="CA53" i="7"/>
  <c r="CI53" i="7" s="1"/>
  <c r="BZ53" i="7"/>
  <c r="CH53" i="7" s="1"/>
  <c r="BY53" i="7"/>
  <c r="CP53" i="7" s="1"/>
  <c r="BV53" i="7"/>
  <c r="BT53" i="7"/>
  <c r="BS53" i="7"/>
  <c r="BR53" i="7"/>
  <c r="BQ53" i="7"/>
  <c r="BP53" i="7"/>
  <c r="BO53" i="7"/>
  <c r="BN53" i="7"/>
  <c r="BM53" i="7"/>
  <c r="BU53" i="7" s="1"/>
  <c r="BD53" i="7"/>
  <c r="BB53" i="7"/>
  <c r="BA53" i="7"/>
  <c r="AZ53" i="7"/>
  <c r="AY53" i="7"/>
  <c r="AX53" i="7"/>
  <c r="AW53" i="7"/>
  <c r="AV53" i="7"/>
  <c r="AU53" i="7"/>
  <c r="BC53" i="7" s="1"/>
  <c r="AL53" i="7"/>
  <c r="AJ53" i="7"/>
  <c r="AI53" i="7"/>
  <c r="AH53" i="7"/>
  <c r="AG53" i="7"/>
  <c r="AF53" i="7"/>
  <c r="AE53" i="7"/>
  <c r="AD53" i="7"/>
  <c r="AC53" i="7"/>
  <c r="AK53" i="7" s="1"/>
  <c r="T53" i="7"/>
  <c r="R53" i="7"/>
  <c r="Q53" i="7"/>
  <c r="P53" i="7"/>
  <c r="O53" i="7"/>
  <c r="N53" i="7"/>
  <c r="M53" i="7"/>
  <c r="L53" i="7"/>
  <c r="K53" i="7"/>
  <c r="S53" i="7" s="1"/>
  <c r="CX52" i="7"/>
  <c r="CX56" i="7" s="1"/>
  <c r="CW52" i="7"/>
  <c r="CW56" i="7" s="1"/>
  <c r="CV52" i="7"/>
  <c r="CV56" i="7" s="1"/>
  <c r="CU52" i="7"/>
  <c r="CU56" i="7" s="1"/>
  <c r="CT52" i="7"/>
  <c r="CT56" i="7" s="1"/>
  <c r="CS52" i="7"/>
  <c r="CS56" i="7" s="1"/>
  <c r="CR52" i="7"/>
  <c r="CR56" i="7" s="1"/>
  <c r="CQ52" i="7"/>
  <c r="DH52" i="7" s="1"/>
  <c r="CF52" i="7"/>
  <c r="CF56" i="7" s="1"/>
  <c r="CE52" i="7"/>
  <c r="CE56" i="7" s="1"/>
  <c r="CD52" i="7"/>
  <c r="CD56" i="7" s="1"/>
  <c r="CC52" i="7"/>
  <c r="CC56" i="7" s="1"/>
  <c r="CB52" i="7"/>
  <c r="CB56" i="7" s="1"/>
  <c r="CA52" i="7"/>
  <c r="CA56" i="7" s="1"/>
  <c r="BZ52" i="7"/>
  <c r="BZ56" i="7" s="1"/>
  <c r="BY52" i="7"/>
  <c r="CP52" i="7" s="1"/>
  <c r="BV52" i="7"/>
  <c r="BT52" i="7"/>
  <c r="BT56" i="7" s="1"/>
  <c r="BS52" i="7"/>
  <c r="BS56" i="7" s="1"/>
  <c r="BR52" i="7"/>
  <c r="BR56" i="7" s="1"/>
  <c r="BQ52" i="7"/>
  <c r="BQ56" i="7" s="1"/>
  <c r="BP52" i="7"/>
  <c r="BP56" i="7" s="1"/>
  <c r="BO52" i="7"/>
  <c r="BO56" i="7" s="1"/>
  <c r="BN52" i="7"/>
  <c r="BN56" i="7" s="1"/>
  <c r="BM52" i="7"/>
  <c r="BM56" i="7" s="1"/>
  <c r="BD52" i="7"/>
  <c r="BB52" i="7"/>
  <c r="BB56" i="7" s="1"/>
  <c r="BA52" i="7"/>
  <c r="BA56" i="7" s="1"/>
  <c r="AZ52" i="7"/>
  <c r="AZ56" i="7" s="1"/>
  <c r="AY52" i="7"/>
  <c r="AY56" i="7" s="1"/>
  <c r="AX52" i="7"/>
  <c r="AX56" i="7" s="1"/>
  <c r="AW52" i="7"/>
  <c r="AW56" i="7" s="1"/>
  <c r="AV52" i="7"/>
  <c r="AV56" i="7" s="1"/>
  <c r="AU52" i="7"/>
  <c r="AU56" i="7" s="1"/>
  <c r="BC56" i="7" s="1"/>
  <c r="AL52" i="7"/>
  <c r="AJ52" i="7"/>
  <c r="AJ56" i="7" s="1"/>
  <c r="AI52" i="7"/>
  <c r="AI56" i="7" s="1"/>
  <c r="AH52" i="7"/>
  <c r="AH56" i="7" s="1"/>
  <c r="AG52" i="7"/>
  <c r="AG56" i="7" s="1"/>
  <c r="AF52" i="7"/>
  <c r="AF56" i="7" s="1"/>
  <c r="AE52" i="7"/>
  <c r="AE56" i="7" s="1"/>
  <c r="AD52" i="7"/>
  <c r="AD56" i="7" s="1"/>
  <c r="AC52" i="7"/>
  <c r="AC56" i="7" s="1"/>
  <c r="T52" i="7"/>
  <c r="R52" i="7"/>
  <c r="R56" i="7" s="1"/>
  <c r="Q52" i="7"/>
  <c r="Q56" i="7" s="1"/>
  <c r="P52" i="7"/>
  <c r="P56" i="7" s="1"/>
  <c r="O52" i="7"/>
  <c r="O56" i="7" s="1"/>
  <c r="N52" i="7"/>
  <c r="N56" i="7" s="1"/>
  <c r="M52" i="7"/>
  <c r="M56" i="7" s="1"/>
  <c r="L52" i="7"/>
  <c r="L56" i="7" s="1"/>
  <c r="K52" i="7"/>
  <c r="K56" i="7" s="1"/>
  <c r="S56" i="7" s="1"/>
  <c r="CE51" i="7"/>
  <c r="CA51" i="7"/>
  <c r="BQ51" i="7"/>
  <c r="BM51" i="7"/>
  <c r="BU51" i="7" s="1"/>
  <c r="BL51" i="7"/>
  <c r="BK51" i="7"/>
  <c r="BJ51" i="7"/>
  <c r="BI51" i="7"/>
  <c r="BH51" i="7"/>
  <c r="BG51" i="7"/>
  <c r="BF51" i="7"/>
  <c r="BE51" i="7"/>
  <c r="BV51" i="7" s="1"/>
  <c r="BA51" i="7"/>
  <c r="AW51" i="7"/>
  <c r="AT51" i="7"/>
  <c r="AS51" i="7"/>
  <c r="AR51" i="7"/>
  <c r="AQ51" i="7"/>
  <c r="AP51" i="7"/>
  <c r="AO51" i="7"/>
  <c r="AN51" i="7"/>
  <c r="AM51" i="7"/>
  <c r="BD51" i="7" s="1"/>
  <c r="AG51" i="7"/>
  <c r="AC51" i="7"/>
  <c r="AK51" i="7" s="1"/>
  <c r="AB51" i="7"/>
  <c r="AA51" i="7"/>
  <c r="Z51" i="7"/>
  <c r="Y51" i="7"/>
  <c r="X51" i="7"/>
  <c r="W51" i="7"/>
  <c r="V51" i="7"/>
  <c r="U51" i="7"/>
  <c r="AL51" i="7" s="1"/>
  <c r="Q51" i="7"/>
  <c r="M51" i="7"/>
  <c r="J51" i="7"/>
  <c r="I51" i="7"/>
  <c r="H51" i="7"/>
  <c r="G51" i="7"/>
  <c r="F51" i="7"/>
  <c r="E51" i="7"/>
  <c r="D51" i="7"/>
  <c r="C51" i="7"/>
  <c r="T51" i="7" s="1"/>
  <c r="CX50" i="7"/>
  <c r="DF50" i="7" s="1"/>
  <c r="CW50" i="7"/>
  <c r="DE50" i="7" s="1"/>
  <c r="CV50" i="7"/>
  <c r="DD50" i="7" s="1"/>
  <c r="CU50" i="7"/>
  <c r="DC50" i="7" s="1"/>
  <c r="CT50" i="7"/>
  <c r="DB50" i="7" s="1"/>
  <c r="CS50" i="7"/>
  <c r="DA50" i="7" s="1"/>
  <c r="CR50" i="7"/>
  <c r="CZ50" i="7" s="1"/>
  <c r="CQ50" i="7"/>
  <c r="DH50" i="7" s="1"/>
  <c r="CM50" i="7"/>
  <c r="CI50" i="7"/>
  <c r="CF50" i="7"/>
  <c r="CN50" i="7" s="1"/>
  <c r="CE50" i="7"/>
  <c r="CD50" i="7"/>
  <c r="CL50" i="7" s="1"/>
  <c r="CC50" i="7"/>
  <c r="CK50" i="7" s="1"/>
  <c r="CB50" i="7"/>
  <c r="CJ50" i="7" s="1"/>
  <c r="CA50" i="7"/>
  <c r="BZ50" i="7"/>
  <c r="CH50" i="7" s="1"/>
  <c r="BY50" i="7"/>
  <c r="CP50" i="7" s="1"/>
  <c r="BV50" i="7"/>
  <c r="BT50" i="7"/>
  <c r="BS50" i="7"/>
  <c r="BR50" i="7"/>
  <c r="BQ50" i="7"/>
  <c r="BP50" i="7"/>
  <c r="BO50" i="7"/>
  <c r="BN50" i="7"/>
  <c r="BM50" i="7"/>
  <c r="BU50" i="7" s="1"/>
  <c r="BD50" i="7"/>
  <c r="BB50" i="7"/>
  <c r="BA50" i="7"/>
  <c r="AZ50" i="7"/>
  <c r="AY50" i="7"/>
  <c r="AX50" i="7"/>
  <c r="AW50" i="7"/>
  <c r="AV50" i="7"/>
  <c r="AU50" i="7"/>
  <c r="BC50" i="7" s="1"/>
  <c r="AL50" i="7"/>
  <c r="AJ50" i="7"/>
  <c r="AI50" i="7"/>
  <c r="AH50" i="7"/>
  <c r="AG50" i="7"/>
  <c r="AF50" i="7"/>
  <c r="AE50" i="7"/>
  <c r="AD50" i="7"/>
  <c r="AC50" i="7"/>
  <c r="AK50" i="7" s="1"/>
  <c r="T50" i="7"/>
  <c r="R50" i="7"/>
  <c r="Q50" i="7"/>
  <c r="P50" i="7"/>
  <c r="O50" i="7"/>
  <c r="N50" i="7"/>
  <c r="M50" i="7"/>
  <c r="L50" i="7"/>
  <c r="K50" i="7"/>
  <c r="S50" i="7" s="1"/>
  <c r="CX49" i="7"/>
  <c r="DF49" i="7" s="1"/>
  <c r="CW49" i="7"/>
  <c r="DE49" i="7" s="1"/>
  <c r="CV49" i="7"/>
  <c r="DD49" i="7" s="1"/>
  <c r="CU49" i="7"/>
  <c r="DC49" i="7" s="1"/>
  <c r="CT49" i="7"/>
  <c r="DB49" i="7" s="1"/>
  <c r="CS49" i="7"/>
  <c r="DA49" i="7" s="1"/>
  <c r="CR49" i="7"/>
  <c r="CZ49" i="7" s="1"/>
  <c r="CQ49" i="7"/>
  <c r="DH49" i="7" s="1"/>
  <c r="CM49" i="7"/>
  <c r="CI49" i="7"/>
  <c r="CF49" i="7"/>
  <c r="CN49" i="7" s="1"/>
  <c r="CE49" i="7"/>
  <c r="CD49" i="7"/>
  <c r="CL49" i="7" s="1"/>
  <c r="CC49" i="7"/>
  <c r="CK49" i="7" s="1"/>
  <c r="CB49" i="7"/>
  <c r="CJ49" i="7" s="1"/>
  <c r="CA49" i="7"/>
  <c r="BZ49" i="7"/>
  <c r="CH49" i="7" s="1"/>
  <c r="BY49" i="7"/>
  <c r="CP49" i="7" s="1"/>
  <c r="BV49" i="7"/>
  <c r="BT49" i="7"/>
  <c r="BS49" i="7"/>
  <c r="BR49" i="7"/>
  <c r="BQ49" i="7"/>
  <c r="BP49" i="7"/>
  <c r="BO49" i="7"/>
  <c r="BN49" i="7"/>
  <c r="BM49" i="7"/>
  <c r="BU49" i="7" s="1"/>
  <c r="BD49" i="7"/>
  <c r="BB49" i="7"/>
  <c r="BA49" i="7"/>
  <c r="AZ49" i="7"/>
  <c r="AY49" i="7"/>
  <c r="AX49" i="7"/>
  <c r="AW49" i="7"/>
  <c r="AV49" i="7"/>
  <c r="AU49" i="7"/>
  <c r="BC49" i="7" s="1"/>
  <c r="AL49" i="7"/>
  <c r="AJ49" i="7"/>
  <c r="AI49" i="7"/>
  <c r="AH49" i="7"/>
  <c r="AG49" i="7"/>
  <c r="AF49" i="7"/>
  <c r="AE49" i="7"/>
  <c r="AD49" i="7"/>
  <c r="AC49" i="7"/>
  <c r="AK49" i="7" s="1"/>
  <c r="T49" i="7"/>
  <c r="R49" i="7"/>
  <c r="Q49" i="7"/>
  <c r="P49" i="7"/>
  <c r="O49" i="7"/>
  <c r="N49" i="7"/>
  <c r="M49" i="7"/>
  <c r="L49" i="7"/>
  <c r="K49" i="7"/>
  <c r="S49" i="7" s="1"/>
  <c r="CX48" i="7"/>
  <c r="DF48" i="7" s="1"/>
  <c r="CW48" i="7"/>
  <c r="DE48" i="7" s="1"/>
  <c r="CV48" i="7"/>
  <c r="DD48" i="7" s="1"/>
  <c r="CU48" i="7"/>
  <c r="CU51" i="7" s="1"/>
  <c r="CT48" i="7"/>
  <c r="DB48" i="7" s="1"/>
  <c r="CS48" i="7"/>
  <c r="DA48" i="7" s="1"/>
  <c r="CR48" i="7"/>
  <c r="CZ48" i="7" s="1"/>
  <c r="CQ48" i="7"/>
  <c r="DH48" i="7" s="1"/>
  <c r="CM48" i="7"/>
  <c r="CI48" i="7"/>
  <c r="CF48" i="7"/>
  <c r="CN48" i="7" s="1"/>
  <c r="CE48" i="7"/>
  <c r="CD48" i="7"/>
  <c r="CL48" i="7" s="1"/>
  <c r="CC48" i="7"/>
  <c r="CK48" i="7" s="1"/>
  <c r="CB48" i="7"/>
  <c r="CJ48" i="7" s="1"/>
  <c r="CA48" i="7"/>
  <c r="BZ48" i="7"/>
  <c r="CH48" i="7" s="1"/>
  <c r="BY48" i="7"/>
  <c r="CP48" i="7" s="1"/>
  <c r="BV48" i="7"/>
  <c r="BT48" i="7"/>
  <c r="BS48" i="7"/>
  <c r="BR48" i="7"/>
  <c r="BQ48" i="7"/>
  <c r="BP48" i="7"/>
  <c r="BO48" i="7"/>
  <c r="BN48" i="7"/>
  <c r="BM48" i="7"/>
  <c r="BU48" i="7" s="1"/>
  <c r="BD48" i="7"/>
  <c r="BB48" i="7"/>
  <c r="BA48" i="7"/>
  <c r="AZ48" i="7"/>
  <c r="AY48" i="7"/>
  <c r="AX48" i="7"/>
  <c r="AW48" i="7"/>
  <c r="AV48" i="7"/>
  <c r="AU48" i="7"/>
  <c r="BC48" i="7" s="1"/>
  <c r="AL48" i="7"/>
  <c r="AJ48" i="7"/>
  <c r="AI48" i="7"/>
  <c r="AH48" i="7"/>
  <c r="AG48" i="7"/>
  <c r="AF48" i="7"/>
  <c r="AE48" i="7"/>
  <c r="AD48" i="7"/>
  <c r="AC48" i="7"/>
  <c r="AK48" i="7" s="1"/>
  <c r="T48" i="7"/>
  <c r="R48" i="7"/>
  <c r="Q48" i="7"/>
  <c r="P48" i="7"/>
  <c r="O48" i="7"/>
  <c r="N48" i="7"/>
  <c r="M48" i="7"/>
  <c r="L48" i="7"/>
  <c r="K48" i="7"/>
  <c r="S48" i="7" s="1"/>
  <c r="CX47" i="7"/>
  <c r="CX51" i="7" s="1"/>
  <c r="CW47" i="7"/>
  <c r="CW51" i="7" s="1"/>
  <c r="CV47" i="7"/>
  <c r="CV51" i="7" s="1"/>
  <c r="CU47" i="7"/>
  <c r="DC47" i="7" s="1"/>
  <c r="CT47" i="7"/>
  <c r="CT51" i="7" s="1"/>
  <c r="CS47" i="7"/>
  <c r="CS51" i="7" s="1"/>
  <c r="CR47" i="7"/>
  <c r="CR51" i="7" s="1"/>
  <c r="CQ47" i="7"/>
  <c r="CY47" i="7" s="1"/>
  <c r="CF47" i="7"/>
  <c r="CF51" i="7" s="1"/>
  <c r="CE47" i="7"/>
  <c r="CM47" i="7" s="1"/>
  <c r="CM51" i="7" s="1"/>
  <c r="CD47" i="7"/>
  <c r="CD51" i="7" s="1"/>
  <c r="CC47" i="7"/>
  <c r="CC51" i="7" s="1"/>
  <c r="CB47" i="7"/>
  <c r="CB51" i="7" s="1"/>
  <c r="CA47" i="7"/>
  <c r="CI47" i="7" s="1"/>
  <c r="CI51" i="7" s="1"/>
  <c r="BZ47" i="7"/>
  <c r="BZ51" i="7" s="1"/>
  <c r="BY47" i="7"/>
  <c r="BY51" i="7" s="1"/>
  <c r="CP51" i="7" s="1"/>
  <c r="BV47" i="7"/>
  <c r="BT47" i="7"/>
  <c r="BT51" i="7" s="1"/>
  <c r="BS47" i="7"/>
  <c r="BS51" i="7" s="1"/>
  <c r="BR47" i="7"/>
  <c r="BR51" i="7" s="1"/>
  <c r="BQ47" i="7"/>
  <c r="BP47" i="7"/>
  <c r="BP51" i="7" s="1"/>
  <c r="BO47" i="7"/>
  <c r="BO51" i="7" s="1"/>
  <c r="BN47" i="7"/>
  <c r="BN51" i="7" s="1"/>
  <c r="BM47" i="7"/>
  <c r="BU47" i="7" s="1"/>
  <c r="BD47" i="7"/>
  <c r="BB47" i="7"/>
  <c r="BB51" i="7" s="1"/>
  <c r="BA47" i="7"/>
  <c r="AZ47" i="7"/>
  <c r="AZ51" i="7" s="1"/>
  <c r="AY47" i="7"/>
  <c r="AY51" i="7" s="1"/>
  <c r="AX47" i="7"/>
  <c r="AX51" i="7" s="1"/>
  <c r="AW47" i="7"/>
  <c r="AV47" i="7"/>
  <c r="AV51" i="7" s="1"/>
  <c r="AU47" i="7"/>
  <c r="AU51" i="7" s="1"/>
  <c r="BC51" i="7" s="1"/>
  <c r="AL47" i="7"/>
  <c r="AJ47" i="7"/>
  <c r="AJ51" i="7" s="1"/>
  <c r="AI47" i="7"/>
  <c r="AI51" i="7" s="1"/>
  <c r="AH47" i="7"/>
  <c r="AH51" i="7" s="1"/>
  <c r="AG47" i="7"/>
  <c r="AF47" i="7"/>
  <c r="AF51" i="7" s="1"/>
  <c r="AE47" i="7"/>
  <c r="AE51" i="7" s="1"/>
  <c r="AD47" i="7"/>
  <c r="AD51" i="7" s="1"/>
  <c r="AC47" i="7"/>
  <c r="AK47" i="7" s="1"/>
  <c r="T47" i="7"/>
  <c r="R47" i="7"/>
  <c r="R51" i="7" s="1"/>
  <c r="Q47" i="7"/>
  <c r="P47" i="7"/>
  <c r="P51" i="7" s="1"/>
  <c r="O47" i="7"/>
  <c r="O51" i="7" s="1"/>
  <c r="N47" i="7"/>
  <c r="N51" i="7" s="1"/>
  <c r="M47" i="7"/>
  <c r="L47" i="7"/>
  <c r="L51" i="7" s="1"/>
  <c r="K47" i="7"/>
  <c r="K51" i="7" s="1"/>
  <c r="S51" i="7" s="1"/>
  <c r="BL46" i="7"/>
  <c r="BK46" i="7"/>
  <c r="BJ46" i="7"/>
  <c r="BI46" i="7"/>
  <c r="BH46" i="7"/>
  <c r="BG46" i="7"/>
  <c r="BF46" i="7"/>
  <c r="BV46" i="7" s="1"/>
  <c r="BE46" i="7"/>
  <c r="AT46" i="7"/>
  <c r="AS46" i="7"/>
  <c r="AR46" i="7"/>
  <c r="AQ46" i="7"/>
  <c r="AP46" i="7"/>
  <c r="AO46" i="7"/>
  <c r="AN46" i="7"/>
  <c r="BD46" i="7" s="1"/>
  <c r="AM46" i="7"/>
  <c r="AB46" i="7"/>
  <c r="AA46" i="7"/>
  <c r="Z46" i="7"/>
  <c r="Y46" i="7"/>
  <c r="X46" i="7"/>
  <c r="W46" i="7"/>
  <c r="V46" i="7"/>
  <c r="AL46" i="7" s="1"/>
  <c r="U46" i="7"/>
  <c r="J46" i="7"/>
  <c r="I46" i="7"/>
  <c r="H46" i="7"/>
  <c r="G46" i="7"/>
  <c r="F46" i="7"/>
  <c r="E46" i="7"/>
  <c r="D46" i="7"/>
  <c r="T46" i="7" s="1"/>
  <c r="C46" i="7"/>
  <c r="CX45" i="7"/>
  <c r="DF45" i="7" s="1"/>
  <c r="CW45" i="7"/>
  <c r="DE45" i="7" s="1"/>
  <c r="CV45" i="7"/>
  <c r="DD45" i="7" s="1"/>
  <c r="CU45" i="7"/>
  <c r="DC45" i="7" s="1"/>
  <c r="CT45" i="7"/>
  <c r="DB45" i="7" s="1"/>
  <c r="CS45" i="7"/>
  <c r="DA45" i="7" s="1"/>
  <c r="CR45" i="7"/>
  <c r="DH45" i="7" s="1"/>
  <c r="CQ45" i="7"/>
  <c r="CY45" i="7" s="1"/>
  <c r="CF45" i="7"/>
  <c r="CN45" i="7" s="1"/>
  <c r="CE45" i="7"/>
  <c r="CM45" i="7" s="1"/>
  <c r="CD45" i="7"/>
  <c r="CL45" i="7" s="1"/>
  <c r="CC45" i="7"/>
  <c r="CK45" i="7" s="1"/>
  <c r="CB45" i="7"/>
  <c r="CJ45" i="7" s="1"/>
  <c r="CA45" i="7"/>
  <c r="CI45" i="7" s="1"/>
  <c r="BZ45" i="7"/>
  <c r="CP45" i="7" s="1"/>
  <c r="BY45" i="7"/>
  <c r="CG45" i="7" s="1"/>
  <c r="BV45" i="7"/>
  <c r="BT45" i="7"/>
  <c r="BS45" i="7"/>
  <c r="BR45" i="7"/>
  <c r="BQ45" i="7"/>
  <c r="BP45" i="7"/>
  <c r="BO45" i="7"/>
  <c r="BN45" i="7"/>
  <c r="BM45" i="7"/>
  <c r="BU45" i="7" s="1"/>
  <c r="BD45" i="7"/>
  <c r="BB45" i="7"/>
  <c r="BA45" i="7"/>
  <c r="AZ45" i="7"/>
  <c r="AY45" i="7"/>
  <c r="AX45" i="7"/>
  <c r="AW45" i="7"/>
  <c r="AV45" i="7"/>
  <c r="AU45" i="7"/>
  <c r="BC45" i="7" s="1"/>
  <c r="AL45" i="7"/>
  <c r="AJ45" i="7"/>
  <c r="AI45" i="7"/>
  <c r="AH45" i="7"/>
  <c r="AG45" i="7"/>
  <c r="AF45" i="7"/>
  <c r="AE45" i="7"/>
  <c r="AD45" i="7"/>
  <c r="AC45" i="7"/>
  <c r="AK45" i="7" s="1"/>
  <c r="T45" i="7"/>
  <c r="R45" i="7"/>
  <c r="Q45" i="7"/>
  <c r="P45" i="7"/>
  <c r="O45" i="7"/>
  <c r="N45" i="7"/>
  <c r="M45" i="7"/>
  <c r="L45" i="7"/>
  <c r="K45" i="7"/>
  <c r="S45" i="7" s="1"/>
  <c r="CX44" i="7"/>
  <c r="DF44" i="7" s="1"/>
  <c r="CW44" i="7"/>
  <c r="DE44" i="7" s="1"/>
  <c r="CV44" i="7"/>
  <c r="DD44" i="7" s="1"/>
  <c r="CU44" i="7"/>
  <c r="DC44" i="7" s="1"/>
  <c r="CT44" i="7"/>
  <c r="DB44" i="7" s="1"/>
  <c r="CS44" i="7"/>
  <c r="DA44" i="7" s="1"/>
  <c r="CR44" i="7"/>
  <c r="DH44" i="7" s="1"/>
  <c r="CQ44" i="7"/>
  <c r="CY44" i="7" s="1"/>
  <c r="CF44" i="7"/>
  <c r="CN44" i="7" s="1"/>
  <c r="CE44" i="7"/>
  <c r="CM44" i="7" s="1"/>
  <c r="CD44" i="7"/>
  <c r="CL44" i="7" s="1"/>
  <c r="CC44" i="7"/>
  <c r="CK44" i="7" s="1"/>
  <c r="CB44" i="7"/>
  <c r="CJ44" i="7" s="1"/>
  <c r="CA44" i="7"/>
  <c r="CI44" i="7" s="1"/>
  <c r="BZ44" i="7"/>
  <c r="CP44" i="7" s="1"/>
  <c r="BY44" i="7"/>
  <c r="CG44" i="7" s="1"/>
  <c r="BV44" i="7"/>
  <c r="BT44" i="7"/>
  <c r="BS44" i="7"/>
  <c r="BR44" i="7"/>
  <c r="BQ44" i="7"/>
  <c r="BP44" i="7"/>
  <c r="BO44" i="7"/>
  <c r="BN44" i="7"/>
  <c r="BM44" i="7"/>
  <c r="BU44" i="7" s="1"/>
  <c r="BD44" i="7"/>
  <c r="BB44" i="7"/>
  <c r="BA44" i="7"/>
  <c r="AZ44" i="7"/>
  <c r="AY44" i="7"/>
  <c r="AX44" i="7"/>
  <c r="AW44" i="7"/>
  <c r="AV44" i="7"/>
  <c r="AU44" i="7"/>
  <c r="BC44" i="7" s="1"/>
  <c r="AL44" i="7"/>
  <c r="AJ44" i="7"/>
  <c r="AI44" i="7"/>
  <c r="AH44" i="7"/>
  <c r="AG44" i="7"/>
  <c r="AF44" i="7"/>
  <c r="AE44" i="7"/>
  <c r="AD44" i="7"/>
  <c r="AC44" i="7"/>
  <c r="AK44" i="7" s="1"/>
  <c r="T44" i="7"/>
  <c r="R44" i="7"/>
  <c r="Q44" i="7"/>
  <c r="P44" i="7"/>
  <c r="O44" i="7"/>
  <c r="N44" i="7"/>
  <c r="M44" i="7"/>
  <c r="L44" i="7"/>
  <c r="K44" i="7"/>
  <c r="S44" i="7" s="1"/>
  <c r="CX43" i="7"/>
  <c r="DF43" i="7" s="1"/>
  <c r="CW43" i="7"/>
  <c r="DE43" i="7" s="1"/>
  <c r="CV43" i="7"/>
  <c r="DD43" i="7" s="1"/>
  <c r="CU43" i="7"/>
  <c r="DC43" i="7" s="1"/>
  <c r="CT43" i="7"/>
  <c r="DB43" i="7" s="1"/>
  <c r="CS43" i="7"/>
  <c r="DA43" i="7" s="1"/>
  <c r="CR43" i="7"/>
  <c r="DH43" i="7" s="1"/>
  <c r="CQ43" i="7"/>
  <c r="CY43" i="7" s="1"/>
  <c r="CF43" i="7"/>
  <c r="CN43" i="7" s="1"/>
  <c r="CE43" i="7"/>
  <c r="CM43" i="7" s="1"/>
  <c r="CD43" i="7"/>
  <c r="CL43" i="7" s="1"/>
  <c r="CC43" i="7"/>
  <c r="CK43" i="7" s="1"/>
  <c r="CB43" i="7"/>
  <c r="CJ43" i="7" s="1"/>
  <c r="CA43" i="7"/>
  <c r="CI43" i="7" s="1"/>
  <c r="BZ43" i="7"/>
  <c r="CP43" i="7" s="1"/>
  <c r="BY43" i="7"/>
  <c r="CG43" i="7" s="1"/>
  <c r="BV43" i="7"/>
  <c r="BT43" i="7"/>
  <c r="BS43" i="7"/>
  <c r="BR43" i="7"/>
  <c r="BQ43" i="7"/>
  <c r="BP43" i="7"/>
  <c r="BO43" i="7"/>
  <c r="BN43" i="7"/>
  <c r="BM43" i="7"/>
  <c r="BU43" i="7" s="1"/>
  <c r="BD43" i="7"/>
  <c r="BB43" i="7"/>
  <c r="BA43" i="7"/>
  <c r="AZ43" i="7"/>
  <c r="AY43" i="7"/>
  <c r="AX43" i="7"/>
  <c r="AW43" i="7"/>
  <c r="AV43" i="7"/>
  <c r="AU43" i="7"/>
  <c r="BC43" i="7" s="1"/>
  <c r="AL43" i="7"/>
  <c r="AJ43" i="7"/>
  <c r="AI43" i="7"/>
  <c r="AH43" i="7"/>
  <c r="AG43" i="7"/>
  <c r="AF43" i="7"/>
  <c r="AE43" i="7"/>
  <c r="AD43" i="7"/>
  <c r="AC43" i="7"/>
  <c r="AK43" i="7" s="1"/>
  <c r="T43" i="7"/>
  <c r="R43" i="7"/>
  <c r="Q43" i="7"/>
  <c r="P43" i="7"/>
  <c r="O43" i="7"/>
  <c r="N43" i="7"/>
  <c r="M43" i="7"/>
  <c r="L43" i="7"/>
  <c r="K43" i="7"/>
  <c r="S43" i="7" s="1"/>
  <c r="CX42" i="7"/>
  <c r="CX46" i="7" s="1"/>
  <c r="CW42" i="7"/>
  <c r="CW46" i="7" s="1"/>
  <c r="CV42" i="7"/>
  <c r="CV46" i="7" s="1"/>
  <c r="CU42" i="7"/>
  <c r="CU46" i="7" s="1"/>
  <c r="CT42" i="7"/>
  <c r="CT46" i="7" s="1"/>
  <c r="CS42" i="7"/>
  <c r="CS46" i="7" s="1"/>
  <c r="CR42" i="7"/>
  <c r="CR46" i="7" s="1"/>
  <c r="CQ42" i="7"/>
  <c r="CQ46" i="7" s="1"/>
  <c r="DH46" i="7" s="1"/>
  <c r="CF42" i="7"/>
  <c r="CF46" i="7" s="1"/>
  <c r="CE42" i="7"/>
  <c r="CE46" i="7" s="1"/>
  <c r="CD42" i="7"/>
  <c r="CD46" i="7" s="1"/>
  <c r="CC42" i="7"/>
  <c r="CC46" i="7" s="1"/>
  <c r="CB42" i="7"/>
  <c r="CB46" i="7" s="1"/>
  <c r="CA42" i="7"/>
  <c r="CA46" i="7" s="1"/>
  <c r="BZ42" i="7"/>
  <c r="BZ46" i="7" s="1"/>
  <c r="BY42" i="7"/>
  <c r="BY46" i="7" s="1"/>
  <c r="CP46" i="7" s="1"/>
  <c r="BV42" i="7"/>
  <c r="BT42" i="7"/>
  <c r="BT46" i="7" s="1"/>
  <c r="BS42" i="7"/>
  <c r="BS46" i="7" s="1"/>
  <c r="BR42" i="7"/>
  <c r="BR46" i="7" s="1"/>
  <c r="BQ42" i="7"/>
  <c r="BQ46" i="7" s="1"/>
  <c r="BP42" i="7"/>
  <c r="BP46" i="7" s="1"/>
  <c r="BO42" i="7"/>
  <c r="BO46" i="7" s="1"/>
  <c r="BN42" i="7"/>
  <c r="BN46" i="7" s="1"/>
  <c r="BM42" i="7"/>
  <c r="BM46" i="7" s="1"/>
  <c r="BD42" i="7"/>
  <c r="BB42" i="7"/>
  <c r="BB46" i="7" s="1"/>
  <c r="BA42" i="7"/>
  <c r="BA46" i="7" s="1"/>
  <c r="AZ42" i="7"/>
  <c r="AZ46" i="7" s="1"/>
  <c r="AY42" i="7"/>
  <c r="AY46" i="7" s="1"/>
  <c r="AX42" i="7"/>
  <c r="AX46" i="7" s="1"/>
  <c r="AW42" i="7"/>
  <c r="AW46" i="7" s="1"/>
  <c r="AV42" i="7"/>
  <c r="AV46" i="7" s="1"/>
  <c r="AU42" i="7"/>
  <c r="AU46" i="7" s="1"/>
  <c r="BC46" i="7" s="1"/>
  <c r="AL42" i="7"/>
  <c r="AJ42" i="7"/>
  <c r="AJ46" i="7" s="1"/>
  <c r="AI42" i="7"/>
  <c r="AI46" i="7" s="1"/>
  <c r="AH42" i="7"/>
  <c r="AH46" i="7" s="1"/>
  <c r="AG42" i="7"/>
  <c r="AG46" i="7" s="1"/>
  <c r="AF42" i="7"/>
  <c r="AF46" i="7" s="1"/>
  <c r="AE42" i="7"/>
  <c r="AE46" i="7" s="1"/>
  <c r="AD42" i="7"/>
  <c r="AD46" i="7" s="1"/>
  <c r="AC42" i="7"/>
  <c r="AC46" i="7" s="1"/>
  <c r="T42" i="7"/>
  <c r="R42" i="7"/>
  <c r="R46" i="7" s="1"/>
  <c r="Q42" i="7"/>
  <c r="Q46" i="7" s="1"/>
  <c r="P42" i="7"/>
  <c r="P46" i="7" s="1"/>
  <c r="O42" i="7"/>
  <c r="O46" i="7" s="1"/>
  <c r="N42" i="7"/>
  <c r="N46" i="7" s="1"/>
  <c r="M42" i="7"/>
  <c r="M46" i="7" s="1"/>
  <c r="L42" i="7"/>
  <c r="L46" i="7" s="1"/>
  <c r="K42" i="7"/>
  <c r="K46" i="7" s="1"/>
  <c r="S46" i="7" s="1"/>
  <c r="BL41" i="7"/>
  <c r="BK41" i="7"/>
  <c r="BJ41" i="7"/>
  <c r="BI41" i="7"/>
  <c r="BH41" i="7"/>
  <c r="BG41" i="7"/>
  <c r="BF41" i="7"/>
  <c r="BV41" i="7" s="1"/>
  <c r="BE41" i="7"/>
  <c r="AT41" i="7"/>
  <c r="AS41" i="7"/>
  <c r="AR41" i="7"/>
  <c r="AQ41" i="7"/>
  <c r="AP41" i="7"/>
  <c r="AO41" i="7"/>
  <c r="AN41" i="7"/>
  <c r="BD41" i="7" s="1"/>
  <c r="AM41" i="7"/>
  <c r="AB41" i="7"/>
  <c r="AA41" i="7"/>
  <c r="Z41" i="7"/>
  <c r="Y41" i="7"/>
  <c r="X41" i="7"/>
  <c r="W41" i="7"/>
  <c r="V41" i="7"/>
  <c r="AL41" i="7" s="1"/>
  <c r="U41" i="7"/>
  <c r="J41" i="7"/>
  <c r="I41" i="7"/>
  <c r="H41" i="7"/>
  <c r="G41" i="7"/>
  <c r="F41" i="7"/>
  <c r="E41" i="7"/>
  <c r="D41" i="7"/>
  <c r="T41" i="7" s="1"/>
  <c r="C41" i="7"/>
  <c r="CX40" i="7"/>
  <c r="DF40" i="7" s="1"/>
  <c r="CW40" i="7"/>
  <c r="DE40" i="7" s="1"/>
  <c r="CV40" i="7"/>
  <c r="DD40" i="7" s="1"/>
  <c r="CU40" i="7"/>
  <c r="DC40" i="7" s="1"/>
  <c r="CT40" i="7"/>
  <c r="DB40" i="7" s="1"/>
  <c r="CS40" i="7"/>
  <c r="DA40" i="7" s="1"/>
  <c r="CR40" i="7"/>
  <c r="DH40" i="7" s="1"/>
  <c r="CQ40" i="7"/>
  <c r="CY40" i="7" s="1"/>
  <c r="CF40" i="7"/>
  <c r="CN40" i="7" s="1"/>
  <c r="CE40" i="7"/>
  <c r="CM40" i="7" s="1"/>
  <c r="CD40" i="7"/>
  <c r="CL40" i="7" s="1"/>
  <c r="CC40" i="7"/>
  <c r="CK40" i="7" s="1"/>
  <c r="CB40" i="7"/>
  <c r="CJ40" i="7" s="1"/>
  <c r="CA40" i="7"/>
  <c r="CI40" i="7" s="1"/>
  <c r="BZ40" i="7"/>
  <c r="CP40" i="7" s="1"/>
  <c r="BY40" i="7"/>
  <c r="CG40" i="7" s="1"/>
  <c r="BV40" i="7"/>
  <c r="BT40" i="7"/>
  <c r="BS40" i="7"/>
  <c r="BR40" i="7"/>
  <c r="BQ40" i="7"/>
  <c r="BP40" i="7"/>
  <c r="BO40" i="7"/>
  <c r="BN40" i="7"/>
  <c r="BM40" i="7"/>
  <c r="BU40" i="7" s="1"/>
  <c r="BD40" i="7"/>
  <c r="BB40" i="7"/>
  <c r="BA40" i="7"/>
  <c r="AZ40" i="7"/>
  <c r="AY40" i="7"/>
  <c r="AX40" i="7"/>
  <c r="AW40" i="7"/>
  <c r="AV40" i="7"/>
  <c r="AU40" i="7"/>
  <c r="BC40" i="7" s="1"/>
  <c r="AL40" i="7"/>
  <c r="AJ40" i="7"/>
  <c r="AI40" i="7"/>
  <c r="AH40" i="7"/>
  <c r="AG40" i="7"/>
  <c r="AF40" i="7"/>
  <c r="AE40" i="7"/>
  <c r="AD40" i="7"/>
  <c r="AC40" i="7"/>
  <c r="AK40" i="7" s="1"/>
  <c r="T40" i="7"/>
  <c r="R40" i="7"/>
  <c r="Q40" i="7"/>
  <c r="P40" i="7"/>
  <c r="O40" i="7"/>
  <c r="N40" i="7"/>
  <c r="M40" i="7"/>
  <c r="L40" i="7"/>
  <c r="K40" i="7"/>
  <c r="S40" i="7" s="1"/>
  <c r="CX39" i="7"/>
  <c r="DF39" i="7" s="1"/>
  <c r="CW39" i="7"/>
  <c r="DE39" i="7" s="1"/>
  <c r="CV39" i="7"/>
  <c r="DD39" i="7" s="1"/>
  <c r="CU39" i="7"/>
  <c r="DC39" i="7" s="1"/>
  <c r="CT39" i="7"/>
  <c r="DB39" i="7" s="1"/>
  <c r="CS39" i="7"/>
  <c r="DA39" i="7" s="1"/>
  <c r="CR39" i="7"/>
  <c r="DH39" i="7" s="1"/>
  <c r="CQ39" i="7"/>
  <c r="CY39" i="7" s="1"/>
  <c r="CF39" i="7"/>
  <c r="CN39" i="7" s="1"/>
  <c r="CE39" i="7"/>
  <c r="CM39" i="7" s="1"/>
  <c r="CD39" i="7"/>
  <c r="CL39" i="7" s="1"/>
  <c r="CC39" i="7"/>
  <c r="CK39" i="7" s="1"/>
  <c r="CB39" i="7"/>
  <c r="CJ39" i="7" s="1"/>
  <c r="CA39" i="7"/>
  <c r="CI39" i="7" s="1"/>
  <c r="BZ39" i="7"/>
  <c r="CP39" i="7" s="1"/>
  <c r="BY39" i="7"/>
  <c r="CG39" i="7" s="1"/>
  <c r="BV39" i="7"/>
  <c r="BT39" i="7"/>
  <c r="BS39" i="7"/>
  <c r="BR39" i="7"/>
  <c r="BQ39" i="7"/>
  <c r="BP39" i="7"/>
  <c r="BO39" i="7"/>
  <c r="BN39" i="7"/>
  <c r="BM39" i="7"/>
  <c r="BU39" i="7" s="1"/>
  <c r="BD39" i="7"/>
  <c r="BB39" i="7"/>
  <c r="BA39" i="7"/>
  <c r="AZ39" i="7"/>
  <c r="AY39" i="7"/>
  <c r="AX39" i="7"/>
  <c r="AW39" i="7"/>
  <c r="AV39" i="7"/>
  <c r="AU39" i="7"/>
  <c r="BC39" i="7" s="1"/>
  <c r="AL39" i="7"/>
  <c r="AJ39" i="7"/>
  <c r="AI39" i="7"/>
  <c r="AH39" i="7"/>
  <c r="AG39" i="7"/>
  <c r="AF39" i="7"/>
  <c r="AE39" i="7"/>
  <c r="AD39" i="7"/>
  <c r="AC39" i="7"/>
  <c r="AK39" i="7" s="1"/>
  <c r="T39" i="7"/>
  <c r="R39" i="7"/>
  <c r="Q39" i="7"/>
  <c r="P39" i="7"/>
  <c r="O39" i="7"/>
  <c r="N39" i="7"/>
  <c r="M39" i="7"/>
  <c r="L39" i="7"/>
  <c r="K39" i="7"/>
  <c r="S39" i="7" s="1"/>
  <c r="CX38" i="7"/>
  <c r="DF38" i="7" s="1"/>
  <c r="CW38" i="7"/>
  <c r="DE38" i="7" s="1"/>
  <c r="CV38" i="7"/>
  <c r="DD38" i="7" s="1"/>
  <c r="CU38" i="7"/>
  <c r="DC38" i="7" s="1"/>
  <c r="CT38" i="7"/>
  <c r="DB38" i="7" s="1"/>
  <c r="CS38" i="7"/>
  <c r="DA38" i="7" s="1"/>
  <c r="CR38" i="7"/>
  <c r="DH38" i="7" s="1"/>
  <c r="CQ38" i="7"/>
  <c r="CY38" i="7" s="1"/>
  <c r="CF38" i="7"/>
  <c r="CN38" i="7" s="1"/>
  <c r="CE38" i="7"/>
  <c r="CM38" i="7" s="1"/>
  <c r="CD38" i="7"/>
  <c r="CL38" i="7" s="1"/>
  <c r="CC38" i="7"/>
  <c r="CK38" i="7" s="1"/>
  <c r="CB38" i="7"/>
  <c r="CJ38" i="7" s="1"/>
  <c r="CA38" i="7"/>
  <c r="CI38" i="7" s="1"/>
  <c r="BZ38" i="7"/>
  <c r="CP38" i="7" s="1"/>
  <c r="BY38" i="7"/>
  <c r="CG38" i="7" s="1"/>
  <c r="BV38" i="7"/>
  <c r="BT38" i="7"/>
  <c r="BS38" i="7"/>
  <c r="BR38" i="7"/>
  <c r="BQ38" i="7"/>
  <c r="BP38" i="7"/>
  <c r="BO38" i="7"/>
  <c r="BN38" i="7"/>
  <c r="BM38" i="7"/>
  <c r="BU38" i="7" s="1"/>
  <c r="BD38" i="7"/>
  <c r="BB38" i="7"/>
  <c r="BA38" i="7"/>
  <c r="AZ38" i="7"/>
  <c r="AY38" i="7"/>
  <c r="AX38" i="7"/>
  <c r="AW38" i="7"/>
  <c r="AV38" i="7"/>
  <c r="AU38" i="7"/>
  <c r="BC38" i="7" s="1"/>
  <c r="AL38" i="7"/>
  <c r="AJ38" i="7"/>
  <c r="AI38" i="7"/>
  <c r="AH38" i="7"/>
  <c r="AG38" i="7"/>
  <c r="AF38" i="7"/>
  <c r="AE38" i="7"/>
  <c r="AD38" i="7"/>
  <c r="AC38" i="7"/>
  <c r="AK38" i="7" s="1"/>
  <c r="T38" i="7"/>
  <c r="R38" i="7"/>
  <c r="Q38" i="7"/>
  <c r="P38" i="7"/>
  <c r="O38" i="7"/>
  <c r="N38" i="7"/>
  <c r="M38" i="7"/>
  <c r="L38" i="7"/>
  <c r="K38" i="7"/>
  <c r="S38" i="7" s="1"/>
  <c r="CX37" i="7"/>
  <c r="CX41" i="7" s="1"/>
  <c r="CW37" i="7"/>
  <c r="CW41" i="7" s="1"/>
  <c r="CV37" i="7"/>
  <c r="CV41" i="7" s="1"/>
  <c r="CU37" i="7"/>
  <c r="CU41" i="7" s="1"/>
  <c r="CT37" i="7"/>
  <c r="CT41" i="7" s="1"/>
  <c r="CS37" i="7"/>
  <c r="CS41" i="7" s="1"/>
  <c r="CR37" i="7"/>
  <c r="CR41" i="7" s="1"/>
  <c r="CQ37" i="7"/>
  <c r="CQ41" i="7" s="1"/>
  <c r="DH41" i="7" s="1"/>
  <c r="CF37" i="7"/>
  <c r="CF41" i="7" s="1"/>
  <c r="CE37" i="7"/>
  <c r="CE41" i="7" s="1"/>
  <c r="CD37" i="7"/>
  <c r="CD41" i="7" s="1"/>
  <c r="CC37" i="7"/>
  <c r="CC41" i="7" s="1"/>
  <c r="CB37" i="7"/>
  <c r="CB41" i="7" s="1"/>
  <c r="CA37" i="7"/>
  <c r="CA41" i="7" s="1"/>
  <c r="BZ37" i="7"/>
  <c r="BZ41" i="7" s="1"/>
  <c r="BY37" i="7"/>
  <c r="BY41" i="7" s="1"/>
  <c r="CP41" i="7" s="1"/>
  <c r="BV37" i="7"/>
  <c r="BT37" i="7"/>
  <c r="BT41" i="7" s="1"/>
  <c r="BS37" i="7"/>
  <c r="BS41" i="7" s="1"/>
  <c r="BR37" i="7"/>
  <c r="BR41" i="7" s="1"/>
  <c r="BQ37" i="7"/>
  <c r="BQ41" i="7" s="1"/>
  <c r="BP37" i="7"/>
  <c r="BP41" i="7" s="1"/>
  <c r="BO37" i="7"/>
  <c r="BO41" i="7" s="1"/>
  <c r="BN37" i="7"/>
  <c r="BN41" i="7" s="1"/>
  <c r="BM37" i="7"/>
  <c r="BM41" i="7" s="1"/>
  <c r="BD37" i="7"/>
  <c r="BB37" i="7"/>
  <c r="BB41" i="7" s="1"/>
  <c r="BA37" i="7"/>
  <c r="BA41" i="7" s="1"/>
  <c r="AZ37" i="7"/>
  <c r="AZ41" i="7" s="1"/>
  <c r="AY37" i="7"/>
  <c r="AY41" i="7" s="1"/>
  <c r="AX37" i="7"/>
  <c r="AX41" i="7" s="1"/>
  <c r="AW37" i="7"/>
  <c r="AW41" i="7" s="1"/>
  <c r="AV37" i="7"/>
  <c r="AV41" i="7" s="1"/>
  <c r="AU37" i="7"/>
  <c r="AU41" i="7" s="1"/>
  <c r="BC41" i="7" s="1"/>
  <c r="AL37" i="7"/>
  <c r="AJ37" i="7"/>
  <c r="AJ41" i="7" s="1"/>
  <c r="AI37" i="7"/>
  <c r="AI41" i="7" s="1"/>
  <c r="AH37" i="7"/>
  <c r="AH41" i="7" s="1"/>
  <c r="AG37" i="7"/>
  <c r="AG41" i="7" s="1"/>
  <c r="AF37" i="7"/>
  <c r="AF41" i="7" s="1"/>
  <c r="AE37" i="7"/>
  <c r="AE41" i="7" s="1"/>
  <c r="AD37" i="7"/>
  <c r="AD41" i="7" s="1"/>
  <c r="AC37" i="7"/>
  <c r="AC41" i="7" s="1"/>
  <c r="T37" i="7"/>
  <c r="R37" i="7"/>
  <c r="R41" i="7" s="1"/>
  <c r="Q37" i="7"/>
  <c r="Q41" i="7" s="1"/>
  <c r="P37" i="7"/>
  <c r="P41" i="7" s="1"/>
  <c r="O37" i="7"/>
  <c r="O41" i="7" s="1"/>
  <c r="N37" i="7"/>
  <c r="N41" i="7" s="1"/>
  <c r="M37" i="7"/>
  <c r="M41" i="7" s="1"/>
  <c r="L37" i="7"/>
  <c r="L41" i="7" s="1"/>
  <c r="K37" i="7"/>
  <c r="K41" i="7" s="1"/>
  <c r="S41" i="7" s="1"/>
  <c r="BL36" i="7"/>
  <c r="BK36" i="7"/>
  <c r="BJ36" i="7"/>
  <c r="BI36" i="7"/>
  <c r="BH36" i="7"/>
  <c r="BG36" i="7"/>
  <c r="BF36" i="7"/>
  <c r="BV36" i="7" s="1"/>
  <c r="BE36" i="7"/>
  <c r="AT36" i="7"/>
  <c r="AS36" i="7"/>
  <c r="AR36" i="7"/>
  <c r="AQ36" i="7"/>
  <c r="AP36" i="7"/>
  <c r="AO36" i="7"/>
  <c r="AN36" i="7"/>
  <c r="BD36" i="7" s="1"/>
  <c r="AM36" i="7"/>
  <c r="AB36" i="7"/>
  <c r="AA36" i="7"/>
  <c r="Z36" i="7"/>
  <c r="Y36" i="7"/>
  <c r="X36" i="7"/>
  <c r="W36" i="7"/>
  <c r="V36" i="7"/>
  <c r="AL36" i="7" s="1"/>
  <c r="U36" i="7"/>
  <c r="J36" i="7"/>
  <c r="I36" i="7"/>
  <c r="H36" i="7"/>
  <c r="G36" i="7"/>
  <c r="F36" i="7"/>
  <c r="E36" i="7"/>
  <c r="D36" i="7"/>
  <c r="T36" i="7" s="1"/>
  <c r="C36" i="7"/>
  <c r="CX35" i="7"/>
  <c r="DF35" i="7" s="1"/>
  <c r="CW35" i="7"/>
  <c r="DE35" i="7" s="1"/>
  <c r="CV35" i="7"/>
  <c r="DD35" i="7" s="1"/>
  <c r="CU35" i="7"/>
  <c r="DC35" i="7" s="1"/>
  <c r="CT35" i="7"/>
  <c r="DB35" i="7" s="1"/>
  <c r="CS35" i="7"/>
  <c r="DA35" i="7" s="1"/>
  <c r="CR35" i="7"/>
  <c r="DH35" i="7" s="1"/>
  <c r="CQ35" i="7"/>
  <c r="CY35" i="7" s="1"/>
  <c r="CF35" i="7"/>
  <c r="CN35" i="7" s="1"/>
  <c r="CE35" i="7"/>
  <c r="CM35" i="7" s="1"/>
  <c r="CD35" i="7"/>
  <c r="CL35" i="7" s="1"/>
  <c r="CC35" i="7"/>
  <c r="CK35" i="7" s="1"/>
  <c r="CB35" i="7"/>
  <c r="CJ35" i="7" s="1"/>
  <c r="CA35" i="7"/>
  <c r="CI35" i="7" s="1"/>
  <c r="BZ35" i="7"/>
  <c r="CP35" i="7" s="1"/>
  <c r="BY35" i="7"/>
  <c r="CG35" i="7" s="1"/>
  <c r="BV35" i="7"/>
  <c r="BT35" i="7"/>
  <c r="BS35" i="7"/>
  <c r="BR35" i="7"/>
  <c r="BQ35" i="7"/>
  <c r="BP35" i="7"/>
  <c r="BO35" i="7"/>
  <c r="BN35" i="7"/>
  <c r="BM35" i="7"/>
  <c r="BU35" i="7" s="1"/>
  <c r="BD35" i="7"/>
  <c r="BB35" i="7"/>
  <c r="BA35" i="7"/>
  <c r="AZ35" i="7"/>
  <c r="AY35" i="7"/>
  <c r="AX35" i="7"/>
  <c r="AW35" i="7"/>
  <c r="AV35" i="7"/>
  <c r="AU35" i="7"/>
  <c r="BC35" i="7" s="1"/>
  <c r="AL35" i="7"/>
  <c r="AJ35" i="7"/>
  <c r="AI35" i="7"/>
  <c r="AH35" i="7"/>
  <c r="AG35" i="7"/>
  <c r="AF35" i="7"/>
  <c r="AE35" i="7"/>
  <c r="AD35" i="7"/>
  <c r="AC35" i="7"/>
  <c r="AK35" i="7" s="1"/>
  <c r="T35" i="7"/>
  <c r="R35" i="7"/>
  <c r="Q35" i="7"/>
  <c r="P35" i="7"/>
  <c r="O35" i="7"/>
  <c r="N35" i="7"/>
  <c r="M35" i="7"/>
  <c r="L35" i="7"/>
  <c r="K35" i="7"/>
  <c r="S35" i="7" s="1"/>
  <c r="CX34" i="7"/>
  <c r="DF34" i="7" s="1"/>
  <c r="CW34" i="7"/>
  <c r="DE34" i="7" s="1"/>
  <c r="CV34" i="7"/>
  <c r="DD34" i="7" s="1"/>
  <c r="CU34" i="7"/>
  <c r="DC34" i="7" s="1"/>
  <c r="CT34" i="7"/>
  <c r="DB34" i="7" s="1"/>
  <c r="CS34" i="7"/>
  <c r="DA34" i="7" s="1"/>
  <c r="CR34" i="7"/>
  <c r="DH34" i="7" s="1"/>
  <c r="CQ34" i="7"/>
  <c r="CY34" i="7" s="1"/>
  <c r="CF34" i="7"/>
  <c r="CN34" i="7" s="1"/>
  <c r="CE34" i="7"/>
  <c r="CM34" i="7" s="1"/>
  <c r="CD34" i="7"/>
  <c r="CL34" i="7" s="1"/>
  <c r="CC34" i="7"/>
  <c r="CK34" i="7" s="1"/>
  <c r="CB34" i="7"/>
  <c r="CJ34" i="7" s="1"/>
  <c r="CA34" i="7"/>
  <c r="CI34" i="7" s="1"/>
  <c r="BZ34" i="7"/>
  <c r="CP34" i="7" s="1"/>
  <c r="BY34" i="7"/>
  <c r="CG34" i="7" s="1"/>
  <c r="BV34" i="7"/>
  <c r="BT34" i="7"/>
  <c r="BS34" i="7"/>
  <c r="BR34" i="7"/>
  <c r="BQ34" i="7"/>
  <c r="BP34" i="7"/>
  <c r="BO34" i="7"/>
  <c r="BN34" i="7"/>
  <c r="BM34" i="7"/>
  <c r="BU34" i="7" s="1"/>
  <c r="BD34" i="7"/>
  <c r="BB34" i="7"/>
  <c r="BA34" i="7"/>
  <c r="AZ34" i="7"/>
  <c r="AY34" i="7"/>
  <c r="AX34" i="7"/>
  <c r="AW34" i="7"/>
  <c r="AV34" i="7"/>
  <c r="AU34" i="7"/>
  <c r="BC34" i="7" s="1"/>
  <c r="AL34" i="7"/>
  <c r="AJ34" i="7"/>
  <c r="AI34" i="7"/>
  <c r="AH34" i="7"/>
  <c r="AG34" i="7"/>
  <c r="AF34" i="7"/>
  <c r="AE34" i="7"/>
  <c r="AD34" i="7"/>
  <c r="AC34" i="7"/>
  <c r="AK34" i="7" s="1"/>
  <c r="T34" i="7"/>
  <c r="R34" i="7"/>
  <c r="Q34" i="7"/>
  <c r="P34" i="7"/>
  <c r="O34" i="7"/>
  <c r="N34" i="7"/>
  <c r="M34" i="7"/>
  <c r="L34" i="7"/>
  <c r="K34" i="7"/>
  <c r="S34" i="7" s="1"/>
  <c r="CX33" i="7"/>
  <c r="DF33" i="7" s="1"/>
  <c r="CW33" i="7"/>
  <c r="DE33" i="7" s="1"/>
  <c r="CV33" i="7"/>
  <c r="DD33" i="7" s="1"/>
  <c r="CU33" i="7"/>
  <c r="DC33" i="7" s="1"/>
  <c r="CT33" i="7"/>
  <c r="DB33" i="7" s="1"/>
  <c r="CS33" i="7"/>
  <c r="DA33" i="7" s="1"/>
  <c r="CR33" i="7"/>
  <c r="DH33" i="7" s="1"/>
  <c r="CQ33" i="7"/>
  <c r="CY33" i="7" s="1"/>
  <c r="CF33" i="7"/>
  <c r="CN33" i="7" s="1"/>
  <c r="CE33" i="7"/>
  <c r="CM33" i="7" s="1"/>
  <c r="CD33" i="7"/>
  <c r="CL33" i="7" s="1"/>
  <c r="CC33" i="7"/>
  <c r="CK33" i="7" s="1"/>
  <c r="CB33" i="7"/>
  <c r="CJ33" i="7" s="1"/>
  <c r="CA33" i="7"/>
  <c r="CI33" i="7" s="1"/>
  <c r="BZ33" i="7"/>
  <c r="CP33" i="7" s="1"/>
  <c r="BY33" i="7"/>
  <c r="CG33" i="7" s="1"/>
  <c r="BV33" i="7"/>
  <c r="BT33" i="7"/>
  <c r="BS33" i="7"/>
  <c r="BR33" i="7"/>
  <c r="BQ33" i="7"/>
  <c r="BP33" i="7"/>
  <c r="BO33" i="7"/>
  <c r="BN33" i="7"/>
  <c r="BM33" i="7"/>
  <c r="BU33" i="7" s="1"/>
  <c r="BD33" i="7"/>
  <c r="BB33" i="7"/>
  <c r="BA33" i="7"/>
  <c r="AZ33" i="7"/>
  <c r="AY33" i="7"/>
  <c r="AX33" i="7"/>
  <c r="AW33" i="7"/>
  <c r="AV33" i="7"/>
  <c r="AU33" i="7"/>
  <c r="BC33" i="7" s="1"/>
  <c r="AL33" i="7"/>
  <c r="AJ33" i="7"/>
  <c r="AI33" i="7"/>
  <c r="AH33" i="7"/>
  <c r="AG33" i="7"/>
  <c r="AF33" i="7"/>
  <c r="AE33" i="7"/>
  <c r="AD33" i="7"/>
  <c r="AC33" i="7"/>
  <c r="AK33" i="7" s="1"/>
  <c r="T33" i="7"/>
  <c r="R33" i="7"/>
  <c r="Q33" i="7"/>
  <c r="P33" i="7"/>
  <c r="O33" i="7"/>
  <c r="N33" i="7"/>
  <c r="M33" i="7"/>
  <c r="L33" i="7"/>
  <c r="K33" i="7"/>
  <c r="S33" i="7" s="1"/>
  <c r="CX32" i="7"/>
  <c r="CX36" i="7" s="1"/>
  <c r="CW32" i="7"/>
  <c r="CW36" i="7" s="1"/>
  <c r="CV32" i="7"/>
  <c r="CV36" i="7" s="1"/>
  <c r="CU32" i="7"/>
  <c r="CU36" i="7" s="1"/>
  <c r="CT32" i="7"/>
  <c r="CT36" i="7" s="1"/>
  <c r="CS32" i="7"/>
  <c r="CS36" i="7" s="1"/>
  <c r="CR32" i="7"/>
  <c r="CR36" i="7" s="1"/>
  <c r="CQ32" i="7"/>
  <c r="CQ36" i="7" s="1"/>
  <c r="DH36" i="7" s="1"/>
  <c r="CF32" i="7"/>
  <c r="CF36" i="7" s="1"/>
  <c r="CE32" i="7"/>
  <c r="CE36" i="7" s="1"/>
  <c r="CD32" i="7"/>
  <c r="CD36" i="7" s="1"/>
  <c r="CC32" i="7"/>
  <c r="CC36" i="7" s="1"/>
  <c r="CB32" i="7"/>
  <c r="CB36" i="7" s="1"/>
  <c r="CA32" i="7"/>
  <c r="CA36" i="7" s="1"/>
  <c r="BZ32" i="7"/>
  <c r="BZ36" i="7" s="1"/>
  <c r="BY32" i="7"/>
  <c r="BY36" i="7" s="1"/>
  <c r="CP36" i="7" s="1"/>
  <c r="BV32" i="7"/>
  <c r="BT32" i="7"/>
  <c r="BT36" i="7" s="1"/>
  <c r="BS32" i="7"/>
  <c r="BS36" i="7" s="1"/>
  <c r="BR32" i="7"/>
  <c r="BR36" i="7" s="1"/>
  <c r="BQ32" i="7"/>
  <c r="BQ36" i="7" s="1"/>
  <c r="BP32" i="7"/>
  <c r="BP36" i="7" s="1"/>
  <c r="BO32" i="7"/>
  <c r="BO36" i="7" s="1"/>
  <c r="BN32" i="7"/>
  <c r="BN36" i="7" s="1"/>
  <c r="BM32" i="7"/>
  <c r="BM36" i="7" s="1"/>
  <c r="BD32" i="7"/>
  <c r="BB32" i="7"/>
  <c r="BB36" i="7" s="1"/>
  <c r="BA32" i="7"/>
  <c r="BA36" i="7" s="1"/>
  <c r="AZ32" i="7"/>
  <c r="AZ36" i="7" s="1"/>
  <c r="AY32" i="7"/>
  <c r="AY36" i="7" s="1"/>
  <c r="AX32" i="7"/>
  <c r="AX36" i="7" s="1"/>
  <c r="AW32" i="7"/>
  <c r="AW36" i="7" s="1"/>
  <c r="AV32" i="7"/>
  <c r="AV36" i="7" s="1"/>
  <c r="AU32" i="7"/>
  <c r="AU36" i="7" s="1"/>
  <c r="BC36" i="7" s="1"/>
  <c r="AL32" i="7"/>
  <c r="AJ32" i="7"/>
  <c r="AJ36" i="7" s="1"/>
  <c r="AI32" i="7"/>
  <c r="AI36" i="7" s="1"/>
  <c r="AH32" i="7"/>
  <c r="AH36" i="7" s="1"/>
  <c r="AG32" i="7"/>
  <c r="AG36" i="7" s="1"/>
  <c r="AF32" i="7"/>
  <c r="AF36" i="7" s="1"/>
  <c r="AE32" i="7"/>
  <c r="AE36" i="7" s="1"/>
  <c r="AD32" i="7"/>
  <c r="AD36" i="7" s="1"/>
  <c r="AC32" i="7"/>
  <c r="AC36" i="7" s="1"/>
  <c r="T32" i="7"/>
  <c r="R32" i="7"/>
  <c r="R36" i="7" s="1"/>
  <c r="Q32" i="7"/>
  <c r="Q36" i="7" s="1"/>
  <c r="P32" i="7"/>
  <c r="P36" i="7" s="1"/>
  <c r="O32" i="7"/>
  <c r="O36" i="7" s="1"/>
  <c r="N32" i="7"/>
  <c r="N36" i="7" s="1"/>
  <c r="M32" i="7"/>
  <c r="M36" i="7" s="1"/>
  <c r="L32" i="7"/>
  <c r="L36" i="7" s="1"/>
  <c r="K32" i="7"/>
  <c r="K36" i="7" s="1"/>
  <c r="S36" i="7" s="1"/>
  <c r="BL31" i="7"/>
  <c r="BK31" i="7"/>
  <c r="BJ31" i="7"/>
  <c r="BI31" i="7"/>
  <c r="BH31" i="7"/>
  <c r="BG31" i="7"/>
  <c r="BF31" i="7"/>
  <c r="BV31" i="7" s="1"/>
  <c r="BE31" i="7"/>
  <c r="AT31" i="7"/>
  <c r="AS31" i="7"/>
  <c r="AR31" i="7"/>
  <c r="AQ31" i="7"/>
  <c r="AP31" i="7"/>
  <c r="AO31" i="7"/>
  <c r="AN31" i="7"/>
  <c r="BD31" i="7" s="1"/>
  <c r="AM31" i="7"/>
  <c r="AB31" i="7"/>
  <c r="AA31" i="7"/>
  <c r="Z31" i="7"/>
  <c r="Y31" i="7"/>
  <c r="X31" i="7"/>
  <c r="W31" i="7"/>
  <c r="V31" i="7"/>
  <c r="AL31" i="7" s="1"/>
  <c r="U31" i="7"/>
  <c r="J31" i="7"/>
  <c r="I31" i="7"/>
  <c r="H31" i="7"/>
  <c r="G31" i="7"/>
  <c r="F31" i="7"/>
  <c r="E31" i="7"/>
  <c r="D31" i="7"/>
  <c r="T31" i="7" s="1"/>
  <c r="C31" i="7"/>
  <c r="CX30" i="7"/>
  <c r="DF30" i="7" s="1"/>
  <c r="CW30" i="7"/>
  <c r="DE30" i="7" s="1"/>
  <c r="CV30" i="7"/>
  <c r="DD30" i="7" s="1"/>
  <c r="CU30" i="7"/>
  <c r="DC30" i="7" s="1"/>
  <c r="CT30" i="7"/>
  <c r="DB30" i="7" s="1"/>
  <c r="CS30" i="7"/>
  <c r="DA30" i="7" s="1"/>
  <c r="CR30" i="7"/>
  <c r="DH30" i="7" s="1"/>
  <c r="CQ30" i="7"/>
  <c r="CY30" i="7" s="1"/>
  <c r="CF30" i="7"/>
  <c r="CN30" i="7" s="1"/>
  <c r="CE30" i="7"/>
  <c r="CM30" i="7" s="1"/>
  <c r="CD30" i="7"/>
  <c r="CL30" i="7" s="1"/>
  <c r="CC30" i="7"/>
  <c r="CK30" i="7" s="1"/>
  <c r="CB30" i="7"/>
  <c r="CJ30" i="7" s="1"/>
  <c r="CA30" i="7"/>
  <c r="CI30" i="7" s="1"/>
  <c r="BZ30" i="7"/>
  <c r="CP30" i="7" s="1"/>
  <c r="BY30" i="7"/>
  <c r="CG30" i="7" s="1"/>
  <c r="BV30" i="7"/>
  <c r="BT30" i="7"/>
  <c r="BS30" i="7"/>
  <c r="BR30" i="7"/>
  <c r="BQ30" i="7"/>
  <c r="BP30" i="7"/>
  <c r="BO30" i="7"/>
  <c r="BN30" i="7"/>
  <c r="BM30" i="7"/>
  <c r="BU30" i="7" s="1"/>
  <c r="BD30" i="7"/>
  <c r="BB30" i="7"/>
  <c r="BA30" i="7"/>
  <c r="AZ30" i="7"/>
  <c r="AY30" i="7"/>
  <c r="AX30" i="7"/>
  <c r="AW30" i="7"/>
  <c r="AV30" i="7"/>
  <c r="AU30" i="7"/>
  <c r="BC30" i="7" s="1"/>
  <c r="AL30" i="7"/>
  <c r="AJ30" i="7"/>
  <c r="AI30" i="7"/>
  <c r="AH30" i="7"/>
  <c r="AG30" i="7"/>
  <c r="AF30" i="7"/>
  <c r="AE30" i="7"/>
  <c r="AD30" i="7"/>
  <c r="AC30" i="7"/>
  <c r="AK30" i="7" s="1"/>
  <c r="T30" i="7"/>
  <c r="R30" i="7"/>
  <c r="Q30" i="7"/>
  <c r="P30" i="7"/>
  <c r="O30" i="7"/>
  <c r="N30" i="7"/>
  <c r="M30" i="7"/>
  <c r="L30" i="7"/>
  <c r="K30" i="7"/>
  <c r="S30" i="7" s="1"/>
  <c r="CX29" i="7"/>
  <c r="DF29" i="7" s="1"/>
  <c r="CW29" i="7"/>
  <c r="DE29" i="7" s="1"/>
  <c r="CV29" i="7"/>
  <c r="DD29" i="7" s="1"/>
  <c r="CU29" i="7"/>
  <c r="DC29" i="7" s="1"/>
  <c r="CT29" i="7"/>
  <c r="DB29" i="7" s="1"/>
  <c r="CS29" i="7"/>
  <c r="DA29" i="7" s="1"/>
  <c r="CR29" i="7"/>
  <c r="DH29" i="7" s="1"/>
  <c r="CQ29" i="7"/>
  <c r="CY29" i="7" s="1"/>
  <c r="CF29" i="7"/>
  <c r="CN29" i="7" s="1"/>
  <c r="CE29" i="7"/>
  <c r="CM29" i="7" s="1"/>
  <c r="CD29" i="7"/>
  <c r="CL29" i="7" s="1"/>
  <c r="CC29" i="7"/>
  <c r="CK29" i="7" s="1"/>
  <c r="CB29" i="7"/>
  <c r="CJ29" i="7" s="1"/>
  <c r="CA29" i="7"/>
  <c r="CI29" i="7" s="1"/>
  <c r="BZ29" i="7"/>
  <c r="CP29" i="7" s="1"/>
  <c r="BY29" i="7"/>
  <c r="CG29" i="7" s="1"/>
  <c r="BV29" i="7"/>
  <c r="BT29" i="7"/>
  <c r="BS29" i="7"/>
  <c r="BR29" i="7"/>
  <c r="BQ29" i="7"/>
  <c r="BP29" i="7"/>
  <c r="BO29" i="7"/>
  <c r="BN29" i="7"/>
  <c r="BM29" i="7"/>
  <c r="BU29" i="7" s="1"/>
  <c r="BD29" i="7"/>
  <c r="BB29" i="7"/>
  <c r="BA29" i="7"/>
  <c r="AZ29" i="7"/>
  <c r="AY29" i="7"/>
  <c r="AX29" i="7"/>
  <c r="AW29" i="7"/>
  <c r="AV29" i="7"/>
  <c r="AU29" i="7"/>
  <c r="BC29" i="7" s="1"/>
  <c r="AL29" i="7"/>
  <c r="AJ29" i="7"/>
  <c r="AI29" i="7"/>
  <c r="AH29" i="7"/>
  <c r="AG29" i="7"/>
  <c r="AF29" i="7"/>
  <c r="AE29" i="7"/>
  <c r="AD29" i="7"/>
  <c r="AC29" i="7"/>
  <c r="AK29" i="7" s="1"/>
  <c r="T29" i="7"/>
  <c r="R29" i="7"/>
  <c r="Q29" i="7"/>
  <c r="P29" i="7"/>
  <c r="O29" i="7"/>
  <c r="N29" i="7"/>
  <c r="M29" i="7"/>
  <c r="L29" i="7"/>
  <c r="K29" i="7"/>
  <c r="S29" i="7" s="1"/>
  <c r="CX28" i="7"/>
  <c r="DF28" i="7" s="1"/>
  <c r="CW28" i="7"/>
  <c r="DE28" i="7" s="1"/>
  <c r="CV28" i="7"/>
  <c r="DD28" i="7" s="1"/>
  <c r="CU28" i="7"/>
  <c r="DC28" i="7" s="1"/>
  <c r="CT28" i="7"/>
  <c r="DB28" i="7" s="1"/>
  <c r="CS28" i="7"/>
  <c r="DA28" i="7" s="1"/>
  <c r="CR28" i="7"/>
  <c r="DH28" i="7" s="1"/>
  <c r="CQ28" i="7"/>
  <c r="CY28" i="7" s="1"/>
  <c r="CF28" i="7"/>
  <c r="CN28" i="7" s="1"/>
  <c r="CE28" i="7"/>
  <c r="CM28" i="7" s="1"/>
  <c r="CD28" i="7"/>
  <c r="CL28" i="7" s="1"/>
  <c r="CC28" i="7"/>
  <c r="CK28" i="7" s="1"/>
  <c r="CB28" i="7"/>
  <c r="CJ28" i="7" s="1"/>
  <c r="CA28" i="7"/>
  <c r="CI28" i="7" s="1"/>
  <c r="BZ28" i="7"/>
  <c r="CP28" i="7" s="1"/>
  <c r="BY28" i="7"/>
  <c r="CG28" i="7" s="1"/>
  <c r="BV28" i="7"/>
  <c r="BT28" i="7"/>
  <c r="BS28" i="7"/>
  <c r="BR28" i="7"/>
  <c r="BQ28" i="7"/>
  <c r="BP28" i="7"/>
  <c r="BO28" i="7"/>
  <c r="BN28" i="7"/>
  <c r="BM28" i="7"/>
  <c r="BU28" i="7" s="1"/>
  <c r="BD28" i="7"/>
  <c r="BB28" i="7"/>
  <c r="BA28" i="7"/>
  <c r="AZ28" i="7"/>
  <c r="AY28" i="7"/>
  <c r="AX28" i="7"/>
  <c r="AW28" i="7"/>
  <c r="AV28" i="7"/>
  <c r="AU28" i="7"/>
  <c r="BC28" i="7" s="1"/>
  <c r="AL28" i="7"/>
  <c r="AJ28" i="7"/>
  <c r="AI28" i="7"/>
  <c r="AH28" i="7"/>
  <c r="AG28" i="7"/>
  <c r="AF28" i="7"/>
  <c r="AE28" i="7"/>
  <c r="AD28" i="7"/>
  <c r="AC28" i="7"/>
  <c r="AK28" i="7" s="1"/>
  <c r="T28" i="7"/>
  <c r="R28" i="7"/>
  <c r="Q28" i="7"/>
  <c r="P28" i="7"/>
  <c r="O28" i="7"/>
  <c r="N28" i="7"/>
  <c r="M28" i="7"/>
  <c r="L28" i="7"/>
  <c r="K28" i="7"/>
  <c r="S28" i="7" s="1"/>
  <c r="CX27" i="7"/>
  <c r="CX31" i="7" s="1"/>
  <c r="CW27" i="7"/>
  <c r="CW31" i="7" s="1"/>
  <c r="CV27" i="7"/>
  <c r="CV31" i="7" s="1"/>
  <c r="CU27" i="7"/>
  <c r="CU31" i="7" s="1"/>
  <c r="CT27" i="7"/>
  <c r="CT31" i="7" s="1"/>
  <c r="CS27" i="7"/>
  <c r="CS31" i="7" s="1"/>
  <c r="CR27" i="7"/>
  <c r="CR31" i="7" s="1"/>
  <c r="CQ27" i="7"/>
  <c r="CQ31" i="7" s="1"/>
  <c r="DH31" i="7" s="1"/>
  <c r="CF27" i="7"/>
  <c r="CF31" i="7" s="1"/>
  <c r="CE27" i="7"/>
  <c r="CE31" i="7" s="1"/>
  <c r="CD27" i="7"/>
  <c r="CD31" i="7" s="1"/>
  <c r="CC27" i="7"/>
  <c r="CC31" i="7" s="1"/>
  <c r="CB27" i="7"/>
  <c r="CB31" i="7" s="1"/>
  <c r="CA27" i="7"/>
  <c r="CA31" i="7" s="1"/>
  <c r="BZ27" i="7"/>
  <c r="BZ31" i="7" s="1"/>
  <c r="BY27" i="7"/>
  <c r="BY31" i="7" s="1"/>
  <c r="CP31" i="7" s="1"/>
  <c r="BV27" i="7"/>
  <c r="BT27" i="7"/>
  <c r="BT31" i="7" s="1"/>
  <c r="BS27" i="7"/>
  <c r="BS31" i="7" s="1"/>
  <c r="BR27" i="7"/>
  <c r="BR31" i="7" s="1"/>
  <c r="BQ27" i="7"/>
  <c r="BQ31" i="7" s="1"/>
  <c r="BP27" i="7"/>
  <c r="BP31" i="7" s="1"/>
  <c r="BO27" i="7"/>
  <c r="BO31" i="7" s="1"/>
  <c r="BN27" i="7"/>
  <c r="BN31" i="7" s="1"/>
  <c r="BM27" i="7"/>
  <c r="BM31" i="7" s="1"/>
  <c r="BD27" i="7"/>
  <c r="BB27" i="7"/>
  <c r="BB31" i="7" s="1"/>
  <c r="BA27" i="7"/>
  <c r="BA31" i="7" s="1"/>
  <c r="AZ27" i="7"/>
  <c r="AZ31" i="7" s="1"/>
  <c r="AY27" i="7"/>
  <c r="AY31" i="7" s="1"/>
  <c r="AX27" i="7"/>
  <c r="AX31" i="7" s="1"/>
  <c r="AW27" i="7"/>
  <c r="AW31" i="7" s="1"/>
  <c r="AV27" i="7"/>
  <c r="AV31" i="7" s="1"/>
  <c r="AU27" i="7"/>
  <c r="AU31" i="7" s="1"/>
  <c r="BC31" i="7" s="1"/>
  <c r="AL27" i="7"/>
  <c r="AJ27" i="7"/>
  <c r="AJ31" i="7" s="1"/>
  <c r="AI27" i="7"/>
  <c r="AI31" i="7" s="1"/>
  <c r="AH27" i="7"/>
  <c r="AH31" i="7" s="1"/>
  <c r="AG27" i="7"/>
  <c r="AG31" i="7" s="1"/>
  <c r="AF27" i="7"/>
  <c r="AF31" i="7" s="1"/>
  <c r="AE27" i="7"/>
  <c r="AE31" i="7" s="1"/>
  <c r="AD27" i="7"/>
  <c r="AD31" i="7" s="1"/>
  <c r="AC27" i="7"/>
  <c r="AC31" i="7" s="1"/>
  <c r="T27" i="7"/>
  <c r="R27" i="7"/>
  <c r="R31" i="7" s="1"/>
  <c r="Q27" i="7"/>
  <c r="Q31" i="7" s="1"/>
  <c r="P27" i="7"/>
  <c r="P31" i="7" s="1"/>
  <c r="O27" i="7"/>
  <c r="O31" i="7" s="1"/>
  <c r="N27" i="7"/>
  <c r="N31" i="7" s="1"/>
  <c r="M27" i="7"/>
  <c r="M31" i="7" s="1"/>
  <c r="L27" i="7"/>
  <c r="L31" i="7" s="1"/>
  <c r="K27" i="7"/>
  <c r="K31" i="7" s="1"/>
  <c r="S31" i="7" s="1"/>
  <c r="BL26" i="7"/>
  <c r="BK26" i="7"/>
  <c r="BJ26" i="7"/>
  <c r="BI26" i="7"/>
  <c r="BH26" i="7"/>
  <c r="BG26" i="7"/>
  <c r="BF26" i="7"/>
  <c r="BV26" i="7" s="1"/>
  <c r="BE26" i="7"/>
  <c r="AT26" i="7"/>
  <c r="AS26" i="7"/>
  <c r="AR26" i="7"/>
  <c r="AQ26" i="7"/>
  <c r="AP26" i="7"/>
  <c r="AO26" i="7"/>
  <c r="AN26" i="7"/>
  <c r="BD26" i="7" s="1"/>
  <c r="AM26" i="7"/>
  <c r="AB26" i="7"/>
  <c r="AA26" i="7"/>
  <c r="Z26" i="7"/>
  <c r="Y26" i="7"/>
  <c r="X26" i="7"/>
  <c r="W26" i="7"/>
  <c r="V26" i="7"/>
  <c r="AL26" i="7" s="1"/>
  <c r="U26" i="7"/>
  <c r="J26" i="7"/>
  <c r="I26" i="7"/>
  <c r="H26" i="7"/>
  <c r="G26" i="7"/>
  <c r="F26" i="7"/>
  <c r="E26" i="7"/>
  <c r="D26" i="7"/>
  <c r="T26" i="7" s="1"/>
  <c r="C26" i="7"/>
  <c r="CX25" i="7"/>
  <c r="DF25" i="7" s="1"/>
  <c r="CW25" i="7"/>
  <c r="DE25" i="7" s="1"/>
  <c r="CV25" i="7"/>
  <c r="DD25" i="7" s="1"/>
  <c r="CU25" i="7"/>
  <c r="DC25" i="7" s="1"/>
  <c r="CT25" i="7"/>
  <c r="DB25" i="7" s="1"/>
  <c r="CS25" i="7"/>
  <c r="DA25" i="7" s="1"/>
  <c r="CR25" i="7"/>
  <c r="DH25" i="7" s="1"/>
  <c r="CQ25" i="7"/>
  <c r="CY25" i="7" s="1"/>
  <c r="CF25" i="7"/>
  <c r="CN25" i="7" s="1"/>
  <c r="CE25" i="7"/>
  <c r="CM25" i="7" s="1"/>
  <c r="CD25" i="7"/>
  <c r="CL25" i="7" s="1"/>
  <c r="CC25" i="7"/>
  <c r="CK25" i="7" s="1"/>
  <c r="CB25" i="7"/>
  <c r="CJ25" i="7" s="1"/>
  <c r="CA25" i="7"/>
  <c r="CI25" i="7" s="1"/>
  <c r="BZ25" i="7"/>
  <c r="CP25" i="7" s="1"/>
  <c r="BY25" i="7"/>
  <c r="CG25" i="7" s="1"/>
  <c r="BV25" i="7"/>
  <c r="BT25" i="7"/>
  <c r="BS25" i="7"/>
  <c r="BR25" i="7"/>
  <c r="BQ25" i="7"/>
  <c r="BP25" i="7"/>
  <c r="BO25" i="7"/>
  <c r="BN25" i="7"/>
  <c r="BM25" i="7"/>
  <c r="BU25" i="7" s="1"/>
  <c r="BD25" i="7"/>
  <c r="BB25" i="7"/>
  <c r="BA25" i="7"/>
  <c r="AZ25" i="7"/>
  <c r="AY25" i="7"/>
  <c r="AX25" i="7"/>
  <c r="AW25" i="7"/>
  <c r="AV25" i="7"/>
  <c r="AU25" i="7"/>
  <c r="BC25" i="7" s="1"/>
  <c r="AL25" i="7"/>
  <c r="AJ25" i="7"/>
  <c r="AI25" i="7"/>
  <c r="AH25" i="7"/>
  <c r="AG25" i="7"/>
  <c r="AF25" i="7"/>
  <c r="AE25" i="7"/>
  <c r="AD25" i="7"/>
  <c r="AC25" i="7"/>
  <c r="AK25" i="7" s="1"/>
  <c r="T25" i="7"/>
  <c r="R25" i="7"/>
  <c r="Q25" i="7"/>
  <c r="P25" i="7"/>
  <c r="O25" i="7"/>
  <c r="N25" i="7"/>
  <c r="M25" i="7"/>
  <c r="L25" i="7"/>
  <c r="K25" i="7"/>
  <c r="S25" i="7" s="1"/>
  <c r="CX24" i="7"/>
  <c r="DF24" i="7" s="1"/>
  <c r="CW24" i="7"/>
  <c r="DE24" i="7" s="1"/>
  <c r="CV24" i="7"/>
  <c r="DD24" i="7" s="1"/>
  <c r="CU24" i="7"/>
  <c r="DC24" i="7" s="1"/>
  <c r="CT24" i="7"/>
  <c r="DB24" i="7" s="1"/>
  <c r="CS24" i="7"/>
  <c r="DA24" i="7" s="1"/>
  <c r="CR24" i="7"/>
  <c r="DH24" i="7" s="1"/>
  <c r="CQ24" i="7"/>
  <c r="CY24" i="7" s="1"/>
  <c r="CF24" i="7"/>
  <c r="CN24" i="7" s="1"/>
  <c r="CE24" i="7"/>
  <c r="CM24" i="7" s="1"/>
  <c r="CD24" i="7"/>
  <c r="CL24" i="7" s="1"/>
  <c r="CC24" i="7"/>
  <c r="CK24" i="7" s="1"/>
  <c r="CB24" i="7"/>
  <c r="CJ24" i="7" s="1"/>
  <c r="CA24" i="7"/>
  <c r="CI24" i="7" s="1"/>
  <c r="BZ24" i="7"/>
  <c r="CP24" i="7" s="1"/>
  <c r="BY24" i="7"/>
  <c r="CG24" i="7" s="1"/>
  <c r="BV24" i="7"/>
  <c r="BT24" i="7"/>
  <c r="BS24" i="7"/>
  <c r="BR24" i="7"/>
  <c r="BQ24" i="7"/>
  <c r="BP24" i="7"/>
  <c r="BO24" i="7"/>
  <c r="BN24" i="7"/>
  <c r="BM24" i="7"/>
  <c r="BU24" i="7" s="1"/>
  <c r="BD24" i="7"/>
  <c r="BB24" i="7"/>
  <c r="BA24" i="7"/>
  <c r="AZ24" i="7"/>
  <c r="AY24" i="7"/>
  <c r="AX24" i="7"/>
  <c r="AW24" i="7"/>
  <c r="AV24" i="7"/>
  <c r="AU24" i="7"/>
  <c r="BC24" i="7" s="1"/>
  <c r="AL24" i="7"/>
  <c r="AJ24" i="7"/>
  <c r="AI24" i="7"/>
  <c r="AH24" i="7"/>
  <c r="AG24" i="7"/>
  <c r="AF24" i="7"/>
  <c r="AE24" i="7"/>
  <c r="AD24" i="7"/>
  <c r="AC24" i="7"/>
  <c r="AK24" i="7" s="1"/>
  <c r="T24" i="7"/>
  <c r="R24" i="7"/>
  <c r="Q24" i="7"/>
  <c r="P24" i="7"/>
  <c r="O24" i="7"/>
  <c r="N24" i="7"/>
  <c r="M24" i="7"/>
  <c r="L24" i="7"/>
  <c r="K24" i="7"/>
  <c r="S24" i="7" s="1"/>
  <c r="CX23" i="7"/>
  <c r="DF23" i="7" s="1"/>
  <c r="CW23" i="7"/>
  <c r="DE23" i="7" s="1"/>
  <c r="CV23" i="7"/>
  <c r="DD23" i="7" s="1"/>
  <c r="CU23" i="7"/>
  <c r="DC23" i="7" s="1"/>
  <c r="CT23" i="7"/>
  <c r="DB23" i="7" s="1"/>
  <c r="CS23" i="7"/>
  <c r="DA23" i="7" s="1"/>
  <c r="CR23" i="7"/>
  <c r="DH23" i="7" s="1"/>
  <c r="CQ23" i="7"/>
  <c r="CY23" i="7" s="1"/>
  <c r="CF23" i="7"/>
  <c r="CN23" i="7" s="1"/>
  <c r="CE23" i="7"/>
  <c r="CM23" i="7" s="1"/>
  <c r="CD23" i="7"/>
  <c r="CL23" i="7" s="1"/>
  <c r="CC23" i="7"/>
  <c r="CK23" i="7" s="1"/>
  <c r="CB23" i="7"/>
  <c r="CJ23" i="7" s="1"/>
  <c r="CA23" i="7"/>
  <c r="CI23" i="7" s="1"/>
  <c r="BZ23" i="7"/>
  <c r="CP23" i="7" s="1"/>
  <c r="BY23" i="7"/>
  <c r="CG23" i="7" s="1"/>
  <c r="BV23" i="7"/>
  <c r="BT23" i="7"/>
  <c r="BS23" i="7"/>
  <c r="BR23" i="7"/>
  <c r="BQ23" i="7"/>
  <c r="BP23" i="7"/>
  <c r="BO23" i="7"/>
  <c r="BN23" i="7"/>
  <c r="BM23" i="7"/>
  <c r="BU23" i="7" s="1"/>
  <c r="BD23" i="7"/>
  <c r="BB23" i="7"/>
  <c r="BA23" i="7"/>
  <c r="AZ23" i="7"/>
  <c r="AY23" i="7"/>
  <c r="AX23" i="7"/>
  <c r="AW23" i="7"/>
  <c r="AV23" i="7"/>
  <c r="AU23" i="7"/>
  <c r="BC23" i="7" s="1"/>
  <c r="AL23" i="7"/>
  <c r="AJ23" i="7"/>
  <c r="AI23" i="7"/>
  <c r="AH23" i="7"/>
  <c r="AG23" i="7"/>
  <c r="AF23" i="7"/>
  <c r="AE23" i="7"/>
  <c r="AD23" i="7"/>
  <c r="AC23" i="7"/>
  <c r="AK23" i="7" s="1"/>
  <c r="T23" i="7"/>
  <c r="R23" i="7"/>
  <c r="Q23" i="7"/>
  <c r="P23" i="7"/>
  <c r="O23" i="7"/>
  <c r="N23" i="7"/>
  <c r="M23" i="7"/>
  <c r="L23" i="7"/>
  <c r="K23" i="7"/>
  <c r="S23" i="7" s="1"/>
  <c r="CX22" i="7"/>
  <c r="CX26" i="7" s="1"/>
  <c r="CW22" i="7"/>
  <c r="CW26" i="7" s="1"/>
  <c r="CV22" i="7"/>
  <c r="CV26" i="7" s="1"/>
  <c r="CU22" i="7"/>
  <c r="CU26" i="7" s="1"/>
  <c r="CT22" i="7"/>
  <c r="CT26" i="7" s="1"/>
  <c r="CS22" i="7"/>
  <c r="CS26" i="7" s="1"/>
  <c r="CR22" i="7"/>
  <c r="CR26" i="7" s="1"/>
  <c r="CQ22" i="7"/>
  <c r="CQ26" i="7" s="1"/>
  <c r="DH26" i="7" s="1"/>
  <c r="CF22" i="7"/>
  <c r="CF26" i="7" s="1"/>
  <c r="CE22" i="7"/>
  <c r="CE26" i="7" s="1"/>
  <c r="CD22" i="7"/>
  <c r="CD26" i="7" s="1"/>
  <c r="CC22" i="7"/>
  <c r="CC26" i="7" s="1"/>
  <c r="CB22" i="7"/>
  <c r="CB26" i="7" s="1"/>
  <c r="CA22" i="7"/>
  <c r="CA26" i="7" s="1"/>
  <c r="BZ22" i="7"/>
  <c r="BZ26" i="7" s="1"/>
  <c r="BY22" i="7"/>
  <c r="BY26" i="7" s="1"/>
  <c r="CP26" i="7" s="1"/>
  <c r="BV22" i="7"/>
  <c r="BT22" i="7"/>
  <c r="BT26" i="7" s="1"/>
  <c r="BS22" i="7"/>
  <c r="BS26" i="7" s="1"/>
  <c r="BR22" i="7"/>
  <c r="BR26" i="7" s="1"/>
  <c r="BQ22" i="7"/>
  <c r="BQ26" i="7" s="1"/>
  <c r="BP22" i="7"/>
  <c r="BP26" i="7" s="1"/>
  <c r="BO22" i="7"/>
  <c r="BO26" i="7" s="1"/>
  <c r="BN22" i="7"/>
  <c r="BN26" i="7" s="1"/>
  <c r="BM22" i="7"/>
  <c r="BM26" i="7" s="1"/>
  <c r="BD22" i="7"/>
  <c r="BB22" i="7"/>
  <c r="BB26" i="7" s="1"/>
  <c r="BA22" i="7"/>
  <c r="BA26" i="7" s="1"/>
  <c r="AZ22" i="7"/>
  <c r="AZ26" i="7" s="1"/>
  <c r="AY22" i="7"/>
  <c r="AY26" i="7" s="1"/>
  <c r="AX22" i="7"/>
  <c r="AX26" i="7" s="1"/>
  <c r="AW22" i="7"/>
  <c r="AW26" i="7" s="1"/>
  <c r="AV22" i="7"/>
  <c r="AV26" i="7" s="1"/>
  <c r="AU22" i="7"/>
  <c r="AU26" i="7" s="1"/>
  <c r="BC26" i="7" s="1"/>
  <c r="AL22" i="7"/>
  <c r="AJ22" i="7"/>
  <c r="AJ26" i="7" s="1"/>
  <c r="AI22" i="7"/>
  <c r="AI26" i="7" s="1"/>
  <c r="AH22" i="7"/>
  <c r="AH26" i="7" s="1"/>
  <c r="AG22" i="7"/>
  <c r="AG26" i="7" s="1"/>
  <c r="AF22" i="7"/>
  <c r="AF26" i="7" s="1"/>
  <c r="AE22" i="7"/>
  <c r="AE26" i="7" s="1"/>
  <c r="AD22" i="7"/>
  <c r="AD26" i="7" s="1"/>
  <c r="AC22" i="7"/>
  <c r="AC26" i="7" s="1"/>
  <c r="T22" i="7"/>
  <c r="R22" i="7"/>
  <c r="R26" i="7" s="1"/>
  <c r="Q22" i="7"/>
  <c r="Q26" i="7" s="1"/>
  <c r="P22" i="7"/>
  <c r="P26" i="7" s="1"/>
  <c r="O22" i="7"/>
  <c r="O26" i="7" s="1"/>
  <c r="N22" i="7"/>
  <c r="N26" i="7" s="1"/>
  <c r="M22" i="7"/>
  <c r="M26" i="7" s="1"/>
  <c r="L22" i="7"/>
  <c r="L26" i="7" s="1"/>
  <c r="K22" i="7"/>
  <c r="K26" i="7" s="1"/>
  <c r="S26" i="7" s="1"/>
  <c r="BL21" i="7"/>
  <c r="BK21" i="7"/>
  <c r="BJ21" i="7"/>
  <c r="BI21" i="7"/>
  <c r="BH21" i="7"/>
  <c r="BG21" i="7"/>
  <c r="BF21" i="7"/>
  <c r="BV21" i="7" s="1"/>
  <c r="BE21" i="7"/>
  <c r="AT21" i="7"/>
  <c r="AS21" i="7"/>
  <c r="AR21" i="7"/>
  <c r="AQ21" i="7"/>
  <c r="AP21" i="7"/>
  <c r="AO21" i="7"/>
  <c r="AN21" i="7"/>
  <c r="BD21" i="7" s="1"/>
  <c r="AM21" i="7"/>
  <c r="AB21" i="7"/>
  <c r="AA21" i="7"/>
  <c r="Z21" i="7"/>
  <c r="Y21" i="7"/>
  <c r="X21" i="7"/>
  <c r="W21" i="7"/>
  <c r="V21" i="7"/>
  <c r="AL21" i="7" s="1"/>
  <c r="U21" i="7"/>
  <c r="J21" i="7"/>
  <c r="I21" i="7"/>
  <c r="H21" i="7"/>
  <c r="G21" i="7"/>
  <c r="F21" i="7"/>
  <c r="E21" i="7"/>
  <c r="D21" i="7"/>
  <c r="T21" i="7" s="1"/>
  <c r="C21" i="7"/>
  <c r="CX20" i="7"/>
  <c r="DF20" i="7" s="1"/>
  <c r="CW20" i="7"/>
  <c r="DE20" i="7" s="1"/>
  <c r="CV20" i="7"/>
  <c r="DD20" i="7" s="1"/>
  <c r="CU20" i="7"/>
  <c r="DC20" i="7" s="1"/>
  <c r="CT20" i="7"/>
  <c r="DB20" i="7" s="1"/>
  <c r="CS20" i="7"/>
  <c r="DA20" i="7" s="1"/>
  <c r="CR20" i="7"/>
  <c r="DH20" i="7" s="1"/>
  <c r="CQ20" i="7"/>
  <c r="CY20" i="7" s="1"/>
  <c r="CF20" i="7"/>
  <c r="CN20" i="7" s="1"/>
  <c r="CE20" i="7"/>
  <c r="CM20" i="7" s="1"/>
  <c r="CD20" i="7"/>
  <c r="CL20" i="7" s="1"/>
  <c r="CC20" i="7"/>
  <c r="CK20" i="7" s="1"/>
  <c r="CB20" i="7"/>
  <c r="CJ20" i="7" s="1"/>
  <c r="CA20" i="7"/>
  <c r="CI20" i="7" s="1"/>
  <c r="BZ20" i="7"/>
  <c r="CP20" i="7" s="1"/>
  <c r="BY20" i="7"/>
  <c r="CG20" i="7" s="1"/>
  <c r="BV20" i="7"/>
  <c r="BT20" i="7"/>
  <c r="BS20" i="7"/>
  <c r="BR20" i="7"/>
  <c r="BQ20" i="7"/>
  <c r="BP20" i="7"/>
  <c r="BO20" i="7"/>
  <c r="BN20" i="7"/>
  <c r="BM20" i="7"/>
  <c r="BU20" i="7" s="1"/>
  <c r="BD20" i="7"/>
  <c r="BB20" i="7"/>
  <c r="BA20" i="7"/>
  <c r="AZ20" i="7"/>
  <c r="AY20" i="7"/>
  <c r="AX20" i="7"/>
  <c r="AW20" i="7"/>
  <c r="AV20" i="7"/>
  <c r="AU20" i="7"/>
  <c r="BC20" i="7" s="1"/>
  <c r="AL20" i="7"/>
  <c r="AJ20" i="7"/>
  <c r="AI20" i="7"/>
  <c r="AH20" i="7"/>
  <c r="AG20" i="7"/>
  <c r="AF20" i="7"/>
  <c r="AE20" i="7"/>
  <c r="AD20" i="7"/>
  <c r="AC20" i="7"/>
  <c r="AK20" i="7" s="1"/>
  <c r="T20" i="7"/>
  <c r="R20" i="7"/>
  <c r="Q20" i="7"/>
  <c r="P20" i="7"/>
  <c r="O20" i="7"/>
  <c r="N20" i="7"/>
  <c r="M20" i="7"/>
  <c r="L20" i="7"/>
  <c r="K20" i="7"/>
  <c r="S20" i="7" s="1"/>
  <c r="CX19" i="7"/>
  <c r="DF19" i="7" s="1"/>
  <c r="CW19" i="7"/>
  <c r="DE19" i="7" s="1"/>
  <c r="CV19" i="7"/>
  <c r="DD19" i="7" s="1"/>
  <c r="CU19" i="7"/>
  <c r="DC19" i="7" s="1"/>
  <c r="CT19" i="7"/>
  <c r="DB19" i="7" s="1"/>
  <c r="CS19" i="7"/>
  <c r="DA19" i="7" s="1"/>
  <c r="CR19" i="7"/>
  <c r="DH19" i="7" s="1"/>
  <c r="CQ19" i="7"/>
  <c r="CY19" i="7" s="1"/>
  <c r="CF19" i="7"/>
  <c r="CN19" i="7" s="1"/>
  <c r="CE19" i="7"/>
  <c r="CM19" i="7" s="1"/>
  <c r="CD19" i="7"/>
  <c r="CL19" i="7" s="1"/>
  <c r="CC19" i="7"/>
  <c r="CK19" i="7" s="1"/>
  <c r="CB19" i="7"/>
  <c r="CJ19" i="7" s="1"/>
  <c r="CA19" i="7"/>
  <c r="CI19" i="7" s="1"/>
  <c r="BZ19" i="7"/>
  <c r="CP19" i="7" s="1"/>
  <c r="BY19" i="7"/>
  <c r="CG19" i="7" s="1"/>
  <c r="BV19" i="7"/>
  <c r="BT19" i="7"/>
  <c r="BS19" i="7"/>
  <c r="BR19" i="7"/>
  <c r="BQ19" i="7"/>
  <c r="BP19" i="7"/>
  <c r="BO19" i="7"/>
  <c r="BN19" i="7"/>
  <c r="BM19" i="7"/>
  <c r="BU19" i="7" s="1"/>
  <c r="BD19" i="7"/>
  <c r="BB19" i="7"/>
  <c r="BA19" i="7"/>
  <c r="AZ19" i="7"/>
  <c r="AY19" i="7"/>
  <c r="AX19" i="7"/>
  <c r="AW19" i="7"/>
  <c r="AV19" i="7"/>
  <c r="AU19" i="7"/>
  <c r="BC19" i="7" s="1"/>
  <c r="AL19" i="7"/>
  <c r="AJ19" i="7"/>
  <c r="AI19" i="7"/>
  <c r="AH19" i="7"/>
  <c r="AG19" i="7"/>
  <c r="AF19" i="7"/>
  <c r="AE19" i="7"/>
  <c r="AD19" i="7"/>
  <c r="AC19" i="7"/>
  <c r="AK19" i="7" s="1"/>
  <c r="T19" i="7"/>
  <c r="R19" i="7"/>
  <c r="Q19" i="7"/>
  <c r="P19" i="7"/>
  <c r="O19" i="7"/>
  <c r="N19" i="7"/>
  <c r="M19" i="7"/>
  <c r="L19" i="7"/>
  <c r="K19" i="7"/>
  <c r="S19" i="7" s="1"/>
  <c r="CX18" i="7"/>
  <c r="DF18" i="7" s="1"/>
  <c r="CW18" i="7"/>
  <c r="DE18" i="7" s="1"/>
  <c r="CV18" i="7"/>
  <c r="DD18" i="7" s="1"/>
  <c r="CU18" i="7"/>
  <c r="DC18" i="7" s="1"/>
  <c r="CT18" i="7"/>
  <c r="DB18" i="7" s="1"/>
  <c r="CS18" i="7"/>
  <c r="DA18" i="7" s="1"/>
  <c r="CR18" i="7"/>
  <c r="DH18" i="7" s="1"/>
  <c r="CQ18" i="7"/>
  <c r="CY18" i="7" s="1"/>
  <c r="CF18" i="7"/>
  <c r="CN18" i="7" s="1"/>
  <c r="CE18" i="7"/>
  <c r="CM18" i="7" s="1"/>
  <c r="CD18" i="7"/>
  <c r="CL18" i="7" s="1"/>
  <c r="CC18" i="7"/>
  <c r="CK18" i="7" s="1"/>
  <c r="CB18" i="7"/>
  <c r="CJ18" i="7" s="1"/>
  <c r="CA18" i="7"/>
  <c r="CI18" i="7" s="1"/>
  <c r="BZ18" i="7"/>
  <c r="CP18" i="7" s="1"/>
  <c r="BY18" i="7"/>
  <c r="CG18" i="7" s="1"/>
  <c r="BV18" i="7"/>
  <c r="BT18" i="7"/>
  <c r="BS18" i="7"/>
  <c r="BR18" i="7"/>
  <c r="BQ18" i="7"/>
  <c r="BP18" i="7"/>
  <c r="BO18" i="7"/>
  <c r="BN18" i="7"/>
  <c r="BM18" i="7"/>
  <c r="BU18" i="7" s="1"/>
  <c r="BD18" i="7"/>
  <c r="BB18" i="7"/>
  <c r="BA18" i="7"/>
  <c r="AZ18" i="7"/>
  <c r="AY18" i="7"/>
  <c r="AX18" i="7"/>
  <c r="AW18" i="7"/>
  <c r="AV18" i="7"/>
  <c r="AU18" i="7"/>
  <c r="BC18" i="7" s="1"/>
  <c r="AL18" i="7"/>
  <c r="AJ18" i="7"/>
  <c r="AI18" i="7"/>
  <c r="AH18" i="7"/>
  <c r="AG18" i="7"/>
  <c r="AF18" i="7"/>
  <c r="AE18" i="7"/>
  <c r="AD18" i="7"/>
  <c r="AC18" i="7"/>
  <c r="AK18" i="7" s="1"/>
  <c r="T18" i="7"/>
  <c r="R18" i="7"/>
  <c r="Q18" i="7"/>
  <c r="P18" i="7"/>
  <c r="O18" i="7"/>
  <c r="N18" i="7"/>
  <c r="M18" i="7"/>
  <c r="L18" i="7"/>
  <c r="K18" i="7"/>
  <c r="S18" i="7" s="1"/>
  <c r="CX17" i="7"/>
  <c r="CX21" i="7" s="1"/>
  <c r="CW17" i="7"/>
  <c r="CW21" i="7" s="1"/>
  <c r="CV17" i="7"/>
  <c r="CV21" i="7" s="1"/>
  <c r="CU17" i="7"/>
  <c r="CU21" i="7" s="1"/>
  <c r="CT17" i="7"/>
  <c r="CT21" i="7" s="1"/>
  <c r="CS17" i="7"/>
  <c r="CS21" i="7" s="1"/>
  <c r="CR17" i="7"/>
  <c r="CR21" i="7" s="1"/>
  <c r="CQ17" i="7"/>
  <c r="CQ21" i="7" s="1"/>
  <c r="DH21" i="7" s="1"/>
  <c r="CF17" i="7"/>
  <c r="CF21" i="7" s="1"/>
  <c r="CE17" i="7"/>
  <c r="CE21" i="7" s="1"/>
  <c r="CD17" i="7"/>
  <c r="CD21" i="7" s="1"/>
  <c r="CC17" i="7"/>
  <c r="CC21" i="7" s="1"/>
  <c r="CB17" i="7"/>
  <c r="CB21" i="7" s="1"/>
  <c r="CA17" i="7"/>
  <c r="CA21" i="7" s="1"/>
  <c r="BZ17" i="7"/>
  <c r="BZ21" i="7" s="1"/>
  <c r="BY17" i="7"/>
  <c r="BY21" i="7" s="1"/>
  <c r="CP21" i="7" s="1"/>
  <c r="BV17" i="7"/>
  <c r="BT17" i="7"/>
  <c r="BT21" i="7" s="1"/>
  <c r="BS17" i="7"/>
  <c r="BS21" i="7" s="1"/>
  <c r="BR17" i="7"/>
  <c r="BR21" i="7" s="1"/>
  <c r="BQ17" i="7"/>
  <c r="BQ21" i="7" s="1"/>
  <c r="BP17" i="7"/>
  <c r="BP21" i="7" s="1"/>
  <c r="BO17" i="7"/>
  <c r="BO21" i="7" s="1"/>
  <c r="BN17" i="7"/>
  <c r="BN21" i="7" s="1"/>
  <c r="BM17" i="7"/>
  <c r="BM21" i="7" s="1"/>
  <c r="BD17" i="7"/>
  <c r="BB17" i="7"/>
  <c r="BB21" i="7" s="1"/>
  <c r="BA17" i="7"/>
  <c r="BA21" i="7" s="1"/>
  <c r="AZ17" i="7"/>
  <c r="AZ21" i="7" s="1"/>
  <c r="AY17" i="7"/>
  <c r="AY21" i="7" s="1"/>
  <c r="AX17" i="7"/>
  <c r="AX21" i="7" s="1"/>
  <c r="AW17" i="7"/>
  <c r="AW21" i="7" s="1"/>
  <c r="AV17" i="7"/>
  <c r="AV21" i="7" s="1"/>
  <c r="AU17" i="7"/>
  <c r="AU21" i="7" s="1"/>
  <c r="BC21" i="7" s="1"/>
  <c r="AL17" i="7"/>
  <c r="AJ17" i="7"/>
  <c r="AJ21" i="7" s="1"/>
  <c r="AI17" i="7"/>
  <c r="AI21" i="7" s="1"/>
  <c r="AH17" i="7"/>
  <c r="AH21" i="7" s="1"/>
  <c r="AG17" i="7"/>
  <c r="AG21" i="7" s="1"/>
  <c r="AF17" i="7"/>
  <c r="AF21" i="7" s="1"/>
  <c r="AE17" i="7"/>
  <c r="AE21" i="7" s="1"/>
  <c r="AD17" i="7"/>
  <c r="AD21" i="7" s="1"/>
  <c r="AC17" i="7"/>
  <c r="AC21" i="7" s="1"/>
  <c r="T17" i="7"/>
  <c r="R17" i="7"/>
  <c r="R21" i="7" s="1"/>
  <c r="Q17" i="7"/>
  <c r="Q21" i="7" s="1"/>
  <c r="P17" i="7"/>
  <c r="P21" i="7" s="1"/>
  <c r="O17" i="7"/>
  <c r="O21" i="7" s="1"/>
  <c r="N17" i="7"/>
  <c r="N21" i="7" s="1"/>
  <c r="M17" i="7"/>
  <c r="M21" i="7" s="1"/>
  <c r="L17" i="7"/>
  <c r="L21" i="7" s="1"/>
  <c r="K17" i="7"/>
  <c r="K21" i="7" s="1"/>
  <c r="S21" i="7" s="1"/>
  <c r="BL16" i="7"/>
  <c r="BL133" i="7" s="1"/>
  <c r="BK16" i="7"/>
  <c r="BK133" i="7" s="1"/>
  <c r="BJ16" i="7"/>
  <c r="BJ133" i="7" s="1"/>
  <c r="BI16" i="7"/>
  <c r="BI133" i="7" s="1"/>
  <c r="BH16" i="7"/>
  <c r="BH133" i="7" s="1"/>
  <c r="BG16" i="7"/>
  <c r="BG133" i="7" s="1"/>
  <c r="BF16" i="7"/>
  <c r="BF133" i="7" s="1"/>
  <c r="BE16" i="7"/>
  <c r="BE133" i="7" s="1"/>
  <c r="AT16" i="7"/>
  <c r="AT133" i="7" s="1"/>
  <c r="AS16" i="7"/>
  <c r="AS133" i="7" s="1"/>
  <c r="AR16" i="7"/>
  <c r="AR133" i="7" s="1"/>
  <c r="AQ16" i="7"/>
  <c r="AQ133" i="7" s="1"/>
  <c r="AP16" i="7"/>
  <c r="AP133" i="7" s="1"/>
  <c r="AO16" i="7"/>
  <c r="AO133" i="7" s="1"/>
  <c r="AN16" i="7"/>
  <c r="AN133" i="7" s="1"/>
  <c r="AM16" i="7"/>
  <c r="AM133" i="7" s="1"/>
  <c r="AB16" i="7"/>
  <c r="AB133" i="7" s="1"/>
  <c r="AA16" i="7"/>
  <c r="AA133" i="7" s="1"/>
  <c r="Z16" i="7"/>
  <c r="Z133" i="7" s="1"/>
  <c r="Y16" i="7"/>
  <c r="Y133" i="7" s="1"/>
  <c r="X16" i="7"/>
  <c r="X133" i="7" s="1"/>
  <c r="W16" i="7"/>
  <c r="W133" i="7" s="1"/>
  <c r="V16" i="7"/>
  <c r="V133" i="7" s="1"/>
  <c r="U16" i="7"/>
  <c r="U133" i="7" s="1"/>
  <c r="J16" i="7"/>
  <c r="J133" i="7" s="1"/>
  <c r="I16" i="7"/>
  <c r="I133" i="7" s="1"/>
  <c r="H16" i="7"/>
  <c r="H133" i="7" s="1"/>
  <c r="G16" i="7"/>
  <c r="G133" i="7" s="1"/>
  <c r="F16" i="7"/>
  <c r="F133" i="7" s="1"/>
  <c r="E16" i="7"/>
  <c r="E133" i="7" s="1"/>
  <c r="D16" i="7"/>
  <c r="D133" i="7" s="1"/>
  <c r="C16" i="7"/>
  <c r="C133" i="7" s="1"/>
  <c r="CX15" i="7"/>
  <c r="DF15" i="7" s="1"/>
  <c r="CW15" i="7"/>
  <c r="DE15" i="7" s="1"/>
  <c r="CV15" i="7"/>
  <c r="DD15" i="7" s="1"/>
  <c r="CU15" i="7"/>
  <c r="DC15" i="7" s="1"/>
  <c r="CT15" i="7"/>
  <c r="DB15" i="7" s="1"/>
  <c r="CS15" i="7"/>
  <c r="DA15" i="7" s="1"/>
  <c r="CR15" i="7"/>
  <c r="DH15" i="7" s="1"/>
  <c r="CQ15" i="7"/>
  <c r="CY15" i="7" s="1"/>
  <c r="CF15" i="7"/>
  <c r="CN15" i="7" s="1"/>
  <c r="CE15" i="7"/>
  <c r="CM15" i="7" s="1"/>
  <c r="CD15" i="7"/>
  <c r="CL15" i="7" s="1"/>
  <c r="CC15" i="7"/>
  <c r="CK15" i="7" s="1"/>
  <c r="CB15" i="7"/>
  <c r="CJ15" i="7" s="1"/>
  <c r="CA15" i="7"/>
  <c r="CI15" i="7" s="1"/>
  <c r="BZ15" i="7"/>
  <c r="CP15" i="7" s="1"/>
  <c r="BY15" i="7"/>
  <c r="CG15" i="7" s="1"/>
  <c r="BV15" i="7"/>
  <c r="BT15" i="7"/>
  <c r="BS15" i="7"/>
  <c r="BR15" i="7"/>
  <c r="BQ15" i="7"/>
  <c r="BP15" i="7"/>
  <c r="BO15" i="7"/>
  <c r="BN15" i="7"/>
  <c r="BM15" i="7"/>
  <c r="BU15" i="7" s="1"/>
  <c r="BD15" i="7"/>
  <c r="BB15" i="7"/>
  <c r="BA15" i="7"/>
  <c r="AZ15" i="7"/>
  <c r="AY15" i="7"/>
  <c r="AX15" i="7"/>
  <c r="AW15" i="7"/>
  <c r="AV15" i="7"/>
  <c r="AU15" i="7"/>
  <c r="BC15" i="7" s="1"/>
  <c r="AL15" i="7"/>
  <c r="AJ15" i="7"/>
  <c r="AI15" i="7"/>
  <c r="AH15" i="7"/>
  <c r="AG15" i="7"/>
  <c r="AF15" i="7"/>
  <c r="AE15" i="7"/>
  <c r="AD15" i="7"/>
  <c r="AC15" i="7"/>
  <c r="AK15" i="7" s="1"/>
  <c r="T15" i="7"/>
  <c r="R15" i="7"/>
  <c r="Q15" i="7"/>
  <c r="P15" i="7"/>
  <c r="O15" i="7"/>
  <c r="N15" i="7"/>
  <c r="M15" i="7"/>
  <c r="L15" i="7"/>
  <c r="K15" i="7"/>
  <c r="S15" i="7" s="1"/>
  <c r="CX14" i="7"/>
  <c r="DF14" i="7" s="1"/>
  <c r="CW14" i="7"/>
  <c r="DE14" i="7" s="1"/>
  <c r="CV14" i="7"/>
  <c r="DD14" i="7" s="1"/>
  <c r="CU14" i="7"/>
  <c r="DC14" i="7" s="1"/>
  <c r="CT14" i="7"/>
  <c r="DB14" i="7" s="1"/>
  <c r="CS14" i="7"/>
  <c r="DA14" i="7" s="1"/>
  <c r="CR14" i="7"/>
  <c r="DH14" i="7" s="1"/>
  <c r="CQ14" i="7"/>
  <c r="CY14" i="7" s="1"/>
  <c r="CF14" i="7"/>
  <c r="CN14" i="7" s="1"/>
  <c r="CE14" i="7"/>
  <c r="CM14" i="7" s="1"/>
  <c r="CD14" i="7"/>
  <c r="CL14" i="7" s="1"/>
  <c r="CC14" i="7"/>
  <c r="CK14" i="7" s="1"/>
  <c r="CB14" i="7"/>
  <c r="CJ14" i="7" s="1"/>
  <c r="CA14" i="7"/>
  <c r="CI14" i="7" s="1"/>
  <c r="BZ14" i="7"/>
  <c r="CP14" i="7" s="1"/>
  <c r="BY14" i="7"/>
  <c r="CG14" i="7" s="1"/>
  <c r="BV14" i="7"/>
  <c r="BT14" i="7"/>
  <c r="BS14" i="7"/>
  <c r="BR14" i="7"/>
  <c r="BQ14" i="7"/>
  <c r="BP14" i="7"/>
  <c r="BO14" i="7"/>
  <c r="BN14" i="7"/>
  <c r="BM14" i="7"/>
  <c r="BU14" i="7" s="1"/>
  <c r="BD14" i="7"/>
  <c r="BB14" i="7"/>
  <c r="BA14" i="7"/>
  <c r="AZ14" i="7"/>
  <c r="AY14" i="7"/>
  <c r="AX14" i="7"/>
  <c r="AW14" i="7"/>
  <c r="AV14" i="7"/>
  <c r="AU14" i="7"/>
  <c r="BC14" i="7" s="1"/>
  <c r="AL14" i="7"/>
  <c r="AJ14" i="7"/>
  <c r="AI14" i="7"/>
  <c r="AH14" i="7"/>
  <c r="AG14" i="7"/>
  <c r="AF14" i="7"/>
  <c r="AE14" i="7"/>
  <c r="AD14" i="7"/>
  <c r="AC14" i="7"/>
  <c r="AK14" i="7" s="1"/>
  <c r="T14" i="7"/>
  <c r="R14" i="7"/>
  <c r="Q14" i="7"/>
  <c r="P14" i="7"/>
  <c r="O14" i="7"/>
  <c r="N14" i="7"/>
  <c r="M14" i="7"/>
  <c r="L14" i="7"/>
  <c r="K14" i="7"/>
  <c r="S14" i="7" s="1"/>
  <c r="CX13" i="7"/>
  <c r="DF13" i="7" s="1"/>
  <c r="CW13" i="7"/>
  <c r="DE13" i="7" s="1"/>
  <c r="CV13" i="7"/>
  <c r="DD13" i="7" s="1"/>
  <c r="CU13" i="7"/>
  <c r="DC13" i="7" s="1"/>
  <c r="CT13" i="7"/>
  <c r="DB13" i="7" s="1"/>
  <c r="CS13" i="7"/>
  <c r="DA13" i="7" s="1"/>
  <c r="CR13" i="7"/>
  <c r="DH13" i="7" s="1"/>
  <c r="CQ13" i="7"/>
  <c r="CY13" i="7" s="1"/>
  <c r="CF13" i="7"/>
  <c r="CN13" i="7" s="1"/>
  <c r="CE13" i="7"/>
  <c r="CM13" i="7" s="1"/>
  <c r="CD13" i="7"/>
  <c r="CL13" i="7" s="1"/>
  <c r="CC13" i="7"/>
  <c r="CK13" i="7" s="1"/>
  <c r="CB13" i="7"/>
  <c r="CJ13" i="7" s="1"/>
  <c r="CA13" i="7"/>
  <c r="CI13" i="7" s="1"/>
  <c r="BZ13" i="7"/>
  <c r="CP13" i="7" s="1"/>
  <c r="BY13" i="7"/>
  <c r="CG13" i="7" s="1"/>
  <c r="BV13" i="7"/>
  <c r="BT13" i="7"/>
  <c r="BS13" i="7"/>
  <c r="BR13" i="7"/>
  <c r="BQ13" i="7"/>
  <c r="BP13" i="7"/>
  <c r="BO13" i="7"/>
  <c r="BN13" i="7"/>
  <c r="BM13" i="7"/>
  <c r="BU13" i="7" s="1"/>
  <c r="BD13" i="7"/>
  <c r="BB13" i="7"/>
  <c r="BA13" i="7"/>
  <c r="AZ13" i="7"/>
  <c r="AY13" i="7"/>
  <c r="AX13" i="7"/>
  <c r="AW13" i="7"/>
  <c r="AV13" i="7"/>
  <c r="AU13" i="7"/>
  <c r="BC13" i="7" s="1"/>
  <c r="AL13" i="7"/>
  <c r="AJ13" i="7"/>
  <c r="AI13" i="7"/>
  <c r="AH13" i="7"/>
  <c r="AG13" i="7"/>
  <c r="AF13" i="7"/>
  <c r="AE13" i="7"/>
  <c r="AD13" i="7"/>
  <c r="AC13" i="7"/>
  <c r="AK13" i="7" s="1"/>
  <c r="T13" i="7"/>
  <c r="R13" i="7"/>
  <c r="Q13" i="7"/>
  <c r="P13" i="7"/>
  <c r="O13" i="7"/>
  <c r="N13" i="7"/>
  <c r="M13" i="7"/>
  <c r="L13" i="7"/>
  <c r="K13" i="7"/>
  <c r="S13" i="7" s="1"/>
  <c r="CX12" i="7"/>
  <c r="CX16" i="7" s="1"/>
  <c r="CX133" i="7" s="1"/>
  <c r="CW12" i="7"/>
  <c r="CW16" i="7" s="1"/>
  <c r="CW133" i="7" s="1"/>
  <c r="CV12" i="7"/>
  <c r="CV16" i="7" s="1"/>
  <c r="CV133" i="7" s="1"/>
  <c r="CU12" i="7"/>
  <c r="CU16" i="7" s="1"/>
  <c r="CU133" i="7" s="1"/>
  <c r="CT12" i="7"/>
  <c r="CT16" i="7" s="1"/>
  <c r="CT133" i="7" s="1"/>
  <c r="CS12" i="7"/>
  <c r="CS16" i="7" s="1"/>
  <c r="CS133" i="7" s="1"/>
  <c r="CR12" i="7"/>
  <c r="CR16" i="7" s="1"/>
  <c r="CR133" i="7" s="1"/>
  <c r="CQ12" i="7"/>
  <c r="CQ16" i="7" s="1"/>
  <c r="CF12" i="7"/>
  <c r="CF16" i="7" s="1"/>
  <c r="CF133" i="7" s="1"/>
  <c r="CE12" i="7"/>
  <c r="CE16" i="7" s="1"/>
  <c r="CE133" i="7" s="1"/>
  <c r="CD12" i="7"/>
  <c r="CD16" i="7" s="1"/>
  <c r="CD133" i="7" s="1"/>
  <c r="CC12" i="7"/>
  <c r="CC16" i="7" s="1"/>
  <c r="CC133" i="7" s="1"/>
  <c r="CB12" i="7"/>
  <c r="CB16" i="7" s="1"/>
  <c r="CB133" i="7" s="1"/>
  <c r="CA12" i="7"/>
  <c r="CA16" i="7" s="1"/>
  <c r="CA133" i="7" s="1"/>
  <c r="BZ12" i="7"/>
  <c r="BZ16" i="7" s="1"/>
  <c r="BZ133" i="7" s="1"/>
  <c r="BY12" i="7"/>
  <c r="BY16" i="7" s="1"/>
  <c r="BV12" i="7"/>
  <c r="BT12" i="7"/>
  <c r="BT16" i="7" s="1"/>
  <c r="BT133" i="7" s="1"/>
  <c r="BS12" i="7"/>
  <c r="BS16" i="7" s="1"/>
  <c r="BS133" i="7" s="1"/>
  <c r="BR12" i="7"/>
  <c r="BR16" i="7" s="1"/>
  <c r="BR133" i="7" s="1"/>
  <c r="BQ12" i="7"/>
  <c r="BQ16" i="7" s="1"/>
  <c r="BQ133" i="7" s="1"/>
  <c r="BP12" i="7"/>
  <c r="BP16" i="7" s="1"/>
  <c r="BP133" i="7" s="1"/>
  <c r="BO12" i="7"/>
  <c r="BO16" i="7" s="1"/>
  <c r="BO133" i="7" s="1"/>
  <c r="BN12" i="7"/>
  <c r="BN16" i="7" s="1"/>
  <c r="BN133" i="7" s="1"/>
  <c r="BM12" i="7"/>
  <c r="BM16" i="7" s="1"/>
  <c r="BD12" i="7"/>
  <c r="BB12" i="7"/>
  <c r="BB16" i="7" s="1"/>
  <c r="BB133" i="7" s="1"/>
  <c r="BA12" i="7"/>
  <c r="BA16" i="7" s="1"/>
  <c r="BA133" i="7" s="1"/>
  <c r="AZ12" i="7"/>
  <c r="AZ16" i="7" s="1"/>
  <c r="AZ133" i="7" s="1"/>
  <c r="AY12" i="7"/>
  <c r="AY16" i="7" s="1"/>
  <c r="AY133" i="7" s="1"/>
  <c r="AX12" i="7"/>
  <c r="AX16" i="7" s="1"/>
  <c r="AX133" i="7" s="1"/>
  <c r="AW12" i="7"/>
  <c r="AW16" i="7" s="1"/>
  <c r="AW133" i="7" s="1"/>
  <c r="AV12" i="7"/>
  <c r="AV16" i="7" s="1"/>
  <c r="AV133" i="7" s="1"/>
  <c r="AU12" i="7"/>
  <c r="AU16" i="7" s="1"/>
  <c r="AL12" i="7"/>
  <c r="AJ12" i="7"/>
  <c r="AJ16" i="7" s="1"/>
  <c r="AJ133" i="7" s="1"/>
  <c r="AI12" i="7"/>
  <c r="AI16" i="7" s="1"/>
  <c r="AI133" i="7" s="1"/>
  <c r="AH12" i="7"/>
  <c r="AH16" i="7" s="1"/>
  <c r="AH133" i="7" s="1"/>
  <c r="AG12" i="7"/>
  <c r="AG16" i="7" s="1"/>
  <c r="AG133" i="7" s="1"/>
  <c r="AF12" i="7"/>
  <c r="AF16" i="7" s="1"/>
  <c r="AF133" i="7" s="1"/>
  <c r="AE12" i="7"/>
  <c r="AE16" i="7" s="1"/>
  <c r="AE133" i="7" s="1"/>
  <c r="AD12" i="7"/>
  <c r="AD16" i="7" s="1"/>
  <c r="AD133" i="7" s="1"/>
  <c r="AC12" i="7"/>
  <c r="AC16" i="7" s="1"/>
  <c r="T12" i="7"/>
  <c r="R12" i="7"/>
  <c r="R16" i="7" s="1"/>
  <c r="R133" i="7" s="1"/>
  <c r="Q12" i="7"/>
  <c r="Q16" i="7" s="1"/>
  <c r="Q133" i="7" s="1"/>
  <c r="P12" i="7"/>
  <c r="P16" i="7" s="1"/>
  <c r="P133" i="7" s="1"/>
  <c r="O12" i="7"/>
  <c r="O16" i="7" s="1"/>
  <c r="O133" i="7" s="1"/>
  <c r="N12" i="7"/>
  <c r="N16" i="7" s="1"/>
  <c r="N133" i="7" s="1"/>
  <c r="M12" i="7"/>
  <c r="M16" i="7" s="1"/>
  <c r="M133" i="7" s="1"/>
  <c r="L12" i="7"/>
  <c r="L16" i="7" s="1"/>
  <c r="L133" i="7" s="1"/>
  <c r="K12" i="7"/>
  <c r="K16" i="7" s="1"/>
  <c r="BL131" i="6"/>
  <c r="BK131" i="6"/>
  <c r="BJ131" i="6"/>
  <c r="BI131" i="6"/>
  <c r="BH131" i="6"/>
  <c r="BG131" i="6"/>
  <c r="BF131" i="6"/>
  <c r="BV131" i="6" s="1"/>
  <c r="BE131" i="6"/>
  <c r="AT131" i="6"/>
  <c r="AS131" i="6"/>
  <c r="AR131" i="6"/>
  <c r="AQ131" i="6"/>
  <c r="AP131" i="6"/>
  <c r="AO131" i="6"/>
  <c r="AN131" i="6"/>
  <c r="BD131" i="6" s="1"/>
  <c r="AM131" i="6"/>
  <c r="AB131" i="6"/>
  <c r="AA131" i="6"/>
  <c r="Z131" i="6"/>
  <c r="Y131" i="6"/>
  <c r="X131" i="6"/>
  <c r="W131" i="6"/>
  <c r="V131" i="6"/>
  <c r="AL131" i="6" s="1"/>
  <c r="U131" i="6"/>
  <c r="J131" i="6"/>
  <c r="I131" i="6"/>
  <c r="H131" i="6"/>
  <c r="G131" i="6"/>
  <c r="F131" i="6"/>
  <c r="E131" i="6"/>
  <c r="D131" i="6"/>
  <c r="T131" i="6" s="1"/>
  <c r="C131" i="6"/>
  <c r="CX130" i="6"/>
  <c r="DF130" i="6" s="1"/>
  <c r="CW130" i="6"/>
  <c r="DE130" i="6" s="1"/>
  <c r="CV130" i="6"/>
  <c r="DD130" i="6" s="1"/>
  <c r="CU130" i="6"/>
  <c r="DC130" i="6" s="1"/>
  <c r="CT130" i="6"/>
  <c r="DB130" i="6" s="1"/>
  <c r="CS130" i="6"/>
  <c r="DA130" i="6" s="1"/>
  <c r="CR130" i="6"/>
  <c r="DH130" i="6" s="1"/>
  <c r="CQ130" i="6"/>
  <c r="CY130" i="6" s="1"/>
  <c r="CF130" i="6"/>
  <c r="CN130" i="6" s="1"/>
  <c r="CE130" i="6"/>
  <c r="CM130" i="6" s="1"/>
  <c r="CD130" i="6"/>
  <c r="CL130" i="6" s="1"/>
  <c r="CC130" i="6"/>
  <c r="CK130" i="6" s="1"/>
  <c r="CB130" i="6"/>
  <c r="CJ130" i="6" s="1"/>
  <c r="CA130" i="6"/>
  <c r="CI130" i="6" s="1"/>
  <c r="BZ130" i="6"/>
  <c r="CP130" i="6" s="1"/>
  <c r="BY130" i="6"/>
  <c r="CG130" i="6" s="1"/>
  <c r="BV130" i="6"/>
  <c r="BT130" i="6"/>
  <c r="BS130" i="6"/>
  <c r="BR130" i="6"/>
  <c r="BQ130" i="6"/>
  <c r="BP130" i="6"/>
  <c r="BO130" i="6"/>
  <c r="BN130" i="6"/>
  <c r="BM130" i="6"/>
  <c r="BU130" i="6" s="1"/>
  <c r="BD130" i="6"/>
  <c r="BB130" i="6"/>
  <c r="BA130" i="6"/>
  <c r="AZ130" i="6"/>
  <c r="AY130" i="6"/>
  <c r="AX130" i="6"/>
  <c r="AW130" i="6"/>
  <c r="AV130" i="6"/>
  <c r="AU130" i="6"/>
  <c r="BC130" i="6" s="1"/>
  <c r="AL130" i="6"/>
  <c r="AJ130" i="6"/>
  <c r="AI130" i="6"/>
  <c r="AH130" i="6"/>
  <c r="AG130" i="6"/>
  <c r="AF130" i="6"/>
  <c r="AE130" i="6"/>
  <c r="AD130" i="6"/>
  <c r="AC130" i="6"/>
  <c r="AK130" i="6" s="1"/>
  <c r="T130" i="6"/>
  <c r="R130" i="6"/>
  <c r="Q130" i="6"/>
  <c r="P130" i="6"/>
  <c r="O130" i="6"/>
  <c r="N130" i="6"/>
  <c r="M130" i="6"/>
  <c r="L130" i="6"/>
  <c r="K130" i="6"/>
  <c r="S130" i="6" s="1"/>
  <c r="CX129" i="6"/>
  <c r="DF129" i="6" s="1"/>
  <c r="CW129" i="6"/>
  <c r="DE129" i="6" s="1"/>
  <c r="CV129" i="6"/>
  <c r="DD129" i="6" s="1"/>
  <c r="CU129" i="6"/>
  <c r="DC129" i="6" s="1"/>
  <c r="CT129" i="6"/>
  <c r="DB129" i="6" s="1"/>
  <c r="CS129" i="6"/>
  <c r="DA129" i="6" s="1"/>
  <c r="CR129" i="6"/>
  <c r="DH129" i="6" s="1"/>
  <c r="CQ129" i="6"/>
  <c r="CY129" i="6" s="1"/>
  <c r="CF129" i="6"/>
  <c r="CN129" i="6" s="1"/>
  <c r="CE129" i="6"/>
  <c r="CM129" i="6" s="1"/>
  <c r="CD129" i="6"/>
  <c r="CL129" i="6" s="1"/>
  <c r="CC129" i="6"/>
  <c r="CK129" i="6" s="1"/>
  <c r="CB129" i="6"/>
  <c r="CJ129" i="6" s="1"/>
  <c r="CA129" i="6"/>
  <c r="CI129" i="6" s="1"/>
  <c r="BZ129" i="6"/>
  <c r="CP129" i="6" s="1"/>
  <c r="BY129" i="6"/>
  <c r="CG129" i="6" s="1"/>
  <c r="BV129" i="6"/>
  <c r="BT129" i="6"/>
  <c r="BS129" i="6"/>
  <c r="BR129" i="6"/>
  <c r="BQ129" i="6"/>
  <c r="BP129" i="6"/>
  <c r="BO129" i="6"/>
  <c r="BN129" i="6"/>
  <c r="BM129" i="6"/>
  <c r="BU129" i="6" s="1"/>
  <c r="BD129" i="6"/>
  <c r="BB129" i="6"/>
  <c r="BA129" i="6"/>
  <c r="AZ129" i="6"/>
  <c r="AY129" i="6"/>
  <c r="AX129" i="6"/>
  <c r="AW129" i="6"/>
  <c r="AV129" i="6"/>
  <c r="AU129" i="6"/>
  <c r="BC129" i="6" s="1"/>
  <c r="AL129" i="6"/>
  <c r="AJ129" i="6"/>
  <c r="AI129" i="6"/>
  <c r="AH129" i="6"/>
  <c r="AG129" i="6"/>
  <c r="AF129" i="6"/>
  <c r="AE129" i="6"/>
  <c r="AD129" i="6"/>
  <c r="AC129" i="6"/>
  <c r="AK129" i="6" s="1"/>
  <c r="T129" i="6"/>
  <c r="R129" i="6"/>
  <c r="Q129" i="6"/>
  <c r="P129" i="6"/>
  <c r="O129" i="6"/>
  <c r="N129" i="6"/>
  <c r="M129" i="6"/>
  <c r="L129" i="6"/>
  <c r="K129" i="6"/>
  <c r="S129" i="6" s="1"/>
  <c r="CX128" i="6"/>
  <c r="DF128" i="6" s="1"/>
  <c r="CW128" i="6"/>
  <c r="DE128" i="6" s="1"/>
  <c r="CV128" i="6"/>
  <c r="DD128" i="6" s="1"/>
  <c r="CU128" i="6"/>
  <c r="DC128" i="6" s="1"/>
  <c r="CT128" i="6"/>
  <c r="DB128" i="6" s="1"/>
  <c r="CS128" i="6"/>
  <c r="DA128" i="6" s="1"/>
  <c r="CR128" i="6"/>
  <c r="DH128" i="6" s="1"/>
  <c r="CQ128" i="6"/>
  <c r="CY128" i="6" s="1"/>
  <c r="CF128" i="6"/>
  <c r="CN128" i="6" s="1"/>
  <c r="CE128" i="6"/>
  <c r="CM128" i="6" s="1"/>
  <c r="CD128" i="6"/>
  <c r="CL128" i="6" s="1"/>
  <c r="CC128" i="6"/>
  <c r="CK128" i="6" s="1"/>
  <c r="CB128" i="6"/>
  <c r="CJ128" i="6" s="1"/>
  <c r="CA128" i="6"/>
  <c r="CI128" i="6" s="1"/>
  <c r="BZ128" i="6"/>
  <c r="CP128" i="6" s="1"/>
  <c r="BY128" i="6"/>
  <c r="CG128" i="6" s="1"/>
  <c r="BV128" i="6"/>
  <c r="BT128" i="6"/>
  <c r="BS128" i="6"/>
  <c r="BR128" i="6"/>
  <c r="BQ128" i="6"/>
  <c r="BP128" i="6"/>
  <c r="BO128" i="6"/>
  <c r="BN128" i="6"/>
  <c r="BM128" i="6"/>
  <c r="BU128" i="6" s="1"/>
  <c r="BD128" i="6"/>
  <c r="BB128" i="6"/>
  <c r="BA128" i="6"/>
  <c r="AZ128" i="6"/>
  <c r="AY128" i="6"/>
  <c r="AX128" i="6"/>
  <c r="AW128" i="6"/>
  <c r="AV128" i="6"/>
  <c r="AU128" i="6"/>
  <c r="BC128" i="6" s="1"/>
  <c r="AL128" i="6"/>
  <c r="AJ128" i="6"/>
  <c r="AI128" i="6"/>
  <c r="AH128" i="6"/>
  <c r="AG128" i="6"/>
  <c r="AF128" i="6"/>
  <c r="AE128" i="6"/>
  <c r="AD128" i="6"/>
  <c r="AC128" i="6"/>
  <c r="AK128" i="6" s="1"/>
  <c r="T128" i="6"/>
  <c r="R128" i="6"/>
  <c r="Q128" i="6"/>
  <c r="P128" i="6"/>
  <c r="O128" i="6"/>
  <c r="N128" i="6"/>
  <c r="M128" i="6"/>
  <c r="L128" i="6"/>
  <c r="K128" i="6"/>
  <c r="S128" i="6" s="1"/>
  <c r="CX127" i="6"/>
  <c r="CX131" i="6" s="1"/>
  <c r="CW127" i="6"/>
  <c r="CW131" i="6" s="1"/>
  <c r="CV127" i="6"/>
  <c r="CV131" i="6" s="1"/>
  <c r="CU127" i="6"/>
  <c r="CU131" i="6" s="1"/>
  <c r="CT127" i="6"/>
  <c r="CT131" i="6" s="1"/>
  <c r="CS127" i="6"/>
  <c r="CS131" i="6" s="1"/>
  <c r="CR127" i="6"/>
  <c r="CR131" i="6" s="1"/>
  <c r="CQ127" i="6"/>
  <c r="CQ131" i="6" s="1"/>
  <c r="DH131" i="6" s="1"/>
  <c r="CF127" i="6"/>
  <c r="CF131" i="6" s="1"/>
  <c r="CE127" i="6"/>
  <c r="CE131" i="6" s="1"/>
  <c r="CD127" i="6"/>
  <c r="CD131" i="6" s="1"/>
  <c r="CC127" i="6"/>
  <c r="CC131" i="6" s="1"/>
  <c r="CB127" i="6"/>
  <c r="CB131" i="6" s="1"/>
  <c r="CA127" i="6"/>
  <c r="CA131" i="6" s="1"/>
  <c r="BZ127" i="6"/>
  <c r="BZ131" i="6" s="1"/>
  <c r="BY127" i="6"/>
  <c r="BY131" i="6" s="1"/>
  <c r="CP131" i="6" s="1"/>
  <c r="BV127" i="6"/>
  <c r="BT127" i="6"/>
  <c r="BT131" i="6" s="1"/>
  <c r="BS127" i="6"/>
  <c r="BS131" i="6" s="1"/>
  <c r="BR127" i="6"/>
  <c r="BR131" i="6" s="1"/>
  <c r="BQ127" i="6"/>
  <c r="BQ131" i="6" s="1"/>
  <c r="BP127" i="6"/>
  <c r="BP131" i="6" s="1"/>
  <c r="BO127" i="6"/>
  <c r="BO131" i="6" s="1"/>
  <c r="BN127" i="6"/>
  <c r="BN131" i="6" s="1"/>
  <c r="BM127" i="6"/>
  <c r="BM131" i="6" s="1"/>
  <c r="BD127" i="6"/>
  <c r="BB127" i="6"/>
  <c r="BB131" i="6" s="1"/>
  <c r="BA127" i="6"/>
  <c r="BA131" i="6" s="1"/>
  <c r="AZ127" i="6"/>
  <c r="AZ131" i="6" s="1"/>
  <c r="AY127" i="6"/>
  <c r="AY131" i="6" s="1"/>
  <c r="AX127" i="6"/>
  <c r="AX131" i="6" s="1"/>
  <c r="AW127" i="6"/>
  <c r="AW131" i="6" s="1"/>
  <c r="AV127" i="6"/>
  <c r="AV131" i="6" s="1"/>
  <c r="AU127" i="6"/>
  <c r="AU131" i="6" s="1"/>
  <c r="BC131" i="6" s="1"/>
  <c r="AL127" i="6"/>
  <c r="AJ127" i="6"/>
  <c r="AJ131" i="6" s="1"/>
  <c r="AI127" i="6"/>
  <c r="AI131" i="6" s="1"/>
  <c r="AH127" i="6"/>
  <c r="AH131" i="6" s="1"/>
  <c r="AG127" i="6"/>
  <c r="AG131" i="6" s="1"/>
  <c r="AF127" i="6"/>
  <c r="AF131" i="6" s="1"/>
  <c r="AE127" i="6"/>
  <c r="AE131" i="6" s="1"/>
  <c r="AD127" i="6"/>
  <c r="AD131" i="6" s="1"/>
  <c r="AC127" i="6"/>
  <c r="AC131" i="6" s="1"/>
  <c r="T127" i="6"/>
  <c r="R127" i="6"/>
  <c r="R131" i="6" s="1"/>
  <c r="Q127" i="6"/>
  <c r="Q131" i="6" s="1"/>
  <c r="P127" i="6"/>
  <c r="P131" i="6" s="1"/>
  <c r="O127" i="6"/>
  <c r="O131" i="6" s="1"/>
  <c r="N127" i="6"/>
  <c r="N131" i="6" s="1"/>
  <c r="M127" i="6"/>
  <c r="M131" i="6" s="1"/>
  <c r="L127" i="6"/>
  <c r="L131" i="6" s="1"/>
  <c r="K127" i="6"/>
  <c r="K131" i="6" s="1"/>
  <c r="S131" i="6" s="1"/>
  <c r="BL126" i="6"/>
  <c r="BK126" i="6"/>
  <c r="BJ126" i="6"/>
  <c r="BI126" i="6"/>
  <c r="BH126" i="6"/>
  <c r="BG126" i="6"/>
  <c r="BF126" i="6"/>
  <c r="BV126" i="6" s="1"/>
  <c r="BE126" i="6"/>
  <c r="AT126" i="6"/>
  <c r="AS126" i="6"/>
  <c r="AR126" i="6"/>
  <c r="AQ126" i="6"/>
  <c r="AP126" i="6"/>
  <c r="AO126" i="6"/>
  <c r="AN126" i="6"/>
  <c r="BD126" i="6" s="1"/>
  <c r="AM126" i="6"/>
  <c r="AB126" i="6"/>
  <c r="AA126" i="6"/>
  <c r="Z126" i="6"/>
  <c r="Y126" i="6"/>
  <c r="X126" i="6"/>
  <c r="W126" i="6"/>
  <c r="V126" i="6"/>
  <c r="AL126" i="6" s="1"/>
  <c r="U126" i="6"/>
  <c r="J126" i="6"/>
  <c r="I126" i="6"/>
  <c r="H126" i="6"/>
  <c r="G126" i="6"/>
  <c r="F126" i="6"/>
  <c r="E126" i="6"/>
  <c r="D126" i="6"/>
  <c r="T126" i="6" s="1"/>
  <c r="C126" i="6"/>
  <c r="CX125" i="6"/>
  <c r="DF125" i="6" s="1"/>
  <c r="CW125" i="6"/>
  <c r="DE125" i="6" s="1"/>
  <c r="CV125" i="6"/>
  <c r="DD125" i="6" s="1"/>
  <c r="CU125" i="6"/>
  <c r="DC125" i="6" s="1"/>
  <c r="CT125" i="6"/>
  <c r="DB125" i="6" s="1"/>
  <c r="CS125" i="6"/>
  <c r="DA125" i="6" s="1"/>
  <c r="CR125" i="6"/>
  <c r="DH125" i="6" s="1"/>
  <c r="CQ125" i="6"/>
  <c r="CY125" i="6" s="1"/>
  <c r="CF125" i="6"/>
  <c r="CN125" i="6" s="1"/>
  <c r="CE125" i="6"/>
  <c r="CM125" i="6" s="1"/>
  <c r="CD125" i="6"/>
  <c r="CL125" i="6" s="1"/>
  <c r="CC125" i="6"/>
  <c r="CK125" i="6" s="1"/>
  <c r="CB125" i="6"/>
  <c r="CJ125" i="6" s="1"/>
  <c r="CA125" i="6"/>
  <c r="CI125" i="6" s="1"/>
  <c r="BZ125" i="6"/>
  <c r="CP125" i="6" s="1"/>
  <c r="BY125" i="6"/>
  <c r="CG125" i="6" s="1"/>
  <c r="BV125" i="6"/>
  <c r="BT125" i="6"/>
  <c r="BS125" i="6"/>
  <c r="BR125" i="6"/>
  <c r="BQ125" i="6"/>
  <c r="BP125" i="6"/>
  <c r="BO125" i="6"/>
  <c r="BN125" i="6"/>
  <c r="BM125" i="6"/>
  <c r="BU125" i="6" s="1"/>
  <c r="BD125" i="6"/>
  <c r="BB125" i="6"/>
  <c r="BA125" i="6"/>
  <c r="AZ125" i="6"/>
  <c r="AY125" i="6"/>
  <c r="AX125" i="6"/>
  <c r="AW125" i="6"/>
  <c r="AV125" i="6"/>
  <c r="AU125" i="6"/>
  <c r="BC125" i="6" s="1"/>
  <c r="AL125" i="6"/>
  <c r="AJ125" i="6"/>
  <c r="AI125" i="6"/>
  <c r="AH125" i="6"/>
  <c r="AG125" i="6"/>
  <c r="AF125" i="6"/>
  <c r="AE125" i="6"/>
  <c r="AD125" i="6"/>
  <c r="AC125" i="6"/>
  <c r="AK125" i="6" s="1"/>
  <c r="T125" i="6"/>
  <c r="R125" i="6"/>
  <c r="Q125" i="6"/>
  <c r="P125" i="6"/>
  <c r="O125" i="6"/>
  <c r="N125" i="6"/>
  <c r="M125" i="6"/>
  <c r="L125" i="6"/>
  <c r="K125" i="6"/>
  <c r="S125" i="6" s="1"/>
  <c r="CX124" i="6"/>
  <c r="DF124" i="6" s="1"/>
  <c r="CW124" i="6"/>
  <c r="DE124" i="6" s="1"/>
  <c r="CV124" i="6"/>
  <c r="DD124" i="6" s="1"/>
  <c r="CU124" i="6"/>
  <c r="DC124" i="6" s="1"/>
  <c r="CT124" i="6"/>
  <c r="DB124" i="6" s="1"/>
  <c r="CS124" i="6"/>
  <c r="DA124" i="6" s="1"/>
  <c r="CR124" i="6"/>
  <c r="DH124" i="6" s="1"/>
  <c r="CQ124" i="6"/>
  <c r="CY124" i="6" s="1"/>
  <c r="CF124" i="6"/>
  <c r="CN124" i="6" s="1"/>
  <c r="CE124" i="6"/>
  <c r="CM124" i="6" s="1"/>
  <c r="CD124" i="6"/>
  <c r="CL124" i="6" s="1"/>
  <c r="CC124" i="6"/>
  <c r="CK124" i="6" s="1"/>
  <c r="CB124" i="6"/>
  <c r="CJ124" i="6" s="1"/>
  <c r="CA124" i="6"/>
  <c r="CI124" i="6" s="1"/>
  <c r="BZ124" i="6"/>
  <c r="CP124" i="6" s="1"/>
  <c r="BY124" i="6"/>
  <c r="CG124" i="6" s="1"/>
  <c r="BV124" i="6"/>
  <c r="BT124" i="6"/>
  <c r="BS124" i="6"/>
  <c r="BR124" i="6"/>
  <c r="BQ124" i="6"/>
  <c r="BP124" i="6"/>
  <c r="BO124" i="6"/>
  <c r="BN124" i="6"/>
  <c r="BM124" i="6"/>
  <c r="BU124" i="6" s="1"/>
  <c r="BD124" i="6"/>
  <c r="BB124" i="6"/>
  <c r="BA124" i="6"/>
  <c r="AZ124" i="6"/>
  <c r="AY124" i="6"/>
  <c r="AX124" i="6"/>
  <c r="AW124" i="6"/>
  <c r="AV124" i="6"/>
  <c r="AU124" i="6"/>
  <c r="BC124" i="6" s="1"/>
  <c r="AL124" i="6"/>
  <c r="AJ124" i="6"/>
  <c r="AI124" i="6"/>
  <c r="AH124" i="6"/>
  <c r="AG124" i="6"/>
  <c r="AF124" i="6"/>
  <c r="AE124" i="6"/>
  <c r="AD124" i="6"/>
  <c r="AC124" i="6"/>
  <c r="AK124" i="6" s="1"/>
  <c r="T124" i="6"/>
  <c r="R124" i="6"/>
  <c r="Q124" i="6"/>
  <c r="P124" i="6"/>
  <c r="O124" i="6"/>
  <c r="N124" i="6"/>
  <c r="M124" i="6"/>
  <c r="L124" i="6"/>
  <c r="K124" i="6"/>
  <c r="S124" i="6" s="1"/>
  <c r="CX123" i="6"/>
  <c r="DF123" i="6" s="1"/>
  <c r="CW123" i="6"/>
  <c r="DE123" i="6" s="1"/>
  <c r="CV123" i="6"/>
  <c r="DD123" i="6" s="1"/>
  <c r="CU123" i="6"/>
  <c r="DC123" i="6" s="1"/>
  <c r="CT123" i="6"/>
  <c r="DB123" i="6" s="1"/>
  <c r="CS123" i="6"/>
  <c r="DA123" i="6" s="1"/>
  <c r="CR123" i="6"/>
  <c r="DH123" i="6" s="1"/>
  <c r="CQ123" i="6"/>
  <c r="CY123" i="6" s="1"/>
  <c r="CF123" i="6"/>
  <c r="CN123" i="6" s="1"/>
  <c r="CE123" i="6"/>
  <c r="CM123" i="6" s="1"/>
  <c r="CD123" i="6"/>
  <c r="CL123" i="6" s="1"/>
  <c r="CC123" i="6"/>
  <c r="CK123" i="6" s="1"/>
  <c r="CB123" i="6"/>
  <c r="CJ123" i="6" s="1"/>
  <c r="CA123" i="6"/>
  <c r="CI123" i="6" s="1"/>
  <c r="BZ123" i="6"/>
  <c r="CP123" i="6" s="1"/>
  <c r="BY123" i="6"/>
  <c r="CG123" i="6" s="1"/>
  <c r="BV123" i="6"/>
  <c r="BT123" i="6"/>
  <c r="BS123" i="6"/>
  <c r="BR123" i="6"/>
  <c r="BQ123" i="6"/>
  <c r="BP123" i="6"/>
  <c r="BO123" i="6"/>
  <c r="BN123" i="6"/>
  <c r="BM123" i="6"/>
  <c r="BU123" i="6" s="1"/>
  <c r="BD123" i="6"/>
  <c r="BB123" i="6"/>
  <c r="BA123" i="6"/>
  <c r="AZ123" i="6"/>
  <c r="AY123" i="6"/>
  <c r="AX123" i="6"/>
  <c r="AW123" i="6"/>
  <c r="AV123" i="6"/>
  <c r="AU123" i="6"/>
  <c r="BC123" i="6" s="1"/>
  <c r="AL123" i="6"/>
  <c r="AJ123" i="6"/>
  <c r="AI123" i="6"/>
  <c r="AH123" i="6"/>
  <c r="AG123" i="6"/>
  <c r="AF123" i="6"/>
  <c r="AE123" i="6"/>
  <c r="AD123" i="6"/>
  <c r="AC123" i="6"/>
  <c r="AK123" i="6" s="1"/>
  <c r="T123" i="6"/>
  <c r="R123" i="6"/>
  <c r="Q123" i="6"/>
  <c r="P123" i="6"/>
  <c r="O123" i="6"/>
  <c r="N123" i="6"/>
  <c r="M123" i="6"/>
  <c r="L123" i="6"/>
  <c r="K123" i="6"/>
  <c r="S123" i="6" s="1"/>
  <c r="CX122" i="6"/>
  <c r="CX126" i="6" s="1"/>
  <c r="CW122" i="6"/>
  <c r="CW126" i="6" s="1"/>
  <c r="CV122" i="6"/>
  <c r="CV126" i="6" s="1"/>
  <c r="CU122" i="6"/>
  <c r="CU126" i="6" s="1"/>
  <c r="CT122" i="6"/>
  <c r="CT126" i="6" s="1"/>
  <c r="CS122" i="6"/>
  <c r="CS126" i="6" s="1"/>
  <c r="CR122" i="6"/>
  <c r="CR126" i="6" s="1"/>
  <c r="CQ122" i="6"/>
  <c r="CQ126" i="6" s="1"/>
  <c r="DH126" i="6" s="1"/>
  <c r="CF122" i="6"/>
  <c r="CF126" i="6" s="1"/>
  <c r="CE122" i="6"/>
  <c r="CE126" i="6" s="1"/>
  <c r="CD122" i="6"/>
  <c r="CD126" i="6" s="1"/>
  <c r="CC122" i="6"/>
  <c r="CC126" i="6" s="1"/>
  <c r="CB122" i="6"/>
  <c r="CB126" i="6" s="1"/>
  <c r="CA122" i="6"/>
  <c r="CA126" i="6" s="1"/>
  <c r="BZ122" i="6"/>
  <c r="BZ126" i="6" s="1"/>
  <c r="BY122" i="6"/>
  <c r="BY126" i="6" s="1"/>
  <c r="CP126" i="6" s="1"/>
  <c r="BV122" i="6"/>
  <c r="BT122" i="6"/>
  <c r="BT126" i="6" s="1"/>
  <c r="BS122" i="6"/>
  <c r="BS126" i="6" s="1"/>
  <c r="BR122" i="6"/>
  <c r="BR126" i="6" s="1"/>
  <c r="BQ122" i="6"/>
  <c r="BQ126" i="6" s="1"/>
  <c r="BP122" i="6"/>
  <c r="BP126" i="6" s="1"/>
  <c r="BO122" i="6"/>
  <c r="BO126" i="6" s="1"/>
  <c r="BN122" i="6"/>
  <c r="BN126" i="6" s="1"/>
  <c r="BM122" i="6"/>
  <c r="BM126" i="6" s="1"/>
  <c r="BD122" i="6"/>
  <c r="BB122" i="6"/>
  <c r="BB126" i="6" s="1"/>
  <c r="BA122" i="6"/>
  <c r="BA126" i="6" s="1"/>
  <c r="AZ122" i="6"/>
  <c r="AZ126" i="6" s="1"/>
  <c r="AY122" i="6"/>
  <c r="AY126" i="6" s="1"/>
  <c r="AX122" i="6"/>
  <c r="AX126" i="6" s="1"/>
  <c r="AW122" i="6"/>
  <c r="AW126" i="6" s="1"/>
  <c r="AV122" i="6"/>
  <c r="AV126" i="6" s="1"/>
  <c r="AU122" i="6"/>
  <c r="AU126" i="6" s="1"/>
  <c r="BC126" i="6" s="1"/>
  <c r="AL122" i="6"/>
  <c r="AJ122" i="6"/>
  <c r="AJ126" i="6" s="1"/>
  <c r="AI122" i="6"/>
  <c r="AI126" i="6" s="1"/>
  <c r="AH122" i="6"/>
  <c r="AH126" i="6" s="1"/>
  <c r="AG122" i="6"/>
  <c r="AG126" i="6" s="1"/>
  <c r="AF122" i="6"/>
  <c r="AF126" i="6" s="1"/>
  <c r="AE122" i="6"/>
  <c r="AE126" i="6" s="1"/>
  <c r="AD122" i="6"/>
  <c r="AD126" i="6" s="1"/>
  <c r="AC122" i="6"/>
  <c r="AC126" i="6" s="1"/>
  <c r="T122" i="6"/>
  <c r="R122" i="6"/>
  <c r="R126" i="6" s="1"/>
  <c r="Q122" i="6"/>
  <c r="Q126" i="6" s="1"/>
  <c r="P122" i="6"/>
  <c r="P126" i="6" s="1"/>
  <c r="O122" i="6"/>
  <c r="O126" i="6" s="1"/>
  <c r="N122" i="6"/>
  <c r="N126" i="6" s="1"/>
  <c r="M122" i="6"/>
  <c r="M126" i="6" s="1"/>
  <c r="L122" i="6"/>
  <c r="L126" i="6" s="1"/>
  <c r="K122" i="6"/>
  <c r="K126" i="6" s="1"/>
  <c r="S126" i="6" s="1"/>
  <c r="BL121" i="6"/>
  <c r="BK121" i="6"/>
  <c r="BJ121" i="6"/>
  <c r="BI121" i="6"/>
  <c r="BH121" i="6"/>
  <c r="BG121" i="6"/>
  <c r="BF121" i="6"/>
  <c r="BV121" i="6" s="1"/>
  <c r="BE121" i="6"/>
  <c r="AT121" i="6"/>
  <c r="AS121" i="6"/>
  <c r="AR121" i="6"/>
  <c r="AQ121" i="6"/>
  <c r="AP121" i="6"/>
  <c r="AO121" i="6"/>
  <c r="AN121" i="6"/>
  <c r="BD121" i="6" s="1"/>
  <c r="AM121" i="6"/>
  <c r="AB121" i="6"/>
  <c r="AA121" i="6"/>
  <c r="Z121" i="6"/>
  <c r="Y121" i="6"/>
  <c r="X121" i="6"/>
  <c r="W121" i="6"/>
  <c r="V121" i="6"/>
  <c r="AL121" i="6" s="1"/>
  <c r="U121" i="6"/>
  <c r="J121" i="6"/>
  <c r="I121" i="6"/>
  <c r="H121" i="6"/>
  <c r="G121" i="6"/>
  <c r="F121" i="6"/>
  <c r="E121" i="6"/>
  <c r="D121" i="6"/>
  <c r="T121" i="6" s="1"/>
  <c r="C121" i="6"/>
  <c r="CX120" i="6"/>
  <c r="DF120" i="6" s="1"/>
  <c r="CW120" i="6"/>
  <c r="DE120" i="6" s="1"/>
  <c r="CV120" i="6"/>
  <c r="DD120" i="6" s="1"/>
  <c r="CU120" i="6"/>
  <c r="DC120" i="6" s="1"/>
  <c r="CT120" i="6"/>
  <c r="DB120" i="6" s="1"/>
  <c r="CS120" i="6"/>
  <c r="DA120" i="6" s="1"/>
  <c r="CR120" i="6"/>
  <c r="DH120" i="6" s="1"/>
  <c r="CQ120" i="6"/>
  <c r="CY120" i="6" s="1"/>
  <c r="CF120" i="6"/>
  <c r="CN120" i="6" s="1"/>
  <c r="CE120" i="6"/>
  <c r="CM120" i="6" s="1"/>
  <c r="CD120" i="6"/>
  <c r="CL120" i="6" s="1"/>
  <c r="CC120" i="6"/>
  <c r="CK120" i="6" s="1"/>
  <c r="CB120" i="6"/>
  <c r="CJ120" i="6" s="1"/>
  <c r="CA120" i="6"/>
  <c r="CI120" i="6" s="1"/>
  <c r="BZ120" i="6"/>
  <c r="CP120" i="6" s="1"/>
  <c r="BY120" i="6"/>
  <c r="CG120" i="6" s="1"/>
  <c r="BV120" i="6"/>
  <c r="BT120" i="6"/>
  <c r="BS120" i="6"/>
  <c r="BR120" i="6"/>
  <c r="BQ120" i="6"/>
  <c r="BP120" i="6"/>
  <c r="BO120" i="6"/>
  <c r="BN120" i="6"/>
  <c r="BM120" i="6"/>
  <c r="BU120" i="6" s="1"/>
  <c r="BD120" i="6"/>
  <c r="BB120" i="6"/>
  <c r="BA120" i="6"/>
  <c r="AZ120" i="6"/>
  <c r="AY120" i="6"/>
  <c r="AX120" i="6"/>
  <c r="AW120" i="6"/>
  <c r="AV120" i="6"/>
  <c r="AU120" i="6"/>
  <c r="BC120" i="6" s="1"/>
  <c r="AL120" i="6"/>
  <c r="AJ120" i="6"/>
  <c r="AI120" i="6"/>
  <c r="AH120" i="6"/>
  <c r="AG120" i="6"/>
  <c r="AF120" i="6"/>
  <c r="AE120" i="6"/>
  <c r="AD120" i="6"/>
  <c r="AC120" i="6"/>
  <c r="AK120" i="6" s="1"/>
  <c r="T120" i="6"/>
  <c r="R120" i="6"/>
  <c r="Q120" i="6"/>
  <c r="P120" i="6"/>
  <c r="O120" i="6"/>
  <c r="N120" i="6"/>
  <c r="M120" i="6"/>
  <c r="L120" i="6"/>
  <c r="K120" i="6"/>
  <c r="S120" i="6" s="1"/>
  <c r="CX119" i="6"/>
  <c r="DF119" i="6" s="1"/>
  <c r="CW119" i="6"/>
  <c r="DE119" i="6" s="1"/>
  <c r="CV119" i="6"/>
  <c r="DD119" i="6" s="1"/>
  <c r="CU119" i="6"/>
  <c r="DC119" i="6" s="1"/>
  <c r="CT119" i="6"/>
  <c r="DB119" i="6" s="1"/>
  <c r="CS119" i="6"/>
  <c r="DA119" i="6" s="1"/>
  <c r="CR119" i="6"/>
  <c r="DH119" i="6" s="1"/>
  <c r="CQ119" i="6"/>
  <c r="CY119" i="6" s="1"/>
  <c r="CF119" i="6"/>
  <c r="CN119" i="6" s="1"/>
  <c r="CE119" i="6"/>
  <c r="CM119" i="6" s="1"/>
  <c r="CD119" i="6"/>
  <c r="CL119" i="6" s="1"/>
  <c r="CC119" i="6"/>
  <c r="CK119" i="6" s="1"/>
  <c r="CB119" i="6"/>
  <c r="CJ119" i="6" s="1"/>
  <c r="CA119" i="6"/>
  <c r="CI119" i="6" s="1"/>
  <c r="BZ119" i="6"/>
  <c r="CP119" i="6" s="1"/>
  <c r="BY119" i="6"/>
  <c r="CG119" i="6" s="1"/>
  <c r="BV119" i="6"/>
  <c r="BT119" i="6"/>
  <c r="BS119" i="6"/>
  <c r="BR119" i="6"/>
  <c r="BQ119" i="6"/>
  <c r="BP119" i="6"/>
  <c r="BO119" i="6"/>
  <c r="BN119" i="6"/>
  <c r="BM119" i="6"/>
  <c r="BU119" i="6" s="1"/>
  <c r="BD119" i="6"/>
  <c r="BB119" i="6"/>
  <c r="BA119" i="6"/>
  <c r="AZ119" i="6"/>
  <c r="AY119" i="6"/>
  <c r="AX119" i="6"/>
  <c r="AW119" i="6"/>
  <c r="AV119" i="6"/>
  <c r="AU119" i="6"/>
  <c r="BC119" i="6" s="1"/>
  <c r="AL119" i="6"/>
  <c r="AJ119" i="6"/>
  <c r="AI119" i="6"/>
  <c r="AH119" i="6"/>
  <c r="AG119" i="6"/>
  <c r="AF119" i="6"/>
  <c r="AE119" i="6"/>
  <c r="AD119" i="6"/>
  <c r="AC119" i="6"/>
  <c r="AK119" i="6" s="1"/>
  <c r="T119" i="6"/>
  <c r="R119" i="6"/>
  <c r="Q119" i="6"/>
  <c r="P119" i="6"/>
  <c r="O119" i="6"/>
  <c r="N119" i="6"/>
  <c r="M119" i="6"/>
  <c r="L119" i="6"/>
  <c r="K119" i="6"/>
  <c r="S119" i="6" s="1"/>
  <c r="CX118" i="6"/>
  <c r="DF118" i="6" s="1"/>
  <c r="CW118" i="6"/>
  <c r="DE118" i="6" s="1"/>
  <c r="CV118" i="6"/>
  <c r="DD118" i="6" s="1"/>
  <c r="CU118" i="6"/>
  <c r="DC118" i="6" s="1"/>
  <c r="CT118" i="6"/>
  <c r="DB118" i="6" s="1"/>
  <c r="CS118" i="6"/>
  <c r="DA118" i="6" s="1"/>
  <c r="CR118" i="6"/>
  <c r="DH118" i="6" s="1"/>
  <c r="CQ118" i="6"/>
  <c r="CY118" i="6" s="1"/>
  <c r="CF118" i="6"/>
  <c r="CN118" i="6" s="1"/>
  <c r="CE118" i="6"/>
  <c r="CM118" i="6" s="1"/>
  <c r="CD118" i="6"/>
  <c r="CL118" i="6" s="1"/>
  <c r="CC118" i="6"/>
  <c r="CK118" i="6" s="1"/>
  <c r="CB118" i="6"/>
  <c r="CJ118" i="6" s="1"/>
  <c r="CA118" i="6"/>
  <c r="CI118" i="6" s="1"/>
  <c r="BZ118" i="6"/>
  <c r="CP118" i="6" s="1"/>
  <c r="BY118" i="6"/>
  <c r="CG118" i="6" s="1"/>
  <c r="BV118" i="6"/>
  <c r="BT118" i="6"/>
  <c r="BS118" i="6"/>
  <c r="BR118" i="6"/>
  <c r="BQ118" i="6"/>
  <c r="BP118" i="6"/>
  <c r="BO118" i="6"/>
  <c r="BN118" i="6"/>
  <c r="BM118" i="6"/>
  <c r="BU118" i="6" s="1"/>
  <c r="BD118" i="6"/>
  <c r="BB118" i="6"/>
  <c r="BA118" i="6"/>
  <c r="AZ118" i="6"/>
  <c r="AY118" i="6"/>
  <c r="AX118" i="6"/>
  <c r="AW118" i="6"/>
  <c r="AV118" i="6"/>
  <c r="AU118" i="6"/>
  <c r="BC118" i="6" s="1"/>
  <c r="AL118" i="6"/>
  <c r="AJ118" i="6"/>
  <c r="AI118" i="6"/>
  <c r="AH118" i="6"/>
  <c r="AG118" i="6"/>
  <c r="AF118" i="6"/>
  <c r="AE118" i="6"/>
  <c r="AD118" i="6"/>
  <c r="AC118" i="6"/>
  <c r="AK118" i="6" s="1"/>
  <c r="T118" i="6"/>
  <c r="R118" i="6"/>
  <c r="Q118" i="6"/>
  <c r="P118" i="6"/>
  <c r="O118" i="6"/>
  <c r="N118" i="6"/>
  <c r="M118" i="6"/>
  <c r="L118" i="6"/>
  <c r="K118" i="6"/>
  <c r="S118" i="6" s="1"/>
  <c r="CX117" i="6"/>
  <c r="CX121" i="6" s="1"/>
  <c r="CW117" i="6"/>
  <c r="CW121" i="6" s="1"/>
  <c r="CV117" i="6"/>
  <c r="CV121" i="6" s="1"/>
  <c r="CU117" i="6"/>
  <c r="CU121" i="6" s="1"/>
  <c r="CT117" i="6"/>
  <c r="CT121" i="6" s="1"/>
  <c r="CS117" i="6"/>
  <c r="CS121" i="6" s="1"/>
  <c r="CR117" i="6"/>
  <c r="CR121" i="6" s="1"/>
  <c r="CQ117" i="6"/>
  <c r="CQ121" i="6" s="1"/>
  <c r="DH121" i="6" s="1"/>
  <c r="CF117" i="6"/>
  <c r="CF121" i="6" s="1"/>
  <c r="CE117" i="6"/>
  <c r="CE121" i="6" s="1"/>
  <c r="CD117" i="6"/>
  <c r="CD121" i="6" s="1"/>
  <c r="CC117" i="6"/>
  <c r="CC121" i="6" s="1"/>
  <c r="CB117" i="6"/>
  <c r="CB121" i="6" s="1"/>
  <c r="CA117" i="6"/>
  <c r="CA121" i="6" s="1"/>
  <c r="BZ117" i="6"/>
  <c r="BZ121" i="6" s="1"/>
  <c r="BY117" i="6"/>
  <c r="BY121" i="6" s="1"/>
  <c r="CP121" i="6" s="1"/>
  <c r="BV117" i="6"/>
  <c r="BT117" i="6"/>
  <c r="BT121" i="6" s="1"/>
  <c r="BS117" i="6"/>
  <c r="BS121" i="6" s="1"/>
  <c r="BR117" i="6"/>
  <c r="BR121" i="6" s="1"/>
  <c r="BQ117" i="6"/>
  <c r="BQ121" i="6" s="1"/>
  <c r="BP117" i="6"/>
  <c r="BP121" i="6" s="1"/>
  <c r="BO117" i="6"/>
  <c r="BO121" i="6" s="1"/>
  <c r="BN117" i="6"/>
  <c r="BN121" i="6" s="1"/>
  <c r="BM117" i="6"/>
  <c r="BM121" i="6" s="1"/>
  <c r="BD117" i="6"/>
  <c r="BB117" i="6"/>
  <c r="BB121" i="6" s="1"/>
  <c r="BA117" i="6"/>
  <c r="BA121" i="6" s="1"/>
  <c r="AZ117" i="6"/>
  <c r="AZ121" i="6" s="1"/>
  <c r="AY117" i="6"/>
  <c r="AY121" i="6" s="1"/>
  <c r="AX117" i="6"/>
  <c r="AX121" i="6" s="1"/>
  <c r="AW117" i="6"/>
  <c r="AW121" i="6" s="1"/>
  <c r="AV117" i="6"/>
  <c r="AV121" i="6" s="1"/>
  <c r="AU117" i="6"/>
  <c r="AU121" i="6" s="1"/>
  <c r="BC121" i="6" s="1"/>
  <c r="AL117" i="6"/>
  <c r="AJ117" i="6"/>
  <c r="AJ121" i="6" s="1"/>
  <c r="AI117" i="6"/>
  <c r="AI121" i="6" s="1"/>
  <c r="AH117" i="6"/>
  <c r="AH121" i="6" s="1"/>
  <c r="AG117" i="6"/>
  <c r="AG121" i="6" s="1"/>
  <c r="AF117" i="6"/>
  <c r="AF121" i="6" s="1"/>
  <c r="AE117" i="6"/>
  <c r="AE121" i="6" s="1"/>
  <c r="AD117" i="6"/>
  <c r="AD121" i="6" s="1"/>
  <c r="AC117" i="6"/>
  <c r="AC121" i="6" s="1"/>
  <c r="T117" i="6"/>
  <c r="R117" i="6"/>
  <c r="R121" i="6" s="1"/>
  <c r="Q117" i="6"/>
  <c r="Q121" i="6" s="1"/>
  <c r="P117" i="6"/>
  <c r="P121" i="6" s="1"/>
  <c r="O117" i="6"/>
  <c r="O121" i="6" s="1"/>
  <c r="N117" i="6"/>
  <c r="N121" i="6" s="1"/>
  <c r="M117" i="6"/>
  <c r="M121" i="6" s="1"/>
  <c r="L117" i="6"/>
  <c r="L121" i="6" s="1"/>
  <c r="K117" i="6"/>
  <c r="K121" i="6" s="1"/>
  <c r="S121" i="6" s="1"/>
  <c r="BL116" i="6"/>
  <c r="BK116" i="6"/>
  <c r="BJ116" i="6"/>
  <c r="BI116" i="6"/>
  <c r="BH116" i="6"/>
  <c r="BG116" i="6"/>
  <c r="BF116" i="6"/>
  <c r="BV116" i="6" s="1"/>
  <c r="BE116" i="6"/>
  <c r="AT116" i="6"/>
  <c r="AS116" i="6"/>
  <c r="AR116" i="6"/>
  <c r="AQ116" i="6"/>
  <c r="AP116" i="6"/>
  <c r="AO116" i="6"/>
  <c r="AN116" i="6"/>
  <c r="BD116" i="6" s="1"/>
  <c r="AM116" i="6"/>
  <c r="AB116" i="6"/>
  <c r="AA116" i="6"/>
  <c r="Z116" i="6"/>
  <c r="Y116" i="6"/>
  <c r="X116" i="6"/>
  <c r="W116" i="6"/>
  <c r="V116" i="6"/>
  <c r="AL116" i="6" s="1"/>
  <c r="U116" i="6"/>
  <c r="J116" i="6"/>
  <c r="I116" i="6"/>
  <c r="H116" i="6"/>
  <c r="G116" i="6"/>
  <c r="F116" i="6"/>
  <c r="E116" i="6"/>
  <c r="D116" i="6"/>
  <c r="T116" i="6" s="1"/>
  <c r="C116" i="6"/>
  <c r="CX115" i="6"/>
  <c r="DF115" i="6" s="1"/>
  <c r="CW115" i="6"/>
  <c r="DE115" i="6" s="1"/>
  <c r="CV115" i="6"/>
  <c r="DD115" i="6" s="1"/>
  <c r="CU115" i="6"/>
  <c r="DC115" i="6" s="1"/>
  <c r="CT115" i="6"/>
  <c r="DB115" i="6" s="1"/>
  <c r="CS115" i="6"/>
  <c r="DA115" i="6" s="1"/>
  <c r="CR115" i="6"/>
  <c r="DH115" i="6" s="1"/>
  <c r="CQ115" i="6"/>
  <c r="CY115" i="6" s="1"/>
  <c r="CF115" i="6"/>
  <c r="CN115" i="6" s="1"/>
  <c r="CE115" i="6"/>
  <c r="CM115" i="6" s="1"/>
  <c r="CD115" i="6"/>
  <c r="CL115" i="6" s="1"/>
  <c r="CC115" i="6"/>
  <c r="CK115" i="6" s="1"/>
  <c r="CB115" i="6"/>
  <c r="CJ115" i="6" s="1"/>
  <c r="CA115" i="6"/>
  <c r="CI115" i="6" s="1"/>
  <c r="BZ115" i="6"/>
  <c r="CP115" i="6" s="1"/>
  <c r="BY115" i="6"/>
  <c r="CG115" i="6" s="1"/>
  <c r="BV115" i="6"/>
  <c r="BT115" i="6"/>
  <c r="BS115" i="6"/>
  <c r="BR115" i="6"/>
  <c r="BQ115" i="6"/>
  <c r="BP115" i="6"/>
  <c r="BO115" i="6"/>
  <c r="BN115" i="6"/>
  <c r="BM115" i="6"/>
  <c r="BU115" i="6" s="1"/>
  <c r="BD115" i="6"/>
  <c r="BB115" i="6"/>
  <c r="BA115" i="6"/>
  <c r="AZ115" i="6"/>
  <c r="AY115" i="6"/>
  <c r="AX115" i="6"/>
  <c r="AW115" i="6"/>
  <c r="AV115" i="6"/>
  <c r="AU115" i="6"/>
  <c r="BC115" i="6" s="1"/>
  <c r="AL115" i="6"/>
  <c r="AJ115" i="6"/>
  <c r="AI115" i="6"/>
  <c r="AH115" i="6"/>
  <c r="AG115" i="6"/>
  <c r="AF115" i="6"/>
  <c r="AE115" i="6"/>
  <c r="AD115" i="6"/>
  <c r="AC115" i="6"/>
  <c r="AK115" i="6" s="1"/>
  <c r="T115" i="6"/>
  <c r="R115" i="6"/>
  <c r="Q115" i="6"/>
  <c r="P115" i="6"/>
  <c r="O115" i="6"/>
  <c r="N115" i="6"/>
  <c r="M115" i="6"/>
  <c r="L115" i="6"/>
  <c r="K115" i="6"/>
  <c r="S115" i="6" s="1"/>
  <c r="CX114" i="6"/>
  <c r="DF114" i="6" s="1"/>
  <c r="CW114" i="6"/>
  <c r="DE114" i="6" s="1"/>
  <c r="CV114" i="6"/>
  <c r="DD114" i="6" s="1"/>
  <c r="CU114" i="6"/>
  <c r="DC114" i="6" s="1"/>
  <c r="CT114" i="6"/>
  <c r="DB114" i="6" s="1"/>
  <c r="CS114" i="6"/>
  <c r="DA114" i="6" s="1"/>
  <c r="CR114" i="6"/>
  <c r="DH114" i="6" s="1"/>
  <c r="CQ114" i="6"/>
  <c r="CY114" i="6" s="1"/>
  <c r="CF114" i="6"/>
  <c r="CN114" i="6" s="1"/>
  <c r="CE114" i="6"/>
  <c r="CM114" i="6" s="1"/>
  <c r="CD114" i="6"/>
  <c r="CL114" i="6" s="1"/>
  <c r="CC114" i="6"/>
  <c r="CK114" i="6" s="1"/>
  <c r="CB114" i="6"/>
  <c r="CJ114" i="6" s="1"/>
  <c r="CA114" i="6"/>
  <c r="CI114" i="6" s="1"/>
  <c r="BZ114" i="6"/>
  <c r="CP114" i="6" s="1"/>
  <c r="BY114" i="6"/>
  <c r="CG114" i="6" s="1"/>
  <c r="BV114" i="6"/>
  <c r="BT114" i="6"/>
  <c r="BS114" i="6"/>
  <c r="BR114" i="6"/>
  <c r="BQ114" i="6"/>
  <c r="BP114" i="6"/>
  <c r="BO114" i="6"/>
  <c r="BN114" i="6"/>
  <c r="BM114" i="6"/>
  <c r="BU114" i="6" s="1"/>
  <c r="BD114" i="6"/>
  <c r="BB114" i="6"/>
  <c r="BA114" i="6"/>
  <c r="AZ114" i="6"/>
  <c r="AY114" i="6"/>
  <c r="AX114" i="6"/>
  <c r="AW114" i="6"/>
  <c r="AV114" i="6"/>
  <c r="AU114" i="6"/>
  <c r="BC114" i="6" s="1"/>
  <c r="AL114" i="6"/>
  <c r="AJ114" i="6"/>
  <c r="AI114" i="6"/>
  <c r="AH114" i="6"/>
  <c r="AG114" i="6"/>
  <c r="AF114" i="6"/>
  <c r="AE114" i="6"/>
  <c r="AD114" i="6"/>
  <c r="AC114" i="6"/>
  <c r="AK114" i="6" s="1"/>
  <c r="T114" i="6"/>
  <c r="R114" i="6"/>
  <c r="Q114" i="6"/>
  <c r="P114" i="6"/>
  <c r="O114" i="6"/>
  <c r="N114" i="6"/>
  <c r="M114" i="6"/>
  <c r="L114" i="6"/>
  <c r="K114" i="6"/>
  <c r="S114" i="6" s="1"/>
  <c r="CX113" i="6"/>
  <c r="DF113" i="6" s="1"/>
  <c r="CW113" i="6"/>
  <c r="DE113" i="6" s="1"/>
  <c r="CV113" i="6"/>
  <c r="DD113" i="6" s="1"/>
  <c r="CU113" i="6"/>
  <c r="DC113" i="6" s="1"/>
  <c r="CT113" i="6"/>
  <c r="DB113" i="6" s="1"/>
  <c r="CS113" i="6"/>
  <c r="DA113" i="6" s="1"/>
  <c r="CR113" i="6"/>
  <c r="DH113" i="6" s="1"/>
  <c r="CQ113" i="6"/>
  <c r="CY113" i="6" s="1"/>
  <c r="CF113" i="6"/>
  <c r="CN113" i="6" s="1"/>
  <c r="CE113" i="6"/>
  <c r="CM113" i="6" s="1"/>
  <c r="CD113" i="6"/>
  <c r="CL113" i="6" s="1"/>
  <c r="CC113" i="6"/>
  <c r="CK113" i="6" s="1"/>
  <c r="CB113" i="6"/>
  <c r="CJ113" i="6" s="1"/>
  <c r="CA113" i="6"/>
  <c r="CI113" i="6" s="1"/>
  <c r="BZ113" i="6"/>
  <c r="CP113" i="6" s="1"/>
  <c r="BY113" i="6"/>
  <c r="CG113" i="6" s="1"/>
  <c r="BV113" i="6"/>
  <c r="BT113" i="6"/>
  <c r="BS113" i="6"/>
  <c r="BR113" i="6"/>
  <c r="BQ113" i="6"/>
  <c r="BP113" i="6"/>
  <c r="BO113" i="6"/>
  <c r="BN113" i="6"/>
  <c r="BM113" i="6"/>
  <c r="BU113" i="6" s="1"/>
  <c r="BD113" i="6"/>
  <c r="BB113" i="6"/>
  <c r="BA113" i="6"/>
  <c r="AZ113" i="6"/>
  <c r="AY113" i="6"/>
  <c r="AX113" i="6"/>
  <c r="AW113" i="6"/>
  <c r="AV113" i="6"/>
  <c r="AU113" i="6"/>
  <c r="BC113" i="6" s="1"/>
  <c r="AL113" i="6"/>
  <c r="AJ113" i="6"/>
  <c r="AI113" i="6"/>
  <c r="AH113" i="6"/>
  <c r="AG113" i="6"/>
  <c r="AF113" i="6"/>
  <c r="AE113" i="6"/>
  <c r="AD113" i="6"/>
  <c r="AC113" i="6"/>
  <c r="AK113" i="6" s="1"/>
  <c r="T113" i="6"/>
  <c r="R113" i="6"/>
  <c r="Q113" i="6"/>
  <c r="P113" i="6"/>
  <c r="O113" i="6"/>
  <c r="N113" i="6"/>
  <c r="M113" i="6"/>
  <c r="L113" i="6"/>
  <c r="K113" i="6"/>
  <c r="S113" i="6" s="1"/>
  <c r="CX112" i="6"/>
  <c r="CX116" i="6" s="1"/>
  <c r="CW112" i="6"/>
  <c r="CW116" i="6" s="1"/>
  <c r="CV112" i="6"/>
  <c r="CV116" i="6" s="1"/>
  <c r="CU112" i="6"/>
  <c r="CU116" i="6" s="1"/>
  <c r="CT112" i="6"/>
  <c r="CT116" i="6" s="1"/>
  <c r="CS112" i="6"/>
  <c r="CS116" i="6" s="1"/>
  <c r="CR112" i="6"/>
  <c r="CR116" i="6" s="1"/>
  <c r="CQ112" i="6"/>
  <c r="CQ116" i="6" s="1"/>
  <c r="DH116" i="6" s="1"/>
  <c r="CF112" i="6"/>
  <c r="CF116" i="6" s="1"/>
  <c r="CE112" i="6"/>
  <c r="CE116" i="6" s="1"/>
  <c r="CD112" i="6"/>
  <c r="CD116" i="6" s="1"/>
  <c r="CC112" i="6"/>
  <c r="CC116" i="6" s="1"/>
  <c r="CB112" i="6"/>
  <c r="CB116" i="6" s="1"/>
  <c r="CA112" i="6"/>
  <c r="CA116" i="6" s="1"/>
  <c r="BZ112" i="6"/>
  <c r="BZ116" i="6" s="1"/>
  <c r="BY112" i="6"/>
  <c r="BY116" i="6" s="1"/>
  <c r="CP116" i="6" s="1"/>
  <c r="BV112" i="6"/>
  <c r="BT112" i="6"/>
  <c r="BT116" i="6" s="1"/>
  <c r="BS112" i="6"/>
  <c r="BS116" i="6" s="1"/>
  <c r="BR112" i="6"/>
  <c r="BR116" i="6" s="1"/>
  <c r="BQ112" i="6"/>
  <c r="BQ116" i="6" s="1"/>
  <c r="BP112" i="6"/>
  <c r="BP116" i="6" s="1"/>
  <c r="BO112" i="6"/>
  <c r="BO116" i="6" s="1"/>
  <c r="BN112" i="6"/>
  <c r="BN116" i="6" s="1"/>
  <c r="BM112" i="6"/>
  <c r="BM116" i="6" s="1"/>
  <c r="BD112" i="6"/>
  <c r="BB112" i="6"/>
  <c r="BB116" i="6" s="1"/>
  <c r="BA112" i="6"/>
  <c r="BA116" i="6" s="1"/>
  <c r="AZ112" i="6"/>
  <c r="AZ116" i="6" s="1"/>
  <c r="AY112" i="6"/>
  <c r="AY116" i="6" s="1"/>
  <c r="AX112" i="6"/>
  <c r="AX116" i="6" s="1"/>
  <c r="AW112" i="6"/>
  <c r="AW116" i="6" s="1"/>
  <c r="AV112" i="6"/>
  <c r="AV116" i="6" s="1"/>
  <c r="AU112" i="6"/>
  <c r="AU116" i="6" s="1"/>
  <c r="BC116" i="6" s="1"/>
  <c r="AL112" i="6"/>
  <c r="AJ112" i="6"/>
  <c r="AJ116" i="6" s="1"/>
  <c r="AI112" i="6"/>
  <c r="AI116" i="6" s="1"/>
  <c r="AH112" i="6"/>
  <c r="AH116" i="6" s="1"/>
  <c r="AG112" i="6"/>
  <c r="AG116" i="6" s="1"/>
  <c r="AF112" i="6"/>
  <c r="AF116" i="6" s="1"/>
  <c r="AE112" i="6"/>
  <c r="AE116" i="6" s="1"/>
  <c r="AD112" i="6"/>
  <c r="AD116" i="6" s="1"/>
  <c r="AC112" i="6"/>
  <c r="AC116" i="6" s="1"/>
  <c r="T112" i="6"/>
  <c r="R112" i="6"/>
  <c r="R116" i="6" s="1"/>
  <c r="Q112" i="6"/>
  <c r="Q116" i="6" s="1"/>
  <c r="P112" i="6"/>
  <c r="P116" i="6" s="1"/>
  <c r="O112" i="6"/>
  <c r="O116" i="6" s="1"/>
  <c r="N112" i="6"/>
  <c r="N116" i="6" s="1"/>
  <c r="M112" i="6"/>
  <c r="M116" i="6" s="1"/>
  <c r="L112" i="6"/>
  <c r="L116" i="6" s="1"/>
  <c r="K112" i="6"/>
  <c r="K116" i="6" s="1"/>
  <c r="S116" i="6" s="1"/>
  <c r="BL111" i="6"/>
  <c r="BK111" i="6"/>
  <c r="BJ111" i="6"/>
  <c r="BI111" i="6"/>
  <c r="BH111" i="6"/>
  <c r="BG111" i="6"/>
  <c r="BF111" i="6"/>
  <c r="BV111" i="6" s="1"/>
  <c r="BE111" i="6"/>
  <c r="AT111" i="6"/>
  <c r="AS111" i="6"/>
  <c r="AR111" i="6"/>
  <c r="AQ111" i="6"/>
  <c r="AP111" i="6"/>
  <c r="AO111" i="6"/>
  <c r="AN111" i="6"/>
  <c r="BD111" i="6" s="1"/>
  <c r="AM111" i="6"/>
  <c r="AB111" i="6"/>
  <c r="AA111" i="6"/>
  <c r="Z111" i="6"/>
  <c r="Y111" i="6"/>
  <c r="X111" i="6"/>
  <c r="W111" i="6"/>
  <c r="V111" i="6"/>
  <c r="AL111" i="6" s="1"/>
  <c r="U111" i="6"/>
  <c r="J111" i="6"/>
  <c r="I111" i="6"/>
  <c r="H111" i="6"/>
  <c r="G111" i="6"/>
  <c r="F111" i="6"/>
  <c r="E111" i="6"/>
  <c r="D111" i="6"/>
  <c r="T111" i="6" s="1"/>
  <c r="C111" i="6"/>
  <c r="CX110" i="6"/>
  <c r="DF110" i="6" s="1"/>
  <c r="CW110" i="6"/>
  <c r="DE110" i="6" s="1"/>
  <c r="CV110" i="6"/>
  <c r="DD110" i="6" s="1"/>
  <c r="CU110" i="6"/>
  <c r="DC110" i="6" s="1"/>
  <c r="CT110" i="6"/>
  <c r="DB110" i="6" s="1"/>
  <c r="CS110" i="6"/>
  <c r="DA110" i="6" s="1"/>
  <c r="CR110" i="6"/>
  <c r="DH110" i="6" s="1"/>
  <c r="CQ110" i="6"/>
  <c r="CY110" i="6" s="1"/>
  <c r="CF110" i="6"/>
  <c r="CN110" i="6" s="1"/>
  <c r="CE110" i="6"/>
  <c r="CM110" i="6" s="1"/>
  <c r="CD110" i="6"/>
  <c r="CL110" i="6" s="1"/>
  <c r="CC110" i="6"/>
  <c r="CK110" i="6" s="1"/>
  <c r="CB110" i="6"/>
  <c r="CJ110" i="6" s="1"/>
  <c r="CA110" i="6"/>
  <c r="CI110" i="6" s="1"/>
  <c r="BZ110" i="6"/>
  <c r="CP110" i="6" s="1"/>
  <c r="BY110" i="6"/>
  <c r="CG110" i="6" s="1"/>
  <c r="BV110" i="6"/>
  <c r="BT110" i="6"/>
  <c r="BS110" i="6"/>
  <c r="BR110" i="6"/>
  <c r="BQ110" i="6"/>
  <c r="BP110" i="6"/>
  <c r="BO110" i="6"/>
  <c r="BN110" i="6"/>
  <c r="BM110" i="6"/>
  <c r="BU110" i="6" s="1"/>
  <c r="BD110" i="6"/>
  <c r="BB110" i="6"/>
  <c r="BA110" i="6"/>
  <c r="AZ110" i="6"/>
  <c r="AY110" i="6"/>
  <c r="AX110" i="6"/>
  <c r="AW110" i="6"/>
  <c r="AV110" i="6"/>
  <c r="AU110" i="6"/>
  <c r="BC110" i="6" s="1"/>
  <c r="AL110" i="6"/>
  <c r="AJ110" i="6"/>
  <c r="AI110" i="6"/>
  <c r="AH110" i="6"/>
  <c r="AG110" i="6"/>
  <c r="AF110" i="6"/>
  <c r="AE110" i="6"/>
  <c r="AD110" i="6"/>
  <c r="AC110" i="6"/>
  <c r="AK110" i="6" s="1"/>
  <c r="T110" i="6"/>
  <c r="R110" i="6"/>
  <c r="Q110" i="6"/>
  <c r="P110" i="6"/>
  <c r="O110" i="6"/>
  <c r="N110" i="6"/>
  <c r="M110" i="6"/>
  <c r="L110" i="6"/>
  <c r="K110" i="6"/>
  <c r="S110" i="6" s="1"/>
  <c r="CX109" i="6"/>
  <c r="DF109" i="6" s="1"/>
  <c r="CW109" i="6"/>
  <c r="DE109" i="6" s="1"/>
  <c r="CV109" i="6"/>
  <c r="DD109" i="6" s="1"/>
  <c r="CU109" i="6"/>
  <c r="DC109" i="6" s="1"/>
  <c r="CT109" i="6"/>
  <c r="DB109" i="6" s="1"/>
  <c r="CS109" i="6"/>
  <c r="DA109" i="6" s="1"/>
  <c r="CR109" i="6"/>
  <c r="DH109" i="6" s="1"/>
  <c r="CQ109" i="6"/>
  <c r="CY109" i="6" s="1"/>
  <c r="CF109" i="6"/>
  <c r="CN109" i="6" s="1"/>
  <c r="CE109" i="6"/>
  <c r="CM109" i="6" s="1"/>
  <c r="CD109" i="6"/>
  <c r="CL109" i="6" s="1"/>
  <c r="CC109" i="6"/>
  <c r="CK109" i="6" s="1"/>
  <c r="CB109" i="6"/>
  <c r="CJ109" i="6" s="1"/>
  <c r="CA109" i="6"/>
  <c r="CI109" i="6" s="1"/>
  <c r="BZ109" i="6"/>
  <c r="CP109" i="6" s="1"/>
  <c r="BY109" i="6"/>
  <c r="CG109" i="6" s="1"/>
  <c r="BV109" i="6"/>
  <c r="BT109" i="6"/>
  <c r="BS109" i="6"/>
  <c r="BR109" i="6"/>
  <c r="BQ109" i="6"/>
  <c r="BP109" i="6"/>
  <c r="BO109" i="6"/>
  <c r="BN109" i="6"/>
  <c r="BM109" i="6"/>
  <c r="BU109" i="6" s="1"/>
  <c r="BD109" i="6"/>
  <c r="BB109" i="6"/>
  <c r="BA109" i="6"/>
  <c r="AZ109" i="6"/>
  <c r="AY109" i="6"/>
  <c r="AX109" i="6"/>
  <c r="AW109" i="6"/>
  <c r="AV109" i="6"/>
  <c r="AU109" i="6"/>
  <c r="BC109" i="6" s="1"/>
  <c r="AL109" i="6"/>
  <c r="AJ109" i="6"/>
  <c r="AI109" i="6"/>
  <c r="AH109" i="6"/>
  <c r="AG109" i="6"/>
  <c r="AF109" i="6"/>
  <c r="AE109" i="6"/>
  <c r="AD109" i="6"/>
  <c r="AC109" i="6"/>
  <c r="AK109" i="6" s="1"/>
  <c r="T109" i="6"/>
  <c r="R109" i="6"/>
  <c r="Q109" i="6"/>
  <c r="P109" i="6"/>
  <c r="O109" i="6"/>
  <c r="N109" i="6"/>
  <c r="M109" i="6"/>
  <c r="L109" i="6"/>
  <c r="K109" i="6"/>
  <c r="S109" i="6" s="1"/>
  <c r="CX108" i="6"/>
  <c r="DF108" i="6" s="1"/>
  <c r="CW108" i="6"/>
  <c r="DE108" i="6" s="1"/>
  <c r="CV108" i="6"/>
  <c r="DD108" i="6" s="1"/>
  <c r="CU108" i="6"/>
  <c r="DC108" i="6" s="1"/>
  <c r="CT108" i="6"/>
  <c r="DB108" i="6" s="1"/>
  <c r="CS108" i="6"/>
  <c r="DA108" i="6" s="1"/>
  <c r="CR108" i="6"/>
  <c r="DH108" i="6" s="1"/>
  <c r="CQ108" i="6"/>
  <c r="CY108" i="6" s="1"/>
  <c r="CF108" i="6"/>
  <c r="CN108" i="6" s="1"/>
  <c r="CE108" i="6"/>
  <c r="CM108" i="6" s="1"/>
  <c r="CD108" i="6"/>
  <c r="CL108" i="6" s="1"/>
  <c r="CC108" i="6"/>
  <c r="CK108" i="6" s="1"/>
  <c r="CB108" i="6"/>
  <c r="CJ108" i="6" s="1"/>
  <c r="CA108" i="6"/>
  <c r="CI108" i="6" s="1"/>
  <c r="BZ108" i="6"/>
  <c r="CP108" i="6" s="1"/>
  <c r="BY108" i="6"/>
  <c r="CG108" i="6" s="1"/>
  <c r="BV108" i="6"/>
  <c r="BT108" i="6"/>
  <c r="BS108" i="6"/>
  <c r="BR108" i="6"/>
  <c r="BQ108" i="6"/>
  <c r="BP108" i="6"/>
  <c r="BO108" i="6"/>
  <c r="BN108" i="6"/>
  <c r="BM108" i="6"/>
  <c r="BU108" i="6" s="1"/>
  <c r="BD108" i="6"/>
  <c r="BB108" i="6"/>
  <c r="BA108" i="6"/>
  <c r="AZ108" i="6"/>
  <c r="AY108" i="6"/>
  <c r="AX108" i="6"/>
  <c r="AW108" i="6"/>
  <c r="AV108" i="6"/>
  <c r="AU108" i="6"/>
  <c r="BC108" i="6" s="1"/>
  <c r="AL108" i="6"/>
  <c r="AJ108" i="6"/>
  <c r="AI108" i="6"/>
  <c r="AH108" i="6"/>
  <c r="AG108" i="6"/>
  <c r="AF108" i="6"/>
  <c r="AE108" i="6"/>
  <c r="AD108" i="6"/>
  <c r="AC108" i="6"/>
  <c r="AK108" i="6" s="1"/>
  <c r="T108" i="6"/>
  <c r="R108" i="6"/>
  <c r="Q108" i="6"/>
  <c r="P108" i="6"/>
  <c r="O108" i="6"/>
  <c r="N108" i="6"/>
  <c r="M108" i="6"/>
  <c r="L108" i="6"/>
  <c r="K108" i="6"/>
  <c r="S108" i="6" s="1"/>
  <c r="CX107" i="6"/>
  <c r="CX111" i="6" s="1"/>
  <c r="CW107" i="6"/>
  <c r="CW111" i="6" s="1"/>
  <c r="CV107" i="6"/>
  <c r="CV111" i="6" s="1"/>
  <c r="CU107" i="6"/>
  <c r="CU111" i="6" s="1"/>
  <c r="CT107" i="6"/>
  <c r="CT111" i="6" s="1"/>
  <c r="CS107" i="6"/>
  <c r="CS111" i="6" s="1"/>
  <c r="CR107" i="6"/>
  <c r="CR111" i="6" s="1"/>
  <c r="CQ107" i="6"/>
  <c r="CQ111" i="6" s="1"/>
  <c r="DH111" i="6" s="1"/>
  <c r="CF107" i="6"/>
  <c r="CF111" i="6" s="1"/>
  <c r="CE107" i="6"/>
  <c r="CE111" i="6" s="1"/>
  <c r="CD107" i="6"/>
  <c r="CD111" i="6" s="1"/>
  <c r="CC107" i="6"/>
  <c r="CC111" i="6" s="1"/>
  <c r="CB107" i="6"/>
  <c r="CB111" i="6" s="1"/>
  <c r="CA107" i="6"/>
  <c r="CA111" i="6" s="1"/>
  <c r="BZ107" i="6"/>
  <c r="BZ111" i="6" s="1"/>
  <c r="BY107" i="6"/>
  <c r="BY111" i="6" s="1"/>
  <c r="CP111" i="6" s="1"/>
  <c r="BV107" i="6"/>
  <c r="BT107" i="6"/>
  <c r="BT111" i="6" s="1"/>
  <c r="BS107" i="6"/>
  <c r="BS111" i="6" s="1"/>
  <c r="BR107" i="6"/>
  <c r="BR111" i="6" s="1"/>
  <c r="BQ107" i="6"/>
  <c r="BQ111" i="6" s="1"/>
  <c r="BP107" i="6"/>
  <c r="BP111" i="6" s="1"/>
  <c r="BO107" i="6"/>
  <c r="BO111" i="6" s="1"/>
  <c r="BN107" i="6"/>
  <c r="BN111" i="6" s="1"/>
  <c r="BM107" i="6"/>
  <c r="BM111" i="6" s="1"/>
  <c r="BD107" i="6"/>
  <c r="BB107" i="6"/>
  <c r="BB111" i="6" s="1"/>
  <c r="BA107" i="6"/>
  <c r="BA111" i="6" s="1"/>
  <c r="AZ107" i="6"/>
  <c r="AZ111" i="6" s="1"/>
  <c r="AY107" i="6"/>
  <c r="AY111" i="6" s="1"/>
  <c r="AX107" i="6"/>
  <c r="AX111" i="6" s="1"/>
  <c r="AW107" i="6"/>
  <c r="AW111" i="6" s="1"/>
  <c r="AV107" i="6"/>
  <c r="AV111" i="6" s="1"/>
  <c r="AU107" i="6"/>
  <c r="AU111" i="6" s="1"/>
  <c r="BC111" i="6" s="1"/>
  <c r="AL107" i="6"/>
  <c r="AJ107" i="6"/>
  <c r="AJ111" i="6" s="1"/>
  <c r="AI107" i="6"/>
  <c r="AI111" i="6" s="1"/>
  <c r="AH107" i="6"/>
  <c r="AH111" i="6" s="1"/>
  <c r="AG107" i="6"/>
  <c r="AG111" i="6" s="1"/>
  <c r="AF107" i="6"/>
  <c r="AF111" i="6" s="1"/>
  <c r="AE107" i="6"/>
  <c r="AE111" i="6" s="1"/>
  <c r="AD107" i="6"/>
  <c r="AD111" i="6" s="1"/>
  <c r="AC107" i="6"/>
  <c r="AC111" i="6" s="1"/>
  <c r="T107" i="6"/>
  <c r="R107" i="6"/>
  <c r="R111" i="6" s="1"/>
  <c r="Q107" i="6"/>
  <c r="Q111" i="6" s="1"/>
  <c r="P107" i="6"/>
  <c r="P111" i="6" s="1"/>
  <c r="O107" i="6"/>
  <c r="O111" i="6" s="1"/>
  <c r="N107" i="6"/>
  <c r="N111" i="6" s="1"/>
  <c r="M107" i="6"/>
  <c r="M111" i="6" s="1"/>
  <c r="L107" i="6"/>
  <c r="L111" i="6" s="1"/>
  <c r="K107" i="6"/>
  <c r="K111" i="6" s="1"/>
  <c r="S111" i="6" s="1"/>
  <c r="BL106" i="6"/>
  <c r="BK106" i="6"/>
  <c r="BJ106" i="6"/>
  <c r="BI106" i="6"/>
  <c r="BH106" i="6"/>
  <c r="BG106" i="6"/>
  <c r="BF106" i="6"/>
  <c r="BV106" i="6" s="1"/>
  <c r="BE106" i="6"/>
  <c r="AT106" i="6"/>
  <c r="AS106" i="6"/>
  <c r="AR106" i="6"/>
  <c r="AQ106" i="6"/>
  <c r="AP106" i="6"/>
  <c r="AO106" i="6"/>
  <c r="AN106" i="6"/>
  <c r="BD106" i="6" s="1"/>
  <c r="AM106" i="6"/>
  <c r="AB106" i="6"/>
  <c r="AA106" i="6"/>
  <c r="Z106" i="6"/>
  <c r="Y106" i="6"/>
  <c r="X106" i="6"/>
  <c r="W106" i="6"/>
  <c r="V106" i="6"/>
  <c r="AL106" i="6" s="1"/>
  <c r="U106" i="6"/>
  <c r="J106" i="6"/>
  <c r="I106" i="6"/>
  <c r="H106" i="6"/>
  <c r="G106" i="6"/>
  <c r="F106" i="6"/>
  <c r="E106" i="6"/>
  <c r="D106" i="6"/>
  <c r="T106" i="6" s="1"/>
  <c r="C106" i="6"/>
  <c r="CX105" i="6"/>
  <c r="DF105" i="6" s="1"/>
  <c r="CW105" i="6"/>
  <c r="DE105" i="6" s="1"/>
  <c r="CV105" i="6"/>
  <c r="DD105" i="6" s="1"/>
  <c r="CU105" i="6"/>
  <c r="DC105" i="6" s="1"/>
  <c r="CT105" i="6"/>
  <c r="DB105" i="6" s="1"/>
  <c r="CS105" i="6"/>
  <c r="DA105" i="6" s="1"/>
  <c r="CR105" i="6"/>
  <c r="DH105" i="6" s="1"/>
  <c r="CQ105" i="6"/>
  <c r="CY105" i="6" s="1"/>
  <c r="CF105" i="6"/>
  <c r="CN105" i="6" s="1"/>
  <c r="CE105" i="6"/>
  <c r="CM105" i="6" s="1"/>
  <c r="CD105" i="6"/>
  <c r="CL105" i="6" s="1"/>
  <c r="CC105" i="6"/>
  <c r="CK105" i="6" s="1"/>
  <c r="CB105" i="6"/>
  <c r="CJ105" i="6" s="1"/>
  <c r="CA105" i="6"/>
  <c r="CI105" i="6" s="1"/>
  <c r="BZ105" i="6"/>
  <c r="CP105" i="6" s="1"/>
  <c r="BY105" i="6"/>
  <c r="CG105" i="6" s="1"/>
  <c r="BV105" i="6"/>
  <c r="BT105" i="6"/>
  <c r="BS105" i="6"/>
  <c r="BR105" i="6"/>
  <c r="BQ105" i="6"/>
  <c r="BP105" i="6"/>
  <c r="BO105" i="6"/>
  <c r="BN105" i="6"/>
  <c r="BM105" i="6"/>
  <c r="BU105" i="6" s="1"/>
  <c r="BD105" i="6"/>
  <c r="BB105" i="6"/>
  <c r="BA105" i="6"/>
  <c r="AZ105" i="6"/>
  <c r="AY105" i="6"/>
  <c r="AX105" i="6"/>
  <c r="AW105" i="6"/>
  <c r="AV105" i="6"/>
  <c r="AU105" i="6"/>
  <c r="BC105" i="6" s="1"/>
  <c r="AL105" i="6"/>
  <c r="AJ105" i="6"/>
  <c r="AI105" i="6"/>
  <c r="AH105" i="6"/>
  <c r="AG105" i="6"/>
  <c r="AF105" i="6"/>
  <c r="AE105" i="6"/>
  <c r="AD105" i="6"/>
  <c r="AC105" i="6"/>
  <c r="AK105" i="6" s="1"/>
  <c r="T105" i="6"/>
  <c r="R105" i="6"/>
  <c r="Q105" i="6"/>
  <c r="P105" i="6"/>
  <c r="O105" i="6"/>
  <c r="N105" i="6"/>
  <c r="M105" i="6"/>
  <c r="L105" i="6"/>
  <c r="K105" i="6"/>
  <c r="S105" i="6" s="1"/>
  <c r="CX104" i="6"/>
  <c r="DF104" i="6" s="1"/>
  <c r="CW104" i="6"/>
  <c r="DE104" i="6" s="1"/>
  <c r="CV104" i="6"/>
  <c r="DD104" i="6" s="1"/>
  <c r="CU104" i="6"/>
  <c r="DC104" i="6" s="1"/>
  <c r="CT104" i="6"/>
  <c r="DB104" i="6" s="1"/>
  <c r="CS104" i="6"/>
  <c r="DA104" i="6" s="1"/>
  <c r="CR104" i="6"/>
  <c r="DH104" i="6" s="1"/>
  <c r="CQ104" i="6"/>
  <c r="CY104" i="6" s="1"/>
  <c r="CF104" i="6"/>
  <c r="CN104" i="6" s="1"/>
  <c r="CE104" i="6"/>
  <c r="CM104" i="6" s="1"/>
  <c r="CD104" i="6"/>
  <c r="CL104" i="6" s="1"/>
  <c r="CC104" i="6"/>
  <c r="CK104" i="6" s="1"/>
  <c r="CB104" i="6"/>
  <c r="CJ104" i="6" s="1"/>
  <c r="CA104" i="6"/>
  <c r="CI104" i="6" s="1"/>
  <c r="BZ104" i="6"/>
  <c r="CP104" i="6" s="1"/>
  <c r="BY104" i="6"/>
  <c r="CG104" i="6" s="1"/>
  <c r="BV104" i="6"/>
  <c r="BT104" i="6"/>
  <c r="BS104" i="6"/>
  <c r="BR104" i="6"/>
  <c r="BQ104" i="6"/>
  <c r="BP104" i="6"/>
  <c r="BO104" i="6"/>
  <c r="BN104" i="6"/>
  <c r="BM104" i="6"/>
  <c r="BU104" i="6" s="1"/>
  <c r="BD104" i="6"/>
  <c r="BB104" i="6"/>
  <c r="BA104" i="6"/>
  <c r="AZ104" i="6"/>
  <c r="AY104" i="6"/>
  <c r="AX104" i="6"/>
  <c r="AW104" i="6"/>
  <c r="AV104" i="6"/>
  <c r="AU104" i="6"/>
  <c r="BC104" i="6" s="1"/>
  <c r="AL104" i="6"/>
  <c r="AJ104" i="6"/>
  <c r="AI104" i="6"/>
  <c r="AH104" i="6"/>
  <c r="AG104" i="6"/>
  <c r="AF104" i="6"/>
  <c r="AE104" i="6"/>
  <c r="AD104" i="6"/>
  <c r="AC104" i="6"/>
  <c r="AK104" i="6" s="1"/>
  <c r="T104" i="6"/>
  <c r="R104" i="6"/>
  <c r="Q104" i="6"/>
  <c r="P104" i="6"/>
  <c r="O104" i="6"/>
  <c r="N104" i="6"/>
  <c r="M104" i="6"/>
  <c r="L104" i="6"/>
  <c r="K104" i="6"/>
  <c r="S104" i="6" s="1"/>
  <c r="CX103" i="6"/>
  <c r="DF103" i="6" s="1"/>
  <c r="CW103" i="6"/>
  <c r="DE103" i="6" s="1"/>
  <c r="CV103" i="6"/>
  <c r="DD103" i="6" s="1"/>
  <c r="CU103" i="6"/>
  <c r="DC103" i="6" s="1"/>
  <c r="CT103" i="6"/>
  <c r="DB103" i="6" s="1"/>
  <c r="CS103" i="6"/>
  <c r="DA103" i="6" s="1"/>
  <c r="CR103" i="6"/>
  <c r="DH103" i="6" s="1"/>
  <c r="CQ103" i="6"/>
  <c r="CY103" i="6" s="1"/>
  <c r="CF103" i="6"/>
  <c r="CN103" i="6" s="1"/>
  <c r="CE103" i="6"/>
  <c r="CM103" i="6" s="1"/>
  <c r="CD103" i="6"/>
  <c r="CL103" i="6" s="1"/>
  <c r="CC103" i="6"/>
  <c r="CK103" i="6" s="1"/>
  <c r="CB103" i="6"/>
  <c r="CJ103" i="6" s="1"/>
  <c r="CA103" i="6"/>
  <c r="CI103" i="6" s="1"/>
  <c r="BZ103" i="6"/>
  <c r="CP103" i="6" s="1"/>
  <c r="BY103" i="6"/>
  <c r="CG103" i="6" s="1"/>
  <c r="BV103" i="6"/>
  <c r="BT103" i="6"/>
  <c r="BS103" i="6"/>
  <c r="BR103" i="6"/>
  <c r="BQ103" i="6"/>
  <c r="BP103" i="6"/>
  <c r="BO103" i="6"/>
  <c r="BN103" i="6"/>
  <c r="BM103" i="6"/>
  <c r="BU103" i="6" s="1"/>
  <c r="BD103" i="6"/>
  <c r="BB103" i="6"/>
  <c r="BA103" i="6"/>
  <c r="AZ103" i="6"/>
  <c r="AY103" i="6"/>
  <c r="AX103" i="6"/>
  <c r="AW103" i="6"/>
  <c r="AV103" i="6"/>
  <c r="AU103" i="6"/>
  <c r="BC103" i="6" s="1"/>
  <c r="AL103" i="6"/>
  <c r="AJ103" i="6"/>
  <c r="AI103" i="6"/>
  <c r="AH103" i="6"/>
  <c r="AG103" i="6"/>
  <c r="AF103" i="6"/>
  <c r="AE103" i="6"/>
  <c r="AD103" i="6"/>
  <c r="AC103" i="6"/>
  <c r="AK103" i="6" s="1"/>
  <c r="T103" i="6"/>
  <c r="R103" i="6"/>
  <c r="Q103" i="6"/>
  <c r="P103" i="6"/>
  <c r="O103" i="6"/>
  <c r="N103" i="6"/>
  <c r="M103" i="6"/>
  <c r="L103" i="6"/>
  <c r="K103" i="6"/>
  <c r="S103" i="6" s="1"/>
  <c r="CX102" i="6"/>
  <c r="CX106" i="6" s="1"/>
  <c r="CW102" i="6"/>
  <c r="CW106" i="6" s="1"/>
  <c r="CV102" i="6"/>
  <c r="CV106" i="6" s="1"/>
  <c r="CU102" i="6"/>
  <c r="CU106" i="6" s="1"/>
  <c r="CT102" i="6"/>
  <c r="CT106" i="6" s="1"/>
  <c r="CS102" i="6"/>
  <c r="CS106" i="6" s="1"/>
  <c r="CR102" i="6"/>
  <c r="CR106" i="6" s="1"/>
  <c r="CQ102" i="6"/>
  <c r="CQ106" i="6" s="1"/>
  <c r="DH106" i="6" s="1"/>
  <c r="CF102" i="6"/>
  <c r="CF106" i="6" s="1"/>
  <c r="CE102" i="6"/>
  <c r="CE106" i="6" s="1"/>
  <c r="CD102" i="6"/>
  <c r="CD106" i="6" s="1"/>
  <c r="CC102" i="6"/>
  <c r="CC106" i="6" s="1"/>
  <c r="CB102" i="6"/>
  <c r="CB106" i="6" s="1"/>
  <c r="CA102" i="6"/>
  <c r="CA106" i="6" s="1"/>
  <c r="BZ102" i="6"/>
  <c r="BZ106" i="6" s="1"/>
  <c r="BY102" i="6"/>
  <c r="BY106" i="6" s="1"/>
  <c r="CP106" i="6" s="1"/>
  <c r="BV102" i="6"/>
  <c r="BT102" i="6"/>
  <c r="BT106" i="6" s="1"/>
  <c r="BS102" i="6"/>
  <c r="BS106" i="6" s="1"/>
  <c r="BR102" i="6"/>
  <c r="BR106" i="6" s="1"/>
  <c r="BQ102" i="6"/>
  <c r="BQ106" i="6" s="1"/>
  <c r="BP102" i="6"/>
  <c r="BP106" i="6" s="1"/>
  <c r="BO102" i="6"/>
  <c r="BO106" i="6" s="1"/>
  <c r="BN102" i="6"/>
  <c r="BN106" i="6" s="1"/>
  <c r="BM102" i="6"/>
  <c r="BM106" i="6" s="1"/>
  <c r="BD102" i="6"/>
  <c r="BB102" i="6"/>
  <c r="BB106" i="6" s="1"/>
  <c r="BA102" i="6"/>
  <c r="BA106" i="6" s="1"/>
  <c r="AZ102" i="6"/>
  <c r="AZ106" i="6" s="1"/>
  <c r="AY102" i="6"/>
  <c r="AY106" i="6" s="1"/>
  <c r="AX102" i="6"/>
  <c r="AX106" i="6" s="1"/>
  <c r="AW102" i="6"/>
  <c r="AW106" i="6" s="1"/>
  <c r="AV102" i="6"/>
  <c r="AV106" i="6" s="1"/>
  <c r="AU102" i="6"/>
  <c r="AU106" i="6" s="1"/>
  <c r="BC106" i="6" s="1"/>
  <c r="AL102" i="6"/>
  <c r="AJ102" i="6"/>
  <c r="AJ106" i="6" s="1"/>
  <c r="AI102" i="6"/>
  <c r="AI106" i="6" s="1"/>
  <c r="AH102" i="6"/>
  <c r="AH106" i="6" s="1"/>
  <c r="AG102" i="6"/>
  <c r="AG106" i="6" s="1"/>
  <c r="AF102" i="6"/>
  <c r="AF106" i="6" s="1"/>
  <c r="AE102" i="6"/>
  <c r="AE106" i="6" s="1"/>
  <c r="AD102" i="6"/>
  <c r="AD106" i="6" s="1"/>
  <c r="AC102" i="6"/>
  <c r="AC106" i="6" s="1"/>
  <c r="T102" i="6"/>
  <c r="R102" i="6"/>
  <c r="R106" i="6" s="1"/>
  <c r="Q102" i="6"/>
  <c r="Q106" i="6" s="1"/>
  <c r="P102" i="6"/>
  <c r="P106" i="6" s="1"/>
  <c r="O102" i="6"/>
  <c r="O106" i="6" s="1"/>
  <c r="N102" i="6"/>
  <c r="N106" i="6" s="1"/>
  <c r="M102" i="6"/>
  <c r="M106" i="6" s="1"/>
  <c r="L102" i="6"/>
  <c r="L106" i="6" s="1"/>
  <c r="K102" i="6"/>
  <c r="K106" i="6" s="1"/>
  <c r="S106" i="6" s="1"/>
  <c r="BL101" i="6"/>
  <c r="BK101" i="6"/>
  <c r="BJ101" i="6"/>
  <c r="BI101" i="6"/>
  <c r="BH101" i="6"/>
  <c r="BG101" i="6"/>
  <c r="BF101" i="6"/>
  <c r="BV101" i="6" s="1"/>
  <c r="BE101" i="6"/>
  <c r="AT101" i="6"/>
  <c r="AS101" i="6"/>
  <c r="AR101" i="6"/>
  <c r="AQ101" i="6"/>
  <c r="AP101" i="6"/>
  <c r="AO101" i="6"/>
  <c r="AN101" i="6"/>
  <c r="BD101" i="6" s="1"/>
  <c r="AM101" i="6"/>
  <c r="AB101" i="6"/>
  <c r="AA101" i="6"/>
  <c r="Z101" i="6"/>
  <c r="Y101" i="6"/>
  <c r="X101" i="6"/>
  <c r="W101" i="6"/>
  <c r="V101" i="6"/>
  <c r="AL101" i="6" s="1"/>
  <c r="U101" i="6"/>
  <c r="J101" i="6"/>
  <c r="I101" i="6"/>
  <c r="H101" i="6"/>
  <c r="G101" i="6"/>
  <c r="F101" i="6"/>
  <c r="E101" i="6"/>
  <c r="D101" i="6"/>
  <c r="T101" i="6" s="1"/>
  <c r="C101" i="6"/>
  <c r="CX100" i="6"/>
  <c r="DF100" i="6" s="1"/>
  <c r="CW100" i="6"/>
  <c r="DE100" i="6" s="1"/>
  <c r="CV100" i="6"/>
  <c r="DD100" i="6" s="1"/>
  <c r="CU100" i="6"/>
  <c r="DC100" i="6" s="1"/>
  <c r="CT100" i="6"/>
  <c r="DB100" i="6" s="1"/>
  <c r="CS100" i="6"/>
  <c r="DA100" i="6" s="1"/>
  <c r="CR100" i="6"/>
  <c r="DH100" i="6" s="1"/>
  <c r="CQ100" i="6"/>
  <c r="CY100" i="6" s="1"/>
  <c r="CF100" i="6"/>
  <c r="CN100" i="6" s="1"/>
  <c r="CE100" i="6"/>
  <c r="CM100" i="6" s="1"/>
  <c r="CD100" i="6"/>
  <c r="CL100" i="6" s="1"/>
  <c r="CC100" i="6"/>
  <c r="CK100" i="6" s="1"/>
  <c r="CB100" i="6"/>
  <c r="CJ100" i="6" s="1"/>
  <c r="CA100" i="6"/>
  <c r="CI100" i="6" s="1"/>
  <c r="BZ100" i="6"/>
  <c r="CP100" i="6" s="1"/>
  <c r="BY100" i="6"/>
  <c r="CG100" i="6" s="1"/>
  <c r="BV100" i="6"/>
  <c r="BT100" i="6"/>
  <c r="BS100" i="6"/>
  <c r="BR100" i="6"/>
  <c r="BQ100" i="6"/>
  <c r="BP100" i="6"/>
  <c r="BO100" i="6"/>
  <c r="BN100" i="6"/>
  <c r="BM100" i="6"/>
  <c r="BU100" i="6" s="1"/>
  <c r="BD100" i="6"/>
  <c r="BB100" i="6"/>
  <c r="BA100" i="6"/>
  <c r="AZ100" i="6"/>
  <c r="AY100" i="6"/>
  <c r="AX100" i="6"/>
  <c r="AW100" i="6"/>
  <c r="AV100" i="6"/>
  <c r="AU100" i="6"/>
  <c r="BC100" i="6" s="1"/>
  <c r="AL100" i="6"/>
  <c r="AJ100" i="6"/>
  <c r="AI100" i="6"/>
  <c r="AH100" i="6"/>
  <c r="AG100" i="6"/>
  <c r="AF100" i="6"/>
  <c r="AE100" i="6"/>
  <c r="AD100" i="6"/>
  <c r="AC100" i="6"/>
  <c r="AK100" i="6" s="1"/>
  <c r="T100" i="6"/>
  <c r="R100" i="6"/>
  <c r="Q100" i="6"/>
  <c r="P100" i="6"/>
  <c r="O100" i="6"/>
  <c r="N100" i="6"/>
  <c r="M100" i="6"/>
  <c r="L100" i="6"/>
  <c r="K100" i="6"/>
  <c r="S100" i="6" s="1"/>
  <c r="CX99" i="6"/>
  <c r="DF99" i="6" s="1"/>
  <c r="CW99" i="6"/>
  <c r="DE99" i="6" s="1"/>
  <c r="CV99" i="6"/>
  <c r="DD99" i="6" s="1"/>
  <c r="CU99" i="6"/>
  <c r="DC99" i="6" s="1"/>
  <c r="CT99" i="6"/>
  <c r="DB99" i="6" s="1"/>
  <c r="CS99" i="6"/>
  <c r="DA99" i="6" s="1"/>
  <c r="CR99" i="6"/>
  <c r="DH99" i="6" s="1"/>
  <c r="CQ99" i="6"/>
  <c r="CY99" i="6" s="1"/>
  <c r="CF99" i="6"/>
  <c r="CN99" i="6" s="1"/>
  <c r="CE99" i="6"/>
  <c r="CM99" i="6" s="1"/>
  <c r="CD99" i="6"/>
  <c r="CL99" i="6" s="1"/>
  <c r="CC99" i="6"/>
  <c r="CK99" i="6" s="1"/>
  <c r="CB99" i="6"/>
  <c r="CJ99" i="6" s="1"/>
  <c r="CA99" i="6"/>
  <c r="CI99" i="6" s="1"/>
  <c r="BZ99" i="6"/>
  <c r="CP99" i="6" s="1"/>
  <c r="BY99" i="6"/>
  <c r="CG99" i="6" s="1"/>
  <c r="BV99" i="6"/>
  <c r="BT99" i="6"/>
  <c r="BS99" i="6"/>
  <c r="BR99" i="6"/>
  <c r="BQ99" i="6"/>
  <c r="BP99" i="6"/>
  <c r="BO99" i="6"/>
  <c r="BN99" i="6"/>
  <c r="BM99" i="6"/>
  <c r="BU99" i="6" s="1"/>
  <c r="BD99" i="6"/>
  <c r="BB99" i="6"/>
  <c r="BA99" i="6"/>
  <c r="AZ99" i="6"/>
  <c r="AY99" i="6"/>
  <c r="AX99" i="6"/>
  <c r="AW99" i="6"/>
  <c r="AV99" i="6"/>
  <c r="AU99" i="6"/>
  <c r="BC99" i="6" s="1"/>
  <c r="AL99" i="6"/>
  <c r="AJ99" i="6"/>
  <c r="AI99" i="6"/>
  <c r="AH99" i="6"/>
  <c r="AG99" i="6"/>
  <c r="AF99" i="6"/>
  <c r="AE99" i="6"/>
  <c r="AD99" i="6"/>
  <c r="AC99" i="6"/>
  <c r="AK99" i="6" s="1"/>
  <c r="T99" i="6"/>
  <c r="R99" i="6"/>
  <c r="Q99" i="6"/>
  <c r="P99" i="6"/>
  <c r="O99" i="6"/>
  <c r="N99" i="6"/>
  <c r="M99" i="6"/>
  <c r="L99" i="6"/>
  <c r="K99" i="6"/>
  <c r="S99" i="6" s="1"/>
  <c r="CX98" i="6"/>
  <c r="DF98" i="6" s="1"/>
  <c r="CW98" i="6"/>
  <c r="DE98" i="6" s="1"/>
  <c r="CV98" i="6"/>
  <c r="DD98" i="6" s="1"/>
  <c r="CU98" i="6"/>
  <c r="DC98" i="6" s="1"/>
  <c r="CT98" i="6"/>
  <c r="DB98" i="6" s="1"/>
  <c r="CS98" i="6"/>
  <c r="DA98" i="6" s="1"/>
  <c r="CR98" i="6"/>
  <c r="DH98" i="6" s="1"/>
  <c r="CQ98" i="6"/>
  <c r="CY98" i="6" s="1"/>
  <c r="CF98" i="6"/>
  <c r="CN98" i="6" s="1"/>
  <c r="CE98" i="6"/>
  <c r="CM98" i="6" s="1"/>
  <c r="CD98" i="6"/>
  <c r="CL98" i="6" s="1"/>
  <c r="CC98" i="6"/>
  <c r="CK98" i="6" s="1"/>
  <c r="CB98" i="6"/>
  <c r="CJ98" i="6" s="1"/>
  <c r="CA98" i="6"/>
  <c r="CI98" i="6" s="1"/>
  <c r="BZ98" i="6"/>
  <c r="CP98" i="6" s="1"/>
  <c r="BY98" i="6"/>
  <c r="CG98" i="6" s="1"/>
  <c r="BV98" i="6"/>
  <c r="BT98" i="6"/>
  <c r="BS98" i="6"/>
  <c r="BR98" i="6"/>
  <c r="BQ98" i="6"/>
  <c r="BP98" i="6"/>
  <c r="BO98" i="6"/>
  <c r="BN98" i="6"/>
  <c r="BM98" i="6"/>
  <c r="BU98" i="6" s="1"/>
  <c r="BD98" i="6"/>
  <c r="BB98" i="6"/>
  <c r="BA98" i="6"/>
  <c r="AZ98" i="6"/>
  <c r="AY98" i="6"/>
  <c r="AX98" i="6"/>
  <c r="AW98" i="6"/>
  <c r="AV98" i="6"/>
  <c r="AU98" i="6"/>
  <c r="BC98" i="6" s="1"/>
  <c r="AL98" i="6"/>
  <c r="AJ98" i="6"/>
  <c r="AI98" i="6"/>
  <c r="AH98" i="6"/>
  <c r="AG98" i="6"/>
  <c r="AF98" i="6"/>
  <c r="AE98" i="6"/>
  <c r="AD98" i="6"/>
  <c r="AC98" i="6"/>
  <c r="AK98" i="6" s="1"/>
  <c r="T98" i="6"/>
  <c r="R98" i="6"/>
  <c r="Q98" i="6"/>
  <c r="P98" i="6"/>
  <c r="O98" i="6"/>
  <c r="N98" i="6"/>
  <c r="M98" i="6"/>
  <c r="L98" i="6"/>
  <c r="K98" i="6"/>
  <c r="S98" i="6" s="1"/>
  <c r="CX97" i="6"/>
  <c r="CX101" i="6" s="1"/>
  <c r="CW97" i="6"/>
  <c r="CW101" i="6" s="1"/>
  <c r="CV97" i="6"/>
  <c r="CV101" i="6" s="1"/>
  <c r="CU97" i="6"/>
  <c r="CU101" i="6" s="1"/>
  <c r="CT97" i="6"/>
  <c r="CT101" i="6" s="1"/>
  <c r="CS97" i="6"/>
  <c r="CS101" i="6" s="1"/>
  <c r="CR97" i="6"/>
  <c r="CR101" i="6" s="1"/>
  <c r="CQ97" i="6"/>
  <c r="CQ101" i="6" s="1"/>
  <c r="DH101" i="6" s="1"/>
  <c r="CF97" i="6"/>
  <c r="CF101" i="6" s="1"/>
  <c r="CE97" i="6"/>
  <c r="CE101" i="6" s="1"/>
  <c r="CD97" i="6"/>
  <c r="CD101" i="6" s="1"/>
  <c r="CC97" i="6"/>
  <c r="CC101" i="6" s="1"/>
  <c r="CB97" i="6"/>
  <c r="CB101" i="6" s="1"/>
  <c r="CA97" i="6"/>
  <c r="CA101" i="6" s="1"/>
  <c r="BZ97" i="6"/>
  <c r="BZ101" i="6" s="1"/>
  <c r="BY97" i="6"/>
  <c r="BY101" i="6" s="1"/>
  <c r="CP101" i="6" s="1"/>
  <c r="BV97" i="6"/>
  <c r="BT97" i="6"/>
  <c r="BT101" i="6" s="1"/>
  <c r="BS97" i="6"/>
  <c r="BS101" i="6" s="1"/>
  <c r="BR97" i="6"/>
  <c r="BR101" i="6" s="1"/>
  <c r="BQ97" i="6"/>
  <c r="BQ101" i="6" s="1"/>
  <c r="BP97" i="6"/>
  <c r="BP101" i="6" s="1"/>
  <c r="BO97" i="6"/>
  <c r="BO101" i="6" s="1"/>
  <c r="BN97" i="6"/>
  <c r="BN101" i="6" s="1"/>
  <c r="BM97" i="6"/>
  <c r="BM101" i="6" s="1"/>
  <c r="BD97" i="6"/>
  <c r="BB97" i="6"/>
  <c r="BB101" i="6" s="1"/>
  <c r="BA97" i="6"/>
  <c r="BA101" i="6" s="1"/>
  <c r="AZ97" i="6"/>
  <c r="AZ101" i="6" s="1"/>
  <c r="AY97" i="6"/>
  <c r="AY101" i="6" s="1"/>
  <c r="AX97" i="6"/>
  <c r="AX101" i="6" s="1"/>
  <c r="AW97" i="6"/>
  <c r="AW101" i="6" s="1"/>
  <c r="AV97" i="6"/>
  <c r="AV101" i="6" s="1"/>
  <c r="AU97" i="6"/>
  <c r="AU101" i="6" s="1"/>
  <c r="BC101" i="6" s="1"/>
  <c r="AL97" i="6"/>
  <c r="AJ97" i="6"/>
  <c r="AJ101" i="6" s="1"/>
  <c r="AI97" i="6"/>
  <c r="AI101" i="6" s="1"/>
  <c r="AH97" i="6"/>
  <c r="AH101" i="6" s="1"/>
  <c r="AG97" i="6"/>
  <c r="AG101" i="6" s="1"/>
  <c r="AF97" i="6"/>
  <c r="AF101" i="6" s="1"/>
  <c r="AE97" i="6"/>
  <c r="AE101" i="6" s="1"/>
  <c r="AD97" i="6"/>
  <c r="AD101" i="6" s="1"/>
  <c r="AC97" i="6"/>
  <c r="AC101" i="6" s="1"/>
  <c r="T97" i="6"/>
  <c r="R97" i="6"/>
  <c r="R101" i="6" s="1"/>
  <c r="Q97" i="6"/>
  <c r="Q101" i="6" s="1"/>
  <c r="P97" i="6"/>
  <c r="P101" i="6" s="1"/>
  <c r="O97" i="6"/>
  <c r="O101" i="6" s="1"/>
  <c r="N97" i="6"/>
  <c r="N101" i="6" s="1"/>
  <c r="M97" i="6"/>
  <c r="M101" i="6" s="1"/>
  <c r="L97" i="6"/>
  <c r="L101" i="6" s="1"/>
  <c r="K97" i="6"/>
  <c r="K101" i="6" s="1"/>
  <c r="S101" i="6" s="1"/>
  <c r="BL96" i="6"/>
  <c r="BK96" i="6"/>
  <c r="BJ96" i="6"/>
  <c r="BI96" i="6"/>
  <c r="BH96" i="6"/>
  <c r="BG96" i="6"/>
  <c r="BF96" i="6"/>
  <c r="BV96" i="6" s="1"/>
  <c r="BE96" i="6"/>
  <c r="AT96" i="6"/>
  <c r="AS96" i="6"/>
  <c r="AR96" i="6"/>
  <c r="AQ96" i="6"/>
  <c r="AP96" i="6"/>
  <c r="AO96" i="6"/>
  <c r="AN96" i="6"/>
  <c r="BD96" i="6" s="1"/>
  <c r="AM96" i="6"/>
  <c r="AB96" i="6"/>
  <c r="AA96" i="6"/>
  <c r="Z96" i="6"/>
  <c r="Y96" i="6"/>
  <c r="X96" i="6"/>
  <c r="W96" i="6"/>
  <c r="V96" i="6"/>
  <c r="AL96" i="6" s="1"/>
  <c r="U96" i="6"/>
  <c r="J96" i="6"/>
  <c r="I96" i="6"/>
  <c r="H96" i="6"/>
  <c r="G96" i="6"/>
  <c r="F96" i="6"/>
  <c r="E96" i="6"/>
  <c r="D96" i="6"/>
  <c r="T96" i="6" s="1"/>
  <c r="C96" i="6"/>
  <c r="CX95" i="6"/>
  <c r="DF95" i="6" s="1"/>
  <c r="CW95" i="6"/>
  <c r="DE95" i="6" s="1"/>
  <c r="CV95" i="6"/>
  <c r="DD95" i="6" s="1"/>
  <c r="CU95" i="6"/>
  <c r="DC95" i="6" s="1"/>
  <c r="CT95" i="6"/>
  <c r="DB95" i="6" s="1"/>
  <c r="CS95" i="6"/>
  <c r="DA95" i="6" s="1"/>
  <c r="CR95" i="6"/>
  <c r="DH95" i="6" s="1"/>
  <c r="CQ95" i="6"/>
  <c r="CY95" i="6" s="1"/>
  <c r="CF95" i="6"/>
  <c r="CN95" i="6" s="1"/>
  <c r="CE95" i="6"/>
  <c r="CM95" i="6" s="1"/>
  <c r="CD95" i="6"/>
  <c r="CL95" i="6" s="1"/>
  <c r="CC95" i="6"/>
  <c r="CK95" i="6" s="1"/>
  <c r="CB95" i="6"/>
  <c r="CJ95" i="6" s="1"/>
  <c r="CA95" i="6"/>
  <c r="CI95" i="6" s="1"/>
  <c r="BZ95" i="6"/>
  <c r="CP95" i="6" s="1"/>
  <c r="BY95" i="6"/>
  <c r="CG95" i="6" s="1"/>
  <c r="BV95" i="6"/>
  <c r="BT95" i="6"/>
  <c r="BS95" i="6"/>
  <c r="BR95" i="6"/>
  <c r="BQ95" i="6"/>
  <c r="BP95" i="6"/>
  <c r="BO95" i="6"/>
  <c r="BN95" i="6"/>
  <c r="BM95" i="6"/>
  <c r="BU95" i="6" s="1"/>
  <c r="BD95" i="6"/>
  <c r="BB95" i="6"/>
  <c r="BA95" i="6"/>
  <c r="AZ95" i="6"/>
  <c r="AY95" i="6"/>
  <c r="AX95" i="6"/>
  <c r="AW95" i="6"/>
  <c r="AV95" i="6"/>
  <c r="AU95" i="6"/>
  <c r="BC95" i="6" s="1"/>
  <c r="AL95" i="6"/>
  <c r="AJ95" i="6"/>
  <c r="AI95" i="6"/>
  <c r="AH95" i="6"/>
  <c r="AG95" i="6"/>
  <c r="AF95" i="6"/>
  <c r="AE95" i="6"/>
  <c r="AD95" i="6"/>
  <c r="AC95" i="6"/>
  <c r="AK95" i="6" s="1"/>
  <c r="T95" i="6"/>
  <c r="R95" i="6"/>
  <c r="Q95" i="6"/>
  <c r="P95" i="6"/>
  <c r="O95" i="6"/>
  <c r="N95" i="6"/>
  <c r="M95" i="6"/>
  <c r="L95" i="6"/>
  <c r="K95" i="6"/>
  <c r="S95" i="6" s="1"/>
  <c r="CX94" i="6"/>
  <c r="DF94" i="6" s="1"/>
  <c r="CW94" i="6"/>
  <c r="DE94" i="6" s="1"/>
  <c r="CV94" i="6"/>
  <c r="DD94" i="6" s="1"/>
  <c r="CU94" i="6"/>
  <c r="DC94" i="6" s="1"/>
  <c r="CT94" i="6"/>
  <c r="DB94" i="6" s="1"/>
  <c r="CS94" i="6"/>
  <c r="DA94" i="6" s="1"/>
  <c r="CR94" i="6"/>
  <c r="DH94" i="6" s="1"/>
  <c r="CQ94" i="6"/>
  <c r="CY94" i="6" s="1"/>
  <c r="CF94" i="6"/>
  <c r="CN94" i="6" s="1"/>
  <c r="CE94" i="6"/>
  <c r="CM94" i="6" s="1"/>
  <c r="CD94" i="6"/>
  <c r="CL94" i="6" s="1"/>
  <c r="CC94" i="6"/>
  <c r="CK94" i="6" s="1"/>
  <c r="CB94" i="6"/>
  <c r="CJ94" i="6" s="1"/>
  <c r="CA94" i="6"/>
  <c r="CI94" i="6" s="1"/>
  <c r="BZ94" i="6"/>
  <c r="CP94" i="6" s="1"/>
  <c r="BY94" i="6"/>
  <c r="CG94" i="6" s="1"/>
  <c r="BV94" i="6"/>
  <c r="BT94" i="6"/>
  <c r="BS94" i="6"/>
  <c r="BR94" i="6"/>
  <c r="BQ94" i="6"/>
  <c r="BP94" i="6"/>
  <c r="BO94" i="6"/>
  <c r="BN94" i="6"/>
  <c r="BM94" i="6"/>
  <c r="BU94" i="6" s="1"/>
  <c r="BD94" i="6"/>
  <c r="BB94" i="6"/>
  <c r="BA94" i="6"/>
  <c r="AZ94" i="6"/>
  <c r="AY94" i="6"/>
  <c r="AX94" i="6"/>
  <c r="AW94" i="6"/>
  <c r="AV94" i="6"/>
  <c r="AU94" i="6"/>
  <c r="BC94" i="6" s="1"/>
  <c r="AL94" i="6"/>
  <c r="AJ94" i="6"/>
  <c r="AI94" i="6"/>
  <c r="AH94" i="6"/>
  <c r="AG94" i="6"/>
  <c r="AF94" i="6"/>
  <c r="AE94" i="6"/>
  <c r="AD94" i="6"/>
  <c r="AC94" i="6"/>
  <c r="AK94" i="6" s="1"/>
  <c r="T94" i="6"/>
  <c r="R94" i="6"/>
  <c r="Q94" i="6"/>
  <c r="P94" i="6"/>
  <c r="O94" i="6"/>
  <c r="N94" i="6"/>
  <c r="M94" i="6"/>
  <c r="L94" i="6"/>
  <c r="K94" i="6"/>
  <c r="S94" i="6" s="1"/>
  <c r="CX93" i="6"/>
  <c r="DF93" i="6" s="1"/>
  <c r="CW93" i="6"/>
  <c r="DE93" i="6" s="1"/>
  <c r="CV93" i="6"/>
  <c r="DD93" i="6" s="1"/>
  <c r="CU93" i="6"/>
  <c r="DC93" i="6" s="1"/>
  <c r="CT93" i="6"/>
  <c r="DB93" i="6" s="1"/>
  <c r="CS93" i="6"/>
  <c r="DA93" i="6" s="1"/>
  <c r="CR93" i="6"/>
  <c r="DH93" i="6" s="1"/>
  <c r="CQ93" i="6"/>
  <c r="CY93" i="6" s="1"/>
  <c r="CF93" i="6"/>
  <c r="CN93" i="6" s="1"/>
  <c r="CE93" i="6"/>
  <c r="CM93" i="6" s="1"/>
  <c r="CD93" i="6"/>
  <c r="CL93" i="6" s="1"/>
  <c r="CC93" i="6"/>
  <c r="CK93" i="6" s="1"/>
  <c r="CB93" i="6"/>
  <c r="CJ93" i="6" s="1"/>
  <c r="CA93" i="6"/>
  <c r="CI93" i="6" s="1"/>
  <c r="BZ93" i="6"/>
  <c r="CP93" i="6" s="1"/>
  <c r="BY93" i="6"/>
  <c r="CG93" i="6" s="1"/>
  <c r="BV93" i="6"/>
  <c r="BT93" i="6"/>
  <c r="BS93" i="6"/>
  <c r="BR93" i="6"/>
  <c r="BQ93" i="6"/>
  <c r="BP93" i="6"/>
  <c r="BO93" i="6"/>
  <c r="BN93" i="6"/>
  <c r="BM93" i="6"/>
  <c r="BU93" i="6" s="1"/>
  <c r="BD93" i="6"/>
  <c r="BB93" i="6"/>
  <c r="BA93" i="6"/>
  <c r="AZ93" i="6"/>
  <c r="AY93" i="6"/>
  <c r="AX93" i="6"/>
  <c r="AW93" i="6"/>
  <c r="AV93" i="6"/>
  <c r="AU93" i="6"/>
  <c r="BC93" i="6" s="1"/>
  <c r="AL93" i="6"/>
  <c r="AJ93" i="6"/>
  <c r="AI93" i="6"/>
  <c r="AH93" i="6"/>
  <c r="AG93" i="6"/>
  <c r="AF93" i="6"/>
  <c r="AE93" i="6"/>
  <c r="AD93" i="6"/>
  <c r="AC93" i="6"/>
  <c r="AK93" i="6" s="1"/>
  <c r="T93" i="6"/>
  <c r="R93" i="6"/>
  <c r="Q93" i="6"/>
  <c r="P93" i="6"/>
  <c r="O93" i="6"/>
  <c r="N93" i="6"/>
  <c r="M93" i="6"/>
  <c r="L93" i="6"/>
  <c r="K93" i="6"/>
  <c r="S93" i="6" s="1"/>
  <c r="CX92" i="6"/>
  <c r="CX96" i="6" s="1"/>
  <c r="CW92" i="6"/>
  <c r="CW96" i="6" s="1"/>
  <c r="CV92" i="6"/>
  <c r="CV96" i="6" s="1"/>
  <c r="CU92" i="6"/>
  <c r="CU96" i="6" s="1"/>
  <c r="CT92" i="6"/>
  <c r="CT96" i="6" s="1"/>
  <c r="CS92" i="6"/>
  <c r="CS96" i="6" s="1"/>
  <c r="CR92" i="6"/>
  <c r="CR96" i="6" s="1"/>
  <c r="CQ92" i="6"/>
  <c r="CQ96" i="6" s="1"/>
  <c r="DH96" i="6" s="1"/>
  <c r="CF92" i="6"/>
  <c r="CF96" i="6" s="1"/>
  <c r="CE92" i="6"/>
  <c r="CE96" i="6" s="1"/>
  <c r="CD92" i="6"/>
  <c r="CD96" i="6" s="1"/>
  <c r="CC92" i="6"/>
  <c r="CC96" i="6" s="1"/>
  <c r="CB92" i="6"/>
  <c r="CB96" i="6" s="1"/>
  <c r="CA92" i="6"/>
  <c r="CA96" i="6" s="1"/>
  <c r="BZ92" i="6"/>
  <c r="BZ96" i="6" s="1"/>
  <c r="BY92" i="6"/>
  <c r="BY96" i="6" s="1"/>
  <c r="CP96" i="6" s="1"/>
  <c r="BV92" i="6"/>
  <c r="BT92" i="6"/>
  <c r="BT96" i="6" s="1"/>
  <c r="BS92" i="6"/>
  <c r="BS96" i="6" s="1"/>
  <c r="BR92" i="6"/>
  <c r="BR96" i="6" s="1"/>
  <c r="BQ92" i="6"/>
  <c r="BQ96" i="6" s="1"/>
  <c r="BP92" i="6"/>
  <c r="BP96" i="6" s="1"/>
  <c r="BO92" i="6"/>
  <c r="BO96" i="6" s="1"/>
  <c r="BN92" i="6"/>
  <c r="BN96" i="6" s="1"/>
  <c r="BM92" i="6"/>
  <c r="BM96" i="6" s="1"/>
  <c r="BD92" i="6"/>
  <c r="BB92" i="6"/>
  <c r="BB96" i="6" s="1"/>
  <c r="BA92" i="6"/>
  <c r="BA96" i="6" s="1"/>
  <c r="AZ92" i="6"/>
  <c r="AZ96" i="6" s="1"/>
  <c r="AY92" i="6"/>
  <c r="AY96" i="6" s="1"/>
  <c r="AX92" i="6"/>
  <c r="AX96" i="6" s="1"/>
  <c r="AW92" i="6"/>
  <c r="AW96" i="6" s="1"/>
  <c r="AV92" i="6"/>
  <c r="AV96" i="6" s="1"/>
  <c r="AU92" i="6"/>
  <c r="AU96" i="6" s="1"/>
  <c r="BC96" i="6" s="1"/>
  <c r="AL92" i="6"/>
  <c r="AJ92" i="6"/>
  <c r="AJ96" i="6" s="1"/>
  <c r="AI92" i="6"/>
  <c r="AI96" i="6" s="1"/>
  <c r="AH92" i="6"/>
  <c r="AH96" i="6" s="1"/>
  <c r="AG92" i="6"/>
  <c r="AG96" i="6" s="1"/>
  <c r="AF92" i="6"/>
  <c r="AF96" i="6" s="1"/>
  <c r="AE92" i="6"/>
  <c r="AE96" i="6" s="1"/>
  <c r="AD92" i="6"/>
  <c r="AD96" i="6" s="1"/>
  <c r="AC92" i="6"/>
  <c r="AC96" i="6" s="1"/>
  <c r="T92" i="6"/>
  <c r="R92" i="6"/>
  <c r="R96" i="6" s="1"/>
  <c r="Q92" i="6"/>
  <c r="Q96" i="6" s="1"/>
  <c r="P92" i="6"/>
  <c r="P96" i="6" s="1"/>
  <c r="O92" i="6"/>
  <c r="O96" i="6" s="1"/>
  <c r="N92" i="6"/>
  <c r="N96" i="6" s="1"/>
  <c r="M92" i="6"/>
  <c r="M96" i="6" s="1"/>
  <c r="L92" i="6"/>
  <c r="L96" i="6" s="1"/>
  <c r="K92" i="6"/>
  <c r="K96" i="6" s="1"/>
  <c r="S96" i="6" s="1"/>
  <c r="BL91" i="6"/>
  <c r="BK91" i="6"/>
  <c r="BJ91" i="6"/>
  <c r="BI91" i="6"/>
  <c r="BH91" i="6"/>
  <c r="BG91" i="6"/>
  <c r="BF91" i="6"/>
  <c r="BV91" i="6" s="1"/>
  <c r="BE91" i="6"/>
  <c r="AT91" i="6"/>
  <c r="AS91" i="6"/>
  <c r="AR91" i="6"/>
  <c r="AQ91" i="6"/>
  <c r="AP91" i="6"/>
  <c r="AO91" i="6"/>
  <c r="AN91" i="6"/>
  <c r="BD91" i="6" s="1"/>
  <c r="AM91" i="6"/>
  <c r="AB91" i="6"/>
  <c r="AA91" i="6"/>
  <c r="Z91" i="6"/>
  <c r="Y91" i="6"/>
  <c r="X91" i="6"/>
  <c r="W91" i="6"/>
  <c r="V91" i="6"/>
  <c r="AL91" i="6" s="1"/>
  <c r="U91" i="6"/>
  <c r="J91" i="6"/>
  <c r="I91" i="6"/>
  <c r="H91" i="6"/>
  <c r="G91" i="6"/>
  <c r="F91" i="6"/>
  <c r="E91" i="6"/>
  <c r="D91" i="6"/>
  <c r="T91" i="6" s="1"/>
  <c r="C91" i="6"/>
  <c r="CX90" i="6"/>
  <c r="DF90" i="6" s="1"/>
  <c r="CW90" i="6"/>
  <c r="DE90" i="6" s="1"/>
  <c r="CV90" i="6"/>
  <c r="DD90" i="6" s="1"/>
  <c r="CU90" i="6"/>
  <c r="DC90" i="6" s="1"/>
  <c r="CT90" i="6"/>
  <c r="DB90" i="6" s="1"/>
  <c r="CS90" i="6"/>
  <c r="DA90" i="6" s="1"/>
  <c r="CR90" i="6"/>
  <c r="DH90" i="6" s="1"/>
  <c r="CQ90" i="6"/>
  <c r="CY90" i="6" s="1"/>
  <c r="CF90" i="6"/>
  <c r="CN90" i="6" s="1"/>
  <c r="CE90" i="6"/>
  <c r="CM90" i="6" s="1"/>
  <c r="CD90" i="6"/>
  <c r="CL90" i="6" s="1"/>
  <c r="CC90" i="6"/>
  <c r="CK90" i="6" s="1"/>
  <c r="CB90" i="6"/>
  <c r="CJ90" i="6" s="1"/>
  <c r="CA90" i="6"/>
  <c r="CI90" i="6" s="1"/>
  <c r="BZ90" i="6"/>
  <c r="CP90" i="6" s="1"/>
  <c r="BY90" i="6"/>
  <c r="CG90" i="6" s="1"/>
  <c r="BV90" i="6"/>
  <c r="BT90" i="6"/>
  <c r="BS90" i="6"/>
  <c r="BR90" i="6"/>
  <c r="BQ90" i="6"/>
  <c r="BP90" i="6"/>
  <c r="BO90" i="6"/>
  <c r="BN90" i="6"/>
  <c r="BM90" i="6"/>
  <c r="BU90" i="6" s="1"/>
  <c r="BD90" i="6"/>
  <c r="BB90" i="6"/>
  <c r="BA90" i="6"/>
  <c r="AZ90" i="6"/>
  <c r="AY90" i="6"/>
  <c r="AX90" i="6"/>
  <c r="AW90" i="6"/>
  <c r="AV90" i="6"/>
  <c r="AU90" i="6"/>
  <c r="BC90" i="6" s="1"/>
  <c r="AL90" i="6"/>
  <c r="AJ90" i="6"/>
  <c r="AI90" i="6"/>
  <c r="AH90" i="6"/>
  <c r="AG90" i="6"/>
  <c r="AF90" i="6"/>
  <c r="AE90" i="6"/>
  <c r="AD90" i="6"/>
  <c r="AC90" i="6"/>
  <c r="AK90" i="6" s="1"/>
  <c r="T90" i="6"/>
  <c r="R90" i="6"/>
  <c r="Q90" i="6"/>
  <c r="P90" i="6"/>
  <c r="O90" i="6"/>
  <c r="N90" i="6"/>
  <c r="M90" i="6"/>
  <c r="L90" i="6"/>
  <c r="K90" i="6"/>
  <c r="S90" i="6" s="1"/>
  <c r="CX89" i="6"/>
  <c r="DF89" i="6" s="1"/>
  <c r="CW89" i="6"/>
  <c r="DE89" i="6" s="1"/>
  <c r="CV89" i="6"/>
  <c r="DD89" i="6" s="1"/>
  <c r="CU89" i="6"/>
  <c r="DC89" i="6" s="1"/>
  <c r="CT89" i="6"/>
  <c r="DB89" i="6" s="1"/>
  <c r="CS89" i="6"/>
  <c r="DA89" i="6" s="1"/>
  <c r="CR89" i="6"/>
  <c r="DH89" i="6" s="1"/>
  <c r="CQ89" i="6"/>
  <c r="CY89" i="6" s="1"/>
  <c r="CF89" i="6"/>
  <c r="CN89" i="6" s="1"/>
  <c r="CE89" i="6"/>
  <c r="CM89" i="6" s="1"/>
  <c r="CD89" i="6"/>
  <c r="CL89" i="6" s="1"/>
  <c r="CC89" i="6"/>
  <c r="CK89" i="6" s="1"/>
  <c r="CB89" i="6"/>
  <c r="CJ89" i="6" s="1"/>
  <c r="CA89" i="6"/>
  <c r="CI89" i="6" s="1"/>
  <c r="BZ89" i="6"/>
  <c r="CP89" i="6" s="1"/>
  <c r="BY89" i="6"/>
  <c r="CG89" i="6" s="1"/>
  <c r="BV89" i="6"/>
  <c r="BT89" i="6"/>
  <c r="BS89" i="6"/>
  <c r="BR89" i="6"/>
  <c r="BQ89" i="6"/>
  <c r="BP89" i="6"/>
  <c r="BO89" i="6"/>
  <c r="BN89" i="6"/>
  <c r="BM89" i="6"/>
  <c r="BU89" i="6" s="1"/>
  <c r="BD89" i="6"/>
  <c r="BB89" i="6"/>
  <c r="BA89" i="6"/>
  <c r="AZ89" i="6"/>
  <c r="AY89" i="6"/>
  <c r="AX89" i="6"/>
  <c r="AW89" i="6"/>
  <c r="AV89" i="6"/>
  <c r="AU89" i="6"/>
  <c r="BC89" i="6" s="1"/>
  <c r="AL89" i="6"/>
  <c r="AJ89" i="6"/>
  <c r="AI89" i="6"/>
  <c r="AH89" i="6"/>
  <c r="AG89" i="6"/>
  <c r="AF89" i="6"/>
  <c r="AE89" i="6"/>
  <c r="AD89" i="6"/>
  <c r="AC89" i="6"/>
  <c r="AK89" i="6" s="1"/>
  <c r="T89" i="6"/>
  <c r="R89" i="6"/>
  <c r="Q89" i="6"/>
  <c r="P89" i="6"/>
  <c r="O89" i="6"/>
  <c r="N89" i="6"/>
  <c r="M89" i="6"/>
  <c r="L89" i="6"/>
  <c r="K89" i="6"/>
  <c r="S89" i="6" s="1"/>
  <c r="CX88" i="6"/>
  <c r="DF88" i="6" s="1"/>
  <c r="CW88" i="6"/>
  <c r="DE88" i="6" s="1"/>
  <c r="CV88" i="6"/>
  <c r="DD88" i="6" s="1"/>
  <c r="CU88" i="6"/>
  <c r="DC88" i="6" s="1"/>
  <c r="CT88" i="6"/>
  <c r="DB88" i="6" s="1"/>
  <c r="CS88" i="6"/>
  <c r="DA88" i="6" s="1"/>
  <c r="CR88" i="6"/>
  <c r="DH88" i="6" s="1"/>
  <c r="CQ88" i="6"/>
  <c r="CY88" i="6" s="1"/>
  <c r="CF88" i="6"/>
  <c r="CN88" i="6" s="1"/>
  <c r="CE88" i="6"/>
  <c r="CM88" i="6" s="1"/>
  <c r="CD88" i="6"/>
  <c r="CL88" i="6" s="1"/>
  <c r="CC88" i="6"/>
  <c r="CK88" i="6" s="1"/>
  <c r="CB88" i="6"/>
  <c r="CJ88" i="6" s="1"/>
  <c r="CA88" i="6"/>
  <c r="CI88" i="6" s="1"/>
  <c r="BZ88" i="6"/>
  <c r="CP88" i="6" s="1"/>
  <c r="BY88" i="6"/>
  <c r="CG88" i="6" s="1"/>
  <c r="BV88" i="6"/>
  <c r="BT88" i="6"/>
  <c r="BS88" i="6"/>
  <c r="BR88" i="6"/>
  <c r="BQ88" i="6"/>
  <c r="BP88" i="6"/>
  <c r="BO88" i="6"/>
  <c r="BN88" i="6"/>
  <c r="BM88" i="6"/>
  <c r="BU88" i="6" s="1"/>
  <c r="BD88" i="6"/>
  <c r="BB88" i="6"/>
  <c r="BA88" i="6"/>
  <c r="AZ88" i="6"/>
  <c r="AY88" i="6"/>
  <c r="AX88" i="6"/>
  <c r="AW88" i="6"/>
  <c r="AV88" i="6"/>
  <c r="AU88" i="6"/>
  <c r="BC88" i="6" s="1"/>
  <c r="AL88" i="6"/>
  <c r="AJ88" i="6"/>
  <c r="AI88" i="6"/>
  <c r="AH88" i="6"/>
  <c r="AG88" i="6"/>
  <c r="AF88" i="6"/>
  <c r="AE88" i="6"/>
  <c r="AD88" i="6"/>
  <c r="AC88" i="6"/>
  <c r="AK88" i="6" s="1"/>
  <c r="T88" i="6"/>
  <c r="R88" i="6"/>
  <c r="Q88" i="6"/>
  <c r="P88" i="6"/>
  <c r="O88" i="6"/>
  <c r="N88" i="6"/>
  <c r="M88" i="6"/>
  <c r="L88" i="6"/>
  <c r="K88" i="6"/>
  <c r="S88" i="6" s="1"/>
  <c r="CX87" i="6"/>
  <c r="CX91" i="6" s="1"/>
  <c r="CW87" i="6"/>
  <c r="CW91" i="6" s="1"/>
  <c r="CV87" i="6"/>
  <c r="CV91" i="6" s="1"/>
  <c r="CU87" i="6"/>
  <c r="CU91" i="6" s="1"/>
  <c r="CT87" i="6"/>
  <c r="CT91" i="6" s="1"/>
  <c r="CS87" i="6"/>
  <c r="CS91" i="6" s="1"/>
  <c r="CR87" i="6"/>
  <c r="CR91" i="6" s="1"/>
  <c r="CQ87" i="6"/>
  <c r="CQ91" i="6" s="1"/>
  <c r="DH91" i="6" s="1"/>
  <c r="CF87" i="6"/>
  <c r="CF91" i="6" s="1"/>
  <c r="CE87" i="6"/>
  <c r="CE91" i="6" s="1"/>
  <c r="CD87" i="6"/>
  <c r="CD91" i="6" s="1"/>
  <c r="CC87" i="6"/>
  <c r="CC91" i="6" s="1"/>
  <c r="CB87" i="6"/>
  <c r="CB91" i="6" s="1"/>
  <c r="CA87" i="6"/>
  <c r="CA91" i="6" s="1"/>
  <c r="BZ87" i="6"/>
  <c r="BZ91" i="6" s="1"/>
  <c r="BY87" i="6"/>
  <c r="BY91" i="6" s="1"/>
  <c r="CP91" i="6" s="1"/>
  <c r="BV87" i="6"/>
  <c r="BT87" i="6"/>
  <c r="BT91" i="6" s="1"/>
  <c r="BS87" i="6"/>
  <c r="BS91" i="6" s="1"/>
  <c r="BR87" i="6"/>
  <c r="BR91" i="6" s="1"/>
  <c r="BQ87" i="6"/>
  <c r="BQ91" i="6" s="1"/>
  <c r="BP87" i="6"/>
  <c r="BP91" i="6" s="1"/>
  <c r="BO87" i="6"/>
  <c r="BO91" i="6" s="1"/>
  <c r="BN87" i="6"/>
  <c r="BN91" i="6" s="1"/>
  <c r="BM87" i="6"/>
  <c r="BM91" i="6" s="1"/>
  <c r="BD87" i="6"/>
  <c r="BB87" i="6"/>
  <c r="BB91" i="6" s="1"/>
  <c r="BA87" i="6"/>
  <c r="BA91" i="6" s="1"/>
  <c r="AZ87" i="6"/>
  <c r="AZ91" i="6" s="1"/>
  <c r="AY87" i="6"/>
  <c r="AY91" i="6" s="1"/>
  <c r="AX87" i="6"/>
  <c r="AX91" i="6" s="1"/>
  <c r="AW87" i="6"/>
  <c r="AW91" i="6" s="1"/>
  <c r="AV87" i="6"/>
  <c r="AV91" i="6" s="1"/>
  <c r="AU87" i="6"/>
  <c r="AU91" i="6" s="1"/>
  <c r="BC91" i="6" s="1"/>
  <c r="AL87" i="6"/>
  <c r="AJ87" i="6"/>
  <c r="AJ91" i="6" s="1"/>
  <c r="AI87" i="6"/>
  <c r="AI91" i="6" s="1"/>
  <c r="AH87" i="6"/>
  <c r="AH91" i="6" s="1"/>
  <c r="AG87" i="6"/>
  <c r="AG91" i="6" s="1"/>
  <c r="AF87" i="6"/>
  <c r="AF91" i="6" s="1"/>
  <c r="AE87" i="6"/>
  <c r="AE91" i="6" s="1"/>
  <c r="AD87" i="6"/>
  <c r="AD91" i="6" s="1"/>
  <c r="AC87" i="6"/>
  <c r="AC91" i="6" s="1"/>
  <c r="T87" i="6"/>
  <c r="R87" i="6"/>
  <c r="R91" i="6" s="1"/>
  <c r="Q87" i="6"/>
  <c r="Q91" i="6" s="1"/>
  <c r="P87" i="6"/>
  <c r="P91" i="6" s="1"/>
  <c r="O87" i="6"/>
  <c r="O91" i="6" s="1"/>
  <c r="N87" i="6"/>
  <c r="N91" i="6" s="1"/>
  <c r="M87" i="6"/>
  <c r="M91" i="6" s="1"/>
  <c r="L87" i="6"/>
  <c r="L91" i="6" s="1"/>
  <c r="K87" i="6"/>
  <c r="K91" i="6" s="1"/>
  <c r="S91" i="6" s="1"/>
  <c r="BL86" i="6"/>
  <c r="BK86" i="6"/>
  <c r="BJ86" i="6"/>
  <c r="BI86" i="6"/>
  <c r="BH86" i="6"/>
  <c r="BG86" i="6"/>
  <c r="BF86" i="6"/>
  <c r="BV86" i="6" s="1"/>
  <c r="BE86" i="6"/>
  <c r="AT86" i="6"/>
  <c r="AS86" i="6"/>
  <c r="AR86" i="6"/>
  <c r="AQ86" i="6"/>
  <c r="AP86" i="6"/>
  <c r="AO86" i="6"/>
  <c r="AN86" i="6"/>
  <c r="BD86" i="6" s="1"/>
  <c r="AM86" i="6"/>
  <c r="AB86" i="6"/>
  <c r="AA86" i="6"/>
  <c r="Z86" i="6"/>
  <c r="Y86" i="6"/>
  <c r="X86" i="6"/>
  <c r="W86" i="6"/>
  <c r="V86" i="6"/>
  <c r="AL86" i="6" s="1"/>
  <c r="U86" i="6"/>
  <c r="J86" i="6"/>
  <c r="I86" i="6"/>
  <c r="H86" i="6"/>
  <c r="G86" i="6"/>
  <c r="F86" i="6"/>
  <c r="E86" i="6"/>
  <c r="D86" i="6"/>
  <c r="T86" i="6" s="1"/>
  <c r="C86" i="6"/>
  <c r="CX85" i="6"/>
  <c r="DF85" i="6" s="1"/>
  <c r="CW85" i="6"/>
  <c r="DE85" i="6" s="1"/>
  <c r="CV85" i="6"/>
  <c r="DD85" i="6" s="1"/>
  <c r="CU85" i="6"/>
  <c r="DC85" i="6" s="1"/>
  <c r="CT85" i="6"/>
  <c r="DB85" i="6" s="1"/>
  <c r="CS85" i="6"/>
  <c r="DA85" i="6" s="1"/>
  <c r="CR85" i="6"/>
  <c r="DH85" i="6" s="1"/>
  <c r="CQ85" i="6"/>
  <c r="CY85" i="6" s="1"/>
  <c r="CF85" i="6"/>
  <c r="CN85" i="6" s="1"/>
  <c r="CE85" i="6"/>
  <c r="CM85" i="6" s="1"/>
  <c r="CD85" i="6"/>
  <c r="CL85" i="6" s="1"/>
  <c r="CC85" i="6"/>
  <c r="CK85" i="6" s="1"/>
  <c r="CB85" i="6"/>
  <c r="CJ85" i="6" s="1"/>
  <c r="CA85" i="6"/>
  <c r="CI85" i="6" s="1"/>
  <c r="BZ85" i="6"/>
  <c r="CP85" i="6" s="1"/>
  <c r="BY85" i="6"/>
  <c r="CG85" i="6" s="1"/>
  <c r="BV85" i="6"/>
  <c r="BT85" i="6"/>
  <c r="BS85" i="6"/>
  <c r="BR85" i="6"/>
  <c r="BQ85" i="6"/>
  <c r="BP85" i="6"/>
  <c r="BO85" i="6"/>
  <c r="BN85" i="6"/>
  <c r="BM85" i="6"/>
  <c r="BU85" i="6" s="1"/>
  <c r="BD85" i="6"/>
  <c r="BB85" i="6"/>
  <c r="BA85" i="6"/>
  <c r="AZ85" i="6"/>
  <c r="AY85" i="6"/>
  <c r="AX85" i="6"/>
  <c r="AW85" i="6"/>
  <c r="AV85" i="6"/>
  <c r="AU85" i="6"/>
  <c r="BC85" i="6" s="1"/>
  <c r="AL85" i="6"/>
  <c r="AJ85" i="6"/>
  <c r="AI85" i="6"/>
  <c r="AH85" i="6"/>
  <c r="AG85" i="6"/>
  <c r="AF85" i="6"/>
  <c r="AE85" i="6"/>
  <c r="AD85" i="6"/>
  <c r="AC85" i="6"/>
  <c r="AK85" i="6" s="1"/>
  <c r="T85" i="6"/>
  <c r="R85" i="6"/>
  <c r="Q85" i="6"/>
  <c r="P85" i="6"/>
  <c r="O85" i="6"/>
  <c r="N85" i="6"/>
  <c r="M85" i="6"/>
  <c r="L85" i="6"/>
  <c r="K85" i="6"/>
  <c r="S85" i="6" s="1"/>
  <c r="CX84" i="6"/>
  <c r="DF84" i="6" s="1"/>
  <c r="CW84" i="6"/>
  <c r="DE84" i="6" s="1"/>
  <c r="CV84" i="6"/>
  <c r="DD84" i="6" s="1"/>
  <c r="CU84" i="6"/>
  <c r="DC84" i="6" s="1"/>
  <c r="CT84" i="6"/>
  <c r="DB84" i="6" s="1"/>
  <c r="CS84" i="6"/>
  <c r="DA84" i="6" s="1"/>
  <c r="CR84" i="6"/>
  <c r="DH84" i="6" s="1"/>
  <c r="CQ84" i="6"/>
  <c r="CY84" i="6" s="1"/>
  <c r="CF84" i="6"/>
  <c r="CN84" i="6" s="1"/>
  <c r="CE84" i="6"/>
  <c r="CM84" i="6" s="1"/>
  <c r="CD84" i="6"/>
  <c r="CL84" i="6" s="1"/>
  <c r="CC84" i="6"/>
  <c r="CK84" i="6" s="1"/>
  <c r="CB84" i="6"/>
  <c r="CJ84" i="6" s="1"/>
  <c r="CA84" i="6"/>
  <c r="CI84" i="6" s="1"/>
  <c r="BZ84" i="6"/>
  <c r="CP84" i="6" s="1"/>
  <c r="BY84" i="6"/>
  <c r="CG84" i="6" s="1"/>
  <c r="BV84" i="6"/>
  <c r="BT84" i="6"/>
  <c r="BS84" i="6"/>
  <c r="BR84" i="6"/>
  <c r="BQ84" i="6"/>
  <c r="BP84" i="6"/>
  <c r="BO84" i="6"/>
  <c r="BN84" i="6"/>
  <c r="BM84" i="6"/>
  <c r="BU84" i="6" s="1"/>
  <c r="BD84" i="6"/>
  <c r="BB84" i="6"/>
  <c r="BA84" i="6"/>
  <c r="AZ84" i="6"/>
  <c r="AY84" i="6"/>
  <c r="AX84" i="6"/>
  <c r="AW84" i="6"/>
  <c r="AV84" i="6"/>
  <c r="AU84" i="6"/>
  <c r="BC84" i="6" s="1"/>
  <c r="AL84" i="6"/>
  <c r="AJ84" i="6"/>
  <c r="AI84" i="6"/>
  <c r="AH84" i="6"/>
  <c r="AG84" i="6"/>
  <c r="AF84" i="6"/>
  <c r="AE84" i="6"/>
  <c r="AD84" i="6"/>
  <c r="AC84" i="6"/>
  <c r="AK84" i="6" s="1"/>
  <c r="T84" i="6"/>
  <c r="R84" i="6"/>
  <c r="Q84" i="6"/>
  <c r="P84" i="6"/>
  <c r="O84" i="6"/>
  <c r="N84" i="6"/>
  <c r="M84" i="6"/>
  <c r="L84" i="6"/>
  <c r="K84" i="6"/>
  <c r="S84" i="6" s="1"/>
  <c r="CX83" i="6"/>
  <c r="DF83" i="6" s="1"/>
  <c r="CW83" i="6"/>
  <c r="DE83" i="6" s="1"/>
  <c r="CV83" i="6"/>
  <c r="DD83" i="6" s="1"/>
  <c r="CU83" i="6"/>
  <c r="DC83" i="6" s="1"/>
  <c r="CT83" i="6"/>
  <c r="DB83" i="6" s="1"/>
  <c r="CS83" i="6"/>
  <c r="DA83" i="6" s="1"/>
  <c r="CR83" i="6"/>
  <c r="DH83" i="6" s="1"/>
  <c r="CQ83" i="6"/>
  <c r="CY83" i="6" s="1"/>
  <c r="CF83" i="6"/>
  <c r="CN83" i="6" s="1"/>
  <c r="CE83" i="6"/>
  <c r="CM83" i="6" s="1"/>
  <c r="CD83" i="6"/>
  <c r="CL83" i="6" s="1"/>
  <c r="CC83" i="6"/>
  <c r="CK83" i="6" s="1"/>
  <c r="CB83" i="6"/>
  <c r="CJ83" i="6" s="1"/>
  <c r="CA83" i="6"/>
  <c r="CI83" i="6" s="1"/>
  <c r="BZ83" i="6"/>
  <c r="CP83" i="6" s="1"/>
  <c r="BY83" i="6"/>
  <c r="CG83" i="6" s="1"/>
  <c r="BV83" i="6"/>
  <c r="BT83" i="6"/>
  <c r="BS83" i="6"/>
  <c r="BR83" i="6"/>
  <c r="BQ83" i="6"/>
  <c r="BP83" i="6"/>
  <c r="BO83" i="6"/>
  <c r="BN83" i="6"/>
  <c r="BM83" i="6"/>
  <c r="BU83" i="6" s="1"/>
  <c r="BD83" i="6"/>
  <c r="BB83" i="6"/>
  <c r="BA83" i="6"/>
  <c r="AZ83" i="6"/>
  <c r="AY83" i="6"/>
  <c r="AX83" i="6"/>
  <c r="AW83" i="6"/>
  <c r="AV83" i="6"/>
  <c r="AU83" i="6"/>
  <c r="BC83" i="6" s="1"/>
  <c r="AL83" i="6"/>
  <c r="AJ83" i="6"/>
  <c r="AI83" i="6"/>
  <c r="AH83" i="6"/>
  <c r="AG83" i="6"/>
  <c r="AF83" i="6"/>
  <c r="AE83" i="6"/>
  <c r="AD83" i="6"/>
  <c r="AC83" i="6"/>
  <c r="AK83" i="6" s="1"/>
  <c r="T83" i="6"/>
  <c r="R83" i="6"/>
  <c r="Q83" i="6"/>
  <c r="P83" i="6"/>
  <c r="O83" i="6"/>
  <c r="N83" i="6"/>
  <c r="M83" i="6"/>
  <c r="L83" i="6"/>
  <c r="K83" i="6"/>
  <c r="S83" i="6" s="1"/>
  <c r="CX82" i="6"/>
  <c r="CX86" i="6" s="1"/>
  <c r="CW82" i="6"/>
  <c r="CW86" i="6" s="1"/>
  <c r="CV82" i="6"/>
  <c r="CV86" i="6" s="1"/>
  <c r="CU82" i="6"/>
  <c r="CU86" i="6" s="1"/>
  <c r="CT82" i="6"/>
  <c r="CT86" i="6" s="1"/>
  <c r="CS82" i="6"/>
  <c r="CS86" i="6" s="1"/>
  <c r="CR82" i="6"/>
  <c r="CR86" i="6" s="1"/>
  <c r="CQ82" i="6"/>
  <c r="CQ86" i="6" s="1"/>
  <c r="DH86" i="6" s="1"/>
  <c r="CF82" i="6"/>
  <c r="CF86" i="6" s="1"/>
  <c r="CE82" i="6"/>
  <c r="CE86" i="6" s="1"/>
  <c r="CD82" i="6"/>
  <c r="CD86" i="6" s="1"/>
  <c r="CC82" i="6"/>
  <c r="CC86" i="6" s="1"/>
  <c r="CB82" i="6"/>
  <c r="CB86" i="6" s="1"/>
  <c r="CA82" i="6"/>
  <c r="CA86" i="6" s="1"/>
  <c r="BZ82" i="6"/>
  <c r="BZ86" i="6" s="1"/>
  <c r="BY82" i="6"/>
  <c r="BY86" i="6" s="1"/>
  <c r="CP86" i="6" s="1"/>
  <c r="BV82" i="6"/>
  <c r="BT82" i="6"/>
  <c r="BT86" i="6" s="1"/>
  <c r="BS82" i="6"/>
  <c r="BS86" i="6" s="1"/>
  <c r="BR82" i="6"/>
  <c r="BR86" i="6" s="1"/>
  <c r="BQ82" i="6"/>
  <c r="BQ86" i="6" s="1"/>
  <c r="BP82" i="6"/>
  <c r="BP86" i="6" s="1"/>
  <c r="BO82" i="6"/>
  <c r="BO86" i="6" s="1"/>
  <c r="BN82" i="6"/>
  <c r="BN86" i="6" s="1"/>
  <c r="BM82" i="6"/>
  <c r="BM86" i="6" s="1"/>
  <c r="BD82" i="6"/>
  <c r="BB82" i="6"/>
  <c r="BB86" i="6" s="1"/>
  <c r="BA82" i="6"/>
  <c r="BA86" i="6" s="1"/>
  <c r="AZ82" i="6"/>
  <c r="AZ86" i="6" s="1"/>
  <c r="AY82" i="6"/>
  <c r="AY86" i="6" s="1"/>
  <c r="AX82" i="6"/>
  <c r="AX86" i="6" s="1"/>
  <c r="AW82" i="6"/>
  <c r="AW86" i="6" s="1"/>
  <c r="AV82" i="6"/>
  <c r="AV86" i="6" s="1"/>
  <c r="AU82" i="6"/>
  <c r="AU86" i="6" s="1"/>
  <c r="BC86" i="6" s="1"/>
  <c r="AL82" i="6"/>
  <c r="AJ82" i="6"/>
  <c r="AJ86" i="6" s="1"/>
  <c r="AI82" i="6"/>
  <c r="AI86" i="6" s="1"/>
  <c r="AH82" i="6"/>
  <c r="AH86" i="6" s="1"/>
  <c r="AG82" i="6"/>
  <c r="AG86" i="6" s="1"/>
  <c r="AF82" i="6"/>
  <c r="AF86" i="6" s="1"/>
  <c r="AE82" i="6"/>
  <c r="AE86" i="6" s="1"/>
  <c r="AD82" i="6"/>
  <c r="AD86" i="6" s="1"/>
  <c r="AC82" i="6"/>
  <c r="AC86" i="6" s="1"/>
  <c r="T82" i="6"/>
  <c r="R82" i="6"/>
  <c r="R86" i="6" s="1"/>
  <c r="Q82" i="6"/>
  <c r="Q86" i="6" s="1"/>
  <c r="P82" i="6"/>
  <c r="P86" i="6" s="1"/>
  <c r="O82" i="6"/>
  <c r="O86" i="6" s="1"/>
  <c r="N82" i="6"/>
  <c r="N86" i="6" s="1"/>
  <c r="M82" i="6"/>
  <c r="M86" i="6" s="1"/>
  <c r="L82" i="6"/>
  <c r="L86" i="6" s="1"/>
  <c r="K82" i="6"/>
  <c r="K86" i="6" s="1"/>
  <c r="S86" i="6" s="1"/>
  <c r="BL81" i="6"/>
  <c r="BK81" i="6"/>
  <c r="BJ81" i="6"/>
  <c r="BI81" i="6"/>
  <c r="BH81" i="6"/>
  <c r="BG81" i="6"/>
  <c r="BF81" i="6"/>
  <c r="BV81" i="6" s="1"/>
  <c r="BE81" i="6"/>
  <c r="AT81" i="6"/>
  <c r="AS81" i="6"/>
  <c r="AR81" i="6"/>
  <c r="AQ81" i="6"/>
  <c r="AP81" i="6"/>
  <c r="AO81" i="6"/>
  <c r="AN81" i="6"/>
  <c r="BD81" i="6" s="1"/>
  <c r="AM81" i="6"/>
  <c r="AB81" i="6"/>
  <c r="AA81" i="6"/>
  <c r="Z81" i="6"/>
  <c r="Y81" i="6"/>
  <c r="X81" i="6"/>
  <c r="W81" i="6"/>
  <c r="V81" i="6"/>
  <c r="AL81" i="6" s="1"/>
  <c r="U81" i="6"/>
  <c r="J81" i="6"/>
  <c r="I81" i="6"/>
  <c r="H81" i="6"/>
  <c r="G81" i="6"/>
  <c r="F81" i="6"/>
  <c r="E81" i="6"/>
  <c r="D81" i="6"/>
  <c r="T81" i="6" s="1"/>
  <c r="C81" i="6"/>
  <c r="CX80" i="6"/>
  <c r="DF80" i="6" s="1"/>
  <c r="CW80" i="6"/>
  <c r="DE80" i="6" s="1"/>
  <c r="CV80" i="6"/>
  <c r="DD80" i="6" s="1"/>
  <c r="CU80" i="6"/>
  <c r="DC80" i="6" s="1"/>
  <c r="CT80" i="6"/>
  <c r="DB80" i="6" s="1"/>
  <c r="CS80" i="6"/>
  <c r="DA80" i="6" s="1"/>
  <c r="CR80" i="6"/>
  <c r="DH80" i="6" s="1"/>
  <c r="CQ80" i="6"/>
  <c r="CY80" i="6" s="1"/>
  <c r="CF80" i="6"/>
  <c r="CN80" i="6" s="1"/>
  <c r="CE80" i="6"/>
  <c r="CM80" i="6" s="1"/>
  <c r="CD80" i="6"/>
  <c r="CL80" i="6" s="1"/>
  <c r="CC80" i="6"/>
  <c r="CK80" i="6" s="1"/>
  <c r="CB80" i="6"/>
  <c r="CJ80" i="6" s="1"/>
  <c r="CA80" i="6"/>
  <c r="CI80" i="6" s="1"/>
  <c r="BZ80" i="6"/>
  <c r="CP80" i="6" s="1"/>
  <c r="BY80" i="6"/>
  <c r="CG80" i="6" s="1"/>
  <c r="BV80" i="6"/>
  <c r="BT80" i="6"/>
  <c r="BS80" i="6"/>
  <c r="BR80" i="6"/>
  <c r="BQ80" i="6"/>
  <c r="BP80" i="6"/>
  <c r="BO80" i="6"/>
  <c r="BN80" i="6"/>
  <c r="BM80" i="6"/>
  <c r="BU80" i="6" s="1"/>
  <c r="BD80" i="6"/>
  <c r="BB80" i="6"/>
  <c r="BA80" i="6"/>
  <c r="AZ80" i="6"/>
  <c r="AY80" i="6"/>
  <c r="AX80" i="6"/>
  <c r="AW80" i="6"/>
  <c r="AV80" i="6"/>
  <c r="AU80" i="6"/>
  <c r="BC80" i="6" s="1"/>
  <c r="AL80" i="6"/>
  <c r="AJ80" i="6"/>
  <c r="AI80" i="6"/>
  <c r="AH80" i="6"/>
  <c r="AG80" i="6"/>
  <c r="AF80" i="6"/>
  <c r="AE80" i="6"/>
  <c r="AD80" i="6"/>
  <c r="AC80" i="6"/>
  <c r="AK80" i="6" s="1"/>
  <c r="T80" i="6"/>
  <c r="R80" i="6"/>
  <c r="Q80" i="6"/>
  <c r="P80" i="6"/>
  <c r="O80" i="6"/>
  <c r="N80" i="6"/>
  <c r="M80" i="6"/>
  <c r="L80" i="6"/>
  <c r="K80" i="6"/>
  <c r="S80" i="6" s="1"/>
  <c r="CX79" i="6"/>
  <c r="DF79" i="6" s="1"/>
  <c r="CW79" i="6"/>
  <c r="DE79" i="6" s="1"/>
  <c r="CV79" i="6"/>
  <c r="DD79" i="6" s="1"/>
  <c r="CU79" i="6"/>
  <c r="DC79" i="6" s="1"/>
  <c r="CT79" i="6"/>
  <c r="DB79" i="6" s="1"/>
  <c r="CS79" i="6"/>
  <c r="DA79" i="6" s="1"/>
  <c r="CR79" i="6"/>
  <c r="DH79" i="6" s="1"/>
  <c r="CQ79" i="6"/>
  <c r="CY79" i="6" s="1"/>
  <c r="CF79" i="6"/>
  <c r="CN79" i="6" s="1"/>
  <c r="CE79" i="6"/>
  <c r="CM79" i="6" s="1"/>
  <c r="CD79" i="6"/>
  <c r="CL79" i="6" s="1"/>
  <c r="CC79" i="6"/>
  <c r="CK79" i="6" s="1"/>
  <c r="CB79" i="6"/>
  <c r="CJ79" i="6" s="1"/>
  <c r="CA79" i="6"/>
  <c r="CI79" i="6" s="1"/>
  <c r="BZ79" i="6"/>
  <c r="CP79" i="6" s="1"/>
  <c r="BY79" i="6"/>
  <c r="CG79" i="6" s="1"/>
  <c r="BV79" i="6"/>
  <c r="BT79" i="6"/>
  <c r="BS79" i="6"/>
  <c r="BR79" i="6"/>
  <c r="BQ79" i="6"/>
  <c r="BP79" i="6"/>
  <c r="BO79" i="6"/>
  <c r="BN79" i="6"/>
  <c r="BM79" i="6"/>
  <c r="BU79" i="6" s="1"/>
  <c r="BD79" i="6"/>
  <c r="BB79" i="6"/>
  <c r="BA79" i="6"/>
  <c r="AZ79" i="6"/>
  <c r="AY79" i="6"/>
  <c r="AX79" i="6"/>
  <c r="AW79" i="6"/>
  <c r="AV79" i="6"/>
  <c r="AU79" i="6"/>
  <c r="BC79" i="6" s="1"/>
  <c r="AL79" i="6"/>
  <c r="AJ79" i="6"/>
  <c r="AI79" i="6"/>
  <c r="AH79" i="6"/>
  <c r="AG79" i="6"/>
  <c r="AF79" i="6"/>
  <c r="AE79" i="6"/>
  <c r="AD79" i="6"/>
  <c r="AC79" i="6"/>
  <c r="AK79" i="6" s="1"/>
  <c r="T79" i="6"/>
  <c r="R79" i="6"/>
  <c r="Q79" i="6"/>
  <c r="P79" i="6"/>
  <c r="O79" i="6"/>
  <c r="N79" i="6"/>
  <c r="M79" i="6"/>
  <c r="L79" i="6"/>
  <c r="K79" i="6"/>
  <c r="S79" i="6" s="1"/>
  <c r="CX78" i="6"/>
  <c r="DF78" i="6" s="1"/>
  <c r="CW78" i="6"/>
  <c r="DE78" i="6" s="1"/>
  <c r="CV78" i="6"/>
  <c r="DD78" i="6" s="1"/>
  <c r="CU78" i="6"/>
  <c r="DC78" i="6" s="1"/>
  <c r="CT78" i="6"/>
  <c r="DB78" i="6" s="1"/>
  <c r="CS78" i="6"/>
  <c r="DA78" i="6" s="1"/>
  <c r="CR78" i="6"/>
  <c r="DH78" i="6" s="1"/>
  <c r="CQ78" i="6"/>
  <c r="CY78" i="6" s="1"/>
  <c r="CF78" i="6"/>
  <c r="CN78" i="6" s="1"/>
  <c r="CE78" i="6"/>
  <c r="CM78" i="6" s="1"/>
  <c r="CD78" i="6"/>
  <c r="CL78" i="6" s="1"/>
  <c r="CC78" i="6"/>
  <c r="CK78" i="6" s="1"/>
  <c r="CB78" i="6"/>
  <c r="CJ78" i="6" s="1"/>
  <c r="CA78" i="6"/>
  <c r="CI78" i="6" s="1"/>
  <c r="BZ78" i="6"/>
  <c r="CP78" i="6" s="1"/>
  <c r="BY78" i="6"/>
  <c r="CG78" i="6" s="1"/>
  <c r="BV78" i="6"/>
  <c r="BT78" i="6"/>
  <c r="BS78" i="6"/>
  <c r="BR78" i="6"/>
  <c r="BQ78" i="6"/>
  <c r="BP78" i="6"/>
  <c r="BO78" i="6"/>
  <c r="BN78" i="6"/>
  <c r="BM78" i="6"/>
  <c r="BU78" i="6" s="1"/>
  <c r="BD78" i="6"/>
  <c r="BB78" i="6"/>
  <c r="BA78" i="6"/>
  <c r="AZ78" i="6"/>
  <c r="AY78" i="6"/>
  <c r="AX78" i="6"/>
  <c r="AW78" i="6"/>
  <c r="AV78" i="6"/>
  <c r="AU78" i="6"/>
  <c r="BC78" i="6" s="1"/>
  <c r="AL78" i="6"/>
  <c r="AJ78" i="6"/>
  <c r="AI78" i="6"/>
  <c r="AH78" i="6"/>
  <c r="AG78" i="6"/>
  <c r="AF78" i="6"/>
  <c r="AE78" i="6"/>
  <c r="AD78" i="6"/>
  <c r="AC78" i="6"/>
  <c r="AK78" i="6" s="1"/>
  <c r="T78" i="6"/>
  <c r="R78" i="6"/>
  <c r="Q78" i="6"/>
  <c r="P78" i="6"/>
  <c r="O78" i="6"/>
  <c r="N78" i="6"/>
  <c r="M78" i="6"/>
  <c r="L78" i="6"/>
  <c r="K78" i="6"/>
  <c r="S78" i="6" s="1"/>
  <c r="CX77" i="6"/>
  <c r="CX81" i="6" s="1"/>
  <c r="CW77" i="6"/>
  <c r="CW81" i="6" s="1"/>
  <c r="CV77" i="6"/>
  <c r="CV81" i="6" s="1"/>
  <c r="CU77" i="6"/>
  <c r="CU81" i="6" s="1"/>
  <c r="CT77" i="6"/>
  <c r="CT81" i="6" s="1"/>
  <c r="CS77" i="6"/>
  <c r="CS81" i="6" s="1"/>
  <c r="CR77" i="6"/>
  <c r="CR81" i="6" s="1"/>
  <c r="CQ77" i="6"/>
  <c r="CQ81" i="6" s="1"/>
  <c r="DH81" i="6" s="1"/>
  <c r="CF77" i="6"/>
  <c r="CF81" i="6" s="1"/>
  <c r="CE77" i="6"/>
  <c r="CE81" i="6" s="1"/>
  <c r="CD77" i="6"/>
  <c r="CD81" i="6" s="1"/>
  <c r="CC77" i="6"/>
  <c r="CC81" i="6" s="1"/>
  <c r="CB77" i="6"/>
  <c r="CB81" i="6" s="1"/>
  <c r="CA77" i="6"/>
  <c r="CA81" i="6" s="1"/>
  <c r="BZ77" i="6"/>
  <c r="BZ81" i="6" s="1"/>
  <c r="BY77" i="6"/>
  <c r="BY81" i="6" s="1"/>
  <c r="CP81" i="6" s="1"/>
  <c r="BV77" i="6"/>
  <c r="BT77" i="6"/>
  <c r="BT81" i="6" s="1"/>
  <c r="BS77" i="6"/>
  <c r="BS81" i="6" s="1"/>
  <c r="BR77" i="6"/>
  <c r="BR81" i="6" s="1"/>
  <c r="BQ77" i="6"/>
  <c r="BQ81" i="6" s="1"/>
  <c r="BP77" i="6"/>
  <c r="BP81" i="6" s="1"/>
  <c r="BO77" i="6"/>
  <c r="BO81" i="6" s="1"/>
  <c r="BN77" i="6"/>
  <c r="BN81" i="6" s="1"/>
  <c r="BM77" i="6"/>
  <c r="BM81" i="6" s="1"/>
  <c r="BD77" i="6"/>
  <c r="BB77" i="6"/>
  <c r="BB81" i="6" s="1"/>
  <c r="BA77" i="6"/>
  <c r="BA81" i="6" s="1"/>
  <c r="AZ77" i="6"/>
  <c r="AZ81" i="6" s="1"/>
  <c r="AY77" i="6"/>
  <c r="AY81" i="6" s="1"/>
  <c r="AX77" i="6"/>
  <c r="AX81" i="6" s="1"/>
  <c r="AW77" i="6"/>
  <c r="AW81" i="6" s="1"/>
  <c r="AV77" i="6"/>
  <c r="AV81" i="6" s="1"/>
  <c r="AU77" i="6"/>
  <c r="AU81" i="6" s="1"/>
  <c r="BC81" i="6" s="1"/>
  <c r="AL77" i="6"/>
  <c r="AJ77" i="6"/>
  <c r="AJ81" i="6" s="1"/>
  <c r="AI77" i="6"/>
  <c r="AI81" i="6" s="1"/>
  <c r="AH77" i="6"/>
  <c r="AH81" i="6" s="1"/>
  <c r="AG77" i="6"/>
  <c r="AG81" i="6" s="1"/>
  <c r="AF77" i="6"/>
  <c r="AF81" i="6" s="1"/>
  <c r="AE77" i="6"/>
  <c r="AE81" i="6" s="1"/>
  <c r="AD77" i="6"/>
  <c r="AD81" i="6" s="1"/>
  <c r="AC77" i="6"/>
  <c r="AC81" i="6" s="1"/>
  <c r="T77" i="6"/>
  <c r="R77" i="6"/>
  <c r="R81" i="6" s="1"/>
  <c r="Q77" i="6"/>
  <c r="Q81" i="6" s="1"/>
  <c r="P77" i="6"/>
  <c r="P81" i="6" s="1"/>
  <c r="O77" i="6"/>
  <c r="O81" i="6" s="1"/>
  <c r="N77" i="6"/>
  <c r="N81" i="6" s="1"/>
  <c r="M77" i="6"/>
  <c r="M81" i="6" s="1"/>
  <c r="L77" i="6"/>
  <c r="L81" i="6" s="1"/>
  <c r="K77" i="6"/>
  <c r="K81" i="6" s="1"/>
  <c r="S81" i="6" s="1"/>
  <c r="BL76" i="6"/>
  <c r="BK76" i="6"/>
  <c r="BJ76" i="6"/>
  <c r="BI76" i="6"/>
  <c r="BH76" i="6"/>
  <c r="BG76" i="6"/>
  <c r="BF76" i="6"/>
  <c r="BV76" i="6" s="1"/>
  <c r="BE76" i="6"/>
  <c r="AT76" i="6"/>
  <c r="AS76" i="6"/>
  <c r="AR76" i="6"/>
  <c r="AQ76" i="6"/>
  <c r="AP76" i="6"/>
  <c r="AO76" i="6"/>
  <c r="AN76" i="6"/>
  <c r="BD76" i="6" s="1"/>
  <c r="AM76" i="6"/>
  <c r="AB76" i="6"/>
  <c r="AA76" i="6"/>
  <c r="Z76" i="6"/>
  <c r="Y76" i="6"/>
  <c r="X76" i="6"/>
  <c r="W76" i="6"/>
  <c r="V76" i="6"/>
  <c r="AL76" i="6" s="1"/>
  <c r="U76" i="6"/>
  <c r="J76" i="6"/>
  <c r="I76" i="6"/>
  <c r="H76" i="6"/>
  <c r="G76" i="6"/>
  <c r="F76" i="6"/>
  <c r="E76" i="6"/>
  <c r="D76" i="6"/>
  <c r="T76" i="6" s="1"/>
  <c r="C76" i="6"/>
  <c r="CX75" i="6"/>
  <c r="DF75" i="6" s="1"/>
  <c r="CW75" i="6"/>
  <c r="DE75" i="6" s="1"/>
  <c r="CV75" i="6"/>
  <c r="DD75" i="6" s="1"/>
  <c r="CU75" i="6"/>
  <c r="DC75" i="6" s="1"/>
  <c r="CT75" i="6"/>
  <c r="DB75" i="6" s="1"/>
  <c r="CS75" i="6"/>
  <c r="DA75" i="6" s="1"/>
  <c r="CR75" i="6"/>
  <c r="DH75" i="6" s="1"/>
  <c r="CQ75" i="6"/>
  <c r="CY75" i="6" s="1"/>
  <c r="CF75" i="6"/>
  <c r="CN75" i="6" s="1"/>
  <c r="CE75" i="6"/>
  <c r="CM75" i="6" s="1"/>
  <c r="CD75" i="6"/>
  <c r="CL75" i="6" s="1"/>
  <c r="CC75" i="6"/>
  <c r="CK75" i="6" s="1"/>
  <c r="CB75" i="6"/>
  <c r="CJ75" i="6" s="1"/>
  <c r="CA75" i="6"/>
  <c r="CI75" i="6" s="1"/>
  <c r="BZ75" i="6"/>
  <c r="CP75" i="6" s="1"/>
  <c r="BY75" i="6"/>
  <c r="CG75" i="6" s="1"/>
  <c r="BV75" i="6"/>
  <c r="BT75" i="6"/>
  <c r="BS75" i="6"/>
  <c r="BR75" i="6"/>
  <c r="BQ75" i="6"/>
  <c r="BP75" i="6"/>
  <c r="BO75" i="6"/>
  <c r="BN75" i="6"/>
  <c r="BM75" i="6"/>
  <c r="BU75" i="6" s="1"/>
  <c r="BD75" i="6"/>
  <c r="BB75" i="6"/>
  <c r="BA75" i="6"/>
  <c r="AZ75" i="6"/>
  <c r="AY75" i="6"/>
  <c r="AX75" i="6"/>
  <c r="AW75" i="6"/>
  <c r="AV75" i="6"/>
  <c r="AU75" i="6"/>
  <c r="BC75" i="6" s="1"/>
  <c r="AL75" i="6"/>
  <c r="AJ75" i="6"/>
  <c r="AI75" i="6"/>
  <c r="AH75" i="6"/>
  <c r="AG75" i="6"/>
  <c r="AF75" i="6"/>
  <c r="AE75" i="6"/>
  <c r="AD75" i="6"/>
  <c r="AC75" i="6"/>
  <c r="AK75" i="6" s="1"/>
  <c r="T75" i="6"/>
  <c r="R75" i="6"/>
  <c r="Q75" i="6"/>
  <c r="P75" i="6"/>
  <c r="O75" i="6"/>
  <c r="N75" i="6"/>
  <c r="M75" i="6"/>
  <c r="L75" i="6"/>
  <c r="K75" i="6"/>
  <c r="S75" i="6" s="1"/>
  <c r="CX74" i="6"/>
  <c r="DF74" i="6" s="1"/>
  <c r="CW74" i="6"/>
  <c r="DE74" i="6" s="1"/>
  <c r="CV74" i="6"/>
  <c r="DD74" i="6" s="1"/>
  <c r="CU74" i="6"/>
  <c r="DC74" i="6" s="1"/>
  <c r="CT74" i="6"/>
  <c r="DB74" i="6" s="1"/>
  <c r="CS74" i="6"/>
  <c r="DA74" i="6" s="1"/>
  <c r="CR74" i="6"/>
  <c r="DH74" i="6" s="1"/>
  <c r="CQ74" i="6"/>
  <c r="CY74" i="6" s="1"/>
  <c r="CF74" i="6"/>
  <c r="CN74" i="6" s="1"/>
  <c r="CE74" i="6"/>
  <c r="CM74" i="6" s="1"/>
  <c r="CD74" i="6"/>
  <c r="CL74" i="6" s="1"/>
  <c r="CC74" i="6"/>
  <c r="CK74" i="6" s="1"/>
  <c r="CB74" i="6"/>
  <c r="CJ74" i="6" s="1"/>
  <c r="CA74" i="6"/>
  <c r="CI74" i="6" s="1"/>
  <c r="BZ74" i="6"/>
  <c r="CP74" i="6" s="1"/>
  <c r="BY74" i="6"/>
  <c r="CG74" i="6" s="1"/>
  <c r="BV74" i="6"/>
  <c r="BT74" i="6"/>
  <c r="BS74" i="6"/>
  <c r="BR74" i="6"/>
  <c r="BQ74" i="6"/>
  <c r="BP74" i="6"/>
  <c r="BO74" i="6"/>
  <c r="BN74" i="6"/>
  <c r="BM74" i="6"/>
  <c r="BU74" i="6" s="1"/>
  <c r="BD74" i="6"/>
  <c r="BB74" i="6"/>
  <c r="BA74" i="6"/>
  <c r="AZ74" i="6"/>
  <c r="AY74" i="6"/>
  <c r="AX74" i="6"/>
  <c r="AW74" i="6"/>
  <c r="AV74" i="6"/>
  <c r="AU74" i="6"/>
  <c r="BC74" i="6" s="1"/>
  <c r="AL74" i="6"/>
  <c r="AJ74" i="6"/>
  <c r="AI74" i="6"/>
  <c r="AH74" i="6"/>
  <c r="AG74" i="6"/>
  <c r="AF74" i="6"/>
  <c r="AE74" i="6"/>
  <c r="AD74" i="6"/>
  <c r="AC74" i="6"/>
  <c r="AK74" i="6" s="1"/>
  <c r="T74" i="6"/>
  <c r="R74" i="6"/>
  <c r="Q74" i="6"/>
  <c r="P74" i="6"/>
  <c r="O74" i="6"/>
  <c r="N74" i="6"/>
  <c r="M74" i="6"/>
  <c r="L74" i="6"/>
  <c r="K74" i="6"/>
  <c r="S74" i="6" s="1"/>
  <c r="CX73" i="6"/>
  <c r="DF73" i="6" s="1"/>
  <c r="CW73" i="6"/>
  <c r="DE73" i="6" s="1"/>
  <c r="CV73" i="6"/>
  <c r="DD73" i="6" s="1"/>
  <c r="CU73" i="6"/>
  <c r="DC73" i="6" s="1"/>
  <c r="CT73" i="6"/>
  <c r="DB73" i="6" s="1"/>
  <c r="CS73" i="6"/>
  <c r="DA73" i="6" s="1"/>
  <c r="CR73" i="6"/>
  <c r="DH73" i="6" s="1"/>
  <c r="CQ73" i="6"/>
  <c r="CY73" i="6" s="1"/>
  <c r="CF73" i="6"/>
  <c r="CN73" i="6" s="1"/>
  <c r="CE73" i="6"/>
  <c r="CM73" i="6" s="1"/>
  <c r="CD73" i="6"/>
  <c r="CL73" i="6" s="1"/>
  <c r="CC73" i="6"/>
  <c r="CK73" i="6" s="1"/>
  <c r="CB73" i="6"/>
  <c r="CJ73" i="6" s="1"/>
  <c r="CA73" i="6"/>
  <c r="CI73" i="6" s="1"/>
  <c r="BZ73" i="6"/>
  <c r="CP73" i="6" s="1"/>
  <c r="BY73" i="6"/>
  <c r="CG73" i="6" s="1"/>
  <c r="BV73" i="6"/>
  <c r="BT73" i="6"/>
  <c r="BS73" i="6"/>
  <c r="BR73" i="6"/>
  <c r="BQ73" i="6"/>
  <c r="BP73" i="6"/>
  <c r="BO73" i="6"/>
  <c r="BN73" i="6"/>
  <c r="BM73" i="6"/>
  <c r="BU73" i="6" s="1"/>
  <c r="BD73" i="6"/>
  <c r="BB73" i="6"/>
  <c r="BA73" i="6"/>
  <c r="AZ73" i="6"/>
  <c r="AY73" i="6"/>
  <c r="AX73" i="6"/>
  <c r="AW73" i="6"/>
  <c r="AV73" i="6"/>
  <c r="AU73" i="6"/>
  <c r="BC73" i="6" s="1"/>
  <c r="AL73" i="6"/>
  <c r="AJ73" i="6"/>
  <c r="AI73" i="6"/>
  <c r="AH73" i="6"/>
  <c r="AG73" i="6"/>
  <c r="AF73" i="6"/>
  <c r="AE73" i="6"/>
  <c r="AD73" i="6"/>
  <c r="AC73" i="6"/>
  <c r="AK73" i="6" s="1"/>
  <c r="T73" i="6"/>
  <c r="R73" i="6"/>
  <c r="Q73" i="6"/>
  <c r="P73" i="6"/>
  <c r="O73" i="6"/>
  <c r="N73" i="6"/>
  <c r="M73" i="6"/>
  <c r="L73" i="6"/>
  <c r="K73" i="6"/>
  <c r="S73" i="6" s="1"/>
  <c r="CX72" i="6"/>
  <c r="CX76" i="6" s="1"/>
  <c r="CW72" i="6"/>
  <c r="CW76" i="6" s="1"/>
  <c r="CV72" i="6"/>
  <c r="CV76" i="6" s="1"/>
  <c r="CU72" i="6"/>
  <c r="CU76" i="6" s="1"/>
  <c r="CT72" i="6"/>
  <c r="CT76" i="6" s="1"/>
  <c r="CS72" i="6"/>
  <c r="CS76" i="6" s="1"/>
  <c r="CR72" i="6"/>
  <c r="CR76" i="6" s="1"/>
  <c r="CQ72" i="6"/>
  <c r="CQ76" i="6" s="1"/>
  <c r="DH76" i="6" s="1"/>
  <c r="CF72" i="6"/>
  <c r="CF76" i="6" s="1"/>
  <c r="CE72" i="6"/>
  <c r="CE76" i="6" s="1"/>
  <c r="CD72" i="6"/>
  <c r="CD76" i="6" s="1"/>
  <c r="CC72" i="6"/>
  <c r="CC76" i="6" s="1"/>
  <c r="CB72" i="6"/>
  <c r="CB76" i="6" s="1"/>
  <c r="CA72" i="6"/>
  <c r="CA76" i="6" s="1"/>
  <c r="BZ72" i="6"/>
  <c r="BZ76" i="6" s="1"/>
  <c r="BY72" i="6"/>
  <c r="BY76" i="6" s="1"/>
  <c r="CP76" i="6" s="1"/>
  <c r="BV72" i="6"/>
  <c r="BT72" i="6"/>
  <c r="BT76" i="6" s="1"/>
  <c r="BS72" i="6"/>
  <c r="BS76" i="6" s="1"/>
  <c r="BR72" i="6"/>
  <c r="BR76" i="6" s="1"/>
  <c r="BQ72" i="6"/>
  <c r="BQ76" i="6" s="1"/>
  <c r="BP72" i="6"/>
  <c r="BP76" i="6" s="1"/>
  <c r="BO72" i="6"/>
  <c r="BO76" i="6" s="1"/>
  <c r="BN72" i="6"/>
  <c r="BN76" i="6" s="1"/>
  <c r="BM72" i="6"/>
  <c r="BM76" i="6" s="1"/>
  <c r="BD72" i="6"/>
  <c r="BB72" i="6"/>
  <c r="BB76" i="6" s="1"/>
  <c r="BA72" i="6"/>
  <c r="BA76" i="6" s="1"/>
  <c r="AZ72" i="6"/>
  <c r="AZ76" i="6" s="1"/>
  <c r="AY72" i="6"/>
  <c r="AY76" i="6" s="1"/>
  <c r="AX72" i="6"/>
  <c r="AX76" i="6" s="1"/>
  <c r="AW72" i="6"/>
  <c r="AW76" i="6" s="1"/>
  <c r="AV72" i="6"/>
  <c r="AV76" i="6" s="1"/>
  <c r="AU72" i="6"/>
  <c r="AU76" i="6" s="1"/>
  <c r="BC76" i="6" s="1"/>
  <c r="AL72" i="6"/>
  <c r="AJ72" i="6"/>
  <c r="AJ76" i="6" s="1"/>
  <c r="AI72" i="6"/>
  <c r="AI76" i="6" s="1"/>
  <c r="AH72" i="6"/>
  <c r="AH76" i="6" s="1"/>
  <c r="AG72" i="6"/>
  <c r="AG76" i="6" s="1"/>
  <c r="AF72" i="6"/>
  <c r="AF76" i="6" s="1"/>
  <c r="AE72" i="6"/>
  <c r="AE76" i="6" s="1"/>
  <c r="AD72" i="6"/>
  <c r="AD76" i="6" s="1"/>
  <c r="AC72" i="6"/>
  <c r="AC76" i="6" s="1"/>
  <c r="T72" i="6"/>
  <c r="R72" i="6"/>
  <c r="R76" i="6" s="1"/>
  <c r="Q72" i="6"/>
  <c r="Q76" i="6" s="1"/>
  <c r="P72" i="6"/>
  <c r="P76" i="6" s="1"/>
  <c r="O72" i="6"/>
  <c r="O76" i="6" s="1"/>
  <c r="N72" i="6"/>
  <c r="N76" i="6" s="1"/>
  <c r="M72" i="6"/>
  <c r="M76" i="6" s="1"/>
  <c r="L72" i="6"/>
  <c r="L76" i="6" s="1"/>
  <c r="K72" i="6"/>
  <c r="K76" i="6" s="1"/>
  <c r="S76" i="6" s="1"/>
  <c r="BL71" i="6"/>
  <c r="BK71" i="6"/>
  <c r="BJ71" i="6"/>
  <c r="BI71" i="6"/>
  <c r="BH71" i="6"/>
  <c r="BG71" i="6"/>
  <c r="BF71" i="6"/>
  <c r="BV71" i="6" s="1"/>
  <c r="BE71" i="6"/>
  <c r="AT71" i="6"/>
  <c r="AS71" i="6"/>
  <c r="AR71" i="6"/>
  <c r="AQ71" i="6"/>
  <c r="AP71" i="6"/>
  <c r="AO71" i="6"/>
  <c r="AN71" i="6"/>
  <c r="BD71" i="6" s="1"/>
  <c r="AM71" i="6"/>
  <c r="AB71" i="6"/>
  <c r="AA71" i="6"/>
  <c r="Z71" i="6"/>
  <c r="Y71" i="6"/>
  <c r="X71" i="6"/>
  <c r="W71" i="6"/>
  <c r="V71" i="6"/>
  <c r="AL71" i="6" s="1"/>
  <c r="U71" i="6"/>
  <c r="J71" i="6"/>
  <c r="I71" i="6"/>
  <c r="H71" i="6"/>
  <c r="G71" i="6"/>
  <c r="F71" i="6"/>
  <c r="E71" i="6"/>
  <c r="D71" i="6"/>
  <c r="T71" i="6" s="1"/>
  <c r="C71" i="6"/>
  <c r="CX70" i="6"/>
  <c r="DF70" i="6" s="1"/>
  <c r="CW70" i="6"/>
  <c r="DE70" i="6" s="1"/>
  <c r="CV70" i="6"/>
  <c r="DD70" i="6" s="1"/>
  <c r="CU70" i="6"/>
  <c r="DC70" i="6" s="1"/>
  <c r="CT70" i="6"/>
  <c r="DB70" i="6" s="1"/>
  <c r="CS70" i="6"/>
  <c r="DA70" i="6" s="1"/>
  <c r="CR70" i="6"/>
  <c r="DH70" i="6" s="1"/>
  <c r="CQ70" i="6"/>
  <c r="CY70" i="6" s="1"/>
  <c r="CF70" i="6"/>
  <c r="CN70" i="6" s="1"/>
  <c r="CE70" i="6"/>
  <c r="CM70" i="6" s="1"/>
  <c r="CD70" i="6"/>
  <c r="CL70" i="6" s="1"/>
  <c r="CC70" i="6"/>
  <c r="CK70" i="6" s="1"/>
  <c r="CB70" i="6"/>
  <c r="CJ70" i="6" s="1"/>
  <c r="CA70" i="6"/>
  <c r="CI70" i="6" s="1"/>
  <c r="BZ70" i="6"/>
  <c r="CP70" i="6" s="1"/>
  <c r="BY70" i="6"/>
  <c r="CG70" i="6" s="1"/>
  <c r="BV70" i="6"/>
  <c r="BT70" i="6"/>
  <c r="BS70" i="6"/>
  <c r="BR70" i="6"/>
  <c r="BQ70" i="6"/>
  <c r="BP70" i="6"/>
  <c r="BO70" i="6"/>
  <c r="BN70" i="6"/>
  <c r="BM70" i="6"/>
  <c r="BU70" i="6" s="1"/>
  <c r="BD70" i="6"/>
  <c r="BB70" i="6"/>
  <c r="BA70" i="6"/>
  <c r="AZ70" i="6"/>
  <c r="AY70" i="6"/>
  <c r="AX70" i="6"/>
  <c r="AW70" i="6"/>
  <c r="AV70" i="6"/>
  <c r="AU70" i="6"/>
  <c r="BC70" i="6" s="1"/>
  <c r="AL70" i="6"/>
  <c r="AJ70" i="6"/>
  <c r="AI70" i="6"/>
  <c r="AH70" i="6"/>
  <c r="AG70" i="6"/>
  <c r="AF70" i="6"/>
  <c r="AE70" i="6"/>
  <c r="AD70" i="6"/>
  <c r="AC70" i="6"/>
  <c r="AK70" i="6" s="1"/>
  <c r="T70" i="6"/>
  <c r="R70" i="6"/>
  <c r="Q70" i="6"/>
  <c r="P70" i="6"/>
  <c r="O70" i="6"/>
  <c r="N70" i="6"/>
  <c r="M70" i="6"/>
  <c r="L70" i="6"/>
  <c r="K70" i="6"/>
  <c r="S70" i="6" s="1"/>
  <c r="CX69" i="6"/>
  <c r="DF69" i="6" s="1"/>
  <c r="CW69" i="6"/>
  <c r="DE69" i="6" s="1"/>
  <c r="CV69" i="6"/>
  <c r="DD69" i="6" s="1"/>
  <c r="CU69" i="6"/>
  <c r="DC69" i="6" s="1"/>
  <c r="CT69" i="6"/>
  <c r="DB69" i="6" s="1"/>
  <c r="CS69" i="6"/>
  <c r="DA69" i="6" s="1"/>
  <c r="CR69" i="6"/>
  <c r="DH69" i="6" s="1"/>
  <c r="CQ69" i="6"/>
  <c r="CY69" i="6" s="1"/>
  <c r="CF69" i="6"/>
  <c r="CN69" i="6" s="1"/>
  <c r="CE69" i="6"/>
  <c r="CM69" i="6" s="1"/>
  <c r="CD69" i="6"/>
  <c r="CL69" i="6" s="1"/>
  <c r="CC69" i="6"/>
  <c r="CK69" i="6" s="1"/>
  <c r="CB69" i="6"/>
  <c r="CJ69" i="6" s="1"/>
  <c r="CA69" i="6"/>
  <c r="CI69" i="6" s="1"/>
  <c r="BZ69" i="6"/>
  <c r="CP69" i="6" s="1"/>
  <c r="BY69" i="6"/>
  <c r="CG69" i="6" s="1"/>
  <c r="BV69" i="6"/>
  <c r="BT69" i="6"/>
  <c r="BS69" i="6"/>
  <c r="BR69" i="6"/>
  <c r="BQ69" i="6"/>
  <c r="BP69" i="6"/>
  <c r="BO69" i="6"/>
  <c r="BN69" i="6"/>
  <c r="BM69" i="6"/>
  <c r="BU69" i="6" s="1"/>
  <c r="BD69" i="6"/>
  <c r="BB69" i="6"/>
  <c r="BA69" i="6"/>
  <c r="AZ69" i="6"/>
  <c r="AY69" i="6"/>
  <c r="AX69" i="6"/>
  <c r="AW69" i="6"/>
  <c r="AV69" i="6"/>
  <c r="AU69" i="6"/>
  <c r="BC69" i="6" s="1"/>
  <c r="AL69" i="6"/>
  <c r="AJ69" i="6"/>
  <c r="AI69" i="6"/>
  <c r="AH69" i="6"/>
  <c r="AG69" i="6"/>
  <c r="AF69" i="6"/>
  <c r="AE69" i="6"/>
  <c r="AD69" i="6"/>
  <c r="AC69" i="6"/>
  <c r="AK69" i="6" s="1"/>
  <c r="T69" i="6"/>
  <c r="R69" i="6"/>
  <c r="Q69" i="6"/>
  <c r="P69" i="6"/>
  <c r="O69" i="6"/>
  <c r="N69" i="6"/>
  <c r="M69" i="6"/>
  <c r="L69" i="6"/>
  <c r="K69" i="6"/>
  <c r="S69" i="6" s="1"/>
  <c r="CX68" i="6"/>
  <c r="DF68" i="6" s="1"/>
  <c r="CW68" i="6"/>
  <c r="DE68" i="6" s="1"/>
  <c r="CV68" i="6"/>
  <c r="DD68" i="6" s="1"/>
  <c r="CU68" i="6"/>
  <c r="DC68" i="6" s="1"/>
  <c r="CT68" i="6"/>
  <c r="DB68" i="6" s="1"/>
  <c r="CS68" i="6"/>
  <c r="DA68" i="6" s="1"/>
  <c r="CR68" i="6"/>
  <c r="DH68" i="6" s="1"/>
  <c r="CQ68" i="6"/>
  <c r="CY68" i="6" s="1"/>
  <c r="CF68" i="6"/>
  <c r="CN68" i="6" s="1"/>
  <c r="CE68" i="6"/>
  <c r="CM68" i="6" s="1"/>
  <c r="CD68" i="6"/>
  <c r="CL68" i="6" s="1"/>
  <c r="CC68" i="6"/>
  <c r="CK68" i="6" s="1"/>
  <c r="CB68" i="6"/>
  <c r="CJ68" i="6" s="1"/>
  <c r="CA68" i="6"/>
  <c r="CI68" i="6" s="1"/>
  <c r="BZ68" i="6"/>
  <c r="CP68" i="6" s="1"/>
  <c r="BY68" i="6"/>
  <c r="CG68" i="6" s="1"/>
  <c r="BV68" i="6"/>
  <c r="BT68" i="6"/>
  <c r="BS68" i="6"/>
  <c r="BR68" i="6"/>
  <c r="BQ68" i="6"/>
  <c r="BP68" i="6"/>
  <c r="BO68" i="6"/>
  <c r="BN68" i="6"/>
  <c r="BM68" i="6"/>
  <c r="BU68" i="6" s="1"/>
  <c r="BD68" i="6"/>
  <c r="BB68" i="6"/>
  <c r="BA68" i="6"/>
  <c r="AZ68" i="6"/>
  <c r="AY68" i="6"/>
  <c r="AX68" i="6"/>
  <c r="AW68" i="6"/>
  <c r="AV68" i="6"/>
  <c r="AU68" i="6"/>
  <c r="BC68" i="6" s="1"/>
  <c r="AL68" i="6"/>
  <c r="AJ68" i="6"/>
  <c r="AI68" i="6"/>
  <c r="AH68" i="6"/>
  <c r="AG68" i="6"/>
  <c r="AF68" i="6"/>
  <c r="AE68" i="6"/>
  <c r="AD68" i="6"/>
  <c r="AC68" i="6"/>
  <c r="AK68" i="6" s="1"/>
  <c r="T68" i="6"/>
  <c r="R68" i="6"/>
  <c r="Q68" i="6"/>
  <c r="P68" i="6"/>
  <c r="O68" i="6"/>
  <c r="N68" i="6"/>
  <c r="M68" i="6"/>
  <c r="L68" i="6"/>
  <c r="K68" i="6"/>
  <c r="S68" i="6" s="1"/>
  <c r="CX67" i="6"/>
  <c r="CX71" i="6" s="1"/>
  <c r="CW67" i="6"/>
  <c r="CW71" i="6" s="1"/>
  <c r="CV67" i="6"/>
  <c r="CV71" i="6" s="1"/>
  <c r="CU67" i="6"/>
  <c r="CU71" i="6" s="1"/>
  <c r="CT67" i="6"/>
  <c r="CT71" i="6" s="1"/>
  <c r="CS67" i="6"/>
  <c r="CS71" i="6" s="1"/>
  <c r="CR67" i="6"/>
  <c r="CR71" i="6" s="1"/>
  <c r="CQ67" i="6"/>
  <c r="CQ71" i="6" s="1"/>
  <c r="DH71" i="6" s="1"/>
  <c r="CF67" i="6"/>
  <c r="CF71" i="6" s="1"/>
  <c r="CE67" i="6"/>
  <c r="CE71" i="6" s="1"/>
  <c r="CD67" i="6"/>
  <c r="CD71" i="6" s="1"/>
  <c r="CC67" i="6"/>
  <c r="CC71" i="6" s="1"/>
  <c r="CB67" i="6"/>
  <c r="CB71" i="6" s="1"/>
  <c r="CA67" i="6"/>
  <c r="CA71" i="6" s="1"/>
  <c r="BZ67" i="6"/>
  <c r="BZ71" i="6" s="1"/>
  <c r="BY67" i="6"/>
  <c r="BY71" i="6" s="1"/>
  <c r="CP71" i="6" s="1"/>
  <c r="BV67" i="6"/>
  <c r="BT67" i="6"/>
  <c r="BT71" i="6" s="1"/>
  <c r="BS67" i="6"/>
  <c r="BS71" i="6" s="1"/>
  <c r="BR67" i="6"/>
  <c r="BR71" i="6" s="1"/>
  <c r="BQ67" i="6"/>
  <c r="BQ71" i="6" s="1"/>
  <c r="BP67" i="6"/>
  <c r="BP71" i="6" s="1"/>
  <c r="BO67" i="6"/>
  <c r="BO71" i="6" s="1"/>
  <c r="BN67" i="6"/>
  <c r="BN71" i="6" s="1"/>
  <c r="BM67" i="6"/>
  <c r="BM71" i="6" s="1"/>
  <c r="BD67" i="6"/>
  <c r="BB67" i="6"/>
  <c r="BB71" i="6" s="1"/>
  <c r="BA67" i="6"/>
  <c r="BA71" i="6" s="1"/>
  <c r="AZ67" i="6"/>
  <c r="AZ71" i="6" s="1"/>
  <c r="AY67" i="6"/>
  <c r="AY71" i="6" s="1"/>
  <c r="AX67" i="6"/>
  <c r="AX71" i="6" s="1"/>
  <c r="AW67" i="6"/>
  <c r="AW71" i="6" s="1"/>
  <c r="AV67" i="6"/>
  <c r="AV71" i="6" s="1"/>
  <c r="AU67" i="6"/>
  <c r="AU71" i="6" s="1"/>
  <c r="BC71" i="6" s="1"/>
  <c r="AL67" i="6"/>
  <c r="AJ67" i="6"/>
  <c r="AJ71" i="6" s="1"/>
  <c r="AI67" i="6"/>
  <c r="AI71" i="6" s="1"/>
  <c r="AH67" i="6"/>
  <c r="AH71" i="6" s="1"/>
  <c r="AG67" i="6"/>
  <c r="AG71" i="6" s="1"/>
  <c r="AF67" i="6"/>
  <c r="AF71" i="6" s="1"/>
  <c r="AE67" i="6"/>
  <c r="AE71" i="6" s="1"/>
  <c r="AD67" i="6"/>
  <c r="AD71" i="6" s="1"/>
  <c r="AC67" i="6"/>
  <c r="AC71" i="6" s="1"/>
  <c r="T67" i="6"/>
  <c r="R67" i="6"/>
  <c r="R71" i="6" s="1"/>
  <c r="Q67" i="6"/>
  <c r="Q71" i="6" s="1"/>
  <c r="P67" i="6"/>
  <c r="P71" i="6" s="1"/>
  <c r="O67" i="6"/>
  <c r="O71" i="6" s="1"/>
  <c r="N67" i="6"/>
  <c r="N71" i="6" s="1"/>
  <c r="M67" i="6"/>
  <c r="M71" i="6" s="1"/>
  <c r="L67" i="6"/>
  <c r="L71" i="6" s="1"/>
  <c r="K67" i="6"/>
  <c r="K71" i="6" s="1"/>
  <c r="S71" i="6" s="1"/>
  <c r="BL66" i="6"/>
  <c r="BK66" i="6"/>
  <c r="BJ66" i="6"/>
  <c r="BI66" i="6"/>
  <c r="BH66" i="6"/>
  <c r="BG66" i="6"/>
  <c r="BF66" i="6"/>
  <c r="BV66" i="6" s="1"/>
  <c r="BE66" i="6"/>
  <c r="AT66" i="6"/>
  <c r="AS66" i="6"/>
  <c r="AR66" i="6"/>
  <c r="AQ66" i="6"/>
  <c r="AP66" i="6"/>
  <c r="AO66" i="6"/>
  <c r="AN66" i="6"/>
  <c r="BD66" i="6" s="1"/>
  <c r="AM66" i="6"/>
  <c r="AB66" i="6"/>
  <c r="AA66" i="6"/>
  <c r="Z66" i="6"/>
  <c r="Y66" i="6"/>
  <c r="X66" i="6"/>
  <c r="W66" i="6"/>
  <c r="V66" i="6"/>
  <c r="AL66" i="6" s="1"/>
  <c r="U66" i="6"/>
  <c r="J66" i="6"/>
  <c r="I66" i="6"/>
  <c r="H66" i="6"/>
  <c r="G66" i="6"/>
  <c r="F66" i="6"/>
  <c r="E66" i="6"/>
  <c r="D66" i="6"/>
  <c r="T66" i="6" s="1"/>
  <c r="C66" i="6"/>
  <c r="CX65" i="6"/>
  <c r="DF65" i="6" s="1"/>
  <c r="CW65" i="6"/>
  <c r="DE65" i="6" s="1"/>
  <c r="CV65" i="6"/>
  <c r="DD65" i="6" s="1"/>
  <c r="CU65" i="6"/>
  <c r="DC65" i="6" s="1"/>
  <c r="CT65" i="6"/>
  <c r="DB65" i="6" s="1"/>
  <c r="CS65" i="6"/>
  <c r="DA65" i="6" s="1"/>
  <c r="CR65" i="6"/>
  <c r="DH65" i="6" s="1"/>
  <c r="CQ65" i="6"/>
  <c r="CY65" i="6" s="1"/>
  <c r="CF65" i="6"/>
  <c r="CN65" i="6" s="1"/>
  <c r="CE65" i="6"/>
  <c r="CM65" i="6" s="1"/>
  <c r="CD65" i="6"/>
  <c r="CL65" i="6" s="1"/>
  <c r="CC65" i="6"/>
  <c r="CK65" i="6" s="1"/>
  <c r="CB65" i="6"/>
  <c r="CJ65" i="6" s="1"/>
  <c r="CA65" i="6"/>
  <c r="CI65" i="6" s="1"/>
  <c r="BZ65" i="6"/>
  <c r="CP65" i="6" s="1"/>
  <c r="BY65" i="6"/>
  <c r="CG65" i="6" s="1"/>
  <c r="BV65" i="6"/>
  <c r="BT65" i="6"/>
  <c r="BS65" i="6"/>
  <c r="BR65" i="6"/>
  <c r="BQ65" i="6"/>
  <c r="BP65" i="6"/>
  <c r="BO65" i="6"/>
  <c r="BN65" i="6"/>
  <c r="BM65" i="6"/>
  <c r="BU65" i="6" s="1"/>
  <c r="BD65" i="6"/>
  <c r="BB65" i="6"/>
  <c r="BA65" i="6"/>
  <c r="AZ65" i="6"/>
  <c r="AY65" i="6"/>
  <c r="AX65" i="6"/>
  <c r="AW65" i="6"/>
  <c r="AV65" i="6"/>
  <c r="AU65" i="6"/>
  <c r="BC65" i="6" s="1"/>
  <c r="AL65" i="6"/>
  <c r="AJ65" i="6"/>
  <c r="AI65" i="6"/>
  <c r="AH65" i="6"/>
  <c r="AG65" i="6"/>
  <c r="AF65" i="6"/>
  <c r="AE65" i="6"/>
  <c r="AD65" i="6"/>
  <c r="AC65" i="6"/>
  <c r="AK65" i="6" s="1"/>
  <c r="T65" i="6"/>
  <c r="R65" i="6"/>
  <c r="Q65" i="6"/>
  <c r="P65" i="6"/>
  <c r="O65" i="6"/>
  <c r="N65" i="6"/>
  <c r="M65" i="6"/>
  <c r="L65" i="6"/>
  <c r="K65" i="6"/>
  <c r="S65" i="6" s="1"/>
  <c r="CX64" i="6"/>
  <c r="DF64" i="6" s="1"/>
  <c r="CW64" i="6"/>
  <c r="DE64" i="6" s="1"/>
  <c r="CV64" i="6"/>
  <c r="DD64" i="6" s="1"/>
  <c r="CU64" i="6"/>
  <c r="DC64" i="6" s="1"/>
  <c r="CT64" i="6"/>
  <c r="DB64" i="6" s="1"/>
  <c r="CS64" i="6"/>
  <c r="DA64" i="6" s="1"/>
  <c r="CR64" i="6"/>
  <c r="DH64" i="6" s="1"/>
  <c r="CQ64" i="6"/>
  <c r="CY64" i="6" s="1"/>
  <c r="CF64" i="6"/>
  <c r="CN64" i="6" s="1"/>
  <c r="CE64" i="6"/>
  <c r="CM64" i="6" s="1"/>
  <c r="CD64" i="6"/>
  <c r="CL64" i="6" s="1"/>
  <c r="CC64" i="6"/>
  <c r="CK64" i="6" s="1"/>
  <c r="CB64" i="6"/>
  <c r="CJ64" i="6" s="1"/>
  <c r="CA64" i="6"/>
  <c r="CI64" i="6" s="1"/>
  <c r="BZ64" i="6"/>
  <c r="CP64" i="6" s="1"/>
  <c r="BY64" i="6"/>
  <c r="CG64" i="6" s="1"/>
  <c r="BV64" i="6"/>
  <c r="BT64" i="6"/>
  <c r="BS64" i="6"/>
  <c r="BR64" i="6"/>
  <c r="BQ64" i="6"/>
  <c r="BP64" i="6"/>
  <c r="BO64" i="6"/>
  <c r="BN64" i="6"/>
  <c r="BM64" i="6"/>
  <c r="BU64" i="6" s="1"/>
  <c r="BD64" i="6"/>
  <c r="BB64" i="6"/>
  <c r="BA64" i="6"/>
  <c r="AZ64" i="6"/>
  <c r="AY64" i="6"/>
  <c r="AX64" i="6"/>
  <c r="AW64" i="6"/>
  <c r="AV64" i="6"/>
  <c r="AU64" i="6"/>
  <c r="BC64" i="6" s="1"/>
  <c r="AL64" i="6"/>
  <c r="AJ64" i="6"/>
  <c r="AI64" i="6"/>
  <c r="AH64" i="6"/>
  <c r="AG64" i="6"/>
  <c r="AF64" i="6"/>
  <c r="AE64" i="6"/>
  <c r="AD64" i="6"/>
  <c r="AC64" i="6"/>
  <c r="AK64" i="6" s="1"/>
  <c r="T64" i="6"/>
  <c r="R64" i="6"/>
  <c r="Q64" i="6"/>
  <c r="P64" i="6"/>
  <c r="O64" i="6"/>
  <c r="N64" i="6"/>
  <c r="M64" i="6"/>
  <c r="L64" i="6"/>
  <c r="K64" i="6"/>
  <c r="S64" i="6" s="1"/>
  <c r="CX63" i="6"/>
  <c r="DF63" i="6" s="1"/>
  <c r="CW63" i="6"/>
  <c r="DE63" i="6" s="1"/>
  <c r="CV63" i="6"/>
  <c r="DD63" i="6" s="1"/>
  <c r="CU63" i="6"/>
  <c r="DC63" i="6" s="1"/>
  <c r="CT63" i="6"/>
  <c r="DB63" i="6" s="1"/>
  <c r="CS63" i="6"/>
  <c r="DA63" i="6" s="1"/>
  <c r="CR63" i="6"/>
  <c r="DH63" i="6" s="1"/>
  <c r="CQ63" i="6"/>
  <c r="CY63" i="6" s="1"/>
  <c r="CF63" i="6"/>
  <c r="CN63" i="6" s="1"/>
  <c r="CE63" i="6"/>
  <c r="CM63" i="6" s="1"/>
  <c r="CD63" i="6"/>
  <c r="CL63" i="6" s="1"/>
  <c r="CC63" i="6"/>
  <c r="CK63" i="6" s="1"/>
  <c r="CB63" i="6"/>
  <c r="CJ63" i="6" s="1"/>
  <c r="CA63" i="6"/>
  <c r="CI63" i="6" s="1"/>
  <c r="BZ63" i="6"/>
  <c r="CP63" i="6" s="1"/>
  <c r="BY63" i="6"/>
  <c r="CG63" i="6" s="1"/>
  <c r="BV63" i="6"/>
  <c r="BT63" i="6"/>
  <c r="BS63" i="6"/>
  <c r="BR63" i="6"/>
  <c r="BQ63" i="6"/>
  <c r="BP63" i="6"/>
  <c r="BO63" i="6"/>
  <c r="BN63" i="6"/>
  <c r="BM63" i="6"/>
  <c r="BU63" i="6" s="1"/>
  <c r="BD63" i="6"/>
  <c r="BB63" i="6"/>
  <c r="BA63" i="6"/>
  <c r="AZ63" i="6"/>
  <c r="AY63" i="6"/>
  <c r="AX63" i="6"/>
  <c r="AW63" i="6"/>
  <c r="AV63" i="6"/>
  <c r="AU63" i="6"/>
  <c r="BC63" i="6" s="1"/>
  <c r="AL63" i="6"/>
  <c r="AJ63" i="6"/>
  <c r="AI63" i="6"/>
  <c r="AH63" i="6"/>
  <c r="AG63" i="6"/>
  <c r="AF63" i="6"/>
  <c r="AE63" i="6"/>
  <c r="AD63" i="6"/>
  <c r="AC63" i="6"/>
  <c r="AK63" i="6" s="1"/>
  <c r="T63" i="6"/>
  <c r="R63" i="6"/>
  <c r="Q63" i="6"/>
  <c r="P63" i="6"/>
  <c r="O63" i="6"/>
  <c r="N63" i="6"/>
  <c r="M63" i="6"/>
  <c r="L63" i="6"/>
  <c r="K63" i="6"/>
  <c r="S63" i="6" s="1"/>
  <c r="CX62" i="6"/>
  <c r="CX66" i="6" s="1"/>
  <c r="CW62" i="6"/>
  <c r="CW66" i="6" s="1"/>
  <c r="CV62" i="6"/>
  <c r="CV66" i="6" s="1"/>
  <c r="CU62" i="6"/>
  <c r="CU66" i="6" s="1"/>
  <c r="CT62" i="6"/>
  <c r="CT66" i="6" s="1"/>
  <c r="CS62" i="6"/>
  <c r="CS66" i="6" s="1"/>
  <c r="CR62" i="6"/>
  <c r="CR66" i="6" s="1"/>
  <c r="CQ62" i="6"/>
  <c r="CQ66" i="6" s="1"/>
  <c r="DH66" i="6" s="1"/>
  <c r="CF62" i="6"/>
  <c r="CF66" i="6" s="1"/>
  <c r="CE62" i="6"/>
  <c r="CE66" i="6" s="1"/>
  <c r="CD62" i="6"/>
  <c r="CD66" i="6" s="1"/>
  <c r="CC62" i="6"/>
  <c r="CC66" i="6" s="1"/>
  <c r="CB62" i="6"/>
  <c r="CB66" i="6" s="1"/>
  <c r="CA62" i="6"/>
  <c r="CA66" i="6" s="1"/>
  <c r="BZ62" i="6"/>
  <c r="BZ66" i="6" s="1"/>
  <c r="BY62" i="6"/>
  <c r="BY66" i="6" s="1"/>
  <c r="CP66" i="6" s="1"/>
  <c r="BV62" i="6"/>
  <c r="BT62" i="6"/>
  <c r="BT66" i="6" s="1"/>
  <c r="BS62" i="6"/>
  <c r="BS66" i="6" s="1"/>
  <c r="BR62" i="6"/>
  <c r="BR66" i="6" s="1"/>
  <c r="BQ62" i="6"/>
  <c r="BQ66" i="6" s="1"/>
  <c r="BP62" i="6"/>
  <c r="BP66" i="6" s="1"/>
  <c r="BO62" i="6"/>
  <c r="BO66" i="6" s="1"/>
  <c r="BN62" i="6"/>
  <c r="BN66" i="6" s="1"/>
  <c r="BM62" i="6"/>
  <c r="BM66" i="6" s="1"/>
  <c r="BD62" i="6"/>
  <c r="BB62" i="6"/>
  <c r="BB66" i="6" s="1"/>
  <c r="BA62" i="6"/>
  <c r="BA66" i="6" s="1"/>
  <c r="AZ62" i="6"/>
  <c r="AZ66" i="6" s="1"/>
  <c r="AY62" i="6"/>
  <c r="AY66" i="6" s="1"/>
  <c r="AX62" i="6"/>
  <c r="AX66" i="6" s="1"/>
  <c r="AW62" i="6"/>
  <c r="AW66" i="6" s="1"/>
  <c r="AV62" i="6"/>
  <c r="AV66" i="6" s="1"/>
  <c r="AU62" i="6"/>
  <c r="AU66" i="6" s="1"/>
  <c r="BC66" i="6" s="1"/>
  <c r="AL62" i="6"/>
  <c r="AJ62" i="6"/>
  <c r="AJ66" i="6" s="1"/>
  <c r="AI62" i="6"/>
  <c r="AI66" i="6" s="1"/>
  <c r="AH62" i="6"/>
  <c r="AH66" i="6" s="1"/>
  <c r="AG62" i="6"/>
  <c r="AG66" i="6" s="1"/>
  <c r="AF62" i="6"/>
  <c r="AF66" i="6" s="1"/>
  <c r="AE62" i="6"/>
  <c r="AE66" i="6" s="1"/>
  <c r="AD62" i="6"/>
  <c r="AD66" i="6" s="1"/>
  <c r="AC62" i="6"/>
  <c r="AC66" i="6" s="1"/>
  <c r="T62" i="6"/>
  <c r="R62" i="6"/>
  <c r="R66" i="6" s="1"/>
  <c r="Q62" i="6"/>
  <c r="Q66" i="6" s="1"/>
  <c r="P62" i="6"/>
  <c r="P66" i="6" s="1"/>
  <c r="O62" i="6"/>
  <c r="O66" i="6" s="1"/>
  <c r="N62" i="6"/>
  <c r="N66" i="6" s="1"/>
  <c r="M62" i="6"/>
  <c r="M66" i="6" s="1"/>
  <c r="L62" i="6"/>
  <c r="L66" i="6" s="1"/>
  <c r="K62" i="6"/>
  <c r="K66" i="6" s="1"/>
  <c r="S66" i="6" s="1"/>
  <c r="BL61" i="6"/>
  <c r="BK61" i="6"/>
  <c r="BJ61" i="6"/>
  <c r="BI61" i="6"/>
  <c r="BH61" i="6"/>
  <c r="BG61" i="6"/>
  <c r="BF61" i="6"/>
  <c r="BV61" i="6" s="1"/>
  <c r="BE61" i="6"/>
  <c r="AT61" i="6"/>
  <c r="AS61" i="6"/>
  <c r="AR61" i="6"/>
  <c r="AQ61" i="6"/>
  <c r="AP61" i="6"/>
  <c r="AO61" i="6"/>
  <c r="AN61" i="6"/>
  <c r="BD61" i="6" s="1"/>
  <c r="AM61" i="6"/>
  <c r="AB61" i="6"/>
  <c r="AA61" i="6"/>
  <c r="Z61" i="6"/>
  <c r="Y61" i="6"/>
  <c r="X61" i="6"/>
  <c r="W61" i="6"/>
  <c r="V61" i="6"/>
  <c r="AL61" i="6" s="1"/>
  <c r="U61" i="6"/>
  <c r="J61" i="6"/>
  <c r="I61" i="6"/>
  <c r="H61" i="6"/>
  <c r="G61" i="6"/>
  <c r="F61" i="6"/>
  <c r="E61" i="6"/>
  <c r="D61" i="6"/>
  <c r="T61" i="6" s="1"/>
  <c r="C61" i="6"/>
  <c r="CX60" i="6"/>
  <c r="DF60" i="6" s="1"/>
  <c r="CW60" i="6"/>
  <c r="DE60" i="6" s="1"/>
  <c r="CV60" i="6"/>
  <c r="DD60" i="6" s="1"/>
  <c r="CU60" i="6"/>
  <c r="DC60" i="6" s="1"/>
  <c r="CT60" i="6"/>
  <c r="DB60" i="6" s="1"/>
  <c r="CS60" i="6"/>
  <c r="DA60" i="6" s="1"/>
  <c r="CR60" i="6"/>
  <c r="DH60" i="6" s="1"/>
  <c r="CQ60" i="6"/>
  <c r="CY60" i="6" s="1"/>
  <c r="CF60" i="6"/>
  <c r="CN60" i="6" s="1"/>
  <c r="CE60" i="6"/>
  <c r="CM60" i="6" s="1"/>
  <c r="CD60" i="6"/>
  <c r="CL60" i="6" s="1"/>
  <c r="CC60" i="6"/>
  <c r="CK60" i="6" s="1"/>
  <c r="CB60" i="6"/>
  <c r="CJ60" i="6" s="1"/>
  <c r="CA60" i="6"/>
  <c r="CI60" i="6" s="1"/>
  <c r="BZ60" i="6"/>
  <c r="CP60" i="6" s="1"/>
  <c r="BY60" i="6"/>
  <c r="CG60" i="6" s="1"/>
  <c r="BV60" i="6"/>
  <c r="BT60" i="6"/>
  <c r="BS60" i="6"/>
  <c r="BR60" i="6"/>
  <c r="BQ60" i="6"/>
  <c r="BP60" i="6"/>
  <c r="BO60" i="6"/>
  <c r="BN60" i="6"/>
  <c r="BM60" i="6"/>
  <c r="BU60" i="6" s="1"/>
  <c r="BD60" i="6"/>
  <c r="BB60" i="6"/>
  <c r="BA60" i="6"/>
  <c r="AZ60" i="6"/>
  <c r="AY60" i="6"/>
  <c r="AX60" i="6"/>
  <c r="AW60" i="6"/>
  <c r="AV60" i="6"/>
  <c r="AU60" i="6"/>
  <c r="BC60" i="6" s="1"/>
  <c r="AL60" i="6"/>
  <c r="AJ60" i="6"/>
  <c r="AI60" i="6"/>
  <c r="AH60" i="6"/>
  <c r="AG60" i="6"/>
  <c r="AF60" i="6"/>
  <c r="AE60" i="6"/>
  <c r="AD60" i="6"/>
  <c r="AC60" i="6"/>
  <c r="AK60" i="6" s="1"/>
  <c r="T60" i="6"/>
  <c r="R60" i="6"/>
  <c r="Q60" i="6"/>
  <c r="P60" i="6"/>
  <c r="O60" i="6"/>
  <c r="N60" i="6"/>
  <c r="M60" i="6"/>
  <c r="L60" i="6"/>
  <c r="K60" i="6"/>
  <c r="S60" i="6" s="1"/>
  <c r="CX59" i="6"/>
  <c r="DF59" i="6" s="1"/>
  <c r="CW59" i="6"/>
  <c r="DE59" i="6" s="1"/>
  <c r="CV59" i="6"/>
  <c r="DD59" i="6" s="1"/>
  <c r="CU59" i="6"/>
  <c r="DC59" i="6" s="1"/>
  <c r="CT59" i="6"/>
  <c r="DB59" i="6" s="1"/>
  <c r="CS59" i="6"/>
  <c r="DA59" i="6" s="1"/>
  <c r="CR59" i="6"/>
  <c r="DH59" i="6" s="1"/>
  <c r="CQ59" i="6"/>
  <c r="CY59" i="6" s="1"/>
  <c r="CF59" i="6"/>
  <c r="CN59" i="6" s="1"/>
  <c r="CE59" i="6"/>
  <c r="CM59" i="6" s="1"/>
  <c r="CD59" i="6"/>
  <c r="CL59" i="6" s="1"/>
  <c r="CC59" i="6"/>
  <c r="CK59" i="6" s="1"/>
  <c r="CB59" i="6"/>
  <c r="CJ59" i="6" s="1"/>
  <c r="CA59" i="6"/>
  <c r="CI59" i="6" s="1"/>
  <c r="BZ59" i="6"/>
  <c r="CP59" i="6" s="1"/>
  <c r="BY59" i="6"/>
  <c r="CG59" i="6" s="1"/>
  <c r="BV59" i="6"/>
  <c r="BT59" i="6"/>
  <c r="BS59" i="6"/>
  <c r="BR59" i="6"/>
  <c r="BQ59" i="6"/>
  <c r="BP59" i="6"/>
  <c r="BO59" i="6"/>
  <c r="BN59" i="6"/>
  <c r="BM59" i="6"/>
  <c r="BU59" i="6" s="1"/>
  <c r="BD59" i="6"/>
  <c r="BB59" i="6"/>
  <c r="BA59" i="6"/>
  <c r="AZ59" i="6"/>
  <c r="AY59" i="6"/>
  <c r="AX59" i="6"/>
  <c r="AW59" i="6"/>
  <c r="AV59" i="6"/>
  <c r="AU59" i="6"/>
  <c r="BC59" i="6" s="1"/>
  <c r="AL59" i="6"/>
  <c r="AJ59" i="6"/>
  <c r="AI59" i="6"/>
  <c r="AH59" i="6"/>
  <c r="AG59" i="6"/>
  <c r="AF59" i="6"/>
  <c r="AE59" i="6"/>
  <c r="AD59" i="6"/>
  <c r="AC59" i="6"/>
  <c r="AK59" i="6" s="1"/>
  <c r="T59" i="6"/>
  <c r="R59" i="6"/>
  <c r="Q59" i="6"/>
  <c r="P59" i="6"/>
  <c r="O59" i="6"/>
  <c r="N59" i="6"/>
  <c r="M59" i="6"/>
  <c r="L59" i="6"/>
  <c r="K59" i="6"/>
  <c r="S59" i="6" s="1"/>
  <c r="CX58" i="6"/>
  <c r="DF58" i="6" s="1"/>
  <c r="CW58" i="6"/>
  <c r="DE58" i="6" s="1"/>
  <c r="CV58" i="6"/>
  <c r="DD58" i="6" s="1"/>
  <c r="CU58" i="6"/>
  <c r="DC58" i="6" s="1"/>
  <c r="CT58" i="6"/>
  <c r="DB58" i="6" s="1"/>
  <c r="CS58" i="6"/>
  <c r="DA58" i="6" s="1"/>
  <c r="CR58" i="6"/>
  <c r="DH58" i="6" s="1"/>
  <c r="CQ58" i="6"/>
  <c r="CY58" i="6" s="1"/>
  <c r="CF58" i="6"/>
  <c r="CN58" i="6" s="1"/>
  <c r="CE58" i="6"/>
  <c r="CM58" i="6" s="1"/>
  <c r="CD58" i="6"/>
  <c r="CL58" i="6" s="1"/>
  <c r="CC58" i="6"/>
  <c r="CK58" i="6" s="1"/>
  <c r="CB58" i="6"/>
  <c r="CJ58" i="6" s="1"/>
  <c r="CA58" i="6"/>
  <c r="CI58" i="6" s="1"/>
  <c r="BZ58" i="6"/>
  <c r="CP58" i="6" s="1"/>
  <c r="BY58" i="6"/>
  <c r="CG58" i="6" s="1"/>
  <c r="BV58" i="6"/>
  <c r="BT58" i="6"/>
  <c r="BS58" i="6"/>
  <c r="BR58" i="6"/>
  <c r="BQ58" i="6"/>
  <c r="BP58" i="6"/>
  <c r="BO58" i="6"/>
  <c r="BN58" i="6"/>
  <c r="BM58" i="6"/>
  <c r="BU58" i="6" s="1"/>
  <c r="BD58" i="6"/>
  <c r="BB58" i="6"/>
  <c r="BA58" i="6"/>
  <c r="AZ58" i="6"/>
  <c r="AY58" i="6"/>
  <c r="AX58" i="6"/>
  <c r="AW58" i="6"/>
  <c r="AV58" i="6"/>
  <c r="AU58" i="6"/>
  <c r="BC58" i="6" s="1"/>
  <c r="AL58" i="6"/>
  <c r="AJ58" i="6"/>
  <c r="AI58" i="6"/>
  <c r="AH58" i="6"/>
  <c r="AG58" i="6"/>
  <c r="AF58" i="6"/>
  <c r="AE58" i="6"/>
  <c r="AD58" i="6"/>
  <c r="AC58" i="6"/>
  <c r="AK58" i="6" s="1"/>
  <c r="T58" i="6"/>
  <c r="R58" i="6"/>
  <c r="Q58" i="6"/>
  <c r="P58" i="6"/>
  <c r="O58" i="6"/>
  <c r="N58" i="6"/>
  <c r="M58" i="6"/>
  <c r="L58" i="6"/>
  <c r="K58" i="6"/>
  <c r="S58" i="6" s="1"/>
  <c r="CX57" i="6"/>
  <c r="CX61" i="6" s="1"/>
  <c r="CW57" i="6"/>
  <c r="CW61" i="6" s="1"/>
  <c r="CV57" i="6"/>
  <c r="CV61" i="6" s="1"/>
  <c r="CU57" i="6"/>
  <c r="CU61" i="6" s="1"/>
  <c r="CT57" i="6"/>
  <c r="CT61" i="6" s="1"/>
  <c r="CS57" i="6"/>
  <c r="CS61" i="6" s="1"/>
  <c r="CR57" i="6"/>
  <c r="CR61" i="6" s="1"/>
  <c r="CQ57" i="6"/>
  <c r="CQ61" i="6" s="1"/>
  <c r="DH61" i="6" s="1"/>
  <c r="CF57" i="6"/>
  <c r="CF61" i="6" s="1"/>
  <c r="CE57" i="6"/>
  <c r="CE61" i="6" s="1"/>
  <c r="CD57" i="6"/>
  <c r="CD61" i="6" s="1"/>
  <c r="CC57" i="6"/>
  <c r="CC61" i="6" s="1"/>
  <c r="CB57" i="6"/>
  <c r="CB61" i="6" s="1"/>
  <c r="CA57" i="6"/>
  <c r="CA61" i="6" s="1"/>
  <c r="BZ57" i="6"/>
  <c r="BZ61" i="6" s="1"/>
  <c r="BY57" i="6"/>
  <c r="BY61" i="6" s="1"/>
  <c r="CP61" i="6" s="1"/>
  <c r="BV57" i="6"/>
  <c r="BT57" i="6"/>
  <c r="BT61" i="6" s="1"/>
  <c r="BS57" i="6"/>
  <c r="BS61" i="6" s="1"/>
  <c r="BR57" i="6"/>
  <c r="BR61" i="6" s="1"/>
  <c r="BQ57" i="6"/>
  <c r="BQ61" i="6" s="1"/>
  <c r="BP57" i="6"/>
  <c r="BP61" i="6" s="1"/>
  <c r="BO57" i="6"/>
  <c r="BO61" i="6" s="1"/>
  <c r="BN57" i="6"/>
  <c r="BN61" i="6" s="1"/>
  <c r="BM57" i="6"/>
  <c r="BM61" i="6" s="1"/>
  <c r="BD57" i="6"/>
  <c r="BB57" i="6"/>
  <c r="BB61" i="6" s="1"/>
  <c r="BA57" i="6"/>
  <c r="BA61" i="6" s="1"/>
  <c r="AZ57" i="6"/>
  <c r="AZ61" i="6" s="1"/>
  <c r="AY57" i="6"/>
  <c r="AY61" i="6" s="1"/>
  <c r="AX57" i="6"/>
  <c r="AX61" i="6" s="1"/>
  <c r="AW57" i="6"/>
  <c r="AW61" i="6" s="1"/>
  <c r="AV57" i="6"/>
  <c r="AV61" i="6" s="1"/>
  <c r="AU57" i="6"/>
  <c r="AU61" i="6" s="1"/>
  <c r="BC61" i="6" s="1"/>
  <c r="AL57" i="6"/>
  <c r="AJ57" i="6"/>
  <c r="AJ61" i="6" s="1"/>
  <c r="AI57" i="6"/>
  <c r="AI61" i="6" s="1"/>
  <c r="AH57" i="6"/>
  <c r="AH61" i="6" s="1"/>
  <c r="AG57" i="6"/>
  <c r="AG61" i="6" s="1"/>
  <c r="AF57" i="6"/>
  <c r="AF61" i="6" s="1"/>
  <c r="AE57" i="6"/>
  <c r="AE61" i="6" s="1"/>
  <c r="AD57" i="6"/>
  <c r="AD61" i="6" s="1"/>
  <c r="AC57" i="6"/>
  <c r="AC61" i="6" s="1"/>
  <c r="T57" i="6"/>
  <c r="R57" i="6"/>
  <c r="R61" i="6" s="1"/>
  <c r="Q57" i="6"/>
  <c r="Q61" i="6" s="1"/>
  <c r="P57" i="6"/>
  <c r="P61" i="6" s="1"/>
  <c r="O57" i="6"/>
  <c r="O61" i="6" s="1"/>
  <c r="N57" i="6"/>
  <c r="N61" i="6" s="1"/>
  <c r="M57" i="6"/>
  <c r="M61" i="6" s="1"/>
  <c r="L57" i="6"/>
  <c r="L61" i="6" s="1"/>
  <c r="K57" i="6"/>
  <c r="K61" i="6" s="1"/>
  <c r="S61" i="6" s="1"/>
  <c r="BL56" i="6"/>
  <c r="BK56" i="6"/>
  <c r="BJ56" i="6"/>
  <c r="BI56" i="6"/>
  <c r="BH56" i="6"/>
  <c r="BG56" i="6"/>
  <c r="BF56" i="6"/>
  <c r="BV56" i="6" s="1"/>
  <c r="BE56" i="6"/>
  <c r="AT56" i="6"/>
  <c r="AS56" i="6"/>
  <c r="AR56" i="6"/>
  <c r="AQ56" i="6"/>
  <c r="AP56" i="6"/>
  <c r="AO56" i="6"/>
  <c r="AN56" i="6"/>
  <c r="BD56" i="6" s="1"/>
  <c r="AM56" i="6"/>
  <c r="AB56" i="6"/>
  <c r="AA56" i="6"/>
  <c r="Z56" i="6"/>
  <c r="Y56" i="6"/>
  <c r="X56" i="6"/>
  <c r="W56" i="6"/>
  <c r="V56" i="6"/>
  <c r="AL56" i="6" s="1"/>
  <c r="U56" i="6"/>
  <c r="J56" i="6"/>
  <c r="I56" i="6"/>
  <c r="H56" i="6"/>
  <c r="G56" i="6"/>
  <c r="F56" i="6"/>
  <c r="E56" i="6"/>
  <c r="D56" i="6"/>
  <c r="T56" i="6" s="1"/>
  <c r="C56" i="6"/>
  <c r="CX55" i="6"/>
  <c r="DF55" i="6" s="1"/>
  <c r="CW55" i="6"/>
  <c r="DE55" i="6" s="1"/>
  <c r="CV55" i="6"/>
  <c r="DD55" i="6" s="1"/>
  <c r="CU55" i="6"/>
  <c r="DC55" i="6" s="1"/>
  <c r="CT55" i="6"/>
  <c r="DB55" i="6" s="1"/>
  <c r="CS55" i="6"/>
  <c r="DA55" i="6" s="1"/>
  <c r="CR55" i="6"/>
  <c r="DH55" i="6" s="1"/>
  <c r="CQ55" i="6"/>
  <c r="CY55" i="6" s="1"/>
  <c r="CF55" i="6"/>
  <c r="CN55" i="6" s="1"/>
  <c r="CE55" i="6"/>
  <c r="CM55" i="6" s="1"/>
  <c r="CD55" i="6"/>
  <c r="CL55" i="6" s="1"/>
  <c r="CC55" i="6"/>
  <c r="CK55" i="6" s="1"/>
  <c r="CB55" i="6"/>
  <c r="CJ55" i="6" s="1"/>
  <c r="CA55" i="6"/>
  <c r="CI55" i="6" s="1"/>
  <c r="BZ55" i="6"/>
  <c r="CP55" i="6" s="1"/>
  <c r="BY55" i="6"/>
  <c r="CG55" i="6" s="1"/>
  <c r="BV55" i="6"/>
  <c r="BT55" i="6"/>
  <c r="BS55" i="6"/>
  <c r="BR55" i="6"/>
  <c r="BQ55" i="6"/>
  <c r="BP55" i="6"/>
  <c r="BO55" i="6"/>
  <c r="BN55" i="6"/>
  <c r="BM55" i="6"/>
  <c r="BU55" i="6" s="1"/>
  <c r="BD55" i="6"/>
  <c r="BB55" i="6"/>
  <c r="BA55" i="6"/>
  <c r="AZ55" i="6"/>
  <c r="AY55" i="6"/>
  <c r="AX55" i="6"/>
  <c r="AW55" i="6"/>
  <c r="AV55" i="6"/>
  <c r="AU55" i="6"/>
  <c r="BC55" i="6" s="1"/>
  <c r="AL55" i="6"/>
  <c r="AJ55" i="6"/>
  <c r="AI55" i="6"/>
  <c r="AH55" i="6"/>
  <c r="AG55" i="6"/>
  <c r="AF55" i="6"/>
  <c r="AE55" i="6"/>
  <c r="AD55" i="6"/>
  <c r="AC55" i="6"/>
  <c r="AK55" i="6" s="1"/>
  <c r="T55" i="6"/>
  <c r="R55" i="6"/>
  <c r="Q55" i="6"/>
  <c r="P55" i="6"/>
  <c r="O55" i="6"/>
  <c r="N55" i="6"/>
  <c r="M55" i="6"/>
  <c r="L55" i="6"/>
  <c r="K55" i="6"/>
  <c r="S55" i="6" s="1"/>
  <c r="CX54" i="6"/>
  <c r="DF54" i="6" s="1"/>
  <c r="CW54" i="6"/>
  <c r="DE54" i="6" s="1"/>
  <c r="CV54" i="6"/>
  <c r="DD54" i="6" s="1"/>
  <c r="CU54" i="6"/>
  <c r="DC54" i="6" s="1"/>
  <c r="CT54" i="6"/>
  <c r="DB54" i="6" s="1"/>
  <c r="CS54" i="6"/>
  <c r="DA54" i="6" s="1"/>
  <c r="CR54" i="6"/>
  <c r="DH54" i="6" s="1"/>
  <c r="CQ54" i="6"/>
  <c r="CY54" i="6" s="1"/>
  <c r="CF54" i="6"/>
  <c r="CN54" i="6" s="1"/>
  <c r="CE54" i="6"/>
  <c r="CM54" i="6" s="1"/>
  <c r="CD54" i="6"/>
  <c r="CL54" i="6" s="1"/>
  <c r="CC54" i="6"/>
  <c r="CK54" i="6" s="1"/>
  <c r="CB54" i="6"/>
  <c r="CJ54" i="6" s="1"/>
  <c r="CA54" i="6"/>
  <c r="CI54" i="6" s="1"/>
  <c r="BZ54" i="6"/>
  <c r="CP54" i="6" s="1"/>
  <c r="BY54" i="6"/>
  <c r="CG54" i="6" s="1"/>
  <c r="BV54" i="6"/>
  <c r="BT54" i="6"/>
  <c r="BS54" i="6"/>
  <c r="BR54" i="6"/>
  <c r="BQ54" i="6"/>
  <c r="BP54" i="6"/>
  <c r="BO54" i="6"/>
  <c r="BN54" i="6"/>
  <c r="BM54" i="6"/>
  <c r="BU54" i="6" s="1"/>
  <c r="BD54" i="6"/>
  <c r="BB54" i="6"/>
  <c r="BA54" i="6"/>
  <c r="AZ54" i="6"/>
  <c r="AY54" i="6"/>
  <c r="AX54" i="6"/>
  <c r="AW54" i="6"/>
  <c r="AV54" i="6"/>
  <c r="AU54" i="6"/>
  <c r="BC54" i="6" s="1"/>
  <c r="AL54" i="6"/>
  <c r="AJ54" i="6"/>
  <c r="AI54" i="6"/>
  <c r="AH54" i="6"/>
  <c r="AG54" i="6"/>
  <c r="AF54" i="6"/>
  <c r="AE54" i="6"/>
  <c r="AD54" i="6"/>
  <c r="AC54" i="6"/>
  <c r="AK54" i="6" s="1"/>
  <c r="T54" i="6"/>
  <c r="R54" i="6"/>
  <c r="Q54" i="6"/>
  <c r="P54" i="6"/>
  <c r="O54" i="6"/>
  <c r="N54" i="6"/>
  <c r="M54" i="6"/>
  <c r="L54" i="6"/>
  <c r="K54" i="6"/>
  <c r="S54" i="6" s="1"/>
  <c r="CX53" i="6"/>
  <c r="DF53" i="6" s="1"/>
  <c r="CW53" i="6"/>
  <c r="DE53" i="6" s="1"/>
  <c r="CV53" i="6"/>
  <c r="DD53" i="6" s="1"/>
  <c r="CU53" i="6"/>
  <c r="DC53" i="6" s="1"/>
  <c r="CT53" i="6"/>
  <c r="DB53" i="6" s="1"/>
  <c r="CS53" i="6"/>
  <c r="DA53" i="6" s="1"/>
  <c r="CR53" i="6"/>
  <c r="DH53" i="6" s="1"/>
  <c r="CQ53" i="6"/>
  <c r="CY53" i="6" s="1"/>
  <c r="CF53" i="6"/>
  <c r="CN53" i="6" s="1"/>
  <c r="CE53" i="6"/>
  <c r="CM53" i="6" s="1"/>
  <c r="CD53" i="6"/>
  <c r="CL53" i="6" s="1"/>
  <c r="CC53" i="6"/>
  <c r="CK53" i="6" s="1"/>
  <c r="CB53" i="6"/>
  <c r="CJ53" i="6" s="1"/>
  <c r="CA53" i="6"/>
  <c r="CI53" i="6" s="1"/>
  <c r="BZ53" i="6"/>
  <c r="CP53" i="6" s="1"/>
  <c r="BY53" i="6"/>
  <c r="CG53" i="6" s="1"/>
  <c r="BV53" i="6"/>
  <c r="BT53" i="6"/>
  <c r="BS53" i="6"/>
  <c r="BR53" i="6"/>
  <c r="BQ53" i="6"/>
  <c r="BP53" i="6"/>
  <c r="BO53" i="6"/>
  <c r="BN53" i="6"/>
  <c r="BM53" i="6"/>
  <c r="BU53" i="6" s="1"/>
  <c r="BD53" i="6"/>
  <c r="BB53" i="6"/>
  <c r="BA53" i="6"/>
  <c r="AZ53" i="6"/>
  <c r="AY53" i="6"/>
  <c r="AX53" i="6"/>
  <c r="AW53" i="6"/>
  <c r="AV53" i="6"/>
  <c r="AU53" i="6"/>
  <c r="BC53" i="6" s="1"/>
  <c r="AL53" i="6"/>
  <c r="AJ53" i="6"/>
  <c r="AI53" i="6"/>
  <c r="AH53" i="6"/>
  <c r="AG53" i="6"/>
  <c r="AF53" i="6"/>
  <c r="AE53" i="6"/>
  <c r="AD53" i="6"/>
  <c r="AC53" i="6"/>
  <c r="AK53" i="6" s="1"/>
  <c r="T53" i="6"/>
  <c r="R53" i="6"/>
  <c r="Q53" i="6"/>
  <c r="P53" i="6"/>
  <c r="O53" i="6"/>
  <c r="N53" i="6"/>
  <c r="M53" i="6"/>
  <c r="L53" i="6"/>
  <c r="K53" i="6"/>
  <c r="S53" i="6" s="1"/>
  <c r="CX52" i="6"/>
  <c r="CX56" i="6" s="1"/>
  <c r="CW52" i="6"/>
  <c r="CW56" i="6" s="1"/>
  <c r="CV52" i="6"/>
  <c r="CV56" i="6" s="1"/>
  <c r="CU52" i="6"/>
  <c r="CU56" i="6" s="1"/>
  <c r="CT52" i="6"/>
  <c r="CT56" i="6" s="1"/>
  <c r="CS52" i="6"/>
  <c r="CS56" i="6" s="1"/>
  <c r="CR52" i="6"/>
  <c r="CR56" i="6" s="1"/>
  <c r="CQ52" i="6"/>
  <c r="CQ56" i="6" s="1"/>
  <c r="DH56" i="6" s="1"/>
  <c r="CF52" i="6"/>
  <c r="CF56" i="6" s="1"/>
  <c r="CE52" i="6"/>
  <c r="CE56" i="6" s="1"/>
  <c r="CD52" i="6"/>
  <c r="CD56" i="6" s="1"/>
  <c r="CC52" i="6"/>
  <c r="CC56" i="6" s="1"/>
  <c r="CB52" i="6"/>
  <c r="CB56" i="6" s="1"/>
  <c r="CA52" i="6"/>
  <c r="CA56" i="6" s="1"/>
  <c r="BZ52" i="6"/>
  <c r="BZ56" i="6" s="1"/>
  <c r="BY52" i="6"/>
  <c r="BY56" i="6" s="1"/>
  <c r="CP56" i="6" s="1"/>
  <c r="BV52" i="6"/>
  <c r="BT52" i="6"/>
  <c r="BT56" i="6" s="1"/>
  <c r="BS52" i="6"/>
  <c r="BS56" i="6" s="1"/>
  <c r="BR52" i="6"/>
  <c r="BR56" i="6" s="1"/>
  <c r="BQ52" i="6"/>
  <c r="BQ56" i="6" s="1"/>
  <c r="BP52" i="6"/>
  <c r="BP56" i="6" s="1"/>
  <c r="BO52" i="6"/>
  <c r="BO56" i="6" s="1"/>
  <c r="BN52" i="6"/>
  <c r="BN56" i="6" s="1"/>
  <c r="BM52" i="6"/>
  <c r="BM56" i="6" s="1"/>
  <c r="BD52" i="6"/>
  <c r="BB52" i="6"/>
  <c r="BB56" i="6" s="1"/>
  <c r="BA52" i="6"/>
  <c r="BA56" i="6" s="1"/>
  <c r="AZ52" i="6"/>
  <c r="AZ56" i="6" s="1"/>
  <c r="AY52" i="6"/>
  <c r="AY56" i="6" s="1"/>
  <c r="AX52" i="6"/>
  <c r="AX56" i="6" s="1"/>
  <c r="AW52" i="6"/>
  <c r="AW56" i="6" s="1"/>
  <c r="AV52" i="6"/>
  <c r="AV56" i="6" s="1"/>
  <c r="AU52" i="6"/>
  <c r="AU56" i="6" s="1"/>
  <c r="BC56" i="6" s="1"/>
  <c r="AL52" i="6"/>
  <c r="AJ52" i="6"/>
  <c r="AJ56" i="6" s="1"/>
  <c r="AI52" i="6"/>
  <c r="AI56" i="6" s="1"/>
  <c r="AH52" i="6"/>
  <c r="AH56" i="6" s="1"/>
  <c r="AG52" i="6"/>
  <c r="AG56" i="6" s="1"/>
  <c r="AF52" i="6"/>
  <c r="AF56" i="6" s="1"/>
  <c r="AE52" i="6"/>
  <c r="AE56" i="6" s="1"/>
  <c r="AD52" i="6"/>
  <c r="AD56" i="6" s="1"/>
  <c r="AC52" i="6"/>
  <c r="AC56" i="6" s="1"/>
  <c r="T52" i="6"/>
  <c r="R52" i="6"/>
  <c r="R56" i="6" s="1"/>
  <c r="Q52" i="6"/>
  <c r="Q56" i="6" s="1"/>
  <c r="P52" i="6"/>
  <c r="P56" i="6" s="1"/>
  <c r="O52" i="6"/>
  <c r="O56" i="6" s="1"/>
  <c r="N52" i="6"/>
  <c r="N56" i="6" s="1"/>
  <c r="M52" i="6"/>
  <c r="M56" i="6" s="1"/>
  <c r="L52" i="6"/>
  <c r="L56" i="6" s="1"/>
  <c r="K52" i="6"/>
  <c r="K56" i="6" s="1"/>
  <c r="S56" i="6" s="1"/>
  <c r="BL51" i="6"/>
  <c r="BK51" i="6"/>
  <c r="BJ51" i="6"/>
  <c r="BI51" i="6"/>
  <c r="BH51" i="6"/>
  <c r="BG51" i="6"/>
  <c r="BF51" i="6"/>
  <c r="BV51" i="6" s="1"/>
  <c r="BE51" i="6"/>
  <c r="AT51" i="6"/>
  <c r="AS51" i="6"/>
  <c r="AR51" i="6"/>
  <c r="AQ51" i="6"/>
  <c r="AP51" i="6"/>
  <c r="AO51" i="6"/>
  <c r="AN51" i="6"/>
  <c r="BD51" i="6" s="1"/>
  <c r="AM51" i="6"/>
  <c r="AB51" i="6"/>
  <c r="AA51" i="6"/>
  <c r="Z51" i="6"/>
  <c r="Y51" i="6"/>
  <c r="X51" i="6"/>
  <c r="W51" i="6"/>
  <c r="V51" i="6"/>
  <c r="AL51" i="6" s="1"/>
  <c r="U51" i="6"/>
  <c r="J51" i="6"/>
  <c r="I51" i="6"/>
  <c r="H51" i="6"/>
  <c r="G51" i="6"/>
  <c r="F51" i="6"/>
  <c r="E51" i="6"/>
  <c r="D51" i="6"/>
  <c r="T51" i="6" s="1"/>
  <c r="C51" i="6"/>
  <c r="CX50" i="6"/>
  <c r="DF50" i="6" s="1"/>
  <c r="CW50" i="6"/>
  <c r="DE50" i="6" s="1"/>
  <c r="CV50" i="6"/>
  <c r="DD50" i="6" s="1"/>
  <c r="CU50" i="6"/>
  <c r="DC50" i="6" s="1"/>
  <c r="CT50" i="6"/>
  <c r="DB50" i="6" s="1"/>
  <c r="CS50" i="6"/>
  <c r="DA50" i="6" s="1"/>
  <c r="CR50" i="6"/>
  <c r="DH50" i="6" s="1"/>
  <c r="CQ50" i="6"/>
  <c r="CY50" i="6" s="1"/>
  <c r="CF50" i="6"/>
  <c r="CN50" i="6" s="1"/>
  <c r="CE50" i="6"/>
  <c r="CM50" i="6" s="1"/>
  <c r="CD50" i="6"/>
  <c r="CL50" i="6" s="1"/>
  <c r="CC50" i="6"/>
  <c r="CK50" i="6" s="1"/>
  <c r="CB50" i="6"/>
  <c r="CJ50" i="6" s="1"/>
  <c r="CA50" i="6"/>
  <c r="CI50" i="6" s="1"/>
  <c r="BZ50" i="6"/>
  <c r="CP50" i="6" s="1"/>
  <c r="BY50" i="6"/>
  <c r="CG50" i="6" s="1"/>
  <c r="BV50" i="6"/>
  <c r="BT50" i="6"/>
  <c r="BS50" i="6"/>
  <c r="BR50" i="6"/>
  <c r="BQ50" i="6"/>
  <c r="BP50" i="6"/>
  <c r="BO50" i="6"/>
  <c r="BN50" i="6"/>
  <c r="BM50" i="6"/>
  <c r="BU50" i="6" s="1"/>
  <c r="BD50" i="6"/>
  <c r="BB50" i="6"/>
  <c r="BA50" i="6"/>
  <c r="AZ50" i="6"/>
  <c r="AY50" i="6"/>
  <c r="AX50" i="6"/>
  <c r="AW50" i="6"/>
  <c r="AV50" i="6"/>
  <c r="AU50" i="6"/>
  <c r="BC50" i="6" s="1"/>
  <c r="AL50" i="6"/>
  <c r="AJ50" i="6"/>
  <c r="AI50" i="6"/>
  <c r="AH50" i="6"/>
  <c r="AG50" i="6"/>
  <c r="AF50" i="6"/>
  <c r="AE50" i="6"/>
  <c r="AD50" i="6"/>
  <c r="AC50" i="6"/>
  <c r="AK50" i="6" s="1"/>
  <c r="T50" i="6"/>
  <c r="R50" i="6"/>
  <c r="Q50" i="6"/>
  <c r="P50" i="6"/>
  <c r="O50" i="6"/>
  <c r="N50" i="6"/>
  <c r="M50" i="6"/>
  <c r="L50" i="6"/>
  <c r="K50" i="6"/>
  <c r="S50" i="6" s="1"/>
  <c r="CX49" i="6"/>
  <c r="DF49" i="6" s="1"/>
  <c r="CW49" i="6"/>
  <c r="DE49" i="6" s="1"/>
  <c r="CV49" i="6"/>
  <c r="DD49" i="6" s="1"/>
  <c r="CU49" i="6"/>
  <c r="DC49" i="6" s="1"/>
  <c r="CT49" i="6"/>
  <c r="DB49" i="6" s="1"/>
  <c r="CS49" i="6"/>
  <c r="DA49" i="6" s="1"/>
  <c r="CR49" i="6"/>
  <c r="DH49" i="6" s="1"/>
  <c r="CQ49" i="6"/>
  <c r="CY49" i="6" s="1"/>
  <c r="CF49" i="6"/>
  <c r="CN49" i="6" s="1"/>
  <c r="CE49" i="6"/>
  <c r="CM49" i="6" s="1"/>
  <c r="CD49" i="6"/>
  <c r="CL49" i="6" s="1"/>
  <c r="CC49" i="6"/>
  <c r="CK49" i="6" s="1"/>
  <c r="CB49" i="6"/>
  <c r="CJ49" i="6" s="1"/>
  <c r="CA49" i="6"/>
  <c r="CI49" i="6" s="1"/>
  <c r="BZ49" i="6"/>
  <c r="CP49" i="6" s="1"/>
  <c r="BY49" i="6"/>
  <c r="CG49" i="6" s="1"/>
  <c r="BV49" i="6"/>
  <c r="BT49" i="6"/>
  <c r="BS49" i="6"/>
  <c r="BR49" i="6"/>
  <c r="BQ49" i="6"/>
  <c r="BP49" i="6"/>
  <c r="BO49" i="6"/>
  <c r="BN49" i="6"/>
  <c r="BM49" i="6"/>
  <c r="BU49" i="6" s="1"/>
  <c r="BD49" i="6"/>
  <c r="BB49" i="6"/>
  <c r="BA49" i="6"/>
  <c r="AZ49" i="6"/>
  <c r="AY49" i="6"/>
  <c r="AX49" i="6"/>
  <c r="AW49" i="6"/>
  <c r="AV49" i="6"/>
  <c r="AU49" i="6"/>
  <c r="BC49" i="6" s="1"/>
  <c r="AL49" i="6"/>
  <c r="AJ49" i="6"/>
  <c r="AI49" i="6"/>
  <c r="AH49" i="6"/>
  <c r="AG49" i="6"/>
  <c r="AF49" i="6"/>
  <c r="AE49" i="6"/>
  <c r="AD49" i="6"/>
  <c r="AC49" i="6"/>
  <c r="AK49" i="6" s="1"/>
  <c r="T49" i="6"/>
  <c r="R49" i="6"/>
  <c r="Q49" i="6"/>
  <c r="P49" i="6"/>
  <c r="O49" i="6"/>
  <c r="N49" i="6"/>
  <c r="M49" i="6"/>
  <c r="L49" i="6"/>
  <c r="K49" i="6"/>
  <c r="S49" i="6" s="1"/>
  <c r="CX48" i="6"/>
  <c r="DF48" i="6" s="1"/>
  <c r="CW48" i="6"/>
  <c r="DE48" i="6" s="1"/>
  <c r="CV48" i="6"/>
  <c r="DD48" i="6" s="1"/>
  <c r="CU48" i="6"/>
  <c r="DC48" i="6" s="1"/>
  <c r="CT48" i="6"/>
  <c r="DB48" i="6" s="1"/>
  <c r="CS48" i="6"/>
  <c r="DA48" i="6" s="1"/>
  <c r="CR48" i="6"/>
  <c r="DH48" i="6" s="1"/>
  <c r="CQ48" i="6"/>
  <c r="CY48" i="6" s="1"/>
  <c r="CF48" i="6"/>
  <c r="CN48" i="6" s="1"/>
  <c r="CE48" i="6"/>
  <c r="CM48" i="6" s="1"/>
  <c r="CD48" i="6"/>
  <c r="CL48" i="6" s="1"/>
  <c r="CC48" i="6"/>
  <c r="CK48" i="6" s="1"/>
  <c r="CB48" i="6"/>
  <c r="CJ48" i="6" s="1"/>
  <c r="CA48" i="6"/>
  <c r="CI48" i="6" s="1"/>
  <c r="BZ48" i="6"/>
  <c r="CP48" i="6" s="1"/>
  <c r="BY48" i="6"/>
  <c r="CG48" i="6" s="1"/>
  <c r="BV48" i="6"/>
  <c r="BT48" i="6"/>
  <c r="BS48" i="6"/>
  <c r="BR48" i="6"/>
  <c r="BQ48" i="6"/>
  <c r="BP48" i="6"/>
  <c r="BO48" i="6"/>
  <c r="BN48" i="6"/>
  <c r="BM48" i="6"/>
  <c r="BU48" i="6" s="1"/>
  <c r="BD48" i="6"/>
  <c r="BB48" i="6"/>
  <c r="BA48" i="6"/>
  <c r="AZ48" i="6"/>
  <c r="AY48" i="6"/>
  <c r="AX48" i="6"/>
  <c r="AW48" i="6"/>
  <c r="AV48" i="6"/>
  <c r="AU48" i="6"/>
  <c r="BC48" i="6" s="1"/>
  <c r="AL48" i="6"/>
  <c r="AJ48" i="6"/>
  <c r="AI48" i="6"/>
  <c r="AH48" i="6"/>
  <c r="AG48" i="6"/>
  <c r="AF48" i="6"/>
  <c r="AE48" i="6"/>
  <c r="AD48" i="6"/>
  <c r="AC48" i="6"/>
  <c r="AK48" i="6" s="1"/>
  <c r="T48" i="6"/>
  <c r="R48" i="6"/>
  <c r="Q48" i="6"/>
  <c r="P48" i="6"/>
  <c r="O48" i="6"/>
  <c r="N48" i="6"/>
  <c r="M48" i="6"/>
  <c r="L48" i="6"/>
  <c r="K48" i="6"/>
  <c r="S48" i="6" s="1"/>
  <c r="CX47" i="6"/>
  <c r="CX51" i="6" s="1"/>
  <c r="CW47" i="6"/>
  <c r="CW51" i="6" s="1"/>
  <c r="CV47" i="6"/>
  <c r="CV51" i="6" s="1"/>
  <c r="CU47" i="6"/>
  <c r="CU51" i="6" s="1"/>
  <c r="CT47" i="6"/>
  <c r="CT51" i="6" s="1"/>
  <c r="CS47" i="6"/>
  <c r="CS51" i="6" s="1"/>
  <c r="CR47" i="6"/>
  <c r="CR51" i="6" s="1"/>
  <c r="CQ47" i="6"/>
  <c r="CQ51" i="6" s="1"/>
  <c r="DH51" i="6" s="1"/>
  <c r="CF47" i="6"/>
  <c r="CF51" i="6" s="1"/>
  <c r="CE47" i="6"/>
  <c r="CE51" i="6" s="1"/>
  <c r="CD47" i="6"/>
  <c r="CD51" i="6" s="1"/>
  <c r="CC47" i="6"/>
  <c r="CC51" i="6" s="1"/>
  <c r="CB47" i="6"/>
  <c r="CB51" i="6" s="1"/>
  <c r="CA47" i="6"/>
  <c r="CA51" i="6" s="1"/>
  <c r="BZ47" i="6"/>
  <c r="BZ51" i="6" s="1"/>
  <c r="BY47" i="6"/>
  <c r="BY51" i="6" s="1"/>
  <c r="CP51" i="6" s="1"/>
  <c r="BV47" i="6"/>
  <c r="BT47" i="6"/>
  <c r="BT51" i="6" s="1"/>
  <c r="BS47" i="6"/>
  <c r="BS51" i="6" s="1"/>
  <c r="BR47" i="6"/>
  <c r="BR51" i="6" s="1"/>
  <c r="BQ47" i="6"/>
  <c r="BQ51" i="6" s="1"/>
  <c r="BP47" i="6"/>
  <c r="BP51" i="6" s="1"/>
  <c r="BO47" i="6"/>
  <c r="BO51" i="6" s="1"/>
  <c r="BN47" i="6"/>
  <c r="BN51" i="6" s="1"/>
  <c r="BM47" i="6"/>
  <c r="BM51" i="6" s="1"/>
  <c r="BD47" i="6"/>
  <c r="BB47" i="6"/>
  <c r="BB51" i="6" s="1"/>
  <c r="BA47" i="6"/>
  <c r="BA51" i="6" s="1"/>
  <c r="AZ47" i="6"/>
  <c r="AZ51" i="6" s="1"/>
  <c r="AY47" i="6"/>
  <c r="AY51" i="6" s="1"/>
  <c r="AX47" i="6"/>
  <c r="AX51" i="6" s="1"/>
  <c r="AW47" i="6"/>
  <c r="AW51" i="6" s="1"/>
  <c r="AV47" i="6"/>
  <c r="AV51" i="6" s="1"/>
  <c r="AU47" i="6"/>
  <c r="AU51" i="6" s="1"/>
  <c r="BC51" i="6" s="1"/>
  <c r="AL47" i="6"/>
  <c r="AJ47" i="6"/>
  <c r="AJ51" i="6" s="1"/>
  <c r="AI47" i="6"/>
  <c r="AI51" i="6" s="1"/>
  <c r="AH47" i="6"/>
  <c r="AH51" i="6" s="1"/>
  <c r="AG47" i="6"/>
  <c r="AG51" i="6" s="1"/>
  <c r="AF47" i="6"/>
  <c r="AF51" i="6" s="1"/>
  <c r="AE47" i="6"/>
  <c r="AE51" i="6" s="1"/>
  <c r="AD47" i="6"/>
  <c r="AD51" i="6" s="1"/>
  <c r="AC47" i="6"/>
  <c r="AC51" i="6" s="1"/>
  <c r="T47" i="6"/>
  <c r="R47" i="6"/>
  <c r="R51" i="6" s="1"/>
  <c r="Q47" i="6"/>
  <c r="Q51" i="6" s="1"/>
  <c r="P47" i="6"/>
  <c r="P51" i="6" s="1"/>
  <c r="O47" i="6"/>
  <c r="O51" i="6" s="1"/>
  <c r="N47" i="6"/>
  <c r="N51" i="6" s="1"/>
  <c r="M47" i="6"/>
  <c r="M51" i="6" s="1"/>
  <c r="L47" i="6"/>
  <c r="L51" i="6" s="1"/>
  <c r="K47" i="6"/>
  <c r="K51" i="6" s="1"/>
  <c r="S51" i="6" s="1"/>
  <c r="BL46" i="6"/>
  <c r="BK46" i="6"/>
  <c r="BJ46" i="6"/>
  <c r="BI46" i="6"/>
  <c r="BH46" i="6"/>
  <c r="BG46" i="6"/>
  <c r="BF46" i="6"/>
  <c r="BV46" i="6" s="1"/>
  <c r="BE46" i="6"/>
  <c r="AT46" i="6"/>
  <c r="AS46" i="6"/>
  <c r="AR46" i="6"/>
  <c r="AQ46" i="6"/>
  <c r="AP46" i="6"/>
  <c r="AO46" i="6"/>
  <c r="AN46" i="6"/>
  <c r="BD46" i="6" s="1"/>
  <c r="AM46" i="6"/>
  <c r="AB46" i="6"/>
  <c r="AA46" i="6"/>
  <c r="Z46" i="6"/>
  <c r="Y46" i="6"/>
  <c r="X46" i="6"/>
  <c r="W46" i="6"/>
  <c r="V46" i="6"/>
  <c r="AL46" i="6" s="1"/>
  <c r="U46" i="6"/>
  <c r="J46" i="6"/>
  <c r="I46" i="6"/>
  <c r="H46" i="6"/>
  <c r="G46" i="6"/>
  <c r="F46" i="6"/>
  <c r="E46" i="6"/>
  <c r="D46" i="6"/>
  <c r="T46" i="6" s="1"/>
  <c r="C46" i="6"/>
  <c r="CX45" i="6"/>
  <c r="DF45" i="6" s="1"/>
  <c r="CW45" i="6"/>
  <c r="DE45" i="6" s="1"/>
  <c r="CV45" i="6"/>
  <c r="DD45" i="6" s="1"/>
  <c r="CU45" i="6"/>
  <c r="DC45" i="6" s="1"/>
  <c r="CT45" i="6"/>
  <c r="DB45" i="6" s="1"/>
  <c r="CS45" i="6"/>
  <c r="DA45" i="6" s="1"/>
  <c r="CR45" i="6"/>
  <c r="DH45" i="6" s="1"/>
  <c r="CQ45" i="6"/>
  <c r="CY45" i="6" s="1"/>
  <c r="CF45" i="6"/>
  <c r="CN45" i="6" s="1"/>
  <c r="CE45" i="6"/>
  <c r="CM45" i="6" s="1"/>
  <c r="CD45" i="6"/>
  <c r="CL45" i="6" s="1"/>
  <c r="CC45" i="6"/>
  <c r="CK45" i="6" s="1"/>
  <c r="CB45" i="6"/>
  <c r="CJ45" i="6" s="1"/>
  <c r="CA45" i="6"/>
  <c r="CI45" i="6" s="1"/>
  <c r="BZ45" i="6"/>
  <c r="CP45" i="6" s="1"/>
  <c r="BY45" i="6"/>
  <c r="CG45" i="6" s="1"/>
  <c r="BV45" i="6"/>
  <c r="BT45" i="6"/>
  <c r="BS45" i="6"/>
  <c r="BR45" i="6"/>
  <c r="BQ45" i="6"/>
  <c r="BP45" i="6"/>
  <c r="BO45" i="6"/>
  <c r="BN45" i="6"/>
  <c r="BM45" i="6"/>
  <c r="BU45" i="6" s="1"/>
  <c r="BD45" i="6"/>
  <c r="BB45" i="6"/>
  <c r="BA45" i="6"/>
  <c r="AZ45" i="6"/>
  <c r="AY45" i="6"/>
  <c r="AX45" i="6"/>
  <c r="AW45" i="6"/>
  <c r="AV45" i="6"/>
  <c r="AU45" i="6"/>
  <c r="BC45" i="6" s="1"/>
  <c r="AL45" i="6"/>
  <c r="AJ45" i="6"/>
  <c r="AI45" i="6"/>
  <c r="AH45" i="6"/>
  <c r="AG45" i="6"/>
  <c r="AF45" i="6"/>
  <c r="AE45" i="6"/>
  <c r="AD45" i="6"/>
  <c r="AC45" i="6"/>
  <c r="AK45" i="6" s="1"/>
  <c r="T45" i="6"/>
  <c r="R45" i="6"/>
  <c r="Q45" i="6"/>
  <c r="P45" i="6"/>
  <c r="O45" i="6"/>
  <c r="N45" i="6"/>
  <c r="M45" i="6"/>
  <c r="L45" i="6"/>
  <c r="K45" i="6"/>
  <c r="S45" i="6" s="1"/>
  <c r="CX44" i="6"/>
  <c r="DF44" i="6" s="1"/>
  <c r="CW44" i="6"/>
  <c r="DE44" i="6" s="1"/>
  <c r="CV44" i="6"/>
  <c r="DD44" i="6" s="1"/>
  <c r="CU44" i="6"/>
  <c r="DC44" i="6" s="1"/>
  <c r="CT44" i="6"/>
  <c r="DB44" i="6" s="1"/>
  <c r="CS44" i="6"/>
  <c r="DA44" i="6" s="1"/>
  <c r="CR44" i="6"/>
  <c r="DH44" i="6" s="1"/>
  <c r="CQ44" i="6"/>
  <c r="CY44" i="6" s="1"/>
  <c r="CF44" i="6"/>
  <c r="CN44" i="6" s="1"/>
  <c r="CE44" i="6"/>
  <c r="CM44" i="6" s="1"/>
  <c r="CD44" i="6"/>
  <c r="CL44" i="6" s="1"/>
  <c r="CC44" i="6"/>
  <c r="CK44" i="6" s="1"/>
  <c r="CB44" i="6"/>
  <c r="CJ44" i="6" s="1"/>
  <c r="CA44" i="6"/>
  <c r="CI44" i="6" s="1"/>
  <c r="BZ44" i="6"/>
  <c r="CP44" i="6" s="1"/>
  <c r="BY44" i="6"/>
  <c r="CG44" i="6" s="1"/>
  <c r="BV44" i="6"/>
  <c r="BT44" i="6"/>
  <c r="BS44" i="6"/>
  <c r="BR44" i="6"/>
  <c r="BQ44" i="6"/>
  <c r="BP44" i="6"/>
  <c r="BO44" i="6"/>
  <c r="BN44" i="6"/>
  <c r="BM44" i="6"/>
  <c r="BU44" i="6" s="1"/>
  <c r="BD44" i="6"/>
  <c r="BB44" i="6"/>
  <c r="BA44" i="6"/>
  <c r="AZ44" i="6"/>
  <c r="AY44" i="6"/>
  <c r="AX44" i="6"/>
  <c r="AW44" i="6"/>
  <c r="AV44" i="6"/>
  <c r="AU44" i="6"/>
  <c r="BC44" i="6" s="1"/>
  <c r="AL44" i="6"/>
  <c r="AJ44" i="6"/>
  <c r="AI44" i="6"/>
  <c r="AH44" i="6"/>
  <c r="AG44" i="6"/>
  <c r="AF44" i="6"/>
  <c r="AE44" i="6"/>
  <c r="AD44" i="6"/>
  <c r="AC44" i="6"/>
  <c r="AK44" i="6" s="1"/>
  <c r="T44" i="6"/>
  <c r="R44" i="6"/>
  <c r="Q44" i="6"/>
  <c r="P44" i="6"/>
  <c r="O44" i="6"/>
  <c r="N44" i="6"/>
  <c r="M44" i="6"/>
  <c r="L44" i="6"/>
  <c r="K44" i="6"/>
  <c r="S44" i="6" s="1"/>
  <c r="CX43" i="6"/>
  <c r="DF43" i="6" s="1"/>
  <c r="CW43" i="6"/>
  <c r="DE43" i="6" s="1"/>
  <c r="CV43" i="6"/>
  <c r="DD43" i="6" s="1"/>
  <c r="CU43" i="6"/>
  <c r="DC43" i="6" s="1"/>
  <c r="CT43" i="6"/>
  <c r="DB43" i="6" s="1"/>
  <c r="CS43" i="6"/>
  <c r="DA43" i="6" s="1"/>
  <c r="CR43" i="6"/>
  <c r="DH43" i="6" s="1"/>
  <c r="CQ43" i="6"/>
  <c r="CY43" i="6" s="1"/>
  <c r="CF43" i="6"/>
  <c r="CN43" i="6" s="1"/>
  <c r="CE43" i="6"/>
  <c r="CM43" i="6" s="1"/>
  <c r="CD43" i="6"/>
  <c r="CL43" i="6" s="1"/>
  <c r="CC43" i="6"/>
  <c r="CK43" i="6" s="1"/>
  <c r="CB43" i="6"/>
  <c r="CJ43" i="6" s="1"/>
  <c r="CA43" i="6"/>
  <c r="CI43" i="6" s="1"/>
  <c r="BZ43" i="6"/>
  <c r="CP43" i="6" s="1"/>
  <c r="BY43" i="6"/>
  <c r="CG43" i="6" s="1"/>
  <c r="BV43" i="6"/>
  <c r="BT43" i="6"/>
  <c r="BS43" i="6"/>
  <c r="BR43" i="6"/>
  <c r="BQ43" i="6"/>
  <c r="BP43" i="6"/>
  <c r="BO43" i="6"/>
  <c r="BN43" i="6"/>
  <c r="BM43" i="6"/>
  <c r="BU43" i="6" s="1"/>
  <c r="BD43" i="6"/>
  <c r="BB43" i="6"/>
  <c r="BA43" i="6"/>
  <c r="AZ43" i="6"/>
  <c r="AY43" i="6"/>
  <c r="AX43" i="6"/>
  <c r="AW43" i="6"/>
  <c r="AV43" i="6"/>
  <c r="AU43" i="6"/>
  <c r="BC43" i="6" s="1"/>
  <c r="AL43" i="6"/>
  <c r="AJ43" i="6"/>
  <c r="AI43" i="6"/>
  <c r="AH43" i="6"/>
  <c r="AG43" i="6"/>
  <c r="AF43" i="6"/>
  <c r="AE43" i="6"/>
  <c r="AD43" i="6"/>
  <c r="AC43" i="6"/>
  <c r="AK43" i="6" s="1"/>
  <c r="T43" i="6"/>
  <c r="R43" i="6"/>
  <c r="Q43" i="6"/>
  <c r="P43" i="6"/>
  <c r="O43" i="6"/>
  <c r="N43" i="6"/>
  <c r="M43" i="6"/>
  <c r="L43" i="6"/>
  <c r="K43" i="6"/>
  <c r="S43" i="6" s="1"/>
  <c r="CX42" i="6"/>
  <c r="CX46" i="6" s="1"/>
  <c r="CW42" i="6"/>
  <c r="CW46" i="6" s="1"/>
  <c r="CV42" i="6"/>
  <c r="CV46" i="6" s="1"/>
  <c r="CU42" i="6"/>
  <c r="CU46" i="6" s="1"/>
  <c r="CT42" i="6"/>
  <c r="CT46" i="6" s="1"/>
  <c r="CS42" i="6"/>
  <c r="CS46" i="6" s="1"/>
  <c r="CR42" i="6"/>
  <c r="CR46" i="6" s="1"/>
  <c r="CQ42" i="6"/>
  <c r="CQ46" i="6" s="1"/>
  <c r="CF42" i="6"/>
  <c r="CF46" i="6" s="1"/>
  <c r="CE42" i="6"/>
  <c r="CE46" i="6" s="1"/>
  <c r="CD42" i="6"/>
  <c r="CD46" i="6" s="1"/>
  <c r="CC42" i="6"/>
  <c r="CC46" i="6" s="1"/>
  <c r="CB42" i="6"/>
  <c r="CB46" i="6" s="1"/>
  <c r="CA42" i="6"/>
  <c r="CA46" i="6" s="1"/>
  <c r="BZ42" i="6"/>
  <c r="BZ46" i="6" s="1"/>
  <c r="BY42" i="6"/>
  <c r="BY46" i="6" s="1"/>
  <c r="BV42" i="6"/>
  <c r="BT42" i="6"/>
  <c r="BT46" i="6" s="1"/>
  <c r="BS42" i="6"/>
  <c r="BS46" i="6" s="1"/>
  <c r="BR42" i="6"/>
  <c r="BR46" i="6" s="1"/>
  <c r="BQ42" i="6"/>
  <c r="BQ46" i="6" s="1"/>
  <c r="BP42" i="6"/>
  <c r="BP46" i="6" s="1"/>
  <c r="BO42" i="6"/>
  <c r="BO46" i="6" s="1"/>
  <c r="BN42" i="6"/>
  <c r="BN46" i="6" s="1"/>
  <c r="BM42" i="6"/>
  <c r="BM46" i="6" s="1"/>
  <c r="BU46" i="6" s="1"/>
  <c r="BD42" i="6"/>
  <c r="BB42" i="6"/>
  <c r="BB46" i="6" s="1"/>
  <c r="BA42" i="6"/>
  <c r="BA46" i="6" s="1"/>
  <c r="AZ42" i="6"/>
  <c r="AZ46" i="6" s="1"/>
  <c r="AY42" i="6"/>
  <c r="AY46" i="6" s="1"/>
  <c r="AX42" i="6"/>
  <c r="AX46" i="6" s="1"/>
  <c r="AW42" i="6"/>
  <c r="AW46" i="6" s="1"/>
  <c r="AV42" i="6"/>
  <c r="AV46" i="6" s="1"/>
  <c r="AU42" i="6"/>
  <c r="AU46" i="6" s="1"/>
  <c r="AL42" i="6"/>
  <c r="AJ42" i="6"/>
  <c r="AJ46" i="6" s="1"/>
  <c r="AI42" i="6"/>
  <c r="AI46" i="6" s="1"/>
  <c r="AH42" i="6"/>
  <c r="AH46" i="6" s="1"/>
  <c r="AG42" i="6"/>
  <c r="AG46" i="6" s="1"/>
  <c r="AF42" i="6"/>
  <c r="AF46" i="6" s="1"/>
  <c r="AE42" i="6"/>
  <c r="AE46" i="6" s="1"/>
  <c r="AD42" i="6"/>
  <c r="AD46" i="6" s="1"/>
  <c r="AC42" i="6"/>
  <c r="AC46" i="6" s="1"/>
  <c r="AK46" i="6" s="1"/>
  <c r="T42" i="6"/>
  <c r="R42" i="6"/>
  <c r="R46" i="6" s="1"/>
  <c r="Q42" i="6"/>
  <c r="Q46" i="6" s="1"/>
  <c r="P42" i="6"/>
  <c r="P46" i="6" s="1"/>
  <c r="O42" i="6"/>
  <c r="O46" i="6" s="1"/>
  <c r="N42" i="6"/>
  <c r="N46" i="6" s="1"/>
  <c r="M42" i="6"/>
  <c r="M46" i="6" s="1"/>
  <c r="L42" i="6"/>
  <c r="L46" i="6" s="1"/>
  <c r="K42" i="6"/>
  <c r="K46" i="6" s="1"/>
  <c r="BL41" i="6"/>
  <c r="BK41" i="6"/>
  <c r="BJ41" i="6"/>
  <c r="BI41" i="6"/>
  <c r="BH41" i="6"/>
  <c r="BG41" i="6"/>
  <c r="BF41" i="6"/>
  <c r="BV41" i="6" s="1"/>
  <c r="BE41" i="6"/>
  <c r="AT41" i="6"/>
  <c r="AS41" i="6"/>
  <c r="AR41" i="6"/>
  <c r="AQ41" i="6"/>
  <c r="AP41" i="6"/>
  <c r="AO41" i="6"/>
  <c r="AN41" i="6"/>
  <c r="BD41" i="6" s="1"/>
  <c r="AM41" i="6"/>
  <c r="AB41" i="6"/>
  <c r="AA41" i="6"/>
  <c r="Z41" i="6"/>
  <c r="Y41" i="6"/>
  <c r="X41" i="6"/>
  <c r="W41" i="6"/>
  <c r="V41" i="6"/>
  <c r="AL41" i="6" s="1"/>
  <c r="U41" i="6"/>
  <c r="J41" i="6"/>
  <c r="I41" i="6"/>
  <c r="H41" i="6"/>
  <c r="G41" i="6"/>
  <c r="F41" i="6"/>
  <c r="E41" i="6"/>
  <c r="D41" i="6"/>
  <c r="T41" i="6" s="1"/>
  <c r="C41" i="6"/>
  <c r="CX40" i="6"/>
  <c r="DF40" i="6" s="1"/>
  <c r="CW40" i="6"/>
  <c r="DE40" i="6" s="1"/>
  <c r="CV40" i="6"/>
  <c r="DD40" i="6" s="1"/>
  <c r="CU40" i="6"/>
  <c r="DC40" i="6" s="1"/>
  <c r="CT40" i="6"/>
  <c r="DB40" i="6" s="1"/>
  <c r="CS40" i="6"/>
  <c r="DA40" i="6" s="1"/>
  <c r="CR40" i="6"/>
  <c r="DH40" i="6" s="1"/>
  <c r="CQ40" i="6"/>
  <c r="CY40" i="6" s="1"/>
  <c r="CF40" i="6"/>
  <c r="CN40" i="6" s="1"/>
  <c r="CE40" i="6"/>
  <c r="CM40" i="6" s="1"/>
  <c r="CD40" i="6"/>
  <c r="CL40" i="6" s="1"/>
  <c r="CC40" i="6"/>
  <c r="CK40" i="6" s="1"/>
  <c r="CB40" i="6"/>
  <c r="CJ40" i="6" s="1"/>
  <c r="CA40" i="6"/>
  <c r="CI40" i="6" s="1"/>
  <c r="BZ40" i="6"/>
  <c r="CP40" i="6" s="1"/>
  <c r="BY40" i="6"/>
  <c r="CG40" i="6" s="1"/>
  <c r="BV40" i="6"/>
  <c r="BT40" i="6"/>
  <c r="BS40" i="6"/>
  <c r="BR40" i="6"/>
  <c r="BQ40" i="6"/>
  <c r="BP40" i="6"/>
  <c r="BO40" i="6"/>
  <c r="BN40" i="6"/>
  <c r="BM40" i="6"/>
  <c r="BU40" i="6" s="1"/>
  <c r="BD40" i="6"/>
  <c r="BB40" i="6"/>
  <c r="BA40" i="6"/>
  <c r="AZ40" i="6"/>
  <c r="AY40" i="6"/>
  <c r="AX40" i="6"/>
  <c r="AW40" i="6"/>
  <c r="AV40" i="6"/>
  <c r="AU40" i="6"/>
  <c r="BC40" i="6" s="1"/>
  <c r="AL40" i="6"/>
  <c r="AJ40" i="6"/>
  <c r="AI40" i="6"/>
  <c r="AH40" i="6"/>
  <c r="AG40" i="6"/>
  <c r="AF40" i="6"/>
  <c r="AE40" i="6"/>
  <c r="AD40" i="6"/>
  <c r="AC40" i="6"/>
  <c r="AK40" i="6" s="1"/>
  <c r="T40" i="6"/>
  <c r="R40" i="6"/>
  <c r="Q40" i="6"/>
  <c r="P40" i="6"/>
  <c r="O40" i="6"/>
  <c r="N40" i="6"/>
  <c r="M40" i="6"/>
  <c r="L40" i="6"/>
  <c r="K40" i="6"/>
  <c r="S40" i="6" s="1"/>
  <c r="CX39" i="6"/>
  <c r="DF39" i="6" s="1"/>
  <c r="CW39" i="6"/>
  <c r="DE39" i="6" s="1"/>
  <c r="CV39" i="6"/>
  <c r="DD39" i="6" s="1"/>
  <c r="CU39" i="6"/>
  <c r="DC39" i="6" s="1"/>
  <c r="CT39" i="6"/>
  <c r="DB39" i="6" s="1"/>
  <c r="CS39" i="6"/>
  <c r="DA39" i="6" s="1"/>
  <c r="CR39" i="6"/>
  <c r="DH39" i="6" s="1"/>
  <c r="CQ39" i="6"/>
  <c r="CY39" i="6" s="1"/>
  <c r="CF39" i="6"/>
  <c r="CN39" i="6" s="1"/>
  <c r="CE39" i="6"/>
  <c r="CM39" i="6" s="1"/>
  <c r="CD39" i="6"/>
  <c r="CL39" i="6" s="1"/>
  <c r="CC39" i="6"/>
  <c r="CK39" i="6" s="1"/>
  <c r="CB39" i="6"/>
  <c r="CJ39" i="6" s="1"/>
  <c r="CA39" i="6"/>
  <c r="CI39" i="6" s="1"/>
  <c r="BZ39" i="6"/>
  <c r="CP39" i="6" s="1"/>
  <c r="BY39" i="6"/>
  <c r="CG39" i="6" s="1"/>
  <c r="BV39" i="6"/>
  <c r="BT39" i="6"/>
  <c r="BS39" i="6"/>
  <c r="BR39" i="6"/>
  <c r="BQ39" i="6"/>
  <c r="BP39" i="6"/>
  <c r="BO39" i="6"/>
  <c r="BN39" i="6"/>
  <c r="BM39" i="6"/>
  <c r="BU39" i="6" s="1"/>
  <c r="BD39" i="6"/>
  <c r="BB39" i="6"/>
  <c r="BA39" i="6"/>
  <c r="AZ39" i="6"/>
  <c r="AY39" i="6"/>
  <c r="AX39" i="6"/>
  <c r="AW39" i="6"/>
  <c r="AV39" i="6"/>
  <c r="AU39" i="6"/>
  <c r="BC39" i="6" s="1"/>
  <c r="AL39" i="6"/>
  <c r="AJ39" i="6"/>
  <c r="AI39" i="6"/>
  <c r="AH39" i="6"/>
  <c r="AG39" i="6"/>
  <c r="AF39" i="6"/>
  <c r="AE39" i="6"/>
  <c r="AD39" i="6"/>
  <c r="AC39" i="6"/>
  <c r="AK39" i="6" s="1"/>
  <c r="T39" i="6"/>
  <c r="R39" i="6"/>
  <c r="Q39" i="6"/>
  <c r="P39" i="6"/>
  <c r="O39" i="6"/>
  <c r="N39" i="6"/>
  <c r="M39" i="6"/>
  <c r="L39" i="6"/>
  <c r="K39" i="6"/>
  <c r="S39" i="6" s="1"/>
  <c r="CX38" i="6"/>
  <c r="DF38" i="6" s="1"/>
  <c r="CW38" i="6"/>
  <c r="DE38" i="6" s="1"/>
  <c r="CV38" i="6"/>
  <c r="DD38" i="6" s="1"/>
  <c r="CU38" i="6"/>
  <c r="DC38" i="6" s="1"/>
  <c r="CT38" i="6"/>
  <c r="DB38" i="6" s="1"/>
  <c r="CS38" i="6"/>
  <c r="DA38" i="6" s="1"/>
  <c r="CR38" i="6"/>
  <c r="DH38" i="6" s="1"/>
  <c r="CQ38" i="6"/>
  <c r="CY38" i="6" s="1"/>
  <c r="CF38" i="6"/>
  <c r="CN38" i="6" s="1"/>
  <c r="CE38" i="6"/>
  <c r="CM38" i="6" s="1"/>
  <c r="CD38" i="6"/>
  <c r="CL38" i="6" s="1"/>
  <c r="CC38" i="6"/>
  <c r="CK38" i="6" s="1"/>
  <c r="CB38" i="6"/>
  <c r="CJ38" i="6" s="1"/>
  <c r="CA38" i="6"/>
  <c r="CI38" i="6" s="1"/>
  <c r="BZ38" i="6"/>
  <c r="CP38" i="6" s="1"/>
  <c r="BY38" i="6"/>
  <c r="CG38" i="6" s="1"/>
  <c r="BV38" i="6"/>
  <c r="BT38" i="6"/>
  <c r="BS38" i="6"/>
  <c r="BR38" i="6"/>
  <c r="BQ38" i="6"/>
  <c r="BP38" i="6"/>
  <c r="BO38" i="6"/>
  <c r="BN38" i="6"/>
  <c r="BM38" i="6"/>
  <c r="BU38" i="6" s="1"/>
  <c r="BD38" i="6"/>
  <c r="BB38" i="6"/>
  <c r="BA38" i="6"/>
  <c r="AZ38" i="6"/>
  <c r="AY38" i="6"/>
  <c r="AX38" i="6"/>
  <c r="AW38" i="6"/>
  <c r="AV38" i="6"/>
  <c r="AU38" i="6"/>
  <c r="BC38" i="6" s="1"/>
  <c r="AL38" i="6"/>
  <c r="AJ38" i="6"/>
  <c r="AI38" i="6"/>
  <c r="AH38" i="6"/>
  <c r="AG38" i="6"/>
  <c r="AF38" i="6"/>
  <c r="AE38" i="6"/>
  <c r="AD38" i="6"/>
  <c r="AC38" i="6"/>
  <c r="AK38" i="6" s="1"/>
  <c r="T38" i="6"/>
  <c r="R38" i="6"/>
  <c r="Q38" i="6"/>
  <c r="P38" i="6"/>
  <c r="O38" i="6"/>
  <c r="N38" i="6"/>
  <c r="M38" i="6"/>
  <c r="L38" i="6"/>
  <c r="K38" i="6"/>
  <c r="S38" i="6" s="1"/>
  <c r="CX37" i="6"/>
  <c r="CX41" i="6" s="1"/>
  <c r="CW37" i="6"/>
  <c r="CW41" i="6" s="1"/>
  <c r="CV37" i="6"/>
  <c r="CV41" i="6" s="1"/>
  <c r="CU37" i="6"/>
  <c r="CU41" i="6" s="1"/>
  <c r="CT37" i="6"/>
  <c r="CT41" i="6" s="1"/>
  <c r="CS37" i="6"/>
  <c r="CS41" i="6" s="1"/>
  <c r="CR37" i="6"/>
  <c r="CR41" i="6" s="1"/>
  <c r="CQ37" i="6"/>
  <c r="CQ41" i="6" s="1"/>
  <c r="CF37" i="6"/>
  <c r="CF41" i="6" s="1"/>
  <c r="CE37" i="6"/>
  <c r="CE41" i="6" s="1"/>
  <c r="CD37" i="6"/>
  <c r="CD41" i="6" s="1"/>
  <c r="CC37" i="6"/>
  <c r="CC41" i="6" s="1"/>
  <c r="CB37" i="6"/>
  <c r="CB41" i="6" s="1"/>
  <c r="CA37" i="6"/>
  <c r="CA41" i="6" s="1"/>
  <c r="BZ37" i="6"/>
  <c r="BZ41" i="6" s="1"/>
  <c r="BY37" i="6"/>
  <c r="BY41" i="6" s="1"/>
  <c r="BV37" i="6"/>
  <c r="BT37" i="6"/>
  <c r="BT41" i="6" s="1"/>
  <c r="BS37" i="6"/>
  <c r="BS41" i="6" s="1"/>
  <c r="BR37" i="6"/>
  <c r="BR41" i="6" s="1"/>
  <c r="BQ37" i="6"/>
  <c r="BQ41" i="6" s="1"/>
  <c r="BP37" i="6"/>
  <c r="BP41" i="6" s="1"/>
  <c r="BO37" i="6"/>
  <c r="BO41" i="6" s="1"/>
  <c r="BN37" i="6"/>
  <c r="BN41" i="6" s="1"/>
  <c r="BM37" i="6"/>
  <c r="BM41" i="6" s="1"/>
  <c r="BU41" i="6" s="1"/>
  <c r="BD37" i="6"/>
  <c r="BB37" i="6"/>
  <c r="BB41" i="6" s="1"/>
  <c r="BA37" i="6"/>
  <c r="BA41" i="6" s="1"/>
  <c r="AZ37" i="6"/>
  <c r="AZ41" i="6" s="1"/>
  <c r="AY37" i="6"/>
  <c r="AY41" i="6" s="1"/>
  <c r="AX37" i="6"/>
  <c r="AX41" i="6" s="1"/>
  <c r="AW37" i="6"/>
  <c r="AW41" i="6" s="1"/>
  <c r="AV37" i="6"/>
  <c r="AV41" i="6" s="1"/>
  <c r="AU37" i="6"/>
  <c r="AU41" i="6" s="1"/>
  <c r="AL37" i="6"/>
  <c r="AJ37" i="6"/>
  <c r="AJ41" i="6" s="1"/>
  <c r="AI37" i="6"/>
  <c r="AI41" i="6" s="1"/>
  <c r="AH37" i="6"/>
  <c r="AH41" i="6" s="1"/>
  <c r="AG37" i="6"/>
  <c r="AG41" i="6" s="1"/>
  <c r="AF37" i="6"/>
  <c r="AF41" i="6" s="1"/>
  <c r="AE37" i="6"/>
  <c r="AE41" i="6" s="1"/>
  <c r="AD37" i="6"/>
  <c r="AD41" i="6" s="1"/>
  <c r="AC37" i="6"/>
  <c r="AC41" i="6" s="1"/>
  <c r="AK41" i="6" s="1"/>
  <c r="T37" i="6"/>
  <c r="R37" i="6"/>
  <c r="R41" i="6" s="1"/>
  <c r="Q37" i="6"/>
  <c r="Q41" i="6" s="1"/>
  <c r="P37" i="6"/>
  <c r="P41" i="6" s="1"/>
  <c r="O37" i="6"/>
  <c r="O41" i="6" s="1"/>
  <c r="N37" i="6"/>
  <c r="N41" i="6" s="1"/>
  <c r="M37" i="6"/>
  <c r="M41" i="6" s="1"/>
  <c r="L37" i="6"/>
  <c r="L41" i="6" s="1"/>
  <c r="K37" i="6"/>
  <c r="K41" i="6" s="1"/>
  <c r="BL36" i="6"/>
  <c r="BK36" i="6"/>
  <c r="BJ36" i="6"/>
  <c r="BI36" i="6"/>
  <c r="BH36" i="6"/>
  <c r="BG36" i="6"/>
  <c r="BF36" i="6"/>
  <c r="BV36" i="6" s="1"/>
  <c r="BE36" i="6"/>
  <c r="AT36" i="6"/>
  <c r="AS36" i="6"/>
  <c r="AR36" i="6"/>
  <c r="AQ36" i="6"/>
  <c r="AP36" i="6"/>
  <c r="AO36" i="6"/>
  <c r="AN36" i="6"/>
  <c r="BD36" i="6" s="1"/>
  <c r="AM36" i="6"/>
  <c r="AB36" i="6"/>
  <c r="AA36" i="6"/>
  <c r="Z36" i="6"/>
  <c r="Y36" i="6"/>
  <c r="X36" i="6"/>
  <c r="W36" i="6"/>
  <c r="V36" i="6"/>
  <c r="AL36" i="6" s="1"/>
  <c r="U36" i="6"/>
  <c r="J36" i="6"/>
  <c r="I36" i="6"/>
  <c r="H36" i="6"/>
  <c r="G36" i="6"/>
  <c r="F36" i="6"/>
  <c r="E36" i="6"/>
  <c r="D36" i="6"/>
  <c r="T36" i="6" s="1"/>
  <c r="C36" i="6"/>
  <c r="CX35" i="6"/>
  <c r="DF35" i="6" s="1"/>
  <c r="CW35" i="6"/>
  <c r="DE35" i="6" s="1"/>
  <c r="CV35" i="6"/>
  <c r="DD35" i="6" s="1"/>
  <c r="CU35" i="6"/>
  <c r="DC35" i="6" s="1"/>
  <c r="CT35" i="6"/>
  <c r="DB35" i="6" s="1"/>
  <c r="CS35" i="6"/>
  <c r="DA35" i="6" s="1"/>
  <c r="CR35" i="6"/>
  <c r="DH35" i="6" s="1"/>
  <c r="CQ35" i="6"/>
  <c r="CY35" i="6" s="1"/>
  <c r="CF35" i="6"/>
  <c r="CN35" i="6" s="1"/>
  <c r="CE35" i="6"/>
  <c r="CM35" i="6" s="1"/>
  <c r="CD35" i="6"/>
  <c r="CL35" i="6" s="1"/>
  <c r="CC35" i="6"/>
  <c r="CK35" i="6" s="1"/>
  <c r="CB35" i="6"/>
  <c r="CJ35" i="6" s="1"/>
  <c r="CA35" i="6"/>
  <c r="CI35" i="6" s="1"/>
  <c r="BZ35" i="6"/>
  <c r="CP35" i="6" s="1"/>
  <c r="BY35" i="6"/>
  <c r="CG35" i="6" s="1"/>
  <c r="BV35" i="6"/>
  <c r="BT35" i="6"/>
  <c r="BS35" i="6"/>
  <c r="BR35" i="6"/>
  <c r="BQ35" i="6"/>
  <c r="BP35" i="6"/>
  <c r="BO35" i="6"/>
  <c r="BN35" i="6"/>
  <c r="BM35" i="6"/>
  <c r="BU35" i="6" s="1"/>
  <c r="BD35" i="6"/>
  <c r="BB35" i="6"/>
  <c r="BA35" i="6"/>
  <c r="AZ35" i="6"/>
  <c r="AY35" i="6"/>
  <c r="AX35" i="6"/>
  <c r="AW35" i="6"/>
  <c r="AV35" i="6"/>
  <c r="AU35" i="6"/>
  <c r="BC35" i="6" s="1"/>
  <c r="AL35" i="6"/>
  <c r="AJ35" i="6"/>
  <c r="AI35" i="6"/>
  <c r="AH35" i="6"/>
  <c r="AG35" i="6"/>
  <c r="AF35" i="6"/>
  <c r="AE35" i="6"/>
  <c r="AD35" i="6"/>
  <c r="AC35" i="6"/>
  <c r="AK35" i="6" s="1"/>
  <c r="T35" i="6"/>
  <c r="R35" i="6"/>
  <c r="Q35" i="6"/>
  <c r="P35" i="6"/>
  <c r="O35" i="6"/>
  <c r="N35" i="6"/>
  <c r="M35" i="6"/>
  <c r="L35" i="6"/>
  <c r="K35" i="6"/>
  <c r="S35" i="6" s="1"/>
  <c r="CX34" i="6"/>
  <c r="DF34" i="6" s="1"/>
  <c r="CW34" i="6"/>
  <c r="DE34" i="6" s="1"/>
  <c r="CV34" i="6"/>
  <c r="DD34" i="6" s="1"/>
  <c r="CU34" i="6"/>
  <c r="DC34" i="6" s="1"/>
  <c r="CT34" i="6"/>
  <c r="DB34" i="6" s="1"/>
  <c r="CS34" i="6"/>
  <c r="DA34" i="6" s="1"/>
  <c r="CR34" i="6"/>
  <c r="DH34" i="6" s="1"/>
  <c r="CQ34" i="6"/>
  <c r="CY34" i="6" s="1"/>
  <c r="CF34" i="6"/>
  <c r="CN34" i="6" s="1"/>
  <c r="CE34" i="6"/>
  <c r="CM34" i="6" s="1"/>
  <c r="CD34" i="6"/>
  <c r="CL34" i="6" s="1"/>
  <c r="CC34" i="6"/>
  <c r="CK34" i="6" s="1"/>
  <c r="CB34" i="6"/>
  <c r="CJ34" i="6" s="1"/>
  <c r="CA34" i="6"/>
  <c r="CI34" i="6" s="1"/>
  <c r="BZ34" i="6"/>
  <c r="CP34" i="6" s="1"/>
  <c r="BY34" i="6"/>
  <c r="CG34" i="6" s="1"/>
  <c r="BV34" i="6"/>
  <c r="BT34" i="6"/>
  <c r="BS34" i="6"/>
  <c r="BR34" i="6"/>
  <c r="BQ34" i="6"/>
  <c r="BP34" i="6"/>
  <c r="BO34" i="6"/>
  <c r="BN34" i="6"/>
  <c r="BM34" i="6"/>
  <c r="BU34" i="6" s="1"/>
  <c r="BD34" i="6"/>
  <c r="BB34" i="6"/>
  <c r="BA34" i="6"/>
  <c r="AZ34" i="6"/>
  <c r="AY34" i="6"/>
  <c r="AX34" i="6"/>
  <c r="AW34" i="6"/>
  <c r="AV34" i="6"/>
  <c r="AU34" i="6"/>
  <c r="BC34" i="6" s="1"/>
  <c r="AL34" i="6"/>
  <c r="AJ34" i="6"/>
  <c r="AI34" i="6"/>
  <c r="AH34" i="6"/>
  <c r="AG34" i="6"/>
  <c r="AF34" i="6"/>
  <c r="AE34" i="6"/>
  <c r="AD34" i="6"/>
  <c r="AC34" i="6"/>
  <c r="AK34" i="6" s="1"/>
  <c r="T34" i="6"/>
  <c r="R34" i="6"/>
  <c r="Q34" i="6"/>
  <c r="P34" i="6"/>
  <c r="O34" i="6"/>
  <c r="N34" i="6"/>
  <c r="M34" i="6"/>
  <c r="L34" i="6"/>
  <c r="K34" i="6"/>
  <c r="S34" i="6" s="1"/>
  <c r="CX33" i="6"/>
  <c r="DF33" i="6" s="1"/>
  <c r="CW33" i="6"/>
  <c r="DE33" i="6" s="1"/>
  <c r="CV33" i="6"/>
  <c r="DD33" i="6" s="1"/>
  <c r="CU33" i="6"/>
  <c r="DC33" i="6" s="1"/>
  <c r="CT33" i="6"/>
  <c r="DB33" i="6" s="1"/>
  <c r="CS33" i="6"/>
  <c r="DA33" i="6" s="1"/>
  <c r="CR33" i="6"/>
  <c r="DH33" i="6" s="1"/>
  <c r="CQ33" i="6"/>
  <c r="CY33" i="6" s="1"/>
  <c r="CF33" i="6"/>
  <c r="CN33" i="6" s="1"/>
  <c r="CE33" i="6"/>
  <c r="CM33" i="6" s="1"/>
  <c r="CD33" i="6"/>
  <c r="CL33" i="6" s="1"/>
  <c r="CC33" i="6"/>
  <c r="CK33" i="6" s="1"/>
  <c r="CB33" i="6"/>
  <c r="CJ33" i="6" s="1"/>
  <c r="CA33" i="6"/>
  <c r="CI33" i="6" s="1"/>
  <c r="BZ33" i="6"/>
  <c r="CP33" i="6" s="1"/>
  <c r="BY33" i="6"/>
  <c r="CG33" i="6" s="1"/>
  <c r="BV33" i="6"/>
  <c r="BT33" i="6"/>
  <c r="BS33" i="6"/>
  <c r="BR33" i="6"/>
  <c r="BQ33" i="6"/>
  <c r="BP33" i="6"/>
  <c r="BO33" i="6"/>
  <c r="BN33" i="6"/>
  <c r="BM33" i="6"/>
  <c r="BU33" i="6" s="1"/>
  <c r="BD33" i="6"/>
  <c r="BB33" i="6"/>
  <c r="BA33" i="6"/>
  <c r="AZ33" i="6"/>
  <c r="AY33" i="6"/>
  <c r="AX33" i="6"/>
  <c r="AW33" i="6"/>
  <c r="AV33" i="6"/>
  <c r="AU33" i="6"/>
  <c r="BC33" i="6" s="1"/>
  <c r="AL33" i="6"/>
  <c r="AJ33" i="6"/>
  <c r="AI33" i="6"/>
  <c r="AH33" i="6"/>
  <c r="AG33" i="6"/>
  <c r="AF33" i="6"/>
  <c r="AE33" i="6"/>
  <c r="AD33" i="6"/>
  <c r="AC33" i="6"/>
  <c r="AK33" i="6" s="1"/>
  <c r="T33" i="6"/>
  <c r="R33" i="6"/>
  <c r="Q33" i="6"/>
  <c r="P33" i="6"/>
  <c r="O33" i="6"/>
  <c r="N33" i="6"/>
  <c r="M33" i="6"/>
  <c r="L33" i="6"/>
  <c r="K33" i="6"/>
  <c r="S33" i="6" s="1"/>
  <c r="CX32" i="6"/>
  <c r="CX36" i="6" s="1"/>
  <c r="CW32" i="6"/>
  <c r="CW36" i="6" s="1"/>
  <c r="CV32" i="6"/>
  <c r="CV36" i="6" s="1"/>
  <c r="CU32" i="6"/>
  <c r="CU36" i="6" s="1"/>
  <c r="CT32" i="6"/>
  <c r="CT36" i="6" s="1"/>
  <c r="CS32" i="6"/>
  <c r="CS36" i="6" s="1"/>
  <c r="CR32" i="6"/>
  <c r="CR36" i="6" s="1"/>
  <c r="CQ32" i="6"/>
  <c r="CQ36" i="6" s="1"/>
  <c r="CF32" i="6"/>
  <c r="CF36" i="6" s="1"/>
  <c r="CE32" i="6"/>
  <c r="CE36" i="6" s="1"/>
  <c r="CD32" i="6"/>
  <c r="CD36" i="6" s="1"/>
  <c r="CC32" i="6"/>
  <c r="CC36" i="6" s="1"/>
  <c r="CB32" i="6"/>
  <c r="CB36" i="6" s="1"/>
  <c r="CA32" i="6"/>
  <c r="CA36" i="6" s="1"/>
  <c r="BZ32" i="6"/>
  <c r="BZ36" i="6" s="1"/>
  <c r="BY32" i="6"/>
  <c r="BY36" i="6" s="1"/>
  <c r="BV32" i="6"/>
  <c r="BT32" i="6"/>
  <c r="BT36" i="6" s="1"/>
  <c r="BS32" i="6"/>
  <c r="BS36" i="6" s="1"/>
  <c r="BR32" i="6"/>
  <c r="BR36" i="6" s="1"/>
  <c r="BQ32" i="6"/>
  <c r="BQ36" i="6" s="1"/>
  <c r="BP32" i="6"/>
  <c r="BP36" i="6" s="1"/>
  <c r="BO32" i="6"/>
  <c r="BO36" i="6" s="1"/>
  <c r="BN32" i="6"/>
  <c r="BN36" i="6" s="1"/>
  <c r="BM32" i="6"/>
  <c r="BM36" i="6" s="1"/>
  <c r="BU36" i="6" s="1"/>
  <c r="BD32" i="6"/>
  <c r="BB32" i="6"/>
  <c r="BB36" i="6" s="1"/>
  <c r="BA32" i="6"/>
  <c r="BA36" i="6" s="1"/>
  <c r="AZ32" i="6"/>
  <c r="AZ36" i="6" s="1"/>
  <c r="AY32" i="6"/>
  <c r="AY36" i="6" s="1"/>
  <c r="AX32" i="6"/>
  <c r="AX36" i="6" s="1"/>
  <c r="AW32" i="6"/>
  <c r="AW36" i="6" s="1"/>
  <c r="AV32" i="6"/>
  <c r="AV36" i="6" s="1"/>
  <c r="AU32" i="6"/>
  <c r="AU36" i="6" s="1"/>
  <c r="AL32" i="6"/>
  <c r="AJ32" i="6"/>
  <c r="AJ36" i="6" s="1"/>
  <c r="AI32" i="6"/>
  <c r="AI36" i="6" s="1"/>
  <c r="AH32" i="6"/>
  <c r="AH36" i="6" s="1"/>
  <c r="AG32" i="6"/>
  <c r="AG36" i="6" s="1"/>
  <c r="AF32" i="6"/>
  <c r="AF36" i="6" s="1"/>
  <c r="AE32" i="6"/>
  <c r="AE36" i="6" s="1"/>
  <c r="AD32" i="6"/>
  <c r="AD36" i="6" s="1"/>
  <c r="AC32" i="6"/>
  <c r="AC36" i="6" s="1"/>
  <c r="AK36" i="6" s="1"/>
  <c r="T32" i="6"/>
  <c r="R32" i="6"/>
  <c r="R36" i="6" s="1"/>
  <c r="Q32" i="6"/>
  <c r="Q36" i="6" s="1"/>
  <c r="P32" i="6"/>
  <c r="P36" i="6" s="1"/>
  <c r="O32" i="6"/>
  <c r="O36" i="6" s="1"/>
  <c r="N32" i="6"/>
  <c r="N36" i="6" s="1"/>
  <c r="M32" i="6"/>
  <c r="M36" i="6" s="1"/>
  <c r="L32" i="6"/>
  <c r="L36" i="6" s="1"/>
  <c r="K32" i="6"/>
  <c r="K36" i="6" s="1"/>
  <c r="BL31" i="6"/>
  <c r="BK31" i="6"/>
  <c r="BJ31" i="6"/>
  <c r="BI31" i="6"/>
  <c r="BH31" i="6"/>
  <c r="BG31" i="6"/>
  <c r="BF31" i="6"/>
  <c r="BV31" i="6" s="1"/>
  <c r="BE31" i="6"/>
  <c r="AT31" i="6"/>
  <c r="AS31" i="6"/>
  <c r="AR31" i="6"/>
  <c r="AQ31" i="6"/>
  <c r="AP31" i="6"/>
  <c r="AO31" i="6"/>
  <c r="AN31" i="6"/>
  <c r="BD31" i="6" s="1"/>
  <c r="AM31" i="6"/>
  <c r="AB31" i="6"/>
  <c r="AA31" i="6"/>
  <c r="Z31" i="6"/>
  <c r="Y31" i="6"/>
  <c r="X31" i="6"/>
  <c r="W31" i="6"/>
  <c r="V31" i="6"/>
  <c r="AL31" i="6" s="1"/>
  <c r="U31" i="6"/>
  <c r="J31" i="6"/>
  <c r="I31" i="6"/>
  <c r="H31" i="6"/>
  <c r="G31" i="6"/>
  <c r="F31" i="6"/>
  <c r="E31" i="6"/>
  <c r="D31" i="6"/>
  <c r="T31" i="6" s="1"/>
  <c r="C31" i="6"/>
  <c r="CX30" i="6"/>
  <c r="DF30" i="6" s="1"/>
  <c r="CW30" i="6"/>
  <c r="DE30" i="6" s="1"/>
  <c r="CV30" i="6"/>
  <c r="DD30" i="6" s="1"/>
  <c r="CU30" i="6"/>
  <c r="DC30" i="6" s="1"/>
  <c r="CT30" i="6"/>
  <c r="DB30" i="6" s="1"/>
  <c r="CS30" i="6"/>
  <c r="DA30" i="6" s="1"/>
  <c r="CR30" i="6"/>
  <c r="DH30" i="6" s="1"/>
  <c r="CQ30" i="6"/>
  <c r="CY30" i="6" s="1"/>
  <c r="CF30" i="6"/>
  <c r="CN30" i="6" s="1"/>
  <c r="CE30" i="6"/>
  <c r="CM30" i="6" s="1"/>
  <c r="CD30" i="6"/>
  <c r="CL30" i="6" s="1"/>
  <c r="CC30" i="6"/>
  <c r="CK30" i="6" s="1"/>
  <c r="CB30" i="6"/>
  <c r="CJ30" i="6" s="1"/>
  <c r="CA30" i="6"/>
  <c r="CI30" i="6" s="1"/>
  <c r="BZ30" i="6"/>
  <c r="CP30" i="6" s="1"/>
  <c r="BY30" i="6"/>
  <c r="CG30" i="6" s="1"/>
  <c r="BV30" i="6"/>
  <c r="BT30" i="6"/>
  <c r="BS30" i="6"/>
  <c r="BR30" i="6"/>
  <c r="BQ30" i="6"/>
  <c r="BP30" i="6"/>
  <c r="BO30" i="6"/>
  <c r="BN30" i="6"/>
  <c r="BM30" i="6"/>
  <c r="BU30" i="6" s="1"/>
  <c r="BD30" i="6"/>
  <c r="BB30" i="6"/>
  <c r="BA30" i="6"/>
  <c r="AZ30" i="6"/>
  <c r="AY30" i="6"/>
  <c r="AX30" i="6"/>
  <c r="AW30" i="6"/>
  <c r="AV30" i="6"/>
  <c r="AU30" i="6"/>
  <c r="BC30" i="6" s="1"/>
  <c r="AL30" i="6"/>
  <c r="AJ30" i="6"/>
  <c r="AI30" i="6"/>
  <c r="AH30" i="6"/>
  <c r="AG30" i="6"/>
  <c r="AF30" i="6"/>
  <c r="AE30" i="6"/>
  <c r="AD30" i="6"/>
  <c r="AC30" i="6"/>
  <c r="AK30" i="6" s="1"/>
  <c r="T30" i="6"/>
  <c r="R30" i="6"/>
  <c r="Q30" i="6"/>
  <c r="P30" i="6"/>
  <c r="O30" i="6"/>
  <c r="N30" i="6"/>
  <c r="M30" i="6"/>
  <c r="L30" i="6"/>
  <c r="K30" i="6"/>
  <c r="S30" i="6" s="1"/>
  <c r="CX29" i="6"/>
  <c r="DF29" i="6" s="1"/>
  <c r="CW29" i="6"/>
  <c r="DE29" i="6" s="1"/>
  <c r="CV29" i="6"/>
  <c r="DD29" i="6" s="1"/>
  <c r="CU29" i="6"/>
  <c r="DC29" i="6" s="1"/>
  <c r="CT29" i="6"/>
  <c r="DB29" i="6" s="1"/>
  <c r="CS29" i="6"/>
  <c r="DA29" i="6" s="1"/>
  <c r="CR29" i="6"/>
  <c r="DH29" i="6" s="1"/>
  <c r="CQ29" i="6"/>
  <c r="CY29" i="6" s="1"/>
  <c r="CF29" i="6"/>
  <c r="CN29" i="6" s="1"/>
  <c r="CE29" i="6"/>
  <c r="CM29" i="6" s="1"/>
  <c r="CD29" i="6"/>
  <c r="CL29" i="6" s="1"/>
  <c r="CC29" i="6"/>
  <c r="CK29" i="6" s="1"/>
  <c r="CB29" i="6"/>
  <c r="CJ29" i="6" s="1"/>
  <c r="CA29" i="6"/>
  <c r="CI29" i="6" s="1"/>
  <c r="BZ29" i="6"/>
  <c r="CP29" i="6" s="1"/>
  <c r="BY29" i="6"/>
  <c r="CG29" i="6" s="1"/>
  <c r="BV29" i="6"/>
  <c r="BT29" i="6"/>
  <c r="BS29" i="6"/>
  <c r="BR29" i="6"/>
  <c r="BQ29" i="6"/>
  <c r="BP29" i="6"/>
  <c r="BO29" i="6"/>
  <c r="BN29" i="6"/>
  <c r="BM29" i="6"/>
  <c r="BU29" i="6" s="1"/>
  <c r="BD29" i="6"/>
  <c r="BB29" i="6"/>
  <c r="BA29" i="6"/>
  <c r="AZ29" i="6"/>
  <c r="AY29" i="6"/>
  <c r="AX29" i="6"/>
  <c r="AW29" i="6"/>
  <c r="AV29" i="6"/>
  <c r="AU29" i="6"/>
  <c r="BC29" i="6" s="1"/>
  <c r="AL29" i="6"/>
  <c r="AJ29" i="6"/>
  <c r="AI29" i="6"/>
  <c r="AH29" i="6"/>
  <c r="AG29" i="6"/>
  <c r="AF29" i="6"/>
  <c r="AE29" i="6"/>
  <c r="AD29" i="6"/>
  <c r="AC29" i="6"/>
  <c r="AK29" i="6" s="1"/>
  <c r="T29" i="6"/>
  <c r="R29" i="6"/>
  <c r="Q29" i="6"/>
  <c r="P29" i="6"/>
  <c r="O29" i="6"/>
  <c r="N29" i="6"/>
  <c r="M29" i="6"/>
  <c r="L29" i="6"/>
  <c r="K29" i="6"/>
  <c r="S29" i="6" s="1"/>
  <c r="CX28" i="6"/>
  <c r="DF28" i="6" s="1"/>
  <c r="CW28" i="6"/>
  <c r="DE28" i="6" s="1"/>
  <c r="CV28" i="6"/>
  <c r="DD28" i="6" s="1"/>
  <c r="CU28" i="6"/>
  <c r="DC28" i="6" s="1"/>
  <c r="CT28" i="6"/>
  <c r="DB28" i="6" s="1"/>
  <c r="CS28" i="6"/>
  <c r="DA28" i="6" s="1"/>
  <c r="CR28" i="6"/>
  <c r="DH28" i="6" s="1"/>
  <c r="CQ28" i="6"/>
  <c r="CY28" i="6" s="1"/>
  <c r="CF28" i="6"/>
  <c r="CN28" i="6" s="1"/>
  <c r="CE28" i="6"/>
  <c r="CM28" i="6" s="1"/>
  <c r="CD28" i="6"/>
  <c r="CL28" i="6" s="1"/>
  <c r="CC28" i="6"/>
  <c r="CK28" i="6" s="1"/>
  <c r="CB28" i="6"/>
  <c r="CJ28" i="6" s="1"/>
  <c r="CA28" i="6"/>
  <c r="CI28" i="6" s="1"/>
  <c r="BZ28" i="6"/>
  <c r="CP28" i="6" s="1"/>
  <c r="BY28" i="6"/>
  <c r="CG28" i="6" s="1"/>
  <c r="BV28" i="6"/>
  <c r="BT28" i="6"/>
  <c r="BS28" i="6"/>
  <c r="BR28" i="6"/>
  <c r="BQ28" i="6"/>
  <c r="BP28" i="6"/>
  <c r="BO28" i="6"/>
  <c r="BN28" i="6"/>
  <c r="BM28" i="6"/>
  <c r="BU28" i="6" s="1"/>
  <c r="BD28" i="6"/>
  <c r="BB28" i="6"/>
  <c r="BA28" i="6"/>
  <c r="AZ28" i="6"/>
  <c r="AY28" i="6"/>
  <c r="AX28" i="6"/>
  <c r="AW28" i="6"/>
  <c r="AV28" i="6"/>
  <c r="AU28" i="6"/>
  <c r="BC28" i="6" s="1"/>
  <c r="AL28" i="6"/>
  <c r="AJ28" i="6"/>
  <c r="AI28" i="6"/>
  <c r="AH28" i="6"/>
  <c r="AG28" i="6"/>
  <c r="AF28" i="6"/>
  <c r="AE28" i="6"/>
  <c r="AD28" i="6"/>
  <c r="AC28" i="6"/>
  <c r="AK28" i="6" s="1"/>
  <c r="T28" i="6"/>
  <c r="R28" i="6"/>
  <c r="Q28" i="6"/>
  <c r="P28" i="6"/>
  <c r="O28" i="6"/>
  <c r="N28" i="6"/>
  <c r="M28" i="6"/>
  <c r="L28" i="6"/>
  <c r="K28" i="6"/>
  <c r="S28" i="6" s="1"/>
  <c r="CX27" i="6"/>
  <c r="CX31" i="6" s="1"/>
  <c r="CW27" i="6"/>
  <c r="CW31" i="6" s="1"/>
  <c r="CV27" i="6"/>
  <c r="CV31" i="6" s="1"/>
  <c r="CU27" i="6"/>
  <c r="CU31" i="6" s="1"/>
  <c r="CT27" i="6"/>
  <c r="CT31" i="6" s="1"/>
  <c r="CS27" i="6"/>
  <c r="CS31" i="6" s="1"/>
  <c r="CR27" i="6"/>
  <c r="CR31" i="6" s="1"/>
  <c r="CQ27" i="6"/>
  <c r="CQ31" i="6" s="1"/>
  <c r="CF27" i="6"/>
  <c r="CF31" i="6" s="1"/>
  <c r="CE27" i="6"/>
  <c r="CE31" i="6" s="1"/>
  <c r="CD27" i="6"/>
  <c r="CD31" i="6" s="1"/>
  <c r="CC27" i="6"/>
  <c r="CC31" i="6" s="1"/>
  <c r="CB27" i="6"/>
  <c r="CB31" i="6" s="1"/>
  <c r="CA27" i="6"/>
  <c r="CA31" i="6" s="1"/>
  <c r="BZ27" i="6"/>
  <c r="BZ31" i="6" s="1"/>
  <c r="BY27" i="6"/>
  <c r="BY31" i="6" s="1"/>
  <c r="BV27" i="6"/>
  <c r="BT27" i="6"/>
  <c r="BT31" i="6" s="1"/>
  <c r="BS27" i="6"/>
  <c r="BS31" i="6" s="1"/>
  <c r="BR27" i="6"/>
  <c r="BR31" i="6" s="1"/>
  <c r="BQ27" i="6"/>
  <c r="BQ31" i="6" s="1"/>
  <c r="BP27" i="6"/>
  <c r="BP31" i="6" s="1"/>
  <c r="BO27" i="6"/>
  <c r="BO31" i="6" s="1"/>
  <c r="BN27" i="6"/>
  <c r="BN31" i="6" s="1"/>
  <c r="BM27" i="6"/>
  <c r="BM31" i="6" s="1"/>
  <c r="BU31" i="6" s="1"/>
  <c r="BD27" i="6"/>
  <c r="BB27" i="6"/>
  <c r="BB31" i="6" s="1"/>
  <c r="BA27" i="6"/>
  <c r="BA31" i="6" s="1"/>
  <c r="AZ27" i="6"/>
  <c r="AZ31" i="6" s="1"/>
  <c r="AY27" i="6"/>
  <c r="AY31" i="6" s="1"/>
  <c r="AX27" i="6"/>
  <c r="AX31" i="6" s="1"/>
  <c r="AW27" i="6"/>
  <c r="AW31" i="6" s="1"/>
  <c r="AV27" i="6"/>
  <c r="AV31" i="6" s="1"/>
  <c r="AU27" i="6"/>
  <c r="AU31" i="6" s="1"/>
  <c r="AL27" i="6"/>
  <c r="AJ27" i="6"/>
  <c r="AJ31" i="6" s="1"/>
  <c r="AI27" i="6"/>
  <c r="AI31" i="6" s="1"/>
  <c r="AH27" i="6"/>
  <c r="AH31" i="6" s="1"/>
  <c r="AG27" i="6"/>
  <c r="AG31" i="6" s="1"/>
  <c r="AF27" i="6"/>
  <c r="AF31" i="6" s="1"/>
  <c r="AE27" i="6"/>
  <c r="AE31" i="6" s="1"/>
  <c r="AD27" i="6"/>
  <c r="AD31" i="6" s="1"/>
  <c r="AC27" i="6"/>
  <c r="AC31" i="6" s="1"/>
  <c r="AK31" i="6" s="1"/>
  <c r="T27" i="6"/>
  <c r="R27" i="6"/>
  <c r="R31" i="6" s="1"/>
  <c r="Q27" i="6"/>
  <c r="Q31" i="6" s="1"/>
  <c r="P27" i="6"/>
  <c r="P31" i="6" s="1"/>
  <c r="O27" i="6"/>
  <c r="O31" i="6" s="1"/>
  <c r="N27" i="6"/>
  <c r="N31" i="6" s="1"/>
  <c r="M27" i="6"/>
  <c r="M31" i="6" s="1"/>
  <c r="L27" i="6"/>
  <c r="L31" i="6" s="1"/>
  <c r="K27" i="6"/>
  <c r="K31" i="6" s="1"/>
  <c r="BL26" i="6"/>
  <c r="BK26" i="6"/>
  <c r="BJ26" i="6"/>
  <c r="BI26" i="6"/>
  <c r="BH26" i="6"/>
  <c r="BG26" i="6"/>
  <c r="BF26" i="6"/>
  <c r="BV26" i="6" s="1"/>
  <c r="BE26" i="6"/>
  <c r="AT26" i="6"/>
  <c r="AS26" i="6"/>
  <c r="AR26" i="6"/>
  <c r="AQ26" i="6"/>
  <c r="AP26" i="6"/>
  <c r="AO26" i="6"/>
  <c r="AN26" i="6"/>
  <c r="BD26" i="6" s="1"/>
  <c r="AM26" i="6"/>
  <c r="AB26" i="6"/>
  <c r="AA26" i="6"/>
  <c r="Z26" i="6"/>
  <c r="Y26" i="6"/>
  <c r="X26" i="6"/>
  <c r="W26" i="6"/>
  <c r="V26" i="6"/>
  <c r="AL26" i="6" s="1"/>
  <c r="U26" i="6"/>
  <c r="J26" i="6"/>
  <c r="I26" i="6"/>
  <c r="H26" i="6"/>
  <c r="G26" i="6"/>
  <c r="F26" i="6"/>
  <c r="E26" i="6"/>
  <c r="D26" i="6"/>
  <c r="T26" i="6" s="1"/>
  <c r="C26" i="6"/>
  <c r="CX25" i="6"/>
  <c r="DF25" i="6" s="1"/>
  <c r="CW25" i="6"/>
  <c r="DE25" i="6" s="1"/>
  <c r="CV25" i="6"/>
  <c r="DD25" i="6" s="1"/>
  <c r="CU25" i="6"/>
  <c r="DC25" i="6" s="1"/>
  <c r="CT25" i="6"/>
  <c r="DB25" i="6" s="1"/>
  <c r="CS25" i="6"/>
  <c r="DA25" i="6" s="1"/>
  <c r="CR25" i="6"/>
  <c r="DH25" i="6" s="1"/>
  <c r="CQ25" i="6"/>
  <c r="CY25" i="6" s="1"/>
  <c r="CF25" i="6"/>
  <c r="CN25" i="6" s="1"/>
  <c r="CE25" i="6"/>
  <c r="CM25" i="6" s="1"/>
  <c r="CD25" i="6"/>
  <c r="CL25" i="6" s="1"/>
  <c r="CC25" i="6"/>
  <c r="CK25" i="6" s="1"/>
  <c r="CB25" i="6"/>
  <c r="CJ25" i="6" s="1"/>
  <c r="CA25" i="6"/>
  <c r="CI25" i="6" s="1"/>
  <c r="BZ25" i="6"/>
  <c r="CP25" i="6" s="1"/>
  <c r="BY25" i="6"/>
  <c r="CG25" i="6" s="1"/>
  <c r="BV25" i="6"/>
  <c r="BT25" i="6"/>
  <c r="BS25" i="6"/>
  <c r="BR25" i="6"/>
  <c r="BQ25" i="6"/>
  <c r="BP25" i="6"/>
  <c r="BO25" i="6"/>
  <c r="BN25" i="6"/>
  <c r="BM25" i="6"/>
  <c r="BU25" i="6" s="1"/>
  <c r="BD25" i="6"/>
  <c r="BB25" i="6"/>
  <c r="BA25" i="6"/>
  <c r="AZ25" i="6"/>
  <c r="AY25" i="6"/>
  <c r="AX25" i="6"/>
  <c r="AW25" i="6"/>
  <c r="AV25" i="6"/>
  <c r="AU25" i="6"/>
  <c r="BC25" i="6" s="1"/>
  <c r="AL25" i="6"/>
  <c r="AJ25" i="6"/>
  <c r="AI25" i="6"/>
  <c r="AH25" i="6"/>
  <c r="AG25" i="6"/>
  <c r="AF25" i="6"/>
  <c r="AE25" i="6"/>
  <c r="AD25" i="6"/>
  <c r="AC25" i="6"/>
  <c r="AK25" i="6" s="1"/>
  <c r="T25" i="6"/>
  <c r="R25" i="6"/>
  <c r="Q25" i="6"/>
  <c r="P25" i="6"/>
  <c r="O25" i="6"/>
  <c r="N25" i="6"/>
  <c r="M25" i="6"/>
  <c r="L25" i="6"/>
  <c r="K25" i="6"/>
  <c r="S25" i="6" s="1"/>
  <c r="CX24" i="6"/>
  <c r="DF24" i="6" s="1"/>
  <c r="CW24" i="6"/>
  <c r="DE24" i="6" s="1"/>
  <c r="CV24" i="6"/>
  <c r="DD24" i="6" s="1"/>
  <c r="CU24" i="6"/>
  <c r="DC24" i="6" s="1"/>
  <c r="CT24" i="6"/>
  <c r="DB24" i="6" s="1"/>
  <c r="CS24" i="6"/>
  <c r="DA24" i="6" s="1"/>
  <c r="CR24" i="6"/>
  <c r="DH24" i="6" s="1"/>
  <c r="CQ24" i="6"/>
  <c r="CY24" i="6" s="1"/>
  <c r="CF24" i="6"/>
  <c r="CN24" i="6" s="1"/>
  <c r="CE24" i="6"/>
  <c r="CM24" i="6" s="1"/>
  <c r="CD24" i="6"/>
  <c r="CL24" i="6" s="1"/>
  <c r="CC24" i="6"/>
  <c r="CK24" i="6" s="1"/>
  <c r="CB24" i="6"/>
  <c r="CJ24" i="6" s="1"/>
  <c r="CA24" i="6"/>
  <c r="CI24" i="6" s="1"/>
  <c r="BZ24" i="6"/>
  <c r="CP24" i="6" s="1"/>
  <c r="BY24" i="6"/>
  <c r="CG24" i="6" s="1"/>
  <c r="BV24" i="6"/>
  <c r="BT24" i="6"/>
  <c r="BS24" i="6"/>
  <c r="BR24" i="6"/>
  <c r="BQ24" i="6"/>
  <c r="BP24" i="6"/>
  <c r="BO24" i="6"/>
  <c r="BN24" i="6"/>
  <c r="BM24" i="6"/>
  <c r="BU24" i="6" s="1"/>
  <c r="BD24" i="6"/>
  <c r="BB24" i="6"/>
  <c r="BA24" i="6"/>
  <c r="AZ24" i="6"/>
  <c r="AY24" i="6"/>
  <c r="AX24" i="6"/>
  <c r="AW24" i="6"/>
  <c r="AV24" i="6"/>
  <c r="AU24" i="6"/>
  <c r="BC24" i="6" s="1"/>
  <c r="AL24" i="6"/>
  <c r="AJ24" i="6"/>
  <c r="AI24" i="6"/>
  <c r="AH24" i="6"/>
  <c r="AG24" i="6"/>
  <c r="AF24" i="6"/>
  <c r="AE24" i="6"/>
  <c r="AD24" i="6"/>
  <c r="AC24" i="6"/>
  <c r="AK24" i="6" s="1"/>
  <c r="T24" i="6"/>
  <c r="R24" i="6"/>
  <c r="Q24" i="6"/>
  <c r="P24" i="6"/>
  <c r="O24" i="6"/>
  <c r="N24" i="6"/>
  <c r="M24" i="6"/>
  <c r="L24" i="6"/>
  <c r="K24" i="6"/>
  <c r="S24" i="6" s="1"/>
  <c r="CX23" i="6"/>
  <c r="DF23" i="6" s="1"/>
  <c r="CW23" i="6"/>
  <c r="DE23" i="6" s="1"/>
  <c r="CV23" i="6"/>
  <c r="DD23" i="6" s="1"/>
  <c r="CU23" i="6"/>
  <c r="DC23" i="6" s="1"/>
  <c r="CT23" i="6"/>
  <c r="DB23" i="6" s="1"/>
  <c r="CS23" i="6"/>
  <c r="DA23" i="6" s="1"/>
  <c r="CR23" i="6"/>
  <c r="DH23" i="6" s="1"/>
  <c r="CQ23" i="6"/>
  <c r="CY23" i="6" s="1"/>
  <c r="CF23" i="6"/>
  <c r="CN23" i="6" s="1"/>
  <c r="CE23" i="6"/>
  <c r="CM23" i="6" s="1"/>
  <c r="CD23" i="6"/>
  <c r="CL23" i="6" s="1"/>
  <c r="CC23" i="6"/>
  <c r="CK23" i="6" s="1"/>
  <c r="CB23" i="6"/>
  <c r="CJ23" i="6" s="1"/>
  <c r="CA23" i="6"/>
  <c r="CI23" i="6" s="1"/>
  <c r="BZ23" i="6"/>
  <c r="CP23" i="6" s="1"/>
  <c r="BY23" i="6"/>
  <c r="CG23" i="6" s="1"/>
  <c r="BV23" i="6"/>
  <c r="BT23" i="6"/>
  <c r="BS23" i="6"/>
  <c r="BR23" i="6"/>
  <c r="BQ23" i="6"/>
  <c r="BP23" i="6"/>
  <c r="BO23" i="6"/>
  <c r="BN23" i="6"/>
  <c r="BM23" i="6"/>
  <c r="BU23" i="6" s="1"/>
  <c r="BD23" i="6"/>
  <c r="BB23" i="6"/>
  <c r="BA23" i="6"/>
  <c r="AZ23" i="6"/>
  <c r="AY23" i="6"/>
  <c r="AX23" i="6"/>
  <c r="AW23" i="6"/>
  <c r="AV23" i="6"/>
  <c r="AU23" i="6"/>
  <c r="BC23" i="6" s="1"/>
  <c r="AL23" i="6"/>
  <c r="AJ23" i="6"/>
  <c r="AI23" i="6"/>
  <c r="AH23" i="6"/>
  <c r="AG23" i="6"/>
  <c r="AF23" i="6"/>
  <c r="AE23" i="6"/>
  <c r="AD23" i="6"/>
  <c r="AC23" i="6"/>
  <c r="AK23" i="6" s="1"/>
  <c r="T23" i="6"/>
  <c r="R23" i="6"/>
  <c r="Q23" i="6"/>
  <c r="P23" i="6"/>
  <c r="O23" i="6"/>
  <c r="N23" i="6"/>
  <c r="M23" i="6"/>
  <c r="L23" i="6"/>
  <c r="K23" i="6"/>
  <c r="S23" i="6" s="1"/>
  <c r="CX22" i="6"/>
  <c r="CX26" i="6" s="1"/>
  <c r="CW22" i="6"/>
  <c r="CW26" i="6" s="1"/>
  <c r="CV22" i="6"/>
  <c r="CV26" i="6" s="1"/>
  <c r="CU22" i="6"/>
  <c r="CU26" i="6" s="1"/>
  <c r="CT22" i="6"/>
  <c r="CT26" i="6" s="1"/>
  <c r="CS22" i="6"/>
  <c r="CS26" i="6" s="1"/>
  <c r="CR22" i="6"/>
  <c r="CR26" i="6" s="1"/>
  <c r="CQ22" i="6"/>
  <c r="CQ26" i="6" s="1"/>
  <c r="CF22" i="6"/>
  <c r="CF26" i="6" s="1"/>
  <c r="CE22" i="6"/>
  <c r="CE26" i="6" s="1"/>
  <c r="CD22" i="6"/>
  <c r="CD26" i="6" s="1"/>
  <c r="CC22" i="6"/>
  <c r="CC26" i="6" s="1"/>
  <c r="CB22" i="6"/>
  <c r="CB26" i="6" s="1"/>
  <c r="CA22" i="6"/>
  <c r="CA26" i="6" s="1"/>
  <c r="BZ22" i="6"/>
  <c r="BZ26" i="6" s="1"/>
  <c r="BY22" i="6"/>
  <c r="BY26" i="6" s="1"/>
  <c r="BV22" i="6"/>
  <c r="BT22" i="6"/>
  <c r="BT26" i="6" s="1"/>
  <c r="BS22" i="6"/>
  <c r="BS26" i="6" s="1"/>
  <c r="BR22" i="6"/>
  <c r="BR26" i="6" s="1"/>
  <c r="BQ22" i="6"/>
  <c r="BQ26" i="6" s="1"/>
  <c r="BP22" i="6"/>
  <c r="BP26" i="6" s="1"/>
  <c r="BO22" i="6"/>
  <c r="BO26" i="6" s="1"/>
  <c r="BN22" i="6"/>
  <c r="BN26" i="6" s="1"/>
  <c r="BM22" i="6"/>
  <c r="BM26" i="6" s="1"/>
  <c r="BU26" i="6" s="1"/>
  <c r="BD22" i="6"/>
  <c r="BB22" i="6"/>
  <c r="BB26" i="6" s="1"/>
  <c r="BA22" i="6"/>
  <c r="BA26" i="6" s="1"/>
  <c r="AZ22" i="6"/>
  <c r="AZ26" i="6" s="1"/>
  <c r="AY22" i="6"/>
  <c r="AY26" i="6" s="1"/>
  <c r="AX22" i="6"/>
  <c r="AX26" i="6" s="1"/>
  <c r="AW22" i="6"/>
  <c r="AW26" i="6" s="1"/>
  <c r="AV22" i="6"/>
  <c r="AV26" i="6" s="1"/>
  <c r="AU22" i="6"/>
  <c r="AU26" i="6" s="1"/>
  <c r="AL22" i="6"/>
  <c r="AJ22" i="6"/>
  <c r="AJ26" i="6" s="1"/>
  <c r="AI22" i="6"/>
  <c r="AI26" i="6" s="1"/>
  <c r="AH22" i="6"/>
  <c r="AH26" i="6" s="1"/>
  <c r="AG22" i="6"/>
  <c r="AG26" i="6" s="1"/>
  <c r="AF22" i="6"/>
  <c r="AF26" i="6" s="1"/>
  <c r="AE22" i="6"/>
  <c r="AE26" i="6" s="1"/>
  <c r="AD22" i="6"/>
  <c r="AD26" i="6" s="1"/>
  <c r="AC22" i="6"/>
  <c r="AC26" i="6" s="1"/>
  <c r="AK26" i="6" s="1"/>
  <c r="T22" i="6"/>
  <c r="R22" i="6"/>
  <c r="R26" i="6" s="1"/>
  <c r="Q22" i="6"/>
  <c r="Q26" i="6" s="1"/>
  <c r="P22" i="6"/>
  <c r="P26" i="6" s="1"/>
  <c r="O22" i="6"/>
  <c r="O26" i="6" s="1"/>
  <c r="N22" i="6"/>
  <c r="N26" i="6" s="1"/>
  <c r="M22" i="6"/>
  <c r="M26" i="6" s="1"/>
  <c r="L22" i="6"/>
  <c r="L26" i="6" s="1"/>
  <c r="K22" i="6"/>
  <c r="K26" i="6" s="1"/>
  <c r="BL21" i="6"/>
  <c r="BK21" i="6"/>
  <c r="BJ21" i="6"/>
  <c r="BI21" i="6"/>
  <c r="BH21" i="6"/>
  <c r="BG21" i="6"/>
  <c r="BF21" i="6"/>
  <c r="BV21" i="6" s="1"/>
  <c r="BE21" i="6"/>
  <c r="AT21" i="6"/>
  <c r="AS21" i="6"/>
  <c r="AR21" i="6"/>
  <c r="AQ21" i="6"/>
  <c r="AP21" i="6"/>
  <c r="AO21" i="6"/>
  <c r="AN21" i="6"/>
  <c r="BD21" i="6" s="1"/>
  <c r="AM21" i="6"/>
  <c r="AB21" i="6"/>
  <c r="AA21" i="6"/>
  <c r="Z21" i="6"/>
  <c r="Y21" i="6"/>
  <c r="X21" i="6"/>
  <c r="W21" i="6"/>
  <c r="V21" i="6"/>
  <c r="AL21" i="6" s="1"/>
  <c r="U21" i="6"/>
  <c r="J21" i="6"/>
  <c r="I21" i="6"/>
  <c r="H21" i="6"/>
  <c r="G21" i="6"/>
  <c r="F21" i="6"/>
  <c r="E21" i="6"/>
  <c r="D21" i="6"/>
  <c r="T21" i="6" s="1"/>
  <c r="C21" i="6"/>
  <c r="CX20" i="6"/>
  <c r="DF20" i="6" s="1"/>
  <c r="CW20" i="6"/>
  <c r="DE20" i="6" s="1"/>
  <c r="CV20" i="6"/>
  <c r="DD20" i="6" s="1"/>
  <c r="CU20" i="6"/>
  <c r="DC20" i="6" s="1"/>
  <c r="CT20" i="6"/>
  <c r="DB20" i="6" s="1"/>
  <c r="CS20" i="6"/>
  <c r="DA20" i="6" s="1"/>
  <c r="CR20" i="6"/>
  <c r="DH20" i="6" s="1"/>
  <c r="CQ20" i="6"/>
  <c r="CY20" i="6" s="1"/>
  <c r="CF20" i="6"/>
  <c r="CN20" i="6" s="1"/>
  <c r="CE20" i="6"/>
  <c r="CM20" i="6" s="1"/>
  <c r="CD20" i="6"/>
  <c r="CL20" i="6" s="1"/>
  <c r="CC20" i="6"/>
  <c r="CK20" i="6" s="1"/>
  <c r="CB20" i="6"/>
  <c r="CJ20" i="6" s="1"/>
  <c r="CA20" i="6"/>
  <c r="CI20" i="6" s="1"/>
  <c r="BZ20" i="6"/>
  <c r="CP20" i="6" s="1"/>
  <c r="BY20" i="6"/>
  <c r="CG20" i="6" s="1"/>
  <c r="BV20" i="6"/>
  <c r="BT20" i="6"/>
  <c r="BS20" i="6"/>
  <c r="BR20" i="6"/>
  <c r="BQ20" i="6"/>
  <c r="BP20" i="6"/>
  <c r="BO20" i="6"/>
  <c r="BN20" i="6"/>
  <c r="BM20" i="6"/>
  <c r="BU20" i="6" s="1"/>
  <c r="BD20" i="6"/>
  <c r="BB20" i="6"/>
  <c r="BA20" i="6"/>
  <c r="AZ20" i="6"/>
  <c r="AY20" i="6"/>
  <c r="AX20" i="6"/>
  <c r="AW20" i="6"/>
  <c r="AV20" i="6"/>
  <c r="AU20" i="6"/>
  <c r="BC20" i="6" s="1"/>
  <c r="AL20" i="6"/>
  <c r="AJ20" i="6"/>
  <c r="AI20" i="6"/>
  <c r="AH20" i="6"/>
  <c r="AG20" i="6"/>
  <c r="AF20" i="6"/>
  <c r="AE20" i="6"/>
  <c r="AD20" i="6"/>
  <c r="AC20" i="6"/>
  <c r="AK20" i="6" s="1"/>
  <c r="T20" i="6"/>
  <c r="R20" i="6"/>
  <c r="Q20" i="6"/>
  <c r="P20" i="6"/>
  <c r="O20" i="6"/>
  <c r="N20" i="6"/>
  <c r="M20" i="6"/>
  <c r="L20" i="6"/>
  <c r="K20" i="6"/>
  <c r="S20" i="6" s="1"/>
  <c r="CX19" i="6"/>
  <c r="DF19" i="6" s="1"/>
  <c r="CW19" i="6"/>
  <c r="DE19" i="6" s="1"/>
  <c r="CV19" i="6"/>
  <c r="DD19" i="6" s="1"/>
  <c r="CU19" i="6"/>
  <c r="DC19" i="6" s="1"/>
  <c r="CT19" i="6"/>
  <c r="DB19" i="6" s="1"/>
  <c r="CS19" i="6"/>
  <c r="DA19" i="6" s="1"/>
  <c r="CR19" i="6"/>
  <c r="DH19" i="6" s="1"/>
  <c r="CQ19" i="6"/>
  <c r="CY19" i="6" s="1"/>
  <c r="CF19" i="6"/>
  <c r="CN19" i="6" s="1"/>
  <c r="CE19" i="6"/>
  <c r="CM19" i="6" s="1"/>
  <c r="CD19" i="6"/>
  <c r="CL19" i="6" s="1"/>
  <c r="CC19" i="6"/>
  <c r="CK19" i="6" s="1"/>
  <c r="CB19" i="6"/>
  <c r="CJ19" i="6" s="1"/>
  <c r="CA19" i="6"/>
  <c r="CI19" i="6" s="1"/>
  <c r="BZ19" i="6"/>
  <c r="CP19" i="6" s="1"/>
  <c r="BY19" i="6"/>
  <c r="CG19" i="6" s="1"/>
  <c r="BV19" i="6"/>
  <c r="BT19" i="6"/>
  <c r="BS19" i="6"/>
  <c r="BR19" i="6"/>
  <c r="BQ19" i="6"/>
  <c r="BP19" i="6"/>
  <c r="BO19" i="6"/>
  <c r="BN19" i="6"/>
  <c r="BM19" i="6"/>
  <c r="BU19" i="6" s="1"/>
  <c r="BD19" i="6"/>
  <c r="BB19" i="6"/>
  <c r="BA19" i="6"/>
  <c r="AZ19" i="6"/>
  <c r="AY19" i="6"/>
  <c r="AX19" i="6"/>
  <c r="AW19" i="6"/>
  <c r="AV19" i="6"/>
  <c r="AU19" i="6"/>
  <c r="BC19" i="6" s="1"/>
  <c r="AL19" i="6"/>
  <c r="AJ19" i="6"/>
  <c r="AI19" i="6"/>
  <c r="AH19" i="6"/>
  <c r="AG19" i="6"/>
  <c r="AF19" i="6"/>
  <c r="AE19" i="6"/>
  <c r="AD19" i="6"/>
  <c r="AC19" i="6"/>
  <c r="AK19" i="6" s="1"/>
  <c r="T19" i="6"/>
  <c r="R19" i="6"/>
  <c r="Q19" i="6"/>
  <c r="P19" i="6"/>
  <c r="O19" i="6"/>
  <c r="N19" i="6"/>
  <c r="M19" i="6"/>
  <c r="L19" i="6"/>
  <c r="K19" i="6"/>
  <c r="S19" i="6" s="1"/>
  <c r="CX18" i="6"/>
  <c r="DF18" i="6" s="1"/>
  <c r="CW18" i="6"/>
  <c r="DE18" i="6" s="1"/>
  <c r="CV18" i="6"/>
  <c r="DD18" i="6" s="1"/>
  <c r="CU18" i="6"/>
  <c r="DC18" i="6" s="1"/>
  <c r="CT18" i="6"/>
  <c r="DB18" i="6" s="1"/>
  <c r="CS18" i="6"/>
  <c r="DA18" i="6" s="1"/>
  <c r="CR18" i="6"/>
  <c r="DH18" i="6" s="1"/>
  <c r="CQ18" i="6"/>
  <c r="CY18" i="6" s="1"/>
  <c r="CF18" i="6"/>
  <c r="CN18" i="6" s="1"/>
  <c r="CE18" i="6"/>
  <c r="CM18" i="6" s="1"/>
  <c r="CD18" i="6"/>
  <c r="CL18" i="6" s="1"/>
  <c r="CC18" i="6"/>
  <c r="CK18" i="6" s="1"/>
  <c r="CB18" i="6"/>
  <c r="CJ18" i="6" s="1"/>
  <c r="CA18" i="6"/>
  <c r="CI18" i="6" s="1"/>
  <c r="BZ18" i="6"/>
  <c r="CP18" i="6" s="1"/>
  <c r="BY18" i="6"/>
  <c r="CG18" i="6" s="1"/>
  <c r="BV18" i="6"/>
  <c r="BT18" i="6"/>
  <c r="BS18" i="6"/>
  <c r="BR18" i="6"/>
  <c r="BQ18" i="6"/>
  <c r="BP18" i="6"/>
  <c r="BO18" i="6"/>
  <c r="BN18" i="6"/>
  <c r="BM18" i="6"/>
  <c r="BU18" i="6" s="1"/>
  <c r="BD18" i="6"/>
  <c r="BB18" i="6"/>
  <c r="BA18" i="6"/>
  <c r="AZ18" i="6"/>
  <c r="AY18" i="6"/>
  <c r="AX18" i="6"/>
  <c r="AW18" i="6"/>
  <c r="AV18" i="6"/>
  <c r="AU18" i="6"/>
  <c r="BC18" i="6" s="1"/>
  <c r="AL18" i="6"/>
  <c r="AJ18" i="6"/>
  <c r="AI18" i="6"/>
  <c r="AH18" i="6"/>
  <c r="AG18" i="6"/>
  <c r="AF18" i="6"/>
  <c r="AE18" i="6"/>
  <c r="AD18" i="6"/>
  <c r="AC18" i="6"/>
  <c r="AK18" i="6" s="1"/>
  <c r="T18" i="6"/>
  <c r="R18" i="6"/>
  <c r="Q18" i="6"/>
  <c r="P18" i="6"/>
  <c r="O18" i="6"/>
  <c r="N18" i="6"/>
  <c r="M18" i="6"/>
  <c r="L18" i="6"/>
  <c r="K18" i="6"/>
  <c r="S18" i="6" s="1"/>
  <c r="CX17" i="6"/>
  <c r="CX21" i="6" s="1"/>
  <c r="CW17" i="6"/>
  <c r="CW21" i="6" s="1"/>
  <c r="CV17" i="6"/>
  <c r="CV21" i="6" s="1"/>
  <c r="CU17" i="6"/>
  <c r="CU21" i="6" s="1"/>
  <c r="CT17" i="6"/>
  <c r="CT21" i="6" s="1"/>
  <c r="CS17" i="6"/>
  <c r="CS21" i="6" s="1"/>
  <c r="CR17" i="6"/>
  <c r="CR21" i="6" s="1"/>
  <c r="CQ17" i="6"/>
  <c r="CQ21" i="6" s="1"/>
  <c r="CF17" i="6"/>
  <c r="CF21" i="6" s="1"/>
  <c r="CE17" i="6"/>
  <c r="CE21" i="6" s="1"/>
  <c r="CD17" i="6"/>
  <c r="CD21" i="6" s="1"/>
  <c r="CC17" i="6"/>
  <c r="CC21" i="6" s="1"/>
  <c r="CB17" i="6"/>
  <c r="CB21" i="6" s="1"/>
  <c r="CA17" i="6"/>
  <c r="CA21" i="6" s="1"/>
  <c r="BZ17" i="6"/>
  <c r="BZ21" i="6" s="1"/>
  <c r="BY17" i="6"/>
  <c r="BY21" i="6" s="1"/>
  <c r="BV17" i="6"/>
  <c r="BT17" i="6"/>
  <c r="BT21" i="6" s="1"/>
  <c r="BS17" i="6"/>
  <c r="BS21" i="6" s="1"/>
  <c r="BR17" i="6"/>
  <c r="BR21" i="6" s="1"/>
  <c r="BQ17" i="6"/>
  <c r="BQ21" i="6" s="1"/>
  <c r="BP17" i="6"/>
  <c r="BP21" i="6" s="1"/>
  <c r="BO17" i="6"/>
  <c r="BO21" i="6" s="1"/>
  <c r="BN17" i="6"/>
  <c r="BN21" i="6" s="1"/>
  <c r="BM17" i="6"/>
  <c r="BM21" i="6" s="1"/>
  <c r="BU21" i="6" s="1"/>
  <c r="BD17" i="6"/>
  <c r="BB17" i="6"/>
  <c r="BB21" i="6" s="1"/>
  <c r="BA17" i="6"/>
  <c r="BA21" i="6" s="1"/>
  <c r="AZ17" i="6"/>
  <c r="AZ21" i="6" s="1"/>
  <c r="AY17" i="6"/>
  <c r="AY21" i="6" s="1"/>
  <c r="AX17" i="6"/>
  <c r="AX21" i="6" s="1"/>
  <c r="AW17" i="6"/>
  <c r="AW21" i="6" s="1"/>
  <c r="AV17" i="6"/>
  <c r="AV21" i="6" s="1"/>
  <c r="AU17" i="6"/>
  <c r="AU21" i="6" s="1"/>
  <c r="AL17" i="6"/>
  <c r="AJ17" i="6"/>
  <c r="AJ21" i="6" s="1"/>
  <c r="AI17" i="6"/>
  <c r="AI21" i="6" s="1"/>
  <c r="AH17" i="6"/>
  <c r="AH21" i="6" s="1"/>
  <c r="AG17" i="6"/>
  <c r="AG21" i="6" s="1"/>
  <c r="AF17" i="6"/>
  <c r="AF21" i="6" s="1"/>
  <c r="AE17" i="6"/>
  <c r="AE21" i="6" s="1"/>
  <c r="AD17" i="6"/>
  <c r="AD21" i="6" s="1"/>
  <c r="AC17" i="6"/>
  <c r="AC21" i="6" s="1"/>
  <c r="AK21" i="6" s="1"/>
  <c r="T17" i="6"/>
  <c r="R17" i="6"/>
  <c r="R21" i="6" s="1"/>
  <c r="Q17" i="6"/>
  <c r="Q21" i="6" s="1"/>
  <c r="P17" i="6"/>
  <c r="P21" i="6" s="1"/>
  <c r="O17" i="6"/>
  <c r="O21" i="6" s="1"/>
  <c r="N17" i="6"/>
  <c r="N21" i="6" s="1"/>
  <c r="M17" i="6"/>
  <c r="M21" i="6" s="1"/>
  <c r="L17" i="6"/>
  <c r="L21" i="6" s="1"/>
  <c r="K17" i="6"/>
  <c r="K21" i="6" s="1"/>
  <c r="BL16" i="6"/>
  <c r="BL133" i="6" s="1"/>
  <c r="BK16" i="6"/>
  <c r="BK133" i="6" s="1"/>
  <c r="BJ16" i="6"/>
  <c r="BJ133" i="6" s="1"/>
  <c r="BI16" i="6"/>
  <c r="BI133" i="6" s="1"/>
  <c r="BH16" i="6"/>
  <c r="BH133" i="6" s="1"/>
  <c r="BG16" i="6"/>
  <c r="BG133" i="6" s="1"/>
  <c r="BF16" i="6"/>
  <c r="BF133" i="6" s="1"/>
  <c r="BE16" i="6"/>
  <c r="BE133" i="6" s="1"/>
  <c r="AT16" i="6"/>
  <c r="AT133" i="6" s="1"/>
  <c r="AS16" i="6"/>
  <c r="AS133" i="6" s="1"/>
  <c r="AR16" i="6"/>
  <c r="AR133" i="6" s="1"/>
  <c r="AQ16" i="6"/>
  <c r="AQ133" i="6" s="1"/>
  <c r="AP16" i="6"/>
  <c r="AP133" i="6" s="1"/>
  <c r="AO16" i="6"/>
  <c r="AO133" i="6" s="1"/>
  <c r="AN16" i="6"/>
  <c r="AN133" i="6" s="1"/>
  <c r="AM16" i="6"/>
  <c r="AM133" i="6" s="1"/>
  <c r="AB16" i="6"/>
  <c r="AB133" i="6" s="1"/>
  <c r="AA16" i="6"/>
  <c r="AA133" i="6" s="1"/>
  <c r="Z16" i="6"/>
  <c r="Z133" i="6" s="1"/>
  <c r="Y16" i="6"/>
  <c r="Y133" i="6" s="1"/>
  <c r="X16" i="6"/>
  <c r="X133" i="6" s="1"/>
  <c r="W16" i="6"/>
  <c r="W133" i="6" s="1"/>
  <c r="V16" i="6"/>
  <c r="V133" i="6" s="1"/>
  <c r="U16" i="6"/>
  <c r="U133" i="6" s="1"/>
  <c r="J16" i="6"/>
  <c r="J133" i="6" s="1"/>
  <c r="I16" i="6"/>
  <c r="I133" i="6" s="1"/>
  <c r="H16" i="6"/>
  <c r="H133" i="6" s="1"/>
  <c r="G16" i="6"/>
  <c r="G133" i="6" s="1"/>
  <c r="F16" i="6"/>
  <c r="F133" i="6" s="1"/>
  <c r="E16" i="6"/>
  <c r="E133" i="6" s="1"/>
  <c r="D16" i="6"/>
  <c r="D133" i="6" s="1"/>
  <c r="C16" i="6"/>
  <c r="C133" i="6" s="1"/>
  <c r="CX15" i="6"/>
  <c r="DF15" i="6" s="1"/>
  <c r="CW15" i="6"/>
  <c r="DE15" i="6" s="1"/>
  <c r="CV15" i="6"/>
  <c r="DD15" i="6" s="1"/>
  <c r="CU15" i="6"/>
  <c r="DC15" i="6" s="1"/>
  <c r="CT15" i="6"/>
  <c r="DB15" i="6" s="1"/>
  <c r="CS15" i="6"/>
  <c r="DA15" i="6" s="1"/>
  <c r="CR15" i="6"/>
  <c r="DH15" i="6" s="1"/>
  <c r="CQ15" i="6"/>
  <c r="CY15" i="6" s="1"/>
  <c r="CF15" i="6"/>
  <c r="CN15" i="6" s="1"/>
  <c r="CE15" i="6"/>
  <c r="CM15" i="6" s="1"/>
  <c r="CD15" i="6"/>
  <c r="CL15" i="6" s="1"/>
  <c r="CC15" i="6"/>
  <c r="CK15" i="6" s="1"/>
  <c r="CB15" i="6"/>
  <c r="CJ15" i="6" s="1"/>
  <c r="CA15" i="6"/>
  <c r="CI15" i="6" s="1"/>
  <c r="BZ15" i="6"/>
  <c r="CP15" i="6" s="1"/>
  <c r="BY15" i="6"/>
  <c r="CG15" i="6" s="1"/>
  <c r="BV15" i="6"/>
  <c r="BT15" i="6"/>
  <c r="BS15" i="6"/>
  <c r="BR15" i="6"/>
  <c r="BQ15" i="6"/>
  <c r="BP15" i="6"/>
  <c r="BO15" i="6"/>
  <c r="BN15" i="6"/>
  <c r="BM15" i="6"/>
  <c r="BU15" i="6" s="1"/>
  <c r="BD15" i="6"/>
  <c r="BB15" i="6"/>
  <c r="BA15" i="6"/>
  <c r="AZ15" i="6"/>
  <c r="AY15" i="6"/>
  <c r="AX15" i="6"/>
  <c r="AW15" i="6"/>
  <c r="AV15" i="6"/>
  <c r="AU15" i="6"/>
  <c r="BC15" i="6" s="1"/>
  <c r="AL15" i="6"/>
  <c r="AJ15" i="6"/>
  <c r="AI15" i="6"/>
  <c r="AH15" i="6"/>
  <c r="AG15" i="6"/>
  <c r="AF15" i="6"/>
  <c r="AE15" i="6"/>
  <c r="AD15" i="6"/>
  <c r="AC15" i="6"/>
  <c r="AK15" i="6" s="1"/>
  <c r="T15" i="6"/>
  <c r="R15" i="6"/>
  <c r="Q15" i="6"/>
  <c r="P15" i="6"/>
  <c r="O15" i="6"/>
  <c r="N15" i="6"/>
  <c r="M15" i="6"/>
  <c r="L15" i="6"/>
  <c r="K15" i="6"/>
  <c r="S15" i="6" s="1"/>
  <c r="CX14" i="6"/>
  <c r="DF14" i="6" s="1"/>
  <c r="CW14" i="6"/>
  <c r="DE14" i="6" s="1"/>
  <c r="CV14" i="6"/>
  <c r="DD14" i="6" s="1"/>
  <c r="CU14" i="6"/>
  <c r="DC14" i="6" s="1"/>
  <c r="CT14" i="6"/>
  <c r="DB14" i="6" s="1"/>
  <c r="CS14" i="6"/>
  <c r="DA14" i="6" s="1"/>
  <c r="CR14" i="6"/>
  <c r="DH14" i="6" s="1"/>
  <c r="CQ14" i="6"/>
  <c r="CY14" i="6" s="1"/>
  <c r="CF14" i="6"/>
  <c r="CN14" i="6" s="1"/>
  <c r="CE14" i="6"/>
  <c r="CM14" i="6" s="1"/>
  <c r="CD14" i="6"/>
  <c r="CL14" i="6" s="1"/>
  <c r="CC14" i="6"/>
  <c r="CK14" i="6" s="1"/>
  <c r="CB14" i="6"/>
  <c r="CJ14" i="6" s="1"/>
  <c r="CA14" i="6"/>
  <c r="CI14" i="6" s="1"/>
  <c r="BZ14" i="6"/>
  <c r="CP14" i="6" s="1"/>
  <c r="BY14" i="6"/>
  <c r="CG14" i="6" s="1"/>
  <c r="BV14" i="6"/>
  <c r="BT14" i="6"/>
  <c r="BS14" i="6"/>
  <c r="BR14" i="6"/>
  <c r="BQ14" i="6"/>
  <c r="BP14" i="6"/>
  <c r="BO14" i="6"/>
  <c r="BN14" i="6"/>
  <c r="BM14" i="6"/>
  <c r="BU14" i="6" s="1"/>
  <c r="BD14" i="6"/>
  <c r="BB14" i="6"/>
  <c r="BA14" i="6"/>
  <c r="AZ14" i="6"/>
  <c r="AY14" i="6"/>
  <c r="AX14" i="6"/>
  <c r="AW14" i="6"/>
  <c r="AV14" i="6"/>
  <c r="AU14" i="6"/>
  <c r="BC14" i="6" s="1"/>
  <c r="AL14" i="6"/>
  <c r="AJ14" i="6"/>
  <c r="AI14" i="6"/>
  <c r="AH14" i="6"/>
  <c r="AG14" i="6"/>
  <c r="AF14" i="6"/>
  <c r="AE14" i="6"/>
  <c r="AD14" i="6"/>
  <c r="AC14" i="6"/>
  <c r="AK14" i="6" s="1"/>
  <c r="T14" i="6"/>
  <c r="R14" i="6"/>
  <c r="Q14" i="6"/>
  <c r="P14" i="6"/>
  <c r="O14" i="6"/>
  <c r="N14" i="6"/>
  <c r="M14" i="6"/>
  <c r="L14" i="6"/>
  <c r="K14" i="6"/>
  <c r="S14" i="6" s="1"/>
  <c r="CX13" i="6"/>
  <c r="DF13" i="6" s="1"/>
  <c r="CW13" i="6"/>
  <c r="DE13" i="6" s="1"/>
  <c r="CV13" i="6"/>
  <c r="DD13" i="6" s="1"/>
  <c r="CU13" i="6"/>
  <c r="DC13" i="6" s="1"/>
  <c r="CT13" i="6"/>
  <c r="DB13" i="6" s="1"/>
  <c r="CS13" i="6"/>
  <c r="DA13" i="6" s="1"/>
  <c r="CR13" i="6"/>
  <c r="DH13" i="6" s="1"/>
  <c r="CQ13" i="6"/>
  <c r="CY13" i="6" s="1"/>
  <c r="CF13" i="6"/>
  <c r="CN13" i="6" s="1"/>
  <c r="CE13" i="6"/>
  <c r="CM13" i="6" s="1"/>
  <c r="CD13" i="6"/>
  <c r="CL13" i="6" s="1"/>
  <c r="CC13" i="6"/>
  <c r="CK13" i="6" s="1"/>
  <c r="CB13" i="6"/>
  <c r="CJ13" i="6" s="1"/>
  <c r="CA13" i="6"/>
  <c r="CI13" i="6" s="1"/>
  <c r="BZ13" i="6"/>
  <c r="CP13" i="6" s="1"/>
  <c r="BY13" i="6"/>
  <c r="CG13" i="6" s="1"/>
  <c r="BV13" i="6"/>
  <c r="BT13" i="6"/>
  <c r="BS13" i="6"/>
  <c r="BR13" i="6"/>
  <c r="BQ13" i="6"/>
  <c r="BP13" i="6"/>
  <c r="BO13" i="6"/>
  <c r="BN13" i="6"/>
  <c r="BM13" i="6"/>
  <c r="BU13" i="6" s="1"/>
  <c r="BD13" i="6"/>
  <c r="BB13" i="6"/>
  <c r="BA13" i="6"/>
  <c r="AZ13" i="6"/>
  <c r="AY13" i="6"/>
  <c r="AX13" i="6"/>
  <c r="AW13" i="6"/>
  <c r="AV13" i="6"/>
  <c r="AU13" i="6"/>
  <c r="BC13" i="6" s="1"/>
  <c r="AL13" i="6"/>
  <c r="AJ13" i="6"/>
  <c r="AI13" i="6"/>
  <c r="AH13" i="6"/>
  <c r="AG13" i="6"/>
  <c r="AF13" i="6"/>
  <c r="AE13" i="6"/>
  <c r="AD13" i="6"/>
  <c r="AC13" i="6"/>
  <c r="AK13" i="6" s="1"/>
  <c r="T13" i="6"/>
  <c r="R13" i="6"/>
  <c r="Q13" i="6"/>
  <c r="P13" i="6"/>
  <c r="O13" i="6"/>
  <c r="N13" i="6"/>
  <c r="M13" i="6"/>
  <c r="L13" i="6"/>
  <c r="K13" i="6"/>
  <c r="S13" i="6" s="1"/>
  <c r="CX12" i="6"/>
  <c r="CX16" i="6" s="1"/>
  <c r="CX133" i="6" s="1"/>
  <c r="CW12" i="6"/>
  <c r="CW16" i="6" s="1"/>
  <c r="CW133" i="6" s="1"/>
  <c r="CV12" i="6"/>
  <c r="CV16" i="6" s="1"/>
  <c r="CV133" i="6" s="1"/>
  <c r="CU12" i="6"/>
  <c r="CU16" i="6" s="1"/>
  <c r="CU133" i="6" s="1"/>
  <c r="CT12" i="6"/>
  <c r="CT16" i="6" s="1"/>
  <c r="CT133" i="6" s="1"/>
  <c r="CS12" i="6"/>
  <c r="CS16" i="6" s="1"/>
  <c r="CS133" i="6" s="1"/>
  <c r="CR12" i="6"/>
  <c r="CR16" i="6" s="1"/>
  <c r="CR133" i="6" s="1"/>
  <c r="CQ12" i="6"/>
  <c r="CQ16" i="6" s="1"/>
  <c r="CF12" i="6"/>
  <c r="CF16" i="6" s="1"/>
  <c r="CF133" i="6" s="1"/>
  <c r="CE12" i="6"/>
  <c r="CE16" i="6" s="1"/>
  <c r="CE133" i="6" s="1"/>
  <c r="CD12" i="6"/>
  <c r="CD16" i="6" s="1"/>
  <c r="CD133" i="6" s="1"/>
  <c r="CC12" i="6"/>
  <c r="CC16" i="6" s="1"/>
  <c r="CC133" i="6" s="1"/>
  <c r="CB12" i="6"/>
  <c r="CB16" i="6" s="1"/>
  <c r="CB133" i="6" s="1"/>
  <c r="CA12" i="6"/>
  <c r="CA16" i="6" s="1"/>
  <c r="CA133" i="6" s="1"/>
  <c r="BZ12" i="6"/>
  <c r="BZ16" i="6" s="1"/>
  <c r="BZ133" i="6" s="1"/>
  <c r="BY12" i="6"/>
  <c r="BY16" i="6" s="1"/>
  <c r="BV12" i="6"/>
  <c r="BT12" i="6"/>
  <c r="BT16" i="6" s="1"/>
  <c r="BT133" i="6" s="1"/>
  <c r="BS12" i="6"/>
  <c r="BS16" i="6" s="1"/>
  <c r="BS133" i="6" s="1"/>
  <c r="BR12" i="6"/>
  <c r="BR16" i="6" s="1"/>
  <c r="BR133" i="6" s="1"/>
  <c r="BQ12" i="6"/>
  <c r="BQ16" i="6" s="1"/>
  <c r="BQ133" i="6" s="1"/>
  <c r="BP12" i="6"/>
  <c r="BP16" i="6" s="1"/>
  <c r="BP133" i="6" s="1"/>
  <c r="BO12" i="6"/>
  <c r="BO16" i="6" s="1"/>
  <c r="BO133" i="6" s="1"/>
  <c r="BN12" i="6"/>
  <c r="BN16" i="6" s="1"/>
  <c r="BN133" i="6" s="1"/>
  <c r="BM12" i="6"/>
  <c r="BM16" i="6" s="1"/>
  <c r="BD12" i="6"/>
  <c r="BB12" i="6"/>
  <c r="BB16" i="6" s="1"/>
  <c r="BB133" i="6" s="1"/>
  <c r="BA12" i="6"/>
  <c r="BA16" i="6" s="1"/>
  <c r="BA133" i="6" s="1"/>
  <c r="AZ12" i="6"/>
  <c r="AZ16" i="6" s="1"/>
  <c r="AZ133" i="6" s="1"/>
  <c r="AY12" i="6"/>
  <c r="AY16" i="6" s="1"/>
  <c r="AY133" i="6" s="1"/>
  <c r="AX12" i="6"/>
  <c r="AX16" i="6" s="1"/>
  <c r="AX133" i="6" s="1"/>
  <c r="AW12" i="6"/>
  <c r="AW16" i="6" s="1"/>
  <c r="AW133" i="6" s="1"/>
  <c r="AV12" i="6"/>
  <c r="AV16" i="6" s="1"/>
  <c r="AV133" i="6" s="1"/>
  <c r="AU12" i="6"/>
  <c r="AU16" i="6" s="1"/>
  <c r="AL12" i="6"/>
  <c r="AJ12" i="6"/>
  <c r="AJ16" i="6" s="1"/>
  <c r="AJ133" i="6" s="1"/>
  <c r="AI12" i="6"/>
  <c r="AI16" i="6" s="1"/>
  <c r="AI133" i="6" s="1"/>
  <c r="AH12" i="6"/>
  <c r="AH16" i="6" s="1"/>
  <c r="AH133" i="6" s="1"/>
  <c r="AG12" i="6"/>
  <c r="AG16" i="6" s="1"/>
  <c r="AG133" i="6" s="1"/>
  <c r="AF12" i="6"/>
  <c r="AF16" i="6" s="1"/>
  <c r="AF133" i="6" s="1"/>
  <c r="AE12" i="6"/>
  <c r="AE16" i="6" s="1"/>
  <c r="AE133" i="6" s="1"/>
  <c r="AD12" i="6"/>
  <c r="AD16" i="6" s="1"/>
  <c r="AD133" i="6" s="1"/>
  <c r="AC12" i="6"/>
  <c r="AC16" i="6" s="1"/>
  <c r="T12" i="6"/>
  <c r="R12" i="6"/>
  <c r="R16" i="6" s="1"/>
  <c r="R133" i="6" s="1"/>
  <c r="Q12" i="6"/>
  <c r="Q16" i="6" s="1"/>
  <c r="Q133" i="6" s="1"/>
  <c r="P12" i="6"/>
  <c r="P16" i="6" s="1"/>
  <c r="P133" i="6" s="1"/>
  <c r="O12" i="6"/>
  <c r="O16" i="6" s="1"/>
  <c r="O133" i="6" s="1"/>
  <c r="N12" i="6"/>
  <c r="N16" i="6" s="1"/>
  <c r="N133" i="6" s="1"/>
  <c r="M12" i="6"/>
  <c r="M16" i="6" s="1"/>
  <c r="M133" i="6" s="1"/>
  <c r="L12" i="6"/>
  <c r="L16" i="6" s="1"/>
  <c r="L133" i="6" s="1"/>
  <c r="K12" i="6"/>
  <c r="K16" i="6" s="1"/>
  <c r="BL131" i="5"/>
  <c r="BK131" i="5"/>
  <c r="BJ131" i="5"/>
  <c r="BI131" i="5"/>
  <c r="BH131" i="5"/>
  <c r="BG131" i="5"/>
  <c r="BF131" i="5"/>
  <c r="BV131" i="5" s="1"/>
  <c r="BE131" i="5"/>
  <c r="AT131" i="5"/>
  <c r="AS131" i="5"/>
  <c r="AR131" i="5"/>
  <c r="AQ131" i="5"/>
  <c r="AP131" i="5"/>
  <c r="AO131" i="5"/>
  <c r="AN131" i="5"/>
  <c r="BD131" i="5" s="1"/>
  <c r="AM131" i="5"/>
  <c r="AB131" i="5"/>
  <c r="AA131" i="5"/>
  <c r="Z131" i="5"/>
  <c r="Y131" i="5"/>
  <c r="X131" i="5"/>
  <c r="W131" i="5"/>
  <c r="V131" i="5"/>
  <c r="AL131" i="5" s="1"/>
  <c r="U131" i="5"/>
  <c r="J131" i="5"/>
  <c r="I131" i="5"/>
  <c r="H131" i="5"/>
  <c r="G131" i="5"/>
  <c r="F131" i="5"/>
  <c r="E131" i="5"/>
  <c r="D131" i="5"/>
  <c r="T131" i="5" s="1"/>
  <c r="C131" i="5"/>
  <c r="CX130" i="5"/>
  <c r="DF130" i="5" s="1"/>
  <c r="CW130" i="5"/>
  <c r="DE130" i="5" s="1"/>
  <c r="CV130" i="5"/>
  <c r="DD130" i="5" s="1"/>
  <c r="CU130" i="5"/>
  <c r="DC130" i="5" s="1"/>
  <c r="CT130" i="5"/>
  <c r="DB130" i="5" s="1"/>
  <c r="CS130" i="5"/>
  <c r="DA130" i="5" s="1"/>
  <c r="CR130" i="5"/>
  <c r="DH130" i="5" s="1"/>
  <c r="CQ130" i="5"/>
  <c r="CY130" i="5" s="1"/>
  <c r="CF130" i="5"/>
  <c r="CN130" i="5" s="1"/>
  <c r="CE130" i="5"/>
  <c r="CM130" i="5" s="1"/>
  <c r="CD130" i="5"/>
  <c r="CL130" i="5" s="1"/>
  <c r="CC130" i="5"/>
  <c r="CK130" i="5" s="1"/>
  <c r="CB130" i="5"/>
  <c r="CJ130" i="5" s="1"/>
  <c r="CA130" i="5"/>
  <c r="CI130" i="5" s="1"/>
  <c r="BZ130" i="5"/>
  <c r="CP130" i="5" s="1"/>
  <c r="BY130" i="5"/>
  <c r="CG130" i="5" s="1"/>
  <c r="BV130" i="5"/>
  <c r="BT130" i="5"/>
  <c r="BS130" i="5"/>
  <c r="BR130" i="5"/>
  <c r="BQ130" i="5"/>
  <c r="BP130" i="5"/>
  <c r="BO130" i="5"/>
  <c r="BN130" i="5"/>
  <c r="BM130" i="5"/>
  <c r="BU130" i="5" s="1"/>
  <c r="BD130" i="5"/>
  <c r="BB130" i="5"/>
  <c r="BA130" i="5"/>
  <c r="AZ130" i="5"/>
  <c r="AY130" i="5"/>
  <c r="AX130" i="5"/>
  <c r="AW130" i="5"/>
  <c r="AV130" i="5"/>
  <c r="AU130" i="5"/>
  <c r="BC130" i="5" s="1"/>
  <c r="AL130" i="5"/>
  <c r="AJ130" i="5"/>
  <c r="AI130" i="5"/>
  <c r="AH130" i="5"/>
  <c r="AG130" i="5"/>
  <c r="AF130" i="5"/>
  <c r="AE130" i="5"/>
  <c r="AD130" i="5"/>
  <c r="AC130" i="5"/>
  <c r="AK130" i="5" s="1"/>
  <c r="T130" i="5"/>
  <c r="R130" i="5"/>
  <c r="Q130" i="5"/>
  <c r="P130" i="5"/>
  <c r="O130" i="5"/>
  <c r="N130" i="5"/>
  <c r="M130" i="5"/>
  <c r="L130" i="5"/>
  <c r="K130" i="5"/>
  <c r="S130" i="5" s="1"/>
  <c r="CX129" i="5"/>
  <c r="DF129" i="5" s="1"/>
  <c r="CW129" i="5"/>
  <c r="DE129" i="5" s="1"/>
  <c r="CV129" i="5"/>
  <c r="DD129" i="5" s="1"/>
  <c r="CU129" i="5"/>
  <c r="DC129" i="5" s="1"/>
  <c r="CT129" i="5"/>
  <c r="DB129" i="5" s="1"/>
  <c r="CS129" i="5"/>
  <c r="DA129" i="5" s="1"/>
  <c r="CR129" i="5"/>
  <c r="DH129" i="5" s="1"/>
  <c r="CQ129" i="5"/>
  <c r="CY129" i="5" s="1"/>
  <c r="CF129" i="5"/>
  <c r="CN129" i="5" s="1"/>
  <c r="CE129" i="5"/>
  <c r="CM129" i="5" s="1"/>
  <c r="CD129" i="5"/>
  <c r="CL129" i="5" s="1"/>
  <c r="CC129" i="5"/>
  <c r="CK129" i="5" s="1"/>
  <c r="CB129" i="5"/>
  <c r="CJ129" i="5" s="1"/>
  <c r="CA129" i="5"/>
  <c r="CI129" i="5" s="1"/>
  <c r="BZ129" i="5"/>
  <c r="CP129" i="5" s="1"/>
  <c r="BY129" i="5"/>
  <c r="CG129" i="5" s="1"/>
  <c r="BV129" i="5"/>
  <c r="BT129" i="5"/>
  <c r="BS129" i="5"/>
  <c r="BR129" i="5"/>
  <c r="BQ129" i="5"/>
  <c r="BP129" i="5"/>
  <c r="BO129" i="5"/>
  <c r="BN129" i="5"/>
  <c r="BM129" i="5"/>
  <c r="BU129" i="5" s="1"/>
  <c r="BD129" i="5"/>
  <c r="BB129" i="5"/>
  <c r="BA129" i="5"/>
  <c r="AZ129" i="5"/>
  <c r="AY129" i="5"/>
  <c r="AX129" i="5"/>
  <c r="AW129" i="5"/>
  <c r="AV129" i="5"/>
  <c r="AU129" i="5"/>
  <c r="BC129" i="5" s="1"/>
  <c r="AL129" i="5"/>
  <c r="AJ129" i="5"/>
  <c r="AI129" i="5"/>
  <c r="AH129" i="5"/>
  <c r="AG129" i="5"/>
  <c r="AF129" i="5"/>
  <c r="AE129" i="5"/>
  <c r="AD129" i="5"/>
  <c r="AC129" i="5"/>
  <c r="AK129" i="5" s="1"/>
  <c r="T129" i="5"/>
  <c r="R129" i="5"/>
  <c r="Q129" i="5"/>
  <c r="P129" i="5"/>
  <c r="O129" i="5"/>
  <c r="N129" i="5"/>
  <c r="M129" i="5"/>
  <c r="L129" i="5"/>
  <c r="K129" i="5"/>
  <c r="S129" i="5" s="1"/>
  <c r="CX128" i="5"/>
  <c r="DF128" i="5" s="1"/>
  <c r="CW128" i="5"/>
  <c r="DE128" i="5" s="1"/>
  <c r="CV128" i="5"/>
  <c r="DD128" i="5" s="1"/>
  <c r="CU128" i="5"/>
  <c r="DC128" i="5" s="1"/>
  <c r="CT128" i="5"/>
  <c r="DB128" i="5" s="1"/>
  <c r="CS128" i="5"/>
  <c r="DA128" i="5" s="1"/>
  <c r="CR128" i="5"/>
  <c r="DH128" i="5" s="1"/>
  <c r="CQ128" i="5"/>
  <c r="CY128" i="5" s="1"/>
  <c r="CF128" i="5"/>
  <c r="CN128" i="5" s="1"/>
  <c r="CE128" i="5"/>
  <c r="CM128" i="5" s="1"/>
  <c r="CD128" i="5"/>
  <c r="CL128" i="5" s="1"/>
  <c r="CC128" i="5"/>
  <c r="CK128" i="5" s="1"/>
  <c r="CB128" i="5"/>
  <c r="CJ128" i="5" s="1"/>
  <c r="CA128" i="5"/>
  <c r="CI128" i="5" s="1"/>
  <c r="BZ128" i="5"/>
  <c r="CP128" i="5" s="1"/>
  <c r="BY128" i="5"/>
  <c r="CG128" i="5" s="1"/>
  <c r="BV128" i="5"/>
  <c r="BT128" i="5"/>
  <c r="BS128" i="5"/>
  <c r="BR128" i="5"/>
  <c r="BQ128" i="5"/>
  <c r="BP128" i="5"/>
  <c r="BO128" i="5"/>
  <c r="BN128" i="5"/>
  <c r="BM128" i="5"/>
  <c r="BU128" i="5" s="1"/>
  <c r="BD128" i="5"/>
  <c r="BB128" i="5"/>
  <c r="BA128" i="5"/>
  <c r="AZ128" i="5"/>
  <c r="AY128" i="5"/>
  <c r="AX128" i="5"/>
  <c r="AW128" i="5"/>
  <c r="AV128" i="5"/>
  <c r="AU128" i="5"/>
  <c r="BC128" i="5" s="1"/>
  <c r="AL128" i="5"/>
  <c r="AJ128" i="5"/>
  <c r="AI128" i="5"/>
  <c r="AH128" i="5"/>
  <c r="AG128" i="5"/>
  <c r="AF128" i="5"/>
  <c r="AE128" i="5"/>
  <c r="AD128" i="5"/>
  <c r="AC128" i="5"/>
  <c r="AK128" i="5" s="1"/>
  <c r="T128" i="5"/>
  <c r="R128" i="5"/>
  <c r="Q128" i="5"/>
  <c r="P128" i="5"/>
  <c r="O128" i="5"/>
  <c r="N128" i="5"/>
  <c r="M128" i="5"/>
  <c r="L128" i="5"/>
  <c r="K128" i="5"/>
  <c r="S128" i="5" s="1"/>
  <c r="CX127" i="5"/>
  <c r="CX131" i="5" s="1"/>
  <c r="CW127" i="5"/>
  <c r="CW131" i="5" s="1"/>
  <c r="CV127" i="5"/>
  <c r="CV131" i="5" s="1"/>
  <c r="CU127" i="5"/>
  <c r="CU131" i="5" s="1"/>
  <c r="CT127" i="5"/>
  <c r="CT131" i="5" s="1"/>
  <c r="CS127" i="5"/>
  <c r="CS131" i="5" s="1"/>
  <c r="CR127" i="5"/>
  <c r="CR131" i="5" s="1"/>
  <c r="CQ127" i="5"/>
  <c r="CQ131" i="5" s="1"/>
  <c r="CF127" i="5"/>
  <c r="CF131" i="5" s="1"/>
  <c r="CE127" i="5"/>
  <c r="CE131" i="5" s="1"/>
  <c r="CD127" i="5"/>
  <c r="CD131" i="5" s="1"/>
  <c r="CC127" i="5"/>
  <c r="CC131" i="5" s="1"/>
  <c r="CB127" i="5"/>
  <c r="CB131" i="5" s="1"/>
  <c r="CA127" i="5"/>
  <c r="CA131" i="5" s="1"/>
  <c r="BZ127" i="5"/>
  <c r="BZ131" i="5" s="1"/>
  <c r="BY127" i="5"/>
  <c r="BY131" i="5" s="1"/>
  <c r="BV127" i="5"/>
  <c r="BT127" i="5"/>
  <c r="BT131" i="5" s="1"/>
  <c r="BS127" i="5"/>
  <c r="BS131" i="5" s="1"/>
  <c r="BR127" i="5"/>
  <c r="BR131" i="5" s="1"/>
  <c r="BQ127" i="5"/>
  <c r="BQ131" i="5" s="1"/>
  <c r="BP127" i="5"/>
  <c r="BP131" i="5" s="1"/>
  <c r="BO127" i="5"/>
  <c r="BO131" i="5" s="1"/>
  <c r="BN127" i="5"/>
  <c r="BN131" i="5" s="1"/>
  <c r="BM127" i="5"/>
  <c r="BM131" i="5" s="1"/>
  <c r="BU131" i="5" s="1"/>
  <c r="BD127" i="5"/>
  <c r="BB127" i="5"/>
  <c r="BB131" i="5" s="1"/>
  <c r="BA127" i="5"/>
  <c r="BA131" i="5" s="1"/>
  <c r="AZ127" i="5"/>
  <c r="AZ131" i="5" s="1"/>
  <c r="AY127" i="5"/>
  <c r="AY131" i="5" s="1"/>
  <c r="AX127" i="5"/>
  <c r="AX131" i="5" s="1"/>
  <c r="AW127" i="5"/>
  <c r="AW131" i="5" s="1"/>
  <c r="AV127" i="5"/>
  <c r="AV131" i="5" s="1"/>
  <c r="AU127" i="5"/>
  <c r="AU131" i="5" s="1"/>
  <c r="AL127" i="5"/>
  <c r="AJ127" i="5"/>
  <c r="AJ131" i="5" s="1"/>
  <c r="AI127" i="5"/>
  <c r="AI131" i="5" s="1"/>
  <c r="AH127" i="5"/>
  <c r="AH131" i="5" s="1"/>
  <c r="AG127" i="5"/>
  <c r="AG131" i="5" s="1"/>
  <c r="AF127" i="5"/>
  <c r="AF131" i="5" s="1"/>
  <c r="AE127" i="5"/>
  <c r="AE131" i="5" s="1"/>
  <c r="AD127" i="5"/>
  <c r="AD131" i="5" s="1"/>
  <c r="AC127" i="5"/>
  <c r="AC131" i="5" s="1"/>
  <c r="AK131" i="5" s="1"/>
  <c r="T127" i="5"/>
  <c r="R127" i="5"/>
  <c r="R131" i="5" s="1"/>
  <c r="Q127" i="5"/>
  <c r="Q131" i="5" s="1"/>
  <c r="P127" i="5"/>
  <c r="P131" i="5" s="1"/>
  <c r="O127" i="5"/>
  <c r="O131" i="5" s="1"/>
  <c r="N127" i="5"/>
  <c r="N131" i="5" s="1"/>
  <c r="M127" i="5"/>
  <c r="M131" i="5" s="1"/>
  <c r="L127" i="5"/>
  <c r="L131" i="5" s="1"/>
  <c r="K127" i="5"/>
  <c r="K131" i="5" s="1"/>
  <c r="BL126" i="5"/>
  <c r="BK126" i="5"/>
  <c r="BJ126" i="5"/>
  <c r="BI126" i="5"/>
  <c r="BH126" i="5"/>
  <c r="BG126" i="5"/>
  <c r="BF126" i="5"/>
  <c r="BV126" i="5" s="1"/>
  <c r="BE126" i="5"/>
  <c r="AT126" i="5"/>
  <c r="AS126" i="5"/>
  <c r="AR126" i="5"/>
  <c r="AQ126" i="5"/>
  <c r="AP126" i="5"/>
  <c r="AO126" i="5"/>
  <c r="AN126" i="5"/>
  <c r="BD126" i="5" s="1"/>
  <c r="AM126" i="5"/>
  <c r="AB126" i="5"/>
  <c r="AA126" i="5"/>
  <c r="Z126" i="5"/>
  <c r="Y126" i="5"/>
  <c r="X126" i="5"/>
  <c r="W126" i="5"/>
  <c r="V126" i="5"/>
  <c r="AL126" i="5" s="1"/>
  <c r="U126" i="5"/>
  <c r="J126" i="5"/>
  <c r="I126" i="5"/>
  <c r="H126" i="5"/>
  <c r="G126" i="5"/>
  <c r="F126" i="5"/>
  <c r="E126" i="5"/>
  <c r="D126" i="5"/>
  <c r="T126" i="5" s="1"/>
  <c r="C126" i="5"/>
  <c r="CX125" i="5"/>
  <c r="DF125" i="5" s="1"/>
  <c r="CW125" i="5"/>
  <c r="DE125" i="5" s="1"/>
  <c r="CV125" i="5"/>
  <c r="DD125" i="5" s="1"/>
  <c r="CU125" i="5"/>
  <c r="DC125" i="5" s="1"/>
  <c r="CT125" i="5"/>
  <c r="DB125" i="5" s="1"/>
  <c r="CS125" i="5"/>
  <c r="DA125" i="5" s="1"/>
  <c r="CR125" i="5"/>
  <c r="DH125" i="5" s="1"/>
  <c r="CQ125" i="5"/>
  <c r="CY125" i="5" s="1"/>
  <c r="CF125" i="5"/>
  <c r="CN125" i="5" s="1"/>
  <c r="CE125" i="5"/>
  <c r="CM125" i="5" s="1"/>
  <c r="CD125" i="5"/>
  <c r="CL125" i="5" s="1"/>
  <c r="CC125" i="5"/>
  <c r="CK125" i="5" s="1"/>
  <c r="CB125" i="5"/>
  <c r="CJ125" i="5" s="1"/>
  <c r="CA125" i="5"/>
  <c r="CI125" i="5" s="1"/>
  <c r="BZ125" i="5"/>
  <c r="CP125" i="5" s="1"/>
  <c r="BY125" i="5"/>
  <c r="CG125" i="5" s="1"/>
  <c r="BV125" i="5"/>
  <c r="BT125" i="5"/>
  <c r="BS125" i="5"/>
  <c r="BR125" i="5"/>
  <c r="BQ125" i="5"/>
  <c r="BP125" i="5"/>
  <c r="BO125" i="5"/>
  <c r="BN125" i="5"/>
  <c r="BM125" i="5"/>
  <c r="BU125" i="5" s="1"/>
  <c r="BD125" i="5"/>
  <c r="BB125" i="5"/>
  <c r="BA125" i="5"/>
  <c r="AZ125" i="5"/>
  <c r="AY125" i="5"/>
  <c r="AX125" i="5"/>
  <c r="AW125" i="5"/>
  <c r="AV125" i="5"/>
  <c r="AU125" i="5"/>
  <c r="BC125" i="5" s="1"/>
  <c r="AL125" i="5"/>
  <c r="AJ125" i="5"/>
  <c r="AI125" i="5"/>
  <c r="AH125" i="5"/>
  <c r="AG125" i="5"/>
  <c r="AF125" i="5"/>
  <c r="AE125" i="5"/>
  <c r="AD125" i="5"/>
  <c r="AC125" i="5"/>
  <c r="AK125" i="5" s="1"/>
  <c r="T125" i="5"/>
  <c r="R125" i="5"/>
  <c r="Q125" i="5"/>
  <c r="P125" i="5"/>
  <c r="O125" i="5"/>
  <c r="N125" i="5"/>
  <c r="M125" i="5"/>
  <c r="L125" i="5"/>
  <c r="K125" i="5"/>
  <c r="S125" i="5" s="1"/>
  <c r="CX124" i="5"/>
  <c r="DF124" i="5" s="1"/>
  <c r="CW124" i="5"/>
  <c r="DE124" i="5" s="1"/>
  <c r="CV124" i="5"/>
  <c r="DD124" i="5" s="1"/>
  <c r="CU124" i="5"/>
  <c r="DC124" i="5" s="1"/>
  <c r="CT124" i="5"/>
  <c r="DB124" i="5" s="1"/>
  <c r="CS124" i="5"/>
  <c r="DA124" i="5" s="1"/>
  <c r="CR124" i="5"/>
  <c r="DH124" i="5" s="1"/>
  <c r="CQ124" i="5"/>
  <c r="CY124" i="5" s="1"/>
  <c r="CF124" i="5"/>
  <c r="CN124" i="5" s="1"/>
  <c r="CE124" i="5"/>
  <c r="CM124" i="5" s="1"/>
  <c r="CD124" i="5"/>
  <c r="CL124" i="5" s="1"/>
  <c r="CC124" i="5"/>
  <c r="CK124" i="5" s="1"/>
  <c r="CB124" i="5"/>
  <c r="CJ124" i="5" s="1"/>
  <c r="CA124" i="5"/>
  <c r="CI124" i="5" s="1"/>
  <c r="BZ124" i="5"/>
  <c r="CP124" i="5" s="1"/>
  <c r="BY124" i="5"/>
  <c r="CG124" i="5" s="1"/>
  <c r="BV124" i="5"/>
  <c r="BT124" i="5"/>
  <c r="BS124" i="5"/>
  <c r="BR124" i="5"/>
  <c r="BQ124" i="5"/>
  <c r="BP124" i="5"/>
  <c r="BO124" i="5"/>
  <c r="BN124" i="5"/>
  <c r="BM124" i="5"/>
  <c r="BU124" i="5" s="1"/>
  <c r="BD124" i="5"/>
  <c r="BB124" i="5"/>
  <c r="BA124" i="5"/>
  <c r="AZ124" i="5"/>
  <c r="AY124" i="5"/>
  <c r="AX124" i="5"/>
  <c r="AW124" i="5"/>
  <c r="AV124" i="5"/>
  <c r="AU124" i="5"/>
  <c r="BC124" i="5" s="1"/>
  <c r="AL124" i="5"/>
  <c r="AJ124" i="5"/>
  <c r="AI124" i="5"/>
  <c r="AH124" i="5"/>
  <c r="AG124" i="5"/>
  <c r="AF124" i="5"/>
  <c r="AE124" i="5"/>
  <c r="AD124" i="5"/>
  <c r="AC124" i="5"/>
  <c r="AK124" i="5" s="1"/>
  <c r="T124" i="5"/>
  <c r="R124" i="5"/>
  <c r="Q124" i="5"/>
  <c r="P124" i="5"/>
  <c r="O124" i="5"/>
  <c r="N124" i="5"/>
  <c r="M124" i="5"/>
  <c r="L124" i="5"/>
  <c r="K124" i="5"/>
  <c r="S124" i="5" s="1"/>
  <c r="CX123" i="5"/>
  <c r="DF123" i="5" s="1"/>
  <c r="CW123" i="5"/>
  <c r="DE123" i="5" s="1"/>
  <c r="CV123" i="5"/>
  <c r="DD123" i="5" s="1"/>
  <c r="CU123" i="5"/>
  <c r="DC123" i="5" s="1"/>
  <c r="CT123" i="5"/>
  <c r="DB123" i="5" s="1"/>
  <c r="CS123" i="5"/>
  <c r="DA123" i="5" s="1"/>
  <c r="CR123" i="5"/>
  <c r="DH123" i="5" s="1"/>
  <c r="CQ123" i="5"/>
  <c r="CY123" i="5" s="1"/>
  <c r="CF123" i="5"/>
  <c r="CN123" i="5" s="1"/>
  <c r="CE123" i="5"/>
  <c r="CM123" i="5" s="1"/>
  <c r="CD123" i="5"/>
  <c r="CL123" i="5" s="1"/>
  <c r="CC123" i="5"/>
  <c r="CK123" i="5" s="1"/>
  <c r="CB123" i="5"/>
  <c r="CJ123" i="5" s="1"/>
  <c r="CA123" i="5"/>
  <c r="CI123" i="5" s="1"/>
  <c r="BZ123" i="5"/>
  <c r="CP123" i="5" s="1"/>
  <c r="BY123" i="5"/>
  <c r="CG123" i="5" s="1"/>
  <c r="BV123" i="5"/>
  <c r="BT123" i="5"/>
  <c r="BS123" i="5"/>
  <c r="BR123" i="5"/>
  <c r="BQ123" i="5"/>
  <c r="BP123" i="5"/>
  <c r="BO123" i="5"/>
  <c r="BN123" i="5"/>
  <c r="BM123" i="5"/>
  <c r="BU123" i="5" s="1"/>
  <c r="BD123" i="5"/>
  <c r="BB123" i="5"/>
  <c r="BA123" i="5"/>
  <c r="AZ123" i="5"/>
  <c r="AY123" i="5"/>
  <c r="AX123" i="5"/>
  <c r="AW123" i="5"/>
  <c r="AV123" i="5"/>
  <c r="AU123" i="5"/>
  <c r="BC123" i="5" s="1"/>
  <c r="AL123" i="5"/>
  <c r="AJ123" i="5"/>
  <c r="AI123" i="5"/>
  <c r="AH123" i="5"/>
  <c r="AG123" i="5"/>
  <c r="AF123" i="5"/>
  <c r="AE123" i="5"/>
  <c r="AD123" i="5"/>
  <c r="AC123" i="5"/>
  <c r="AK123" i="5" s="1"/>
  <c r="T123" i="5"/>
  <c r="R123" i="5"/>
  <c r="Q123" i="5"/>
  <c r="P123" i="5"/>
  <c r="O123" i="5"/>
  <c r="N123" i="5"/>
  <c r="M123" i="5"/>
  <c r="L123" i="5"/>
  <c r="K123" i="5"/>
  <c r="S123" i="5" s="1"/>
  <c r="CX122" i="5"/>
  <c r="CX126" i="5" s="1"/>
  <c r="CW122" i="5"/>
  <c r="CW126" i="5" s="1"/>
  <c r="CV122" i="5"/>
  <c r="CV126" i="5" s="1"/>
  <c r="CU122" i="5"/>
  <c r="CU126" i="5" s="1"/>
  <c r="CT122" i="5"/>
  <c r="CT126" i="5" s="1"/>
  <c r="CS122" i="5"/>
  <c r="CS126" i="5" s="1"/>
  <c r="CR122" i="5"/>
  <c r="CR126" i="5" s="1"/>
  <c r="CQ122" i="5"/>
  <c r="CQ126" i="5" s="1"/>
  <c r="CF122" i="5"/>
  <c r="CF126" i="5" s="1"/>
  <c r="CE122" i="5"/>
  <c r="CE126" i="5" s="1"/>
  <c r="CD122" i="5"/>
  <c r="CD126" i="5" s="1"/>
  <c r="CC122" i="5"/>
  <c r="CC126" i="5" s="1"/>
  <c r="CB122" i="5"/>
  <c r="CB126" i="5" s="1"/>
  <c r="CA122" i="5"/>
  <c r="CA126" i="5" s="1"/>
  <c r="BZ122" i="5"/>
  <c r="BZ126" i="5" s="1"/>
  <c r="BY122" i="5"/>
  <c r="BY126" i="5" s="1"/>
  <c r="BV122" i="5"/>
  <c r="BT122" i="5"/>
  <c r="BT126" i="5" s="1"/>
  <c r="BS122" i="5"/>
  <c r="BS126" i="5" s="1"/>
  <c r="BR122" i="5"/>
  <c r="BR126" i="5" s="1"/>
  <c r="BQ122" i="5"/>
  <c r="BQ126" i="5" s="1"/>
  <c r="BP122" i="5"/>
  <c r="BP126" i="5" s="1"/>
  <c r="BO122" i="5"/>
  <c r="BO126" i="5" s="1"/>
  <c r="BN122" i="5"/>
  <c r="BN126" i="5" s="1"/>
  <c r="BM122" i="5"/>
  <c r="BM126" i="5" s="1"/>
  <c r="BU126" i="5" s="1"/>
  <c r="BD122" i="5"/>
  <c r="BB122" i="5"/>
  <c r="BB126" i="5" s="1"/>
  <c r="BA122" i="5"/>
  <c r="BA126" i="5" s="1"/>
  <c r="AZ122" i="5"/>
  <c r="AZ126" i="5" s="1"/>
  <c r="AY122" i="5"/>
  <c r="AY126" i="5" s="1"/>
  <c r="AX122" i="5"/>
  <c r="AX126" i="5" s="1"/>
  <c r="AW122" i="5"/>
  <c r="AW126" i="5" s="1"/>
  <c r="AV122" i="5"/>
  <c r="AV126" i="5" s="1"/>
  <c r="AU122" i="5"/>
  <c r="AU126" i="5" s="1"/>
  <c r="AL122" i="5"/>
  <c r="AJ122" i="5"/>
  <c r="AJ126" i="5" s="1"/>
  <c r="AI122" i="5"/>
  <c r="AI126" i="5" s="1"/>
  <c r="AH122" i="5"/>
  <c r="AH126" i="5" s="1"/>
  <c r="AG122" i="5"/>
  <c r="AG126" i="5" s="1"/>
  <c r="AF122" i="5"/>
  <c r="AF126" i="5" s="1"/>
  <c r="AE122" i="5"/>
  <c r="AE126" i="5" s="1"/>
  <c r="AD122" i="5"/>
  <c r="AD126" i="5" s="1"/>
  <c r="AC122" i="5"/>
  <c r="AC126" i="5" s="1"/>
  <c r="AK126" i="5" s="1"/>
  <c r="T122" i="5"/>
  <c r="R122" i="5"/>
  <c r="R126" i="5" s="1"/>
  <c r="Q122" i="5"/>
  <c r="Q126" i="5" s="1"/>
  <c r="P122" i="5"/>
  <c r="P126" i="5" s="1"/>
  <c r="O122" i="5"/>
  <c r="O126" i="5" s="1"/>
  <c r="N122" i="5"/>
  <c r="N126" i="5" s="1"/>
  <c r="M122" i="5"/>
  <c r="M126" i="5" s="1"/>
  <c r="L122" i="5"/>
  <c r="L126" i="5" s="1"/>
  <c r="K122" i="5"/>
  <c r="K126" i="5" s="1"/>
  <c r="BL121" i="5"/>
  <c r="BK121" i="5"/>
  <c r="BJ121" i="5"/>
  <c r="BI121" i="5"/>
  <c r="BH121" i="5"/>
  <c r="BG121" i="5"/>
  <c r="BF121" i="5"/>
  <c r="BV121" i="5" s="1"/>
  <c r="BE121" i="5"/>
  <c r="BD121" i="5"/>
  <c r="AT121" i="5"/>
  <c r="AS121" i="5"/>
  <c r="AR121" i="5"/>
  <c r="AQ121" i="5"/>
  <c r="AP121" i="5"/>
  <c r="AO121" i="5"/>
  <c r="AN121" i="5"/>
  <c r="AM121" i="5"/>
  <c r="AB121" i="5"/>
  <c r="AA121" i="5"/>
  <c r="Z121" i="5"/>
  <c r="Y121" i="5"/>
  <c r="X121" i="5"/>
  <c r="W121" i="5"/>
  <c r="V121" i="5"/>
  <c r="AL121" i="5" s="1"/>
  <c r="U121" i="5"/>
  <c r="T121" i="5"/>
  <c r="J121" i="5"/>
  <c r="I121" i="5"/>
  <c r="H121" i="5"/>
  <c r="G121" i="5"/>
  <c r="F121" i="5"/>
  <c r="E121" i="5"/>
  <c r="D121" i="5"/>
  <c r="C121" i="5"/>
  <c r="CX120" i="5"/>
  <c r="DF120" i="5" s="1"/>
  <c r="CW120" i="5"/>
  <c r="DE120" i="5" s="1"/>
  <c r="CV120" i="5"/>
  <c r="DD120" i="5" s="1"/>
  <c r="CU120" i="5"/>
  <c r="DC120" i="5" s="1"/>
  <c r="CT120" i="5"/>
  <c r="DB120" i="5" s="1"/>
  <c r="CS120" i="5"/>
  <c r="DA120" i="5" s="1"/>
  <c r="CR120" i="5"/>
  <c r="DH120" i="5" s="1"/>
  <c r="CQ120" i="5"/>
  <c r="CY120" i="5" s="1"/>
  <c r="CP120" i="5"/>
  <c r="CL120" i="5"/>
  <c r="CH120" i="5"/>
  <c r="CF120" i="5"/>
  <c r="CN120" i="5" s="1"/>
  <c r="CE120" i="5"/>
  <c r="CM120" i="5" s="1"/>
  <c r="CD120" i="5"/>
  <c r="CC120" i="5"/>
  <c r="CK120" i="5" s="1"/>
  <c r="CB120" i="5"/>
  <c r="CJ120" i="5" s="1"/>
  <c r="CA120" i="5"/>
  <c r="CI120" i="5" s="1"/>
  <c r="BZ120" i="5"/>
  <c r="BY120" i="5"/>
  <c r="CG120" i="5" s="1"/>
  <c r="BV120" i="5"/>
  <c r="BT120" i="5"/>
  <c r="BS120" i="5"/>
  <c r="BR120" i="5"/>
  <c r="BQ120" i="5"/>
  <c r="BP120" i="5"/>
  <c r="BO120" i="5"/>
  <c r="BN120" i="5"/>
  <c r="BM120" i="5"/>
  <c r="BD120" i="5"/>
  <c r="BB120" i="5"/>
  <c r="BA120" i="5"/>
  <c r="AZ120" i="5"/>
  <c r="AY120" i="5"/>
  <c r="AX120" i="5"/>
  <c r="AW120" i="5"/>
  <c r="AV120" i="5"/>
  <c r="AU120" i="5"/>
  <c r="BC120" i="5" s="1"/>
  <c r="AL120" i="5"/>
  <c r="AJ120" i="5"/>
  <c r="AI120" i="5"/>
  <c r="AH120" i="5"/>
  <c r="AG120" i="5"/>
  <c r="AF120" i="5"/>
  <c r="AE120" i="5"/>
  <c r="AD120" i="5"/>
  <c r="AC120" i="5"/>
  <c r="T120" i="5"/>
  <c r="R120" i="5"/>
  <c r="Q120" i="5"/>
  <c r="P120" i="5"/>
  <c r="O120" i="5"/>
  <c r="N120" i="5"/>
  <c r="M120" i="5"/>
  <c r="L120" i="5"/>
  <c r="K120" i="5"/>
  <c r="S120" i="5" s="1"/>
  <c r="CX119" i="5"/>
  <c r="DF119" i="5" s="1"/>
  <c r="CW119" i="5"/>
  <c r="DE119" i="5" s="1"/>
  <c r="CV119" i="5"/>
  <c r="DD119" i="5" s="1"/>
  <c r="CU119" i="5"/>
  <c r="DC119" i="5" s="1"/>
  <c r="CT119" i="5"/>
  <c r="DB119" i="5" s="1"/>
  <c r="CS119" i="5"/>
  <c r="DA119" i="5" s="1"/>
  <c r="CR119" i="5"/>
  <c r="DH119" i="5" s="1"/>
  <c r="CQ119" i="5"/>
  <c r="CY119" i="5" s="1"/>
  <c r="CP119" i="5"/>
  <c r="CL119" i="5"/>
  <c r="CH119" i="5"/>
  <c r="CF119" i="5"/>
  <c r="CN119" i="5" s="1"/>
  <c r="CE119" i="5"/>
  <c r="CM119" i="5" s="1"/>
  <c r="CD119" i="5"/>
  <c r="CC119" i="5"/>
  <c r="CK119" i="5" s="1"/>
  <c r="CB119" i="5"/>
  <c r="CJ119" i="5" s="1"/>
  <c r="CA119" i="5"/>
  <c r="CI119" i="5" s="1"/>
  <c r="BZ119" i="5"/>
  <c r="BY119" i="5"/>
  <c r="CG119" i="5" s="1"/>
  <c r="BV119" i="5"/>
  <c r="BT119" i="5"/>
  <c r="BS119" i="5"/>
  <c r="BR119" i="5"/>
  <c r="BQ119" i="5"/>
  <c r="BP119" i="5"/>
  <c r="BO119" i="5"/>
  <c r="BN119" i="5"/>
  <c r="BM119" i="5"/>
  <c r="BD119" i="5"/>
  <c r="BB119" i="5"/>
  <c r="BA119" i="5"/>
  <c r="AZ119" i="5"/>
  <c r="AY119" i="5"/>
  <c r="AX119" i="5"/>
  <c r="AW119" i="5"/>
  <c r="AV119" i="5"/>
  <c r="AU119" i="5"/>
  <c r="BC119" i="5" s="1"/>
  <c r="AL119" i="5"/>
  <c r="AJ119" i="5"/>
  <c r="AI119" i="5"/>
  <c r="AH119" i="5"/>
  <c r="AG119" i="5"/>
  <c r="AF119" i="5"/>
  <c r="AE119" i="5"/>
  <c r="AD119" i="5"/>
  <c r="AC119" i="5"/>
  <c r="T119" i="5"/>
  <c r="R119" i="5"/>
  <c r="Q119" i="5"/>
  <c r="P119" i="5"/>
  <c r="O119" i="5"/>
  <c r="N119" i="5"/>
  <c r="M119" i="5"/>
  <c r="L119" i="5"/>
  <c r="K119" i="5"/>
  <c r="S119" i="5" s="1"/>
  <c r="CX118" i="5"/>
  <c r="DF118" i="5" s="1"/>
  <c r="CW118" i="5"/>
  <c r="DE118" i="5" s="1"/>
  <c r="CV118" i="5"/>
  <c r="DD118" i="5" s="1"/>
  <c r="CU118" i="5"/>
  <c r="DC118" i="5" s="1"/>
  <c r="CT118" i="5"/>
  <c r="DB118" i="5" s="1"/>
  <c r="CS118" i="5"/>
  <c r="DA118" i="5" s="1"/>
  <c r="CR118" i="5"/>
  <c r="DH118" i="5" s="1"/>
  <c r="CQ118" i="5"/>
  <c r="CY118" i="5" s="1"/>
  <c r="CP118" i="5"/>
  <c r="CL118" i="5"/>
  <c r="CH118" i="5"/>
  <c r="CF118" i="5"/>
  <c r="CN118" i="5" s="1"/>
  <c r="CE118" i="5"/>
  <c r="CM118" i="5" s="1"/>
  <c r="CD118" i="5"/>
  <c r="CC118" i="5"/>
  <c r="CK118" i="5" s="1"/>
  <c r="CB118" i="5"/>
  <c r="CJ118" i="5" s="1"/>
  <c r="CA118" i="5"/>
  <c r="CI118" i="5" s="1"/>
  <c r="BZ118" i="5"/>
  <c r="BY118" i="5"/>
  <c r="CG118" i="5" s="1"/>
  <c r="BV118" i="5"/>
  <c r="BT118" i="5"/>
  <c r="BS118" i="5"/>
  <c r="BR118" i="5"/>
  <c r="BQ118" i="5"/>
  <c r="BP118" i="5"/>
  <c r="BO118" i="5"/>
  <c r="BN118" i="5"/>
  <c r="BM118" i="5"/>
  <c r="BD118" i="5"/>
  <c r="BB118" i="5"/>
  <c r="BA118" i="5"/>
  <c r="AZ118" i="5"/>
  <c r="AY118" i="5"/>
  <c r="AX118" i="5"/>
  <c r="AW118" i="5"/>
  <c r="AV118" i="5"/>
  <c r="AU118" i="5"/>
  <c r="BC118" i="5" s="1"/>
  <c r="AL118" i="5"/>
  <c r="AJ118" i="5"/>
  <c r="AI118" i="5"/>
  <c r="AH118" i="5"/>
  <c r="AG118" i="5"/>
  <c r="AF118" i="5"/>
  <c r="AE118" i="5"/>
  <c r="AD118" i="5"/>
  <c r="AC118" i="5"/>
  <c r="T118" i="5"/>
  <c r="R118" i="5"/>
  <c r="Q118" i="5"/>
  <c r="P118" i="5"/>
  <c r="O118" i="5"/>
  <c r="N118" i="5"/>
  <c r="M118" i="5"/>
  <c r="L118" i="5"/>
  <c r="K118" i="5"/>
  <c r="S118" i="5" s="1"/>
  <c r="CX117" i="5"/>
  <c r="CX121" i="5" s="1"/>
  <c r="CW117" i="5"/>
  <c r="CW121" i="5" s="1"/>
  <c r="CV117" i="5"/>
  <c r="CV121" i="5" s="1"/>
  <c r="CU117" i="5"/>
  <c r="CU121" i="5" s="1"/>
  <c r="CT117" i="5"/>
  <c r="CT121" i="5" s="1"/>
  <c r="CS117" i="5"/>
  <c r="CS121" i="5" s="1"/>
  <c r="CR117" i="5"/>
  <c r="CR121" i="5" s="1"/>
  <c r="CQ117" i="5"/>
  <c r="CQ121" i="5" s="1"/>
  <c r="CP117" i="5"/>
  <c r="CL117" i="5"/>
  <c r="CL121" i="5" s="1"/>
  <c r="CH117" i="5"/>
  <c r="CH121" i="5" s="1"/>
  <c r="CF117" i="5"/>
  <c r="CF121" i="5" s="1"/>
  <c r="CE117" i="5"/>
  <c r="CE121" i="5" s="1"/>
  <c r="CD117" i="5"/>
  <c r="CD121" i="5" s="1"/>
  <c r="CC117" i="5"/>
  <c r="CC121" i="5" s="1"/>
  <c r="CB117" i="5"/>
  <c r="CB121" i="5" s="1"/>
  <c r="CA117" i="5"/>
  <c r="CA121" i="5" s="1"/>
  <c r="BZ117" i="5"/>
  <c r="BZ121" i="5" s="1"/>
  <c r="BY117" i="5"/>
  <c r="BY121" i="5" s="1"/>
  <c r="CP121" i="5" s="1"/>
  <c r="BV117" i="5"/>
  <c r="BT117" i="5"/>
  <c r="BT121" i="5" s="1"/>
  <c r="BS117" i="5"/>
  <c r="BS121" i="5" s="1"/>
  <c r="BR117" i="5"/>
  <c r="BR121" i="5" s="1"/>
  <c r="BQ117" i="5"/>
  <c r="BQ121" i="5" s="1"/>
  <c r="BP117" i="5"/>
  <c r="BP121" i="5" s="1"/>
  <c r="BO117" i="5"/>
  <c r="BO121" i="5" s="1"/>
  <c r="BN117" i="5"/>
  <c r="BN121" i="5" s="1"/>
  <c r="BM117" i="5"/>
  <c r="BM121" i="5" s="1"/>
  <c r="BD117" i="5"/>
  <c r="BB117" i="5"/>
  <c r="BB121" i="5" s="1"/>
  <c r="BA117" i="5"/>
  <c r="BA121" i="5" s="1"/>
  <c r="AZ117" i="5"/>
  <c r="AZ121" i="5" s="1"/>
  <c r="AY117" i="5"/>
  <c r="AY121" i="5" s="1"/>
  <c r="AX117" i="5"/>
  <c r="AX121" i="5" s="1"/>
  <c r="AW117" i="5"/>
  <c r="AW121" i="5" s="1"/>
  <c r="AV117" i="5"/>
  <c r="AV121" i="5" s="1"/>
  <c r="AU117" i="5"/>
  <c r="AU121" i="5" s="1"/>
  <c r="AL117" i="5"/>
  <c r="AJ117" i="5"/>
  <c r="AJ121" i="5" s="1"/>
  <c r="AI117" i="5"/>
  <c r="AI121" i="5" s="1"/>
  <c r="AH117" i="5"/>
  <c r="AH121" i="5" s="1"/>
  <c r="AG117" i="5"/>
  <c r="AG121" i="5" s="1"/>
  <c r="AF117" i="5"/>
  <c r="AF121" i="5" s="1"/>
  <c r="AE117" i="5"/>
  <c r="AE121" i="5" s="1"/>
  <c r="AD117" i="5"/>
  <c r="AD121" i="5" s="1"/>
  <c r="AC117" i="5"/>
  <c r="AC121" i="5" s="1"/>
  <c r="T117" i="5"/>
  <c r="R117" i="5"/>
  <c r="R121" i="5" s="1"/>
  <c r="Q117" i="5"/>
  <c r="Q121" i="5" s="1"/>
  <c r="P117" i="5"/>
  <c r="P121" i="5" s="1"/>
  <c r="O117" i="5"/>
  <c r="O121" i="5" s="1"/>
  <c r="N117" i="5"/>
  <c r="N121" i="5" s="1"/>
  <c r="M117" i="5"/>
  <c r="M121" i="5" s="1"/>
  <c r="L117" i="5"/>
  <c r="L121" i="5" s="1"/>
  <c r="K117" i="5"/>
  <c r="K121" i="5" s="1"/>
  <c r="BL116" i="5"/>
  <c r="BK116" i="5"/>
  <c r="BJ116" i="5"/>
  <c r="BI116" i="5"/>
  <c r="BH116" i="5"/>
  <c r="BG116" i="5"/>
  <c r="BF116" i="5"/>
  <c r="BV116" i="5" s="1"/>
  <c r="BE116" i="5"/>
  <c r="BD116" i="5"/>
  <c r="AT116" i="5"/>
  <c r="AS116" i="5"/>
  <c r="AR116" i="5"/>
  <c r="AQ116" i="5"/>
  <c r="AP116" i="5"/>
  <c r="AO116" i="5"/>
  <c r="AN116" i="5"/>
  <c r="AM116" i="5"/>
  <c r="AB116" i="5"/>
  <c r="AA116" i="5"/>
  <c r="Z116" i="5"/>
  <c r="Y116" i="5"/>
  <c r="X116" i="5"/>
  <c r="W116" i="5"/>
  <c r="V116" i="5"/>
  <c r="AL116" i="5" s="1"/>
  <c r="U116" i="5"/>
  <c r="T116" i="5"/>
  <c r="J116" i="5"/>
  <c r="I116" i="5"/>
  <c r="H116" i="5"/>
  <c r="G116" i="5"/>
  <c r="F116" i="5"/>
  <c r="E116" i="5"/>
  <c r="D116" i="5"/>
  <c r="C116" i="5"/>
  <c r="CX115" i="5"/>
  <c r="DF115" i="5" s="1"/>
  <c r="CW115" i="5"/>
  <c r="DE115" i="5" s="1"/>
  <c r="CV115" i="5"/>
  <c r="DD115" i="5" s="1"/>
  <c r="CU115" i="5"/>
  <c r="DC115" i="5" s="1"/>
  <c r="CT115" i="5"/>
  <c r="DB115" i="5" s="1"/>
  <c r="CS115" i="5"/>
  <c r="DA115" i="5" s="1"/>
  <c r="CR115" i="5"/>
  <c r="DH115" i="5" s="1"/>
  <c r="CQ115" i="5"/>
  <c r="CY115" i="5" s="1"/>
  <c r="CP115" i="5"/>
  <c r="CL115" i="5"/>
  <c r="CH115" i="5"/>
  <c r="CF115" i="5"/>
  <c r="CN115" i="5" s="1"/>
  <c r="CE115" i="5"/>
  <c r="CM115" i="5" s="1"/>
  <c r="CD115" i="5"/>
  <c r="CC115" i="5"/>
  <c r="CK115" i="5" s="1"/>
  <c r="CB115" i="5"/>
  <c r="CJ115" i="5" s="1"/>
  <c r="CA115" i="5"/>
  <c r="CI115" i="5" s="1"/>
  <c r="BZ115" i="5"/>
  <c r="BY115" i="5"/>
  <c r="CG115" i="5" s="1"/>
  <c r="BV115" i="5"/>
  <c r="BT115" i="5"/>
  <c r="BS115" i="5"/>
  <c r="BR115" i="5"/>
  <c r="BQ115" i="5"/>
  <c r="BP115" i="5"/>
  <c r="BO115" i="5"/>
  <c r="BN115" i="5"/>
  <c r="BM115" i="5"/>
  <c r="BD115" i="5"/>
  <c r="BB115" i="5"/>
  <c r="BA115" i="5"/>
  <c r="AZ115" i="5"/>
  <c r="AY115" i="5"/>
  <c r="AX115" i="5"/>
  <c r="AW115" i="5"/>
  <c r="AV115" i="5"/>
  <c r="AU115" i="5"/>
  <c r="BC115" i="5" s="1"/>
  <c r="AL115" i="5"/>
  <c r="AJ115" i="5"/>
  <c r="AI115" i="5"/>
  <c r="AH115" i="5"/>
  <c r="AG115" i="5"/>
  <c r="AF115" i="5"/>
  <c r="AE115" i="5"/>
  <c r="AD115" i="5"/>
  <c r="AC115" i="5"/>
  <c r="T115" i="5"/>
  <c r="R115" i="5"/>
  <c r="Q115" i="5"/>
  <c r="P115" i="5"/>
  <c r="O115" i="5"/>
  <c r="N115" i="5"/>
  <c r="M115" i="5"/>
  <c r="L115" i="5"/>
  <c r="K115" i="5"/>
  <c r="S115" i="5" s="1"/>
  <c r="CX114" i="5"/>
  <c r="DF114" i="5" s="1"/>
  <c r="CW114" i="5"/>
  <c r="DE114" i="5" s="1"/>
  <c r="CV114" i="5"/>
  <c r="DD114" i="5" s="1"/>
  <c r="CU114" i="5"/>
  <c r="DC114" i="5" s="1"/>
  <c r="CT114" i="5"/>
  <c r="DB114" i="5" s="1"/>
  <c r="CS114" i="5"/>
  <c r="DA114" i="5" s="1"/>
  <c r="CR114" i="5"/>
  <c r="DH114" i="5" s="1"/>
  <c r="CQ114" i="5"/>
  <c r="CY114" i="5" s="1"/>
  <c r="CP114" i="5"/>
  <c r="CL114" i="5"/>
  <c r="CH114" i="5"/>
  <c r="CF114" i="5"/>
  <c r="CN114" i="5" s="1"/>
  <c r="CE114" i="5"/>
  <c r="CM114" i="5" s="1"/>
  <c r="CD114" i="5"/>
  <c r="CC114" i="5"/>
  <c r="CK114" i="5" s="1"/>
  <c r="CB114" i="5"/>
  <c r="CJ114" i="5" s="1"/>
  <c r="CA114" i="5"/>
  <c r="CI114" i="5" s="1"/>
  <c r="BZ114" i="5"/>
  <c r="BY114" i="5"/>
  <c r="CG114" i="5" s="1"/>
  <c r="BV114" i="5"/>
  <c r="BT114" i="5"/>
  <c r="BS114" i="5"/>
  <c r="BR114" i="5"/>
  <c r="BQ114" i="5"/>
  <c r="BP114" i="5"/>
  <c r="BO114" i="5"/>
  <c r="BN114" i="5"/>
  <c r="BM114" i="5"/>
  <c r="BD114" i="5"/>
  <c r="BB114" i="5"/>
  <c r="BA114" i="5"/>
  <c r="AZ114" i="5"/>
  <c r="AY114" i="5"/>
  <c r="AX114" i="5"/>
  <c r="AW114" i="5"/>
  <c r="AV114" i="5"/>
  <c r="AU114" i="5"/>
  <c r="BC114" i="5" s="1"/>
  <c r="AL114" i="5"/>
  <c r="AJ114" i="5"/>
  <c r="AI114" i="5"/>
  <c r="AH114" i="5"/>
  <c r="AG114" i="5"/>
  <c r="AF114" i="5"/>
  <c r="AE114" i="5"/>
  <c r="AD114" i="5"/>
  <c r="AC114" i="5"/>
  <c r="T114" i="5"/>
  <c r="R114" i="5"/>
  <c r="Q114" i="5"/>
  <c r="P114" i="5"/>
  <c r="O114" i="5"/>
  <c r="N114" i="5"/>
  <c r="M114" i="5"/>
  <c r="L114" i="5"/>
  <c r="K114" i="5"/>
  <c r="S114" i="5" s="1"/>
  <c r="CX113" i="5"/>
  <c r="DF113" i="5" s="1"/>
  <c r="CW113" i="5"/>
  <c r="DE113" i="5" s="1"/>
  <c r="CV113" i="5"/>
  <c r="DD113" i="5" s="1"/>
  <c r="CU113" i="5"/>
  <c r="DC113" i="5" s="1"/>
  <c r="CT113" i="5"/>
  <c r="DB113" i="5" s="1"/>
  <c r="CS113" i="5"/>
  <c r="DA113" i="5" s="1"/>
  <c r="CR113" i="5"/>
  <c r="DH113" i="5" s="1"/>
  <c r="CQ113" i="5"/>
  <c r="CY113" i="5" s="1"/>
  <c r="CP113" i="5"/>
  <c r="CL113" i="5"/>
  <c r="CH113" i="5"/>
  <c r="CF113" i="5"/>
  <c r="CN113" i="5" s="1"/>
  <c r="CE113" i="5"/>
  <c r="CM113" i="5" s="1"/>
  <c r="CD113" i="5"/>
  <c r="CC113" i="5"/>
  <c r="CK113" i="5" s="1"/>
  <c r="CB113" i="5"/>
  <c r="CJ113" i="5" s="1"/>
  <c r="CA113" i="5"/>
  <c r="CI113" i="5" s="1"/>
  <c r="BZ113" i="5"/>
  <c r="BY113" i="5"/>
  <c r="CG113" i="5" s="1"/>
  <c r="BV113" i="5"/>
  <c r="BT113" i="5"/>
  <c r="BS113" i="5"/>
  <c r="BR113" i="5"/>
  <c r="BQ113" i="5"/>
  <c r="BP113" i="5"/>
  <c r="BO113" i="5"/>
  <c r="BN113" i="5"/>
  <c r="BM113" i="5"/>
  <c r="BD113" i="5"/>
  <c r="BB113" i="5"/>
  <c r="BA113" i="5"/>
  <c r="AZ113" i="5"/>
  <c r="AY113" i="5"/>
  <c r="AX113" i="5"/>
  <c r="AW113" i="5"/>
  <c r="AV113" i="5"/>
  <c r="AU113" i="5"/>
  <c r="BC113" i="5" s="1"/>
  <c r="AL113" i="5"/>
  <c r="AJ113" i="5"/>
  <c r="AI113" i="5"/>
  <c r="AH113" i="5"/>
  <c r="AG113" i="5"/>
  <c r="AF113" i="5"/>
  <c r="AE113" i="5"/>
  <c r="AD113" i="5"/>
  <c r="AC113" i="5"/>
  <c r="T113" i="5"/>
  <c r="R113" i="5"/>
  <c r="Q113" i="5"/>
  <c r="P113" i="5"/>
  <c r="O113" i="5"/>
  <c r="N113" i="5"/>
  <c r="M113" i="5"/>
  <c r="L113" i="5"/>
  <c r="K113" i="5"/>
  <c r="S113" i="5" s="1"/>
  <c r="CX112" i="5"/>
  <c r="CX116" i="5" s="1"/>
  <c r="CW112" i="5"/>
  <c r="CW116" i="5" s="1"/>
  <c r="CV112" i="5"/>
  <c r="CV116" i="5" s="1"/>
  <c r="CU112" i="5"/>
  <c r="CU116" i="5" s="1"/>
  <c r="CT112" i="5"/>
  <c r="CT116" i="5" s="1"/>
  <c r="CS112" i="5"/>
  <c r="CS116" i="5" s="1"/>
  <c r="CR112" i="5"/>
  <c r="CR116" i="5" s="1"/>
  <c r="CQ112" i="5"/>
  <c r="CQ116" i="5" s="1"/>
  <c r="CP112" i="5"/>
  <c r="CL112" i="5"/>
  <c r="CL116" i="5" s="1"/>
  <c r="CH112" i="5"/>
  <c r="CH116" i="5" s="1"/>
  <c r="CF112" i="5"/>
  <c r="CF116" i="5" s="1"/>
  <c r="CE112" i="5"/>
  <c r="CE116" i="5" s="1"/>
  <c r="CD112" i="5"/>
  <c r="CD116" i="5" s="1"/>
  <c r="CC112" i="5"/>
  <c r="CC116" i="5" s="1"/>
  <c r="CB112" i="5"/>
  <c r="CB116" i="5" s="1"/>
  <c r="CA112" i="5"/>
  <c r="CA116" i="5" s="1"/>
  <c r="BZ112" i="5"/>
  <c r="BZ116" i="5" s="1"/>
  <c r="BY112" i="5"/>
  <c r="BY116" i="5" s="1"/>
  <c r="CP116" i="5" s="1"/>
  <c r="BV112" i="5"/>
  <c r="BT112" i="5"/>
  <c r="BT116" i="5" s="1"/>
  <c r="BS112" i="5"/>
  <c r="BS116" i="5" s="1"/>
  <c r="BR112" i="5"/>
  <c r="BR116" i="5" s="1"/>
  <c r="BQ112" i="5"/>
  <c r="BQ116" i="5" s="1"/>
  <c r="BP112" i="5"/>
  <c r="BP116" i="5" s="1"/>
  <c r="BO112" i="5"/>
  <c r="BO116" i="5" s="1"/>
  <c r="BN112" i="5"/>
  <c r="BN116" i="5" s="1"/>
  <c r="BM112" i="5"/>
  <c r="BM116" i="5" s="1"/>
  <c r="BD112" i="5"/>
  <c r="BB112" i="5"/>
  <c r="BB116" i="5" s="1"/>
  <c r="BA112" i="5"/>
  <c r="BA116" i="5" s="1"/>
  <c r="AZ112" i="5"/>
  <c r="AZ116" i="5" s="1"/>
  <c r="AY112" i="5"/>
  <c r="AY116" i="5" s="1"/>
  <c r="AX112" i="5"/>
  <c r="AX116" i="5" s="1"/>
  <c r="AW112" i="5"/>
  <c r="AW116" i="5" s="1"/>
  <c r="AV112" i="5"/>
  <c r="AV116" i="5" s="1"/>
  <c r="AU112" i="5"/>
  <c r="AU116" i="5" s="1"/>
  <c r="AL112" i="5"/>
  <c r="AJ112" i="5"/>
  <c r="AJ116" i="5" s="1"/>
  <c r="AI112" i="5"/>
  <c r="AI116" i="5" s="1"/>
  <c r="AH112" i="5"/>
  <c r="AH116" i="5" s="1"/>
  <c r="AG112" i="5"/>
  <c r="AG116" i="5" s="1"/>
  <c r="AF112" i="5"/>
  <c r="AF116" i="5" s="1"/>
  <c r="AE112" i="5"/>
  <c r="AE116" i="5" s="1"/>
  <c r="AD112" i="5"/>
  <c r="AD116" i="5" s="1"/>
  <c r="AC112" i="5"/>
  <c r="AC116" i="5" s="1"/>
  <c r="T112" i="5"/>
  <c r="R112" i="5"/>
  <c r="R116" i="5" s="1"/>
  <c r="Q112" i="5"/>
  <c r="Q116" i="5" s="1"/>
  <c r="P112" i="5"/>
  <c r="P116" i="5" s="1"/>
  <c r="O112" i="5"/>
  <c r="O116" i="5" s="1"/>
  <c r="N112" i="5"/>
  <c r="N116" i="5" s="1"/>
  <c r="M112" i="5"/>
  <c r="M116" i="5" s="1"/>
  <c r="L112" i="5"/>
  <c r="L116" i="5" s="1"/>
  <c r="K112" i="5"/>
  <c r="K116" i="5" s="1"/>
  <c r="CD111" i="5"/>
  <c r="BZ111" i="5"/>
  <c r="BL111" i="5"/>
  <c r="BK111" i="5"/>
  <c r="BJ111" i="5"/>
  <c r="BI111" i="5"/>
  <c r="BH111" i="5"/>
  <c r="BG111" i="5"/>
  <c r="BF111" i="5"/>
  <c r="BV111" i="5" s="1"/>
  <c r="BE111" i="5"/>
  <c r="BD111" i="5"/>
  <c r="AZ111" i="5"/>
  <c r="AV111" i="5"/>
  <c r="AT111" i="5"/>
  <c r="AS111" i="5"/>
  <c r="AR111" i="5"/>
  <c r="AQ111" i="5"/>
  <c r="AP111" i="5"/>
  <c r="AO111" i="5"/>
  <c r="AN111" i="5"/>
  <c r="AM111" i="5"/>
  <c r="AB111" i="5"/>
  <c r="AA111" i="5"/>
  <c r="Z111" i="5"/>
  <c r="Y111" i="5"/>
  <c r="X111" i="5"/>
  <c r="W111" i="5"/>
  <c r="V111" i="5"/>
  <c r="AL111" i="5" s="1"/>
  <c r="U111" i="5"/>
  <c r="T111" i="5"/>
  <c r="P111" i="5"/>
  <c r="L111" i="5"/>
  <c r="J111" i="5"/>
  <c r="I111" i="5"/>
  <c r="H111" i="5"/>
  <c r="G111" i="5"/>
  <c r="F111" i="5"/>
  <c r="E111" i="5"/>
  <c r="D111" i="5"/>
  <c r="C111" i="5"/>
  <c r="CX110" i="5"/>
  <c r="DF110" i="5" s="1"/>
  <c r="CW110" i="5"/>
  <c r="DE110" i="5" s="1"/>
  <c r="CV110" i="5"/>
  <c r="DD110" i="5" s="1"/>
  <c r="CU110" i="5"/>
  <c r="DC110" i="5" s="1"/>
  <c r="CT110" i="5"/>
  <c r="DB110" i="5" s="1"/>
  <c r="CS110" i="5"/>
  <c r="DA110" i="5" s="1"/>
  <c r="CR110" i="5"/>
  <c r="DH110" i="5" s="1"/>
  <c r="CQ110" i="5"/>
  <c r="CY110" i="5" s="1"/>
  <c r="CP110" i="5"/>
  <c r="CL110" i="5"/>
  <c r="CH110" i="5"/>
  <c r="CF110" i="5"/>
  <c r="CN110" i="5" s="1"/>
  <c r="CE110" i="5"/>
  <c r="CM110" i="5" s="1"/>
  <c r="CD110" i="5"/>
  <c r="CC110" i="5"/>
  <c r="CK110" i="5" s="1"/>
  <c r="CB110" i="5"/>
  <c r="CJ110" i="5" s="1"/>
  <c r="CA110" i="5"/>
  <c r="CI110" i="5" s="1"/>
  <c r="BZ110" i="5"/>
  <c r="BY110" i="5"/>
  <c r="CG110" i="5" s="1"/>
  <c r="BV110" i="5"/>
  <c r="BT110" i="5"/>
  <c r="BS110" i="5"/>
  <c r="BR110" i="5"/>
  <c r="BQ110" i="5"/>
  <c r="BP110" i="5"/>
  <c r="BO110" i="5"/>
  <c r="BN110" i="5"/>
  <c r="BM110" i="5"/>
  <c r="BD110" i="5"/>
  <c r="BB110" i="5"/>
  <c r="BA110" i="5"/>
  <c r="AZ110" i="5"/>
  <c r="AY110" i="5"/>
  <c r="AX110" i="5"/>
  <c r="AW110" i="5"/>
  <c r="AV110" i="5"/>
  <c r="AU110" i="5"/>
  <c r="BC110" i="5" s="1"/>
  <c r="AL110" i="5"/>
  <c r="AJ110" i="5"/>
  <c r="AI110" i="5"/>
  <c r="AH110" i="5"/>
  <c r="AG110" i="5"/>
  <c r="AF110" i="5"/>
  <c r="AE110" i="5"/>
  <c r="AD110" i="5"/>
  <c r="AC110" i="5"/>
  <c r="T110" i="5"/>
  <c r="R110" i="5"/>
  <c r="Q110" i="5"/>
  <c r="P110" i="5"/>
  <c r="O110" i="5"/>
  <c r="N110" i="5"/>
  <c r="M110" i="5"/>
  <c r="L110" i="5"/>
  <c r="K110" i="5"/>
  <c r="S110" i="5" s="1"/>
  <c r="CX109" i="5"/>
  <c r="DF109" i="5" s="1"/>
  <c r="CW109" i="5"/>
  <c r="DE109" i="5" s="1"/>
  <c r="CV109" i="5"/>
  <c r="DD109" i="5" s="1"/>
  <c r="CU109" i="5"/>
  <c r="DC109" i="5" s="1"/>
  <c r="CT109" i="5"/>
  <c r="DB109" i="5" s="1"/>
  <c r="CS109" i="5"/>
  <c r="DA109" i="5" s="1"/>
  <c r="CR109" i="5"/>
  <c r="DH109" i="5" s="1"/>
  <c r="CQ109" i="5"/>
  <c r="CY109" i="5" s="1"/>
  <c r="CP109" i="5"/>
  <c r="CL109" i="5"/>
  <c r="CH109" i="5"/>
  <c r="CF109" i="5"/>
  <c r="CN109" i="5" s="1"/>
  <c r="CE109" i="5"/>
  <c r="CM109" i="5" s="1"/>
  <c r="CD109" i="5"/>
  <c r="CC109" i="5"/>
  <c r="CK109" i="5" s="1"/>
  <c r="CB109" i="5"/>
  <c r="CJ109" i="5" s="1"/>
  <c r="CA109" i="5"/>
  <c r="CI109" i="5" s="1"/>
  <c r="BZ109" i="5"/>
  <c r="BY109" i="5"/>
  <c r="CG109" i="5" s="1"/>
  <c r="BV109" i="5"/>
  <c r="BT109" i="5"/>
  <c r="BS109" i="5"/>
  <c r="BR109" i="5"/>
  <c r="BQ109" i="5"/>
  <c r="BP109" i="5"/>
  <c r="BO109" i="5"/>
  <c r="BN109" i="5"/>
  <c r="BM109" i="5"/>
  <c r="BD109" i="5"/>
  <c r="BB109" i="5"/>
  <c r="BA109" i="5"/>
  <c r="AZ109" i="5"/>
  <c r="AY109" i="5"/>
  <c r="AX109" i="5"/>
  <c r="AW109" i="5"/>
  <c r="AV109" i="5"/>
  <c r="AU109" i="5"/>
  <c r="BC109" i="5" s="1"/>
  <c r="AL109" i="5"/>
  <c r="AJ109" i="5"/>
  <c r="AI109" i="5"/>
  <c r="AH109" i="5"/>
  <c r="AG109" i="5"/>
  <c r="AF109" i="5"/>
  <c r="AE109" i="5"/>
  <c r="AD109" i="5"/>
  <c r="AC109" i="5"/>
  <c r="T109" i="5"/>
  <c r="R109" i="5"/>
  <c r="Q109" i="5"/>
  <c r="P109" i="5"/>
  <c r="O109" i="5"/>
  <c r="N109" i="5"/>
  <c r="M109" i="5"/>
  <c r="L109" i="5"/>
  <c r="K109" i="5"/>
  <c r="S109" i="5" s="1"/>
  <c r="CX108" i="5"/>
  <c r="DF108" i="5" s="1"/>
  <c r="CW108" i="5"/>
  <c r="DE108" i="5" s="1"/>
  <c r="CV108" i="5"/>
  <c r="DD108" i="5" s="1"/>
  <c r="CU108" i="5"/>
  <c r="DC108" i="5" s="1"/>
  <c r="CT108" i="5"/>
  <c r="DB108" i="5" s="1"/>
  <c r="CS108" i="5"/>
  <c r="DA108" i="5" s="1"/>
  <c r="CR108" i="5"/>
  <c r="DH108" i="5" s="1"/>
  <c r="CQ108" i="5"/>
  <c r="CY108" i="5" s="1"/>
  <c r="CP108" i="5"/>
  <c r="CL108" i="5"/>
  <c r="CH108" i="5"/>
  <c r="CF108" i="5"/>
  <c r="CN108" i="5" s="1"/>
  <c r="CE108" i="5"/>
  <c r="CM108" i="5" s="1"/>
  <c r="CD108" i="5"/>
  <c r="CC108" i="5"/>
  <c r="CK108" i="5" s="1"/>
  <c r="CB108" i="5"/>
  <c r="CJ108" i="5" s="1"/>
  <c r="CA108" i="5"/>
  <c r="CI108" i="5" s="1"/>
  <c r="BZ108" i="5"/>
  <c r="BY108" i="5"/>
  <c r="CG108" i="5" s="1"/>
  <c r="BV108" i="5"/>
  <c r="BT108" i="5"/>
  <c r="BS108" i="5"/>
  <c r="BR108" i="5"/>
  <c r="BQ108" i="5"/>
  <c r="BP108" i="5"/>
  <c r="BO108" i="5"/>
  <c r="BN108" i="5"/>
  <c r="BM108" i="5"/>
  <c r="BD108" i="5"/>
  <c r="BB108" i="5"/>
  <c r="BA108" i="5"/>
  <c r="AZ108" i="5"/>
  <c r="AY108" i="5"/>
  <c r="AX108" i="5"/>
  <c r="AW108" i="5"/>
  <c r="AV108" i="5"/>
  <c r="AU108" i="5"/>
  <c r="BC108" i="5" s="1"/>
  <c r="AL108" i="5"/>
  <c r="AJ108" i="5"/>
  <c r="AI108" i="5"/>
  <c r="AH108" i="5"/>
  <c r="AG108" i="5"/>
  <c r="AF108" i="5"/>
  <c r="AE108" i="5"/>
  <c r="AD108" i="5"/>
  <c r="AC108" i="5"/>
  <c r="T108" i="5"/>
  <c r="R108" i="5"/>
  <c r="Q108" i="5"/>
  <c r="P108" i="5"/>
  <c r="O108" i="5"/>
  <c r="N108" i="5"/>
  <c r="M108" i="5"/>
  <c r="L108" i="5"/>
  <c r="K108" i="5"/>
  <c r="S108" i="5" s="1"/>
  <c r="CX107" i="5"/>
  <c r="CX111" i="5" s="1"/>
  <c r="CW107" i="5"/>
  <c r="CW111" i="5" s="1"/>
  <c r="CV107" i="5"/>
  <c r="CV111" i="5" s="1"/>
  <c r="CU107" i="5"/>
  <c r="CU111" i="5" s="1"/>
  <c r="CT107" i="5"/>
  <c r="CT111" i="5" s="1"/>
  <c r="CS107" i="5"/>
  <c r="CS111" i="5" s="1"/>
  <c r="CR107" i="5"/>
  <c r="CR111" i="5" s="1"/>
  <c r="CQ107" i="5"/>
  <c r="CQ111" i="5" s="1"/>
  <c r="DH111" i="5" s="1"/>
  <c r="CP107" i="5"/>
  <c r="CL107" i="5"/>
  <c r="CL111" i="5" s="1"/>
  <c r="CH107" i="5"/>
  <c r="CH111" i="5" s="1"/>
  <c r="CF107" i="5"/>
  <c r="CF111" i="5" s="1"/>
  <c r="CE107" i="5"/>
  <c r="CE111" i="5" s="1"/>
  <c r="CD107" i="5"/>
  <c r="CC107" i="5"/>
  <c r="CC111" i="5" s="1"/>
  <c r="CB107" i="5"/>
  <c r="CB111" i="5" s="1"/>
  <c r="CA107" i="5"/>
  <c r="CA111" i="5" s="1"/>
  <c r="BZ107" i="5"/>
  <c r="BY107" i="5"/>
  <c r="BY111" i="5" s="1"/>
  <c r="BV107" i="5"/>
  <c r="BT107" i="5"/>
  <c r="BT111" i="5" s="1"/>
  <c r="BS107" i="5"/>
  <c r="BS111" i="5" s="1"/>
  <c r="BR107" i="5"/>
  <c r="BR111" i="5" s="1"/>
  <c r="BQ107" i="5"/>
  <c r="BQ111" i="5" s="1"/>
  <c r="BP107" i="5"/>
  <c r="BP111" i="5" s="1"/>
  <c r="BO107" i="5"/>
  <c r="BO111" i="5" s="1"/>
  <c r="BN107" i="5"/>
  <c r="BN111" i="5" s="1"/>
  <c r="BM107" i="5"/>
  <c r="BM111" i="5" s="1"/>
  <c r="BD107" i="5"/>
  <c r="BB107" i="5"/>
  <c r="BB111" i="5" s="1"/>
  <c r="BA107" i="5"/>
  <c r="BA111" i="5" s="1"/>
  <c r="AZ107" i="5"/>
  <c r="AY107" i="5"/>
  <c r="AY111" i="5" s="1"/>
  <c r="AX107" i="5"/>
  <c r="AX111" i="5" s="1"/>
  <c r="AW107" i="5"/>
  <c r="AW111" i="5" s="1"/>
  <c r="AV107" i="5"/>
  <c r="AU107" i="5"/>
  <c r="AU111" i="5" s="1"/>
  <c r="AL107" i="5"/>
  <c r="AJ107" i="5"/>
  <c r="AJ111" i="5" s="1"/>
  <c r="AI107" i="5"/>
  <c r="AI111" i="5" s="1"/>
  <c r="AH107" i="5"/>
  <c r="AH111" i="5" s="1"/>
  <c r="AG107" i="5"/>
  <c r="AG111" i="5" s="1"/>
  <c r="AF107" i="5"/>
  <c r="AF111" i="5" s="1"/>
  <c r="AE107" i="5"/>
  <c r="AE111" i="5" s="1"/>
  <c r="AD107" i="5"/>
  <c r="AD111" i="5" s="1"/>
  <c r="AC107" i="5"/>
  <c r="AC111" i="5" s="1"/>
  <c r="T107" i="5"/>
  <c r="R107" i="5"/>
  <c r="R111" i="5" s="1"/>
  <c r="Q107" i="5"/>
  <c r="Q111" i="5" s="1"/>
  <c r="P107" i="5"/>
  <c r="O107" i="5"/>
  <c r="O111" i="5" s="1"/>
  <c r="N107" i="5"/>
  <c r="N111" i="5" s="1"/>
  <c r="M107" i="5"/>
  <c r="M111" i="5" s="1"/>
  <c r="L107" i="5"/>
  <c r="K107" i="5"/>
  <c r="K111" i="5" s="1"/>
  <c r="CD106" i="5"/>
  <c r="BZ106" i="5"/>
  <c r="BL106" i="5"/>
  <c r="BK106" i="5"/>
  <c r="BJ106" i="5"/>
  <c r="BI106" i="5"/>
  <c r="BH106" i="5"/>
  <c r="BG106" i="5"/>
  <c r="BF106" i="5"/>
  <c r="BV106" i="5" s="1"/>
  <c r="BE106" i="5"/>
  <c r="BD106" i="5"/>
  <c r="AZ106" i="5"/>
  <c r="AT106" i="5"/>
  <c r="AS106" i="5"/>
  <c r="AR106" i="5"/>
  <c r="AQ106" i="5"/>
  <c r="AP106" i="5"/>
  <c r="AO106" i="5"/>
  <c r="AN106" i="5"/>
  <c r="AM106" i="5"/>
  <c r="AB106" i="5"/>
  <c r="AA106" i="5"/>
  <c r="Z106" i="5"/>
  <c r="Y106" i="5"/>
  <c r="X106" i="5"/>
  <c r="W106" i="5"/>
  <c r="V106" i="5"/>
  <c r="AL106" i="5" s="1"/>
  <c r="U106" i="5"/>
  <c r="T106" i="5"/>
  <c r="J106" i="5"/>
  <c r="I106" i="5"/>
  <c r="H106" i="5"/>
  <c r="G106" i="5"/>
  <c r="F106" i="5"/>
  <c r="E106" i="5"/>
  <c r="D106" i="5"/>
  <c r="C106" i="5"/>
  <c r="CX105" i="5"/>
  <c r="DF105" i="5" s="1"/>
  <c r="CW105" i="5"/>
  <c r="DE105" i="5" s="1"/>
  <c r="CV105" i="5"/>
  <c r="DD105" i="5" s="1"/>
  <c r="CU105" i="5"/>
  <c r="DC105" i="5" s="1"/>
  <c r="CT105" i="5"/>
  <c r="DB105" i="5" s="1"/>
  <c r="CS105" i="5"/>
  <c r="DA105" i="5" s="1"/>
  <c r="CR105" i="5"/>
  <c r="DH105" i="5" s="1"/>
  <c r="CQ105" i="5"/>
  <c r="CY105" i="5" s="1"/>
  <c r="CP105" i="5"/>
  <c r="CL105" i="5"/>
  <c r="CH105" i="5"/>
  <c r="CF105" i="5"/>
  <c r="CN105" i="5" s="1"/>
  <c r="CE105" i="5"/>
  <c r="CM105" i="5" s="1"/>
  <c r="CD105" i="5"/>
  <c r="CC105" i="5"/>
  <c r="CK105" i="5" s="1"/>
  <c r="CB105" i="5"/>
  <c r="CJ105" i="5" s="1"/>
  <c r="CA105" i="5"/>
  <c r="CI105" i="5" s="1"/>
  <c r="BZ105" i="5"/>
  <c r="BY105" i="5"/>
  <c r="CG105" i="5" s="1"/>
  <c r="BV105" i="5"/>
  <c r="BT105" i="5"/>
  <c r="BS105" i="5"/>
  <c r="BR105" i="5"/>
  <c r="BQ105" i="5"/>
  <c r="BP105" i="5"/>
  <c r="BO105" i="5"/>
  <c r="BN105" i="5"/>
  <c r="BM105" i="5"/>
  <c r="BD105" i="5"/>
  <c r="BB105" i="5"/>
  <c r="BA105" i="5"/>
  <c r="AZ105" i="5"/>
  <c r="AY105" i="5"/>
  <c r="AX105" i="5"/>
  <c r="AW105" i="5"/>
  <c r="AV105" i="5"/>
  <c r="AU105" i="5"/>
  <c r="BC105" i="5" s="1"/>
  <c r="AL105" i="5"/>
  <c r="AJ105" i="5"/>
  <c r="AI105" i="5"/>
  <c r="AH105" i="5"/>
  <c r="AG105" i="5"/>
  <c r="AF105" i="5"/>
  <c r="AE105" i="5"/>
  <c r="AD105" i="5"/>
  <c r="AC105" i="5"/>
  <c r="T105" i="5"/>
  <c r="R105" i="5"/>
  <c r="Q105" i="5"/>
  <c r="P105" i="5"/>
  <c r="O105" i="5"/>
  <c r="N105" i="5"/>
  <c r="M105" i="5"/>
  <c r="L105" i="5"/>
  <c r="K105" i="5"/>
  <c r="S105" i="5" s="1"/>
  <c r="CX104" i="5"/>
  <c r="DF104" i="5" s="1"/>
  <c r="CW104" i="5"/>
  <c r="DE104" i="5" s="1"/>
  <c r="CV104" i="5"/>
  <c r="DD104" i="5" s="1"/>
  <c r="CU104" i="5"/>
  <c r="DC104" i="5" s="1"/>
  <c r="CT104" i="5"/>
  <c r="DB104" i="5" s="1"/>
  <c r="CS104" i="5"/>
  <c r="DA104" i="5" s="1"/>
  <c r="CR104" i="5"/>
  <c r="DH104" i="5" s="1"/>
  <c r="CQ104" i="5"/>
  <c r="CY104" i="5" s="1"/>
  <c r="CP104" i="5"/>
  <c r="CL104" i="5"/>
  <c r="CH104" i="5"/>
  <c r="CF104" i="5"/>
  <c r="CN104" i="5" s="1"/>
  <c r="CE104" i="5"/>
  <c r="CM104" i="5" s="1"/>
  <c r="CD104" i="5"/>
  <c r="CC104" i="5"/>
  <c r="CK104" i="5" s="1"/>
  <c r="CB104" i="5"/>
  <c r="CJ104" i="5" s="1"/>
  <c r="CA104" i="5"/>
  <c r="CI104" i="5" s="1"/>
  <c r="BZ104" i="5"/>
  <c r="BY104" i="5"/>
  <c r="CG104" i="5" s="1"/>
  <c r="BV104" i="5"/>
  <c r="BT104" i="5"/>
  <c r="BS104" i="5"/>
  <c r="BR104" i="5"/>
  <c r="BQ104" i="5"/>
  <c r="BP104" i="5"/>
  <c r="BO104" i="5"/>
  <c r="BN104" i="5"/>
  <c r="BM104" i="5"/>
  <c r="BD104" i="5"/>
  <c r="BB104" i="5"/>
  <c r="BA104" i="5"/>
  <c r="AZ104" i="5"/>
  <c r="AY104" i="5"/>
  <c r="AX104" i="5"/>
  <c r="AW104" i="5"/>
  <c r="AV104" i="5"/>
  <c r="AU104" i="5"/>
  <c r="BC104" i="5" s="1"/>
  <c r="AL104" i="5"/>
  <c r="AJ104" i="5"/>
  <c r="AI104" i="5"/>
  <c r="AH104" i="5"/>
  <c r="AG104" i="5"/>
  <c r="AF104" i="5"/>
  <c r="AE104" i="5"/>
  <c r="AD104" i="5"/>
  <c r="AC104" i="5"/>
  <c r="T104" i="5"/>
  <c r="R104" i="5"/>
  <c r="Q104" i="5"/>
  <c r="P104" i="5"/>
  <c r="O104" i="5"/>
  <c r="N104" i="5"/>
  <c r="M104" i="5"/>
  <c r="L104" i="5"/>
  <c r="K104" i="5"/>
  <c r="S104" i="5" s="1"/>
  <c r="CX103" i="5"/>
  <c r="DF103" i="5" s="1"/>
  <c r="CW103" i="5"/>
  <c r="DE103" i="5" s="1"/>
  <c r="CV103" i="5"/>
  <c r="DD103" i="5" s="1"/>
  <c r="CU103" i="5"/>
  <c r="DC103" i="5" s="1"/>
  <c r="CT103" i="5"/>
  <c r="DB103" i="5" s="1"/>
  <c r="CS103" i="5"/>
  <c r="DA103" i="5" s="1"/>
  <c r="CR103" i="5"/>
  <c r="DH103" i="5" s="1"/>
  <c r="CQ103" i="5"/>
  <c r="CY103" i="5" s="1"/>
  <c r="CP103" i="5"/>
  <c r="CL103" i="5"/>
  <c r="CH103" i="5"/>
  <c r="CF103" i="5"/>
  <c r="CN103" i="5" s="1"/>
  <c r="CE103" i="5"/>
  <c r="CM103" i="5" s="1"/>
  <c r="CD103" i="5"/>
  <c r="CC103" i="5"/>
  <c r="CK103" i="5" s="1"/>
  <c r="CB103" i="5"/>
  <c r="CJ103" i="5" s="1"/>
  <c r="CA103" i="5"/>
  <c r="CI103" i="5" s="1"/>
  <c r="BZ103" i="5"/>
  <c r="BY103" i="5"/>
  <c r="CG103" i="5" s="1"/>
  <c r="BV103" i="5"/>
  <c r="BT103" i="5"/>
  <c r="BS103" i="5"/>
  <c r="BR103" i="5"/>
  <c r="BQ103" i="5"/>
  <c r="BP103" i="5"/>
  <c r="BO103" i="5"/>
  <c r="BN103" i="5"/>
  <c r="BM103" i="5"/>
  <c r="BD103" i="5"/>
  <c r="BB103" i="5"/>
  <c r="BA103" i="5"/>
  <c r="AZ103" i="5"/>
  <c r="AY103" i="5"/>
  <c r="AX103" i="5"/>
  <c r="AW103" i="5"/>
  <c r="AV103" i="5"/>
  <c r="AU103" i="5"/>
  <c r="BC103" i="5" s="1"/>
  <c r="AL103" i="5"/>
  <c r="AJ103" i="5"/>
  <c r="AI103" i="5"/>
  <c r="AH103" i="5"/>
  <c r="AG103" i="5"/>
  <c r="AF103" i="5"/>
  <c r="AE103" i="5"/>
  <c r="AD103" i="5"/>
  <c r="AC103" i="5"/>
  <c r="T103" i="5"/>
  <c r="R103" i="5"/>
  <c r="Q103" i="5"/>
  <c r="P103" i="5"/>
  <c r="O103" i="5"/>
  <c r="N103" i="5"/>
  <c r="M103" i="5"/>
  <c r="L103" i="5"/>
  <c r="K103" i="5"/>
  <c r="S103" i="5" s="1"/>
  <c r="CX102" i="5"/>
  <c r="CX106" i="5" s="1"/>
  <c r="CW102" i="5"/>
  <c r="CW106" i="5" s="1"/>
  <c r="CV102" i="5"/>
  <c r="CV106" i="5" s="1"/>
  <c r="CU102" i="5"/>
  <c r="CU106" i="5" s="1"/>
  <c r="CT102" i="5"/>
  <c r="CT106" i="5" s="1"/>
  <c r="CS102" i="5"/>
  <c r="CS106" i="5" s="1"/>
  <c r="CR102" i="5"/>
  <c r="CR106" i="5" s="1"/>
  <c r="CQ102" i="5"/>
  <c r="CQ106" i="5" s="1"/>
  <c r="CP102" i="5"/>
  <c r="CL102" i="5"/>
  <c r="CL106" i="5" s="1"/>
  <c r="CH102" i="5"/>
  <c r="CH106" i="5" s="1"/>
  <c r="CF102" i="5"/>
  <c r="CF106" i="5" s="1"/>
  <c r="CE102" i="5"/>
  <c r="CE106" i="5" s="1"/>
  <c r="CD102" i="5"/>
  <c r="CC102" i="5"/>
  <c r="CC106" i="5" s="1"/>
  <c r="CB102" i="5"/>
  <c r="CB106" i="5" s="1"/>
  <c r="CA102" i="5"/>
  <c r="CA106" i="5" s="1"/>
  <c r="BZ102" i="5"/>
  <c r="BY102" i="5"/>
  <c r="BY106" i="5" s="1"/>
  <c r="BV102" i="5"/>
  <c r="BT102" i="5"/>
  <c r="BT106" i="5" s="1"/>
  <c r="BS102" i="5"/>
  <c r="BS106" i="5" s="1"/>
  <c r="BR102" i="5"/>
  <c r="BR106" i="5" s="1"/>
  <c r="BQ102" i="5"/>
  <c r="BQ106" i="5" s="1"/>
  <c r="BP102" i="5"/>
  <c r="BP106" i="5" s="1"/>
  <c r="BO102" i="5"/>
  <c r="BO106" i="5" s="1"/>
  <c r="BN102" i="5"/>
  <c r="BN106" i="5" s="1"/>
  <c r="BM102" i="5"/>
  <c r="BM106" i="5" s="1"/>
  <c r="BD102" i="5"/>
  <c r="BB102" i="5"/>
  <c r="BB106" i="5" s="1"/>
  <c r="BA102" i="5"/>
  <c r="BA106" i="5" s="1"/>
  <c r="AZ102" i="5"/>
  <c r="AY102" i="5"/>
  <c r="AY106" i="5" s="1"/>
  <c r="AX102" i="5"/>
  <c r="AX106" i="5" s="1"/>
  <c r="AW102" i="5"/>
  <c r="AW106" i="5" s="1"/>
  <c r="AV102" i="5"/>
  <c r="AV106" i="5" s="1"/>
  <c r="AU102" i="5"/>
  <c r="AU106" i="5" s="1"/>
  <c r="AL102" i="5"/>
  <c r="AJ102" i="5"/>
  <c r="AJ106" i="5" s="1"/>
  <c r="AI102" i="5"/>
  <c r="AI106" i="5" s="1"/>
  <c r="AH102" i="5"/>
  <c r="AH106" i="5" s="1"/>
  <c r="AG102" i="5"/>
  <c r="AG106" i="5" s="1"/>
  <c r="AF102" i="5"/>
  <c r="AF106" i="5" s="1"/>
  <c r="AE102" i="5"/>
  <c r="AE106" i="5" s="1"/>
  <c r="AD102" i="5"/>
  <c r="AD106" i="5" s="1"/>
  <c r="AC102" i="5"/>
  <c r="AC106" i="5" s="1"/>
  <c r="T102" i="5"/>
  <c r="R102" i="5"/>
  <c r="R106" i="5" s="1"/>
  <c r="Q102" i="5"/>
  <c r="Q106" i="5" s="1"/>
  <c r="P102" i="5"/>
  <c r="P106" i="5" s="1"/>
  <c r="O102" i="5"/>
  <c r="O106" i="5" s="1"/>
  <c r="N102" i="5"/>
  <c r="N106" i="5" s="1"/>
  <c r="M102" i="5"/>
  <c r="M106" i="5" s="1"/>
  <c r="L102" i="5"/>
  <c r="L106" i="5" s="1"/>
  <c r="K102" i="5"/>
  <c r="K106" i="5" s="1"/>
  <c r="CD101" i="5"/>
  <c r="BZ101" i="5"/>
  <c r="BL101" i="5"/>
  <c r="BK101" i="5"/>
  <c r="BJ101" i="5"/>
  <c r="BI101" i="5"/>
  <c r="BH101" i="5"/>
  <c r="BG101" i="5"/>
  <c r="BF101" i="5"/>
  <c r="BV101" i="5" s="1"/>
  <c r="BE101" i="5"/>
  <c r="BD101" i="5"/>
  <c r="AZ101" i="5"/>
  <c r="AV101" i="5"/>
  <c r="AT101" i="5"/>
  <c r="AS101" i="5"/>
  <c r="AR101" i="5"/>
  <c r="AQ101" i="5"/>
  <c r="AP101" i="5"/>
  <c r="AO101" i="5"/>
  <c r="AN101" i="5"/>
  <c r="AM101" i="5"/>
  <c r="AB101" i="5"/>
  <c r="AA101" i="5"/>
  <c r="Z101" i="5"/>
  <c r="Y101" i="5"/>
  <c r="X101" i="5"/>
  <c r="W101" i="5"/>
  <c r="V101" i="5"/>
  <c r="AL101" i="5" s="1"/>
  <c r="U101" i="5"/>
  <c r="T101" i="5"/>
  <c r="P101" i="5"/>
  <c r="L101" i="5"/>
  <c r="J101" i="5"/>
  <c r="I101" i="5"/>
  <c r="H101" i="5"/>
  <c r="G101" i="5"/>
  <c r="F101" i="5"/>
  <c r="E101" i="5"/>
  <c r="D101" i="5"/>
  <c r="C101" i="5"/>
  <c r="CX100" i="5"/>
  <c r="DF100" i="5" s="1"/>
  <c r="CW100" i="5"/>
  <c r="DE100" i="5" s="1"/>
  <c r="CV100" i="5"/>
  <c r="DD100" i="5" s="1"/>
  <c r="CU100" i="5"/>
  <c r="DC100" i="5" s="1"/>
  <c r="CT100" i="5"/>
  <c r="DB100" i="5" s="1"/>
  <c r="CS100" i="5"/>
  <c r="DA100" i="5" s="1"/>
  <c r="CR100" i="5"/>
  <c r="DH100" i="5" s="1"/>
  <c r="CQ100" i="5"/>
  <c r="CY100" i="5" s="1"/>
  <c r="CP100" i="5"/>
  <c r="CL100" i="5"/>
  <c r="CH100" i="5"/>
  <c r="CF100" i="5"/>
  <c r="CN100" i="5" s="1"/>
  <c r="CE100" i="5"/>
  <c r="CM100" i="5" s="1"/>
  <c r="CD100" i="5"/>
  <c r="CC100" i="5"/>
  <c r="CK100" i="5" s="1"/>
  <c r="CB100" i="5"/>
  <c r="CJ100" i="5" s="1"/>
  <c r="CA100" i="5"/>
  <c r="CI100" i="5" s="1"/>
  <c r="BZ100" i="5"/>
  <c r="BY100" i="5"/>
  <c r="CG100" i="5" s="1"/>
  <c r="BV100" i="5"/>
  <c r="BT100" i="5"/>
  <c r="BS100" i="5"/>
  <c r="BR100" i="5"/>
  <c r="BQ100" i="5"/>
  <c r="BP100" i="5"/>
  <c r="BO100" i="5"/>
  <c r="BN100" i="5"/>
  <c r="BM100" i="5"/>
  <c r="BD100" i="5"/>
  <c r="BB100" i="5"/>
  <c r="BA100" i="5"/>
  <c r="AZ100" i="5"/>
  <c r="AY100" i="5"/>
  <c r="AX100" i="5"/>
  <c r="AW100" i="5"/>
  <c r="AV100" i="5"/>
  <c r="AU100" i="5"/>
  <c r="BC100" i="5" s="1"/>
  <c r="AL100" i="5"/>
  <c r="AJ100" i="5"/>
  <c r="AI100" i="5"/>
  <c r="AH100" i="5"/>
  <c r="AG100" i="5"/>
  <c r="AF100" i="5"/>
  <c r="AE100" i="5"/>
  <c r="AD100" i="5"/>
  <c r="AC100" i="5"/>
  <c r="T100" i="5"/>
  <c r="R100" i="5"/>
  <c r="Q100" i="5"/>
  <c r="P100" i="5"/>
  <c r="O100" i="5"/>
  <c r="N100" i="5"/>
  <c r="M100" i="5"/>
  <c r="L100" i="5"/>
  <c r="K100" i="5"/>
  <c r="S100" i="5" s="1"/>
  <c r="CX99" i="5"/>
  <c r="DF99" i="5" s="1"/>
  <c r="CW99" i="5"/>
  <c r="DE99" i="5" s="1"/>
  <c r="CV99" i="5"/>
  <c r="DD99" i="5" s="1"/>
  <c r="CU99" i="5"/>
  <c r="DC99" i="5" s="1"/>
  <c r="CT99" i="5"/>
  <c r="DB99" i="5" s="1"/>
  <c r="CS99" i="5"/>
  <c r="DA99" i="5" s="1"/>
  <c r="CR99" i="5"/>
  <c r="DH99" i="5" s="1"/>
  <c r="CQ99" i="5"/>
  <c r="CY99" i="5" s="1"/>
  <c r="CP99" i="5"/>
  <c r="CL99" i="5"/>
  <c r="CH99" i="5"/>
  <c r="CF99" i="5"/>
  <c r="CN99" i="5" s="1"/>
  <c r="CE99" i="5"/>
  <c r="CM99" i="5" s="1"/>
  <c r="CD99" i="5"/>
  <c r="CC99" i="5"/>
  <c r="CK99" i="5" s="1"/>
  <c r="CB99" i="5"/>
  <c r="CJ99" i="5" s="1"/>
  <c r="CA99" i="5"/>
  <c r="CI99" i="5" s="1"/>
  <c r="BZ99" i="5"/>
  <c r="BY99" i="5"/>
  <c r="CG99" i="5" s="1"/>
  <c r="BV99" i="5"/>
  <c r="BT99" i="5"/>
  <c r="BS99" i="5"/>
  <c r="BR99" i="5"/>
  <c r="BQ99" i="5"/>
  <c r="BP99" i="5"/>
  <c r="BO99" i="5"/>
  <c r="BN99" i="5"/>
  <c r="BM99" i="5"/>
  <c r="BD99" i="5"/>
  <c r="BB99" i="5"/>
  <c r="BA99" i="5"/>
  <c r="AZ99" i="5"/>
  <c r="AY99" i="5"/>
  <c r="AX99" i="5"/>
  <c r="AW99" i="5"/>
  <c r="AV99" i="5"/>
  <c r="AU99" i="5"/>
  <c r="BC99" i="5" s="1"/>
  <c r="AL99" i="5"/>
  <c r="AJ99" i="5"/>
  <c r="AI99" i="5"/>
  <c r="AH99" i="5"/>
  <c r="AG99" i="5"/>
  <c r="AF99" i="5"/>
  <c r="AE99" i="5"/>
  <c r="AD99" i="5"/>
  <c r="AC99" i="5"/>
  <c r="T99" i="5"/>
  <c r="R99" i="5"/>
  <c r="Q99" i="5"/>
  <c r="P99" i="5"/>
  <c r="O99" i="5"/>
  <c r="N99" i="5"/>
  <c r="M99" i="5"/>
  <c r="L99" i="5"/>
  <c r="K99" i="5"/>
  <c r="S99" i="5" s="1"/>
  <c r="CX98" i="5"/>
  <c r="DF98" i="5" s="1"/>
  <c r="CW98" i="5"/>
  <c r="DE98" i="5" s="1"/>
  <c r="CV98" i="5"/>
  <c r="DD98" i="5" s="1"/>
  <c r="CU98" i="5"/>
  <c r="DC98" i="5" s="1"/>
  <c r="CT98" i="5"/>
  <c r="DB98" i="5" s="1"/>
  <c r="CS98" i="5"/>
  <c r="DA98" i="5" s="1"/>
  <c r="CR98" i="5"/>
  <c r="DH98" i="5" s="1"/>
  <c r="CQ98" i="5"/>
  <c r="CY98" i="5" s="1"/>
  <c r="CP98" i="5"/>
  <c r="CL98" i="5"/>
  <c r="CH98" i="5"/>
  <c r="CF98" i="5"/>
  <c r="CN98" i="5" s="1"/>
  <c r="CE98" i="5"/>
  <c r="CM98" i="5" s="1"/>
  <c r="CD98" i="5"/>
  <c r="CC98" i="5"/>
  <c r="CK98" i="5" s="1"/>
  <c r="CB98" i="5"/>
  <c r="CJ98" i="5" s="1"/>
  <c r="CA98" i="5"/>
  <c r="CI98" i="5" s="1"/>
  <c r="BZ98" i="5"/>
  <c r="BY98" i="5"/>
  <c r="CG98" i="5" s="1"/>
  <c r="BV98" i="5"/>
  <c r="BT98" i="5"/>
  <c r="BS98" i="5"/>
  <c r="BR98" i="5"/>
  <c r="BQ98" i="5"/>
  <c r="BP98" i="5"/>
  <c r="BO98" i="5"/>
  <c r="BN98" i="5"/>
  <c r="BM98" i="5"/>
  <c r="BD98" i="5"/>
  <c r="BB98" i="5"/>
  <c r="BA98" i="5"/>
  <c r="AZ98" i="5"/>
  <c r="AY98" i="5"/>
  <c r="AX98" i="5"/>
  <c r="AW98" i="5"/>
  <c r="AV98" i="5"/>
  <c r="AU98" i="5"/>
  <c r="BC98" i="5" s="1"/>
  <c r="AL98" i="5"/>
  <c r="AJ98" i="5"/>
  <c r="AI98" i="5"/>
  <c r="AH98" i="5"/>
  <c r="AG98" i="5"/>
  <c r="AF98" i="5"/>
  <c r="AE98" i="5"/>
  <c r="AD98" i="5"/>
  <c r="AC98" i="5"/>
  <c r="T98" i="5"/>
  <c r="R98" i="5"/>
  <c r="Q98" i="5"/>
  <c r="P98" i="5"/>
  <c r="O98" i="5"/>
  <c r="N98" i="5"/>
  <c r="M98" i="5"/>
  <c r="L98" i="5"/>
  <c r="K98" i="5"/>
  <c r="S98" i="5" s="1"/>
  <c r="CX97" i="5"/>
  <c r="CX101" i="5" s="1"/>
  <c r="CW97" i="5"/>
  <c r="CW101" i="5" s="1"/>
  <c r="CV97" i="5"/>
  <c r="CV101" i="5" s="1"/>
  <c r="CU97" i="5"/>
  <c r="CU101" i="5" s="1"/>
  <c r="CT97" i="5"/>
  <c r="CT101" i="5" s="1"/>
  <c r="CS97" i="5"/>
  <c r="CS101" i="5" s="1"/>
  <c r="CR97" i="5"/>
  <c r="CR101" i="5" s="1"/>
  <c r="CQ97" i="5"/>
  <c r="CQ101" i="5" s="1"/>
  <c r="DH101" i="5" s="1"/>
  <c r="CP97" i="5"/>
  <c r="CL97" i="5"/>
  <c r="CL101" i="5" s="1"/>
  <c r="CH97" i="5"/>
  <c r="CH101" i="5" s="1"/>
  <c r="CF97" i="5"/>
  <c r="CF101" i="5" s="1"/>
  <c r="CE97" i="5"/>
  <c r="CE101" i="5" s="1"/>
  <c r="CD97" i="5"/>
  <c r="CC97" i="5"/>
  <c r="CC101" i="5" s="1"/>
  <c r="CB97" i="5"/>
  <c r="CB101" i="5" s="1"/>
  <c r="CA97" i="5"/>
  <c r="CA101" i="5" s="1"/>
  <c r="BZ97" i="5"/>
  <c r="BY97" i="5"/>
  <c r="BY101" i="5" s="1"/>
  <c r="BV97" i="5"/>
  <c r="BT97" i="5"/>
  <c r="BT101" i="5" s="1"/>
  <c r="BS97" i="5"/>
  <c r="BS101" i="5" s="1"/>
  <c r="BR97" i="5"/>
  <c r="BR101" i="5" s="1"/>
  <c r="BQ97" i="5"/>
  <c r="BQ101" i="5" s="1"/>
  <c r="BP97" i="5"/>
  <c r="BP101" i="5" s="1"/>
  <c r="BO97" i="5"/>
  <c r="BO101" i="5" s="1"/>
  <c r="BN97" i="5"/>
  <c r="BN101" i="5" s="1"/>
  <c r="BM97" i="5"/>
  <c r="BM101" i="5" s="1"/>
  <c r="BD97" i="5"/>
  <c r="BB97" i="5"/>
  <c r="BB101" i="5" s="1"/>
  <c r="BA97" i="5"/>
  <c r="BA101" i="5" s="1"/>
  <c r="AZ97" i="5"/>
  <c r="AY97" i="5"/>
  <c r="AY101" i="5" s="1"/>
  <c r="AX97" i="5"/>
  <c r="AX101" i="5" s="1"/>
  <c r="AW97" i="5"/>
  <c r="AW101" i="5" s="1"/>
  <c r="AV97" i="5"/>
  <c r="AU97" i="5"/>
  <c r="AU101" i="5" s="1"/>
  <c r="AL97" i="5"/>
  <c r="AJ97" i="5"/>
  <c r="AJ101" i="5" s="1"/>
  <c r="AI97" i="5"/>
  <c r="AI101" i="5" s="1"/>
  <c r="AH97" i="5"/>
  <c r="AH101" i="5" s="1"/>
  <c r="AG97" i="5"/>
  <c r="AG101" i="5" s="1"/>
  <c r="AF97" i="5"/>
  <c r="AF101" i="5" s="1"/>
  <c r="AE97" i="5"/>
  <c r="AE101" i="5" s="1"/>
  <c r="AD97" i="5"/>
  <c r="AD101" i="5" s="1"/>
  <c r="AC97" i="5"/>
  <c r="AC101" i="5" s="1"/>
  <c r="T97" i="5"/>
  <c r="R97" i="5"/>
  <c r="R101" i="5" s="1"/>
  <c r="Q97" i="5"/>
  <c r="Q101" i="5" s="1"/>
  <c r="P97" i="5"/>
  <c r="O97" i="5"/>
  <c r="O101" i="5" s="1"/>
  <c r="N97" i="5"/>
  <c r="N101" i="5" s="1"/>
  <c r="M97" i="5"/>
  <c r="M101" i="5" s="1"/>
  <c r="L97" i="5"/>
  <c r="K97" i="5"/>
  <c r="K101" i="5" s="1"/>
  <c r="CD96" i="5"/>
  <c r="BZ96" i="5"/>
  <c r="BL96" i="5"/>
  <c r="BK96" i="5"/>
  <c r="BJ96" i="5"/>
  <c r="BI96" i="5"/>
  <c r="BH96" i="5"/>
  <c r="BG96" i="5"/>
  <c r="BF96" i="5"/>
  <c r="BV96" i="5" s="1"/>
  <c r="BE96" i="5"/>
  <c r="BD96" i="5"/>
  <c r="AZ96" i="5"/>
  <c r="AV96" i="5"/>
  <c r="AT96" i="5"/>
  <c r="AS96" i="5"/>
  <c r="AR96" i="5"/>
  <c r="AQ96" i="5"/>
  <c r="AP96" i="5"/>
  <c r="AO96" i="5"/>
  <c r="AN96" i="5"/>
  <c r="AM96" i="5"/>
  <c r="AB96" i="5"/>
  <c r="AA96" i="5"/>
  <c r="Z96" i="5"/>
  <c r="Y96" i="5"/>
  <c r="X96" i="5"/>
  <c r="W96" i="5"/>
  <c r="V96" i="5"/>
  <c r="AL96" i="5" s="1"/>
  <c r="U96" i="5"/>
  <c r="T96" i="5"/>
  <c r="P96" i="5"/>
  <c r="L96" i="5"/>
  <c r="J96" i="5"/>
  <c r="I96" i="5"/>
  <c r="H96" i="5"/>
  <c r="G96" i="5"/>
  <c r="F96" i="5"/>
  <c r="E96" i="5"/>
  <c r="D96" i="5"/>
  <c r="C96" i="5"/>
  <c r="CX95" i="5"/>
  <c r="DF95" i="5" s="1"/>
  <c r="CW95" i="5"/>
  <c r="DE95" i="5" s="1"/>
  <c r="CV95" i="5"/>
  <c r="DD95" i="5" s="1"/>
  <c r="CU95" i="5"/>
  <c r="DC95" i="5" s="1"/>
  <c r="CT95" i="5"/>
  <c r="DB95" i="5" s="1"/>
  <c r="CS95" i="5"/>
  <c r="DA95" i="5" s="1"/>
  <c r="CR95" i="5"/>
  <c r="DH95" i="5" s="1"/>
  <c r="CQ95" i="5"/>
  <c r="CY95" i="5" s="1"/>
  <c r="CP95" i="5"/>
  <c r="CL95" i="5"/>
  <c r="CH95" i="5"/>
  <c r="CF95" i="5"/>
  <c r="CN95" i="5" s="1"/>
  <c r="CE95" i="5"/>
  <c r="CM95" i="5" s="1"/>
  <c r="CD95" i="5"/>
  <c r="CC95" i="5"/>
  <c r="CK95" i="5" s="1"/>
  <c r="CB95" i="5"/>
  <c r="CJ95" i="5" s="1"/>
  <c r="CA95" i="5"/>
  <c r="CI95" i="5" s="1"/>
  <c r="BZ95" i="5"/>
  <c r="BY95" i="5"/>
  <c r="CG95" i="5" s="1"/>
  <c r="BV95" i="5"/>
  <c r="BT95" i="5"/>
  <c r="BS95" i="5"/>
  <c r="BR95" i="5"/>
  <c r="BQ95" i="5"/>
  <c r="BP95" i="5"/>
  <c r="BO95" i="5"/>
  <c r="BN95" i="5"/>
  <c r="BM95" i="5"/>
  <c r="BD95" i="5"/>
  <c r="BB95" i="5"/>
  <c r="BA95" i="5"/>
  <c r="AZ95" i="5"/>
  <c r="AY95" i="5"/>
  <c r="AX95" i="5"/>
  <c r="AW95" i="5"/>
  <c r="AV95" i="5"/>
  <c r="AU95" i="5"/>
  <c r="BC95" i="5" s="1"/>
  <c r="AL95" i="5"/>
  <c r="AJ95" i="5"/>
  <c r="AI95" i="5"/>
  <c r="AH95" i="5"/>
  <c r="AG95" i="5"/>
  <c r="AF95" i="5"/>
  <c r="AE95" i="5"/>
  <c r="AD95" i="5"/>
  <c r="AC95" i="5"/>
  <c r="T95" i="5"/>
  <c r="R95" i="5"/>
  <c r="Q95" i="5"/>
  <c r="P95" i="5"/>
  <c r="O95" i="5"/>
  <c r="N95" i="5"/>
  <c r="M95" i="5"/>
  <c r="L95" i="5"/>
  <c r="K95" i="5"/>
  <c r="S95" i="5" s="1"/>
  <c r="CX94" i="5"/>
  <c r="DF94" i="5" s="1"/>
  <c r="CW94" i="5"/>
  <c r="DE94" i="5" s="1"/>
  <c r="CV94" i="5"/>
  <c r="DD94" i="5" s="1"/>
  <c r="CU94" i="5"/>
  <c r="DC94" i="5" s="1"/>
  <c r="CT94" i="5"/>
  <c r="DB94" i="5" s="1"/>
  <c r="CS94" i="5"/>
  <c r="DA94" i="5" s="1"/>
  <c r="CR94" i="5"/>
  <c r="DH94" i="5" s="1"/>
  <c r="CQ94" i="5"/>
  <c r="CY94" i="5" s="1"/>
  <c r="CP94" i="5"/>
  <c r="CL94" i="5"/>
  <c r="CH94" i="5"/>
  <c r="CF94" i="5"/>
  <c r="CN94" i="5" s="1"/>
  <c r="CE94" i="5"/>
  <c r="CM94" i="5" s="1"/>
  <c r="CD94" i="5"/>
  <c r="CC94" i="5"/>
  <c r="CK94" i="5" s="1"/>
  <c r="CB94" i="5"/>
  <c r="CJ94" i="5" s="1"/>
  <c r="CA94" i="5"/>
  <c r="CI94" i="5" s="1"/>
  <c r="BZ94" i="5"/>
  <c r="BY94" i="5"/>
  <c r="CG94" i="5" s="1"/>
  <c r="BV94" i="5"/>
  <c r="BT94" i="5"/>
  <c r="BS94" i="5"/>
  <c r="BR94" i="5"/>
  <c r="BQ94" i="5"/>
  <c r="BP94" i="5"/>
  <c r="BO94" i="5"/>
  <c r="BN94" i="5"/>
  <c r="BM94" i="5"/>
  <c r="BD94" i="5"/>
  <c r="BB94" i="5"/>
  <c r="BA94" i="5"/>
  <c r="AZ94" i="5"/>
  <c r="AY94" i="5"/>
  <c r="AX94" i="5"/>
  <c r="AW94" i="5"/>
  <c r="AV94" i="5"/>
  <c r="AU94" i="5"/>
  <c r="BC94" i="5" s="1"/>
  <c r="AL94" i="5"/>
  <c r="AJ94" i="5"/>
  <c r="AI94" i="5"/>
  <c r="AH94" i="5"/>
  <c r="AG94" i="5"/>
  <c r="AF94" i="5"/>
  <c r="AE94" i="5"/>
  <c r="AD94" i="5"/>
  <c r="AC94" i="5"/>
  <c r="T94" i="5"/>
  <c r="R94" i="5"/>
  <c r="Q94" i="5"/>
  <c r="P94" i="5"/>
  <c r="O94" i="5"/>
  <c r="N94" i="5"/>
  <c r="M94" i="5"/>
  <c r="L94" i="5"/>
  <c r="K94" i="5"/>
  <c r="S94" i="5" s="1"/>
  <c r="CX93" i="5"/>
  <c r="DF93" i="5" s="1"/>
  <c r="CW93" i="5"/>
  <c r="DE93" i="5" s="1"/>
  <c r="CV93" i="5"/>
  <c r="DD93" i="5" s="1"/>
  <c r="CU93" i="5"/>
  <c r="DC93" i="5" s="1"/>
  <c r="CT93" i="5"/>
  <c r="DB93" i="5" s="1"/>
  <c r="CS93" i="5"/>
  <c r="DA93" i="5" s="1"/>
  <c r="CR93" i="5"/>
  <c r="DH93" i="5" s="1"/>
  <c r="CQ93" i="5"/>
  <c r="CY93" i="5" s="1"/>
  <c r="CP93" i="5"/>
  <c r="CL93" i="5"/>
  <c r="CH93" i="5"/>
  <c r="CF93" i="5"/>
  <c r="CN93" i="5" s="1"/>
  <c r="CE93" i="5"/>
  <c r="CM93" i="5" s="1"/>
  <c r="CD93" i="5"/>
  <c r="CC93" i="5"/>
  <c r="CK93" i="5" s="1"/>
  <c r="CB93" i="5"/>
  <c r="CJ93" i="5" s="1"/>
  <c r="CA93" i="5"/>
  <c r="CI93" i="5" s="1"/>
  <c r="BZ93" i="5"/>
  <c r="BY93" i="5"/>
  <c r="CG93" i="5" s="1"/>
  <c r="BV93" i="5"/>
  <c r="BT93" i="5"/>
  <c r="BS93" i="5"/>
  <c r="BR93" i="5"/>
  <c r="BQ93" i="5"/>
  <c r="BP93" i="5"/>
  <c r="BO93" i="5"/>
  <c r="BN93" i="5"/>
  <c r="BM93" i="5"/>
  <c r="BD93" i="5"/>
  <c r="BB93" i="5"/>
  <c r="BA93" i="5"/>
  <c r="AZ93" i="5"/>
  <c r="AY93" i="5"/>
  <c r="AX93" i="5"/>
  <c r="AW93" i="5"/>
  <c r="AV93" i="5"/>
  <c r="AU93" i="5"/>
  <c r="BC93" i="5" s="1"/>
  <c r="AL93" i="5"/>
  <c r="AJ93" i="5"/>
  <c r="AI93" i="5"/>
  <c r="AH93" i="5"/>
  <c r="AG93" i="5"/>
  <c r="AF93" i="5"/>
  <c r="AE93" i="5"/>
  <c r="AD93" i="5"/>
  <c r="AC93" i="5"/>
  <c r="T93" i="5"/>
  <c r="R93" i="5"/>
  <c r="Q93" i="5"/>
  <c r="P93" i="5"/>
  <c r="O93" i="5"/>
  <c r="N93" i="5"/>
  <c r="M93" i="5"/>
  <c r="L93" i="5"/>
  <c r="K93" i="5"/>
  <c r="S93" i="5" s="1"/>
  <c r="CX92" i="5"/>
  <c r="CX96" i="5" s="1"/>
  <c r="CW92" i="5"/>
  <c r="CW96" i="5" s="1"/>
  <c r="CV92" i="5"/>
  <c r="CV96" i="5" s="1"/>
  <c r="CU92" i="5"/>
  <c r="CU96" i="5" s="1"/>
  <c r="CT92" i="5"/>
  <c r="CT96" i="5" s="1"/>
  <c r="CS92" i="5"/>
  <c r="CS96" i="5" s="1"/>
  <c r="CR92" i="5"/>
  <c r="CR96" i="5" s="1"/>
  <c r="CQ92" i="5"/>
  <c r="CQ96" i="5" s="1"/>
  <c r="DH96" i="5" s="1"/>
  <c r="CP92" i="5"/>
  <c r="CL92" i="5"/>
  <c r="CL96" i="5" s="1"/>
  <c r="CH92" i="5"/>
  <c r="CH96" i="5" s="1"/>
  <c r="CF92" i="5"/>
  <c r="CF96" i="5" s="1"/>
  <c r="CE92" i="5"/>
  <c r="CE96" i="5" s="1"/>
  <c r="CD92" i="5"/>
  <c r="CC92" i="5"/>
  <c r="CC96" i="5" s="1"/>
  <c r="CB92" i="5"/>
  <c r="CB96" i="5" s="1"/>
  <c r="CA92" i="5"/>
  <c r="CA96" i="5" s="1"/>
  <c r="BZ92" i="5"/>
  <c r="BY92" i="5"/>
  <c r="BY96" i="5" s="1"/>
  <c r="BV92" i="5"/>
  <c r="BT92" i="5"/>
  <c r="BT96" i="5" s="1"/>
  <c r="BS92" i="5"/>
  <c r="BS96" i="5" s="1"/>
  <c r="BR92" i="5"/>
  <c r="BR96" i="5" s="1"/>
  <c r="BQ92" i="5"/>
  <c r="BQ96" i="5" s="1"/>
  <c r="BP92" i="5"/>
  <c r="BP96" i="5" s="1"/>
  <c r="BO92" i="5"/>
  <c r="BO96" i="5" s="1"/>
  <c r="BN92" i="5"/>
  <c r="BN96" i="5" s="1"/>
  <c r="BM92" i="5"/>
  <c r="BM96" i="5" s="1"/>
  <c r="BD92" i="5"/>
  <c r="BB92" i="5"/>
  <c r="BB96" i="5" s="1"/>
  <c r="BA92" i="5"/>
  <c r="BA96" i="5" s="1"/>
  <c r="AZ92" i="5"/>
  <c r="AY92" i="5"/>
  <c r="AY96" i="5" s="1"/>
  <c r="AX92" i="5"/>
  <c r="AX96" i="5" s="1"/>
  <c r="AW92" i="5"/>
  <c r="AW96" i="5" s="1"/>
  <c r="AV92" i="5"/>
  <c r="AU92" i="5"/>
  <c r="AU96" i="5" s="1"/>
  <c r="AL92" i="5"/>
  <c r="AJ92" i="5"/>
  <c r="AJ96" i="5" s="1"/>
  <c r="AI92" i="5"/>
  <c r="AI96" i="5" s="1"/>
  <c r="AH92" i="5"/>
  <c r="AH96" i="5" s="1"/>
  <c r="AG92" i="5"/>
  <c r="AG96" i="5" s="1"/>
  <c r="AF92" i="5"/>
  <c r="AF96" i="5" s="1"/>
  <c r="AE92" i="5"/>
  <c r="AE96" i="5" s="1"/>
  <c r="AD92" i="5"/>
  <c r="AD96" i="5" s="1"/>
  <c r="AC92" i="5"/>
  <c r="AC96" i="5" s="1"/>
  <c r="T92" i="5"/>
  <c r="R92" i="5"/>
  <c r="R96" i="5" s="1"/>
  <c r="Q92" i="5"/>
  <c r="Q96" i="5" s="1"/>
  <c r="P92" i="5"/>
  <c r="O92" i="5"/>
  <c r="O96" i="5" s="1"/>
  <c r="N92" i="5"/>
  <c r="N96" i="5" s="1"/>
  <c r="M92" i="5"/>
  <c r="M96" i="5" s="1"/>
  <c r="L92" i="5"/>
  <c r="K92" i="5"/>
  <c r="K96" i="5" s="1"/>
  <c r="BL91" i="5"/>
  <c r="BK91" i="5"/>
  <c r="BJ91" i="5"/>
  <c r="BI91" i="5"/>
  <c r="BH91" i="5"/>
  <c r="BG91" i="5"/>
  <c r="BF91" i="5"/>
  <c r="BV91" i="5" s="1"/>
  <c r="BE91" i="5"/>
  <c r="BD91" i="5"/>
  <c r="AT91" i="5"/>
  <c r="AS91" i="5"/>
  <c r="AR91" i="5"/>
  <c r="AQ91" i="5"/>
  <c r="AP91" i="5"/>
  <c r="AO91" i="5"/>
  <c r="AN91" i="5"/>
  <c r="AM91" i="5"/>
  <c r="AB91" i="5"/>
  <c r="AA91" i="5"/>
  <c r="Z91" i="5"/>
  <c r="Y91" i="5"/>
  <c r="X91" i="5"/>
  <c r="W91" i="5"/>
  <c r="V91" i="5"/>
  <c r="U91" i="5"/>
  <c r="AL91" i="5" s="1"/>
  <c r="J91" i="5"/>
  <c r="I91" i="5"/>
  <c r="H91" i="5"/>
  <c r="G91" i="5"/>
  <c r="F91" i="5"/>
  <c r="E91" i="5"/>
  <c r="D91" i="5"/>
  <c r="T91" i="5" s="1"/>
  <c r="C91" i="5"/>
  <c r="CX90" i="5"/>
  <c r="DF90" i="5" s="1"/>
  <c r="CW90" i="5"/>
  <c r="DE90" i="5" s="1"/>
  <c r="CV90" i="5"/>
  <c r="DD90" i="5" s="1"/>
  <c r="CU90" i="5"/>
  <c r="DC90" i="5" s="1"/>
  <c r="CT90" i="5"/>
  <c r="DB90" i="5" s="1"/>
  <c r="CS90" i="5"/>
  <c r="DA90" i="5" s="1"/>
  <c r="CR90" i="5"/>
  <c r="DH90" i="5" s="1"/>
  <c r="CQ90" i="5"/>
  <c r="CY90" i="5" s="1"/>
  <c r="CF90" i="5"/>
  <c r="CN90" i="5" s="1"/>
  <c r="CE90" i="5"/>
  <c r="CM90" i="5" s="1"/>
  <c r="CD90" i="5"/>
  <c r="CL90" i="5" s="1"/>
  <c r="CC90" i="5"/>
  <c r="CK90" i="5" s="1"/>
  <c r="CB90" i="5"/>
  <c r="CJ90" i="5" s="1"/>
  <c r="CA90" i="5"/>
  <c r="CI90" i="5" s="1"/>
  <c r="BZ90" i="5"/>
  <c r="CP90" i="5" s="1"/>
  <c r="BY90" i="5"/>
  <c r="CG90" i="5" s="1"/>
  <c r="BV90" i="5"/>
  <c r="BT90" i="5"/>
  <c r="BS90" i="5"/>
  <c r="BR90" i="5"/>
  <c r="BQ90" i="5"/>
  <c r="BP90" i="5"/>
  <c r="BO90" i="5"/>
  <c r="BN90" i="5"/>
  <c r="BM90" i="5"/>
  <c r="BU90" i="5" s="1"/>
  <c r="BD90" i="5"/>
  <c r="BB90" i="5"/>
  <c r="BA90" i="5"/>
  <c r="AZ90" i="5"/>
  <c r="AY90" i="5"/>
  <c r="AX90" i="5"/>
  <c r="AW90" i="5"/>
  <c r="AV90" i="5"/>
  <c r="AU90" i="5"/>
  <c r="BC90" i="5" s="1"/>
  <c r="AL90" i="5"/>
  <c r="AJ90" i="5"/>
  <c r="AI90" i="5"/>
  <c r="AH90" i="5"/>
  <c r="AG90" i="5"/>
  <c r="AF90" i="5"/>
  <c r="AE90" i="5"/>
  <c r="AD90" i="5"/>
  <c r="AC90" i="5"/>
  <c r="AK90" i="5" s="1"/>
  <c r="T90" i="5"/>
  <c r="R90" i="5"/>
  <c r="Q90" i="5"/>
  <c r="P90" i="5"/>
  <c r="O90" i="5"/>
  <c r="N90" i="5"/>
  <c r="M90" i="5"/>
  <c r="L90" i="5"/>
  <c r="K90" i="5"/>
  <c r="S90" i="5" s="1"/>
  <c r="CX89" i="5"/>
  <c r="DF89" i="5" s="1"/>
  <c r="CW89" i="5"/>
  <c r="DE89" i="5" s="1"/>
  <c r="CV89" i="5"/>
  <c r="DD89" i="5" s="1"/>
  <c r="CU89" i="5"/>
  <c r="DC89" i="5" s="1"/>
  <c r="CT89" i="5"/>
  <c r="DB89" i="5" s="1"/>
  <c r="CS89" i="5"/>
  <c r="DA89" i="5" s="1"/>
  <c r="CR89" i="5"/>
  <c r="DH89" i="5" s="1"/>
  <c r="CQ89" i="5"/>
  <c r="CY89" i="5" s="1"/>
  <c r="CF89" i="5"/>
  <c r="CN89" i="5" s="1"/>
  <c r="CE89" i="5"/>
  <c r="CM89" i="5" s="1"/>
  <c r="CD89" i="5"/>
  <c r="CL89" i="5" s="1"/>
  <c r="CC89" i="5"/>
  <c r="CK89" i="5" s="1"/>
  <c r="CB89" i="5"/>
  <c r="CJ89" i="5" s="1"/>
  <c r="CA89" i="5"/>
  <c r="CI89" i="5" s="1"/>
  <c r="BZ89" i="5"/>
  <c r="CP89" i="5" s="1"/>
  <c r="BY89" i="5"/>
  <c r="CG89" i="5" s="1"/>
  <c r="BV89" i="5"/>
  <c r="BT89" i="5"/>
  <c r="BS89" i="5"/>
  <c r="BR89" i="5"/>
  <c r="BQ89" i="5"/>
  <c r="BP89" i="5"/>
  <c r="BO89" i="5"/>
  <c r="BN89" i="5"/>
  <c r="BM89" i="5"/>
  <c r="BU89" i="5" s="1"/>
  <c r="BD89" i="5"/>
  <c r="BB89" i="5"/>
  <c r="BA89" i="5"/>
  <c r="AZ89" i="5"/>
  <c r="AY89" i="5"/>
  <c r="AX89" i="5"/>
  <c r="AW89" i="5"/>
  <c r="AV89" i="5"/>
  <c r="AU89" i="5"/>
  <c r="BC89" i="5" s="1"/>
  <c r="AL89" i="5"/>
  <c r="AJ89" i="5"/>
  <c r="AI89" i="5"/>
  <c r="AH89" i="5"/>
  <c r="AG89" i="5"/>
  <c r="AF89" i="5"/>
  <c r="AE89" i="5"/>
  <c r="AD89" i="5"/>
  <c r="AC89" i="5"/>
  <c r="AK89" i="5" s="1"/>
  <c r="T89" i="5"/>
  <c r="R89" i="5"/>
  <c r="Q89" i="5"/>
  <c r="P89" i="5"/>
  <c r="O89" i="5"/>
  <c r="N89" i="5"/>
  <c r="M89" i="5"/>
  <c r="L89" i="5"/>
  <c r="K89" i="5"/>
  <c r="S89" i="5" s="1"/>
  <c r="CX88" i="5"/>
  <c r="DF88" i="5" s="1"/>
  <c r="CW88" i="5"/>
  <c r="DE88" i="5" s="1"/>
  <c r="CV88" i="5"/>
  <c r="DD88" i="5" s="1"/>
  <c r="CU88" i="5"/>
  <c r="DC88" i="5" s="1"/>
  <c r="CT88" i="5"/>
  <c r="DB88" i="5" s="1"/>
  <c r="CS88" i="5"/>
  <c r="DA88" i="5" s="1"/>
  <c r="CR88" i="5"/>
  <c r="DH88" i="5" s="1"/>
  <c r="CQ88" i="5"/>
  <c r="CY88" i="5" s="1"/>
  <c r="CF88" i="5"/>
  <c r="CN88" i="5" s="1"/>
  <c r="CE88" i="5"/>
  <c r="CM88" i="5" s="1"/>
  <c r="CD88" i="5"/>
  <c r="CL88" i="5" s="1"/>
  <c r="CC88" i="5"/>
  <c r="CK88" i="5" s="1"/>
  <c r="CB88" i="5"/>
  <c r="CJ88" i="5" s="1"/>
  <c r="CA88" i="5"/>
  <c r="CI88" i="5" s="1"/>
  <c r="BZ88" i="5"/>
  <c r="CP88" i="5" s="1"/>
  <c r="BY88" i="5"/>
  <c r="CG88" i="5" s="1"/>
  <c r="BV88" i="5"/>
  <c r="BT88" i="5"/>
  <c r="BS88" i="5"/>
  <c r="BR88" i="5"/>
  <c r="BQ88" i="5"/>
  <c r="BP88" i="5"/>
  <c r="BO88" i="5"/>
  <c r="BN88" i="5"/>
  <c r="BM88" i="5"/>
  <c r="BU88" i="5" s="1"/>
  <c r="BD88" i="5"/>
  <c r="BB88" i="5"/>
  <c r="BA88" i="5"/>
  <c r="AZ88" i="5"/>
  <c r="AY88" i="5"/>
  <c r="AX88" i="5"/>
  <c r="AW88" i="5"/>
  <c r="AV88" i="5"/>
  <c r="AU88" i="5"/>
  <c r="BC88" i="5" s="1"/>
  <c r="AL88" i="5"/>
  <c r="AJ88" i="5"/>
  <c r="AI88" i="5"/>
  <c r="AH88" i="5"/>
  <c r="AG88" i="5"/>
  <c r="AF88" i="5"/>
  <c r="AE88" i="5"/>
  <c r="AD88" i="5"/>
  <c r="AC88" i="5"/>
  <c r="AK88" i="5" s="1"/>
  <c r="T88" i="5"/>
  <c r="R88" i="5"/>
  <c r="Q88" i="5"/>
  <c r="P88" i="5"/>
  <c r="O88" i="5"/>
  <c r="N88" i="5"/>
  <c r="M88" i="5"/>
  <c r="L88" i="5"/>
  <c r="K88" i="5"/>
  <c r="S88" i="5" s="1"/>
  <c r="CX87" i="5"/>
  <c r="CX91" i="5" s="1"/>
  <c r="CW87" i="5"/>
  <c r="CW91" i="5" s="1"/>
  <c r="CV87" i="5"/>
  <c r="CV91" i="5" s="1"/>
  <c r="CU87" i="5"/>
  <c r="CU91" i="5" s="1"/>
  <c r="CT87" i="5"/>
  <c r="CT91" i="5" s="1"/>
  <c r="CS87" i="5"/>
  <c r="CS91" i="5" s="1"/>
  <c r="CR87" i="5"/>
  <c r="CR91" i="5" s="1"/>
  <c r="CQ87" i="5"/>
  <c r="CQ91" i="5" s="1"/>
  <c r="DH91" i="5" s="1"/>
  <c r="CF87" i="5"/>
  <c r="CF91" i="5" s="1"/>
  <c r="CE87" i="5"/>
  <c r="CE91" i="5" s="1"/>
  <c r="CD87" i="5"/>
  <c r="CD91" i="5" s="1"/>
  <c r="CC87" i="5"/>
  <c r="CC91" i="5" s="1"/>
  <c r="CB87" i="5"/>
  <c r="CB91" i="5" s="1"/>
  <c r="CA87" i="5"/>
  <c r="CA91" i="5" s="1"/>
  <c r="BZ87" i="5"/>
  <c r="BZ91" i="5" s="1"/>
  <c r="CP91" i="5" s="1"/>
  <c r="BY87" i="5"/>
  <c r="BY91" i="5" s="1"/>
  <c r="BV87" i="5"/>
  <c r="BT87" i="5"/>
  <c r="BT91" i="5" s="1"/>
  <c r="BS87" i="5"/>
  <c r="BS91" i="5" s="1"/>
  <c r="BR87" i="5"/>
  <c r="BR91" i="5" s="1"/>
  <c r="BQ87" i="5"/>
  <c r="BQ91" i="5" s="1"/>
  <c r="BP87" i="5"/>
  <c r="BP91" i="5" s="1"/>
  <c r="BO87" i="5"/>
  <c r="BO91" i="5" s="1"/>
  <c r="BN87" i="5"/>
  <c r="BN91" i="5" s="1"/>
  <c r="BM87" i="5"/>
  <c r="BM91" i="5" s="1"/>
  <c r="BD87" i="5"/>
  <c r="BB87" i="5"/>
  <c r="BB91" i="5" s="1"/>
  <c r="BA87" i="5"/>
  <c r="BA91" i="5" s="1"/>
  <c r="AZ87" i="5"/>
  <c r="AZ91" i="5" s="1"/>
  <c r="AY87" i="5"/>
  <c r="AY91" i="5" s="1"/>
  <c r="AX87" i="5"/>
  <c r="AX91" i="5" s="1"/>
  <c r="AW87" i="5"/>
  <c r="AW91" i="5" s="1"/>
  <c r="AV87" i="5"/>
  <c r="AV91" i="5" s="1"/>
  <c r="AU87" i="5"/>
  <c r="AU91" i="5" s="1"/>
  <c r="AL87" i="5"/>
  <c r="AJ87" i="5"/>
  <c r="AJ91" i="5" s="1"/>
  <c r="AI87" i="5"/>
  <c r="AI91" i="5" s="1"/>
  <c r="AH87" i="5"/>
  <c r="AH91" i="5" s="1"/>
  <c r="AG87" i="5"/>
  <c r="AG91" i="5" s="1"/>
  <c r="AF87" i="5"/>
  <c r="AF91" i="5" s="1"/>
  <c r="AE87" i="5"/>
  <c r="AE91" i="5" s="1"/>
  <c r="AD87" i="5"/>
  <c r="AD91" i="5" s="1"/>
  <c r="AC87" i="5"/>
  <c r="AC91" i="5" s="1"/>
  <c r="T87" i="5"/>
  <c r="R87" i="5"/>
  <c r="R91" i="5" s="1"/>
  <c r="Q87" i="5"/>
  <c r="Q91" i="5" s="1"/>
  <c r="P87" i="5"/>
  <c r="P91" i="5" s="1"/>
  <c r="O87" i="5"/>
  <c r="O91" i="5" s="1"/>
  <c r="N87" i="5"/>
  <c r="N91" i="5" s="1"/>
  <c r="M87" i="5"/>
  <c r="M91" i="5" s="1"/>
  <c r="L87" i="5"/>
  <c r="L91" i="5" s="1"/>
  <c r="K87" i="5"/>
  <c r="K91" i="5" s="1"/>
  <c r="BL86" i="5"/>
  <c r="BK86" i="5"/>
  <c r="BJ86" i="5"/>
  <c r="BI86" i="5"/>
  <c r="BH86" i="5"/>
  <c r="BG86" i="5"/>
  <c r="BF86" i="5"/>
  <c r="BV86" i="5" s="1"/>
  <c r="BE86" i="5"/>
  <c r="AT86" i="5"/>
  <c r="AS86" i="5"/>
  <c r="AR86" i="5"/>
  <c r="AQ86" i="5"/>
  <c r="AP86" i="5"/>
  <c r="AO86" i="5"/>
  <c r="AN86" i="5"/>
  <c r="BD86" i="5" s="1"/>
  <c r="AM86" i="5"/>
  <c r="AB86" i="5"/>
  <c r="AA86" i="5"/>
  <c r="Z86" i="5"/>
  <c r="Y86" i="5"/>
  <c r="X86" i="5"/>
  <c r="W86" i="5"/>
  <c r="V86" i="5"/>
  <c r="AL86" i="5" s="1"/>
  <c r="U86" i="5"/>
  <c r="J86" i="5"/>
  <c r="I86" i="5"/>
  <c r="H86" i="5"/>
  <c r="G86" i="5"/>
  <c r="F86" i="5"/>
  <c r="E86" i="5"/>
  <c r="D86" i="5"/>
  <c r="T86" i="5" s="1"/>
  <c r="C86" i="5"/>
  <c r="CX85" i="5"/>
  <c r="DF85" i="5" s="1"/>
  <c r="CW85" i="5"/>
  <c r="DE85" i="5" s="1"/>
  <c r="CV85" i="5"/>
  <c r="DD85" i="5" s="1"/>
  <c r="CU85" i="5"/>
  <c r="DC85" i="5" s="1"/>
  <c r="CT85" i="5"/>
  <c r="DB85" i="5" s="1"/>
  <c r="CS85" i="5"/>
  <c r="DA85" i="5" s="1"/>
  <c r="CR85" i="5"/>
  <c r="DH85" i="5" s="1"/>
  <c r="CQ85" i="5"/>
  <c r="CY85" i="5" s="1"/>
  <c r="CF85" i="5"/>
  <c r="CN85" i="5" s="1"/>
  <c r="CE85" i="5"/>
  <c r="CM85" i="5" s="1"/>
  <c r="CD85" i="5"/>
  <c r="CL85" i="5" s="1"/>
  <c r="CC85" i="5"/>
  <c r="CK85" i="5" s="1"/>
  <c r="CB85" i="5"/>
  <c r="CJ85" i="5" s="1"/>
  <c r="CA85" i="5"/>
  <c r="CI85" i="5" s="1"/>
  <c r="BZ85" i="5"/>
  <c r="CP85" i="5" s="1"/>
  <c r="BY85" i="5"/>
  <c r="CG85" i="5" s="1"/>
  <c r="BV85" i="5"/>
  <c r="BT85" i="5"/>
  <c r="BS85" i="5"/>
  <c r="BR85" i="5"/>
  <c r="BQ85" i="5"/>
  <c r="BP85" i="5"/>
  <c r="BO85" i="5"/>
  <c r="BN85" i="5"/>
  <c r="BM85" i="5"/>
  <c r="BU85" i="5" s="1"/>
  <c r="BD85" i="5"/>
  <c r="BB85" i="5"/>
  <c r="BA85" i="5"/>
  <c r="AZ85" i="5"/>
  <c r="AY85" i="5"/>
  <c r="AX85" i="5"/>
  <c r="AW85" i="5"/>
  <c r="AV85" i="5"/>
  <c r="AU85" i="5"/>
  <c r="BC85" i="5" s="1"/>
  <c r="AL85" i="5"/>
  <c r="AJ85" i="5"/>
  <c r="AI85" i="5"/>
  <c r="AH85" i="5"/>
  <c r="AG85" i="5"/>
  <c r="AF85" i="5"/>
  <c r="AE85" i="5"/>
  <c r="AD85" i="5"/>
  <c r="AC85" i="5"/>
  <c r="AK85" i="5" s="1"/>
  <c r="T85" i="5"/>
  <c r="R85" i="5"/>
  <c r="Q85" i="5"/>
  <c r="P85" i="5"/>
  <c r="O85" i="5"/>
  <c r="N85" i="5"/>
  <c r="M85" i="5"/>
  <c r="L85" i="5"/>
  <c r="K85" i="5"/>
  <c r="S85" i="5" s="1"/>
  <c r="CX84" i="5"/>
  <c r="DF84" i="5" s="1"/>
  <c r="CW84" i="5"/>
  <c r="DE84" i="5" s="1"/>
  <c r="CV84" i="5"/>
  <c r="DD84" i="5" s="1"/>
  <c r="CU84" i="5"/>
  <c r="DC84" i="5" s="1"/>
  <c r="CT84" i="5"/>
  <c r="DB84" i="5" s="1"/>
  <c r="CS84" i="5"/>
  <c r="DA84" i="5" s="1"/>
  <c r="CR84" i="5"/>
  <c r="DH84" i="5" s="1"/>
  <c r="CQ84" i="5"/>
  <c r="CY84" i="5" s="1"/>
  <c r="CF84" i="5"/>
  <c r="CN84" i="5" s="1"/>
  <c r="CE84" i="5"/>
  <c r="CM84" i="5" s="1"/>
  <c r="CD84" i="5"/>
  <c r="CL84" i="5" s="1"/>
  <c r="CC84" i="5"/>
  <c r="CK84" i="5" s="1"/>
  <c r="CB84" i="5"/>
  <c r="CJ84" i="5" s="1"/>
  <c r="CA84" i="5"/>
  <c r="CI84" i="5" s="1"/>
  <c r="BZ84" i="5"/>
  <c r="CP84" i="5" s="1"/>
  <c r="BY84" i="5"/>
  <c r="CG84" i="5" s="1"/>
  <c r="BV84" i="5"/>
  <c r="BT84" i="5"/>
  <c r="BS84" i="5"/>
  <c r="BR84" i="5"/>
  <c r="BQ84" i="5"/>
  <c r="BP84" i="5"/>
  <c r="BO84" i="5"/>
  <c r="BN84" i="5"/>
  <c r="BM84" i="5"/>
  <c r="BU84" i="5" s="1"/>
  <c r="BD84" i="5"/>
  <c r="BB84" i="5"/>
  <c r="BA84" i="5"/>
  <c r="AZ84" i="5"/>
  <c r="AY84" i="5"/>
  <c r="AX84" i="5"/>
  <c r="AW84" i="5"/>
  <c r="AV84" i="5"/>
  <c r="AU84" i="5"/>
  <c r="BC84" i="5" s="1"/>
  <c r="AL84" i="5"/>
  <c r="AJ84" i="5"/>
  <c r="AI84" i="5"/>
  <c r="AH84" i="5"/>
  <c r="AG84" i="5"/>
  <c r="AF84" i="5"/>
  <c r="AE84" i="5"/>
  <c r="AD84" i="5"/>
  <c r="AC84" i="5"/>
  <c r="AK84" i="5" s="1"/>
  <c r="T84" i="5"/>
  <c r="R84" i="5"/>
  <c r="Q84" i="5"/>
  <c r="P84" i="5"/>
  <c r="O84" i="5"/>
  <c r="N84" i="5"/>
  <c r="M84" i="5"/>
  <c r="L84" i="5"/>
  <c r="K84" i="5"/>
  <c r="S84" i="5" s="1"/>
  <c r="CX83" i="5"/>
  <c r="DF83" i="5" s="1"/>
  <c r="CW83" i="5"/>
  <c r="DE83" i="5" s="1"/>
  <c r="CV83" i="5"/>
  <c r="DD83" i="5" s="1"/>
  <c r="CU83" i="5"/>
  <c r="DC83" i="5" s="1"/>
  <c r="CT83" i="5"/>
  <c r="DB83" i="5" s="1"/>
  <c r="CS83" i="5"/>
  <c r="DA83" i="5" s="1"/>
  <c r="CR83" i="5"/>
  <c r="DH83" i="5" s="1"/>
  <c r="CQ83" i="5"/>
  <c r="CY83" i="5" s="1"/>
  <c r="CF83" i="5"/>
  <c r="CN83" i="5" s="1"/>
  <c r="CE83" i="5"/>
  <c r="CM83" i="5" s="1"/>
  <c r="CD83" i="5"/>
  <c r="CL83" i="5" s="1"/>
  <c r="CC83" i="5"/>
  <c r="CK83" i="5" s="1"/>
  <c r="CB83" i="5"/>
  <c r="CJ83" i="5" s="1"/>
  <c r="CA83" i="5"/>
  <c r="CI83" i="5" s="1"/>
  <c r="BZ83" i="5"/>
  <c r="CP83" i="5" s="1"/>
  <c r="BY83" i="5"/>
  <c r="CG83" i="5" s="1"/>
  <c r="BV83" i="5"/>
  <c r="BT83" i="5"/>
  <c r="BS83" i="5"/>
  <c r="BR83" i="5"/>
  <c r="BQ83" i="5"/>
  <c r="BP83" i="5"/>
  <c r="BO83" i="5"/>
  <c r="BN83" i="5"/>
  <c r="BM83" i="5"/>
  <c r="BU83" i="5" s="1"/>
  <c r="BD83" i="5"/>
  <c r="BB83" i="5"/>
  <c r="BA83" i="5"/>
  <c r="AZ83" i="5"/>
  <c r="AY83" i="5"/>
  <c r="AX83" i="5"/>
  <c r="AW83" i="5"/>
  <c r="AV83" i="5"/>
  <c r="AU83" i="5"/>
  <c r="BC83" i="5" s="1"/>
  <c r="AL83" i="5"/>
  <c r="AJ83" i="5"/>
  <c r="AI83" i="5"/>
  <c r="AH83" i="5"/>
  <c r="AG83" i="5"/>
  <c r="AF83" i="5"/>
  <c r="AE83" i="5"/>
  <c r="AD83" i="5"/>
  <c r="AC83" i="5"/>
  <c r="AK83" i="5" s="1"/>
  <c r="T83" i="5"/>
  <c r="R83" i="5"/>
  <c r="Q83" i="5"/>
  <c r="P83" i="5"/>
  <c r="O83" i="5"/>
  <c r="N83" i="5"/>
  <c r="M83" i="5"/>
  <c r="L83" i="5"/>
  <c r="K83" i="5"/>
  <c r="S83" i="5" s="1"/>
  <c r="CX82" i="5"/>
  <c r="CX86" i="5" s="1"/>
  <c r="CW82" i="5"/>
  <c r="CW86" i="5" s="1"/>
  <c r="CV82" i="5"/>
  <c r="CV86" i="5" s="1"/>
  <c r="CU82" i="5"/>
  <c r="CU86" i="5" s="1"/>
  <c r="CT82" i="5"/>
  <c r="CT86" i="5" s="1"/>
  <c r="CS82" i="5"/>
  <c r="CS86" i="5" s="1"/>
  <c r="CR82" i="5"/>
  <c r="CR86" i="5" s="1"/>
  <c r="CQ82" i="5"/>
  <c r="CQ86" i="5" s="1"/>
  <c r="CF82" i="5"/>
  <c r="CF86" i="5" s="1"/>
  <c r="CE82" i="5"/>
  <c r="CE86" i="5" s="1"/>
  <c r="CD82" i="5"/>
  <c r="CD86" i="5" s="1"/>
  <c r="CC82" i="5"/>
  <c r="CC86" i="5" s="1"/>
  <c r="CB82" i="5"/>
  <c r="CB86" i="5" s="1"/>
  <c r="CA82" i="5"/>
  <c r="CA86" i="5" s="1"/>
  <c r="BZ82" i="5"/>
  <c r="BZ86" i="5" s="1"/>
  <c r="BY82" i="5"/>
  <c r="BY86" i="5" s="1"/>
  <c r="BV82" i="5"/>
  <c r="BT82" i="5"/>
  <c r="BT86" i="5" s="1"/>
  <c r="BS82" i="5"/>
  <c r="BS86" i="5" s="1"/>
  <c r="BR82" i="5"/>
  <c r="BR86" i="5" s="1"/>
  <c r="BQ82" i="5"/>
  <c r="BQ86" i="5" s="1"/>
  <c r="BP82" i="5"/>
  <c r="BP86" i="5" s="1"/>
  <c r="BO82" i="5"/>
  <c r="BO86" i="5" s="1"/>
  <c r="BN82" i="5"/>
  <c r="BN86" i="5" s="1"/>
  <c r="BM82" i="5"/>
  <c r="BM86" i="5" s="1"/>
  <c r="BU86" i="5" s="1"/>
  <c r="BD82" i="5"/>
  <c r="BB82" i="5"/>
  <c r="BB86" i="5" s="1"/>
  <c r="BA82" i="5"/>
  <c r="BA86" i="5" s="1"/>
  <c r="AZ82" i="5"/>
  <c r="AZ86" i="5" s="1"/>
  <c r="AY82" i="5"/>
  <c r="AY86" i="5" s="1"/>
  <c r="AX82" i="5"/>
  <c r="AX86" i="5" s="1"/>
  <c r="AW82" i="5"/>
  <c r="AW86" i="5" s="1"/>
  <c r="AV82" i="5"/>
  <c r="AV86" i="5" s="1"/>
  <c r="AU82" i="5"/>
  <c r="AU86" i="5" s="1"/>
  <c r="AL82" i="5"/>
  <c r="AJ82" i="5"/>
  <c r="AJ86" i="5" s="1"/>
  <c r="AI82" i="5"/>
  <c r="AI86" i="5" s="1"/>
  <c r="AH82" i="5"/>
  <c r="AH86" i="5" s="1"/>
  <c r="AG82" i="5"/>
  <c r="AG86" i="5" s="1"/>
  <c r="AF82" i="5"/>
  <c r="AF86" i="5" s="1"/>
  <c r="AE82" i="5"/>
  <c r="AE86" i="5" s="1"/>
  <c r="AD82" i="5"/>
  <c r="AD86" i="5" s="1"/>
  <c r="AC82" i="5"/>
  <c r="AC86" i="5" s="1"/>
  <c r="AK86" i="5" s="1"/>
  <c r="T82" i="5"/>
  <c r="R82" i="5"/>
  <c r="R86" i="5" s="1"/>
  <c r="Q82" i="5"/>
  <c r="Q86" i="5" s="1"/>
  <c r="P82" i="5"/>
  <c r="P86" i="5" s="1"/>
  <c r="O82" i="5"/>
  <c r="O86" i="5" s="1"/>
  <c r="N82" i="5"/>
  <c r="N86" i="5" s="1"/>
  <c r="M82" i="5"/>
  <c r="M86" i="5" s="1"/>
  <c r="L82" i="5"/>
  <c r="L86" i="5" s="1"/>
  <c r="K82" i="5"/>
  <c r="K86" i="5" s="1"/>
  <c r="BL81" i="5"/>
  <c r="BK81" i="5"/>
  <c r="BJ81" i="5"/>
  <c r="BI81" i="5"/>
  <c r="BH81" i="5"/>
  <c r="BG81" i="5"/>
  <c r="BF81" i="5"/>
  <c r="BV81" i="5" s="1"/>
  <c r="BE81" i="5"/>
  <c r="AT81" i="5"/>
  <c r="AS81" i="5"/>
  <c r="AR81" i="5"/>
  <c r="AQ81" i="5"/>
  <c r="AP81" i="5"/>
  <c r="AO81" i="5"/>
  <c r="AN81" i="5"/>
  <c r="BD81" i="5" s="1"/>
  <c r="AM81" i="5"/>
  <c r="AB81" i="5"/>
  <c r="AA81" i="5"/>
  <c r="Z81" i="5"/>
  <c r="Y81" i="5"/>
  <c r="X81" i="5"/>
  <c r="W81" i="5"/>
  <c r="V81" i="5"/>
  <c r="AL81" i="5" s="1"/>
  <c r="U81" i="5"/>
  <c r="J81" i="5"/>
  <c r="I81" i="5"/>
  <c r="H81" i="5"/>
  <c r="G81" i="5"/>
  <c r="F81" i="5"/>
  <c r="E81" i="5"/>
  <c r="D81" i="5"/>
  <c r="T81" i="5" s="1"/>
  <c r="C81" i="5"/>
  <c r="CX80" i="5"/>
  <c r="DF80" i="5" s="1"/>
  <c r="CW80" i="5"/>
  <c r="DE80" i="5" s="1"/>
  <c r="CV80" i="5"/>
  <c r="DD80" i="5" s="1"/>
  <c r="CU80" i="5"/>
  <c r="DC80" i="5" s="1"/>
  <c r="CT80" i="5"/>
  <c r="DB80" i="5" s="1"/>
  <c r="CS80" i="5"/>
  <c r="DA80" i="5" s="1"/>
  <c r="CR80" i="5"/>
  <c r="DH80" i="5" s="1"/>
  <c r="CQ80" i="5"/>
  <c r="CY80" i="5" s="1"/>
  <c r="CF80" i="5"/>
  <c r="CN80" i="5" s="1"/>
  <c r="CE80" i="5"/>
  <c r="CM80" i="5" s="1"/>
  <c r="CD80" i="5"/>
  <c r="CL80" i="5" s="1"/>
  <c r="CC80" i="5"/>
  <c r="CK80" i="5" s="1"/>
  <c r="CB80" i="5"/>
  <c r="CJ80" i="5" s="1"/>
  <c r="CA80" i="5"/>
  <c r="CI80" i="5" s="1"/>
  <c r="BZ80" i="5"/>
  <c r="CP80" i="5" s="1"/>
  <c r="BY80" i="5"/>
  <c r="CG80" i="5" s="1"/>
  <c r="BV80" i="5"/>
  <c r="BT80" i="5"/>
  <c r="BS80" i="5"/>
  <c r="BR80" i="5"/>
  <c r="BQ80" i="5"/>
  <c r="BP80" i="5"/>
  <c r="BO80" i="5"/>
  <c r="BN80" i="5"/>
  <c r="BM80" i="5"/>
  <c r="BU80" i="5" s="1"/>
  <c r="BD80" i="5"/>
  <c r="BB80" i="5"/>
  <c r="BA80" i="5"/>
  <c r="AZ80" i="5"/>
  <c r="AY80" i="5"/>
  <c r="AX80" i="5"/>
  <c r="AW80" i="5"/>
  <c r="AV80" i="5"/>
  <c r="AU80" i="5"/>
  <c r="BC80" i="5" s="1"/>
  <c r="AL80" i="5"/>
  <c r="AJ80" i="5"/>
  <c r="AI80" i="5"/>
  <c r="AH80" i="5"/>
  <c r="AG80" i="5"/>
  <c r="AF80" i="5"/>
  <c r="AE80" i="5"/>
  <c r="AD80" i="5"/>
  <c r="AC80" i="5"/>
  <c r="AK80" i="5" s="1"/>
  <c r="T80" i="5"/>
  <c r="R80" i="5"/>
  <c r="Q80" i="5"/>
  <c r="P80" i="5"/>
  <c r="O80" i="5"/>
  <c r="N80" i="5"/>
  <c r="M80" i="5"/>
  <c r="L80" i="5"/>
  <c r="K80" i="5"/>
  <c r="S80" i="5" s="1"/>
  <c r="CX79" i="5"/>
  <c r="DF79" i="5" s="1"/>
  <c r="CW79" i="5"/>
  <c r="DE79" i="5" s="1"/>
  <c r="CV79" i="5"/>
  <c r="DD79" i="5" s="1"/>
  <c r="CU79" i="5"/>
  <c r="DC79" i="5" s="1"/>
  <c r="CT79" i="5"/>
  <c r="DB79" i="5" s="1"/>
  <c r="CS79" i="5"/>
  <c r="DA79" i="5" s="1"/>
  <c r="CR79" i="5"/>
  <c r="DH79" i="5" s="1"/>
  <c r="CQ79" i="5"/>
  <c r="CY79" i="5" s="1"/>
  <c r="CF79" i="5"/>
  <c r="CN79" i="5" s="1"/>
  <c r="CE79" i="5"/>
  <c r="CM79" i="5" s="1"/>
  <c r="CD79" i="5"/>
  <c r="CL79" i="5" s="1"/>
  <c r="CC79" i="5"/>
  <c r="CK79" i="5" s="1"/>
  <c r="CB79" i="5"/>
  <c r="CJ79" i="5" s="1"/>
  <c r="CA79" i="5"/>
  <c r="CI79" i="5" s="1"/>
  <c r="BZ79" i="5"/>
  <c r="CP79" i="5" s="1"/>
  <c r="BY79" i="5"/>
  <c r="CG79" i="5" s="1"/>
  <c r="BV79" i="5"/>
  <c r="BT79" i="5"/>
  <c r="BS79" i="5"/>
  <c r="BR79" i="5"/>
  <c r="BQ79" i="5"/>
  <c r="BP79" i="5"/>
  <c r="BO79" i="5"/>
  <c r="BN79" i="5"/>
  <c r="BM79" i="5"/>
  <c r="BU79" i="5" s="1"/>
  <c r="BD79" i="5"/>
  <c r="BB79" i="5"/>
  <c r="BA79" i="5"/>
  <c r="AZ79" i="5"/>
  <c r="AY79" i="5"/>
  <c r="AX79" i="5"/>
  <c r="AW79" i="5"/>
  <c r="AV79" i="5"/>
  <c r="AU79" i="5"/>
  <c r="BC79" i="5" s="1"/>
  <c r="AL79" i="5"/>
  <c r="AJ79" i="5"/>
  <c r="AI79" i="5"/>
  <c r="AH79" i="5"/>
  <c r="AG79" i="5"/>
  <c r="AF79" i="5"/>
  <c r="AE79" i="5"/>
  <c r="AD79" i="5"/>
  <c r="AC79" i="5"/>
  <c r="AK79" i="5" s="1"/>
  <c r="T79" i="5"/>
  <c r="R79" i="5"/>
  <c r="Q79" i="5"/>
  <c r="P79" i="5"/>
  <c r="O79" i="5"/>
  <c r="N79" i="5"/>
  <c r="M79" i="5"/>
  <c r="L79" i="5"/>
  <c r="K79" i="5"/>
  <c r="S79" i="5" s="1"/>
  <c r="CX78" i="5"/>
  <c r="DF78" i="5" s="1"/>
  <c r="CW78" i="5"/>
  <c r="DE78" i="5" s="1"/>
  <c r="CV78" i="5"/>
  <c r="DD78" i="5" s="1"/>
  <c r="CU78" i="5"/>
  <c r="DC78" i="5" s="1"/>
  <c r="CT78" i="5"/>
  <c r="DB78" i="5" s="1"/>
  <c r="CS78" i="5"/>
  <c r="DA78" i="5" s="1"/>
  <c r="CR78" i="5"/>
  <c r="DH78" i="5" s="1"/>
  <c r="CQ78" i="5"/>
  <c r="CY78" i="5" s="1"/>
  <c r="CF78" i="5"/>
  <c r="CN78" i="5" s="1"/>
  <c r="CE78" i="5"/>
  <c r="CM78" i="5" s="1"/>
  <c r="CD78" i="5"/>
  <c r="CL78" i="5" s="1"/>
  <c r="CC78" i="5"/>
  <c r="CK78" i="5" s="1"/>
  <c r="CB78" i="5"/>
  <c r="CJ78" i="5" s="1"/>
  <c r="CA78" i="5"/>
  <c r="CI78" i="5" s="1"/>
  <c r="BZ78" i="5"/>
  <c r="CP78" i="5" s="1"/>
  <c r="BY78" i="5"/>
  <c r="CG78" i="5" s="1"/>
  <c r="BV78" i="5"/>
  <c r="BT78" i="5"/>
  <c r="BS78" i="5"/>
  <c r="BR78" i="5"/>
  <c r="BQ78" i="5"/>
  <c r="BP78" i="5"/>
  <c r="BO78" i="5"/>
  <c r="BN78" i="5"/>
  <c r="BM78" i="5"/>
  <c r="BU78" i="5" s="1"/>
  <c r="BD78" i="5"/>
  <c r="BB78" i="5"/>
  <c r="BA78" i="5"/>
  <c r="AZ78" i="5"/>
  <c r="AY78" i="5"/>
  <c r="AX78" i="5"/>
  <c r="AW78" i="5"/>
  <c r="AV78" i="5"/>
  <c r="AU78" i="5"/>
  <c r="BC78" i="5" s="1"/>
  <c r="AL78" i="5"/>
  <c r="AJ78" i="5"/>
  <c r="AI78" i="5"/>
  <c r="AH78" i="5"/>
  <c r="AG78" i="5"/>
  <c r="AF78" i="5"/>
  <c r="AE78" i="5"/>
  <c r="AD78" i="5"/>
  <c r="AC78" i="5"/>
  <c r="AK78" i="5" s="1"/>
  <c r="T78" i="5"/>
  <c r="R78" i="5"/>
  <c r="Q78" i="5"/>
  <c r="P78" i="5"/>
  <c r="O78" i="5"/>
  <c r="N78" i="5"/>
  <c r="M78" i="5"/>
  <c r="L78" i="5"/>
  <c r="K78" i="5"/>
  <c r="S78" i="5" s="1"/>
  <c r="CX77" i="5"/>
  <c r="CX81" i="5" s="1"/>
  <c r="CW77" i="5"/>
  <c r="CW81" i="5" s="1"/>
  <c r="CV77" i="5"/>
  <c r="CV81" i="5" s="1"/>
  <c r="CU77" i="5"/>
  <c r="CU81" i="5" s="1"/>
  <c r="CT77" i="5"/>
  <c r="CT81" i="5" s="1"/>
  <c r="CS77" i="5"/>
  <c r="CS81" i="5" s="1"/>
  <c r="CR77" i="5"/>
  <c r="CR81" i="5" s="1"/>
  <c r="CQ77" i="5"/>
  <c r="CQ81" i="5" s="1"/>
  <c r="CF77" i="5"/>
  <c r="CF81" i="5" s="1"/>
  <c r="CE77" i="5"/>
  <c r="CE81" i="5" s="1"/>
  <c r="CD77" i="5"/>
  <c r="CD81" i="5" s="1"/>
  <c r="CC77" i="5"/>
  <c r="CC81" i="5" s="1"/>
  <c r="CB77" i="5"/>
  <c r="CB81" i="5" s="1"/>
  <c r="CA77" i="5"/>
  <c r="CA81" i="5" s="1"/>
  <c r="BZ77" i="5"/>
  <c r="BZ81" i="5" s="1"/>
  <c r="BY77" i="5"/>
  <c r="BY81" i="5" s="1"/>
  <c r="BV77" i="5"/>
  <c r="BT77" i="5"/>
  <c r="BT81" i="5" s="1"/>
  <c r="BS77" i="5"/>
  <c r="BS81" i="5" s="1"/>
  <c r="BR77" i="5"/>
  <c r="BR81" i="5" s="1"/>
  <c r="BQ77" i="5"/>
  <c r="BQ81" i="5" s="1"/>
  <c r="BP77" i="5"/>
  <c r="BP81" i="5" s="1"/>
  <c r="BO77" i="5"/>
  <c r="BO81" i="5" s="1"/>
  <c r="BN77" i="5"/>
  <c r="BN81" i="5" s="1"/>
  <c r="BM77" i="5"/>
  <c r="BM81" i="5" s="1"/>
  <c r="BU81" i="5" s="1"/>
  <c r="BD77" i="5"/>
  <c r="BB77" i="5"/>
  <c r="BB81" i="5" s="1"/>
  <c r="BA77" i="5"/>
  <c r="BA81" i="5" s="1"/>
  <c r="AZ77" i="5"/>
  <c r="AZ81" i="5" s="1"/>
  <c r="AY77" i="5"/>
  <c r="AY81" i="5" s="1"/>
  <c r="AX77" i="5"/>
  <c r="AX81" i="5" s="1"/>
  <c r="AW77" i="5"/>
  <c r="AW81" i="5" s="1"/>
  <c r="AV77" i="5"/>
  <c r="AV81" i="5" s="1"/>
  <c r="AU77" i="5"/>
  <c r="AU81" i="5" s="1"/>
  <c r="AL77" i="5"/>
  <c r="AJ77" i="5"/>
  <c r="AJ81" i="5" s="1"/>
  <c r="AI77" i="5"/>
  <c r="AI81" i="5" s="1"/>
  <c r="AH77" i="5"/>
  <c r="AH81" i="5" s="1"/>
  <c r="AG77" i="5"/>
  <c r="AG81" i="5" s="1"/>
  <c r="AF77" i="5"/>
  <c r="AF81" i="5" s="1"/>
  <c r="AE77" i="5"/>
  <c r="AE81" i="5" s="1"/>
  <c r="AD77" i="5"/>
  <c r="AD81" i="5" s="1"/>
  <c r="AC77" i="5"/>
  <c r="AC81" i="5" s="1"/>
  <c r="AK81" i="5" s="1"/>
  <c r="T77" i="5"/>
  <c r="R77" i="5"/>
  <c r="R81" i="5" s="1"/>
  <c r="Q77" i="5"/>
  <c r="Q81" i="5" s="1"/>
  <c r="P77" i="5"/>
  <c r="P81" i="5" s="1"/>
  <c r="O77" i="5"/>
  <c r="O81" i="5" s="1"/>
  <c r="N77" i="5"/>
  <c r="N81" i="5" s="1"/>
  <c r="M77" i="5"/>
  <c r="M81" i="5" s="1"/>
  <c r="L77" i="5"/>
  <c r="L81" i="5" s="1"/>
  <c r="K77" i="5"/>
  <c r="K81" i="5" s="1"/>
  <c r="BL76" i="5"/>
  <c r="BK76" i="5"/>
  <c r="BJ76" i="5"/>
  <c r="BI76" i="5"/>
  <c r="BH76" i="5"/>
  <c r="BG76" i="5"/>
  <c r="BF76" i="5"/>
  <c r="BV76" i="5" s="1"/>
  <c r="BE76" i="5"/>
  <c r="AT76" i="5"/>
  <c r="AS76" i="5"/>
  <c r="AR76" i="5"/>
  <c r="AQ76" i="5"/>
  <c r="AP76" i="5"/>
  <c r="AO76" i="5"/>
  <c r="AN76" i="5"/>
  <c r="BD76" i="5" s="1"/>
  <c r="AM76" i="5"/>
  <c r="AB76" i="5"/>
  <c r="AA76" i="5"/>
  <c r="Z76" i="5"/>
  <c r="Y76" i="5"/>
  <c r="X76" i="5"/>
  <c r="W76" i="5"/>
  <c r="V76" i="5"/>
  <c r="AL76" i="5" s="1"/>
  <c r="U76" i="5"/>
  <c r="J76" i="5"/>
  <c r="I76" i="5"/>
  <c r="H76" i="5"/>
  <c r="G76" i="5"/>
  <c r="F76" i="5"/>
  <c r="E76" i="5"/>
  <c r="D76" i="5"/>
  <c r="T76" i="5" s="1"/>
  <c r="C76" i="5"/>
  <c r="CX75" i="5"/>
  <c r="DF75" i="5" s="1"/>
  <c r="CW75" i="5"/>
  <c r="DE75" i="5" s="1"/>
  <c r="CV75" i="5"/>
  <c r="DD75" i="5" s="1"/>
  <c r="CU75" i="5"/>
  <c r="DC75" i="5" s="1"/>
  <c r="CT75" i="5"/>
  <c r="DB75" i="5" s="1"/>
  <c r="CS75" i="5"/>
  <c r="DA75" i="5" s="1"/>
  <c r="CR75" i="5"/>
  <c r="DH75" i="5" s="1"/>
  <c r="CQ75" i="5"/>
  <c r="CY75" i="5" s="1"/>
  <c r="CF75" i="5"/>
  <c r="CN75" i="5" s="1"/>
  <c r="CE75" i="5"/>
  <c r="CM75" i="5" s="1"/>
  <c r="CD75" i="5"/>
  <c r="CL75" i="5" s="1"/>
  <c r="CC75" i="5"/>
  <c r="CK75" i="5" s="1"/>
  <c r="CB75" i="5"/>
  <c r="CJ75" i="5" s="1"/>
  <c r="CA75" i="5"/>
  <c r="CI75" i="5" s="1"/>
  <c r="BZ75" i="5"/>
  <c r="CP75" i="5" s="1"/>
  <c r="BY75" i="5"/>
  <c r="CG75" i="5" s="1"/>
  <c r="BV75" i="5"/>
  <c r="BT75" i="5"/>
  <c r="BS75" i="5"/>
  <c r="BR75" i="5"/>
  <c r="BQ75" i="5"/>
  <c r="BP75" i="5"/>
  <c r="BO75" i="5"/>
  <c r="BN75" i="5"/>
  <c r="BM75" i="5"/>
  <c r="BU75" i="5" s="1"/>
  <c r="BD75" i="5"/>
  <c r="BB75" i="5"/>
  <c r="BA75" i="5"/>
  <c r="AZ75" i="5"/>
  <c r="AY75" i="5"/>
  <c r="AX75" i="5"/>
  <c r="AW75" i="5"/>
  <c r="AV75" i="5"/>
  <c r="AU75" i="5"/>
  <c r="BC75" i="5" s="1"/>
  <c r="AL75" i="5"/>
  <c r="AJ75" i="5"/>
  <c r="AI75" i="5"/>
  <c r="AH75" i="5"/>
  <c r="AG75" i="5"/>
  <c r="AF75" i="5"/>
  <c r="AE75" i="5"/>
  <c r="AD75" i="5"/>
  <c r="AC75" i="5"/>
  <c r="AK75" i="5" s="1"/>
  <c r="T75" i="5"/>
  <c r="R75" i="5"/>
  <c r="Q75" i="5"/>
  <c r="P75" i="5"/>
  <c r="O75" i="5"/>
  <c r="N75" i="5"/>
  <c r="M75" i="5"/>
  <c r="L75" i="5"/>
  <c r="K75" i="5"/>
  <c r="S75" i="5" s="1"/>
  <c r="CX74" i="5"/>
  <c r="DF74" i="5" s="1"/>
  <c r="CW74" i="5"/>
  <c r="DE74" i="5" s="1"/>
  <c r="CV74" i="5"/>
  <c r="DD74" i="5" s="1"/>
  <c r="CU74" i="5"/>
  <c r="DC74" i="5" s="1"/>
  <c r="CT74" i="5"/>
  <c r="DB74" i="5" s="1"/>
  <c r="CS74" i="5"/>
  <c r="DA74" i="5" s="1"/>
  <c r="CR74" i="5"/>
  <c r="DH74" i="5" s="1"/>
  <c r="CQ74" i="5"/>
  <c r="CY74" i="5" s="1"/>
  <c r="CF74" i="5"/>
  <c r="CN74" i="5" s="1"/>
  <c r="CE74" i="5"/>
  <c r="CM74" i="5" s="1"/>
  <c r="CD74" i="5"/>
  <c r="CL74" i="5" s="1"/>
  <c r="CC74" i="5"/>
  <c r="CK74" i="5" s="1"/>
  <c r="CB74" i="5"/>
  <c r="CJ74" i="5" s="1"/>
  <c r="CA74" i="5"/>
  <c r="CI74" i="5" s="1"/>
  <c r="BZ74" i="5"/>
  <c r="CP74" i="5" s="1"/>
  <c r="BY74" i="5"/>
  <c r="CG74" i="5" s="1"/>
  <c r="BV74" i="5"/>
  <c r="BT74" i="5"/>
  <c r="BS74" i="5"/>
  <c r="BR74" i="5"/>
  <c r="BQ74" i="5"/>
  <c r="BP74" i="5"/>
  <c r="BO74" i="5"/>
  <c r="BN74" i="5"/>
  <c r="BM74" i="5"/>
  <c r="BU74" i="5" s="1"/>
  <c r="BD74" i="5"/>
  <c r="BB74" i="5"/>
  <c r="BA74" i="5"/>
  <c r="AZ74" i="5"/>
  <c r="AY74" i="5"/>
  <c r="AX74" i="5"/>
  <c r="AW74" i="5"/>
  <c r="AV74" i="5"/>
  <c r="AU74" i="5"/>
  <c r="BC74" i="5" s="1"/>
  <c r="AL74" i="5"/>
  <c r="AJ74" i="5"/>
  <c r="AI74" i="5"/>
  <c r="AH74" i="5"/>
  <c r="AG74" i="5"/>
  <c r="AF74" i="5"/>
  <c r="AE74" i="5"/>
  <c r="AD74" i="5"/>
  <c r="AC74" i="5"/>
  <c r="AK74" i="5" s="1"/>
  <c r="T74" i="5"/>
  <c r="R74" i="5"/>
  <c r="Q74" i="5"/>
  <c r="P74" i="5"/>
  <c r="O74" i="5"/>
  <c r="N74" i="5"/>
  <c r="M74" i="5"/>
  <c r="L74" i="5"/>
  <c r="K74" i="5"/>
  <c r="S74" i="5" s="1"/>
  <c r="CX73" i="5"/>
  <c r="DF73" i="5" s="1"/>
  <c r="CW73" i="5"/>
  <c r="DE73" i="5" s="1"/>
  <c r="CV73" i="5"/>
  <c r="DD73" i="5" s="1"/>
  <c r="CU73" i="5"/>
  <c r="DC73" i="5" s="1"/>
  <c r="CT73" i="5"/>
  <c r="DB73" i="5" s="1"/>
  <c r="CS73" i="5"/>
  <c r="DA73" i="5" s="1"/>
  <c r="CR73" i="5"/>
  <c r="DH73" i="5" s="1"/>
  <c r="CQ73" i="5"/>
  <c r="CY73" i="5" s="1"/>
  <c r="CF73" i="5"/>
  <c r="CN73" i="5" s="1"/>
  <c r="CE73" i="5"/>
  <c r="CM73" i="5" s="1"/>
  <c r="CD73" i="5"/>
  <c r="CL73" i="5" s="1"/>
  <c r="CC73" i="5"/>
  <c r="CK73" i="5" s="1"/>
  <c r="CB73" i="5"/>
  <c r="CJ73" i="5" s="1"/>
  <c r="CA73" i="5"/>
  <c r="CI73" i="5" s="1"/>
  <c r="BZ73" i="5"/>
  <c r="CP73" i="5" s="1"/>
  <c r="BY73" i="5"/>
  <c r="CG73" i="5" s="1"/>
  <c r="BV73" i="5"/>
  <c r="BT73" i="5"/>
  <c r="BS73" i="5"/>
  <c r="BR73" i="5"/>
  <c r="BQ73" i="5"/>
  <c r="BP73" i="5"/>
  <c r="BO73" i="5"/>
  <c r="BN73" i="5"/>
  <c r="BM73" i="5"/>
  <c r="BU73" i="5" s="1"/>
  <c r="BD73" i="5"/>
  <c r="BB73" i="5"/>
  <c r="BA73" i="5"/>
  <c r="AZ73" i="5"/>
  <c r="AY73" i="5"/>
  <c r="AX73" i="5"/>
  <c r="AW73" i="5"/>
  <c r="AV73" i="5"/>
  <c r="AU73" i="5"/>
  <c r="BC73" i="5" s="1"/>
  <c r="AL73" i="5"/>
  <c r="AJ73" i="5"/>
  <c r="AI73" i="5"/>
  <c r="AH73" i="5"/>
  <c r="AG73" i="5"/>
  <c r="AF73" i="5"/>
  <c r="AE73" i="5"/>
  <c r="AD73" i="5"/>
  <c r="AC73" i="5"/>
  <c r="AK73" i="5" s="1"/>
  <c r="T73" i="5"/>
  <c r="R73" i="5"/>
  <c r="Q73" i="5"/>
  <c r="P73" i="5"/>
  <c r="O73" i="5"/>
  <c r="N73" i="5"/>
  <c r="M73" i="5"/>
  <c r="L73" i="5"/>
  <c r="K73" i="5"/>
  <c r="S73" i="5" s="1"/>
  <c r="CX72" i="5"/>
  <c r="CX76" i="5" s="1"/>
  <c r="CW72" i="5"/>
  <c r="CW76" i="5" s="1"/>
  <c r="CV72" i="5"/>
  <c r="CV76" i="5" s="1"/>
  <c r="CU72" i="5"/>
  <c r="CU76" i="5" s="1"/>
  <c r="CT72" i="5"/>
  <c r="CT76" i="5" s="1"/>
  <c r="CS72" i="5"/>
  <c r="CS76" i="5" s="1"/>
  <c r="CR72" i="5"/>
  <c r="CR76" i="5" s="1"/>
  <c r="CQ72" i="5"/>
  <c r="CQ76" i="5" s="1"/>
  <c r="CF72" i="5"/>
  <c r="CF76" i="5" s="1"/>
  <c r="CE72" i="5"/>
  <c r="CE76" i="5" s="1"/>
  <c r="CD72" i="5"/>
  <c r="CD76" i="5" s="1"/>
  <c r="CC72" i="5"/>
  <c r="CC76" i="5" s="1"/>
  <c r="CB72" i="5"/>
  <c r="CB76" i="5" s="1"/>
  <c r="CA72" i="5"/>
  <c r="CA76" i="5" s="1"/>
  <c r="BZ72" i="5"/>
  <c r="BZ76" i="5" s="1"/>
  <c r="BY72" i="5"/>
  <c r="BY76" i="5" s="1"/>
  <c r="BV72" i="5"/>
  <c r="BT72" i="5"/>
  <c r="BT76" i="5" s="1"/>
  <c r="BS72" i="5"/>
  <c r="BS76" i="5" s="1"/>
  <c r="BR72" i="5"/>
  <c r="BR76" i="5" s="1"/>
  <c r="BQ72" i="5"/>
  <c r="BQ76" i="5" s="1"/>
  <c r="BP72" i="5"/>
  <c r="BP76" i="5" s="1"/>
  <c r="BO72" i="5"/>
  <c r="BO76" i="5" s="1"/>
  <c r="BN72" i="5"/>
  <c r="BN76" i="5" s="1"/>
  <c r="BM72" i="5"/>
  <c r="BM76" i="5" s="1"/>
  <c r="BU76" i="5" s="1"/>
  <c r="BD72" i="5"/>
  <c r="BB72" i="5"/>
  <c r="BB76" i="5" s="1"/>
  <c r="BA72" i="5"/>
  <c r="BA76" i="5" s="1"/>
  <c r="AZ72" i="5"/>
  <c r="AZ76" i="5" s="1"/>
  <c r="AY72" i="5"/>
  <c r="AY76" i="5" s="1"/>
  <c r="AX72" i="5"/>
  <c r="AX76" i="5" s="1"/>
  <c r="AW72" i="5"/>
  <c r="AW76" i="5" s="1"/>
  <c r="AV72" i="5"/>
  <c r="AV76" i="5" s="1"/>
  <c r="AU72" i="5"/>
  <c r="AU76" i="5" s="1"/>
  <c r="AL72" i="5"/>
  <c r="AJ72" i="5"/>
  <c r="AJ76" i="5" s="1"/>
  <c r="AI72" i="5"/>
  <c r="AI76" i="5" s="1"/>
  <c r="AH72" i="5"/>
  <c r="AH76" i="5" s="1"/>
  <c r="AG72" i="5"/>
  <c r="AG76" i="5" s="1"/>
  <c r="AF72" i="5"/>
  <c r="AF76" i="5" s="1"/>
  <c r="AE72" i="5"/>
  <c r="AE76" i="5" s="1"/>
  <c r="AD72" i="5"/>
  <c r="AD76" i="5" s="1"/>
  <c r="AC72" i="5"/>
  <c r="AC76" i="5" s="1"/>
  <c r="AK76" i="5" s="1"/>
  <c r="T72" i="5"/>
  <c r="R72" i="5"/>
  <c r="R76" i="5" s="1"/>
  <c r="Q72" i="5"/>
  <c r="Q76" i="5" s="1"/>
  <c r="P72" i="5"/>
  <c r="P76" i="5" s="1"/>
  <c r="O72" i="5"/>
  <c r="O76" i="5" s="1"/>
  <c r="N72" i="5"/>
  <c r="N76" i="5" s="1"/>
  <c r="M72" i="5"/>
  <c r="M76" i="5" s="1"/>
  <c r="L72" i="5"/>
  <c r="L76" i="5" s="1"/>
  <c r="K72" i="5"/>
  <c r="K76" i="5" s="1"/>
  <c r="BL71" i="5"/>
  <c r="BK71" i="5"/>
  <c r="BJ71" i="5"/>
  <c r="BI71" i="5"/>
  <c r="BH71" i="5"/>
  <c r="BG71" i="5"/>
  <c r="BF71" i="5"/>
  <c r="BV71" i="5" s="1"/>
  <c r="BE71" i="5"/>
  <c r="AT71" i="5"/>
  <c r="AS71" i="5"/>
  <c r="AR71" i="5"/>
  <c r="AQ71" i="5"/>
  <c r="AP71" i="5"/>
  <c r="AO71" i="5"/>
  <c r="AN71" i="5"/>
  <c r="BD71" i="5" s="1"/>
  <c r="AM71" i="5"/>
  <c r="AB71" i="5"/>
  <c r="AA71" i="5"/>
  <c r="Z71" i="5"/>
  <c r="Y71" i="5"/>
  <c r="X71" i="5"/>
  <c r="W71" i="5"/>
  <c r="V71" i="5"/>
  <c r="AL71" i="5" s="1"/>
  <c r="U71" i="5"/>
  <c r="J71" i="5"/>
  <c r="I71" i="5"/>
  <c r="H71" i="5"/>
  <c r="G71" i="5"/>
  <c r="F71" i="5"/>
  <c r="E71" i="5"/>
  <c r="D71" i="5"/>
  <c r="T71" i="5" s="1"/>
  <c r="C71" i="5"/>
  <c r="CX70" i="5"/>
  <c r="DF70" i="5" s="1"/>
  <c r="CW70" i="5"/>
  <c r="DE70" i="5" s="1"/>
  <c r="CV70" i="5"/>
  <c r="DD70" i="5" s="1"/>
  <c r="CU70" i="5"/>
  <c r="DC70" i="5" s="1"/>
  <c r="CT70" i="5"/>
  <c r="DB70" i="5" s="1"/>
  <c r="CS70" i="5"/>
  <c r="DA70" i="5" s="1"/>
  <c r="CR70" i="5"/>
  <c r="DH70" i="5" s="1"/>
  <c r="CQ70" i="5"/>
  <c r="CY70" i="5" s="1"/>
  <c r="CF70" i="5"/>
  <c r="CN70" i="5" s="1"/>
  <c r="CE70" i="5"/>
  <c r="CM70" i="5" s="1"/>
  <c r="CD70" i="5"/>
  <c r="CL70" i="5" s="1"/>
  <c r="CC70" i="5"/>
  <c r="CK70" i="5" s="1"/>
  <c r="CB70" i="5"/>
  <c r="CJ70" i="5" s="1"/>
  <c r="CA70" i="5"/>
  <c r="CI70" i="5" s="1"/>
  <c r="BZ70" i="5"/>
  <c r="CP70" i="5" s="1"/>
  <c r="BY70" i="5"/>
  <c r="CG70" i="5" s="1"/>
  <c r="BV70" i="5"/>
  <c r="BT70" i="5"/>
  <c r="BS70" i="5"/>
  <c r="BR70" i="5"/>
  <c r="BQ70" i="5"/>
  <c r="BP70" i="5"/>
  <c r="BO70" i="5"/>
  <c r="BN70" i="5"/>
  <c r="BM70" i="5"/>
  <c r="BU70" i="5" s="1"/>
  <c r="BD70" i="5"/>
  <c r="BB70" i="5"/>
  <c r="BA70" i="5"/>
  <c r="AZ70" i="5"/>
  <c r="AY70" i="5"/>
  <c r="AX70" i="5"/>
  <c r="AW70" i="5"/>
  <c r="AV70" i="5"/>
  <c r="AU70" i="5"/>
  <c r="BC70" i="5" s="1"/>
  <c r="AL70" i="5"/>
  <c r="AJ70" i="5"/>
  <c r="AI70" i="5"/>
  <c r="AH70" i="5"/>
  <c r="AG70" i="5"/>
  <c r="AF70" i="5"/>
  <c r="AE70" i="5"/>
  <c r="AD70" i="5"/>
  <c r="AC70" i="5"/>
  <c r="AK70" i="5" s="1"/>
  <c r="T70" i="5"/>
  <c r="R70" i="5"/>
  <c r="Q70" i="5"/>
  <c r="P70" i="5"/>
  <c r="O70" i="5"/>
  <c r="N70" i="5"/>
  <c r="M70" i="5"/>
  <c r="L70" i="5"/>
  <c r="K70" i="5"/>
  <c r="S70" i="5" s="1"/>
  <c r="CX69" i="5"/>
  <c r="DF69" i="5" s="1"/>
  <c r="CW69" i="5"/>
  <c r="DE69" i="5" s="1"/>
  <c r="CV69" i="5"/>
  <c r="DD69" i="5" s="1"/>
  <c r="CU69" i="5"/>
  <c r="DC69" i="5" s="1"/>
  <c r="CT69" i="5"/>
  <c r="DB69" i="5" s="1"/>
  <c r="CS69" i="5"/>
  <c r="DA69" i="5" s="1"/>
  <c r="CR69" i="5"/>
  <c r="DH69" i="5" s="1"/>
  <c r="CQ69" i="5"/>
  <c r="CY69" i="5" s="1"/>
  <c r="CF69" i="5"/>
  <c r="CN69" i="5" s="1"/>
  <c r="CE69" i="5"/>
  <c r="CM69" i="5" s="1"/>
  <c r="CD69" i="5"/>
  <c r="CL69" i="5" s="1"/>
  <c r="CC69" i="5"/>
  <c r="CK69" i="5" s="1"/>
  <c r="CB69" i="5"/>
  <c r="CJ69" i="5" s="1"/>
  <c r="CA69" i="5"/>
  <c r="CI69" i="5" s="1"/>
  <c r="BZ69" i="5"/>
  <c r="CP69" i="5" s="1"/>
  <c r="BY69" i="5"/>
  <c r="CG69" i="5" s="1"/>
  <c r="BV69" i="5"/>
  <c r="BT69" i="5"/>
  <c r="BS69" i="5"/>
  <c r="BR69" i="5"/>
  <c r="BQ69" i="5"/>
  <c r="BP69" i="5"/>
  <c r="BO69" i="5"/>
  <c r="BN69" i="5"/>
  <c r="BM69" i="5"/>
  <c r="BU69" i="5" s="1"/>
  <c r="BD69" i="5"/>
  <c r="BB69" i="5"/>
  <c r="BA69" i="5"/>
  <c r="AZ69" i="5"/>
  <c r="AY69" i="5"/>
  <c r="AX69" i="5"/>
  <c r="AW69" i="5"/>
  <c r="AV69" i="5"/>
  <c r="AU69" i="5"/>
  <c r="BC69" i="5" s="1"/>
  <c r="AL69" i="5"/>
  <c r="AJ69" i="5"/>
  <c r="AI69" i="5"/>
  <c r="AH69" i="5"/>
  <c r="AG69" i="5"/>
  <c r="AF69" i="5"/>
  <c r="AE69" i="5"/>
  <c r="AD69" i="5"/>
  <c r="AC69" i="5"/>
  <c r="AK69" i="5" s="1"/>
  <c r="T69" i="5"/>
  <c r="R69" i="5"/>
  <c r="Q69" i="5"/>
  <c r="P69" i="5"/>
  <c r="O69" i="5"/>
  <c r="N69" i="5"/>
  <c r="M69" i="5"/>
  <c r="L69" i="5"/>
  <c r="K69" i="5"/>
  <c r="S69" i="5" s="1"/>
  <c r="CX68" i="5"/>
  <c r="DF68" i="5" s="1"/>
  <c r="CW68" i="5"/>
  <c r="DE68" i="5" s="1"/>
  <c r="CV68" i="5"/>
  <c r="DD68" i="5" s="1"/>
  <c r="CU68" i="5"/>
  <c r="DC68" i="5" s="1"/>
  <c r="CT68" i="5"/>
  <c r="DB68" i="5" s="1"/>
  <c r="CS68" i="5"/>
  <c r="DA68" i="5" s="1"/>
  <c r="CR68" i="5"/>
  <c r="DH68" i="5" s="1"/>
  <c r="CQ68" i="5"/>
  <c r="CY68" i="5" s="1"/>
  <c r="CF68" i="5"/>
  <c r="CN68" i="5" s="1"/>
  <c r="CE68" i="5"/>
  <c r="CM68" i="5" s="1"/>
  <c r="CD68" i="5"/>
  <c r="CL68" i="5" s="1"/>
  <c r="CC68" i="5"/>
  <c r="CK68" i="5" s="1"/>
  <c r="CB68" i="5"/>
  <c r="CJ68" i="5" s="1"/>
  <c r="CA68" i="5"/>
  <c r="CI68" i="5" s="1"/>
  <c r="BZ68" i="5"/>
  <c r="CP68" i="5" s="1"/>
  <c r="BY68" i="5"/>
  <c r="CG68" i="5" s="1"/>
  <c r="BV68" i="5"/>
  <c r="BT68" i="5"/>
  <c r="BS68" i="5"/>
  <c r="BR68" i="5"/>
  <c r="BQ68" i="5"/>
  <c r="BP68" i="5"/>
  <c r="BO68" i="5"/>
  <c r="BN68" i="5"/>
  <c r="BM68" i="5"/>
  <c r="BU68" i="5" s="1"/>
  <c r="BD68" i="5"/>
  <c r="BB68" i="5"/>
  <c r="BA68" i="5"/>
  <c r="AZ68" i="5"/>
  <c r="AY68" i="5"/>
  <c r="AX68" i="5"/>
  <c r="AW68" i="5"/>
  <c r="AV68" i="5"/>
  <c r="AU68" i="5"/>
  <c r="BC68" i="5" s="1"/>
  <c r="AL68" i="5"/>
  <c r="AJ68" i="5"/>
  <c r="AI68" i="5"/>
  <c r="AH68" i="5"/>
  <c r="AG68" i="5"/>
  <c r="AF68" i="5"/>
  <c r="AE68" i="5"/>
  <c r="AD68" i="5"/>
  <c r="AC68" i="5"/>
  <c r="AK68" i="5" s="1"/>
  <c r="T68" i="5"/>
  <c r="R68" i="5"/>
  <c r="Q68" i="5"/>
  <c r="P68" i="5"/>
  <c r="O68" i="5"/>
  <c r="N68" i="5"/>
  <c r="M68" i="5"/>
  <c r="L68" i="5"/>
  <c r="K68" i="5"/>
  <c r="S68" i="5" s="1"/>
  <c r="CX67" i="5"/>
  <c r="CX71" i="5" s="1"/>
  <c r="CW67" i="5"/>
  <c r="CW71" i="5" s="1"/>
  <c r="CV67" i="5"/>
  <c r="CV71" i="5" s="1"/>
  <c r="CU67" i="5"/>
  <c r="CU71" i="5" s="1"/>
  <c r="CT67" i="5"/>
  <c r="CT71" i="5" s="1"/>
  <c r="CS67" i="5"/>
  <c r="CS71" i="5" s="1"/>
  <c r="CR67" i="5"/>
  <c r="CR71" i="5" s="1"/>
  <c r="CQ67" i="5"/>
  <c r="CQ71" i="5" s="1"/>
  <c r="CF67" i="5"/>
  <c r="CF71" i="5" s="1"/>
  <c r="CE67" i="5"/>
  <c r="CE71" i="5" s="1"/>
  <c r="CD67" i="5"/>
  <c r="CD71" i="5" s="1"/>
  <c r="CC67" i="5"/>
  <c r="CC71" i="5" s="1"/>
  <c r="CB67" i="5"/>
  <c r="CB71" i="5" s="1"/>
  <c r="CA67" i="5"/>
  <c r="CA71" i="5" s="1"/>
  <c r="BZ67" i="5"/>
  <c r="BZ71" i="5" s="1"/>
  <c r="BY67" i="5"/>
  <c r="BY71" i="5" s="1"/>
  <c r="BV67" i="5"/>
  <c r="BT67" i="5"/>
  <c r="BT71" i="5" s="1"/>
  <c r="BS67" i="5"/>
  <c r="BS71" i="5" s="1"/>
  <c r="BR67" i="5"/>
  <c r="BR71" i="5" s="1"/>
  <c r="BQ67" i="5"/>
  <c r="BQ71" i="5" s="1"/>
  <c r="BP67" i="5"/>
  <c r="BP71" i="5" s="1"/>
  <c r="BO67" i="5"/>
  <c r="BO71" i="5" s="1"/>
  <c r="BN67" i="5"/>
  <c r="BN71" i="5" s="1"/>
  <c r="BM67" i="5"/>
  <c r="BM71" i="5" s="1"/>
  <c r="BU71" i="5" s="1"/>
  <c r="BD67" i="5"/>
  <c r="BB67" i="5"/>
  <c r="BB71" i="5" s="1"/>
  <c r="BA67" i="5"/>
  <c r="BA71" i="5" s="1"/>
  <c r="AZ67" i="5"/>
  <c r="AZ71" i="5" s="1"/>
  <c r="AY67" i="5"/>
  <c r="AY71" i="5" s="1"/>
  <c r="AX67" i="5"/>
  <c r="AX71" i="5" s="1"/>
  <c r="AW67" i="5"/>
  <c r="AW71" i="5" s="1"/>
  <c r="AV67" i="5"/>
  <c r="AV71" i="5" s="1"/>
  <c r="AU67" i="5"/>
  <c r="AU71" i="5" s="1"/>
  <c r="AL67" i="5"/>
  <c r="AJ67" i="5"/>
  <c r="AJ71" i="5" s="1"/>
  <c r="AI67" i="5"/>
  <c r="AI71" i="5" s="1"/>
  <c r="AH67" i="5"/>
  <c r="AH71" i="5" s="1"/>
  <c r="AG67" i="5"/>
  <c r="AG71" i="5" s="1"/>
  <c r="AF67" i="5"/>
  <c r="AF71" i="5" s="1"/>
  <c r="AE67" i="5"/>
  <c r="AE71" i="5" s="1"/>
  <c r="AD67" i="5"/>
  <c r="AD71" i="5" s="1"/>
  <c r="AC67" i="5"/>
  <c r="AC71" i="5" s="1"/>
  <c r="AK71" i="5" s="1"/>
  <c r="T67" i="5"/>
  <c r="R67" i="5"/>
  <c r="R71" i="5" s="1"/>
  <c r="Q67" i="5"/>
  <c r="Q71" i="5" s="1"/>
  <c r="P67" i="5"/>
  <c r="P71" i="5" s="1"/>
  <c r="O67" i="5"/>
  <c r="O71" i="5" s="1"/>
  <c r="N67" i="5"/>
  <c r="N71" i="5" s="1"/>
  <c r="M67" i="5"/>
  <c r="M71" i="5" s="1"/>
  <c r="L67" i="5"/>
  <c r="L71" i="5" s="1"/>
  <c r="K67" i="5"/>
  <c r="K71" i="5" s="1"/>
  <c r="BL66" i="5"/>
  <c r="BK66" i="5"/>
  <c r="BJ66" i="5"/>
  <c r="BI66" i="5"/>
  <c r="BH66" i="5"/>
  <c r="BG66" i="5"/>
  <c r="BF66" i="5"/>
  <c r="BV66" i="5" s="1"/>
  <c r="BE66" i="5"/>
  <c r="AT66" i="5"/>
  <c r="AS66" i="5"/>
  <c r="AR66" i="5"/>
  <c r="AQ66" i="5"/>
  <c r="AP66" i="5"/>
  <c r="AO66" i="5"/>
  <c r="AN66" i="5"/>
  <c r="BD66" i="5" s="1"/>
  <c r="AM66" i="5"/>
  <c r="AB66" i="5"/>
  <c r="AA66" i="5"/>
  <c r="Z66" i="5"/>
  <c r="Y66" i="5"/>
  <c r="X66" i="5"/>
  <c r="W66" i="5"/>
  <c r="V66" i="5"/>
  <c r="AL66" i="5" s="1"/>
  <c r="U66" i="5"/>
  <c r="J66" i="5"/>
  <c r="I66" i="5"/>
  <c r="H66" i="5"/>
  <c r="G66" i="5"/>
  <c r="F66" i="5"/>
  <c r="E66" i="5"/>
  <c r="D66" i="5"/>
  <c r="T66" i="5" s="1"/>
  <c r="C66" i="5"/>
  <c r="CX65" i="5"/>
  <c r="DF65" i="5" s="1"/>
  <c r="CW65" i="5"/>
  <c r="DE65" i="5" s="1"/>
  <c r="CV65" i="5"/>
  <c r="DD65" i="5" s="1"/>
  <c r="CU65" i="5"/>
  <c r="DC65" i="5" s="1"/>
  <c r="CT65" i="5"/>
  <c r="DB65" i="5" s="1"/>
  <c r="CS65" i="5"/>
  <c r="DA65" i="5" s="1"/>
  <c r="CR65" i="5"/>
  <c r="DH65" i="5" s="1"/>
  <c r="CQ65" i="5"/>
  <c r="CY65" i="5" s="1"/>
  <c r="CF65" i="5"/>
  <c r="CN65" i="5" s="1"/>
  <c r="CE65" i="5"/>
  <c r="CM65" i="5" s="1"/>
  <c r="CD65" i="5"/>
  <c r="CL65" i="5" s="1"/>
  <c r="CC65" i="5"/>
  <c r="CK65" i="5" s="1"/>
  <c r="CB65" i="5"/>
  <c r="CJ65" i="5" s="1"/>
  <c r="CA65" i="5"/>
  <c r="CI65" i="5" s="1"/>
  <c r="BZ65" i="5"/>
  <c r="CP65" i="5" s="1"/>
  <c r="BY65" i="5"/>
  <c r="CG65" i="5" s="1"/>
  <c r="BV65" i="5"/>
  <c r="BT65" i="5"/>
  <c r="BS65" i="5"/>
  <c r="BR65" i="5"/>
  <c r="BQ65" i="5"/>
  <c r="BP65" i="5"/>
  <c r="BO65" i="5"/>
  <c r="BN65" i="5"/>
  <c r="BM65" i="5"/>
  <c r="BU65" i="5" s="1"/>
  <c r="BD65" i="5"/>
  <c r="BB65" i="5"/>
  <c r="BA65" i="5"/>
  <c r="AZ65" i="5"/>
  <c r="AY65" i="5"/>
  <c r="AX65" i="5"/>
  <c r="AW65" i="5"/>
  <c r="AV65" i="5"/>
  <c r="AU65" i="5"/>
  <c r="BC65" i="5" s="1"/>
  <c r="AL65" i="5"/>
  <c r="AJ65" i="5"/>
  <c r="AI65" i="5"/>
  <c r="AH65" i="5"/>
  <c r="AG65" i="5"/>
  <c r="AF65" i="5"/>
  <c r="AE65" i="5"/>
  <c r="AD65" i="5"/>
  <c r="AC65" i="5"/>
  <c r="AK65" i="5" s="1"/>
  <c r="T65" i="5"/>
  <c r="R65" i="5"/>
  <c r="Q65" i="5"/>
  <c r="P65" i="5"/>
  <c r="O65" i="5"/>
  <c r="N65" i="5"/>
  <c r="M65" i="5"/>
  <c r="L65" i="5"/>
  <c r="K65" i="5"/>
  <c r="S65" i="5" s="1"/>
  <c r="CX64" i="5"/>
  <c r="DF64" i="5" s="1"/>
  <c r="CW64" i="5"/>
  <c r="DE64" i="5" s="1"/>
  <c r="CV64" i="5"/>
  <c r="DD64" i="5" s="1"/>
  <c r="CU64" i="5"/>
  <c r="DC64" i="5" s="1"/>
  <c r="CT64" i="5"/>
  <c r="DB64" i="5" s="1"/>
  <c r="CS64" i="5"/>
  <c r="DA64" i="5" s="1"/>
  <c r="CR64" i="5"/>
  <c r="DH64" i="5" s="1"/>
  <c r="CQ64" i="5"/>
  <c r="CY64" i="5" s="1"/>
  <c r="CF64" i="5"/>
  <c r="CN64" i="5" s="1"/>
  <c r="CE64" i="5"/>
  <c r="CM64" i="5" s="1"/>
  <c r="CD64" i="5"/>
  <c r="CL64" i="5" s="1"/>
  <c r="CC64" i="5"/>
  <c r="CK64" i="5" s="1"/>
  <c r="CB64" i="5"/>
  <c r="CJ64" i="5" s="1"/>
  <c r="CA64" i="5"/>
  <c r="CI64" i="5" s="1"/>
  <c r="BZ64" i="5"/>
  <c r="CP64" i="5" s="1"/>
  <c r="BY64" i="5"/>
  <c r="CG64" i="5" s="1"/>
  <c r="BV64" i="5"/>
  <c r="BT64" i="5"/>
  <c r="BS64" i="5"/>
  <c r="BR64" i="5"/>
  <c r="BQ64" i="5"/>
  <c r="BP64" i="5"/>
  <c r="BO64" i="5"/>
  <c r="BN64" i="5"/>
  <c r="BM64" i="5"/>
  <c r="BU64" i="5" s="1"/>
  <c r="BD64" i="5"/>
  <c r="BB64" i="5"/>
  <c r="BA64" i="5"/>
  <c r="AZ64" i="5"/>
  <c r="AY64" i="5"/>
  <c r="AX64" i="5"/>
  <c r="AW64" i="5"/>
  <c r="AV64" i="5"/>
  <c r="AU64" i="5"/>
  <c r="BC64" i="5" s="1"/>
  <c r="AL64" i="5"/>
  <c r="AJ64" i="5"/>
  <c r="AI64" i="5"/>
  <c r="AH64" i="5"/>
  <c r="AG64" i="5"/>
  <c r="AF64" i="5"/>
  <c r="AE64" i="5"/>
  <c r="AD64" i="5"/>
  <c r="AC64" i="5"/>
  <c r="AK64" i="5" s="1"/>
  <c r="T64" i="5"/>
  <c r="R64" i="5"/>
  <c r="Q64" i="5"/>
  <c r="P64" i="5"/>
  <c r="O64" i="5"/>
  <c r="N64" i="5"/>
  <c r="M64" i="5"/>
  <c r="L64" i="5"/>
  <c r="K64" i="5"/>
  <c r="S64" i="5" s="1"/>
  <c r="CX63" i="5"/>
  <c r="DF63" i="5" s="1"/>
  <c r="CW63" i="5"/>
  <c r="DE63" i="5" s="1"/>
  <c r="CV63" i="5"/>
  <c r="DD63" i="5" s="1"/>
  <c r="CU63" i="5"/>
  <c r="DC63" i="5" s="1"/>
  <c r="CT63" i="5"/>
  <c r="DB63" i="5" s="1"/>
  <c r="CS63" i="5"/>
  <c r="DA63" i="5" s="1"/>
  <c r="CR63" i="5"/>
  <c r="DH63" i="5" s="1"/>
  <c r="CQ63" i="5"/>
  <c r="CY63" i="5" s="1"/>
  <c r="CF63" i="5"/>
  <c r="CN63" i="5" s="1"/>
  <c r="CE63" i="5"/>
  <c r="CM63" i="5" s="1"/>
  <c r="CD63" i="5"/>
  <c r="CL63" i="5" s="1"/>
  <c r="CC63" i="5"/>
  <c r="CK63" i="5" s="1"/>
  <c r="CB63" i="5"/>
  <c r="CJ63" i="5" s="1"/>
  <c r="CA63" i="5"/>
  <c r="CI63" i="5" s="1"/>
  <c r="BZ63" i="5"/>
  <c r="CP63" i="5" s="1"/>
  <c r="BY63" i="5"/>
  <c r="CG63" i="5" s="1"/>
  <c r="BV63" i="5"/>
  <c r="BT63" i="5"/>
  <c r="BS63" i="5"/>
  <c r="BR63" i="5"/>
  <c r="BQ63" i="5"/>
  <c r="BP63" i="5"/>
  <c r="BO63" i="5"/>
  <c r="BN63" i="5"/>
  <c r="BM63" i="5"/>
  <c r="BU63" i="5" s="1"/>
  <c r="BD63" i="5"/>
  <c r="BB63" i="5"/>
  <c r="BA63" i="5"/>
  <c r="AZ63" i="5"/>
  <c r="AY63" i="5"/>
  <c r="AX63" i="5"/>
  <c r="AW63" i="5"/>
  <c r="AV63" i="5"/>
  <c r="AU63" i="5"/>
  <c r="BC63" i="5" s="1"/>
  <c r="AL63" i="5"/>
  <c r="AJ63" i="5"/>
  <c r="AI63" i="5"/>
  <c r="AH63" i="5"/>
  <c r="AG63" i="5"/>
  <c r="AF63" i="5"/>
  <c r="AE63" i="5"/>
  <c r="AD63" i="5"/>
  <c r="AC63" i="5"/>
  <c r="AK63" i="5" s="1"/>
  <c r="T63" i="5"/>
  <c r="R63" i="5"/>
  <c r="Q63" i="5"/>
  <c r="P63" i="5"/>
  <c r="O63" i="5"/>
  <c r="N63" i="5"/>
  <c r="M63" i="5"/>
  <c r="L63" i="5"/>
  <c r="K63" i="5"/>
  <c r="S63" i="5" s="1"/>
  <c r="CX62" i="5"/>
  <c r="CX66" i="5" s="1"/>
  <c r="CW62" i="5"/>
  <c r="CW66" i="5" s="1"/>
  <c r="CV62" i="5"/>
  <c r="CV66" i="5" s="1"/>
  <c r="CU62" i="5"/>
  <c r="CU66" i="5" s="1"/>
  <c r="CT62" i="5"/>
  <c r="CT66" i="5" s="1"/>
  <c r="CS62" i="5"/>
  <c r="CS66" i="5" s="1"/>
  <c r="CR62" i="5"/>
  <c r="CR66" i="5" s="1"/>
  <c r="CQ62" i="5"/>
  <c r="CQ66" i="5" s="1"/>
  <c r="CF62" i="5"/>
  <c r="CF66" i="5" s="1"/>
  <c r="CE62" i="5"/>
  <c r="CE66" i="5" s="1"/>
  <c r="CD62" i="5"/>
  <c r="CD66" i="5" s="1"/>
  <c r="CC62" i="5"/>
  <c r="CC66" i="5" s="1"/>
  <c r="CB62" i="5"/>
  <c r="CB66" i="5" s="1"/>
  <c r="CA62" i="5"/>
  <c r="CA66" i="5" s="1"/>
  <c r="BZ62" i="5"/>
  <c r="BZ66" i="5" s="1"/>
  <c r="BY62" i="5"/>
  <c r="BY66" i="5" s="1"/>
  <c r="BV62" i="5"/>
  <c r="BT62" i="5"/>
  <c r="BT66" i="5" s="1"/>
  <c r="BS62" i="5"/>
  <c r="BS66" i="5" s="1"/>
  <c r="BR62" i="5"/>
  <c r="BR66" i="5" s="1"/>
  <c r="BQ62" i="5"/>
  <c r="BQ66" i="5" s="1"/>
  <c r="BP62" i="5"/>
  <c r="BP66" i="5" s="1"/>
  <c r="BO62" i="5"/>
  <c r="BO66" i="5" s="1"/>
  <c r="BN62" i="5"/>
  <c r="BN66" i="5" s="1"/>
  <c r="BM62" i="5"/>
  <c r="BM66" i="5" s="1"/>
  <c r="BU66" i="5" s="1"/>
  <c r="BD62" i="5"/>
  <c r="BB62" i="5"/>
  <c r="BB66" i="5" s="1"/>
  <c r="BA62" i="5"/>
  <c r="BA66" i="5" s="1"/>
  <c r="AZ62" i="5"/>
  <c r="AZ66" i="5" s="1"/>
  <c r="AY62" i="5"/>
  <c r="AY66" i="5" s="1"/>
  <c r="AX62" i="5"/>
  <c r="AX66" i="5" s="1"/>
  <c r="AW62" i="5"/>
  <c r="AW66" i="5" s="1"/>
  <c r="AV62" i="5"/>
  <c r="AV66" i="5" s="1"/>
  <c r="AU62" i="5"/>
  <c r="AU66" i="5" s="1"/>
  <c r="AL62" i="5"/>
  <c r="AJ62" i="5"/>
  <c r="AJ66" i="5" s="1"/>
  <c r="AI62" i="5"/>
  <c r="AI66" i="5" s="1"/>
  <c r="AH62" i="5"/>
  <c r="AH66" i="5" s="1"/>
  <c r="AG62" i="5"/>
  <c r="AG66" i="5" s="1"/>
  <c r="AF62" i="5"/>
  <c r="AF66" i="5" s="1"/>
  <c r="AE62" i="5"/>
  <c r="AE66" i="5" s="1"/>
  <c r="AD62" i="5"/>
  <c r="AD66" i="5" s="1"/>
  <c r="AC62" i="5"/>
  <c r="AC66" i="5" s="1"/>
  <c r="AK66" i="5" s="1"/>
  <c r="T62" i="5"/>
  <c r="R62" i="5"/>
  <c r="R66" i="5" s="1"/>
  <c r="Q62" i="5"/>
  <c r="Q66" i="5" s="1"/>
  <c r="P62" i="5"/>
  <c r="P66" i="5" s="1"/>
  <c r="O62" i="5"/>
  <c r="O66" i="5" s="1"/>
  <c r="N62" i="5"/>
  <c r="N66" i="5" s="1"/>
  <c r="M62" i="5"/>
  <c r="M66" i="5" s="1"/>
  <c r="L62" i="5"/>
  <c r="L66" i="5" s="1"/>
  <c r="K62" i="5"/>
  <c r="K66" i="5" s="1"/>
  <c r="BL61" i="5"/>
  <c r="BK61" i="5"/>
  <c r="BJ61" i="5"/>
  <c r="BI61" i="5"/>
  <c r="BH61" i="5"/>
  <c r="BG61" i="5"/>
  <c r="BF61" i="5"/>
  <c r="BV61" i="5" s="1"/>
  <c r="BE61" i="5"/>
  <c r="AT61" i="5"/>
  <c r="AS61" i="5"/>
  <c r="AR61" i="5"/>
  <c r="AQ61" i="5"/>
  <c r="AP61" i="5"/>
  <c r="AO61" i="5"/>
  <c r="AN61" i="5"/>
  <c r="BD61" i="5" s="1"/>
  <c r="AM61" i="5"/>
  <c r="AB61" i="5"/>
  <c r="AA61" i="5"/>
  <c r="Z61" i="5"/>
  <c r="Y61" i="5"/>
  <c r="X61" i="5"/>
  <c r="W61" i="5"/>
  <c r="V61" i="5"/>
  <c r="AL61" i="5" s="1"/>
  <c r="U61" i="5"/>
  <c r="J61" i="5"/>
  <c r="I61" i="5"/>
  <c r="H61" i="5"/>
  <c r="G61" i="5"/>
  <c r="F61" i="5"/>
  <c r="E61" i="5"/>
  <c r="D61" i="5"/>
  <c r="T61" i="5" s="1"/>
  <c r="C61" i="5"/>
  <c r="CX60" i="5"/>
  <c r="DF60" i="5" s="1"/>
  <c r="CW60" i="5"/>
  <c r="DE60" i="5" s="1"/>
  <c r="CV60" i="5"/>
  <c r="DD60" i="5" s="1"/>
  <c r="CU60" i="5"/>
  <c r="DC60" i="5" s="1"/>
  <c r="CT60" i="5"/>
  <c r="DB60" i="5" s="1"/>
  <c r="CS60" i="5"/>
  <c r="DA60" i="5" s="1"/>
  <c r="CR60" i="5"/>
  <c r="DH60" i="5" s="1"/>
  <c r="CQ60" i="5"/>
  <c r="CY60" i="5" s="1"/>
  <c r="CF60" i="5"/>
  <c r="CN60" i="5" s="1"/>
  <c r="CE60" i="5"/>
  <c r="CM60" i="5" s="1"/>
  <c r="CD60" i="5"/>
  <c r="CL60" i="5" s="1"/>
  <c r="CC60" i="5"/>
  <c r="CK60" i="5" s="1"/>
  <c r="CB60" i="5"/>
  <c r="CJ60" i="5" s="1"/>
  <c r="CA60" i="5"/>
  <c r="CI60" i="5" s="1"/>
  <c r="BZ60" i="5"/>
  <c r="CP60" i="5" s="1"/>
  <c r="BY60" i="5"/>
  <c r="CG60" i="5" s="1"/>
  <c r="BV60" i="5"/>
  <c r="BT60" i="5"/>
  <c r="BS60" i="5"/>
  <c r="BR60" i="5"/>
  <c r="BQ60" i="5"/>
  <c r="BP60" i="5"/>
  <c r="BO60" i="5"/>
  <c r="BN60" i="5"/>
  <c r="BM60" i="5"/>
  <c r="BU60" i="5" s="1"/>
  <c r="BD60" i="5"/>
  <c r="BB60" i="5"/>
  <c r="BA60" i="5"/>
  <c r="AZ60" i="5"/>
  <c r="AY60" i="5"/>
  <c r="AX60" i="5"/>
  <c r="AW60" i="5"/>
  <c r="AV60" i="5"/>
  <c r="AU60" i="5"/>
  <c r="BC60" i="5" s="1"/>
  <c r="AL60" i="5"/>
  <c r="AJ60" i="5"/>
  <c r="AI60" i="5"/>
  <c r="AH60" i="5"/>
  <c r="AG60" i="5"/>
  <c r="AF60" i="5"/>
  <c r="AE60" i="5"/>
  <c r="AD60" i="5"/>
  <c r="AC60" i="5"/>
  <c r="AK60" i="5" s="1"/>
  <c r="T60" i="5"/>
  <c r="R60" i="5"/>
  <c r="Q60" i="5"/>
  <c r="P60" i="5"/>
  <c r="O60" i="5"/>
  <c r="N60" i="5"/>
  <c r="M60" i="5"/>
  <c r="L60" i="5"/>
  <c r="K60" i="5"/>
  <c r="S60" i="5" s="1"/>
  <c r="CX59" i="5"/>
  <c r="DF59" i="5" s="1"/>
  <c r="CW59" i="5"/>
  <c r="DE59" i="5" s="1"/>
  <c r="CV59" i="5"/>
  <c r="DD59" i="5" s="1"/>
  <c r="CU59" i="5"/>
  <c r="DC59" i="5" s="1"/>
  <c r="CT59" i="5"/>
  <c r="DB59" i="5" s="1"/>
  <c r="CS59" i="5"/>
  <c r="DA59" i="5" s="1"/>
  <c r="CR59" i="5"/>
  <c r="DH59" i="5" s="1"/>
  <c r="CQ59" i="5"/>
  <c r="CY59" i="5" s="1"/>
  <c r="CF59" i="5"/>
  <c r="CN59" i="5" s="1"/>
  <c r="CE59" i="5"/>
  <c r="CM59" i="5" s="1"/>
  <c r="CD59" i="5"/>
  <c r="CL59" i="5" s="1"/>
  <c r="CC59" i="5"/>
  <c r="CK59" i="5" s="1"/>
  <c r="CB59" i="5"/>
  <c r="CJ59" i="5" s="1"/>
  <c r="CA59" i="5"/>
  <c r="CI59" i="5" s="1"/>
  <c r="BZ59" i="5"/>
  <c r="CP59" i="5" s="1"/>
  <c r="BY59" i="5"/>
  <c r="CG59" i="5" s="1"/>
  <c r="BV59" i="5"/>
  <c r="BT59" i="5"/>
  <c r="BS59" i="5"/>
  <c r="BR59" i="5"/>
  <c r="BQ59" i="5"/>
  <c r="BP59" i="5"/>
  <c r="BO59" i="5"/>
  <c r="BN59" i="5"/>
  <c r="BM59" i="5"/>
  <c r="BU59" i="5" s="1"/>
  <c r="BD59" i="5"/>
  <c r="BB59" i="5"/>
  <c r="BA59" i="5"/>
  <c r="AZ59" i="5"/>
  <c r="AY59" i="5"/>
  <c r="AX59" i="5"/>
  <c r="AW59" i="5"/>
  <c r="AV59" i="5"/>
  <c r="AU59" i="5"/>
  <c r="BC59" i="5" s="1"/>
  <c r="AL59" i="5"/>
  <c r="AJ59" i="5"/>
  <c r="AI59" i="5"/>
  <c r="AH59" i="5"/>
  <c r="AG59" i="5"/>
  <c r="AF59" i="5"/>
  <c r="AE59" i="5"/>
  <c r="AD59" i="5"/>
  <c r="AC59" i="5"/>
  <c r="AK59" i="5" s="1"/>
  <c r="T59" i="5"/>
  <c r="R59" i="5"/>
  <c r="Q59" i="5"/>
  <c r="P59" i="5"/>
  <c r="O59" i="5"/>
  <c r="N59" i="5"/>
  <c r="M59" i="5"/>
  <c r="L59" i="5"/>
  <c r="K59" i="5"/>
  <c r="S59" i="5" s="1"/>
  <c r="CX58" i="5"/>
  <c r="DF58" i="5" s="1"/>
  <c r="CW58" i="5"/>
  <c r="DE58" i="5" s="1"/>
  <c r="CV58" i="5"/>
  <c r="DD58" i="5" s="1"/>
  <c r="CU58" i="5"/>
  <c r="DC58" i="5" s="1"/>
  <c r="CT58" i="5"/>
  <c r="DB58" i="5" s="1"/>
  <c r="CS58" i="5"/>
  <c r="DA58" i="5" s="1"/>
  <c r="CR58" i="5"/>
  <c r="DH58" i="5" s="1"/>
  <c r="CQ58" i="5"/>
  <c r="CY58" i="5" s="1"/>
  <c r="CF58" i="5"/>
  <c r="CN58" i="5" s="1"/>
  <c r="CE58" i="5"/>
  <c r="CM58" i="5" s="1"/>
  <c r="CD58" i="5"/>
  <c r="CL58" i="5" s="1"/>
  <c r="CC58" i="5"/>
  <c r="CK58" i="5" s="1"/>
  <c r="CB58" i="5"/>
  <c r="CJ58" i="5" s="1"/>
  <c r="CA58" i="5"/>
  <c r="CI58" i="5" s="1"/>
  <c r="BZ58" i="5"/>
  <c r="CP58" i="5" s="1"/>
  <c r="BY58" i="5"/>
  <c r="CG58" i="5" s="1"/>
  <c r="BV58" i="5"/>
  <c r="BT58" i="5"/>
  <c r="BS58" i="5"/>
  <c r="BR58" i="5"/>
  <c r="BQ58" i="5"/>
  <c r="BP58" i="5"/>
  <c r="BO58" i="5"/>
  <c r="BN58" i="5"/>
  <c r="BM58" i="5"/>
  <c r="BU58" i="5" s="1"/>
  <c r="BD58" i="5"/>
  <c r="BB58" i="5"/>
  <c r="BA58" i="5"/>
  <c r="AZ58" i="5"/>
  <c r="AY58" i="5"/>
  <c r="AX58" i="5"/>
  <c r="AW58" i="5"/>
  <c r="AV58" i="5"/>
  <c r="AU58" i="5"/>
  <c r="BC58" i="5" s="1"/>
  <c r="AL58" i="5"/>
  <c r="AJ58" i="5"/>
  <c r="AI58" i="5"/>
  <c r="AH58" i="5"/>
  <c r="AG58" i="5"/>
  <c r="AF58" i="5"/>
  <c r="AE58" i="5"/>
  <c r="AD58" i="5"/>
  <c r="AC58" i="5"/>
  <c r="AK58" i="5" s="1"/>
  <c r="T58" i="5"/>
  <c r="R58" i="5"/>
  <c r="Q58" i="5"/>
  <c r="P58" i="5"/>
  <c r="O58" i="5"/>
  <c r="N58" i="5"/>
  <c r="M58" i="5"/>
  <c r="L58" i="5"/>
  <c r="K58" i="5"/>
  <c r="S58" i="5" s="1"/>
  <c r="CX57" i="5"/>
  <c r="CX61" i="5" s="1"/>
  <c r="CW57" i="5"/>
  <c r="CW61" i="5" s="1"/>
  <c r="CV57" i="5"/>
  <c r="CV61" i="5" s="1"/>
  <c r="CU57" i="5"/>
  <c r="CU61" i="5" s="1"/>
  <c r="CT57" i="5"/>
  <c r="CT61" i="5" s="1"/>
  <c r="CS57" i="5"/>
  <c r="CS61" i="5" s="1"/>
  <c r="CR57" i="5"/>
  <c r="CR61" i="5" s="1"/>
  <c r="CQ57" i="5"/>
  <c r="CQ61" i="5" s="1"/>
  <c r="CF57" i="5"/>
  <c r="CF61" i="5" s="1"/>
  <c r="CE57" i="5"/>
  <c r="CE61" i="5" s="1"/>
  <c r="CD57" i="5"/>
  <c r="CD61" i="5" s="1"/>
  <c r="CC57" i="5"/>
  <c r="CC61" i="5" s="1"/>
  <c r="CB57" i="5"/>
  <c r="CB61" i="5" s="1"/>
  <c r="CA57" i="5"/>
  <c r="CA61" i="5" s="1"/>
  <c r="BZ57" i="5"/>
  <c r="BZ61" i="5" s="1"/>
  <c r="BY57" i="5"/>
  <c r="BY61" i="5" s="1"/>
  <c r="BV57" i="5"/>
  <c r="BT57" i="5"/>
  <c r="BT61" i="5" s="1"/>
  <c r="BS57" i="5"/>
  <c r="BS61" i="5" s="1"/>
  <c r="BR57" i="5"/>
  <c r="BR61" i="5" s="1"/>
  <c r="BQ57" i="5"/>
  <c r="BQ61" i="5" s="1"/>
  <c r="BP57" i="5"/>
  <c r="BP61" i="5" s="1"/>
  <c r="BO57" i="5"/>
  <c r="BO61" i="5" s="1"/>
  <c r="BN57" i="5"/>
  <c r="BN61" i="5" s="1"/>
  <c r="BM57" i="5"/>
  <c r="BM61" i="5" s="1"/>
  <c r="BU61" i="5" s="1"/>
  <c r="BD57" i="5"/>
  <c r="BB57" i="5"/>
  <c r="BB61" i="5" s="1"/>
  <c r="BA57" i="5"/>
  <c r="BA61" i="5" s="1"/>
  <c r="AZ57" i="5"/>
  <c r="AZ61" i="5" s="1"/>
  <c r="AY57" i="5"/>
  <c r="AY61" i="5" s="1"/>
  <c r="AX57" i="5"/>
  <c r="AX61" i="5" s="1"/>
  <c r="AW57" i="5"/>
  <c r="AW61" i="5" s="1"/>
  <c r="AV57" i="5"/>
  <c r="AV61" i="5" s="1"/>
  <c r="AU57" i="5"/>
  <c r="AU61" i="5" s="1"/>
  <c r="AL57" i="5"/>
  <c r="AJ57" i="5"/>
  <c r="AJ61" i="5" s="1"/>
  <c r="AI57" i="5"/>
  <c r="AI61" i="5" s="1"/>
  <c r="AH57" i="5"/>
  <c r="AH61" i="5" s="1"/>
  <c r="AG57" i="5"/>
  <c r="AG61" i="5" s="1"/>
  <c r="AF57" i="5"/>
  <c r="AF61" i="5" s="1"/>
  <c r="AE57" i="5"/>
  <c r="AE61" i="5" s="1"/>
  <c r="AD57" i="5"/>
  <c r="AD61" i="5" s="1"/>
  <c r="AC57" i="5"/>
  <c r="AC61" i="5" s="1"/>
  <c r="AK61" i="5" s="1"/>
  <c r="T57" i="5"/>
  <c r="R57" i="5"/>
  <c r="R61" i="5" s="1"/>
  <c r="Q57" i="5"/>
  <c r="Q61" i="5" s="1"/>
  <c r="P57" i="5"/>
  <c r="P61" i="5" s="1"/>
  <c r="O57" i="5"/>
  <c r="O61" i="5" s="1"/>
  <c r="N57" i="5"/>
  <c r="N61" i="5" s="1"/>
  <c r="M57" i="5"/>
  <c r="M61" i="5" s="1"/>
  <c r="L57" i="5"/>
  <c r="L61" i="5" s="1"/>
  <c r="K57" i="5"/>
  <c r="K61" i="5" s="1"/>
  <c r="BL56" i="5"/>
  <c r="BK56" i="5"/>
  <c r="BJ56" i="5"/>
  <c r="BI56" i="5"/>
  <c r="BH56" i="5"/>
  <c r="BG56" i="5"/>
  <c r="BF56" i="5"/>
  <c r="BV56" i="5" s="1"/>
  <c r="BE56" i="5"/>
  <c r="AT56" i="5"/>
  <c r="AS56" i="5"/>
  <c r="AR56" i="5"/>
  <c r="AQ56" i="5"/>
  <c r="AP56" i="5"/>
  <c r="AO56" i="5"/>
  <c r="AN56" i="5"/>
  <c r="BD56" i="5" s="1"/>
  <c r="AM56" i="5"/>
  <c r="AB56" i="5"/>
  <c r="AA56" i="5"/>
  <c r="Z56" i="5"/>
  <c r="Y56" i="5"/>
  <c r="X56" i="5"/>
  <c r="W56" i="5"/>
  <c r="V56" i="5"/>
  <c r="AL56" i="5" s="1"/>
  <c r="U56" i="5"/>
  <c r="J56" i="5"/>
  <c r="I56" i="5"/>
  <c r="H56" i="5"/>
  <c r="G56" i="5"/>
  <c r="F56" i="5"/>
  <c r="E56" i="5"/>
  <c r="D56" i="5"/>
  <c r="T56" i="5" s="1"/>
  <c r="C56" i="5"/>
  <c r="CX55" i="5"/>
  <c r="DF55" i="5" s="1"/>
  <c r="CW55" i="5"/>
  <c r="DE55" i="5" s="1"/>
  <c r="CV55" i="5"/>
  <c r="DD55" i="5" s="1"/>
  <c r="CU55" i="5"/>
  <c r="DC55" i="5" s="1"/>
  <c r="CT55" i="5"/>
  <c r="DB55" i="5" s="1"/>
  <c r="CS55" i="5"/>
  <c r="DA55" i="5" s="1"/>
  <c r="CR55" i="5"/>
  <c r="DH55" i="5" s="1"/>
  <c r="CQ55" i="5"/>
  <c r="CY55" i="5" s="1"/>
  <c r="CF55" i="5"/>
  <c r="CN55" i="5" s="1"/>
  <c r="CE55" i="5"/>
  <c r="CM55" i="5" s="1"/>
  <c r="CD55" i="5"/>
  <c r="CL55" i="5" s="1"/>
  <c r="CC55" i="5"/>
  <c r="CK55" i="5" s="1"/>
  <c r="CB55" i="5"/>
  <c r="CJ55" i="5" s="1"/>
  <c r="CA55" i="5"/>
  <c r="CI55" i="5" s="1"/>
  <c r="BZ55" i="5"/>
  <c r="CP55" i="5" s="1"/>
  <c r="BY55" i="5"/>
  <c r="CG55" i="5" s="1"/>
  <c r="BV55" i="5"/>
  <c r="BT55" i="5"/>
  <c r="BS55" i="5"/>
  <c r="BR55" i="5"/>
  <c r="BQ55" i="5"/>
  <c r="BP55" i="5"/>
  <c r="BO55" i="5"/>
  <c r="BN55" i="5"/>
  <c r="BM55" i="5"/>
  <c r="BU55" i="5" s="1"/>
  <c r="BD55" i="5"/>
  <c r="BB55" i="5"/>
  <c r="BA55" i="5"/>
  <c r="AZ55" i="5"/>
  <c r="AY55" i="5"/>
  <c r="AX55" i="5"/>
  <c r="AW55" i="5"/>
  <c r="AV55" i="5"/>
  <c r="AU55" i="5"/>
  <c r="BC55" i="5" s="1"/>
  <c r="AL55" i="5"/>
  <c r="AJ55" i="5"/>
  <c r="AI55" i="5"/>
  <c r="AH55" i="5"/>
  <c r="AG55" i="5"/>
  <c r="AF55" i="5"/>
  <c r="AE55" i="5"/>
  <c r="AD55" i="5"/>
  <c r="AC55" i="5"/>
  <c r="AK55" i="5" s="1"/>
  <c r="T55" i="5"/>
  <c r="R55" i="5"/>
  <c r="Q55" i="5"/>
  <c r="P55" i="5"/>
  <c r="O55" i="5"/>
  <c r="N55" i="5"/>
  <c r="M55" i="5"/>
  <c r="L55" i="5"/>
  <c r="K55" i="5"/>
  <c r="S55" i="5" s="1"/>
  <c r="CX54" i="5"/>
  <c r="DF54" i="5" s="1"/>
  <c r="CW54" i="5"/>
  <c r="DE54" i="5" s="1"/>
  <c r="CV54" i="5"/>
  <c r="DD54" i="5" s="1"/>
  <c r="CU54" i="5"/>
  <c r="DC54" i="5" s="1"/>
  <c r="CT54" i="5"/>
  <c r="DB54" i="5" s="1"/>
  <c r="CS54" i="5"/>
  <c r="DA54" i="5" s="1"/>
  <c r="CR54" i="5"/>
  <c r="DH54" i="5" s="1"/>
  <c r="CQ54" i="5"/>
  <c r="CY54" i="5" s="1"/>
  <c r="CF54" i="5"/>
  <c r="CN54" i="5" s="1"/>
  <c r="CE54" i="5"/>
  <c r="CM54" i="5" s="1"/>
  <c r="CD54" i="5"/>
  <c r="CL54" i="5" s="1"/>
  <c r="CC54" i="5"/>
  <c r="CK54" i="5" s="1"/>
  <c r="CB54" i="5"/>
  <c r="CJ54" i="5" s="1"/>
  <c r="CA54" i="5"/>
  <c r="CI54" i="5" s="1"/>
  <c r="BZ54" i="5"/>
  <c r="CP54" i="5" s="1"/>
  <c r="BY54" i="5"/>
  <c r="CG54" i="5" s="1"/>
  <c r="BV54" i="5"/>
  <c r="BT54" i="5"/>
  <c r="BS54" i="5"/>
  <c r="BR54" i="5"/>
  <c r="BQ54" i="5"/>
  <c r="BP54" i="5"/>
  <c r="BO54" i="5"/>
  <c r="BN54" i="5"/>
  <c r="BM54" i="5"/>
  <c r="BU54" i="5" s="1"/>
  <c r="BD54" i="5"/>
  <c r="BB54" i="5"/>
  <c r="BA54" i="5"/>
  <c r="AZ54" i="5"/>
  <c r="AY54" i="5"/>
  <c r="AX54" i="5"/>
  <c r="AW54" i="5"/>
  <c r="AV54" i="5"/>
  <c r="AU54" i="5"/>
  <c r="BC54" i="5" s="1"/>
  <c r="AL54" i="5"/>
  <c r="AJ54" i="5"/>
  <c r="AI54" i="5"/>
  <c r="AH54" i="5"/>
  <c r="AG54" i="5"/>
  <c r="AF54" i="5"/>
  <c r="AE54" i="5"/>
  <c r="AD54" i="5"/>
  <c r="AC54" i="5"/>
  <c r="AK54" i="5" s="1"/>
  <c r="T54" i="5"/>
  <c r="R54" i="5"/>
  <c r="Q54" i="5"/>
  <c r="P54" i="5"/>
  <c r="O54" i="5"/>
  <c r="N54" i="5"/>
  <c r="M54" i="5"/>
  <c r="L54" i="5"/>
  <c r="K54" i="5"/>
  <c r="S54" i="5" s="1"/>
  <c r="CX53" i="5"/>
  <c r="DF53" i="5" s="1"/>
  <c r="CW53" i="5"/>
  <c r="DE53" i="5" s="1"/>
  <c r="CV53" i="5"/>
  <c r="DD53" i="5" s="1"/>
  <c r="CU53" i="5"/>
  <c r="DC53" i="5" s="1"/>
  <c r="CT53" i="5"/>
  <c r="DB53" i="5" s="1"/>
  <c r="CS53" i="5"/>
  <c r="DA53" i="5" s="1"/>
  <c r="CR53" i="5"/>
  <c r="DH53" i="5" s="1"/>
  <c r="CQ53" i="5"/>
  <c r="CY53" i="5" s="1"/>
  <c r="CF53" i="5"/>
  <c r="CN53" i="5" s="1"/>
  <c r="CE53" i="5"/>
  <c r="CM53" i="5" s="1"/>
  <c r="CD53" i="5"/>
  <c r="CL53" i="5" s="1"/>
  <c r="CC53" i="5"/>
  <c r="CK53" i="5" s="1"/>
  <c r="CB53" i="5"/>
  <c r="CJ53" i="5" s="1"/>
  <c r="CA53" i="5"/>
  <c r="CI53" i="5" s="1"/>
  <c r="BZ53" i="5"/>
  <c r="CP53" i="5" s="1"/>
  <c r="BY53" i="5"/>
  <c r="CG53" i="5" s="1"/>
  <c r="BV53" i="5"/>
  <c r="BT53" i="5"/>
  <c r="BS53" i="5"/>
  <c r="BR53" i="5"/>
  <c r="BQ53" i="5"/>
  <c r="BP53" i="5"/>
  <c r="BO53" i="5"/>
  <c r="BN53" i="5"/>
  <c r="BM53" i="5"/>
  <c r="BU53" i="5" s="1"/>
  <c r="BD53" i="5"/>
  <c r="BB53" i="5"/>
  <c r="BA53" i="5"/>
  <c r="AZ53" i="5"/>
  <c r="AY53" i="5"/>
  <c r="AX53" i="5"/>
  <c r="AW53" i="5"/>
  <c r="AV53" i="5"/>
  <c r="AU53" i="5"/>
  <c r="BC53" i="5" s="1"/>
  <c r="AL53" i="5"/>
  <c r="AJ53" i="5"/>
  <c r="AI53" i="5"/>
  <c r="AH53" i="5"/>
  <c r="AG53" i="5"/>
  <c r="AF53" i="5"/>
  <c r="AE53" i="5"/>
  <c r="AD53" i="5"/>
  <c r="AC53" i="5"/>
  <c r="AK53" i="5" s="1"/>
  <c r="T53" i="5"/>
  <c r="R53" i="5"/>
  <c r="Q53" i="5"/>
  <c r="P53" i="5"/>
  <c r="O53" i="5"/>
  <c r="N53" i="5"/>
  <c r="M53" i="5"/>
  <c r="L53" i="5"/>
  <c r="K53" i="5"/>
  <c r="S53" i="5" s="1"/>
  <c r="CX52" i="5"/>
  <c r="CX56" i="5" s="1"/>
  <c r="CW52" i="5"/>
  <c r="CW56" i="5" s="1"/>
  <c r="CV52" i="5"/>
  <c r="CV56" i="5" s="1"/>
  <c r="CU52" i="5"/>
  <c r="CU56" i="5" s="1"/>
  <c r="CT52" i="5"/>
  <c r="CT56" i="5" s="1"/>
  <c r="CS52" i="5"/>
  <c r="CS56" i="5" s="1"/>
  <c r="CR52" i="5"/>
  <c r="CR56" i="5" s="1"/>
  <c r="CQ52" i="5"/>
  <c r="CQ56" i="5" s="1"/>
  <c r="CF52" i="5"/>
  <c r="CF56" i="5" s="1"/>
  <c r="CE52" i="5"/>
  <c r="CE56" i="5" s="1"/>
  <c r="CD52" i="5"/>
  <c r="CD56" i="5" s="1"/>
  <c r="CC52" i="5"/>
  <c r="CC56" i="5" s="1"/>
  <c r="CB52" i="5"/>
  <c r="CB56" i="5" s="1"/>
  <c r="CA52" i="5"/>
  <c r="CA56" i="5" s="1"/>
  <c r="BZ52" i="5"/>
  <c r="BZ56" i="5" s="1"/>
  <c r="BY52" i="5"/>
  <c r="BY56" i="5" s="1"/>
  <c r="BV52" i="5"/>
  <c r="BT52" i="5"/>
  <c r="BT56" i="5" s="1"/>
  <c r="BS52" i="5"/>
  <c r="BS56" i="5" s="1"/>
  <c r="BR52" i="5"/>
  <c r="BR56" i="5" s="1"/>
  <c r="BQ52" i="5"/>
  <c r="BQ56" i="5" s="1"/>
  <c r="BP52" i="5"/>
  <c r="BP56" i="5" s="1"/>
  <c r="BO52" i="5"/>
  <c r="BO56" i="5" s="1"/>
  <c r="BN52" i="5"/>
  <c r="BN56" i="5" s="1"/>
  <c r="BM52" i="5"/>
  <c r="BM56" i="5" s="1"/>
  <c r="BU56" i="5" s="1"/>
  <c r="BD52" i="5"/>
  <c r="BB52" i="5"/>
  <c r="BB56" i="5" s="1"/>
  <c r="BA52" i="5"/>
  <c r="BA56" i="5" s="1"/>
  <c r="AZ52" i="5"/>
  <c r="AZ56" i="5" s="1"/>
  <c r="AY52" i="5"/>
  <c r="AY56" i="5" s="1"/>
  <c r="AX52" i="5"/>
  <c r="AX56" i="5" s="1"/>
  <c r="AW52" i="5"/>
  <c r="AW56" i="5" s="1"/>
  <c r="AV52" i="5"/>
  <c r="AV56" i="5" s="1"/>
  <c r="AU52" i="5"/>
  <c r="AU56" i="5" s="1"/>
  <c r="AL52" i="5"/>
  <c r="AJ52" i="5"/>
  <c r="AJ56" i="5" s="1"/>
  <c r="AI52" i="5"/>
  <c r="AI56" i="5" s="1"/>
  <c r="AH52" i="5"/>
  <c r="AH56" i="5" s="1"/>
  <c r="AG52" i="5"/>
  <c r="AG56" i="5" s="1"/>
  <c r="AF52" i="5"/>
  <c r="AF56" i="5" s="1"/>
  <c r="AE52" i="5"/>
  <c r="AE56" i="5" s="1"/>
  <c r="AD52" i="5"/>
  <c r="AD56" i="5" s="1"/>
  <c r="AC52" i="5"/>
  <c r="AC56" i="5" s="1"/>
  <c r="AK56" i="5" s="1"/>
  <c r="T52" i="5"/>
  <c r="R52" i="5"/>
  <c r="R56" i="5" s="1"/>
  <c r="Q52" i="5"/>
  <c r="Q56" i="5" s="1"/>
  <c r="P52" i="5"/>
  <c r="P56" i="5" s="1"/>
  <c r="O52" i="5"/>
  <c r="O56" i="5" s="1"/>
  <c r="N52" i="5"/>
  <c r="N56" i="5" s="1"/>
  <c r="M52" i="5"/>
  <c r="M56" i="5" s="1"/>
  <c r="L52" i="5"/>
  <c r="L56" i="5" s="1"/>
  <c r="K52" i="5"/>
  <c r="K56" i="5" s="1"/>
  <c r="BL51" i="5"/>
  <c r="BK51" i="5"/>
  <c r="BJ51" i="5"/>
  <c r="BI51" i="5"/>
  <c r="BH51" i="5"/>
  <c r="BG51" i="5"/>
  <c r="BF51" i="5"/>
  <c r="BV51" i="5" s="1"/>
  <c r="BE51" i="5"/>
  <c r="AT51" i="5"/>
  <c r="AS51" i="5"/>
  <c r="AR51" i="5"/>
  <c r="AQ51" i="5"/>
  <c r="AP51" i="5"/>
  <c r="AO51" i="5"/>
  <c r="AN51" i="5"/>
  <c r="BD51" i="5" s="1"/>
  <c r="AM51" i="5"/>
  <c r="AB51" i="5"/>
  <c r="AA51" i="5"/>
  <c r="Z51" i="5"/>
  <c r="Y51" i="5"/>
  <c r="X51" i="5"/>
  <c r="W51" i="5"/>
  <c r="V51" i="5"/>
  <c r="AL51" i="5" s="1"/>
  <c r="U51" i="5"/>
  <c r="J51" i="5"/>
  <c r="I51" i="5"/>
  <c r="H51" i="5"/>
  <c r="G51" i="5"/>
  <c r="F51" i="5"/>
  <c r="E51" i="5"/>
  <c r="D51" i="5"/>
  <c r="T51" i="5" s="1"/>
  <c r="C51" i="5"/>
  <c r="CX50" i="5"/>
  <c r="DF50" i="5" s="1"/>
  <c r="CW50" i="5"/>
  <c r="DE50" i="5" s="1"/>
  <c r="CV50" i="5"/>
  <c r="DD50" i="5" s="1"/>
  <c r="CU50" i="5"/>
  <c r="DC50" i="5" s="1"/>
  <c r="CT50" i="5"/>
  <c r="DB50" i="5" s="1"/>
  <c r="CS50" i="5"/>
  <c r="DA50" i="5" s="1"/>
  <c r="CR50" i="5"/>
  <c r="DH50" i="5" s="1"/>
  <c r="CQ50" i="5"/>
  <c r="CY50" i="5" s="1"/>
  <c r="CF50" i="5"/>
  <c r="CN50" i="5" s="1"/>
  <c r="CE50" i="5"/>
  <c r="CM50" i="5" s="1"/>
  <c r="CD50" i="5"/>
  <c r="CL50" i="5" s="1"/>
  <c r="CC50" i="5"/>
  <c r="CK50" i="5" s="1"/>
  <c r="CB50" i="5"/>
  <c r="CJ50" i="5" s="1"/>
  <c r="CA50" i="5"/>
  <c r="CI50" i="5" s="1"/>
  <c r="BZ50" i="5"/>
  <c r="CP50" i="5" s="1"/>
  <c r="BY50" i="5"/>
  <c r="CG50" i="5" s="1"/>
  <c r="BV50" i="5"/>
  <c r="BT50" i="5"/>
  <c r="BS50" i="5"/>
  <c r="BR50" i="5"/>
  <c r="BQ50" i="5"/>
  <c r="BP50" i="5"/>
  <c r="BO50" i="5"/>
  <c r="BN50" i="5"/>
  <c r="BM50" i="5"/>
  <c r="BU50" i="5" s="1"/>
  <c r="BD50" i="5"/>
  <c r="BB50" i="5"/>
  <c r="BA50" i="5"/>
  <c r="AZ50" i="5"/>
  <c r="AY50" i="5"/>
  <c r="AX50" i="5"/>
  <c r="AW50" i="5"/>
  <c r="AV50" i="5"/>
  <c r="AU50" i="5"/>
  <c r="BC50" i="5" s="1"/>
  <c r="AL50" i="5"/>
  <c r="AJ50" i="5"/>
  <c r="AI50" i="5"/>
  <c r="AH50" i="5"/>
  <c r="AG50" i="5"/>
  <c r="AF50" i="5"/>
  <c r="AE50" i="5"/>
  <c r="AD50" i="5"/>
  <c r="AC50" i="5"/>
  <c r="AK50" i="5" s="1"/>
  <c r="T50" i="5"/>
  <c r="R50" i="5"/>
  <c r="Q50" i="5"/>
  <c r="P50" i="5"/>
  <c r="O50" i="5"/>
  <c r="N50" i="5"/>
  <c r="M50" i="5"/>
  <c r="L50" i="5"/>
  <c r="K50" i="5"/>
  <c r="S50" i="5" s="1"/>
  <c r="CX49" i="5"/>
  <c r="DF49" i="5" s="1"/>
  <c r="CW49" i="5"/>
  <c r="DE49" i="5" s="1"/>
  <c r="CV49" i="5"/>
  <c r="DD49" i="5" s="1"/>
  <c r="CU49" i="5"/>
  <c r="DC49" i="5" s="1"/>
  <c r="CT49" i="5"/>
  <c r="DB49" i="5" s="1"/>
  <c r="CS49" i="5"/>
  <c r="DA49" i="5" s="1"/>
  <c r="CR49" i="5"/>
  <c r="DH49" i="5" s="1"/>
  <c r="CQ49" i="5"/>
  <c r="CY49" i="5" s="1"/>
  <c r="CF49" i="5"/>
  <c r="CN49" i="5" s="1"/>
  <c r="CE49" i="5"/>
  <c r="CM49" i="5" s="1"/>
  <c r="CD49" i="5"/>
  <c r="CL49" i="5" s="1"/>
  <c r="CC49" i="5"/>
  <c r="CK49" i="5" s="1"/>
  <c r="CB49" i="5"/>
  <c r="CJ49" i="5" s="1"/>
  <c r="CA49" i="5"/>
  <c r="CI49" i="5" s="1"/>
  <c r="BZ49" i="5"/>
  <c r="CP49" i="5" s="1"/>
  <c r="BY49" i="5"/>
  <c r="CG49" i="5" s="1"/>
  <c r="BV49" i="5"/>
  <c r="BT49" i="5"/>
  <c r="BS49" i="5"/>
  <c r="BR49" i="5"/>
  <c r="BQ49" i="5"/>
  <c r="BP49" i="5"/>
  <c r="BO49" i="5"/>
  <c r="BN49" i="5"/>
  <c r="BM49" i="5"/>
  <c r="BU49" i="5" s="1"/>
  <c r="BD49" i="5"/>
  <c r="BB49" i="5"/>
  <c r="BA49" i="5"/>
  <c r="AZ49" i="5"/>
  <c r="AY49" i="5"/>
  <c r="AX49" i="5"/>
  <c r="AW49" i="5"/>
  <c r="AV49" i="5"/>
  <c r="AU49" i="5"/>
  <c r="BC49" i="5" s="1"/>
  <c r="AL49" i="5"/>
  <c r="AJ49" i="5"/>
  <c r="AI49" i="5"/>
  <c r="AH49" i="5"/>
  <c r="AG49" i="5"/>
  <c r="AF49" i="5"/>
  <c r="AE49" i="5"/>
  <c r="AD49" i="5"/>
  <c r="AC49" i="5"/>
  <c r="AK49" i="5" s="1"/>
  <c r="T49" i="5"/>
  <c r="R49" i="5"/>
  <c r="Q49" i="5"/>
  <c r="P49" i="5"/>
  <c r="O49" i="5"/>
  <c r="N49" i="5"/>
  <c r="M49" i="5"/>
  <c r="L49" i="5"/>
  <c r="K49" i="5"/>
  <c r="S49" i="5" s="1"/>
  <c r="CX48" i="5"/>
  <c r="DF48" i="5" s="1"/>
  <c r="CW48" i="5"/>
  <c r="DE48" i="5" s="1"/>
  <c r="CV48" i="5"/>
  <c r="DD48" i="5" s="1"/>
  <c r="CU48" i="5"/>
  <c r="DC48" i="5" s="1"/>
  <c r="CT48" i="5"/>
  <c r="DB48" i="5" s="1"/>
  <c r="CS48" i="5"/>
  <c r="DA48" i="5" s="1"/>
  <c r="CR48" i="5"/>
  <c r="DH48" i="5" s="1"/>
  <c r="CQ48" i="5"/>
  <c r="CY48" i="5" s="1"/>
  <c r="CF48" i="5"/>
  <c r="CN48" i="5" s="1"/>
  <c r="CE48" i="5"/>
  <c r="CM48" i="5" s="1"/>
  <c r="CD48" i="5"/>
  <c r="CL48" i="5" s="1"/>
  <c r="CC48" i="5"/>
  <c r="CK48" i="5" s="1"/>
  <c r="CB48" i="5"/>
  <c r="CJ48" i="5" s="1"/>
  <c r="CA48" i="5"/>
  <c r="CI48" i="5" s="1"/>
  <c r="BZ48" i="5"/>
  <c r="CP48" i="5" s="1"/>
  <c r="BY48" i="5"/>
  <c r="CG48" i="5" s="1"/>
  <c r="BV48" i="5"/>
  <c r="BT48" i="5"/>
  <c r="BS48" i="5"/>
  <c r="BR48" i="5"/>
  <c r="BQ48" i="5"/>
  <c r="BP48" i="5"/>
  <c r="BO48" i="5"/>
  <c r="BN48" i="5"/>
  <c r="BM48" i="5"/>
  <c r="BU48" i="5" s="1"/>
  <c r="BD48" i="5"/>
  <c r="BB48" i="5"/>
  <c r="BA48" i="5"/>
  <c r="AZ48" i="5"/>
  <c r="AY48" i="5"/>
  <c r="AX48" i="5"/>
  <c r="AW48" i="5"/>
  <c r="AV48" i="5"/>
  <c r="AU48" i="5"/>
  <c r="BC48" i="5" s="1"/>
  <c r="AL48" i="5"/>
  <c r="AJ48" i="5"/>
  <c r="AI48" i="5"/>
  <c r="AH48" i="5"/>
  <c r="AG48" i="5"/>
  <c r="AF48" i="5"/>
  <c r="AE48" i="5"/>
  <c r="AD48" i="5"/>
  <c r="AC48" i="5"/>
  <c r="AK48" i="5" s="1"/>
  <c r="T48" i="5"/>
  <c r="R48" i="5"/>
  <c r="Q48" i="5"/>
  <c r="P48" i="5"/>
  <c r="O48" i="5"/>
  <c r="N48" i="5"/>
  <c r="M48" i="5"/>
  <c r="L48" i="5"/>
  <c r="K48" i="5"/>
  <c r="S48" i="5" s="1"/>
  <c r="CX47" i="5"/>
  <c r="CX51" i="5" s="1"/>
  <c r="CW47" i="5"/>
  <c r="CW51" i="5" s="1"/>
  <c r="CV47" i="5"/>
  <c r="CV51" i="5" s="1"/>
  <c r="CU47" i="5"/>
  <c r="CU51" i="5" s="1"/>
  <c r="CT47" i="5"/>
  <c r="CT51" i="5" s="1"/>
  <c r="CS47" i="5"/>
  <c r="CS51" i="5" s="1"/>
  <c r="CR47" i="5"/>
  <c r="CR51" i="5" s="1"/>
  <c r="CQ47" i="5"/>
  <c r="CQ51" i="5" s="1"/>
  <c r="CF47" i="5"/>
  <c r="CF51" i="5" s="1"/>
  <c r="CE47" i="5"/>
  <c r="CE51" i="5" s="1"/>
  <c r="CD47" i="5"/>
  <c r="CD51" i="5" s="1"/>
  <c r="CC47" i="5"/>
  <c r="CC51" i="5" s="1"/>
  <c r="CB47" i="5"/>
  <c r="CB51" i="5" s="1"/>
  <c r="CA47" i="5"/>
  <c r="CA51" i="5" s="1"/>
  <c r="BZ47" i="5"/>
  <c r="BZ51" i="5" s="1"/>
  <c r="BY47" i="5"/>
  <c r="BY51" i="5" s="1"/>
  <c r="BV47" i="5"/>
  <c r="BT47" i="5"/>
  <c r="BT51" i="5" s="1"/>
  <c r="BS47" i="5"/>
  <c r="BS51" i="5" s="1"/>
  <c r="BR47" i="5"/>
  <c r="BR51" i="5" s="1"/>
  <c r="BQ47" i="5"/>
  <c r="BQ51" i="5" s="1"/>
  <c r="BP47" i="5"/>
  <c r="BP51" i="5" s="1"/>
  <c r="BO47" i="5"/>
  <c r="BO51" i="5" s="1"/>
  <c r="BN47" i="5"/>
  <c r="BN51" i="5" s="1"/>
  <c r="BM47" i="5"/>
  <c r="BM51" i="5" s="1"/>
  <c r="BU51" i="5" s="1"/>
  <c r="BD47" i="5"/>
  <c r="BB47" i="5"/>
  <c r="BB51" i="5" s="1"/>
  <c r="BA47" i="5"/>
  <c r="BA51" i="5" s="1"/>
  <c r="AZ47" i="5"/>
  <c r="AZ51" i="5" s="1"/>
  <c r="AY47" i="5"/>
  <c r="AY51" i="5" s="1"/>
  <c r="AX47" i="5"/>
  <c r="AX51" i="5" s="1"/>
  <c r="AW47" i="5"/>
  <c r="AW51" i="5" s="1"/>
  <c r="AV47" i="5"/>
  <c r="AV51" i="5" s="1"/>
  <c r="AU47" i="5"/>
  <c r="AU51" i="5" s="1"/>
  <c r="AL47" i="5"/>
  <c r="AJ47" i="5"/>
  <c r="AJ51" i="5" s="1"/>
  <c r="AI47" i="5"/>
  <c r="AI51" i="5" s="1"/>
  <c r="AH47" i="5"/>
  <c r="AH51" i="5" s="1"/>
  <c r="AG47" i="5"/>
  <c r="AG51" i="5" s="1"/>
  <c r="AF47" i="5"/>
  <c r="AF51" i="5" s="1"/>
  <c r="AE47" i="5"/>
  <c r="AE51" i="5" s="1"/>
  <c r="AD47" i="5"/>
  <c r="AD51" i="5" s="1"/>
  <c r="AC47" i="5"/>
  <c r="AC51" i="5" s="1"/>
  <c r="AK51" i="5" s="1"/>
  <c r="T47" i="5"/>
  <c r="R47" i="5"/>
  <c r="R51" i="5" s="1"/>
  <c r="Q47" i="5"/>
  <c r="Q51" i="5" s="1"/>
  <c r="P47" i="5"/>
  <c r="P51" i="5" s="1"/>
  <c r="O47" i="5"/>
  <c r="O51" i="5" s="1"/>
  <c r="N47" i="5"/>
  <c r="N51" i="5" s="1"/>
  <c r="M47" i="5"/>
  <c r="M51" i="5" s="1"/>
  <c r="L47" i="5"/>
  <c r="L51" i="5" s="1"/>
  <c r="K47" i="5"/>
  <c r="K51" i="5" s="1"/>
  <c r="BL46" i="5"/>
  <c r="BK46" i="5"/>
  <c r="BJ46" i="5"/>
  <c r="BI46" i="5"/>
  <c r="BH46" i="5"/>
  <c r="BG46" i="5"/>
  <c r="BF46" i="5"/>
  <c r="BV46" i="5" s="1"/>
  <c r="BE46" i="5"/>
  <c r="AT46" i="5"/>
  <c r="AS46" i="5"/>
  <c r="AR46" i="5"/>
  <c r="AQ46" i="5"/>
  <c r="AP46" i="5"/>
  <c r="AO46" i="5"/>
  <c r="AN46" i="5"/>
  <c r="BD46" i="5" s="1"/>
  <c r="AM46" i="5"/>
  <c r="AB46" i="5"/>
  <c r="AA46" i="5"/>
  <c r="Z46" i="5"/>
  <c r="Y46" i="5"/>
  <c r="X46" i="5"/>
  <c r="W46" i="5"/>
  <c r="V46" i="5"/>
  <c r="AL46" i="5" s="1"/>
  <c r="U46" i="5"/>
  <c r="J46" i="5"/>
  <c r="I46" i="5"/>
  <c r="H46" i="5"/>
  <c r="G46" i="5"/>
  <c r="F46" i="5"/>
  <c r="E46" i="5"/>
  <c r="D46" i="5"/>
  <c r="T46" i="5" s="1"/>
  <c r="C46" i="5"/>
  <c r="CX45" i="5"/>
  <c r="DF45" i="5" s="1"/>
  <c r="CW45" i="5"/>
  <c r="DE45" i="5" s="1"/>
  <c r="CV45" i="5"/>
  <c r="DD45" i="5" s="1"/>
  <c r="CU45" i="5"/>
  <c r="DC45" i="5" s="1"/>
  <c r="CT45" i="5"/>
  <c r="DB45" i="5" s="1"/>
  <c r="CS45" i="5"/>
  <c r="DA45" i="5" s="1"/>
  <c r="CR45" i="5"/>
  <c r="DH45" i="5" s="1"/>
  <c r="CQ45" i="5"/>
  <c r="CY45" i="5" s="1"/>
  <c r="CF45" i="5"/>
  <c r="CN45" i="5" s="1"/>
  <c r="CE45" i="5"/>
  <c r="CM45" i="5" s="1"/>
  <c r="CD45" i="5"/>
  <c r="CL45" i="5" s="1"/>
  <c r="CC45" i="5"/>
  <c r="CK45" i="5" s="1"/>
  <c r="CB45" i="5"/>
  <c r="CJ45" i="5" s="1"/>
  <c r="CA45" i="5"/>
  <c r="CI45" i="5" s="1"/>
  <c r="BZ45" i="5"/>
  <c r="CP45" i="5" s="1"/>
  <c r="BY45" i="5"/>
  <c r="CG45" i="5" s="1"/>
  <c r="BV45" i="5"/>
  <c r="BT45" i="5"/>
  <c r="BS45" i="5"/>
  <c r="BR45" i="5"/>
  <c r="BQ45" i="5"/>
  <c r="BP45" i="5"/>
  <c r="BO45" i="5"/>
  <c r="BN45" i="5"/>
  <c r="BM45" i="5"/>
  <c r="BU45" i="5" s="1"/>
  <c r="BD45" i="5"/>
  <c r="BB45" i="5"/>
  <c r="BA45" i="5"/>
  <c r="AZ45" i="5"/>
  <c r="AY45" i="5"/>
  <c r="AX45" i="5"/>
  <c r="AW45" i="5"/>
  <c r="AV45" i="5"/>
  <c r="AU45" i="5"/>
  <c r="BC45" i="5" s="1"/>
  <c r="AL45" i="5"/>
  <c r="AJ45" i="5"/>
  <c r="AI45" i="5"/>
  <c r="AH45" i="5"/>
  <c r="AG45" i="5"/>
  <c r="AF45" i="5"/>
  <c r="AE45" i="5"/>
  <c r="AD45" i="5"/>
  <c r="AC45" i="5"/>
  <c r="AK45" i="5" s="1"/>
  <c r="T45" i="5"/>
  <c r="R45" i="5"/>
  <c r="Q45" i="5"/>
  <c r="P45" i="5"/>
  <c r="O45" i="5"/>
  <c r="N45" i="5"/>
  <c r="M45" i="5"/>
  <c r="L45" i="5"/>
  <c r="K45" i="5"/>
  <c r="S45" i="5" s="1"/>
  <c r="CX44" i="5"/>
  <c r="DF44" i="5" s="1"/>
  <c r="CW44" i="5"/>
  <c r="DE44" i="5" s="1"/>
  <c r="CV44" i="5"/>
  <c r="DD44" i="5" s="1"/>
  <c r="CU44" i="5"/>
  <c r="DC44" i="5" s="1"/>
  <c r="CT44" i="5"/>
  <c r="DB44" i="5" s="1"/>
  <c r="CS44" i="5"/>
  <c r="DA44" i="5" s="1"/>
  <c r="CR44" i="5"/>
  <c r="DH44" i="5" s="1"/>
  <c r="CQ44" i="5"/>
  <c r="CY44" i="5" s="1"/>
  <c r="CF44" i="5"/>
  <c r="CN44" i="5" s="1"/>
  <c r="CE44" i="5"/>
  <c r="CM44" i="5" s="1"/>
  <c r="CD44" i="5"/>
  <c r="CL44" i="5" s="1"/>
  <c r="CC44" i="5"/>
  <c r="CK44" i="5" s="1"/>
  <c r="CB44" i="5"/>
  <c r="CJ44" i="5" s="1"/>
  <c r="CA44" i="5"/>
  <c r="CI44" i="5" s="1"/>
  <c r="BZ44" i="5"/>
  <c r="CP44" i="5" s="1"/>
  <c r="BY44" i="5"/>
  <c r="CG44" i="5" s="1"/>
  <c r="BV44" i="5"/>
  <c r="BT44" i="5"/>
  <c r="BS44" i="5"/>
  <c r="BR44" i="5"/>
  <c r="BQ44" i="5"/>
  <c r="BP44" i="5"/>
  <c r="BO44" i="5"/>
  <c r="BN44" i="5"/>
  <c r="BM44" i="5"/>
  <c r="BU44" i="5" s="1"/>
  <c r="BD44" i="5"/>
  <c r="BB44" i="5"/>
  <c r="BA44" i="5"/>
  <c r="AZ44" i="5"/>
  <c r="AY44" i="5"/>
  <c r="AX44" i="5"/>
  <c r="AW44" i="5"/>
  <c r="AV44" i="5"/>
  <c r="AU44" i="5"/>
  <c r="BC44" i="5" s="1"/>
  <c r="AL44" i="5"/>
  <c r="AJ44" i="5"/>
  <c r="AI44" i="5"/>
  <c r="AH44" i="5"/>
  <c r="AG44" i="5"/>
  <c r="AF44" i="5"/>
  <c r="AE44" i="5"/>
  <c r="AD44" i="5"/>
  <c r="AC44" i="5"/>
  <c r="AK44" i="5" s="1"/>
  <c r="T44" i="5"/>
  <c r="R44" i="5"/>
  <c r="Q44" i="5"/>
  <c r="P44" i="5"/>
  <c r="O44" i="5"/>
  <c r="N44" i="5"/>
  <c r="M44" i="5"/>
  <c r="L44" i="5"/>
  <c r="K44" i="5"/>
  <c r="S44" i="5" s="1"/>
  <c r="CX43" i="5"/>
  <c r="DF43" i="5" s="1"/>
  <c r="CW43" i="5"/>
  <c r="DE43" i="5" s="1"/>
  <c r="CV43" i="5"/>
  <c r="DD43" i="5" s="1"/>
  <c r="CU43" i="5"/>
  <c r="DC43" i="5" s="1"/>
  <c r="CT43" i="5"/>
  <c r="DB43" i="5" s="1"/>
  <c r="CS43" i="5"/>
  <c r="DA43" i="5" s="1"/>
  <c r="CR43" i="5"/>
  <c r="DH43" i="5" s="1"/>
  <c r="CQ43" i="5"/>
  <c r="CY43" i="5" s="1"/>
  <c r="CF43" i="5"/>
  <c r="CN43" i="5" s="1"/>
  <c r="CE43" i="5"/>
  <c r="CM43" i="5" s="1"/>
  <c r="CD43" i="5"/>
  <c r="CL43" i="5" s="1"/>
  <c r="CC43" i="5"/>
  <c r="CK43" i="5" s="1"/>
  <c r="CB43" i="5"/>
  <c r="CJ43" i="5" s="1"/>
  <c r="CA43" i="5"/>
  <c r="CI43" i="5" s="1"/>
  <c r="BZ43" i="5"/>
  <c r="CP43" i="5" s="1"/>
  <c r="BY43" i="5"/>
  <c r="CG43" i="5" s="1"/>
  <c r="BV43" i="5"/>
  <c r="BT43" i="5"/>
  <c r="BS43" i="5"/>
  <c r="BR43" i="5"/>
  <c r="BQ43" i="5"/>
  <c r="BP43" i="5"/>
  <c r="BO43" i="5"/>
  <c r="BN43" i="5"/>
  <c r="BM43" i="5"/>
  <c r="BU43" i="5" s="1"/>
  <c r="BD43" i="5"/>
  <c r="BB43" i="5"/>
  <c r="BA43" i="5"/>
  <c r="AZ43" i="5"/>
  <c r="AY43" i="5"/>
  <c r="AX43" i="5"/>
  <c r="AW43" i="5"/>
  <c r="AV43" i="5"/>
  <c r="AU43" i="5"/>
  <c r="BC43" i="5" s="1"/>
  <c r="AL43" i="5"/>
  <c r="AJ43" i="5"/>
  <c r="AI43" i="5"/>
  <c r="AH43" i="5"/>
  <c r="AG43" i="5"/>
  <c r="AF43" i="5"/>
  <c r="AE43" i="5"/>
  <c r="AD43" i="5"/>
  <c r="AC43" i="5"/>
  <c r="AK43" i="5" s="1"/>
  <c r="T43" i="5"/>
  <c r="R43" i="5"/>
  <c r="Q43" i="5"/>
  <c r="P43" i="5"/>
  <c r="O43" i="5"/>
  <c r="N43" i="5"/>
  <c r="M43" i="5"/>
  <c r="L43" i="5"/>
  <c r="K43" i="5"/>
  <c r="S43" i="5" s="1"/>
  <c r="CX42" i="5"/>
  <c r="CX46" i="5" s="1"/>
  <c r="CW42" i="5"/>
  <c r="CW46" i="5" s="1"/>
  <c r="CV42" i="5"/>
  <c r="CV46" i="5" s="1"/>
  <c r="CU42" i="5"/>
  <c r="CU46" i="5" s="1"/>
  <c r="CT42" i="5"/>
  <c r="CT46" i="5" s="1"/>
  <c r="CS42" i="5"/>
  <c r="CS46" i="5" s="1"/>
  <c r="CR42" i="5"/>
  <c r="CR46" i="5" s="1"/>
  <c r="CQ42" i="5"/>
  <c r="CQ46" i="5" s="1"/>
  <c r="CF42" i="5"/>
  <c r="CF46" i="5" s="1"/>
  <c r="CE42" i="5"/>
  <c r="CE46" i="5" s="1"/>
  <c r="CD42" i="5"/>
  <c r="CD46" i="5" s="1"/>
  <c r="CC42" i="5"/>
  <c r="CC46" i="5" s="1"/>
  <c r="CB42" i="5"/>
  <c r="CB46" i="5" s="1"/>
  <c r="CA42" i="5"/>
  <c r="CA46" i="5" s="1"/>
  <c r="BZ42" i="5"/>
  <c r="BZ46" i="5" s="1"/>
  <c r="BY42" i="5"/>
  <c r="BY46" i="5" s="1"/>
  <c r="BV42" i="5"/>
  <c r="BT42" i="5"/>
  <c r="BT46" i="5" s="1"/>
  <c r="BS42" i="5"/>
  <c r="BS46" i="5" s="1"/>
  <c r="BR42" i="5"/>
  <c r="BR46" i="5" s="1"/>
  <c r="BQ42" i="5"/>
  <c r="BQ46" i="5" s="1"/>
  <c r="BP42" i="5"/>
  <c r="BP46" i="5" s="1"/>
  <c r="BO42" i="5"/>
  <c r="BO46" i="5" s="1"/>
  <c r="BN42" i="5"/>
  <c r="BN46" i="5" s="1"/>
  <c r="BM42" i="5"/>
  <c r="BM46" i="5" s="1"/>
  <c r="BU46" i="5" s="1"/>
  <c r="BD42" i="5"/>
  <c r="BB42" i="5"/>
  <c r="BB46" i="5" s="1"/>
  <c r="BA42" i="5"/>
  <c r="BA46" i="5" s="1"/>
  <c r="AZ42" i="5"/>
  <c r="AZ46" i="5" s="1"/>
  <c r="AY42" i="5"/>
  <c r="AY46" i="5" s="1"/>
  <c r="AX42" i="5"/>
  <c r="AX46" i="5" s="1"/>
  <c r="AW42" i="5"/>
  <c r="AW46" i="5" s="1"/>
  <c r="AV42" i="5"/>
  <c r="AV46" i="5" s="1"/>
  <c r="AU42" i="5"/>
  <c r="AU46" i="5" s="1"/>
  <c r="AL42" i="5"/>
  <c r="AJ42" i="5"/>
  <c r="AJ46" i="5" s="1"/>
  <c r="AI42" i="5"/>
  <c r="AI46" i="5" s="1"/>
  <c r="AH42" i="5"/>
  <c r="AH46" i="5" s="1"/>
  <c r="AG42" i="5"/>
  <c r="AG46" i="5" s="1"/>
  <c r="AF42" i="5"/>
  <c r="AF46" i="5" s="1"/>
  <c r="AE42" i="5"/>
  <c r="AE46" i="5" s="1"/>
  <c r="AD42" i="5"/>
  <c r="AD46" i="5" s="1"/>
  <c r="AC42" i="5"/>
  <c r="AC46" i="5" s="1"/>
  <c r="AK46" i="5" s="1"/>
  <c r="T42" i="5"/>
  <c r="R42" i="5"/>
  <c r="R46" i="5" s="1"/>
  <c r="Q42" i="5"/>
  <c r="Q46" i="5" s="1"/>
  <c r="P42" i="5"/>
  <c r="P46" i="5" s="1"/>
  <c r="O42" i="5"/>
  <c r="O46" i="5" s="1"/>
  <c r="N42" i="5"/>
  <c r="N46" i="5" s="1"/>
  <c r="M42" i="5"/>
  <c r="M46" i="5" s="1"/>
  <c r="L42" i="5"/>
  <c r="L46" i="5" s="1"/>
  <c r="K42" i="5"/>
  <c r="K46" i="5" s="1"/>
  <c r="BL41" i="5"/>
  <c r="BK41" i="5"/>
  <c r="BJ41" i="5"/>
  <c r="BI41" i="5"/>
  <c r="BH41" i="5"/>
  <c r="BG41" i="5"/>
  <c r="BF41" i="5"/>
  <c r="BV41" i="5" s="1"/>
  <c r="BE41" i="5"/>
  <c r="AT41" i="5"/>
  <c r="AS41" i="5"/>
  <c r="AR41" i="5"/>
  <c r="AQ41" i="5"/>
  <c r="AP41" i="5"/>
  <c r="AO41" i="5"/>
  <c r="AN41" i="5"/>
  <c r="BD41" i="5" s="1"/>
  <c r="AM41" i="5"/>
  <c r="AB41" i="5"/>
  <c r="AA41" i="5"/>
  <c r="Z41" i="5"/>
  <c r="Y41" i="5"/>
  <c r="X41" i="5"/>
  <c r="W41" i="5"/>
  <c r="V41" i="5"/>
  <c r="AL41" i="5" s="1"/>
  <c r="U41" i="5"/>
  <c r="J41" i="5"/>
  <c r="I41" i="5"/>
  <c r="H41" i="5"/>
  <c r="G41" i="5"/>
  <c r="F41" i="5"/>
  <c r="E41" i="5"/>
  <c r="D41" i="5"/>
  <c r="T41" i="5" s="1"/>
  <c r="C41" i="5"/>
  <c r="CX40" i="5"/>
  <c r="DF40" i="5" s="1"/>
  <c r="CW40" i="5"/>
  <c r="DE40" i="5" s="1"/>
  <c r="CV40" i="5"/>
  <c r="DD40" i="5" s="1"/>
  <c r="CU40" i="5"/>
  <c r="DC40" i="5" s="1"/>
  <c r="CT40" i="5"/>
  <c r="DB40" i="5" s="1"/>
  <c r="CS40" i="5"/>
  <c r="DA40" i="5" s="1"/>
  <c r="CR40" i="5"/>
  <c r="DH40" i="5" s="1"/>
  <c r="CQ40" i="5"/>
  <c r="CY40" i="5" s="1"/>
  <c r="CF40" i="5"/>
  <c r="CN40" i="5" s="1"/>
  <c r="CE40" i="5"/>
  <c r="CM40" i="5" s="1"/>
  <c r="CD40" i="5"/>
  <c r="CL40" i="5" s="1"/>
  <c r="CC40" i="5"/>
  <c r="CK40" i="5" s="1"/>
  <c r="CB40" i="5"/>
  <c r="CJ40" i="5" s="1"/>
  <c r="CA40" i="5"/>
  <c r="CI40" i="5" s="1"/>
  <c r="BZ40" i="5"/>
  <c r="CP40" i="5" s="1"/>
  <c r="BY40" i="5"/>
  <c r="CG40" i="5" s="1"/>
  <c r="BV40" i="5"/>
  <c r="BT40" i="5"/>
  <c r="BS40" i="5"/>
  <c r="BR40" i="5"/>
  <c r="BQ40" i="5"/>
  <c r="BP40" i="5"/>
  <c r="BO40" i="5"/>
  <c r="BN40" i="5"/>
  <c r="BM40" i="5"/>
  <c r="BU40" i="5" s="1"/>
  <c r="BD40" i="5"/>
  <c r="BB40" i="5"/>
  <c r="BA40" i="5"/>
  <c r="AZ40" i="5"/>
  <c r="AY40" i="5"/>
  <c r="AX40" i="5"/>
  <c r="AW40" i="5"/>
  <c r="AV40" i="5"/>
  <c r="AU40" i="5"/>
  <c r="BC40" i="5" s="1"/>
  <c r="AL40" i="5"/>
  <c r="AJ40" i="5"/>
  <c r="AI40" i="5"/>
  <c r="AH40" i="5"/>
  <c r="AG40" i="5"/>
  <c r="AF40" i="5"/>
  <c r="AE40" i="5"/>
  <c r="AD40" i="5"/>
  <c r="AC40" i="5"/>
  <c r="AK40" i="5" s="1"/>
  <c r="T40" i="5"/>
  <c r="R40" i="5"/>
  <c r="Q40" i="5"/>
  <c r="P40" i="5"/>
  <c r="O40" i="5"/>
  <c r="N40" i="5"/>
  <c r="M40" i="5"/>
  <c r="L40" i="5"/>
  <c r="K40" i="5"/>
  <c r="S40" i="5" s="1"/>
  <c r="CX39" i="5"/>
  <c r="DF39" i="5" s="1"/>
  <c r="CW39" i="5"/>
  <c r="DE39" i="5" s="1"/>
  <c r="CV39" i="5"/>
  <c r="DD39" i="5" s="1"/>
  <c r="CU39" i="5"/>
  <c r="DC39" i="5" s="1"/>
  <c r="CT39" i="5"/>
  <c r="DB39" i="5" s="1"/>
  <c r="CS39" i="5"/>
  <c r="DA39" i="5" s="1"/>
  <c r="CR39" i="5"/>
  <c r="DH39" i="5" s="1"/>
  <c r="CQ39" i="5"/>
  <c r="CY39" i="5" s="1"/>
  <c r="CF39" i="5"/>
  <c r="CN39" i="5" s="1"/>
  <c r="CE39" i="5"/>
  <c r="CM39" i="5" s="1"/>
  <c r="CD39" i="5"/>
  <c r="CL39" i="5" s="1"/>
  <c r="CC39" i="5"/>
  <c r="CK39" i="5" s="1"/>
  <c r="CB39" i="5"/>
  <c r="CJ39" i="5" s="1"/>
  <c r="CA39" i="5"/>
  <c r="CI39" i="5" s="1"/>
  <c r="BZ39" i="5"/>
  <c r="CP39" i="5" s="1"/>
  <c r="BY39" i="5"/>
  <c r="CG39" i="5" s="1"/>
  <c r="BV39" i="5"/>
  <c r="BT39" i="5"/>
  <c r="BS39" i="5"/>
  <c r="BR39" i="5"/>
  <c r="BQ39" i="5"/>
  <c r="BP39" i="5"/>
  <c r="BO39" i="5"/>
  <c r="BN39" i="5"/>
  <c r="BM39" i="5"/>
  <c r="BU39" i="5" s="1"/>
  <c r="BD39" i="5"/>
  <c r="BB39" i="5"/>
  <c r="BA39" i="5"/>
  <c r="AZ39" i="5"/>
  <c r="AY39" i="5"/>
  <c r="AX39" i="5"/>
  <c r="AW39" i="5"/>
  <c r="AV39" i="5"/>
  <c r="AU39" i="5"/>
  <c r="BC39" i="5" s="1"/>
  <c r="AL39" i="5"/>
  <c r="AJ39" i="5"/>
  <c r="AI39" i="5"/>
  <c r="AH39" i="5"/>
  <c r="AG39" i="5"/>
  <c r="AF39" i="5"/>
  <c r="AE39" i="5"/>
  <c r="AD39" i="5"/>
  <c r="AC39" i="5"/>
  <c r="AK39" i="5" s="1"/>
  <c r="T39" i="5"/>
  <c r="R39" i="5"/>
  <c r="Q39" i="5"/>
  <c r="P39" i="5"/>
  <c r="O39" i="5"/>
  <c r="N39" i="5"/>
  <c r="M39" i="5"/>
  <c r="L39" i="5"/>
  <c r="K39" i="5"/>
  <c r="S39" i="5" s="1"/>
  <c r="CX38" i="5"/>
  <c r="DF38" i="5" s="1"/>
  <c r="CW38" i="5"/>
  <c r="DE38" i="5" s="1"/>
  <c r="CV38" i="5"/>
  <c r="DD38" i="5" s="1"/>
  <c r="CU38" i="5"/>
  <c r="DC38" i="5" s="1"/>
  <c r="CT38" i="5"/>
  <c r="DB38" i="5" s="1"/>
  <c r="CS38" i="5"/>
  <c r="DA38" i="5" s="1"/>
  <c r="CR38" i="5"/>
  <c r="DH38" i="5" s="1"/>
  <c r="CQ38" i="5"/>
  <c r="CY38" i="5" s="1"/>
  <c r="CF38" i="5"/>
  <c r="CN38" i="5" s="1"/>
  <c r="CE38" i="5"/>
  <c r="CM38" i="5" s="1"/>
  <c r="CD38" i="5"/>
  <c r="CL38" i="5" s="1"/>
  <c r="CC38" i="5"/>
  <c r="CK38" i="5" s="1"/>
  <c r="CB38" i="5"/>
  <c r="CJ38" i="5" s="1"/>
  <c r="CA38" i="5"/>
  <c r="CI38" i="5" s="1"/>
  <c r="BZ38" i="5"/>
  <c r="CP38" i="5" s="1"/>
  <c r="BY38" i="5"/>
  <c r="CG38" i="5" s="1"/>
  <c r="BV38" i="5"/>
  <c r="BT38" i="5"/>
  <c r="BS38" i="5"/>
  <c r="BR38" i="5"/>
  <c r="BQ38" i="5"/>
  <c r="BP38" i="5"/>
  <c r="BO38" i="5"/>
  <c r="BN38" i="5"/>
  <c r="BM38" i="5"/>
  <c r="BU38" i="5" s="1"/>
  <c r="BD38" i="5"/>
  <c r="BB38" i="5"/>
  <c r="BA38" i="5"/>
  <c r="AZ38" i="5"/>
  <c r="AY38" i="5"/>
  <c r="AX38" i="5"/>
  <c r="AW38" i="5"/>
  <c r="AV38" i="5"/>
  <c r="AU38" i="5"/>
  <c r="BC38" i="5" s="1"/>
  <c r="AL38" i="5"/>
  <c r="AJ38" i="5"/>
  <c r="AI38" i="5"/>
  <c r="AH38" i="5"/>
  <c r="AG38" i="5"/>
  <c r="AF38" i="5"/>
  <c r="AE38" i="5"/>
  <c r="AD38" i="5"/>
  <c r="AC38" i="5"/>
  <c r="AK38" i="5" s="1"/>
  <c r="T38" i="5"/>
  <c r="R38" i="5"/>
  <c r="Q38" i="5"/>
  <c r="P38" i="5"/>
  <c r="O38" i="5"/>
  <c r="N38" i="5"/>
  <c r="M38" i="5"/>
  <c r="L38" i="5"/>
  <c r="K38" i="5"/>
  <c r="S38" i="5" s="1"/>
  <c r="CX37" i="5"/>
  <c r="CX41" i="5" s="1"/>
  <c r="CW37" i="5"/>
  <c r="CW41" i="5" s="1"/>
  <c r="CV37" i="5"/>
  <c r="CV41" i="5" s="1"/>
  <c r="CU37" i="5"/>
  <c r="CU41" i="5" s="1"/>
  <c r="CT37" i="5"/>
  <c r="CT41" i="5" s="1"/>
  <c r="CS37" i="5"/>
  <c r="CS41" i="5" s="1"/>
  <c r="CR37" i="5"/>
  <c r="CR41" i="5" s="1"/>
  <c r="CQ37" i="5"/>
  <c r="CQ41" i="5" s="1"/>
  <c r="CF37" i="5"/>
  <c r="CF41" i="5" s="1"/>
  <c r="CE37" i="5"/>
  <c r="CE41" i="5" s="1"/>
  <c r="CD37" i="5"/>
  <c r="CD41" i="5" s="1"/>
  <c r="CC37" i="5"/>
  <c r="CC41" i="5" s="1"/>
  <c r="CB37" i="5"/>
  <c r="CB41" i="5" s="1"/>
  <c r="CA37" i="5"/>
  <c r="CA41" i="5" s="1"/>
  <c r="BZ37" i="5"/>
  <c r="BZ41" i="5" s="1"/>
  <c r="BY37" i="5"/>
  <c r="BY41" i="5" s="1"/>
  <c r="BV37" i="5"/>
  <c r="BT37" i="5"/>
  <c r="BT41" i="5" s="1"/>
  <c r="BS37" i="5"/>
  <c r="BS41" i="5" s="1"/>
  <c r="BR37" i="5"/>
  <c r="BR41" i="5" s="1"/>
  <c r="BQ37" i="5"/>
  <c r="BQ41" i="5" s="1"/>
  <c r="BP37" i="5"/>
  <c r="BP41" i="5" s="1"/>
  <c r="BO37" i="5"/>
  <c r="BO41" i="5" s="1"/>
  <c r="BN37" i="5"/>
  <c r="BN41" i="5" s="1"/>
  <c r="BM37" i="5"/>
  <c r="BM41" i="5" s="1"/>
  <c r="BU41" i="5" s="1"/>
  <c r="BD37" i="5"/>
  <c r="BB37" i="5"/>
  <c r="BB41" i="5" s="1"/>
  <c r="BA37" i="5"/>
  <c r="BA41" i="5" s="1"/>
  <c r="AZ37" i="5"/>
  <c r="AZ41" i="5" s="1"/>
  <c r="AY37" i="5"/>
  <c r="AY41" i="5" s="1"/>
  <c r="AX37" i="5"/>
  <c r="AX41" i="5" s="1"/>
  <c r="AW37" i="5"/>
  <c r="AW41" i="5" s="1"/>
  <c r="AV37" i="5"/>
  <c r="AV41" i="5" s="1"/>
  <c r="AU37" i="5"/>
  <c r="AU41" i="5" s="1"/>
  <c r="AL37" i="5"/>
  <c r="AJ37" i="5"/>
  <c r="AJ41" i="5" s="1"/>
  <c r="AI37" i="5"/>
  <c r="AI41" i="5" s="1"/>
  <c r="AH37" i="5"/>
  <c r="AH41" i="5" s="1"/>
  <c r="AG37" i="5"/>
  <c r="AG41" i="5" s="1"/>
  <c r="AF37" i="5"/>
  <c r="AF41" i="5" s="1"/>
  <c r="AE37" i="5"/>
  <c r="AE41" i="5" s="1"/>
  <c r="AD37" i="5"/>
  <c r="AD41" i="5" s="1"/>
  <c r="AC37" i="5"/>
  <c r="AC41" i="5" s="1"/>
  <c r="AK41" i="5" s="1"/>
  <c r="T37" i="5"/>
  <c r="R37" i="5"/>
  <c r="R41" i="5" s="1"/>
  <c r="Q37" i="5"/>
  <c r="Q41" i="5" s="1"/>
  <c r="P37" i="5"/>
  <c r="P41" i="5" s="1"/>
  <c r="O37" i="5"/>
  <c r="O41" i="5" s="1"/>
  <c r="N37" i="5"/>
  <c r="N41" i="5" s="1"/>
  <c r="M37" i="5"/>
  <c r="M41" i="5" s="1"/>
  <c r="L37" i="5"/>
  <c r="L41" i="5" s="1"/>
  <c r="K37" i="5"/>
  <c r="K41" i="5" s="1"/>
  <c r="BL36" i="5"/>
  <c r="BK36" i="5"/>
  <c r="BJ36" i="5"/>
  <c r="BI36" i="5"/>
  <c r="BH36" i="5"/>
  <c r="BG36" i="5"/>
  <c r="BF36" i="5"/>
  <c r="BV36" i="5" s="1"/>
  <c r="BE36" i="5"/>
  <c r="AT36" i="5"/>
  <c r="AS36" i="5"/>
  <c r="AR36" i="5"/>
  <c r="AQ36" i="5"/>
  <c r="AP36" i="5"/>
  <c r="AO36" i="5"/>
  <c r="AN36" i="5"/>
  <c r="BD36" i="5" s="1"/>
  <c r="AM36" i="5"/>
  <c r="AB36" i="5"/>
  <c r="AA36" i="5"/>
  <c r="Z36" i="5"/>
  <c r="Y36" i="5"/>
  <c r="X36" i="5"/>
  <c r="W36" i="5"/>
  <c r="V36" i="5"/>
  <c r="AL36" i="5" s="1"/>
  <c r="U36" i="5"/>
  <c r="J36" i="5"/>
  <c r="I36" i="5"/>
  <c r="H36" i="5"/>
  <c r="G36" i="5"/>
  <c r="F36" i="5"/>
  <c r="E36" i="5"/>
  <c r="D36" i="5"/>
  <c r="T36" i="5" s="1"/>
  <c r="C36" i="5"/>
  <c r="CX35" i="5"/>
  <c r="DF35" i="5" s="1"/>
  <c r="CW35" i="5"/>
  <c r="DE35" i="5" s="1"/>
  <c r="CV35" i="5"/>
  <c r="DD35" i="5" s="1"/>
  <c r="CU35" i="5"/>
  <c r="DC35" i="5" s="1"/>
  <c r="CT35" i="5"/>
  <c r="DB35" i="5" s="1"/>
  <c r="CS35" i="5"/>
  <c r="DA35" i="5" s="1"/>
  <c r="CR35" i="5"/>
  <c r="DH35" i="5" s="1"/>
  <c r="CQ35" i="5"/>
  <c r="CY35" i="5" s="1"/>
  <c r="CF35" i="5"/>
  <c r="CN35" i="5" s="1"/>
  <c r="CE35" i="5"/>
  <c r="CM35" i="5" s="1"/>
  <c r="CD35" i="5"/>
  <c r="CL35" i="5" s="1"/>
  <c r="CC35" i="5"/>
  <c r="CK35" i="5" s="1"/>
  <c r="CB35" i="5"/>
  <c r="CJ35" i="5" s="1"/>
  <c r="CA35" i="5"/>
  <c r="CI35" i="5" s="1"/>
  <c r="BZ35" i="5"/>
  <c r="CP35" i="5" s="1"/>
  <c r="BY35" i="5"/>
  <c r="CG35" i="5" s="1"/>
  <c r="BV35" i="5"/>
  <c r="BT35" i="5"/>
  <c r="BS35" i="5"/>
  <c r="BR35" i="5"/>
  <c r="BQ35" i="5"/>
  <c r="BP35" i="5"/>
  <c r="BO35" i="5"/>
  <c r="BN35" i="5"/>
  <c r="BM35" i="5"/>
  <c r="BU35" i="5" s="1"/>
  <c r="BD35" i="5"/>
  <c r="BB35" i="5"/>
  <c r="BA35" i="5"/>
  <c r="AZ35" i="5"/>
  <c r="AY35" i="5"/>
  <c r="AX35" i="5"/>
  <c r="AW35" i="5"/>
  <c r="AV35" i="5"/>
  <c r="AU35" i="5"/>
  <c r="BC35" i="5" s="1"/>
  <c r="AL35" i="5"/>
  <c r="AJ35" i="5"/>
  <c r="AI35" i="5"/>
  <c r="AH35" i="5"/>
  <c r="AG35" i="5"/>
  <c r="AF35" i="5"/>
  <c r="AE35" i="5"/>
  <c r="AD35" i="5"/>
  <c r="AC35" i="5"/>
  <c r="AK35" i="5" s="1"/>
  <c r="T35" i="5"/>
  <c r="R35" i="5"/>
  <c r="Q35" i="5"/>
  <c r="P35" i="5"/>
  <c r="O35" i="5"/>
  <c r="N35" i="5"/>
  <c r="M35" i="5"/>
  <c r="L35" i="5"/>
  <c r="K35" i="5"/>
  <c r="S35" i="5" s="1"/>
  <c r="CX34" i="5"/>
  <c r="DF34" i="5" s="1"/>
  <c r="CW34" i="5"/>
  <c r="DE34" i="5" s="1"/>
  <c r="CV34" i="5"/>
  <c r="DD34" i="5" s="1"/>
  <c r="CU34" i="5"/>
  <c r="DC34" i="5" s="1"/>
  <c r="CT34" i="5"/>
  <c r="DB34" i="5" s="1"/>
  <c r="CS34" i="5"/>
  <c r="DA34" i="5" s="1"/>
  <c r="CR34" i="5"/>
  <c r="DH34" i="5" s="1"/>
  <c r="CQ34" i="5"/>
  <c r="CY34" i="5" s="1"/>
  <c r="CF34" i="5"/>
  <c r="CN34" i="5" s="1"/>
  <c r="CE34" i="5"/>
  <c r="CM34" i="5" s="1"/>
  <c r="CD34" i="5"/>
  <c r="CL34" i="5" s="1"/>
  <c r="CC34" i="5"/>
  <c r="CK34" i="5" s="1"/>
  <c r="CB34" i="5"/>
  <c r="CJ34" i="5" s="1"/>
  <c r="CA34" i="5"/>
  <c r="CI34" i="5" s="1"/>
  <c r="BZ34" i="5"/>
  <c r="CP34" i="5" s="1"/>
  <c r="BY34" i="5"/>
  <c r="CG34" i="5" s="1"/>
  <c r="BV34" i="5"/>
  <c r="BT34" i="5"/>
  <c r="BS34" i="5"/>
  <c r="BR34" i="5"/>
  <c r="BQ34" i="5"/>
  <c r="BP34" i="5"/>
  <c r="BO34" i="5"/>
  <c r="BN34" i="5"/>
  <c r="BM34" i="5"/>
  <c r="BU34" i="5" s="1"/>
  <c r="BD34" i="5"/>
  <c r="BB34" i="5"/>
  <c r="BA34" i="5"/>
  <c r="AZ34" i="5"/>
  <c r="AY34" i="5"/>
  <c r="AX34" i="5"/>
  <c r="AW34" i="5"/>
  <c r="AV34" i="5"/>
  <c r="AU34" i="5"/>
  <c r="BC34" i="5" s="1"/>
  <c r="AL34" i="5"/>
  <c r="AJ34" i="5"/>
  <c r="AI34" i="5"/>
  <c r="AH34" i="5"/>
  <c r="AG34" i="5"/>
  <c r="AF34" i="5"/>
  <c r="AE34" i="5"/>
  <c r="AD34" i="5"/>
  <c r="AC34" i="5"/>
  <c r="AK34" i="5" s="1"/>
  <c r="T34" i="5"/>
  <c r="R34" i="5"/>
  <c r="Q34" i="5"/>
  <c r="P34" i="5"/>
  <c r="O34" i="5"/>
  <c r="N34" i="5"/>
  <c r="M34" i="5"/>
  <c r="L34" i="5"/>
  <c r="K34" i="5"/>
  <c r="S34" i="5" s="1"/>
  <c r="CX33" i="5"/>
  <c r="DF33" i="5" s="1"/>
  <c r="CW33" i="5"/>
  <c r="DE33" i="5" s="1"/>
  <c r="CV33" i="5"/>
  <c r="DD33" i="5" s="1"/>
  <c r="CU33" i="5"/>
  <c r="DC33" i="5" s="1"/>
  <c r="CT33" i="5"/>
  <c r="DB33" i="5" s="1"/>
  <c r="CS33" i="5"/>
  <c r="DA33" i="5" s="1"/>
  <c r="CR33" i="5"/>
  <c r="DH33" i="5" s="1"/>
  <c r="CQ33" i="5"/>
  <c r="CY33" i="5" s="1"/>
  <c r="CF33" i="5"/>
  <c r="CN33" i="5" s="1"/>
  <c r="CE33" i="5"/>
  <c r="CM33" i="5" s="1"/>
  <c r="CD33" i="5"/>
  <c r="CL33" i="5" s="1"/>
  <c r="CC33" i="5"/>
  <c r="CK33" i="5" s="1"/>
  <c r="CB33" i="5"/>
  <c r="CJ33" i="5" s="1"/>
  <c r="CA33" i="5"/>
  <c r="CI33" i="5" s="1"/>
  <c r="BZ33" i="5"/>
  <c r="CP33" i="5" s="1"/>
  <c r="BY33" i="5"/>
  <c r="CG33" i="5" s="1"/>
  <c r="BV33" i="5"/>
  <c r="BT33" i="5"/>
  <c r="BS33" i="5"/>
  <c r="BR33" i="5"/>
  <c r="BQ33" i="5"/>
  <c r="BP33" i="5"/>
  <c r="BO33" i="5"/>
  <c r="BN33" i="5"/>
  <c r="BM33" i="5"/>
  <c r="BU33" i="5" s="1"/>
  <c r="BD33" i="5"/>
  <c r="BB33" i="5"/>
  <c r="BA33" i="5"/>
  <c r="AZ33" i="5"/>
  <c r="AY33" i="5"/>
  <c r="AX33" i="5"/>
  <c r="AW33" i="5"/>
  <c r="AV33" i="5"/>
  <c r="AU33" i="5"/>
  <c r="BC33" i="5" s="1"/>
  <c r="AL33" i="5"/>
  <c r="AJ33" i="5"/>
  <c r="AI33" i="5"/>
  <c r="AH33" i="5"/>
  <c r="AG33" i="5"/>
  <c r="AF33" i="5"/>
  <c r="AE33" i="5"/>
  <c r="AD33" i="5"/>
  <c r="AC33" i="5"/>
  <c r="AK33" i="5" s="1"/>
  <c r="T33" i="5"/>
  <c r="R33" i="5"/>
  <c r="Q33" i="5"/>
  <c r="P33" i="5"/>
  <c r="O33" i="5"/>
  <c r="N33" i="5"/>
  <c r="M33" i="5"/>
  <c r="L33" i="5"/>
  <c r="K33" i="5"/>
  <c r="S33" i="5" s="1"/>
  <c r="CX32" i="5"/>
  <c r="CX36" i="5" s="1"/>
  <c r="CW32" i="5"/>
  <c r="CW36" i="5" s="1"/>
  <c r="CV32" i="5"/>
  <c r="CV36" i="5" s="1"/>
  <c r="CU32" i="5"/>
  <c r="CU36" i="5" s="1"/>
  <c r="CT32" i="5"/>
  <c r="CT36" i="5" s="1"/>
  <c r="CS32" i="5"/>
  <c r="CS36" i="5" s="1"/>
  <c r="CR32" i="5"/>
  <c r="CR36" i="5" s="1"/>
  <c r="CQ32" i="5"/>
  <c r="CQ36" i="5" s="1"/>
  <c r="CF32" i="5"/>
  <c r="CF36" i="5" s="1"/>
  <c r="CE32" i="5"/>
  <c r="CE36" i="5" s="1"/>
  <c r="CD32" i="5"/>
  <c r="CD36" i="5" s="1"/>
  <c r="CC32" i="5"/>
  <c r="CC36" i="5" s="1"/>
  <c r="CB32" i="5"/>
  <c r="CB36" i="5" s="1"/>
  <c r="CA32" i="5"/>
  <c r="CA36" i="5" s="1"/>
  <c r="BZ32" i="5"/>
  <c r="BZ36" i="5" s="1"/>
  <c r="BY32" i="5"/>
  <c r="BY36" i="5" s="1"/>
  <c r="BV32" i="5"/>
  <c r="BT32" i="5"/>
  <c r="BT36" i="5" s="1"/>
  <c r="BS32" i="5"/>
  <c r="BS36" i="5" s="1"/>
  <c r="BR32" i="5"/>
  <c r="BR36" i="5" s="1"/>
  <c r="BQ32" i="5"/>
  <c r="BQ36" i="5" s="1"/>
  <c r="BP32" i="5"/>
  <c r="BP36" i="5" s="1"/>
  <c r="BO32" i="5"/>
  <c r="BO36" i="5" s="1"/>
  <c r="BN32" i="5"/>
  <c r="BN36" i="5" s="1"/>
  <c r="BM32" i="5"/>
  <c r="BM36" i="5" s="1"/>
  <c r="BU36" i="5" s="1"/>
  <c r="BD32" i="5"/>
  <c r="BB32" i="5"/>
  <c r="BB36" i="5" s="1"/>
  <c r="BA32" i="5"/>
  <c r="BA36" i="5" s="1"/>
  <c r="AZ32" i="5"/>
  <c r="AZ36" i="5" s="1"/>
  <c r="AY32" i="5"/>
  <c r="AY36" i="5" s="1"/>
  <c r="AX32" i="5"/>
  <c r="AX36" i="5" s="1"/>
  <c r="AW32" i="5"/>
  <c r="AW36" i="5" s="1"/>
  <c r="AV32" i="5"/>
  <c r="AV36" i="5" s="1"/>
  <c r="AU32" i="5"/>
  <c r="AU36" i="5" s="1"/>
  <c r="AL32" i="5"/>
  <c r="AJ32" i="5"/>
  <c r="AJ36" i="5" s="1"/>
  <c r="AI32" i="5"/>
  <c r="AI36" i="5" s="1"/>
  <c r="AH32" i="5"/>
  <c r="AH36" i="5" s="1"/>
  <c r="AG32" i="5"/>
  <c r="AG36" i="5" s="1"/>
  <c r="AF32" i="5"/>
  <c r="AF36" i="5" s="1"/>
  <c r="AE32" i="5"/>
  <c r="AE36" i="5" s="1"/>
  <c r="AD32" i="5"/>
  <c r="AD36" i="5" s="1"/>
  <c r="AC32" i="5"/>
  <c r="AC36" i="5" s="1"/>
  <c r="AK36" i="5" s="1"/>
  <c r="T32" i="5"/>
  <c r="R32" i="5"/>
  <c r="R36" i="5" s="1"/>
  <c r="Q32" i="5"/>
  <c r="Q36" i="5" s="1"/>
  <c r="P32" i="5"/>
  <c r="P36" i="5" s="1"/>
  <c r="O32" i="5"/>
  <c r="O36" i="5" s="1"/>
  <c r="N32" i="5"/>
  <c r="N36" i="5" s="1"/>
  <c r="M32" i="5"/>
  <c r="M36" i="5" s="1"/>
  <c r="L32" i="5"/>
  <c r="L36" i="5" s="1"/>
  <c r="K32" i="5"/>
  <c r="K36" i="5" s="1"/>
  <c r="BL31" i="5"/>
  <c r="BK31" i="5"/>
  <c r="BJ31" i="5"/>
  <c r="BI31" i="5"/>
  <c r="BH31" i="5"/>
  <c r="BG31" i="5"/>
  <c r="BF31" i="5"/>
  <c r="BV31" i="5" s="1"/>
  <c r="BE31" i="5"/>
  <c r="AT31" i="5"/>
  <c r="AS31" i="5"/>
  <c r="AR31" i="5"/>
  <c r="AQ31" i="5"/>
  <c r="AP31" i="5"/>
  <c r="AO31" i="5"/>
  <c r="AN31" i="5"/>
  <c r="BD31" i="5" s="1"/>
  <c r="AM31" i="5"/>
  <c r="AB31" i="5"/>
  <c r="AA31" i="5"/>
  <c r="Z31" i="5"/>
  <c r="Y31" i="5"/>
  <c r="X31" i="5"/>
  <c r="W31" i="5"/>
  <c r="V31" i="5"/>
  <c r="AL31" i="5" s="1"/>
  <c r="U31" i="5"/>
  <c r="J31" i="5"/>
  <c r="I31" i="5"/>
  <c r="H31" i="5"/>
  <c r="G31" i="5"/>
  <c r="F31" i="5"/>
  <c r="E31" i="5"/>
  <c r="D31" i="5"/>
  <c r="T31" i="5" s="1"/>
  <c r="C31" i="5"/>
  <c r="CX30" i="5"/>
  <c r="DF30" i="5" s="1"/>
  <c r="CW30" i="5"/>
  <c r="DE30" i="5" s="1"/>
  <c r="CV30" i="5"/>
  <c r="DD30" i="5" s="1"/>
  <c r="CU30" i="5"/>
  <c r="DC30" i="5" s="1"/>
  <c r="CT30" i="5"/>
  <c r="DB30" i="5" s="1"/>
  <c r="CS30" i="5"/>
  <c r="DA30" i="5" s="1"/>
  <c r="CR30" i="5"/>
  <c r="DH30" i="5" s="1"/>
  <c r="CQ30" i="5"/>
  <c r="CY30" i="5" s="1"/>
  <c r="CF30" i="5"/>
  <c r="CN30" i="5" s="1"/>
  <c r="CE30" i="5"/>
  <c r="CM30" i="5" s="1"/>
  <c r="CD30" i="5"/>
  <c r="CL30" i="5" s="1"/>
  <c r="CC30" i="5"/>
  <c r="CK30" i="5" s="1"/>
  <c r="CB30" i="5"/>
  <c r="CJ30" i="5" s="1"/>
  <c r="CA30" i="5"/>
  <c r="CI30" i="5" s="1"/>
  <c r="BZ30" i="5"/>
  <c r="CP30" i="5" s="1"/>
  <c r="BY30" i="5"/>
  <c r="CG30" i="5" s="1"/>
  <c r="BV30" i="5"/>
  <c r="BT30" i="5"/>
  <c r="BS30" i="5"/>
  <c r="BR30" i="5"/>
  <c r="BQ30" i="5"/>
  <c r="BP30" i="5"/>
  <c r="BO30" i="5"/>
  <c r="BN30" i="5"/>
  <c r="BM30" i="5"/>
  <c r="BU30" i="5" s="1"/>
  <c r="BD30" i="5"/>
  <c r="BB30" i="5"/>
  <c r="BA30" i="5"/>
  <c r="AZ30" i="5"/>
  <c r="AY30" i="5"/>
  <c r="AX30" i="5"/>
  <c r="AW30" i="5"/>
  <c r="AV30" i="5"/>
  <c r="AU30" i="5"/>
  <c r="BC30" i="5" s="1"/>
  <c r="AL30" i="5"/>
  <c r="AJ30" i="5"/>
  <c r="AI30" i="5"/>
  <c r="AH30" i="5"/>
  <c r="AG30" i="5"/>
  <c r="AF30" i="5"/>
  <c r="AE30" i="5"/>
  <c r="AD30" i="5"/>
  <c r="AC30" i="5"/>
  <c r="AK30" i="5" s="1"/>
  <c r="T30" i="5"/>
  <c r="R30" i="5"/>
  <c r="Q30" i="5"/>
  <c r="P30" i="5"/>
  <c r="O30" i="5"/>
  <c r="N30" i="5"/>
  <c r="M30" i="5"/>
  <c r="L30" i="5"/>
  <c r="K30" i="5"/>
  <c r="S30" i="5" s="1"/>
  <c r="CX29" i="5"/>
  <c r="DF29" i="5" s="1"/>
  <c r="CW29" i="5"/>
  <c r="DE29" i="5" s="1"/>
  <c r="CV29" i="5"/>
  <c r="DD29" i="5" s="1"/>
  <c r="CU29" i="5"/>
  <c r="DC29" i="5" s="1"/>
  <c r="CT29" i="5"/>
  <c r="DB29" i="5" s="1"/>
  <c r="CS29" i="5"/>
  <c r="DA29" i="5" s="1"/>
  <c r="CR29" i="5"/>
  <c r="DH29" i="5" s="1"/>
  <c r="CQ29" i="5"/>
  <c r="CY29" i="5" s="1"/>
  <c r="CF29" i="5"/>
  <c r="CN29" i="5" s="1"/>
  <c r="CE29" i="5"/>
  <c r="CM29" i="5" s="1"/>
  <c r="CD29" i="5"/>
  <c r="CL29" i="5" s="1"/>
  <c r="CC29" i="5"/>
  <c r="CK29" i="5" s="1"/>
  <c r="CB29" i="5"/>
  <c r="CJ29" i="5" s="1"/>
  <c r="CA29" i="5"/>
  <c r="CI29" i="5" s="1"/>
  <c r="BZ29" i="5"/>
  <c r="CP29" i="5" s="1"/>
  <c r="BY29" i="5"/>
  <c r="CG29" i="5" s="1"/>
  <c r="BV29" i="5"/>
  <c r="BT29" i="5"/>
  <c r="BS29" i="5"/>
  <c r="BR29" i="5"/>
  <c r="BQ29" i="5"/>
  <c r="BP29" i="5"/>
  <c r="BO29" i="5"/>
  <c r="BN29" i="5"/>
  <c r="BM29" i="5"/>
  <c r="BU29" i="5" s="1"/>
  <c r="BD29" i="5"/>
  <c r="BB29" i="5"/>
  <c r="BA29" i="5"/>
  <c r="AZ29" i="5"/>
  <c r="AY29" i="5"/>
  <c r="AX29" i="5"/>
  <c r="AW29" i="5"/>
  <c r="AV29" i="5"/>
  <c r="AU29" i="5"/>
  <c r="BC29" i="5" s="1"/>
  <c r="AL29" i="5"/>
  <c r="AJ29" i="5"/>
  <c r="AI29" i="5"/>
  <c r="AH29" i="5"/>
  <c r="AG29" i="5"/>
  <c r="AF29" i="5"/>
  <c r="AE29" i="5"/>
  <c r="AD29" i="5"/>
  <c r="AC29" i="5"/>
  <c r="AK29" i="5" s="1"/>
  <c r="T29" i="5"/>
  <c r="R29" i="5"/>
  <c r="Q29" i="5"/>
  <c r="P29" i="5"/>
  <c r="O29" i="5"/>
  <c r="N29" i="5"/>
  <c r="M29" i="5"/>
  <c r="L29" i="5"/>
  <c r="K29" i="5"/>
  <c r="S29" i="5" s="1"/>
  <c r="CX28" i="5"/>
  <c r="DF28" i="5" s="1"/>
  <c r="CW28" i="5"/>
  <c r="DE28" i="5" s="1"/>
  <c r="CV28" i="5"/>
  <c r="DD28" i="5" s="1"/>
  <c r="CU28" i="5"/>
  <c r="DC28" i="5" s="1"/>
  <c r="CT28" i="5"/>
  <c r="DB28" i="5" s="1"/>
  <c r="CS28" i="5"/>
  <c r="DA28" i="5" s="1"/>
  <c r="CR28" i="5"/>
  <c r="DH28" i="5" s="1"/>
  <c r="CQ28" i="5"/>
  <c r="CY28" i="5" s="1"/>
  <c r="CF28" i="5"/>
  <c r="CN28" i="5" s="1"/>
  <c r="CE28" i="5"/>
  <c r="CM28" i="5" s="1"/>
  <c r="CD28" i="5"/>
  <c r="CL28" i="5" s="1"/>
  <c r="CC28" i="5"/>
  <c r="CK28" i="5" s="1"/>
  <c r="CB28" i="5"/>
  <c r="CJ28" i="5" s="1"/>
  <c r="CA28" i="5"/>
  <c r="CI28" i="5" s="1"/>
  <c r="BZ28" i="5"/>
  <c r="CP28" i="5" s="1"/>
  <c r="BY28" i="5"/>
  <c r="CG28" i="5" s="1"/>
  <c r="BV28" i="5"/>
  <c r="BT28" i="5"/>
  <c r="BS28" i="5"/>
  <c r="BR28" i="5"/>
  <c r="BQ28" i="5"/>
  <c r="BP28" i="5"/>
  <c r="BO28" i="5"/>
  <c r="BN28" i="5"/>
  <c r="BM28" i="5"/>
  <c r="BU28" i="5" s="1"/>
  <c r="BD28" i="5"/>
  <c r="BB28" i="5"/>
  <c r="BA28" i="5"/>
  <c r="AZ28" i="5"/>
  <c r="AY28" i="5"/>
  <c r="AX28" i="5"/>
  <c r="AW28" i="5"/>
  <c r="AV28" i="5"/>
  <c r="AU28" i="5"/>
  <c r="BC28" i="5" s="1"/>
  <c r="AL28" i="5"/>
  <c r="AJ28" i="5"/>
  <c r="AI28" i="5"/>
  <c r="AH28" i="5"/>
  <c r="AG28" i="5"/>
  <c r="AF28" i="5"/>
  <c r="AE28" i="5"/>
  <c r="AD28" i="5"/>
  <c r="AC28" i="5"/>
  <c r="AK28" i="5" s="1"/>
  <c r="T28" i="5"/>
  <c r="R28" i="5"/>
  <c r="Q28" i="5"/>
  <c r="P28" i="5"/>
  <c r="O28" i="5"/>
  <c r="N28" i="5"/>
  <c r="M28" i="5"/>
  <c r="L28" i="5"/>
  <c r="K28" i="5"/>
  <c r="S28" i="5" s="1"/>
  <c r="CX27" i="5"/>
  <c r="CX31" i="5" s="1"/>
  <c r="CW27" i="5"/>
  <c r="CW31" i="5" s="1"/>
  <c r="CV27" i="5"/>
  <c r="CV31" i="5" s="1"/>
  <c r="CU27" i="5"/>
  <c r="CU31" i="5" s="1"/>
  <c r="CT27" i="5"/>
  <c r="CT31" i="5" s="1"/>
  <c r="CS27" i="5"/>
  <c r="CS31" i="5" s="1"/>
  <c r="CR27" i="5"/>
  <c r="CR31" i="5" s="1"/>
  <c r="CQ27" i="5"/>
  <c r="CQ31" i="5" s="1"/>
  <c r="CF27" i="5"/>
  <c r="CF31" i="5" s="1"/>
  <c r="CE27" i="5"/>
  <c r="CE31" i="5" s="1"/>
  <c r="CD27" i="5"/>
  <c r="CD31" i="5" s="1"/>
  <c r="CC27" i="5"/>
  <c r="CC31" i="5" s="1"/>
  <c r="CB27" i="5"/>
  <c r="CB31" i="5" s="1"/>
  <c r="CA27" i="5"/>
  <c r="CA31" i="5" s="1"/>
  <c r="BZ27" i="5"/>
  <c r="BZ31" i="5" s="1"/>
  <c r="BY27" i="5"/>
  <c r="BY31" i="5" s="1"/>
  <c r="BV27" i="5"/>
  <c r="BT27" i="5"/>
  <c r="BT31" i="5" s="1"/>
  <c r="BS27" i="5"/>
  <c r="BS31" i="5" s="1"/>
  <c r="BR27" i="5"/>
  <c r="BR31" i="5" s="1"/>
  <c r="BQ27" i="5"/>
  <c r="BQ31" i="5" s="1"/>
  <c r="BP27" i="5"/>
  <c r="BP31" i="5" s="1"/>
  <c r="BO27" i="5"/>
  <c r="BO31" i="5" s="1"/>
  <c r="BN27" i="5"/>
  <c r="BN31" i="5" s="1"/>
  <c r="BM27" i="5"/>
  <c r="BM31" i="5" s="1"/>
  <c r="BU31" i="5" s="1"/>
  <c r="BD27" i="5"/>
  <c r="BB27" i="5"/>
  <c r="BB31" i="5" s="1"/>
  <c r="BA27" i="5"/>
  <c r="BA31" i="5" s="1"/>
  <c r="AZ27" i="5"/>
  <c r="AZ31" i="5" s="1"/>
  <c r="AY27" i="5"/>
  <c r="AY31" i="5" s="1"/>
  <c r="AX27" i="5"/>
  <c r="AX31" i="5" s="1"/>
  <c r="AW27" i="5"/>
  <c r="AW31" i="5" s="1"/>
  <c r="AV27" i="5"/>
  <c r="AV31" i="5" s="1"/>
  <c r="AU27" i="5"/>
  <c r="AU31" i="5" s="1"/>
  <c r="AL27" i="5"/>
  <c r="AJ27" i="5"/>
  <c r="AJ31" i="5" s="1"/>
  <c r="AI27" i="5"/>
  <c r="AI31" i="5" s="1"/>
  <c r="AH27" i="5"/>
  <c r="AH31" i="5" s="1"/>
  <c r="AG27" i="5"/>
  <c r="AG31" i="5" s="1"/>
  <c r="AF27" i="5"/>
  <c r="AF31" i="5" s="1"/>
  <c r="AE27" i="5"/>
  <c r="AE31" i="5" s="1"/>
  <c r="AD27" i="5"/>
  <c r="AD31" i="5" s="1"/>
  <c r="AC27" i="5"/>
  <c r="AC31" i="5" s="1"/>
  <c r="AK31" i="5" s="1"/>
  <c r="T27" i="5"/>
  <c r="R27" i="5"/>
  <c r="R31" i="5" s="1"/>
  <c r="Q27" i="5"/>
  <c r="Q31" i="5" s="1"/>
  <c r="P27" i="5"/>
  <c r="P31" i="5" s="1"/>
  <c r="O27" i="5"/>
  <c r="O31" i="5" s="1"/>
  <c r="N27" i="5"/>
  <c r="N31" i="5" s="1"/>
  <c r="M27" i="5"/>
  <c r="M31" i="5" s="1"/>
  <c r="L27" i="5"/>
  <c r="L31" i="5" s="1"/>
  <c r="K27" i="5"/>
  <c r="K31" i="5" s="1"/>
  <c r="BL26" i="5"/>
  <c r="BK26" i="5"/>
  <c r="BJ26" i="5"/>
  <c r="BI26" i="5"/>
  <c r="BH26" i="5"/>
  <c r="BG26" i="5"/>
  <c r="BF26" i="5"/>
  <c r="BV26" i="5" s="1"/>
  <c r="BE26" i="5"/>
  <c r="AT26" i="5"/>
  <c r="AS26" i="5"/>
  <c r="AR26" i="5"/>
  <c r="AQ26" i="5"/>
  <c r="AP26" i="5"/>
  <c r="AO26" i="5"/>
  <c r="AN26" i="5"/>
  <c r="BD26" i="5" s="1"/>
  <c r="AM26" i="5"/>
  <c r="AB26" i="5"/>
  <c r="AA26" i="5"/>
  <c r="Z26" i="5"/>
  <c r="Y26" i="5"/>
  <c r="X26" i="5"/>
  <c r="W26" i="5"/>
  <c r="V26" i="5"/>
  <c r="AL26" i="5" s="1"/>
  <c r="U26" i="5"/>
  <c r="J26" i="5"/>
  <c r="I26" i="5"/>
  <c r="H26" i="5"/>
  <c r="G26" i="5"/>
  <c r="F26" i="5"/>
  <c r="E26" i="5"/>
  <c r="D26" i="5"/>
  <c r="T26" i="5" s="1"/>
  <c r="C26" i="5"/>
  <c r="CX25" i="5"/>
  <c r="DF25" i="5" s="1"/>
  <c r="CW25" i="5"/>
  <c r="DE25" i="5" s="1"/>
  <c r="CV25" i="5"/>
  <c r="DD25" i="5" s="1"/>
  <c r="CU25" i="5"/>
  <c r="DC25" i="5" s="1"/>
  <c r="CT25" i="5"/>
  <c r="DB25" i="5" s="1"/>
  <c r="CS25" i="5"/>
  <c r="DA25" i="5" s="1"/>
  <c r="CR25" i="5"/>
  <c r="DH25" i="5" s="1"/>
  <c r="CQ25" i="5"/>
  <c r="CY25" i="5" s="1"/>
  <c r="CF25" i="5"/>
  <c r="CN25" i="5" s="1"/>
  <c r="CE25" i="5"/>
  <c r="CM25" i="5" s="1"/>
  <c r="CD25" i="5"/>
  <c r="CL25" i="5" s="1"/>
  <c r="CC25" i="5"/>
  <c r="CK25" i="5" s="1"/>
  <c r="CB25" i="5"/>
  <c r="CJ25" i="5" s="1"/>
  <c r="CA25" i="5"/>
  <c r="CI25" i="5" s="1"/>
  <c r="BZ25" i="5"/>
  <c r="CP25" i="5" s="1"/>
  <c r="BY25" i="5"/>
  <c r="CG25" i="5" s="1"/>
  <c r="BV25" i="5"/>
  <c r="BT25" i="5"/>
  <c r="BS25" i="5"/>
  <c r="BR25" i="5"/>
  <c r="BQ25" i="5"/>
  <c r="BP25" i="5"/>
  <c r="BO25" i="5"/>
  <c r="BN25" i="5"/>
  <c r="BM25" i="5"/>
  <c r="BU25" i="5" s="1"/>
  <c r="BD25" i="5"/>
  <c r="BB25" i="5"/>
  <c r="BA25" i="5"/>
  <c r="AZ25" i="5"/>
  <c r="AY25" i="5"/>
  <c r="AX25" i="5"/>
  <c r="AW25" i="5"/>
  <c r="AV25" i="5"/>
  <c r="AU25" i="5"/>
  <c r="BC25" i="5" s="1"/>
  <c r="AL25" i="5"/>
  <c r="AJ25" i="5"/>
  <c r="AI25" i="5"/>
  <c r="AH25" i="5"/>
  <c r="AG25" i="5"/>
  <c r="AF25" i="5"/>
  <c r="AE25" i="5"/>
  <c r="AD25" i="5"/>
  <c r="AC25" i="5"/>
  <c r="AK25" i="5" s="1"/>
  <c r="T25" i="5"/>
  <c r="R25" i="5"/>
  <c r="Q25" i="5"/>
  <c r="P25" i="5"/>
  <c r="O25" i="5"/>
  <c r="N25" i="5"/>
  <c r="M25" i="5"/>
  <c r="L25" i="5"/>
  <c r="K25" i="5"/>
  <c r="S25" i="5" s="1"/>
  <c r="CX24" i="5"/>
  <c r="DF24" i="5" s="1"/>
  <c r="CW24" i="5"/>
  <c r="DE24" i="5" s="1"/>
  <c r="CV24" i="5"/>
  <c r="DD24" i="5" s="1"/>
  <c r="CU24" i="5"/>
  <c r="DC24" i="5" s="1"/>
  <c r="CT24" i="5"/>
  <c r="DB24" i="5" s="1"/>
  <c r="CS24" i="5"/>
  <c r="DA24" i="5" s="1"/>
  <c r="CR24" i="5"/>
  <c r="DH24" i="5" s="1"/>
  <c r="CQ24" i="5"/>
  <c r="CY24" i="5" s="1"/>
  <c r="CF24" i="5"/>
  <c r="CN24" i="5" s="1"/>
  <c r="CE24" i="5"/>
  <c r="CM24" i="5" s="1"/>
  <c r="CD24" i="5"/>
  <c r="CL24" i="5" s="1"/>
  <c r="CC24" i="5"/>
  <c r="CK24" i="5" s="1"/>
  <c r="CB24" i="5"/>
  <c r="CJ24" i="5" s="1"/>
  <c r="CA24" i="5"/>
  <c r="CI24" i="5" s="1"/>
  <c r="BZ24" i="5"/>
  <c r="CP24" i="5" s="1"/>
  <c r="BY24" i="5"/>
  <c r="CG24" i="5" s="1"/>
  <c r="BV24" i="5"/>
  <c r="BT24" i="5"/>
  <c r="BS24" i="5"/>
  <c r="BR24" i="5"/>
  <c r="BQ24" i="5"/>
  <c r="BP24" i="5"/>
  <c r="BO24" i="5"/>
  <c r="BN24" i="5"/>
  <c r="BM24" i="5"/>
  <c r="BU24" i="5" s="1"/>
  <c r="BD24" i="5"/>
  <c r="BB24" i="5"/>
  <c r="BA24" i="5"/>
  <c r="AZ24" i="5"/>
  <c r="AY24" i="5"/>
  <c r="AX24" i="5"/>
  <c r="AW24" i="5"/>
  <c r="AV24" i="5"/>
  <c r="AU24" i="5"/>
  <c r="BC24" i="5" s="1"/>
  <c r="AL24" i="5"/>
  <c r="AJ24" i="5"/>
  <c r="AI24" i="5"/>
  <c r="AH24" i="5"/>
  <c r="AG24" i="5"/>
  <c r="AF24" i="5"/>
  <c r="AE24" i="5"/>
  <c r="AD24" i="5"/>
  <c r="AC24" i="5"/>
  <c r="AK24" i="5" s="1"/>
  <c r="T24" i="5"/>
  <c r="R24" i="5"/>
  <c r="Q24" i="5"/>
  <c r="P24" i="5"/>
  <c r="O24" i="5"/>
  <c r="N24" i="5"/>
  <c r="M24" i="5"/>
  <c r="L24" i="5"/>
  <c r="K24" i="5"/>
  <c r="S24" i="5" s="1"/>
  <c r="CX23" i="5"/>
  <c r="DF23" i="5" s="1"/>
  <c r="CW23" i="5"/>
  <c r="DE23" i="5" s="1"/>
  <c r="CV23" i="5"/>
  <c r="DD23" i="5" s="1"/>
  <c r="CU23" i="5"/>
  <c r="DC23" i="5" s="1"/>
  <c r="CT23" i="5"/>
  <c r="DB23" i="5" s="1"/>
  <c r="CS23" i="5"/>
  <c r="DA23" i="5" s="1"/>
  <c r="CR23" i="5"/>
  <c r="DH23" i="5" s="1"/>
  <c r="CQ23" i="5"/>
  <c r="CY23" i="5" s="1"/>
  <c r="CF23" i="5"/>
  <c r="CN23" i="5" s="1"/>
  <c r="CE23" i="5"/>
  <c r="CM23" i="5" s="1"/>
  <c r="CD23" i="5"/>
  <c r="CL23" i="5" s="1"/>
  <c r="CC23" i="5"/>
  <c r="CK23" i="5" s="1"/>
  <c r="CB23" i="5"/>
  <c r="CJ23" i="5" s="1"/>
  <c r="CA23" i="5"/>
  <c r="CI23" i="5" s="1"/>
  <c r="BZ23" i="5"/>
  <c r="CP23" i="5" s="1"/>
  <c r="BY23" i="5"/>
  <c r="CG23" i="5" s="1"/>
  <c r="BV23" i="5"/>
  <c r="BT23" i="5"/>
  <c r="BS23" i="5"/>
  <c r="BR23" i="5"/>
  <c r="BQ23" i="5"/>
  <c r="BP23" i="5"/>
  <c r="BO23" i="5"/>
  <c r="BN23" i="5"/>
  <c r="BM23" i="5"/>
  <c r="BU23" i="5" s="1"/>
  <c r="BD23" i="5"/>
  <c r="BB23" i="5"/>
  <c r="BA23" i="5"/>
  <c r="AZ23" i="5"/>
  <c r="AY23" i="5"/>
  <c r="AX23" i="5"/>
  <c r="AW23" i="5"/>
  <c r="AV23" i="5"/>
  <c r="AU23" i="5"/>
  <c r="BC23" i="5" s="1"/>
  <c r="AL23" i="5"/>
  <c r="AJ23" i="5"/>
  <c r="AI23" i="5"/>
  <c r="AH23" i="5"/>
  <c r="AG23" i="5"/>
  <c r="AF23" i="5"/>
  <c r="AE23" i="5"/>
  <c r="AD23" i="5"/>
  <c r="AC23" i="5"/>
  <c r="AK23" i="5" s="1"/>
  <c r="T23" i="5"/>
  <c r="R23" i="5"/>
  <c r="Q23" i="5"/>
  <c r="P23" i="5"/>
  <c r="O23" i="5"/>
  <c r="N23" i="5"/>
  <c r="M23" i="5"/>
  <c r="L23" i="5"/>
  <c r="K23" i="5"/>
  <c r="S23" i="5" s="1"/>
  <c r="CX22" i="5"/>
  <c r="CX26" i="5" s="1"/>
  <c r="CW22" i="5"/>
  <c r="CW26" i="5" s="1"/>
  <c r="CV22" i="5"/>
  <c r="CV26" i="5" s="1"/>
  <c r="CU22" i="5"/>
  <c r="CU26" i="5" s="1"/>
  <c r="CT22" i="5"/>
  <c r="CT26" i="5" s="1"/>
  <c r="CS22" i="5"/>
  <c r="CS26" i="5" s="1"/>
  <c r="CR22" i="5"/>
  <c r="CR26" i="5" s="1"/>
  <c r="CQ22" i="5"/>
  <c r="CQ26" i="5" s="1"/>
  <c r="CF22" i="5"/>
  <c r="CF26" i="5" s="1"/>
  <c r="CE22" i="5"/>
  <c r="CE26" i="5" s="1"/>
  <c r="CD22" i="5"/>
  <c r="CD26" i="5" s="1"/>
  <c r="CC22" i="5"/>
  <c r="CC26" i="5" s="1"/>
  <c r="CB22" i="5"/>
  <c r="CB26" i="5" s="1"/>
  <c r="CA22" i="5"/>
  <c r="CA26" i="5" s="1"/>
  <c r="BZ22" i="5"/>
  <c r="BZ26" i="5" s="1"/>
  <c r="BY22" i="5"/>
  <c r="BY26" i="5" s="1"/>
  <c r="BV22" i="5"/>
  <c r="BT22" i="5"/>
  <c r="BT26" i="5" s="1"/>
  <c r="BS22" i="5"/>
  <c r="BS26" i="5" s="1"/>
  <c r="BR22" i="5"/>
  <c r="BR26" i="5" s="1"/>
  <c r="BQ22" i="5"/>
  <c r="BQ26" i="5" s="1"/>
  <c r="BP22" i="5"/>
  <c r="BP26" i="5" s="1"/>
  <c r="BO22" i="5"/>
  <c r="BO26" i="5" s="1"/>
  <c r="BN22" i="5"/>
  <c r="BN26" i="5" s="1"/>
  <c r="BM22" i="5"/>
  <c r="BM26" i="5" s="1"/>
  <c r="BU26" i="5" s="1"/>
  <c r="BD22" i="5"/>
  <c r="BB22" i="5"/>
  <c r="BB26" i="5" s="1"/>
  <c r="BA22" i="5"/>
  <c r="BA26" i="5" s="1"/>
  <c r="AZ22" i="5"/>
  <c r="AZ26" i="5" s="1"/>
  <c r="AY22" i="5"/>
  <c r="AY26" i="5" s="1"/>
  <c r="AX22" i="5"/>
  <c r="AX26" i="5" s="1"/>
  <c r="AW22" i="5"/>
  <c r="AW26" i="5" s="1"/>
  <c r="AV22" i="5"/>
  <c r="AV26" i="5" s="1"/>
  <c r="AU22" i="5"/>
  <c r="AU26" i="5" s="1"/>
  <c r="AL22" i="5"/>
  <c r="AJ22" i="5"/>
  <c r="AJ26" i="5" s="1"/>
  <c r="AI22" i="5"/>
  <c r="AI26" i="5" s="1"/>
  <c r="AH22" i="5"/>
  <c r="AH26" i="5" s="1"/>
  <c r="AG22" i="5"/>
  <c r="AG26" i="5" s="1"/>
  <c r="AF22" i="5"/>
  <c r="AF26" i="5" s="1"/>
  <c r="AE22" i="5"/>
  <c r="AE26" i="5" s="1"/>
  <c r="AD22" i="5"/>
  <c r="AD26" i="5" s="1"/>
  <c r="AC22" i="5"/>
  <c r="AC26" i="5" s="1"/>
  <c r="AK26" i="5" s="1"/>
  <c r="T22" i="5"/>
  <c r="R22" i="5"/>
  <c r="R26" i="5" s="1"/>
  <c r="Q22" i="5"/>
  <c r="Q26" i="5" s="1"/>
  <c r="P22" i="5"/>
  <c r="P26" i="5" s="1"/>
  <c r="O22" i="5"/>
  <c r="O26" i="5" s="1"/>
  <c r="N22" i="5"/>
  <c r="N26" i="5" s="1"/>
  <c r="M22" i="5"/>
  <c r="M26" i="5" s="1"/>
  <c r="L22" i="5"/>
  <c r="L26" i="5" s="1"/>
  <c r="K22" i="5"/>
  <c r="K26" i="5" s="1"/>
  <c r="BL21" i="5"/>
  <c r="BK21" i="5"/>
  <c r="BJ21" i="5"/>
  <c r="BI21" i="5"/>
  <c r="BH21" i="5"/>
  <c r="BG21" i="5"/>
  <c r="BF21" i="5"/>
  <c r="BV21" i="5" s="1"/>
  <c r="BE21" i="5"/>
  <c r="AT21" i="5"/>
  <c r="AS21" i="5"/>
  <c r="AR21" i="5"/>
  <c r="AQ21" i="5"/>
  <c r="AP21" i="5"/>
  <c r="AO21" i="5"/>
  <c r="AN21" i="5"/>
  <c r="BD21" i="5" s="1"/>
  <c r="AM21" i="5"/>
  <c r="AB21" i="5"/>
  <c r="AA21" i="5"/>
  <c r="Z21" i="5"/>
  <c r="Y21" i="5"/>
  <c r="X21" i="5"/>
  <c r="W21" i="5"/>
  <c r="V21" i="5"/>
  <c r="AL21" i="5" s="1"/>
  <c r="U21" i="5"/>
  <c r="J21" i="5"/>
  <c r="I21" i="5"/>
  <c r="H21" i="5"/>
  <c r="G21" i="5"/>
  <c r="F21" i="5"/>
  <c r="E21" i="5"/>
  <c r="D21" i="5"/>
  <c r="T21" i="5" s="1"/>
  <c r="C21" i="5"/>
  <c r="CX20" i="5"/>
  <c r="DF20" i="5" s="1"/>
  <c r="CW20" i="5"/>
  <c r="DE20" i="5" s="1"/>
  <c r="CV20" i="5"/>
  <c r="DD20" i="5" s="1"/>
  <c r="CU20" i="5"/>
  <c r="DC20" i="5" s="1"/>
  <c r="CT20" i="5"/>
  <c r="DB20" i="5" s="1"/>
  <c r="CS20" i="5"/>
  <c r="DA20" i="5" s="1"/>
  <c r="CR20" i="5"/>
  <c r="DH20" i="5" s="1"/>
  <c r="CQ20" i="5"/>
  <c r="CY20" i="5" s="1"/>
  <c r="CF20" i="5"/>
  <c r="CN20" i="5" s="1"/>
  <c r="CE20" i="5"/>
  <c r="CM20" i="5" s="1"/>
  <c r="CD20" i="5"/>
  <c r="CL20" i="5" s="1"/>
  <c r="CC20" i="5"/>
  <c r="CK20" i="5" s="1"/>
  <c r="CB20" i="5"/>
  <c r="CJ20" i="5" s="1"/>
  <c r="CA20" i="5"/>
  <c r="CI20" i="5" s="1"/>
  <c r="BZ20" i="5"/>
  <c r="CP20" i="5" s="1"/>
  <c r="BY20" i="5"/>
  <c r="CG20" i="5" s="1"/>
  <c r="BV20" i="5"/>
  <c r="BT20" i="5"/>
  <c r="BS20" i="5"/>
  <c r="BR20" i="5"/>
  <c r="BQ20" i="5"/>
  <c r="BP20" i="5"/>
  <c r="BO20" i="5"/>
  <c r="BN20" i="5"/>
  <c r="BM20" i="5"/>
  <c r="BU20" i="5" s="1"/>
  <c r="BD20" i="5"/>
  <c r="BB20" i="5"/>
  <c r="BA20" i="5"/>
  <c r="AZ20" i="5"/>
  <c r="AY20" i="5"/>
  <c r="AX20" i="5"/>
  <c r="AW20" i="5"/>
  <c r="AV20" i="5"/>
  <c r="AU20" i="5"/>
  <c r="BC20" i="5" s="1"/>
  <c r="AL20" i="5"/>
  <c r="AJ20" i="5"/>
  <c r="AI20" i="5"/>
  <c r="AH20" i="5"/>
  <c r="AG20" i="5"/>
  <c r="AF20" i="5"/>
  <c r="AE20" i="5"/>
  <c r="AD20" i="5"/>
  <c r="AC20" i="5"/>
  <c r="AK20" i="5" s="1"/>
  <c r="T20" i="5"/>
  <c r="R20" i="5"/>
  <c r="Q20" i="5"/>
  <c r="P20" i="5"/>
  <c r="O20" i="5"/>
  <c r="N20" i="5"/>
  <c r="M20" i="5"/>
  <c r="L20" i="5"/>
  <c r="K20" i="5"/>
  <c r="S20" i="5" s="1"/>
  <c r="CX19" i="5"/>
  <c r="DF19" i="5" s="1"/>
  <c r="CW19" i="5"/>
  <c r="DE19" i="5" s="1"/>
  <c r="CV19" i="5"/>
  <c r="DD19" i="5" s="1"/>
  <c r="CU19" i="5"/>
  <c r="DC19" i="5" s="1"/>
  <c r="CT19" i="5"/>
  <c r="DB19" i="5" s="1"/>
  <c r="CS19" i="5"/>
  <c r="DA19" i="5" s="1"/>
  <c r="CR19" i="5"/>
  <c r="DH19" i="5" s="1"/>
  <c r="CQ19" i="5"/>
  <c r="CY19" i="5" s="1"/>
  <c r="CF19" i="5"/>
  <c r="CN19" i="5" s="1"/>
  <c r="CE19" i="5"/>
  <c r="CM19" i="5" s="1"/>
  <c r="CD19" i="5"/>
  <c r="CL19" i="5" s="1"/>
  <c r="CC19" i="5"/>
  <c r="CK19" i="5" s="1"/>
  <c r="CB19" i="5"/>
  <c r="CJ19" i="5" s="1"/>
  <c r="CA19" i="5"/>
  <c r="CI19" i="5" s="1"/>
  <c r="BZ19" i="5"/>
  <c r="CP19" i="5" s="1"/>
  <c r="BY19" i="5"/>
  <c r="CG19" i="5" s="1"/>
  <c r="BV19" i="5"/>
  <c r="BT19" i="5"/>
  <c r="BS19" i="5"/>
  <c r="BR19" i="5"/>
  <c r="BQ19" i="5"/>
  <c r="BP19" i="5"/>
  <c r="BO19" i="5"/>
  <c r="BN19" i="5"/>
  <c r="BM19" i="5"/>
  <c r="BU19" i="5" s="1"/>
  <c r="BD19" i="5"/>
  <c r="BB19" i="5"/>
  <c r="BA19" i="5"/>
  <c r="AZ19" i="5"/>
  <c r="AY19" i="5"/>
  <c r="AX19" i="5"/>
  <c r="AW19" i="5"/>
  <c r="AV19" i="5"/>
  <c r="AU19" i="5"/>
  <c r="BC19" i="5" s="1"/>
  <c r="AL19" i="5"/>
  <c r="AJ19" i="5"/>
  <c r="AI19" i="5"/>
  <c r="AH19" i="5"/>
  <c r="AG19" i="5"/>
  <c r="AF19" i="5"/>
  <c r="AE19" i="5"/>
  <c r="AD19" i="5"/>
  <c r="AC19" i="5"/>
  <c r="AK19" i="5" s="1"/>
  <c r="T19" i="5"/>
  <c r="R19" i="5"/>
  <c r="Q19" i="5"/>
  <c r="P19" i="5"/>
  <c r="O19" i="5"/>
  <c r="N19" i="5"/>
  <c r="M19" i="5"/>
  <c r="L19" i="5"/>
  <c r="K19" i="5"/>
  <c r="S19" i="5" s="1"/>
  <c r="CX18" i="5"/>
  <c r="DF18" i="5" s="1"/>
  <c r="CW18" i="5"/>
  <c r="DE18" i="5" s="1"/>
  <c r="CV18" i="5"/>
  <c r="DD18" i="5" s="1"/>
  <c r="CU18" i="5"/>
  <c r="DC18" i="5" s="1"/>
  <c r="CT18" i="5"/>
  <c r="DB18" i="5" s="1"/>
  <c r="CS18" i="5"/>
  <c r="DA18" i="5" s="1"/>
  <c r="CR18" i="5"/>
  <c r="DH18" i="5" s="1"/>
  <c r="CQ18" i="5"/>
  <c r="CY18" i="5" s="1"/>
  <c r="CF18" i="5"/>
  <c r="CN18" i="5" s="1"/>
  <c r="CE18" i="5"/>
  <c r="CM18" i="5" s="1"/>
  <c r="CD18" i="5"/>
  <c r="CL18" i="5" s="1"/>
  <c r="CC18" i="5"/>
  <c r="CK18" i="5" s="1"/>
  <c r="CB18" i="5"/>
  <c r="CJ18" i="5" s="1"/>
  <c r="CA18" i="5"/>
  <c r="CI18" i="5" s="1"/>
  <c r="BZ18" i="5"/>
  <c r="CP18" i="5" s="1"/>
  <c r="BY18" i="5"/>
  <c r="CG18" i="5" s="1"/>
  <c r="BV18" i="5"/>
  <c r="BT18" i="5"/>
  <c r="BS18" i="5"/>
  <c r="BR18" i="5"/>
  <c r="BQ18" i="5"/>
  <c r="BP18" i="5"/>
  <c r="BO18" i="5"/>
  <c r="BN18" i="5"/>
  <c r="BM18" i="5"/>
  <c r="BU18" i="5" s="1"/>
  <c r="BD18" i="5"/>
  <c r="BB18" i="5"/>
  <c r="BA18" i="5"/>
  <c r="AZ18" i="5"/>
  <c r="AY18" i="5"/>
  <c r="AX18" i="5"/>
  <c r="AW18" i="5"/>
  <c r="AV18" i="5"/>
  <c r="AU18" i="5"/>
  <c r="BC18" i="5" s="1"/>
  <c r="AL18" i="5"/>
  <c r="AJ18" i="5"/>
  <c r="AI18" i="5"/>
  <c r="AH18" i="5"/>
  <c r="AG18" i="5"/>
  <c r="AF18" i="5"/>
  <c r="AE18" i="5"/>
  <c r="AD18" i="5"/>
  <c r="AC18" i="5"/>
  <c r="AK18" i="5" s="1"/>
  <c r="T18" i="5"/>
  <c r="R18" i="5"/>
  <c r="Q18" i="5"/>
  <c r="P18" i="5"/>
  <c r="O18" i="5"/>
  <c r="N18" i="5"/>
  <c r="M18" i="5"/>
  <c r="L18" i="5"/>
  <c r="K18" i="5"/>
  <c r="S18" i="5" s="1"/>
  <c r="CX17" i="5"/>
  <c r="CX21" i="5" s="1"/>
  <c r="CW17" i="5"/>
  <c r="CW21" i="5" s="1"/>
  <c r="CV17" i="5"/>
  <c r="CV21" i="5" s="1"/>
  <c r="CU17" i="5"/>
  <c r="CU21" i="5" s="1"/>
  <c r="CT17" i="5"/>
  <c r="CT21" i="5" s="1"/>
  <c r="CS17" i="5"/>
  <c r="CS21" i="5" s="1"/>
  <c r="CR17" i="5"/>
  <c r="CR21" i="5" s="1"/>
  <c r="CQ17" i="5"/>
  <c r="CQ21" i="5" s="1"/>
  <c r="CF17" i="5"/>
  <c r="CF21" i="5" s="1"/>
  <c r="CE17" i="5"/>
  <c r="CE21" i="5" s="1"/>
  <c r="CD17" i="5"/>
  <c r="CD21" i="5" s="1"/>
  <c r="CC17" i="5"/>
  <c r="CC21" i="5" s="1"/>
  <c r="CB17" i="5"/>
  <c r="CB21" i="5" s="1"/>
  <c r="CA17" i="5"/>
  <c r="CA21" i="5" s="1"/>
  <c r="BZ17" i="5"/>
  <c r="BZ21" i="5" s="1"/>
  <c r="BY17" i="5"/>
  <c r="BY21" i="5" s="1"/>
  <c r="BV17" i="5"/>
  <c r="BT17" i="5"/>
  <c r="BT21" i="5" s="1"/>
  <c r="BS17" i="5"/>
  <c r="BS21" i="5" s="1"/>
  <c r="BR17" i="5"/>
  <c r="BR21" i="5" s="1"/>
  <c r="BQ17" i="5"/>
  <c r="BQ21" i="5" s="1"/>
  <c r="BP17" i="5"/>
  <c r="BP21" i="5" s="1"/>
  <c r="BO17" i="5"/>
  <c r="BO21" i="5" s="1"/>
  <c r="BN17" i="5"/>
  <c r="BN21" i="5" s="1"/>
  <c r="BM17" i="5"/>
  <c r="BM21" i="5" s="1"/>
  <c r="BU21" i="5" s="1"/>
  <c r="BD17" i="5"/>
  <c r="BB17" i="5"/>
  <c r="BB21" i="5" s="1"/>
  <c r="BA17" i="5"/>
  <c r="BA21" i="5" s="1"/>
  <c r="AZ17" i="5"/>
  <c r="AZ21" i="5" s="1"/>
  <c r="AY17" i="5"/>
  <c r="AY21" i="5" s="1"/>
  <c r="AX17" i="5"/>
  <c r="AX21" i="5" s="1"/>
  <c r="AW17" i="5"/>
  <c r="AW21" i="5" s="1"/>
  <c r="AV17" i="5"/>
  <c r="AV21" i="5" s="1"/>
  <c r="AU17" i="5"/>
  <c r="AU21" i="5" s="1"/>
  <c r="AL17" i="5"/>
  <c r="AJ17" i="5"/>
  <c r="AJ21" i="5" s="1"/>
  <c r="AI17" i="5"/>
  <c r="AI21" i="5" s="1"/>
  <c r="AH17" i="5"/>
  <c r="AH21" i="5" s="1"/>
  <c r="AG17" i="5"/>
  <c r="AG21" i="5" s="1"/>
  <c r="AF17" i="5"/>
  <c r="AF21" i="5" s="1"/>
  <c r="AE17" i="5"/>
  <c r="AE21" i="5" s="1"/>
  <c r="AD17" i="5"/>
  <c r="AD21" i="5" s="1"/>
  <c r="AC17" i="5"/>
  <c r="AC21" i="5" s="1"/>
  <c r="AK21" i="5" s="1"/>
  <c r="T17" i="5"/>
  <c r="R17" i="5"/>
  <c r="R21" i="5" s="1"/>
  <c r="Q17" i="5"/>
  <c r="Q21" i="5" s="1"/>
  <c r="P17" i="5"/>
  <c r="P21" i="5" s="1"/>
  <c r="O17" i="5"/>
  <c r="O21" i="5" s="1"/>
  <c r="N17" i="5"/>
  <c r="N21" i="5" s="1"/>
  <c r="M17" i="5"/>
  <c r="M21" i="5" s="1"/>
  <c r="L17" i="5"/>
  <c r="L21" i="5" s="1"/>
  <c r="K17" i="5"/>
  <c r="K21" i="5" s="1"/>
  <c r="BL16" i="5"/>
  <c r="BL133" i="5" s="1"/>
  <c r="BK16" i="5"/>
  <c r="BK133" i="5" s="1"/>
  <c r="BJ16" i="5"/>
  <c r="BJ133" i="5" s="1"/>
  <c r="BI16" i="5"/>
  <c r="BI133" i="5" s="1"/>
  <c r="BH16" i="5"/>
  <c r="BH133" i="5" s="1"/>
  <c r="BG16" i="5"/>
  <c r="BG133" i="5" s="1"/>
  <c r="BF16" i="5"/>
  <c r="BF133" i="5" s="1"/>
  <c r="BE16" i="5"/>
  <c r="BE133" i="5" s="1"/>
  <c r="AT16" i="5"/>
  <c r="AT133" i="5" s="1"/>
  <c r="AS16" i="5"/>
  <c r="AS133" i="5" s="1"/>
  <c r="AR16" i="5"/>
  <c r="AR133" i="5" s="1"/>
  <c r="AQ16" i="5"/>
  <c r="AQ133" i="5" s="1"/>
  <c r="AP16" i="5"/>
  <c r="AP133" i="5" s="1"/>
  <c r="AO16" i="5"/>
  <c r="AO133" i="5" s="1"/>
  <c r="AN16" i="5"/>
  <c r="AN133" i="5" s="1"/>
  <c r="AM16" i="5"/>
  <c r="AM133" i="5" s="1"/>
  <c r="AB16" i="5"/>
  <c r="AB133" i="5" s="1"/>
  <c r="AA16" i="5"/>
  <c r="AA133" i="5" s="1"/>
  <c r="Z16" i="5"/>
  <c r="Z133" i="5" s="1"/>
  <c r="Y16" i="5"/>
  <c r="Y133" i="5" s="1"/>
  <c r="X16" i="5"/>
  <c r="X133" i="5" s="1"/>
  <c r="W16" i="5"/>
  <c r="W133" i="5" s="1"/>
  <c r="V16" i="5"/>
  <c r="V133" i="5" s="1"/>
  <c r="U16" i="5"/>
  <c r="U133" i="5" s="1"/>
  <c r="J16" i="5"/>
  <c r="J133" i="5" s="1"/>
  <c r="I16" i="5"/>
  <c r="I133" i="5" s="1"/>
  <c r="H16" i="5"/>
  <c r="H133" i="5" s="1"/>
  <c r="G16" i="5"/>
  <c r="G133" i="5" s="1"/>
  <c r="F16" i="5"/>
  <c r="F133" i="5" s="1"/>
  <c r="E16" i="5"/>
  <c r="E133" i="5" s="1"/>
  <c r="D16" i="5"/>
  <c r="D133" i="5" s="1"/>
  <c r="C16" i="5"/>
  <c r="C133" i="5" s="1"/>
  <c r="CX15" i="5"/>
  <c r="DF15" i="5" s="1"/>
  <c r="CW15" i="5"/>
  <c r="DE15" i="5" s="1"/>
  <c r="CV15" i="5"/>
  <c r="DD15" i="5" s="1"/>
  <c r="CU15" i="5"/>
  <c r="DC15" i="5" s="1"/>
  <c r="CT15" i="5"/>
  <c r="DB15" i="5" s="1"/>
  <c r="CS15" i="5"/>
  <c r="DA15" i="5" s="1"/>
  <c r="CR15" i="5"/>
  <c r="DH15" i="5" s="1"/>
  <c r="CQ15" i="5"/>
  <c r="CY15" i="5" s="1"/>
  <c r="CF15" i="5"/>
  <c r="CN15" i="5" s="1"/>
  <c r="CE15" i="5"/>
  <c r="CM15" i="5" s="1"/>
  <c r="CD15" i="5"/>
  <c r="CL15" i="5" s="1"/>
  <c r="CC15" i="5"/>
  <c r="CK15" i="5" s="1"/>
  <c r="CB15" i="5"/>
  <c r="CJ15" i="5" s="1"/>
  <c r="CA15" i="5"/>
  <c r="CI15" i="5" s="1"/>
  <c r="BZ15" i="5"/>
  <c r="CP15" i="5" s="1"/>
  <c r="BY15" i="5"/>
  <c r="CG15" i="5" s="1"/>
  <c r="BV15" i="5"/>
  <c r="BT15" i="5"/>
  <c r="BS15" i="5"/>
  <c r="BR15" i="5"/>
  <c r="BQ15" i="5"/>
  <c r="BP15" i="5"/>
  <c r="BO15" i="5"/>
  <c r="BN15" i="5"/>
  <c r="BM15" i="5"/>
  <c r="BU15" i="5" s="1"/>
  <c r="BD15" i="5"/>
  <c r="BB15" i="5"/>
  <c r="BA15" i="5"/>
  <c r="AZ15" i="5"/>
  <c r="AY15" i="5"/>
  <c r="AX15" i="5"/>
  <c r="AW15" i="5"/>
  <c r="AV15" i="5"/>
  <c r="AU15" i="5"/>
  <c r="BC15" i="5" s="1"/>
  <c r="AL15" i="5"/>
  <c r="AJ15" i="5"/>
  <c r="AI15" i="5"/>
  <c r="AH15" i="5"/>
  <c r="AG15" i="5"/>
  <c r="AF15" i="5"/>
  <c r="AE15" i="5"/>
  <c r="AD15" i="5"/>
  <c r="AC15" i="5"/>
  <c r="AK15" i="5" s="1"/>
  <c r="T15" i="5"/>
  <c r="R15" i="5"/>
  <c r="Q15" i="5"/>
  <c r="P15" i="5"/>
  <c r="O15" i="5"/>
  <c r="N15" i="5"/>
  <c r="M15" i="5"/>
  <c r="L15" i="5"/>
  <c r="K15" i="5"/>
  <c r="S15" i="5" s="1"/>
  <c r="CX14" i="5"/>
  <c r="DF14" i="5" s="1"/>
  <c r="CW14" i="5"/>
  <c r="DE14" i="5" s="1"/>
  <c r="CV14" i="5"/>
  <c r="DD14" i="5" s="1"/>
  <c r="CU14" i="5"/>
  <c r="DC14" i="5" s="1"/>
  <c r="CT14" i="5"/>
  <c r="DB14" i="5" s="1"/>
  <c r="CS14" i="5"/>
  <c r="DA14" i="5" s="1"/>
  <c r="CR14" i="5"/>
  <c r="DH14" i="5" s="1"/>
  <c r="CQ14" i="5"/>
  <c r="CY14" i="5" s="1"/>
  <c r="CF14" i="5"/>
  <c r="CN14" i="5" s="1"/>
  <c r="CE14" i="5"/>
  <c r="CM14" i="5" s="1"/>
  <c r="CD14" i="5"/>
  <c r="CL14" i="5" s="1"/>
  <c r="CC14" i="5"/>
  <c r="CK14" i="5" s="1"/>
  <c r="CB14" i="5"/>
  <c r="CJ14" i="5" s="1"/>
  <c r="CA14" i="5"/>
  <c r="CI14" i="5" s="1"/>
  <c r="BZ14" i="5"/>
  <c r="CP14" i="5" s="1"/>
  <c r="BY14" i="5"/>
  <c r="CG14" i="5" s="1"/>
  <c r="BV14" i="5"/>
  <c r="BT14" i="5"/>
  <c r="BS14" i="5"/>
  <c r="BR14" i="5"/>
  <c r="BQ14" i="5"/>
  <c r="BP14" i="5"/>
  <c r="BO14" i="5"/>
  <c r="BN14" i="5"/>
  <c r="BM14" i="5"/>
  <c r="BU14" i="5" s="1"/>
  <c r="BD14" i="5"/>
  <c r="BB14" i="5"/>
  <c r="BA14" i="5"/>
  <c r="AZ14" i="5"/>
  <c r="AY14" i="5"/>
  <c r="AX14" i="5"/>
  <c r="AW14" i="5"/>
  <c r="AV14" i="5"/>
  <c r="AU14" i="5"/>
  <c r="BC14" i="5" s="1"/>
  <c r="AL14" i="5"/>
  <c r="AJ14" i="5"/>
  <c r="AI14" i="5"/>
  <c r="AH14" i="5"/>
  <c r="AG14" i="5"/>
  <c r="AF14" i="5"/>
  <c r="AE14" i="5"/>
  <c r="AD14" i="5"/>
  <c r="AC14" i="5"/>
  <c r="AK14" i="5" s="1"/>
  <c r="T14" i="5"/>
  <c r="R14" i="5"/>
  <c r="Q14" i="5"/>
  <c r="P14" i="5"/>
  <c r="O14" i="5"/>
  <c r="N14" i="5"/>
  <c r="M14" i="5"/>
  <c r="L14" i="5"/>
  <c r="K14" i="5"/>
  <c r="S14" i="5" s="1"/>
  <c r="CX13" i="5"/>
  <c r="DF13" i="5" s="1"/>
  <c r="CW13" i="5"/>
  <c r="DE13" i="5" s="1"/>
  <c r="CV13" i="5"/>
  <c r="DD13" i="5" s="1"/>
  <c r="CU13" i="5"/>
  <c r="DC13" i="5" s="1"/>
  <c r="CT13" i="5"/>
  <c r="DB13" i="5" s="1"/>
  <c r="CS13" i="5"/>
  <c r="DA13" i="5" s="1"/>
  <c r="CR13" i="5"/>
  <c r="DH13" i="5" s="1"/>
  <c r="CQ13" i="5"/>
  <c r="CY13" i="5" s="1"/>
  <c r="CF13" i="5"/>
  <c r="CN13" i="5" s="1"/>
  <c r="CE13" i="5"/>
  <c r="CM13" i="5" s="1"/>
  <c r="CD13" i="5"/>
  <c r="CL13" i="5" s="1"/>
  <c r="CC13" i="5"/>
  <c r="CK13" i="5" s="1"/>
  <c r="CB13" i="5"/>
  <c r="CJ13" i="5" s="1"/>
  <c r="CA13" i="5"/>
  <c r="CI13" i="5" s="1"/>
  <c r="BZ13" i="5"/>
  <c r="CP13" i="5" s="1"/>
  <c r="BY13" i="5"/>
  <c r="CG13" i="5" s="1"/>
  <c r="BV13" i="5"/>
  <c r="BT13" i="5"/>
  <c r="BS13" i="5"/>
  <c r="BR13" i="5"/>
  <c r="BQ13" i="5"/>
  <c r="BP13" i="5"/>
  <c r="BO13" i="5"/>
  <c r="BN13" i="5"/>
  <c r="BM13" i="5"/>
  <c r="BU13" i="5" s="1"/>
  <c r="BD13" i="5"/>
  <c r="BB13" i="5"/>
  <c r="BA13" i="5"/>
  <c r="AZ13" i="5"/>
  <c r="AY13" i="5"/>
  <c r="AX13" i="5"/>
  <c r="AW13" i="5"/>
  <c r="AV13" i="5"/>
  <c r="AU13" i="5"/>
  <c r="BC13" i="5" s="1"/>
  <c r="AL13" i="5"/>
  <c r="AJ13" i="5"/>
  <c r="AI13" i="5"/>
  <c r="AH13" i="5"/>
  <c r="AG13" i="5"/>
  <c r="AF13" i="5"/>
  <c r="AE13" i="5"/>
  <c r="AD13" i="5"/>
  <c r="AC13" i="5"/>
  <c r="AK13" i="5" s="1"/>
  <c r="T13" i="5"/>
  <c r="R13" i="5"/>
  <c r="Q13" i="5"/>
  <c r="P13" i="5"/>
  <c r="O13" i="5"/>
  <c r="N13" i="5"/>
  <c r="M13" i="5"/>
  <c r="L13" i="5"/>
  <c r="K13" i="5"/>
  <c r="S13" i="5" s="1"/>
  <c r="CX12" i="5"/>
  <c r="CX16" i="5" s="1"/>
  <c r="CX133" i="5" s="1"/>
  <c r="CW12" i="5"/>
  <c r="CW16" i="5" s="1"/>
  <c r="CW133" i="5" s="1"/>
  <c r="CV12" i="5"/>
  <c r="CV16" i="5" s="1"/>
  <c r="CV133" i="5" s="1"/>
  <c r="CU12" i="5"/>
  <c r="CU16" i="5" s="1"/>
  <c r="CU133" i="5" s="1"/>
  <c r="CT12" i="5"/>
  <c r="CT16" i="5" s="1"/>
  <c r="CT133" i="5" s="1"/>
  <c r="CS12" i="5"/>
  <c r="CS16" i="5" s="1"/>
  <c r="CS133" i="5" s="1"/>
  <c r="CR12" i="5"/>
  <c r="CR16" i="5" s="1"/>
  <c r="CR133" i="5" s="1"/>
  <c r="CQ12" i="5"/>
  <c r="CQ16" i="5" s="1"/>
  <c r="CF12" i="5"/>
  <c r="CF16" i="5" s="1"/>
  <c r="CF133" i="5" s="1"/>
  <c r="CE12" i="5"/>
  <c r="CE16" i="5" s="1"/>
  <c r="CE133" i="5" s="1"/>
  <c r="CD12" i="5"/>
  <c r="CD16" i="5" s="1"/>
  <c r="CD133" i="5" s="1"/>
  <c r="CC12" i="5"/>
  <c r="CC16" i="5" s="1"/>
  <c r="CC133" i="5" s="1"/>
  <c r="CB12" i="5"/>
  <c r="CB16" i="5" s="1"/>
  <c r="CB133" i="5" s="1"/>
  <c r="CA12" i="5"/>
  <c r="CA16" i="5" s="1"/>
  <c r="CA133" i="5" s="1"/>
  <c r="BZ12" i="5"/>
  <c r="BZ16" i="5" s="1"/>
  <c r="BZ133" i="5" s="1"/>
  <c r="BY12" i="5"/>
  <c r="BY16" i="5" s="1"/>
  <c r="BV12" i="5"/>
  <c r="BT12" i="5"/>
  <c r="BT16" i="5" s="1"/>
  <c r="BT133" i="5" s="1"/>
  <c r="BS12" i="5"/>
  <c r="BS16" i="5" s="1"/>
  <c r="BS133" i="5" s="1"/>
  <c r="BR12" i="5"/>
  <c r="BR16" i="5" s="1"/>
  <c r="BR133" i="5" s="1"/>
  <c r="BQ12" i="5"/>
  <c r="BQ16" i="5" s="1"/>
  <c r="BQ133" i="5" s="1"/>
  <c r="BP12" i="5"/>
  <c r="BP16" i="5" s="1"/>
  <c r="BP133" i="5" s="1"/>
  <c r="BO12" i="5"/>
  <c r="BO16" i="5" s="1"/>
  <c r="BO133" i="5" s="1"/>
  <c r="BN12" i="5"/>
  <c r="BN16" i="5" s="1"/>
  <c r="BN133" i="5" s="1"/>
  <c r="BM12" i="5"/>
  <c r="BM16" i="5" s="1"/>
  <c r="BD12" i="5"/>
  <c r="BB12" i="5"/>
  <c r="BB16" i="5" s="1"/>
  <c r="BB133" i="5" s="1"/>
  <c r="BA12" i="5"/>
  <c r="BA16" i="5" s="1"/>
  <c r="BA133" i="5" s="1"/>
  <c r="AZ12" i="5"/>
  <c r="AZ16" i="5" s="1"/>
  <c r="AZ133" i="5" s="1"/>
  <c r="AY12" i="5"/>
  <c r="AY16" i="5" s="1"/>
  <c r="AY133" i="5" s="1"/>
  <c r="AX12" i="5"/>
  <c r="AX16" i="5" s="1"/>
  <c r="AX133" i="5" s="1"/>
  <c r="AW12" i="5"/>
  <c r="AW16" i="5" s="1"/>
  <c r="AW133" i="5" s="1"/>
  <c r="AV12" i="5"/>
  <c r="AV16" i="5" s="1"/>
  <c r="AV133" i="5" s="1"/>
  <c r="AU12" i="5"/>
  <c r="AU16" i="5" s="1"/>
  <c r="AL12" i="5"/>
  <c r="AJ12" i="5"/>
  <c r="AJ16" i="5" s="1"/>
  <c r="AJ133" i="5" s="1"/>
  <c r="AI12" i="5"/>
  <c r="AI16" i="5" s="1"/>
  <c r="AI133" i="5" s="1"/>
  <c r="AH12" i="5"/>
  <c r="AH16" i="5" s="1"/>
  <c r="AH133" i="5" s="1"/>
  <c r="AG12" i="5"/>
  <c r="AG16" i="5" s="1"/>
  <c r="AG133" i="5" s="1"/>
  <c r="AF12" i="5"/>
  <c r="AF16" i="5" s="1"/>
  <c r="AF133" i="5" s="1"/>
  <c r="AE12" i="5"/>
  <c r="AE16" i="5" s="1"/>
  <c r="AE133" i="5" s="1"/>
  <c r="AD12" i="5"/>
  <c r="AD16" i="5" s="1"/>
  <c r="AD133" i="5" s="1"/>
  <c r="AC12" i="5"/>
  <c r="AC16" i="5" s="1"/>
  <c r="T12" i="5"/>
  <c r="R12" i="5"/>
  <c r="R16" i="5" s="1"/>
  <c r="R133" i="5" s="1"/>
  <c r="Q12" i="5"/>
  <c r="Q16" i="5" s="1"/>
  <c r="Q133" i="5" s="1"/>
  <c r="P12" i="5"/>
  <c r="P16" i="5" s="1"/>
  <c r="P133" i="5" s="1"/>
  <c r="O12" i="5"/>
  <c r="O16" i="5" s="1"/>
  <c r="O133" i="5" s="1"/>
  <c r="N12" i="5"/>
  <c r="N16" i="5" s="1"/>
  <c r="N133" i="5" s="1"/>
  <c r="M12" i="5"/>
  <c r="M16" i="5" s="1"/>
  <c r="M133" i="5" s="1"/>
  <c r="L12" i="5"/>
  <c r="L16" i="5" s="1"/>
  <c r="L133" i="5" s="1"/>
  <c r="K12" i="5"/>
  <c r="K16" i="5" s="1"/>
  <c r="BL131" i="4"/>
  <c r="BK131" i="4"/>
  <c r="BJ131" i="4"/>
  <c r="BI131" i="4"/>
  <c r="BH131" i="4"/>
  <c r="BG131" i="4"/>
  <c r="BF131" i="4"/>
  <c r="BV131" i="4" s="1"/>
  <c r="BE131" i="4"/>
  <c r="AT131" i="4"/>
  <c r="AS131" i="4"/>
  <c r="AR131" i="4"/>
  <c r="AQ131" i="4"/>
  <c r="AP131" i="4"/>
  <c r="AO131" i="4"/>
  <c r="AN131" i="4"/>
  <c r="BD131" i="4" s="1"/>
  <c r="AM131" i="4"/>
  <c r="AB131" i="4"/>
  <c r="AA131" i="4"/>
  <c r="Z131" i="4"/>
  <c r="Y131" i="4"/>
  <c r="X131" i="4"/>
  <c r="W131" i="4"/>
  <c r="V131" i="4"/>
  <c r="AL131" i="4" s="1"/>
  <c r="U131" i="4"/>
  <c r="J131" i="4"/>
  <c r="I131" i="4"/>
  <c r="H131" i="4"/>
  <c r="G131" i="4"/>
  <c r="F131" i="4"/>
  <c r="E131" i="4"/>
  <c r="D131" i="4"/>
  <c r="T131" i="4" s="1"/>
  <c r="C131" i="4"/>
  <c r="CX130" i="4"/>
  <c r="DF130" i="4" s="1"/>
  <c r="CW130" i="4"/>
  <c r="DE130" i="4" s="1"/>
  <c r="CV130" i="4"/>
  <c r="DD130" i="4" s="1"/>
  <c r="CU130" i="4"/>
  <c r="DC130" i="4" s="1"/>
  <c r="CT130" i="4"/>
  <c r="DB130" i="4" s="1"/>
  <c r="CS130" i="4"/>
  <c r="DA130" i="4" s="1"/>
  <c r="CR130" i="4"/>
  <c r="DH130" i="4" s="1"/>
  <c r="CQ130" i="4"/>
  <c r="CY130" i="4" s="1"/>
  <c r="CF130" i="4"/>
  <c r="CN130" i="4" s="1"/>
  <c r="CE130" i="4"/>
  <c r="CM130" i="4" s="1"/>
  <c r="CD130" i="4"/>
  <c r="CL130" i="4" s="1"/>
  <c r="CC130" i="4"/>
  <c r="CK130" i="4" s="1"/>
  <c r="CB130" i="4"/>
  <c r="CJ130" i="4" s="1"/>
  <c r="CA130" i="4"/>
  <c r="CI130" i="4" s="1"/>
  <c r="BZ130" i="4"/>
  <c r="CP130" i="4" s="1"/>
  <c r="BY130" i="4"/>
  <c r="CG130" i="4" s="1"/>
  <c r="BV130" i="4"/>
  <c r="BT130" i="4"/>
  <c r="BS130" i="4"/>
  <c r="BR130" i="4"/>
  <c r="BQ130" i="4"/>
  <c r="BP130" i="4"/>
  <c r="BO130" i="4"/>
  <c r="BN130" i="4"/>
  <c r="BM130" i="4"/>
  <c r="BU130" i="4" s="1"/>
  <c r="BD130" i="4"/>
  <c r="BB130" i="4"/>
  <c r="BA130" i="4"/>
  <c r="AZ130" i="4"/>
  <c r="AY130" i="4"/>
  <c r="AX130" i="4"/>
  <c r="AW130" i="4"/>
  <c r="AV130" i="4"/>
  <c r="AU130" i="4"/>
  <c r="BC130" i="4" s="1"/>
  <c r="AL130" i="4"/>
  <c r="AJ130" i="4"/>
  <c r="AI130" i="4"/>
  <c r="AH130" i="4"/>
  <c r="AG130" i="4"/>
  <c r="AF130" i="4"/>
  <c r="AE130" i="4"/>
  <c r="AD130" i="4"/>
  <c r="AC130" i="4"/>
  <c r="AK130" i="4" s="1"/>
  <c r="T130" i="4"/>
  <c r="R130" i="4"/>
  <c r="Q130" i="4"/>
  <c r="P130" i="4"/>
  <c r="O130" i="4"/>
  <c r="N130" i="4"/>
  <c r="M130" i="4"/>
  <c r="L130" i="4"/>
  <c r="K130" i="4"/>
  <c r="S130" i="4" s="1"/>
  <c r="CX129" i="4"/>
  <c r="DF129" i="4" s="1"/>
  <c r="CW129" i="4"/>
  <c r="DE129" i="4" s="1"/>
  <c r="CV129" i="4"/>
  <c r="DD129" i="4" s="1"/>
  <c r="CU129" i="4"/>
  <c r="DC129" i="4" s="1"/>
  <c r="CT129" i="4"/>
  <c r="DB129" i="4" s="1"/>
  <c r="CS129" i="4"/>
  <c r="DA129" i="4" s="1"/>
  <c r="CR129" i="4"/>
  <c r="DH129" i="4" s="1"/>
  <c r="CQ129" i="4"/>
  <c r="CY129" i="4" s="1"/>
  <c r="CF129" i="4"/>
  <c r="CN129" i="4" s="1"/>
  <c r="CE129" i="4"/>
  <c r="CM129" i="4" s="1"/>
  <c r="CD129" i="4"/>
  <c r="CL129" i="4" s="1"/>
  <c r="CC129" i="4"/>
  <c r="CK129" i="4" s="1"/>
  <c r="CB129" i="4"/>
  <c r="CJ129" i="4" s="1"/>
  <c r="CA129" i="4"/>
  <c r="CI129" i="4" s="1"/>
  <c r="BZ129" i="4"/>
  <c r="CP129" i="4" s="1"/>
  <c r="BY129" i="4"/>
  <c r="CG129" i="4" s="1"/>
  <c r="BV129" i="4"/>
  <c r="BT129" i="4"/>
  <c r="BS129" i="4"/>
  <c r="BR129" i="4"/>
  <c r="BQ129" i="4"/>
  <c r="BP129" i="4"/>
  <c r="BO129" i="4"/>
  <c r="BN129" i="4"/>
  <c r="BM129" i="4"/>
  <c r="BU129" i="4" s="1"/>
  <c r="BD129" i="4"/>
  <c r="BB129" i="4"/>
  <c r="BA129" i="4"/>
  <c r="AZ129" i="4"/>
  <c r="AY129" i="4"/>
  <c r="AX129" i="4"/>
  <c r="AW129" i="4"/>
  <c r="AV129" i="4"/>
  <c r="AU129" i="4"/>
  <c r="BC129" i="4" s="1"/>
  <c r="AL129" i="4"/>
  <c r="AJ129" i="4"/>
  <c r="AI129" i="4"/>
  <c r="AH129" i="4"/>
  <c r="AG129" i="4"/>
  <c r="AF129" i="4"/>
  <c r="AE129" i="4"/>
  <c r="AD129" i="4"/>
  <c r="AC129" i="4"/>
  <c r="AK129" i="4" s="1"/>
  <c r="T129" i="4"/>
  <c r="R129" i="4"/>
  <c r="Q129" i="4"/>
  <c r="P129" i="4"/>
  <c r="O129" i="4"/>
  <c r="N129" i="4"/>
  <c r="M129" i="4"/>
  <c r="L129" i="4"/>
  <c r="K129" i="4"/>
  <c r="S129" i="4" s="1"/>
  <c r="CX128" i="4"/>
  <c r="DF128" i="4" s="1"/>
  <c r="CW128" i="4"/>
  <c r="DE128" i="4" s="1"/>
  <c r="CV128" i="4"/>
  <c r="DD128" i="4" s="1"/>
  <c r="CU128" i="4"/>
  <c r="DC128" i="4" s="1"/>
  <c r="CT128" i="4"/>
  <c r="DB128" i="4" s="1"/>
  <c r="CS128" i="4"/>
  <c r="DA128" i="4" s="1"/>
  <c r="CR128" i="4"/>
  <c r="DH128" i="4" s="1"/>
  <c r="CQ128" i="4"/>
  <c r="CY128" i="4" s="1"/>
  <c r="CF128" i="4"/>
  <c r="CN128" i="4" s="1"/>
  <c r="CE128" i="4"/>
  <c r="CM128" i="4" s="1"/>
  <c r="CD128" i="4"/>
  <c r="CL128" i="4" s="1"/>
  <c r="CC128" i="4"/>
  <c r="CK128" i="4" s="1"/>
  <c r="CB128" i="4"/>
  <c r="CJ128" i="4" s="1"/>
  <c r="CA128" i="4"/>
  <c r="CI128" i="4" s="1"/>
  <c r="BZ128" i="4"/>
  <c r="CP128" i="4" s="1"/>
  <c r="BY128" i="4"/>
  <c r="CG128" i="4" s="1"/>
  <c r="BV128" i="4"/>
  <c r="BT128" i="4"/>
  <c r="BS128" i="4"/>
  <c r="BR128" i="4"/>
  <c r="BQ128" i="4"/>
  <c r="BP128" i="4"/>
  <c r="BO128" i="4"/>
  <c r="BN128" i="4"/>
  <c r="BM128" i="4"/>
  <c r="BU128" i="4" s="1"/>
  <c r="BD128" i="4"/>
  <c r="BB128" i="4"/>
  <c r="BA128" i="4"/>
  <c r="AZ128" i="4"/>
  <c r="AY128" i="4"/>
  <c r="AX128" i="4"/>
  <c r="AW128" i="4"/>
  <c r="AV128" i="4"/>
  <c r="AU128" i="4"/>
  <c r="BC128" i="4" s="1"/>
  <c r="AL128" i="4"/>
  <c r="AJ128" i="4"/>
  <c r="AI128" i="4"/>
  <c r="AH128" i="4"/>
  <c r="AG128" i="4"/>
  <c r="AF128" i="4"/>
  <c r="AE128" i="4"/>
  <c r="AD128" i="4"/>
  <c r="AC128" i="4"/>
  <c r="AK128" i="4" s="1"/>
  <c r="T128" i="4"/>
  <c r="R128" i="4"/>
  <c r="Q128" i="4"/>
  <c r="P128" i="4"/>
  <c r="O128" i="4"/>
  <c r="N128" i="4"/>
  <c r="M128" i="4"/>
  <c r="L128" i="4"/>
  <c r="K128" i="4"/>
  <c r="S128" i="4" s="1"/>
  <c r="CX127" i="4"/>
  <c r="CX131" i="4" s="1"/>
  <c r="CW127" i="4"/>
  <c r="CW131" i="4" s="1"/>
  <c r="CV127" i="4"/>
  <c r="CV131" i="4" s="1"/>
  <c r="CU127" i="4"/>
  <c r="CU131" i="4" s="1"/>
  <c r="CT127" i="4"/>
  <c r="CT131" i="4" s="1"/>
  <c r="CS127" i="4"/>
  <c r="CS131" i="4" s="1"/>
  <c r="CR127" i="4"/>
  <c r="CR131" i="4" s="1"/>
  <c r="CQ127" i="4"/>
  <c r="CQ131" i="4" s="1"/>
  <c r="CF127" i="4"/>
  <c r="CF131" i="4" s="1"/>
  <c r="CE127" i="4"/>
  <c r="CE131" i="4" s="1"/>
  <c r="CD127" i="4"/>
  <c r="CD131" i="4" s="1"/>
  <c r="CC127" i="4"/>
  <c r="CC131" i="4" s="1"/>
  <c r="CB127" i="4"/>
  <c r="CB131" i="4" s="1"/>
  <c r="CA127" i="4"/>
  <c r="CA131" i="4" s="1"/>
  <c r="BZ127" i="4"/>
  <c r="BZ131" i="4" s="1"/>
  <c r="BY127" i="4"/>
  <c r="BY131" i="4" s="1"/>
  <c r="BV127" i="4"/>
  <c r="BT127" i="4"/>
  <c r="BT131" i="4" s="1"/>
  <c r="BS127" i="4"/>
  <c r="BS131" i="4" s="1"/>
  <c r="BR127" i="4"/>
  <c r="BR131" i="4" s="1"/>
  <c r="BQ127" i="4"/>
  <c r="BQ131" i="4" s="1"/>
  <c r="BP127" i="4"/>
  <c r="BP131" i="4" s="1"/>
  <c r="BO127" i="4"/>
  <c r="BO131" i="4" s="1"/>
  <c r="BN127" i="4"/>
  <c r="BN131" i="4" s="1"/>
  <c r="BM127" i="4"/>
  <c r="BM131" i="4" s="1"/>
  <c r="BU131" i="4" s="1"/>
  <c r="BD127" i="4"/>
  <c r="BB127" i="4"/>
  <c r="BB131" i="4" s="1"/>
  <c r="BA127" i="4"/>
  <c r="BA131" i="4" s="1"/>
  <c r="AZ127" i="4"/>
  <c r="AZ131" i="4" s="1"/>
  <c r="AY127" i="4"/>
  <c r="AY131" i="4" s="1"/>
  <c r="AX127" i="4"/>
  <c r="AX131" i="4" s="1"/>
  <c r="AW127" i="4"/>
  <c r="AW131" i="4" s="1"/>
  <c r="AV127" i="4"/>
  <c r="AV131" i="4" s="1"/>
  <c r="AU127" i="4"/>
  <c r="AU131" i="4" s="1"/>
  <c r="AL127" i="4"/>
  <c r="AJ127" i="4"/>
  <c r="AJ131" i="4" s="1"/>
  <c r="AI127" i="4"/>
  <c r="AI131" i="4" s="1"/>
  <c r="AH127" i="4"/>
  <c r="AH131" i="4" s="1"/>
  <c r="AG127" i="4"/>
  <c r="AG131" i="4" s="1"/>
  <c r="AF127" i="4"/>
  <c r="AF131" i="4" s="1"/>
  <c r="AE127" i="4"/>
  <c r="AE131" i="4" s="1"/>
  <c r="AD127" i="4"/>
  <c r="AD131" i="4" s="1"/>
  <c r="AC127" i="4"/>
  <c r="AC131" i="4" s="1"/>
  <c r="AK131" i="4" s="1"/>
  <c r="T127" i="4"/>
  <c r="R127" i="4"/>
  <c r="R131" i="4" s="1"/>
  <c r="Q127" i="4"/>
  <c r="Q131" i="4" s="1"/>
  <c r="P127" i="4"/>
  <c r="P131" i="4" s="1"/>
  <c r="O127" i="4"/>
  <c r="O131" i="4" s="1"/>
  <c r="N127" i="4"/>
  <c r="N131" i="4" s="1"/>
  <c r="M127" i="4"/>
  <c r="M131" i="4" s="1"/>
  <c r="L127" i="4"/>
  <c r="L131" i="4" s="1"/>
  <c r="K127" i="4"/>
  <c r="K131" i="4" s="1"/>
  <c r="BL126" i="4"/>
  <c r="BK126" i="4"/>
  <c r="BJ126" i="4"/>
  <c r="BI126" i="4"/>
  <c r="BH126" i="4"/>
  <c r="BG126" i="4"/>
  <c r="BF126" i="4"/>
  <c r="BV126" i="4" s="1"/>
  <c r="BE126" i="4"/>
  <c r="AT126" i="4"/>
  <c r="AS126" i="4"/>
  <c r="AR126" i="4"/>
  <c r="AQ126" i="4"/>
  <c r="AP126" i="4"/>
  <c r="AO126" i="4"/>
  <c r="AN126" i="4"/>
  <c r="BD126" i="4" s="1"/>
  <c r="AM126" i="4"/>
  <c r="AB126" i="4"/>
  <c r="AA126" i="4"/>
  <c r="Z126" i="4"/>
  <c r="Y126" i="4"/>
  <c r="X126" i="4"/>
  <c r="W126" i="4"/>
  <c r="V126" i="4"/>
  <c r="AL126" i="4" s="1"/>
  <c r="U126" i="4"/>
  <c r="J126" i="4"/>
  <c r="I126" i="4"/>
  <c r="H126" i="4"/>
  <c r="G126" i="4"/>
  <c r="F126" i="4"/>
  <c r="E126" i="4"/>
  <c r="D126" i="4"/>
  <c r="T126" i="4" s="1"/>
  <c r="C126" i="4"/>
  <c r="CX125" i="4"/>
  <c r="DF125" i="4" s="1"/>
  <c r="CW125" i="4"/>
  <c r="DE125" i="4" s="1"/>
  <c r="CV125" i="4"/>
  <c r="DD125" i="4" s="1"/>
  <c r="CU125" i="4"/>
  <c r="DC125" i="4" s="1"/>
  <c r="CT125" i="4"/>
  <c r="DB125" i="4" s="1"/>
  <c r="CS125" i="4"/>
  <c r="DA125" i="4" s="1"/>
  <c r="CR125" i="4"/>
  <c r="DH125" i="4" s="1"/>
  <c r="CQ125" i="4"/>
  <c r="CY125" i="4" s="1"/>
  <c r="CF125" i="4"/>
  <c r="CN125" i="4" s="1"/>
  <c r="CE125" i="4"/>
  <c r="CM125" i="4" s="1"/>
  <c r="CD125" i="4"/>
  <c r="CL125" i="4" s="1"/>
  <c r="CC125" i="4"/>
  <c r="CK125" i="4" s="1"/>
  <c r="CB125" i="4"/>
  <c r="CJ125" i="4" s="1"/>
  <c r="CA125" i="4"/>
  <c r="CI125" i="4" s="1"/>
  <c r="BZ125" i="4"/>
  <c r="CP125" i="4" s="1"/>
  <c r="BY125" i="4"/>
  <c r="CG125" i="4" s="1"/>
  <c r="BV125" i="4"/>
  <c r="BT125" i="4"/>
  <c r="BS125" i="4"/>
  <c r="BR125" i="4"/>
  <c r="BQ125" i="4"/>
  <c r="BP125" i="4"/>
  <c r="BO125" i="4"/>
  <c r="BN125" i="4"/>
  <c r="BM125" i="4"/>
  <c r="BU125" i="4" s="1"/>
  <c r="BD125" i="4"/>
  <c r="BB125" i="4"/>
  <c r="BA125" i="4"/>
  <c r="AZ125" i="4"/>
  <c r="AY125" i="4"/>
  <c r="AX125" i="4"/>
  <c r="AW125" i="4"/>
  <c r="AV125" i="4"/>
  <c r="AU125" i="4"/>
  <c r="BC125" i="4" s="1"/>
  <c r="AL125" i="4"/>
  <c r="AJ125" i="4"/>
  <c r="AI125" i="4"/>
  <c r="AH125" i="4"/>
  <c r="AG125" i="4"/>
  <c r="AF125" i="4"/>
  <c r="AE125" i="4"/>
  <c r="AD125" i="4"/>
  <c r="AC125" i="4"/>
  <c r="AK125" i="4" s="1"/>
  <c r="T125" i="4"/>
  <c r="R125" i="4"/>
  <c r="Q125" i="4"/>
  <c r="P125" i="4"/>
  <c r="O125" i="4"/>
  <c r="N125" i="4"/>
  <c r="M125" i="4"/>
  <c r="L125" i="4"/>
  <c r="K125" i="4"/>
  <c r="S125" i="4" s="1"/>
  <c r="CX124" i="4"/>
  <c r="DF124" i="4" s="1"/>
  <c r="CW124" i="4"/>
  <c r="DE124" i="4" s="1"/>
  <c r="CV124" i="4"/>
  <c r="DD124" i="4" s="1"/>
  <c r="CU124" i="4"/>
  <c r="DC124" i="4" s="1"/>
  <c r="CT124" i="4"/>
  <c r="DB124" i="4" s="1"/>
  <c r="CS124" i="4"/>
  <c r="DA124" i="4" s="1"/>
  <c r="CR124" i="4"/>
  <c r="DH124" i="4" s="1"/>
  <c r="CQ124" i="4"/>
  <c r="CY124" i="4" s="1"/>
  <c r="CF124" i="4"/>
  <c r="CN124" i="4" s="1"/>
  <c r="CE124" i="4"/>
  <c r="CM124" i="4" s="1"/>
  <c r="CD124" i="4"/>
  <c r="CL124" i="4" s="1"/>
  <c r="CC124" i="4"/>
  <c r="CK124" i="4" s="1"/>
  <c r="CB124" i="4"/>
  <c r="CJ124" i="4" s="1"/>
  <c r="CA124" i="4"/>
  <c r="CI124" i="4" s="1"/>
  <c r="BZ124" i="4"/>
  <c r="CP124" i="4" s="1"/>
  <c r="BY124" i="4"/>
  <c r="CG124" i="4" s="1"/>
  <c r="BV124" i="4"/>
  <c r="BT124" i="4"/>
  <c r="BS124" i="4"/>
  <c r="BR124" i="4"/>
  <c r="BQ124" i="4"/>
  <c r="BP124" i="4"/>
  <c r="BO124" i="4"/>
  <c r="BN124" i="4"/>
  <c r="BM124" i="4"/>
  <c r="BU124" i="4" s="1"/>
  <c r="BD124" i="4"/>
  <c r="BB124" i="4"/>
  <c r="BA124" i="4"/>
  <c r="AZ124" i="4"/>
  <c r="AY124" i="4"/>
  <c r="AX124" i="4"/>
  <c r="AW124" i="4"/>
  <c r="AV124" i="4"/>
  <c r="AU124" i="4"/>
  <c r="BC124" i="4" s="1"/>
  <c r="AL124" i="4"/>
  <c r="AJ124" i="4"/>
  <c r="AI124" i="4"/>
  <c r="AH124" i="4"/>
  <c r="AG124" i="4"/>
  <c r="AF124" i="4"/>
  <c r="AE124" i="4"/>
  <c r="AD124" i="4"/>
  <c r="AC124" i="4"/>
  <c r="AK124" i="4" s="1"/>
  <c r="T124" i="4"/>
  <c r="R124" i="4"/>
  <c r="Q124" i="4"/>
  <c r="P124" i="4"/>
  <c r="O124" i="4"/>
  <c r="N124" i="4"/>
  <c r="M124" i="4"/>
  <c r="L124" i="4"/>
  <c r="K124" i="4"/>
  <c r="S124" i="4" s="1"/>
  <c r="CX123" i="4"/>
  <c r="DF123" i="4" s="1"/>
  <c r="CW123" i="4"/>
  <c r="DE123" i="4" s="1"/>
  <c r="CV123" i="4"/>
  <c r="DD123" i="4" s="1"/>
  <c r="CU123" i="4"/>
  <c r="DC123" i="4" s="1"/>
  <c r="CT123" i="4"/>
  <c r="DB123" i="4" s="1"/>
  <c r="CS123" i="4"/>
  <c r="DA123" i="4" s="1"/>
  <c r="CR123" i="4"/>
  <c r="DH123" i="4" s="1"/>
  <c r="CQ123" i="4"/>
  <c r="CY123" i="4" s="1"/>
  <c r="CF123" i="4"/>
  <c r="CN123" i="4" s="1"/>
  <c r="CE123" i="4"/>
  <c r="CM123" i="4" s="1"/>
  <c r="CD123" i="4"/>
  <c r="CL123" i="4" s="1"/>
  <c r="CC123" i="4"/>
  <c r="CK123" i="4" s="1"/>
  <c r="CB123" i="4"/>
  <c r="CJ123" i="4" s="1"/>
  <c r="CA123" i="4"/>
  <c r="CI123" i="4" s="1"/>
  <c r="BZ123" i="4"/>
  <c r="CP123" i="4" s="1"/>
  <c r="BY123" i="4"/>
  <c r="CG123" i="4" s="1"/>
  <c r="BV123" i="4"/>
  <c r="BT123" i="4"/>
  <c r="BS123" i="4"/>
  <c r="BR123" i="4"/>
  <c r="BQ123" i="4"/>
  <c r="BP123" i="4"/>
  <c r="BO123" i="4"/>
  <c r="BN123" i="4"/>
  <c r="BM123" i="4"/>
  <c r="BU123" i="4" s="1"/>
  <c r="BD123" i="4"/>
  <c r="BB123" i="4"/>
  <c r="BA123" i="4"/>
  <c r="AZ123" i="4"/>
  <c r="AY123" i="4"/>
  <c r="AX123" i="4"/>
  <c r="AW123" i="4"/>
  <c r="AV123" i="4"/>
  <c r="AU123" i="4"/>
  <c r="BC123" i="4" s="1"/>
  <c r="AL123" i="4"/>
  <c r="AJ123" i="4"/>
  <c r="AI123" i="4"/>
  <c r="AH123" i="4"/>
  <c r="AG123" i="4"/>
  <c r="AF123" i="4"/>
  <c r="AE123" i="4"/>
  <c r="AD123" i="4"/>
  <c r="AC123" i="4"/>
  <c r="AK123" i="4" s="1"/>
  <c r="T123" i="4"/>
  <c r="R123" i="4"/>
  <c r="Q123" i="4"/>
  <c r="P123" i="4"/>
  <c r="O123" i="4"/>
  <c r="N123" i="4"/>
  <c r="M123" i="4"/>
  <c r="L123" i="4"/>
  <c r="K123" i="4"/>
  <c r="S123" i="4" s="1"/>
  <c r="CX122" i="4"/>
  <c r="CX126" i="4" s="1"/>
  <c r="CW122" i="4"/>
  <c r="CW126" i="4" s="1"/>
  <c r="CV122" i="4"/>
  <c r="CV126" i="4" s="1"/>
  <c r="CU122" i="4"/>
  <c r="CU126" i="4" s="1"/>
  <c r="CT122" i="4"/>
  <c r="CT126" i="4" s="1"/>
  <c r="CS122" i="4"/>
  <c r="CS126" i="4" s="1"/>
  <c r="CR122" i="4"/>
  <c r="CR126" i="4" s="1"/>
  <c r="CQ122" i="4"/>
  <c r="CQ126" i="4" s="1"/>
  <c r="CF122" i="4"/>
  <c r="CF126" i="4" s="1"/>
  <c r="CE122" i="4"/>
  <c r="CE126" i="4" s="1"/>
  <c r="CD122" i="4"/>
  <c r="CD126" i="4" s="1"/>
  <c r="CC122" i="4"/>
  <c r="CC126" i="4" s="1"/>
  <c r="CB122" i="4"/>
  <c r="CB126" i="4" s="1"/>
  <c r="CA122" i="4"/>
  <c r="CA126" i="4" s="1"/>
  <c r="BZ122" i="4"/>
  <c r="BZ126" i="4" s="1"/>
  <c r="BY122" i="4"/>
  <c r="BY126" i="4" s="1"/>
  <c r="BV122" i="4"/>
  <c r="BT122" i="4"/>
  <c r="BT126" i="4" s="1"/>
  <c r="BS122" i="4"/>
  <c r="BS126" i="4" s="1"/>
  <c r="BR122" i="4"/>
  <c r="BR126" i="4" s="1"/>
  <c r="BQ122" i="4"/>
  <c r="BQ126" i="4" s="1"/>
  <c r="BP122" i="4"/>
  <c r="BP126" i="4" s="1"/>
  <c r="BO122" i="4"/>
  <c r="BO126" i="4" s="1"/>
  <c r="BN122" i="4"/>
  <c r="BN126" i="4" s="1"/>
  <c r="BM122" i="4"/>
  <c r="BM126" i="4" s="1"/>
  <c r="BU126" i="4" s="1"/>
  <c r="BD122" i="4"/>
  <c r="BB122" i="4"/>
  <c r="BB126" i="4" s="1"/>
  <c r="BA122" i="4"/>
  <c r="BA126" i="4" s="1"/>
  <c r="AZ122" i="4"/>
  <c r="AZ126" i="4" s="1"/>
  <c r="AY122" i="4"/>
  <c r="AY126" i="4" s="1"/>
  <c r="AX122" i="4"/>
  <c r="AX126" i="4" s="1"/>
  <c r="AW122" i="4"/>
  <c r="AW126" i="4" s="1"/>
  <c r="AV122" i="4"/>
  <c r="AV126" i="4" s="1"/>
  <c r="AU122" i="4"/>
  <c r="AU126" i="4" s="1"/>
  <c r="AL122" i="4"/>
  <c r="AJ122" i="4"/>
  <c r="AJ126" i="4" s="1"/>
  <c r="AI122" i="4"/>
  <c r="AI126" i="4" s="1"/>
  <c r="AH122" i="4"/>
  <c r="AH126" i="4" s="1"/>
  <c r="AG122" i="4"/>
  <c r="AG126" i="4" s="1"/>
  <c r="AF122" i="4"/>
  <c r="AF126" i="4" s="1"/>
  <c r="AE122" i="4"/>
  <c r="AE126" i="4" s="1"/>
  <c r="AD122" i="4"/>
  <c r="AD126" i="4" s="1"/>
  <c r="AC122" i="4"/>
  <c r="AC126" i="4" s="1"/>
  <c r="AK126" i="4" s="1"/>
  <c r="T122" i="4"/>
  <c r="R122" i="4"/>
  <c r="R126" i="4" s="1"/>
  <c r="Q122" i="4"/>
  <c r="Q126" i="4" s="1"/>
  <c r="P122" i="4"/>
  <c r="P126" i="4" s="1"/>
  <c r="O122" i="4"/>
  <c r="O126" i="4" s="1"/>
  <c r="N122" i="4"/>
  <c r="N126" i="4" s="1"/>
  <c r="M122" i="4"/>
  <c r="M126" i="4" s="1"/>
  <c r="L122" i="4"/>
  <c r="L126" i="4" s="1"/>
  <c r="K122" i="4"/>
  <c r="K126" i="4" s="1"/>
  <c r="BL121" i="4"/>
  <c r="BK121" i="4"/>
  <c r="BJ121" i="4"/>
  <c r="BI121" i="4"/>
  <c r="BH121" i="4"/>
  <c r="BG121" i="4"/>
  <c r="BF121" i="4"/>
  <c r="BV121" i="4" s="1"/>
  <c r="BE121" i="4"/>
  <c r="AT121" i="4"/>
  <c r="AS121" i="4"/>
  <c r="AR121" i="4"/>
  <c r="AQ121" i="4"/>
  <c r="AP121" i="4"/>
  <c r="AO121" i="4"/>
  <c r="AN121" i="4"/>
  <c r="BD121" i="4" s="1"/>
  <c r="AM121" i="4"/>
  <c r="AB121" i="4"/>
  <c r="AA121" i="4"/>
  <c r="Z121" i="4"/>
  <c r="Y121" i="4"/>
  <c r="X121" i="4"/>
  <c r="W121" i="4"/>
  <c r="V121" i="4"/>
  <c r="AL121" i="4" s="1"/>
  <c r="U121" i="4"/>
  <c r="J121" i="4"/>
  <c r="I121" i="4"/>
  <c r="H121" i="4"/>
  <c r="G121" i="4"/>
  <c r="F121" i="4"/>
  <c r="E121" i="4"/>
  <c r="D121" i="4"/>
  <c r="T121" i="4" s="1"/>
  <c r="C121" i="4"/>
  <c r="CX120" i="4"/>
  <c r="DF120" i="4" s="1"/>
  <c r="CW120" i="4"/>
  <c r="DE120" i="4" s="1"/>
  <c r="CV120" i="4"/>
  <c r="DD120" i="4" s="1"/>
  <c r="CU120" i="4"/>
  <c r="DC120" i="4" s="1"/>
  <c r="CT120" i="4"/>
  <c r="DB120" i="4" s="1"/>
  <c r="CS120" i="4"/>
  <c r="DA120" i="4" s="1"/>
  <c r="CR120" i="4"/>
  <c r="DH120" i="4" s="1"/>
  <c r="CQ120" i="4"/>
  <c r="CY120" i="4" s="1"/>
  <c r="CF120" i="4"/>
  <c r="CN120" i="4" s="1"/>
  <c r="CE120" i="4"/>
  <c r="CM120" i="4" s="1"/>
  <c r="CD120" i="4"/>
  <c r="CL120" i="4" s="1"/>
  <c r="CC120" i="4"/>
  <c r="CK120" i="4" s="1"/>
  <c r="CB120" i="4"/>
  <c r="CJ120" i="4" s="1"/>
  <c r="CA120" i="4"/>
  <c r="CI120" i="4" s="1"/>
  <c r="BZ120" i="4"/>
  <c r="CP120" i="4" s="1"/>
  <c r="BY120" i="4"/>
  <c r="CG120" i="4" s="1"/>
  <c r="BV120" i="4"/>
  <c r="BT120" i="4"/>
  <c r="BS120" i="4"/>
  <c r="BR120" i="4"/>
  <c r="BQ120" i="4"/>
  <c r="BP120" i="4"/>
  <c r="BO120" i="4"/>
  <c r="BN120" i="4"/>
  <c r="BM120" i="4"/>
  <c r="BU120" i="4" s="1"/>
  <c r="BD120" i="4"/>
  <c r="BB120" i="4"/>
  <c r="BA120" i="4"/>
  <c r="AZ120" i="4"/>
  <c r="AY120" i="4"/>
  <c r="AX120" i="4"/>
  <c r="AW120" i="4"/>
  <c r="AV120" i="4"/>
  <c r="AU120" i="4"/>
  <c r="BC120" i="4" s="1"/>
  <c r="AL120" i="4"/>
  <c r="AJ120" i="4"/>
  <c r="AI120" i="4"/>
  <c r="AH120" i="4"/>
  <c r="AG120" i="4"/>
  <c r="AF120" i="4"/>
  <c r="AE120" i="4"/>
  <c r="AD120" i="4"/>
  <c r="AC120" i="4"/>
  <c r="AK120" i="4" s="1"/>
  <c r="T120" i="4"/>
  <c r="R120" i="4"/>
  <c r="Q120" i="4"/>
  <c r="P120" i="4"/>
  <c r="O120" i="4"/>
  <c r="N120" i="4"/>
  <c r="M120" i="4"/>
  <c r="L120" i="4"/>
  <c r="K120" i="4"/>
  <c r="S120" i="4" s="1"/>
  <c r="CX119" i="4"/>
  <c r="DF119" i="4" s="1"/>
  <c r="CW119" i="4"/>
  <c r="DE119" i="4" s="1"/>
  <c r="CV119" i="4"/>
  <c r="DD119" i="4" s="1"/>
  <c r="CU119" i="4"/>
  <c r="DC119" i="4" s="1"/>
  <c r="CT119" i="4"/>
  <c r="DB119" i="4" s="1"/>
  <c r="CS119" i="4"/>
  <c r="DA119" i="4" s="1"/>
  <c r="CR119" i="4"/>
  <c r="DH119" i="4" s="1"/>
  <c r="CQ119" i="4"/>
  <c r="CY119" i="4" s="1"/>
  <c r="CF119" i="4"/>
  <c r="CN119" i="4" s="1"/>
  <c r="CE119" i="4"/>
  <c r="CM119" i="4" s="1"/>
  <c r="CD119" i="4"/>
  <c r="CL119" i="4" s="1"/>
  <c r="CC119" i="4"/>
  <c r="CK119" i="4" s="1"/>
  <c r="CB119" i="4"/>
  <c r="CJ119" i="4" s="1"/>
  <c r="CA119" i="4"/>
  <c r="CI119" i="4" s="1"/>
  <c r="BZ119" i="4"/>
  <c r="CP119" i="4" s="1"/>
  <c r="BY119" i="4"/>
  <c r="CG119" i="4" s="1"/>
  <c r="BV119" i="4"/>
  <c r="BT119" i="4"/>
  <c r="BS119" i="4"/>
  <c r="BR119" i="4"/>
  <c r="BQ119" i="4"/>
  <c r="BP119" i="4"/>
  <c r="BO119" i="4"/>
  <c r="BN119" i="4"/>
  <c r="BM119" i="4"/>
  <c r="BU119" i="4" s="1"/>
  <c r="BD119" i="4"/>
  <c r="BB119" i="4"/>
  <c r="BA119" i="4"/>
  <c r="AZ119" i="4"/>
  <c r="AY119" i="4"/>
  <c r="AX119" i="4"/>
  <c r="AW119" i="4"/>
  <c r="AV119" i="4"/>
  <c r="AU119" i="4"/>
  <c r="BC119" i="4" s="1"/>
  <c r="AL119" i="4"/>
  <c r="AJ119" i="4"/>
  <c r="AI119" i="4"/>
  <c r="AH119" i="4"/>
  <c r="AG119" i="4"/>
  <c r="AF119" i="4"/>
  <c r="AE119" i="4"/>
  <c r="AD119" i="4"/>
  <c r="AC119" i="4"/>
  <c r="AK119" i="4" s="1"/>
  <c r="T119" i="4"/>
  <c r="R119" i="4"/>
  <c r="Q119" i="4"/>
  <c r="P119" i="4"/>
  <c r="O119" i="4"/>
  <c r="N119" i="4"/>
  <c r="M119" i="4"/>
  <c r="L119" i="4"/>
  <c r="K119" i="4"/>
  <c r="S119" i="4" s="1"/>
  <c r="CX118" i="4"/>
  <c r="DF118" i="4" s="1"/>
  <c r="CW118" i="4"/>
  <c r="DE118" i="4" s="1"/>
  <c r="CV118" i="4"/>
  <c r="DD118" i="4" s="1"/>
  <c r="CU118" i="4"/>
  <c r="DC118" i="4" s="1"/>
  <c r="CT118" i="4"/>
  <c r="DB118" i="4" s="1"/>
  <c r="CS118" i="4"/>
  <c r="DA118" i="4" s="1"/>
  <c r="CR118" i="4"/>
  <c r="DH118" i="4" s="1"/>
  <c r="CQ118" i="4"/>
  <c r="CY118" i="4" s="1"/>
  <c r="CF118" i="4"/>
  <c r="CN118" i="4" s="1"/>
  <c r="CE118" i="4"/>
  <c r="CM118" i="4" s="1"/>
  <c r="CD118" i="4"/>
  <c r="CL118" i="4" s="1"/>
  <c r="CC118" i="4"/>
  <c r="CK118" i="4" s="1"/>
  <c r="CB118" i="4"/>
  <c r="CJ118" i="4" s="1"/>
  <c r="CA118" i="4"/>
  <c r="CI118" i="4" s="1"/>
  <c r="BZ118" i="4"/>
  <c r="CP118" i="4" s="1"/>
  <c r="BY118" i="4"/>
  <c r="CG118" i="4" s="1"/>
  <c r="BV118" i="4"/>
  <c r="BT118" i="4"/>
  <c r="BS118" i="4"/>
  <c r="BR118" i="4"/>
  <c r="BQ118" i="4"/>
  <c r="BP118" i="4"/>
  <c r="BO118" i="4"/>
  <c r="BN118" i="4"/>
  <c r="BM118" i="4"/>
  <c r="BU118" i="4" s="1"/>
  <c r="BD118" i="4"/>
  <c r="BB118" i="4"/>
  <c r="BA118" i="4"/>
  <c r="AZ118" i="4"/>
  <c r="AY118" i="4"/>
  <c r="AX118" i="4"/>
  <c r="AW118" i="4"/>
  <c r="AV118" i="4"/>
  <c r="AU118" i="4"/>
  <c r="BC118" i="4" s="1"/>
  <c r="AL118" i="4"/>
  <c r="AJ118" i="4"/>
  <c r="AI118" i="4"/>
  <c r="AH118" i="4"/>
  <c r="AG118" i="4"/>
  <c r="AF118" i="4"/>
  <c r="AE118" i="4"/>
  <c r="AD118" i="4"/>
  <c r="AC118" i="4"/>
  <c r="AK118" i="4" s="1"/>
  <c r="T118" i="4"/>
  <c r="R118" i="4"/>
  <c r="Q118" i="4"/>
  <c r="P118" i="4"/>
  <c r="O118" i="4"/>
  <c r="N118" i="4"/>
  <c r="M118" i="4"/>
  <c r="L118" i="4"/>
  <c r="K118" i="4"/>
  <c r="S118" i="4" s="1"/>
  <c r="CX117" i="4"/>
  <c r="CX121" i="4" s="1"/>
  <c r="CW117" i="4"/>
  <c r="CW121" i="4" s="1"/>
  <c r="CV117" i="4"/>
  <c r="CV121" i="4" s="1"/>
  <c r="CU117" i="4"/>
  <c r="CU121" i="4" s="1"/>
  <c r="CT117" i="4"/>
  <c r="CT121" i="4" s="1"/>
  <c r="CS117" i="4"/>
  <c r="CS121" i="4" s="1"/>
  <c r="CR117" i="4"/>
  <c r="CR121" i="4" s="1"/>
  <c r="CQ117" i="4"/>
  <c r="CQ121" i="4" s="1"/>
  <c r="CF117" i="4"/>
  <c r="CF121" i="4" s="1"/>
  <c r="CE117" i="4"/>
  <c r="CE121" i="4" s="1"/>
  <c r="CD117" i="4"/>
  <c r="CD121" i="4" s="1"/>
  <c r="CC117" i="4"/>
  <c r="CC121" i="4" s="1"/>
  <c r="CB117" i="4"/>
  <c r="CB121" i="4" s="1"/>
  <c r="CA117" i="4"/>
  <c r="CA121" i="4" s="1"/>
  <c r="BZ117" i="4"/>
  <c r="BZ121" i="4" s="1"/>
  <c r="BY117" i="4"/>
  <c r="BY121" i="4" s="1"/>
  <c r="BV117" i="4"/>
  <c r="BT117" i="4"/>
  <c r="BT121" i="4" s="1"/>
  <c r="BS117" i="4"/>
  <c r="BS121" i="4" s="1"/>
  <c r="BR117" i="4"/>
  <c r="BR121" i="4" s="1"/>
  <c r="BQ117" i="4"/>
  <c r="BQ121" i="4" s="1"/>
  <c r="BP117" i="4"/>
  <c r="BP121" i="4" s="1"/>
  <c r="BO117" i="4"/>
  <c r="BO121" i="4" s="1"/>
  <c r="BN117" i="4"/>
  <c r="BN121" i="4" s="1"/>
  <c r="BM117" i="4"/>
  <c r="BM121" i="4" s="1"/>
  <c r="BU121" i="4" s="1"/>
  <c r="BD117" i="4"/>
  <c r="BB117" i="4"/>
  <c r="BB121" i="4" s="1"/>
  <c r="BA117" i="4"/>
  <c r="BA121" i="4" s="1"/>
  <c r="AZ117" i="4"/>
  <c r="AZ121" i="4" s="1"/>
  <c r="AY117" i="4"/>
  <c r="AY121" i="4" s="1"/>
  <c r="AX117" i="4"/>
  <c r="AX121" i="4" s="1"/>
  <c r="AW117" i="4"/>
  <c r="AW121" i="4" s="1"/>
  <c r="AV117" i="4"/>
  <c r="AV121" i="4" s="1"/>
  <c r="AU117" i="4"/>
  <c r="AU121" i="4" s="1"/>
  <c r="AL117" i="4"/>
  <c r="AJ117" i="4"/>
  <c r="AJ121" i="4" s="1"/>
  <c r="AI117" i="4"/>
  <c r="AI121" i="4" s="1"/>
  <c r="AH117" i="4"/>
  <c r="AH121" i="4" s="1"/>
  <c r="AG117" i="4"/>
  <c r="AG121" i="4" s="1"/>
  <c r="AF117" i="4"/>
  <c r="AF121" i="4" s="1"/>
  <c r="AE117" i="4"/>
  <c r="AE121" i="4" s="1"/>
  <c r="AD117" i="4"/>
  <c r="AD121" i="4" s="1"/>
  <c r="AC117" i="4"/>
  <c r="AC121" i="4" s="1"/>
  <c r="AK121" i="4" s="1"/>
  <c r="T117" i="4"/>
  <c r="R117" i="4"/>
  <c r="R121" i="4" s="1"/>
  <c r="Q117" i="4"/>
  <c r="Q121" i="4" s="1"/>
  <c r="P117" i="4"/>
  <c r="P121" i="4" s="1"/>
  <c r="O117" i="4"/>
  <c r="O121" i="4" s="1"/>
  <c r="N117" i="4"/>
  <c r="N121" i="4" s="1"/>
  <c r="M117" i="4"/>
  <c r="M121" i="4" s="1"/>
  <c r="L117" i="4"/>
  <c r="L121" i="4" s="1"/>
  <c r="K117" i="4"/>
  <c r="K121" i="4" s="1"/>
  <c r="BL116" i="4"/>
  <c r="BK116" i="4"/>
  <c r="BJ116" i="4"/>
  <c r="BI116" i="4"/>
  <c r="BH116" i="4"/>
  <c r="BG116" i="4"/>
  <c r="BF116" i="4"/>
  <c r="BV116" i="4" s="1"/>
  <c r="BE116" i="4"/>
  <c r="AT116" i="4"/>
  <c r="AS116" i="4"/>
  <c r="AR116" i="4"/>
  <c r="AQ116" i="4"/>
  <c r="AP116" i="4"/>
  <c r="AO116" i="4"/>
  <c r="AN116" i="4"/>
  <c r="BD116" i="4" s="1"/>
  <c r="AM116" i="4"/>
  <c r="AB116" i="4"/>
  <c r="AA116" i="4"/>
  <c r="Z116" i="4"/>
  <c r="Y116" i="4"/>
  <c r="X116" i="4"/>
  <c r="W116" i="4"/>
  <c r="V116" i="4"/>
  <c r="AL116" i="4" s="1"/>
  <c r="U116" i="4"/>
  <c r="J116" i="4"/>
  <c r="I116" i="4"/>
  <c r="H116" i="4"/>
  <c r="G116" i="4"/>
  <c r="F116" i="4"/>
  <c r="E116" i="4"/>
  <c r="D116" i="4"/>
  <c r="T116" i="4" s="1"/>
  <c r="C116" i="4"/>
  <c r="CX115" i="4"/>
  <c r="DF115" i="4" s="1"/>
  <c r="CW115" i="4"/>
  <c r="DE115" i="4" s="1"/>
  <c r="CV115" i="4"/>
  <c r="DD115" i="4" s="1"/>
  <c r="CU115" i="4"/>
  <c r="DC115" i="4" s="1"/>
  <c r="CT115" i="4"/>
  <c r="DB115" i="4" s="1"/>
  <c r="CS115" i="4"/>
  <c r="DA115" i="4" s="1"/>
  <c r="CR115" i="4"/>
  <c r="DH115" i="4" s="1"/>
  <c r="CQ115" i="4"/>
  <c r="CY115" i="4" s="1"/>
  <c r="CF115" i="4"/>
  <c r="CN115" i="4" s="1"/>
  <c r="CE115" i="4"/>
  <c r="CM115" i="4" s="1"/>
  <c r="CD115" i="4"/>
  <c r="CL115" i="4" s="1"/>
  <c r="CC115" i="4"/>
  <c r="CK115" i="4" s="1"/>
  <c r="CB115" i="4"/>
  <c r="CJ115" i="4" s="1"/>
  <c r="CA115" i="4"/>
  <c r="CI115" i="4" s="1"/>
  <c r="BZ115" i="4"/>
  <c r="CP115" i="4" s="1"/>
  <c r="BY115" i="4"/>
  <c r="CG115" i="4" s="1"/>
  <c r="BV115" i="4"/>
  <c r="BT115" i="4"/>
  <c r="BS115" i="4"/>
  <c r="BR115" i="4"/>
  <c r="BQ115" i="4"/>
  <c r="BP115" i="4"/>
  <c r="BO115" i="4"/>
  <c r="BN115" i="4"/>
  <c r="BM115" i="4"/>
  <c r="BU115" i="4" s="1"/>
  <c r="BD115" i="4"/>
  <c r="BB115" i="4"/>
  <c r="BA115" i="4"/>
  <c r="AZ115" i="4"/>
  <c r="AY115" i="4"/>
  <c r="AX115" i="4"/>
  <c r="AW115" i="4"/>
  <c r="AV115" i="4"/>
  <c r="AU115" i="4"/>
  <c r="BC115" i="4" s="1"/>
  <c r="AL115" i="4"/>
  <c r="AJ115" i="4"/>
  <c r="AI115" i="4"/>
  <c r="AH115" i="4"/>
  <c r="AG115" i="4"/>
  <c r="AF115" i="4"/>
  <c r="AE115" i="4"/>
  <c r="AD115" i="4"/>
  <c r="AC115" i="4"/>
  <c r="AK115" i="4" s="1"/>
  <c r="T115" i="4"/>
  <c r="R115" i="4"/>
  <c r="Q115" i="4"/>
  <c r="P115" i="4"/>
  <c r="O115" i="4"/>
  <c r="N115" i="4"/>
  <c r="M115" i="4"/>
  <c r="L115" i="4"/>
  <c r="K115" i="4"/>
  <c r="S115" i="4" s="1"/>
  <c r="CX114" i="4"/>
  <c r="DF114" i="4" s="1"/>
  <c r="CW114" i="4"/>
  <c r="DE114" i="4" s="1"/>
  <c r="CV114" i="4"/>
  <c r="DD114" i="4" s="1"/>
  <c r="CU114" i="4"/>
  <c r="DC114" i="4" s="1"/>
  <c r="CT114" i="4"/>
  <c r="DB114" i="4" s="1"/>
  <c r="CS114" i="4"/>
  <c r="DA114" i="4" s="1"/>
  <c r="CR114" i="4"/>
  <c r="DH114" i="4" s="1"/>
  <c r="CQ114" i="4"/>
  <c r="CY114" i="4" s="1"/>
  <c r="CF114" i="4"/>
  <c r="CN114" i="4" s="1"/>
  <c r="CE114" i="4"/>
  <c r="CM114" i="4" s="1"/>
  <c r="CD114" i="4"/>
  <c r="CL114" i="4" s="1"/>
  <c r="CC114" i="4"/>
  <c r="CK114" i="4" s="1"/>
  <c r="CB114" i="4"/>
  <c r="CJ114" i="4" s="1"/>
  <c r="CA114" i="4"/>
  <c r="CI114" i="4" s="1"/>
  <c r="BZ114" i="4"/>
  <c r="CP114" i="4" s="1"/>
  <c r="BY114" i="4"/>
  <c r="CG114" i="4" s="1"/>
  <c r="BV114" i="4"/>
  <c r="BT114" i="4"/>
  <c r="BS114" i="4"/>
  <c r="BR114" i="4"/>
  <c r="BQ114" i="4"/>
  <c r="BP114" i="4"/>
  <c r="BO114" i="4"/>
  <c r="BN114" i="4"/>
  <c r="BM114" i="4"/>
  <c r="BU114" i="4" s="1"/>
  <c r="BD114" i="4"/>
  <c r="BB114" i="4"/>
  <c r="BA114" i="4"/>
  <c r="AZ114" i="4"/>
  <c r="AY114" i="4"/>
  <c r="AX114" i="4"/>
  <c r="AW114" i="4"/>
  <c r="AV114" i="4"/>
  <c r="AU114" i="4"/>
  <c r="BC114" i="4" s="1"/>
  <c r="AL114" i="4"/>
  <c r="AJ114" i="4"/>
  <c r="AI114" i="4"/>
  <c r="AH114" i="4"/>
  <c r="AG114" i="4"/>
  <c r="AF114" i="4"/>
  <c r="AE114" i="4"/>
  <c r="AD114" i="4"/>
  <c r="AC114" i="4"/>
  <c r="AK114" i="4" s="1"/>
  <c r="T114" i="4"/>
  <c r="R114" i="4"/>
  <c r="Q114" i="4"/>
  <c r="P114" i="4"/>
  <c r="O114" i="4"/>
  <c r="N114" i="4"/>
  <c r="M114" i="4"/>
  <c r="L114" i="4"/>
  <c r="K114" i="4"/>
  <c r="S114" i="4" s="1"/>
  <c r="CX113" i="4"/>
  <c r="DF113" i="4" s="1"/>
  <c r="CW113" i="4"/>
  <c r="DE113" i="4" s="1"/>
  <c r="CV113" i="4"/>
  <c r="DD113" i="4" s="1"/>
  <c r="CU113" i="4"/>
  <c r="DC113" i="4" s="1"/>
  <c r="CT113" i="4"/>
  <c r="DB113" i="4" s="1"/>
  <c r="CS113" i="4"/>
  <c r="DA113" i="4" s="1"/>
  <c r="CR113" i="4"/>
  <c r="DH113" i="4" s="1"/>
  <c r="CQ113" i="4"/>
  <c r="CY113" i="4" s="1"/>
  <c r="CF113" i="4"/>
  <c r="CN113" i="4" s="1"/>
  <c r="CE113" i="4"/>
  <c r="CM113" i="4" s="1"/>
  <c r="CD113" i="4"/>
  <c r="CL113" i="4" s="1"/>
  <c r="CC113" i="4"/>
  <c r="CK113" i="4" s="1"/>
  <c r="CB113" i="4"/>
  <c r="CJ113" i="4" s="1"/>
  <c r="CA113" i="4"/>
  <c r="CI113" i="4" s="1"/>
  <c r="BZ113" i="4"/>
  <c r="CP113" i="4" s="1"/>
  <c r="BY113" i="4"/>
  <c r="CG113" i="4" s="1"/>
  <c r="BV113" i="4"/>
  <c r="BT113" i="4"/>
  <c r="BS113" i="4"/>
  <c r="BR113" i="4"/>
  <c r="BQ113" i="4"/>
  <c r="BP113" i="4"/>
  <c r="BO113" i="4"/>
  <c r="BN113" i="4"/>
  <c r="BM113" i="4"/>
  <c r="BU113" i="4" s="1"/>
  <c r="BD113" i="4"/>
  <c r="BB113" i="4"/>
  <c r="BA113" i="4"/>
  <c r="AZ113" i="4"/>
  <c r="AY113" i="4"/>
  <c r="AX113" i="4"/>
  <c r="AW113" i="4"/>
  <c r="AV113" i="4"/>
  <c r="AU113" i="4"/>
  <c r="BC113" i="4" s="1"/>
  <c r="AL113" i="4"/>
  <c r="AJ113" i="4"/>
  <c r="AI113" i="4"/>
  <c r="AH113" i="4"/>
  <c r="AG113" i="4"/>
  <c r="AF113" i="4"/>
  <c r="AE113" i="4"/>
  <c r="AD113" i="4"/>
  <c r="AC113" i="4"/>
  <c r="AK113" i="4" s="1"/>
  <c r="T113" i="4"/>
  <c r="R113" i="4"/>
  <c r="Q113" i="4"/>
  <c r="P113" i="4"/>
  <c r="O113" i="4"/>
  <c r="N113" i="4"/>
  <c r="M113" i="4"/>
  <c r="L113" i="4"/>
  <c r="K113" i="4"/>
  <c r="S113" i="4" s="1"/>
  <c r="CX112" i="4"/>
  <c r="CX116" i="4" s="1"/>
  <c r="CW112" i="4"/>
  <c r="CW116" i="4" s="1"/>
  <c r="CV112" i="4"/>
  <c r="CV116" i="4" s="1"/>
  <c r="CU112" i="4"/>
  <c r="CU116" i="4" s="1"/>
  <c r="CT112" i="4"/>
  <c r="CT116" i="4" s="1"/>
  <c r="CS112" i="4"/>
  <c r="CS116" i="4" s="1"/>
  <c r="CR112" i="4"/>
  <c r="CR116" i="4" s="1"/>
  <c r="CQ112" i="4"/>
  <c r="CQ116" i="4" s="1"/>
  <c r="CF112" i="4"/>
  <c r="CF116" i="4" s="1"/>
  <c r="CE112" i="4"/>
  <c r="CE116" i="4" s="1"/>
  <c r="CD112" i="4"/>
  <c r="CD116" i="4" s="1"/>
  <c r="CC112" i="4"/>
  <c r="CC116" i="4" s="1"/>
  <c r="CB112" i="4"/>
  <c r="CB116" i="4" s="1"/>
  <c r="CA112" i="4"/>
  <c r="CA116" i="4" s="1"/>
  <c r="BZ112" i="4"/>
  <c r="BZ116" i="4" s="1"/>
  <c r="BY112" i="4"/>
  <c r="BY116" i="4" s="1"/>
  <c r="BV112" i="4"/>
  <c r="BT112" i="4"/>
  <c r="BT116" i="4" s="1"/>
  <c r="BS112" i="4"/>
  <c r="BS116" i="4" s="1"/>
  <c r="BR112" i="4"/>
  <c r="BR116" i="4" s="1"/>
  <c r="BQ112" i="4"/>
  <c r="BQ116" i="4" s="1"/>
  <c r="BP112" i="4"/>
  <c r="BP116" i="4" s="1"/>
  <c r="BO112" i="4"/>
  <c r="BO116" i="4" s="1"/>
  <c r="BN112" i="4"/>
  <c r="BN116" i="4" s="1"/>
  <c r="BM112" i="4"/>
  <c r="BM116" i="4" s="1"/>
  <c r="BU116" i="4" s="1"/>
  <c r="BD112" i="4"/>
  <c r="BB112" i="4"/>
  <c r="BB116" i="4" s="1"/>
  <c r="BA112" i="4"/>
  <c r="BA116" i="4" s="1"/>
  <c r="AZ112" i="4"/>
  <c r="AZ116" i="4" s="1"/>
  <c r="AY112" i="4"/>
  <c r="AY116" i="4" s="1"/>
  <c r="AX112" i="4"/>
  <c r="AX116" i="4" s="1"/>
  <c r="AW112" i="4"/>
  <c r="AW116" i="4" s="1"/>
  <c r="AV112" i="4"/>
  <c r="AV116" i="4" s="1"/>
  <c r="AU112" i="4"/>
  <c r="AU116" i="4" s="1"/>
  <c r="AL112" i="4"/>
  <c r="AJ112" i="4"/>
  <c r="AJ116" i="4" s="1"/>
  <c r="AI112" i="4"/>
  <c r="AI116" i="4" s="1"/>
  <c r="AH112" i="4"/>
  <c r="AH116" i="4" s="1"/>
  <c r="AG112" i="4"/>
  <c r="AG116" i="4" s="1"/>
  <c r="AF112" i="4"/>
  <c r="AF116" i="4" s="1"/>
  <c r="AE112" i="4"/>
  <c r="AE116" i="4" s="1"/>
  <c r="AD112" i="4"/>
  <c r="AD116" i="4" s="1"/>
  <c r="AC112" i="4"/>
  <c r="AC116" i="4" s="1"/>
  <c r="AK116" i="4" s="1"/>
  <c r="T112" i="4"/>
  <c r="R112" i="4"/>
  <c r="R116" i="4" s="1"/>
  <c r="Q112" i="4"/>
  <c r="Q116" i="4" s="1"/>
  <c r="P112" i="4"/>
  <c r="P116" i="4" s="1"/>
  <c r="O112" i="4"/>
  <c r="O116" i="4" s="1"/>
  <c r="N112" i="4"/>
  <c r="N116" i="4" s="1"/>
  <c r="M112" i="4"/>
  <c r="M116" i="4" s="1"/>
  <c r="L112" i="4"/>
  <c r="L116" i="4" s="1"/>
  <c r="K112" i="4"/>
  <c r="K116" i="4" s="1"/>
  <c r="BL111" i="4"/>
  <c r="BK111" i="4"/>
  <c r="BJ111" i="4"/>
  <c r="BI111" i="4"/>
  <c r="BH111" i="4"/>
  <c r="BG111" i="4"/>
  <c r="BF111" i="4"/>
  <c r="BV111" i="4" s="1"/>
  <c r="BE111" i="4"/>
  <c r="AT111" i="4"/>
  <c r="AS111" i="4"/>
  <c r="AR111" i="4"/>
  <c r="AQ111" i="4"/>
  <c r="AP111" i="4"/>
  <c r="AO111" i="4"/>
  <c r="AN111" i="4"/>
  <c r="BD111" i="4" s="1"/>
  <c r="AM111" i="4"/>
  <c r="AB111" i="4"/>
  <c r="AA111" i="4"/>
  <c r="Z111" i="4"/>
  <c r="Y111" i="4"/>
  <c r="X111" i="4"/>
  <c r="W111" i="4"/>
  <c r="V111" i="4"/>
  <c r="AL111" i="4" s="1"/>
  <c r="U111" i="4"/>
  <c r="J111" i="4"/>
  <c r="I111" i="4"/>
  <c r="H111" i="4"/>
  <c r="G111" i="4"/>
  <c r="F111" i="4"/>
  <c r="E111" i="4"/>
  <c r="D111" i="4"/>
  <c r="T111" i="4" s="1"/>
  <c r="C111" i="4"/>
  <c r="CX110" i="4"/>
  <c r="DF110" i="4" s="1"/>
  <c r="CW110" i="4"/>
  <c r="DE110" i="4" s="1"/>
  <c r="CV110" i="4"/>
  <c r="DD110" i="4" s="1"/>
  <c r="CU110" i="4"/>
  <c r="DC110" i="4" s="1"/>
  <c r="CT110" i="4"/>
  <c r="DB110" i="4" s="1"/>
  <c r="CS110" i="4"/>
  <c r="DA110" i="4" s="1"/>
  <c r="CR110" i="4"/>
  <c r="DH110" i="4" s="1"/>
  <c r="CQ110" i="4"/>
  <c r="CY110" i="4" s="1"/>
  <c r="CF110" i="4"/>
  <c r="CN110" i="4" s="1"/>
  <c r="CE110" i="4"/>
  <c r="CM110" i="4" s="1"/>
  <c r="CD110" i="4"/>
  <c r="CL110" i="4" s="1"/>
  <c r="CC110" i="4"/>
  <c r="CK110" i="4" s="1"/>
  <c r="CB110" i="4"/>
  <c r="CJ110" i="4" s="1"/>
  <c r="CA110" i="4"/>
  <c r="CI110" i="4" s="1"/>
  <c r="BZ110" i="4"/>
  <c r="CP110" i="4" s="1"/>
  <c r="BY110" i="4"/>
  <c r="CG110" i="4" s="1"/>
  <c r="BV110" i="4"/>
  <c r="BT110" i="4"/>
  <c r="BS110" i="4"/>
  <c r="BR110" i="4"/>
  <c r="BQ110" i="4"/>
  <c r="BP110" i="4"/>
  <c r="BO110" i="4"/>
  <c r="BN110" i="4"/>
  <c r="BM110" i="4"/>
  <c r="BU110" i="4" s="1"/>
  <c r="BD110" i="4"/>
  <c r="BB110" i="4"/>
  <c r="BA110" i="4"/>
  <c r="AZ110" i="4"/>
  <c r="AY110" i="4"/>
  <c r="AX110" i="4"/>
  <c r="AW110" i="4"/>
  <c r="AV110" i="4"/>
  <c r="AU110" i="4"/>
  <c r="BC110" i="4" s="1"/>
  <c r="AL110" i="4"/>
  <c r="AJ110" i="4"/>
  <c r="AI110" i="4"/>
  <c r="AH110" i="4"/>
  <c r="AG110" i="4"/>
  <c r="AF110" i="4"/>
  <c r="AE110" i="4"/>
  <c r="AD110" i="4"/>
  <c r="AC110" i="4"/>
  <c r="AK110" i="4" s="1"/>
  <c r="T110" i="4"/>
  <c r="R110" i="4"/>
  <c r="Q110" i="4"/>
  <c r="P110" i="4"/>
  <c r="O110" i="4"/>
  <c r="N110" i="4"/>
  <c r="M110" i="4"/>
  <c r="L110" i="4"/>
  <c r="K110" i="4"/>
  <c r="S110" i="4" s="1"/>
  <c r="CX109" i="4"/>
  <c r="DF109" i="4" s="1"/>
  <c r="CW109" i="4"/>
  <c r="DE109" i="4" s="1"/>
  <c r="CV109" i="4"/>
  <c r="DD109" i="4" s="1"/>
  <c r="CU109" i="4"/>
  <c r="DC109" i="4" s="1"/>
  <c r="CT109" i="4"/>
  <c r="DB109" i="4" s="1"/>
  <c r="CS109" i="4"/>
  <c r="DA109" i="4" s="1"/>
  <c r="CR109" i="4"/>
  <c r="DH109" i="4" s="1"/>
  <c r="CQ109" i="4"/>
  <c r="CY109" i="4" s="1"/>
  <c r="CF109" i="4"/>
  <c r="CN109" i="4" s="1"/>
  <c r="CE109" i="4"/>
  <c r="CM109" i="4" s="1"/>
  <c r="CD109" i="4"/>
  <c r="CL109" i="4" s="1"/>
  <c r="CC109" i="4"/>
  <c r="CK109" i="4" s="1"/>
  <c r="CB109" i="4"/>
  <c r="CJ109" i="4" s="1"/>
  <c r="CA109" i="4"/>
  <c r="CI109" i="4" s="1"/>
  <c r="BZ109" i="4"/>
  <c r="CP109" i="4" s="1"/>
  <c r="BY109" i="4"/>
  <c r="CG109" i="4" s="1"/>
  <c r="BV109" i="4"/>
  <c r="BT109" i="4"/>
  <c r="BS109" i="4"/>
  <c r="BR109" i="4"/>
  <c r="BQ109" i="4"/>
  <c r="BP109" i="4"/>
  <c r="BO109" i="4"/>
  <c r="BN109" i="4"/>
  <c r="BM109" i="4"/>
  <c r="BU109" i="4" s="1"/>
  <c r="BD109" i="4"/>
  <c r="BB109" i="4"/>
  <c r="BA109" i="4"/>
  <c r="AZ109" i="4"/>
  <c r="AY109" i="4"/>
  <c r="AX109" i="4"/>
  <c r="AW109" i="4"/>
  <c r="AV109" i="4"/>
  <c r="AU109" i="4"/>
  <c r="BC109" i="4" s="1"/>
  <c r="AL109" i="4"/>
  <c r="AJ109" i="4"/>
  <c r="AI109" i="4"/>
  <c r="AH109" i="4"/>
  <c r="AG109" i="4"/>
  <c r="AF109" i="4"/>
  <c r="AE109" i="4"/>
  <c r="AD109" i="4"/>
  <c r="AC109" i="4"/>
  <c r="AK109" i="4" s="1"/>
  <c r="T109" i="4"/>
  <c r="R109" i="4"/>
  <c r="Q109" i="4"/>
  <c r="P109" i="4"/>
  <c r="O109" i="4"/>
  <c r="N109" i="4"/>
  <c r="M109" i="4"/>
  <c r="L109" i="4"/>
  <c r="K109" i="4"/>
  <c r="S109" i="4" s="1"/>
  <c r="CX108" i="4"/>
  <c r="DF108" i="4" s="1"/>
  <c r="CW108" i="4"/>
  <c r="DE108" i="4" s="1"/>
  <c r="CV108" i="4"/>
  <c r="DD108" i="4" s="1"/>
  <c r="CU108" i="4"/>
  <c r="DC108" i="4" s="1"/>
  <c r="CT108" i="4"/>
  <c r="DB108" i="4" s="1"/>
  <c r="CS108" i="4"/>
  <c r="DA108" i="4" s="1"/>
  <c r="CR108" i="4"/>
  <c r="DH108" i="4" s="1"/>
  <c r="CQ108" i="4"/>
  <c r="CY108" i="4" s="1"/>
  <c r="CF108" i="4"/>
  <c r="CN108" i="4" s="1"/>
  <c r="CE108" i="4"/>
  <c r="CM108" i="4" s="1"/>
  <c r="CD108" i="4"/>
  <c r="CL108" i="4" s="1"/>
  <c r="CC108" i="4"/>
  <c r="CK108" i="4" s="1"/>
  <c r="CB108" i="4"/>
  <c r="CJ108" i="4" s="1"/>
  <c r="CA108" i="4"/>
  <c r="CI108" i="4" s="1"/>
  <c r="BZ108" i="4"/>
  <c r="CP108" i="4" s="1"/>
  <c r="BY108" i="4"/>
  <c r="CG108" i="4" s="1"/>
  <c r="BV108" i="4"/>
  <c r="BT108" i="4"/>
  <c r="BS108" i="4"/>
  <c r="BR108" i="4"/>
  <c r="BQ108" i="4"/>
  <c r="BP108" i="4"/>
  <c r="BO108" i="4"/>
  <c r="BN108" i="4"/>
  <c r="BM108" i="4"/>
  <c r="BU108" i="4" s="1"/>
  <c r="BD108" i="4"/>
  <c r="BB108" i="4"/>
  <c r="BA108" i="4"/>
  <c r="AZ108" i="4"/>
  <c r="AY108" i="4"/>
  <c r="AX108" i="4"/>
  <c r="AW108" i="4"/>
  <c r="AV108" i="4"/>
  <c r="AU108" i="4"/>
  <c r="BC108" i="4" s="1"/>
  <c r="AL108" i="4"/>
  <c r="AJ108" i="4"/>
  <c r="AI108" i="4"/>
  <c r="AH108" i="4"/>
  <c r="AG108" i="4"/>
  <c r="AF108" i="4"/>
  <c r="AE108" i="4"/>
  <c r="AD108" i="4"/>
  <c r="AC108" i="4"/>
  <c r="AK108" i="4" s="1"/>
  <c r="T108" i="4"/>
  <c r="R108" i="4"/>
  <c r="Q108" i="4"/>
  <c r="P108" i="4"/>
  <c r="O108" i="4"/>
  <c r="N108" i="4"/>
  <c r="M108" i="4"/>
  <c r="L108" i="4"/>
  <c r="K108" i="4"/>
  <c r="S108" i="4" s="1"/>
  <c r="CX107" i="4"/>
  <c r="CX111" i="4" s="1"/>
  <c r="CW107" i="4"/>
  <c r="CW111" i="4" s="1"/>
  <c r="CV107" i="4"/>
  <c r="CV111" i="4" s="1"/>
  <c r="CU107" i="4"/>
  <c r="CU111" i="4" s="1"/>
  <c r="CT107" i="4"/>
  <c r="CT111" i="4" s="1"/>
  <c r="CS107" i="4"/>
  <c r="CS111" i="4" s="1"/>
  <c r="CR107" i="4"/>
  <c r="CR111" i="4" s="1"/>
  <c r="CQ107" i="4"/>
  <c r="CQ111" i="4" s="1"/>
  <c r="CF107" i="4"/>
  <c r="CF111" i="4" s="1"/>
  <c r="CE107" i="4"/>
  <c r="CE111" i="4" s="1"/>
  <c r="CD107" i="4"/>
  <c r="CD111" i="4" s="1"/>
  <c r="CC107" i="4"/>
  <c r="CC111" i="4" s="1"/>
  <c r="CB107" i="4"/>
  <c r="CB111" i="4" s="1"/>
  <c r="CA107" i="4"/>
  <c r="CA111" i="4" s="1"/>
  <c r="BZ107" i="4"/>
  <c r="BZ111" i="4" s="1"/>
  <c r="BY107" i="4"/>
  <c r="BY111" i="4" s="1"/>
  <c r="BV107" i="4"/>
  <c r="BT107" i="4"/>
  <c r="BT111" i="4" s="1"/>
  <c r="BS107" i="4"/>
  <c r="BS111" i="4" s="1"/>
  <c r="BR107" i="4"/>
  <c r="BR111" i="4" s="1"/>
  <c r="BQ107" i="4"/>
  <c r="BQ111" i="4" s="1"/>
  <c r="BP107" i="4"/>
  <c r="BP111" i="4" s="1"/>
  <c r="BO107" i="4"/>
  <c r="BO111" i="4" s="1"/>
  <c r="BN107" i="4"/>
  <c r="BN111" i="4" s="1"/>
  <c r="BM107" i="4"/>
  <c r="BM111" i="4" s="1"/>
  <c r="BU111" i="4" s="1"/>
  <c r="BD107" i="4"/>
  <c r="BB107" i="4"/>
  <c r="BB111" i="4" s="1"/>
  <c r="BA107" i="4"/>
  <c r="BA111" i="4" s="1"/>
  <c r="AZ107" i="4"/>
  <c r="AZ111" i="4" s="1"/>
  <c r="AY107" i="4"/>
  <c r="AY111" i="4" s="1"/>
  <c r="AX107" i="4"/>
  <c r="AX111" i="4" s="1"/>
  <c r="AW107" i="4"/>
  <c r="AW111" i="4" s="1"/>
  <c r="AV107" i="4"/>
  <c r="AV111" i="4" s="1"/>
  <c r="AU107" i="4"/>
  <c r="AU111" i="4" s="1"/>
  <c r="AL107" i="4"/>
  <c r="AJ107" i="4"/>
  <c r="AJ111" i="4" s="1"/>
  <c r="AI107" i="4"/>
  <c r="AI111" i="4" s="1"/>
  <c r="AH107" i="4"/>
  <c r="AH111" i="4" s="1"/>
  <c r="AG107" i="4"/>
  <c r="AG111" i="4" s="1"/>
  <c r="AF107" i="4"/>
  <c r="AF111" i="4" s="1"/>
  <c r="AE107" i="4"/>
  <c r="AE111" i="4" s="1"/>
  <c r="AD107" i="4"/>
  <c r="AD111" i="4" s="1"/>
  <c r="AC107" i="4"/>
  <c r="AC111" i="4" s="1"/>
  <c r="AK111" i="4" s="1"/>
  <c r="T107" i="4"/>
  <c r="R107" i="4"/>
  <c r="R111" i="4" s="1"/>
  <c r="Q107" i="4"/>
  <c r="Q111" i="4" s="1"/>
  <c r="P107" i="4"/>
  <c r="P111" i="4" s="1"/>
  <c r="O107" i="4"/>
  <c r="O111" i="4" s="1"/>
  <c r="N107" i="4"/>
  <c r="N111" i="4" s="1"/>
  <c r="M107" i="4"/>
  <c r="M111" i="4" s="1"/>
  <c r="L107" i="4"/>
  <c r="L111" i="4" s="1"/>
  <c r="K107" i="4"/>
  <c r="K111" i="4" s="1"/>
  <c r="BL106" i="4"/>
  <c r="BK106" i="4"/>
  <c r="BJ106" i="4"/>
  <c r="BI106" i="4"/>
  <c r="BH106" i="4"/>
  <c r="BG106" i="4"/>
  <c r="BF106" i="4"/>
  <c r="BV106" i="4" s="1"/>
  <c r="BE106" i="4"/>
  <c r="AT106" i="4"/>
  <c r="AS106" i="4"/>
  <c r="AR106" i="4"/>
  <c r="AQ106" i="4"/>
  <c r="AP106" i="4"/>
  <c r="AO106" i="4"/>
  <c r="AN106" i="4"/>
  <c r="BD106" i="4" s="1"/>
  <c r="AM106" i="4"/>
  <c r="AB106" i="4"/>
  <c r="AA106" i="4"/>
  <c r="Z106" i="4"/>
  <c r="Y106" i="4"/>
  <c r="X106" i="4"/>
  <c r="W106" i="4"/>
  <c r="V106" i="4"/>
  <c r="AL106" i="4" s="1"/>
  <c r="U106" i="4"/>
  <c r="J106" i="4"/>
  <c r="I106" i="4"/>
  <c r="H106" i="4"/>
  <c r="G106" i="4"/>
  <c r="F106" i="4"/>
  <c r="E106" i="4"/>
  <c r="D106" i="4"/>
  <c r="T106" i="4" s="1"/>
  <c r="C106" i="4"/>
  <c r="CX105" i="4"/>
  <c r="DF105" i="4" s="1"/>
  <c r="CW105" i="4"/>
  <c r="DE105" i="4" s="1"/>
  <c r="CV105" i="4"/>
  <c r="DD105" i="4" s="1"/>
  <c r="CU105" i="4"/>
  <c r="DC105" i="4" s="1"/>
  <c r="CT105" i="4"/>
  <c r="DB105" i="4" s="1"/>
  <c r="CS105" i="4"/>
  <c r="DA105" i="4" s="1"/>
  <c r="CR105" i="4"/>
  <c r="DH105" i="4" s="1"/>
  <c r="CQ105" i="4"/>
  <c r="CY105" i="4" s="1"/>
  <c r="CF105" i="4"/>
  <c r="CN105" i="4" s="1"/>
  <c r="CE105" i="4"/>
  <c r="CM105" i="4" s="1"/>
  <c r="CD105" i="4"/>
  <c r="CL105" i="4" s="1"/>
  <c r="CC105" i="4"/>
  <c r="CK105" i="4" s="1"/>
  <c r="CB105" i="4"/>
  <c r="CJ105" i="4" s="1"/>
  <c r="CA105" i="4"/>
  <c r="CI105" i="4" s="1"/>
  <c r="BZ105" i="4"/>
  <c r="CP105" i="4" s="1"/>
  <c r="BY105" i="4"/>
  <c r="CG105" i="4" s="1"/>
  <c r="BV105" i="4"/>
  <c r="BT105" i="4"/>
  <c r="BS105" i="4"/>
  <c r="BR105" i="4"/>
  <c r="BQ105" i="4"/>
  <c r="BP105" i="4"/>
  <c r="BO105" i="4"/>
  <c r="BN105" i="4"/>
  <c r="BM105" i="4"/>
  <c r="BU105" i="4" s="1"/>
  <c r="BD105" i="4"/>
  <c r="BB105" i="4"/>
  <c r="BA105" i="4"/>
  <c r="AZ105" i="4"/>
  <c r="AY105" i="4"/>
  <c r="AX105" i="4"/>
  <c r="AW105" i="4"/>
  <c r="AV105" i="4"/>
  <c r="AU105" i="4"/>
  <c r="BC105" i="4" s="1"/>
  <c r="AL105" i="4"/>
  <c r="AJ105" i="4"/>
  <c r="AI105" i="4"/>
  <c r="AH105" i="4"/>
  <c r="AG105" i="4"/>
  <c r="AF105" i="4"/>
  <c r="AE105" i="4"/>
  <c r="AD105" i="4"/>
  <c r="AC105" i="4"/>
  <c r="AK105" i="4" s="1"/>
  <c r="T105" i="4"/>
  <c r="R105" i="4"/>
  <c r="Q105" i="4"/>
  <c r="P105" i="4"/>
  <c r="O105" i="4"/>
  <c r="N105" i="4"/>
  <c r="M105" i="4"/>
  <c r="L105" i="4"/>
  <c r="K105" i="4"/>
  <c r="S105" i="4" s="1"/>
  <c r="CX104" i="4"/>
  <c r="DF104" i="4" s="1"/>
  <c r="CW104" i="4"/>
  <c r="DE104" i="4" s="1"/>
  <c r="CV104" i="4"/>
  <c r="DD104" i="4" s="1"/>
  <c r="CU104" i="4"/>
  <c r="DC104" i="4" s="1"/>
  <c r="CT104" i="4"/>
  <c r="DB104" i="4" s="1"/>
  <c r="CS104" i="4"/>
  <c r="DA104" i="4" s="1"/>
  <c r="CR104" i="4"/>
  <c r="DH104" i="4" s="1"/>
  <c r="CQ104" i="4"/>
  <c r="CY104" i="4" s="1"/>
  <c r="CF104" i="4"/>
  <c r="CN104" i="4" s="1"/>
  <c r="CE104" i="4"/>
  <c r="CM104" i="4" s="1"/>
  <c r="CD104" i="4"/>
  <c r="CL104" i="4" s="1"/>
  <c r="CC104" i="4"/>
  <c r="CK104" i="4" s="1"/>
  <c r="CB104" i="4"/>
  <c r="CJ104" i="4" s="1"/>
  <c r="CA104" i="4"/>
  <c r="CI104" i="4" s="1"/>
  <c r="BZ104" i="4"/>
  <c r="CP104" i="4" s="1"/>
  <c r="BY104" i="4"/>
  <c r="CG104" i="4" s="1"/>
  <c r="BV104" i="4"/>
  <c r="BT104" i="4"/>
  <c r="BS104" i="4"/>
  <c r="BR104" i="4"/>
  <c r="BQ104" i="4"/>
  <c r="BP104" i="4"/>
  <c r="BO104" i="4"/>
  <c r="BN104" i="4"/>
  <c r="BM104" i="4"/>
  <c r="BU104" i="4" s="1"/>
  <c r="BD104" i="4"/>
  <c r="BB104" i="4"/>
  <c r="BA104" i="4"/>
  <c r="AZ104" i="4"/>
  <c r="AY104" i="4"/>
  <c r="AX104" i="4"/>
  <c r="AW104" i="4"/>
  <c r="AV104" i="4"/>
  <c r="AU104" i="4"/>
  <c r="BC104" i="4" s="1"/>
  <c r="AL104" i="4"/>
  <c r="AJ104" i="4"/>
  <c r="AI104" i="4"/>
  <c r="AH104" i="4"/>
  <c r="AG104" i="4"/>
  <c r="AF104" i="4"/>
  <c r="AE104" i="4"/>
  <c r="AD104" i="4"/>
  <c r="AC104" i="4"/>
  <c r="AK104" i="4" s="1"/>
  <c r="T104" i="4"/>
  <c r="R104" i="4"/>
  <c r="Q104" i="4"/>
  <c r="P104" i="4"/>
  <c r="O104" i="4"/>
  <c r="N104" i="4"/>
  <c r="M104" i="4"/>
  <c r="L104" i="4"/>
  <c r="K104" i="4"/>
  <c r="S104" i="4" s="1"/>
  <c r="CX103" i="4"/>
  <c r="DF103" i="4" s="1"/>
  <c r="CW103" i="4"/>
  <c r="DE103" i="4" s="1"/>
  <c r="CV103" i="4"/>
  <c r="DD103" i="4" s="1"/>
  <c r="CU103" i="4"/>
  <c r="DC103" i="4" s="1"/>
  <c r="CT103" i="4"/>
  <c r="DB103" i="4" s="1"/>
  <c r="CS103" i="4"/>
  <c r="DA103" i="4" s="1"/>
  <c r="CR103" i="4"/>
  <c r="DH103" i="4" s="1"/>
  <c r="CQ103" i="4"/>
  <c r="CY103" i="4" s="1"/>
  <c r="CF103" i="4"/>
  <c r="CN103" i="4" s="1"/>
  <c r="CE103" i="4"/>
  <c r="CM103" i="4" s="1"/>
  <c r="CD103" i="4"/>
  <c r="CL103" i="4" s="1"/>
  <c r="CC103" i="4"/>
  <c r="CK103" i="4" s="1"/>
  <c r="CB103" i="4"/>
  <c r="CJ103" i="4" s="1"/>
  <c r="CA103" i="4"/>
  <c r="CI103" i="4" s="1"/>
  <c r="BZ103" i="4"/>
  <c r="CP103" i="4" s="1"/>
  <c r="BY103" i="4"/>
  <c r="CG103" i="4" s="1"/>
  <c r="BV103" i="4"/>
  <c r="BT103" i="4"/>
  <c r="BS103" i="4"/>
  <c r="BR103" i="4"/>
  <c r="BQ103" i="4"/>
  <c r="BP103" i="4"/>
  <c r="BO103" i="4"/>
  <c r="BN103" i="4"/>
  <c r="BM103" i="4"/>
  <c r="BU103" i="4" s="1"/>
  <c r="BD103" i="4"/>
  <c r="BB103" i="4"/>
  <c r="BA103" i="4"/>
  <c r="AZ103" i="4"/>
  <c r="AY103" i="4"/>
  <c r="AX103" i="4"/>
  <c r="AW103" i="4"/>
  <c r="AV103" i="4"/>
  <c r="AU103" i="4"/>
  <c r="BC103" i="4" s="1"/>
  <c r="AL103" i="4"/>
  <c r="AJ103" i="4"/>
  <c r="AI103" i="4"/>
  <c r="AH103" i="4"/>
  <c r="AG103" i="4"/>
  <c r="AF103" i="4"/>
  <c r="AE103" i="4"/>
  <c r="AD103" i="4"/>
  <c r="AC103" i="4"/>
  <c r="AK103" i="4" s="1"/>
  <c r="T103" i="4"/>
  <c r="R103" i="4"/>
  <c r="Q103" i="4"/>
  <c r="P103" i="4"/>
  <c r="O103" i="4"/>
  <c r="N103" i="4"/>
  <c r="M103" i="4"/>
  <c r="L103" i="4"/>
  <c r="K103" i="4"/>
  <c r="S103" i="4" s="1"/>
  <c r="CX102" i="4"/>
  <c r="CX106" i="4" s="1"/>
  <c r="CW102" i="4"/>
  <c r="CW106" i="4" s="1"/>
  <c r="CV102" i="4"/>
  <c r="CV106" i="4" s="1"/>
  <c r="CU102" i="4"/>
  <c r="CU106" i="4" s="1"/>
  <c r="CT102" i="4"/>
  <c r="CT106" i="4" s="1"/>
  <c r="CS102" i="4"/>
  <c r="CS106" i="4" s="1"/>
  <c r="CR102" i="4"/>
  <c r="CR106" i="4" s="1"/>
  <c r="CQ102" i="4"/>
  <c r="CQ106" i="4" s="1"/>
  <c r="CF102" i="4"/>
  <c r="CF106" i="4" s="1"/>
  <c r="CE102" i="4"/>
  <c r="CE106" i="4" s="1"/>
  <c r="CD102" i="4"/>
  <c r="CD106" i="4" s="1"/>
  <c r="CC102" i="4"/>
  <c r="CC106" i="4" s="1"/>
  <c r="CB102" i="4"/>
  <c r="CB106" i="4" s="1"/>
  <c r="CA102" i="4"/>
  <c r="CA106" i="4" s="1"/>
  <c r="BZ102" i="4"/>
  <c r="BZ106" i="4" s="1"/>
  <c r="BY102" i="4"/>
  <c r="BY106" i="4" s="1"/>
  <c r="BV102" i="4"/>
  <c r="BT102" i="4"/>
  <c r="BT106" i="4" s="1"/>
  <c r="BS102" i="4"/>
  <c r="BS106" i="4" s="1"/>
  <c r="BR102" i="4"/>
  <c r="BR106" i="4" s="1"/>
  <c r="BQ102" i="4"/>
  <c r="BQ106" i="4" s="1"/>
  <c r="BP102" i="4"/>
  <c r="BP106" i="4" s="1"/>
  <c r="BO102" i="4"/>
  <c r="BO106" i="4" s="1"/>
  <c r="BN102" i="4"/>
  <c r="BN106" i="4" s="1"/>
  <c r="BM102" i="4"/>
  <c r="BM106" i="4" s="1"/>
  <c r="BU106" i="4" s="1"/>
  <c r="BD102" i="4"/>
  <c r="BB102" i="4"/>
  <c r="BB106" i="4" s="1"/>
  <c r="BA102" i="4"/>
  <c r="BA106" i="4" s="1"/>
  <c r="AZ102" i="4"/>
  <c r="AZ106" i="4" s="1"/>
  <c r="AY102" i="4"/>
  <c r="AY106" i="4" s="1"/>
  <c r="AX102" i="4"/>
  <c r="AX106" i="4" s="1"/>
  <c r="AW102" i="4"/>
  <c r="AW106" i="4" s="1"/>
  <c r="AV102" i="4"/>
  <c r="AV106" i="4" s="1"/>
  <c r="AU102" i="4"/>
  <c r="AU106" i="4" s="1"/>
  <c r="AL102" i="4"/>
  <c r="AJ102" i="4"/>
  <c r="AJ106" i="4" s="1"/>
  <c r="AI102" i="4"/>
  <c r="AI106" i="4" s="1"/>
  <c r="AH102" i="4"/>
  <c r="AH106" i="4" s="1"/>
  <c r="AG102" i="4"/>
  <c r="AG106" i="4" s="1"/>
  <c r="AF102" i="4"/>
  <c r="AF106" i="4" s="1"/>
  <c r="AE102" i="4"/>
  <c r="AE106" i="4" s="1"/>
  <c r="AD102" i="4"/>
  <c r="AD106" i="4" s="1"/>
  <c r="AC102" i="4"/>
  <c r="AC106" i="4" s="1"/>
  <c r="AK106" i="4" s="1"/>
  <c r="T102" i="4"/>
  <c r="R102" i="4"/>
  <c r="R106" i="4" s="1"/>
  <c r="Q102" i="4"/>
  <c r="Q106" i="4" s="1"/>
  <c r="P102" i="4"/>
  <c r="P106" i="4" s="1"/>
  <c r="O102" i="4"/>
  <c r="O106" i="4" s="1"/>
  <c r="N102" i="4"/>
  <c r="N106" i="4" s="1"/>
  <c r="M102" i="4"/>
  <c r="M106" i="4" s="1"/>
  <c r="L102" i="4"/>
  <c r="L106" i="4" s="1"/>
  <c r="K102" i="4"/>
  <c r="K106" i="4" s="1"/>
  <c r="BL101" i="4"/>
  <c r="BK101" i="4"/>
  <c r="BJ101" i="4"/>
  <c r="BI101" i="4"/>
  <c r="BH101" i="4"/>
  <c r="BG101" i="4"/>
  <c r="BF101" i="4"/>
  <c r="BV101" i="4" s="1"/>
  <c r="BE101" i="4"/>
  <c r="AT101" i="4"/>
  <c r="AS101" i="4"/>
  <c r="AR101" i="4"/>
  <c r="AQ101" i="4"/>
  <c r="AP101" i="4"/>
  <c r="AO101" i="4"/>
  <c r="AN101" i="4"/>
  <c r="BD101" i="4" s="1"/>
  <c r="AM101" i="4"/>
  <c r="AB101" i="4"/>
  <c r="AA101" i="4"/>
  <c r="Z101" i="4"/>
  <c r="Y101" i="4"/>
  <c r="X101" i="4"/>
  <c r="W101" i="4"/>
  <c r="V101" i="4"/>
  <c r="AL101" i="4" s="1"/>
  <c r="U101" i="4"/>
  <c r="J101" i="4"/>
  <c r="I101" i="4"/>
  <c r="H101" i="4"/>
  <c r="G101" i="4"/>
  <c r="F101" i="4"/>
  <c r="E101" i="4"/>
  <c r="D101" i="4"/>
  <c r="T101" i="4" s="1"/>
  <c r="C101" i="4"/>
  <c r="CX100" i="4"/>
  <c r="DF100" i="4" s="1"/>
  <c r="CW100" i="4"/>
  <c r="DE100" i="4" s="1"/>
  <c r="CV100" i="4"/>
  <c r="DD100" i="4" s="1"/>
  <c r="CU100" i="4"/>
  <c r="DC100" i="4" s="1"/>
  <c r="CT100" i="4"/>
  <c r="DB100" i="4" s="1"/>
  <c r="CS100" i="4"/>
  <c r="DA100" i="4" s="1"/>
  <c r="CR100" i="4"/>
  <c r="DH100" i="4" s="1"/>
  <c r="CQ100" i="4"/>
  <c r="CY100" i="4" s="1"/>
  <c r="CF100" i="4"/>
  <c r="CN100" i="4" s="1"/>
  <c r="CE100" i="4"/>
  <c r="CM100" i="4" s="1"/>
  <c r="CD100" i="4"/>
  <c r="CL100" i="4" s="1"/>
  <c r="CC100" i="4"/>
  <c r="CK100" i="4" s="1"/>
  <c r="CB100" i="4"/>
  <c r="CJ100" i="4" s="1"/>
  <c r="CA100" i="4"/>
  <c r="CI100" i="4" s="1"/>
  <c r="BZ100" i="4"/>
  <c r="CP100" i="4" s="1"/>
  <c r="BY100" i="4"/>
  <c r="CG100" i="4" s="1"/>
  <c r="BV100" i="4"/>
  <c r="BT100" i="4"/>
  <c r="BS100" i="4"/>
  <c r="BR100" i="4"/>
  <c r="BQ100" i="4"/>
  <c r="BP100" i="4"/>
  <c r="BO100" i="4"/>
  <c r="BN100" i="4"/>
  <c r="BM100" i="4"/>
  <c r="BU100" i="4" s="1"/>
  <c r="BD100" i="4"/>
  <c r="BB100" i="4"/>
  <c r="BA100" i="4"/>
  <c r="AZ100" i="4"/>
  <c r="AY100" i="4"/>
  <c r="AX100" i="4"/>
  <c r="AW100" i="4"/>
  <c r="AV100" i="4"/>
  <c r="AU100" i="4"/>
  <c r="BC100" i="4" s="1"/>
  <c r="AL100" i="4"/>
  <c r="AJ100" i="4"/>
  <c r="AI100" i="4"/>
  <c r="AH100" i="4"/>
  <c r="AG100" i="4"/>
  <c r="AF100" i="4"/>
  <c r="AE100" i="4"/>
  <c r="AD100" i="4"/>
  <c r="AC100" i="4"/>
  <c r="AK100" i="4" s="1"/>
  <c r="T100" i="4"/>
  <c r="R100" i="4"/>
  <c r="Q100" i="4"/>
  <c r="P100" i="4"/>
  <c r="O100" i="4"/>
  <c r="N100" i="4"/>
  <c r="M100" i="4"/>
  <c r="L100" i="4"/>
  <c r="K100" i="4"/>
  <c r="S100" i="4" s="1"/>
  <c r="CX99" i="4"/>
  <c r="DF99" i="4" s="1"/>
  <c r="CW99" i="4"/>
  <c r="DE99" i="4" s="1"/>
  <c r="CV99" i="4"/>
  <c r="DD99" i="4" s="1"/>
  <c r="CU99" i="4"/>
  <c r="DC99" i="4" s="1"/>
  <c r="CT99" i="4"/>
  <c r="DB99" i="4" s="1"/>
  <c r="CS99" i="4"/>
  <c r="DA99" i="4" s="1"/>
  <c r="CR99" i="4"/>
  <c r="DH99" i="4" s="1"/>
  <c r="CQ99" i="4"/>
  <c r="CY99" i="4" s="1"/>
  <c r="CF99" i="4"/>
  <c r="CN99" i="4" s="1"/>
  <c r="CE99" i="4"/>
  <c r="CM99" i="4" s="1"/>
  <c r="CD99" i="4"/>
  <c r="CL99" i="4" s="1"/>
  <c r="CC99" i="4"/>
  <c r="CK99" i="4" s="1"/>
  <c r="CB99" i="4"/>
  <c r="CJ99" i="4" s="1"/>
  <c r="CA99" i="4"/>
  <c r="CI99" i="4" s="1"/>
  <c r="BZ99" i="4"/>
  <c r="CP99" i="4" s="1"/>
  <c r="BY99" i="4"/>
  <c r="CG99" i="4" s="1"/>
  <c r="BV99" i="4"/>
  <c r="BT99" i="4"/>
  <c r="BS99" i="4"/>
  <c r="BR99" i="4"/>
  <c r="BQ99" i="4"/>
  <c r="BP99" i="4"/>
  <c r="BO99" i="4"/>
  <c r="BN99" i="4"/>
  <c r="BM99" i="4"/>
  <c r="BU99" i="4" s="1"/>
  <c r="BD99" i="4"/>
  <c r="BB99" i="4"/>
  <c r="BA99" i="4"/>
  <c r="AZ99" i="4"/>
  <c r="AY99" i="4"/>
  <c r="AX99" i="4"/>
  <c r="AW99" i="4"/>
  <c r="AV99" i="4"/>
  <c r="AU99" i="4"/>
  <c r="BC99" i="4" s="1"/>
  <c r="AL99" i="4"/>
  <c r="AJ99" i="4"/>
  <c r="AI99" i="4"/>
  <c r="AH99" i="4"/>
  <c r="AG99" i="4"/>
  <c r="AF99" i="4"/>
  <c r="AE99" i="4"/>
  <c r="AD99" i="4"/>
  <c r="AC99" i="4"/>
  <c r="AK99" i="4" s="1"/>
  <c r="T99" i="4"/>
  <c r="R99" i="4"/>
  <c r="Q99" i="4"/>
  <c r="P99" i="4"/>
  <c r="O99" i="4"/>
  <c r="N99" i="4"/>
  <c r="M99" i="4"/>
  <c r="L99" i="4"/>
  <c r="K99" i="4"/>
  <c r="S99" i="4" s="1"/>
  <c r="CX98" i="4"/>
  <c r="DF98" i="4" s="1"/>
  <c r="CW98" i="4"/>
  <c r="DE98" i="4" s="1"/>
  <c r="CV98" i="4"/>
  <c r="DD98" i="4" s="1"/>
  <c r="CU98" i="4"/>
  <c r="DC98" i="4" s="1"/>
  <c r="CT98" i="4"/>
  <c r="DB98" i="4" s="1"/>
  <c r="CS98" i="4"/>
  <c r="DA98" i="4" s="1"/>
  <c r="CR98" i="4"/>
  <c r="DH98" i="4" s="1"/>
  <c r="CQ98" i="4"/>
  <c r="CY98" i="4" s="1"/>
  <c r="CF98" i="4"/>
  <c r="CN98" i="4" s="1"/>
  <c r="CE98" i="4"/>
  <c r="CM98" i="4" s="1"/>
  <c r="CD98" i="4"/>
  <c r="CL98" i="4" s="1"/>
  <c r="CC98" i="4"/>
  <c r="CK98" i="4" s="1"/>
  <c r="CB98" i="4"/>
  <c r="CJ98" i="4" s="1"/>
  <c r="CA98" i="4"/>
  <c r="CI98" i="4" s="1"/>
  <c r="BZ98" i="4"/>
  <c r="CP98" i="4" s="1"/>
  <c r="BY98" i="4"/>
  <c r="CG98" i="4" s="1"/>
  <c r="BV98" i="4"/>
  <c r="BT98" i="4"/>
  <c r="BS98" i="4"/>
  <c r="BR98" i="4"/>
  <c r="BQ98" i="4"/>
  <c r="BP98" i="4"/>
  <c r="BO98" i="4"/>
  <c r="BN98" i="4"/>
  <c r="BM98" i="4"/>
  <c r="BU98" i="4" s="1"/>
  <c r="BD98" i="4"/>
  <c r="BB98" i="4"/>
  <c r="BA98" i="4"/>
  <c r="AZ98" i="4"/>
  <c r="AY98" i="4"/>
  <c r="AX98" i="4"/>
  <c r="AW98" i="4"/>
  <c r="AV98" i="4"/>
  <c r="AU98" i="4"/>
  <c r="BC98" i="4" s="1"/>
  <c r="AL98" i="4"/>
  <c r="AJ98" i="4"/>
  <c r="AI98" i="4"/>
  <c r="AH98" i="4"/>
  <c r="AG98" i="4"/>
  <c r="AF98" i="4"/>
  <c r="AE98" i="4"/>
  <c r="AD98" i="4"/>
  <c r="AC98" i="4"/>
  <c r="AK98" i="4" s="1"/>
  <c r="T98" i="4"/>
  <c r="R98" i="4"/>
  <c r="Q98" i="4"/>
  <c r="P98" i="4"/>
  <c r="O98" i="4"/>
  <c r="N98" i="4"/>
  <c r="M98" i="4"/>
  <c r="L98" i="4"/>
  <c r="K98" i="4"/>
  <c r="S98" i="4" s="1"/>
  <c r="CX97" i="4"/>
  <c r="CX101" i="4" s="1"/>
  <c r="CW97" i="4"/>
  <c r="CW101" i="4" s="1"/>
  <c r="CV97" i="4"/>
  <c r="CV101" i="4" s="1"/>
  <c r="CU97" i="4"/>
  <c r="CU101" i="4" s="1"/>
  <c r="CT97" i="4"/>
  <c r="CT101" i="4" s="1"/>
  <c r="CS97" i="4"/>
  <c r="CS101" i="4" s="1"/>
  <c r="CR97" i="4"/>
  <c r="CR101" i="4" s="1"/>
  <c r="CQ97" i="4"/>
  <c r="CQ101" i="4" s="1"/>
  <c r="CF97" i="4"/>
  <c r="CF101" i="4" s="1"/>
  <c r="CE97" i="4"/>
  <c r="CE101" i="4" s="1"/>
  <c r="CD97" i="4"/>
  <c r="CD101" i="4" s="1"/>
  <c r="CC97" i="4"/>
  <c r="CC101" i="4" s="1"/>
  <c r="CB97" i="4"/>
  <c r="CB101" i="4" s="1"/>
  <c r="CA97" i="4"/>
  <c r="CA101" i="4" s="1"/>
  <c r="BZ97" i="4"/>
  <c r="BZ101" i="4" s="1"/>
  <c r="BY97" i="4"/>
  <c r="BY101" i="4" s="1"/>
  <c r="BV97" i="4"/>
  <c r="BT97" i="4"/>
  <c r="BT101" i="4" s="1"/>
  <c r="BS97" i="4"/>
  <c r="BS101" i="4" s="1"/>
  <c r="BR97" i="4"/>
  <c r="BR101" i="4" s="1"/>
  <c r="BQ97" i="4"/>
  <c r="BQ101" i="4" s="1"/>
  <c r="BP97" i="4"/>
  <c r="BP101" i="4" s="1"/>
  <c r="BO97" i="4"/>
  <c r="BO101" i="4" s="1"/>
  <c r="BN97" i="4"/>
  <c r="BN101" i="4" s="1"/>
  <c r="BM97" i="4"/>
  <c r="BM101" i="4" s="1"/>
  <c r="BU101" i="4" s="1"/>
  <c r="BD97" i="4"/>
  <c r="BB97" i="4"/>
  <c r="BB101" i="4" s="1"/>
  <c r="BA97" i="4"/>
  <c r="BA101" i="4" s="1"/>
  <c r="AZ97" i="4"/>
  <c r="AZ101" i="4" s="1"/>
  <c r="AY97" i="4"/>
  <c r="AY101" i="4" s="1"/>
  <c r="AX97" i="4"/>
  <c r="AX101" i="4" s="1"/>
  <c r="AW97" i="4"/>
  <c r="AW101" i="4" s="1"/>
  <c r="AV97" i="4"/>
  <c r="AV101" i="4" s="1"/>
  <c r="AU97" i="4"/>
  <c r="AU101" i="4" s="1"/>
  <c r="AL97" i="4"/>
  <c r="AJ97" i="4"/>
  <c r="AJ101" i="4" s="1"/>
  <c r="AI97" i="4"/>
  <c r="AI101" i="4" s="1"/>
  <c r="AH97" i="4"/>
  <c r="AH101" i="4" s="1"/>
  <c r="AG97" i="4"/>
  <c r="AG101" i="4" s="1"/>
  <c r="AF97" i="4"/>
  <c r="AF101" i="4" s="1"/>
  <c r="AE97" i="4"/>
  <c r="AE101" i="4" s="1"/>
  <c r="AD97" i="4"/>
  <c r="AD101" i="4" s="1"/>
  <c r="AC97" i="4"/>
  <c r="AC101" i="4" s="1"/>
  <c r="AK101" i="4" s="1"/>
  <c r="T97" i="4"/>
  <c r="R97" i="4"/>
  <c r="R101" i="4" s="1"/>
  <c r="Q97" i="4"/>
  <c r="Q101" i="4" s="1"/>
  <c r="P97" i="4"/>
  <c r="P101" i="4" s="1"/>
  <c r="O97" i="4"/>
  <c r="O101" i="4" s="1"/>
  <c r="N97" i="4"/>
  <c r="N101" i="4" s="1"/>
  <c r="M97" i="4"/>
  <c r="M101" i="4" s="1"/>
  <c r="L97" i="4"/>
  <c r="L101" i="4" s="1"/>
  <c r="K97" i="4"/>
  <c r="K101" i="4" s="1"/>
  <c r="BL96" i="4"/>
  <c r="BK96" i="4"/>
  <c r="BJ96" i="4"/>
  <c r="BI96" i="4"/>
  <c r="BH96" i="4"/>
  <c r="BG96" i="4"/>
  <c r="BF96" i="4"/>
  <c r="BV96" i="4" s="1"/>
  <c r="BE96" i="4"/>
  <c r="AT96" i="4"/>
  <c r="AS96" i="4"/>
  <c r="AR96" i="4"/>
  <c r="AQ96" i="4"/>
  <c r="AP96" i="4"/>
  <c r="AO96" i="4"/>
  <c r="AN96" i="4"/>
  <c r="BD96" i="4" s="1"/>
  <c r="AM96" i="4"/>
  <c r="AB96" i="4"/>
  <c r="AA96" i="4"/>
  <c r="Z96" i="4"/>
  <c r="Y96" i="4"/>
  <c r="X96" i="4"/>
  <c r="W96" i="4"/>
  <c r="V96" i="4"/>
  <c r="AL96" i="4" s="1"/>
  <c r="U96" i="4"/>
  <c r="J96" i="4"/>
  <c r="I96" i="4"/>
  <c r="H96" i="4"/>
  <c r="G96" i="4"/>
  <c r="F96" i="4"/>
  <c r="E96" i="4"/>
  <c r="D96" i="4"/>
  <c r="T96" i="4" s="1"/>
  <c r="C96" i="4"/>
  <c r="CX95" i="4"/>
  <c r="DF95" i="4" s="1"/>
  <c r="CW95" i="4"/>
  <c r="DE95" i="4" s="1"/>
  <c r="CV95" i="4"/>
  <c r="DD95" i="4" s="1"/>
  <c r="CU95" i="4"/>
  <c r="DC95" i="4" s="1"/>
  <c r="CT95" i="4"/>
  <c r="DB95" i="4" s="1"/>
  <c r="CS95" i="4"/>
  <c r="DA95" i="4" s="1"/>
  <c r="CR95" i="4"/>
  <c r="DH95" i="4" s="1"/>
  <c r="CQ95" i="4"/>
  <c r="CY95" i="4" s="1"/>
  <c r="CF95" i="4"/>
  <c r="CN95" i="4" s="1"/>
  <c r="CE95" i="4"/>
  <c r="CM95" i="4" s="1"/>
  <c r="CD95" i="4"/>
  <c r="CL95" i="4" s="1"/>
  <c r="CC95" i="4"/>
  <c r="CK95" i="4" s="1"/>
  <c r="CB95" i="4"/>
  <c r="CJ95" i="4" s="1"/>
  <c r="CA95" i="4"/>
  <c r="CI95" i="4" s="1"/>
  <c r="BZ95" i="4"/>
  <c r="CP95" i="4" s="1"/>
  <c r="BY95" i="4"/>
  <c r="CG95" i="4" s="1"/>
  <c r="BV95" i="4"/>
  <c r="BT95" i="4"/>
  <c r="BS95" i="4"/>
  <c r="BR95" i="4"/>
  <c r="BQ95" i="4"/>
  <c r="BP95" i="4"/>
  <c r="BO95" i="4"/>
  <c r="BN95" i="4"/>
  <c r="BM95" i="4"/>
  <c r="BU95" i="4" s="1"/>
  <c r="BD95" i="4"/>
  <c r="BB95" i="4"/>
  <c r="BA95" i="4"/>
  <c r="AZ95" i="4"/>
  <c r="AY95" i="4"/>
  <c r="AX95" i="4"/>
  <c r="AW95" i="4"/>
  <c r="AV95" i="4"/>
  <c r="AU95" i="4"/>
  <c r="BC95" i="4" s="1"/>
  <c r="AL95" i="4"/>
  <c r="AJ95" i="4"/>
  <c r="AI95" i="4"/>
  <c r="AH95" i="4"/>
  <c r="AG95" i="4"/>
  <c r="AF95" i="4"/>
  <c r="AE95" i="4"/>
  <c r="AD95" i="4"/>
  <c r="AC95" i="4"/>
  <c r="AK95" i="4" s="1"/>
  <c r="T95" i="4"/>
  <c r="R95" i="4"/>
  <c r="Q95" i="4"/>
  <c r="P95" i="4"/>
  <c r="O95" i="4"/>
  <c r="N95" i="4"/>
  <c r="M95" i="4"/>
  <c r="L95" i="4"/>
  <c r="K95" i="4"/>
  <c r="S95" i="4" s="1"/>
  <c r="CX94" i="4"/>
  <c r="DF94" i="4" s="1"/>
  <c r="CW94" i="4"/>
  <c r="DE94" i="4" s="1"/>
  <c r="CV94" i="4"/>
  <c r="DD94" i="4" s="1"/>
  <c r="CU94" i="4"/>
  <c r="DC94" i="4" s="1"/>
  <c r="CT94" i="4"/>
  <c r="DB94" i="4" s="1"/>
  <c r="CS94" i="4"/>
  <c r="DA94" i="4" s="1"/>
  <c r="CR94" i="4"/>
  <c r="DH94" i="4" s="1"/>
  <c r="CQ94" i="4"/>
  <c r="CY94" i="4" s="1"/>
  <c r="CF94" i="4"/>
  <c r="CN94" i="4" s="1"/>
  <c r="CE94" i="4"/>
  <c r="CM94" i="4" s="1"/>
  <c r="CD94" i="4"/>
  <c r="CL94" i="4" s="1"/>
  <c r="CC94" i="4"/>
  <c r="CK94" i="4" s="1"/>
  <c r="CB94" i="4"/>
  <c r="CJ94" i="4" s="1"/>
  <c r="CA94" i="4"/>
  <c r="CI94" i="4" s="1"/>
  <c r="BZ94" i="4"/>
  <c r="CP94" i="4" s="1"/>
  <c r="BY94" i="4"/>
  <c r="CG94" i="4" s="1"/>
  <c r="BV94" i="4"/>
  <c r="BT94" i="4"/>
  <c r="BS94" i="4"/>
  <c r="BR94" i="4"/>
  <c r="BQ94" i="4"/>
  <c r="BP94" i="4"/>
  <c r="BO94" i="4"/>
  <c r="BN94" i="4"/>
  <c r="BM94" i="4"/>
  <c r="BU94" i="4" s="1"/>
  <c r="BD94" i="4"/>
  <c r="BB94" i="4"/>
  <c r="BA94" i="4"/>
  <c r="AZ94" i="4"/>
  <c r="AY94" i="4"/>
  <c r="AX94" i="4"/>
  <c r="AW94" i="4"/>
  <c r="AV94" i="4"/>
  <c r="AU94" i="4"/>
  <c r="BC94" i="4" s="1"/>
  <c r="AL94" i="4"/>
  <c r="AJ94" i="4"/>
  <c r="AI94" i="4"/>
  <c r="AH94" i="4"/>
  <c r="AG94" i="4"/>
  <c r="AF94" i="4"/>
  <c r="AE94" i="4"/>
  <c r="AD94" i="4"/>
  <c r="AC94" i="4"/>
  <c r="AK94" i="4" s="1"/>
  <c r="T94" i="4"/>
  <c r="R94" i="4"/>
  <c r="Q94" i="4"/>
  <c r="P94" i="4"/>
  <c r="O94" i="4"/>
  <c r="N94" i="4"/>
  <c r="M94" i="4"/>
  <c r="L94" i="4"/>
  <c r="K94" i="4"/>
  <c r="S94" i="4" s="1"/>
  <c r="CX93" i="4"/>
  <c r="DF93" i="4" s="1"/>
  <c r="CW93" i="4"/>
  <c r="DE93" i="4" s="1"/>
  <c r="CV93" i="4"/>
  <c r="DD93" i="4" s="1"/>
  <c r="CU93" i="4"/>
  <c r="DC93" i="4" s="1"/>
  <c r="CT93" i="4"/>
  <c r="DB93" i="4" s="1"/>
  <c r="CS93" i="4"/>
  <c r="DA93" i="4" s="1"/>
  <c r="CR93" i="4"/>
  <c r="DH93" i="4" s="1"/>
  <c r="CQ93" i="4"/>
  <c r="CY93" i="4" s="1"/>
  <c r="CF93" i="4"/>
  <c r="CN93" i="4" s="1"/>
  <c r="CE93" i="4"/>
  <c r="CM93" i="4" s="1"/>
  <c r="CD93" i="4"/>
  <c r="CL93" i="4" s="1"/>
  <c r="CC93" i="4"/>
  <c r="CK93" i="4" s="1"/>
  <c r="CB93" i="4"/>
  <c r="CJ93" i="4" s="1"/>
  <c r="CA93" i="4"/>
  <c r="CI93" i="4" s="1"/>
  <c r="BZ93" i="4"/>
  <c r="CP93" i="4" s="1"/>
  <c r="BY93" i="4"/>
  <c r="CG93" i="4" s="1"/>
  <c r="BV93" i="4"/>
  <c r="BT93" i="4"/>
  <c r="BS93" i="4"/>
  <c r="BR93" i="4"/>
  <c r="BQ93" i="4"/>
  <c r="BP93" i="4"/>
  <c r="BO93" i="4"/>
  <c r="BN93" i="4"/>
  <c r="BM93" i="4"/>
  <c r="BU93" i="4" s="1"/>
  <c r="BD93" i="4"/>
  <c r="BB93" i="4"/>
  <c r="BA93" i="4"/>
  <c r="AZ93" i="4"/>
  <c r="AY93" i="4"/>
  <c r="AX93" i="4"/>
  <c r="AW93" i="4"/>
  <c r="AV93" i="4"/>
  <c r="AU93" i="4"/>
  <c r="BC93" i="4" s="1"/>
  <c r="AL93" i="4"/>
  <c r="AJ93" i="4"/>
  <c r="AI93" i="4"/>
  <c r="AH93" i="4"/>
  <c r="AG93" i="4"/>
  <c r="AF93" i="4"/>
  <c r="AE93" i="4"/>
  <c r="AD93" i="4"/>
  <c r="AC93" i="4"/>
  <c r="AK93" i="4" s="1"/>
  <c r="T93" i="4"/>
  <c r="R93" i="4"/>
  <c r="Q93" i="4"/>
  <c r="P93" i="4"/>
  <c r="O93" i="4"/>
  <c r="N93" i="4"/>
  <c r="M93" i="4"/>
  <c r="L93" i="4"/>
  <c r="K93" i="4"/>
  <c r="S93" i="4" s="1"/>
  <c r="CX92" i="4"/>
  <c r="CX96" i="4" s="1"/>
  <c r="CW92" i="4"/>
  <c r="CW96" i="4" s="1"/>
  <c r="CV92" i="4"/>
  <c r="CV96" i="4" s="1"/>
  <c r="CU92" i="4"/>
  <c r="CU96" i="4" s="1"/>
  <c r="CT92" i="4"/>
  <c r="CT96" i="4" s="1"/>
  <c r="CS92" i="4"/>
  <c r="CS96" i="4" s="1"/>
  <c r="CR92" i="4"/>
  <c r="CR96" i="4" s="1"/>
  <c r="CQ92" i="4"/>
  <c r="CQ96" i="4" s="1"/>
  <c r="CF92" i="4"/>
  <c r="CF96" i="4" s="1"/>
  <c r="CE92" i="4"/>
  <c r="CE96" i="4" s="1"/>
  <c r="CD92" i="4"/>
  <c r="CD96" i="4" s="1"/>
  <c r="CC92" i="4"/>
  <c r="CC96" i="4" s="1"/>
  <c r="CB92" i="4"/>
  <c r="CB96" i="4" s="1"/>
  <c r="CA92" i="4"/>
  <c r="CA96" i="4" s="1"/>
  <c r="BZ92" i="4"/>
  <c r="BZ96" i="4" s="1"/>
  <c r="BY92" i="4"/>
  <c r="BY96" i="4" s="1"/>
  <c r="BV92" i="4"/>
  <c r="BT92" i="4"/>
  <c r="BT96" i="4" s="1"/>
  <c r="BS92" i="4"/>
  <c r="BS96" i="4" s="1"/>
  <c r="BR92" i="4"/>
  <c r="BR96" i="4" s="1"/>
  <c r="BQ92" i="4"/>
  <c r="BQ96" i="4" s="1"/>
  <c r="BP92" i="4"/>
  <c r="BP96" i="4" s="1"/>
  <c r="BO92" i="4"/>
  <c r="BO96" i="4" s="1"/>
  <c r="BN92" i="4"/>
  <c r="BN96" i="4" s="1"/>
  <c r="BM92" i="4"/>
  <c r="BM96" i="4" s="1"/>
  <c r="BU96" i="4" s="1"/>
  <c r="BD92" i="4"/>
  <c r="BB92" i="4"/>
  <c r="BB96" i="4" s="1"/>
  <c r="BA92" i="4"/>
  <c r="BA96" i="4" s="1"/>
  <c r="AZ92" i="4"/>
  <c r="AZ96" i="4" s="1"/>
  <c r="AY92" i="4"/>
  <c r="AY96" i="4" s="1"/>
  <c r="AX92" i="4"/>
  <c r="AX96" i="4" s="1"/>
  <c r="AW92" i="4"/>
  <c r="AW96" i="4" s="1"/>
  <c r="AV92" i="4"/>
  <c r="AV96" i="4" s="1"/>
  <c r="AU92" i="4"/>
  <c r="AU96" i="4" s="1"/>
  <c r="AL92" i="4"/>
  <c r="AJ92" i="4"/>
  <c r="AJ96" i="4" s="1"/>
  <c r="AI92" i="4"/>
  <c r="AI96" i="4" s="1"/>
  <c r="AH92" i="4"/>
  <c r="AH96" i="4" s="1"/>
  <c r="AG92" i="4"/>
  <c r="AG96" i="4" s="1"/>
  <c r="AF92" i="4"/>
  <c r="AF96" i="4" s="1"/>
  <c r="AE92" i="4"/>
  <c r="AE96" i="4" s="1"/>
  <c r="AD92" i="4"/>
  <c r="AD96" i="4" s="1"/>
  <c r="AC92" i="4"/>
  <c r="AC96" i="4" s="1"/>
  <c r="AK96" i="4" s="1"/>
  <c r="T92" i="4"/>
  <c r="R92" i="4"/>
  <c r="R96" i="4" s="1"/>
  <c r="Q92" i="4"/>
  <c r="Q96" i="4" s="1"/>
  <c r="P92" i="4"/>
  <c r="P96" i="4" s="1"/>
  <c r="O92" i="4"/>
  <c r="O96" i="4" s="1"/>
  <c r="N92" i="4"/>
  <c r="N96" i="4" s="1"/>
  <c r="M92" i="4"/>
  <c r="M96" i="4" s="1"/>
  <c r="L92" i="4"/>
  <c r="L96" i="4" s="1"/>
  <c r="K92" i="4"/>
  <c r="K96" i="4" s="1"/>
  <c r="BL91" i="4"/>
  <c r="BK91" i="4"/>
  <c r="BJ91" i="4"/>
  <c r="BI91" i="4"/>
  <c r="BH91" i="4"/>
  <c r="BG91" i="4"/>
  <c r="BF91" i="4"/>
  <c r="BV91" i="4" s="1"/>
  <c r="BE91" i="4"/>
  <c r="AT91" i="4"/>
  <c r="AS91" i="4"/>
  <c r="AR91" i="4"/>
  <c r="AQ91" i="4"/>
  <c r="AP91" i="4"/>
  <c r="AO91" i="4"/>
  <c r="AN91" i="4"/>
  <c r="BD91" i="4" s="1"/>
  <c r="AM91" i="4"/>
  <c r="AB91" i="4"/>
  <c r="AA91" i="4"/>
  <c r="Z91" i="4"/>
  <c r="Y91" i="4"/>
  <c r="X91" i="4"/>
  <c r="W91" i="4"/>
  <c r="V91" i="4"/>
  <c r="AL91" i="4" s="1"/>
  <c r="U91" i="4"/>
  <c r="J91" i="4"/>
  <c r="I91" i="4"/>
  <c r="H91" i="4"/>
  <c r="G91" i="4"/>
  <c r="F91" i="4"/>
  <c r="E91" i="4"/>
  <c r="D91" i="4"/>
  <c r="T91" i="4" s="1"/>
  <c r="C91" i="4"/>
  <c r="CX90" i="4"/>
  <c r="DF90" i="4" s="1"/>
  <c r="CW90" i="4"/>
  <c r="DE90" i="4" s="1"/>
  <c r="CV90" i="4"/>
  <c r="DD90" i="4" s="1"/>
  <c r="CU90" i="4"/>
  <c r="DC90" i="4" s="1"/>
  <c r="CT90" i="4"/>
  <c r="DB90" i="4" s="1"/>
  <c r="CS90" i="4"/>
  <c r="DA90" i="4" s="1"/>
  <c r="CR90" i="4"/>
  <c r="DH90" i="4" s="1"/>
  <c r="CQ90" i="4"/>
  <c r="CY90" i="4" s="1"/>
  <c r="CF90" i="4"/>
  <c r="CN90" i="4" s="1"/>
  <c r="CE90" i="4"/>
  <c r="CM90" i="4" s="1"/>
  <c r="CD90" i="4"/>
  <c r="CL90" i="4" s="1"/>
  <c r="CC90" i="4"/>
  <c r="CK90" i="4" s="1"/>
  <c r="CB90" i="4"/>
  <c r="CJ90" i="4" s="1"/>
  <c r="CA90" i="4"/>
  <c r="CI90" i="4" s="1"/>
  <c r="BZ90" i="4"/>
  <c r="CP90" i="4" s="1"/>
  <c r="BY90" i="4"/>
  <c r="CG90" i="4" s="1"/>
  <c r="BV90" i="4"/>
  <c r="BT90" i="4"/>
  <c r="BS90" i="4"/>
  <c r="BR90" i="4"/>
  <c r="BQ90" i="4"/>
  <c r="BP90" i="4"/>
  <c r="BO90" i="4"/>
  <c r="BN90" i="4"/>
  <c r="BM90" i="4"/>
  <c r="BU90" i="4" s="1"/>
  <c r="BD90" i="4"/>
  <c r="BB90" i="4"/>
  <c r="BA90" i="4"/>
  <c r="AZ90" i="4"/>
  <c r="AY90" i="4"/>
  <c r="AX90" i="4"/>
  <c r="AW90" i="4"/>
  <c r="AV90" i="4"/>
  <c r="AU90" i="4"/>
  <c r="BC90" i="4" s="1"/>
  <c r="AL90" i="4"/>
  <c r="AJ90" i="4"/>
  <c r="AI90" i="4"/>
  <c r="AH90" i="4"/>
  <c r="AG90" i="4"/>
  <c r="AF90" i="4"/>
  <c r="AE90" i="4"/>
  <c r="AD90" i="4"/>
  <c r="AC90" i="4"/>
  <c r="AK90" i="4" s="1"/>
  <c r="T90" i="4"/>
  <c r="R90" i="4"/>
  <c r="Q90" i="4"/>
  <c r="P90" i="4"/>
  <c r="O90" i="4"/>
  <c r="N90" i="4"/>
  <c r="M90" i="4"/>
  <c r="L90" i="4"/>
  <c r="K90" i="4"/>
  <c r="S90" i="4" s="1"/>
  <c r="CX89" i="4"/>
  <c r="DF89" i="4" s="1"/>
  <c r="CW89" i="4"/>
  <c r="DE89" i="4" s="1"/>
  <c r="CV89" i="4"/>
  <c r="DD89" i="4" s="1"/>
  <c r="CU89" i="4"/>
  <c r="DC89" i="4" s="1"/>
  <c r="CT89" i="4"/>
  <c r="DB89" i="4" s="1"/>
  <c r="CS89" i="4"/>
  <c r="DA89" i="4" s="1"/>
  <c r="CR89" i="4"/>
  <c r="DH89" i="4" s="1"/>
  <c r="CQ89" i="4"/>
  <c r="CY89" i="4" s="1"/>
  <c r="CF89" i="4"/>
  <c r="CN89" i="4" s="1"/>
  <c r="CE89" i="4"/>
  <c r="CM89" i="4" s="1"/>
  <c r="CD89" i="4"/>
  <c r="CL89" i="4" s="1"/>
  <c r="CC89" i="4"/>
  <c r="CK89" i="4" s="1"/>
  <c r="CB89" i="4"/>
  <c r="CJ89" i="4" s="1"/>
  <c r="CA89" i="4"/>
  <c r="CI89" i="4" s="1"/>
  <c r="BZ89" i="4"/>
  <c r="CP89" i="4" s="1"/>
  <c r="BY89" i="4"/>
  <c r="CG89" i="4" s="1"/>
  <c r="BV89" i="4"/>
  <c r="BT89" i="4"/>
  <c r="BS89" i="4"/>
  <c r="BR89" i="4"/>
  <c r="BQ89" i="4"/>
  <c r="BP89" i="4"/>
  <c r="BO89" i="4"/>
  <c r="BN89" i="4"/>
  <c r="BM89" i="4"/>
  <c r="BU89" i="4" s="1"/>
  <c r="BD89" i="4"/>
  <c r="BB89" i="4"/>
  <c r="BA89" i="4"/>
  <c r="AZ89" i="4"/>
  <c r="AY89" i="4"/>
  <c r="AX89" i="4"/>
  <c r="AW89" i="4"/>
  <c r="AV89" i="4"/>
  <c r="AU89" i="4"/>
  <c r="BC89" i="4" s="1"/>
  <c r="AL89" i="4"/>
  <c r="AJ89" i="4"/>
  <c r="AI89" i="4"/>
  <c r="AH89" i="4"/>
  <c r="AG89" i="4"/>
  <c r="AF89" i="4"/>
  <c r="AE89" i="4"/>
  <c r="AD89" i="4"/>
  <c r="AC89" i="4"/>
  <c r="AK89" i="4" s="1"/>
  <c r="T89" i="4"/>
  <c r="R89" i="4"/>
  <c r="Q89" i="4"/>
  <c r="P89" i="4"/>
  <c r="O89" i="4"/>
  <c r="N89" i="4"/>
  <c r="M89" i="4"/>
  <c r="L89" i="4"/>
  <c r="K89" i="4"/>
  <c r="S89" i="4" s="1"/>
  <c r="CX88" i="4"/>
  <c r="DF88" i="4" s="1"/>
  <c r="CW88" i="4"/>
  <c r="DE88" i="4" s="1"/>
  <c r="CV88" i="4"/>
  <c r="DD88" i="4" s="1"/>
  <c r="CU88" i="4"/>
  <c r="DC88" i="4" s="1"/>
  <c r="CT88" i="4"/>
  <c r="DB88" i="4" s="1"/>
  <c r="CS88" i="4"/>
  <c r="DA88" i="4" s="1"/>
  <c r="CR88" i="4"/>
  <c r="DH88" i="4" s="1"/>
  <c r="CQ88" i="4"/>
  <c r="CY88" i="4" s="1"/>
  <c r="CF88" i="4"/>
  <c r="CN88" i="4" s="1"/>
  <c r="CE88" i="4"/>
  <c r="CM88" i="4" s="1"/>
  <c r="CD88" i="4"/>
  <c r="CL88" i="4" s="1"/>
  <c r="CC88" i="4"/>
  <c r="CK88" i="4" s="1"/>
  <c r="CB88" i="4"/>
  <c r="CJ88" i="4" s="1"/>
  <c r="CA88" i="4"/>
  <c r="CI88" i="4" s="1"/>
  <c r="BZ88" i="4"/>
  <c r="CP88" i="4" s="1"/>
  <c r="BY88" i="4"/>
  <c r="CG88" i="4" s="1"/>
  <c r="BV88" i="4"/>
  <c r="BT88" i="4"/>
  <c r="BS88" i="4"/>
  <c r="BR88" i="4"/>
  <c r="BQ88" i="4"/>
  <c r="BP88" i="4"/>
  <c r="BO88" i="4"/>
  <c r="BN88" i="4"/>
  <c r="BM88" i="4"/>
  <c r="BU88" i="4" s="1"/>
  <c r="BD88" i="4"/>
  <c r="BB88" i="4"/>
  <c r="BA88" i="4"/>
  <c r="AZ88" i="4"/>
  <c r="AY88" i="4"/>
  <c r="AX88" i="4"/>
  <c r="AW88" i="4"/>
  <c r="AV88" i="4"/>
  <c r="AU88" i="4"/>
  <c r="BC88" i="4" s="1"/>
  <c r="AL88" i="4"/>
  <c r="AJ88" i="4"/>
  <c r="AI88" i="4"/>
  <c r="AH88" i="4"/>
  <c r="AG88" i="4"/>
  <c r="AF88" i="4"/>
  <c r="AE88" i="4"/>
  <c r="AD88" i="4"/>
  <c r="AC88" i="4"/>
  <c r="AK88" i="4" s="1"/>
  <c r="T88" i="4"/>
  <c r="R88" i="4"/>
  <c r="Q88" i="4"/>
  <c r="P88" i="4"/>
  <c r="O88" i="4"/>
  <c r="N88" i="4"/>
  <c r="M88" i="4"/>
  <c r="L88" i="4"/>
  <c r="K88" i="4"/>
  <c r="S88" i="4" s="1"/>
  <c r="CX87" i="4"/>
  <c r="CX91" i="4" s="1"/>
  <c r="CW87" i="4"/>
  <c r="CW91" i="4" s="1"/>
  <c r="CV87" i="4"/>
  <c r="CV91" i="4" s="1"/>
  <c r="CU87" i="4"/>
  <c r="CU91" i="4" s="1"/>
  <c r="CT87" i="4"/>
  <c r="CT91" i="4" s="1"/>
  <c r="CS87" i="4"/>
  <c r="CS91" i="4" s="1"/>
  <c r="CR87" i="4"/>
  <c r="CR91" i="4" s="1"/>
  <c r="CQ87" i="4"/>
  <c r="CQ91" i="4" s="1"/>
  <c r="CF87" i="4"/>
  <c r="CF91" i="4" s="1"/>
  <c r="CE87" i="4"/>
  <c r="CE91" i="4" s="1"/>
  <c r="CD87" i="4"/>
  <c r="CD91" i="4" s="1"/>
  <c r="CC87" i="4"/>
  <c r="CC91" i="4" s="1"/>
  <c r="CB87" i="4"/>
  <c r="CB91" i="4" s="1"/>
  <c r="CA87" i="4"/>
  <c r="CA91" i="4" s="1"/>
  <c r="BZ87" i="4"/>
  <c r="BZ91" i="4" s="1"/>
  <c r="BY87" i="4"/>
  <c r="BY91" i="4" s="1"/>
  <c r="BV87" i="4"/>
  <c r="BT87" i="4"/>
  <c r="BT91" i="4" s="1"/>
  <c r="BS87" i="4"/>
  <c r="BS91" i="4" s="1"/>
  <c r="BR87" i="4"/>
  <c r="BR91" i="4" s="1"/>
  <c r="BQ87" i="4"/>
  <c r="BQ91" i="4" s="1"/>
  <c r="BP87" i="4"/>
  <c r="BP91" i="4" s="1"/>
  <c r="BO87" i="4"/>
  <c r="BO91" i="4" s="1"/>
  <c r="BN87" i="4"/>
  <c r="BN91" i="4" s="1"/>
  <c r="BM87" i="4"/>
  <c r="BM91" i="4" s="1"/>
  <c r="BU91" i="4" s="1"/>
  <c r="BD87" i="4"/>
  <c r="BB87" i="4"/>
  <c r="BB91" i="4" s="1"/>
  <c r="BA87" i="4"/>
  <c r="BA91" i="4" s="1"/>
  <c r="AZ87" i="4"/>
  <c r="AZ91" i="4" s="1"/>
  <c r="AY87" i="4"/>
  <c r="AY91" i="4" s="1"/>
  <c r="AX87" i="4"/>
  <c r="AX91" i="4" s="1"/>
  <c r="AW87" i="4"/>
  <c r="AW91" i="4" s="1"/>
  <c r="AV87" i="4"/>
  <c r="AV91" i="4" s="1"/>
  <c r="AU87" i="4"/>
  <c r="AU91" i="4" s="1"/>
  <c r="AL87" i="4"/>
  <c r="AJ87" i="4"/>
  <c r="AJ91" i="4" s="1"/>
  <c r="AI87" i="4"/>
  <c r="AI91" i="4" s="1"/>
  <c r="AH87" i="4"/>
  <c r="AH91" i="4" s="1"/>
  <c r="AG87" i="4"/>
  <c r="AG91" i="4" s="1"/>
  <c r="AF87" i="4"/>
  <c r="AF91" i="4" s="1"/>
  <c r="AE87" i="4"/>
  <c r="AE91" i="4" s="1"/>
  <c r="AD87" i="4"/>
  <c r="AD91" i="4" s="1"/>
  <c r="AC87" i="4"/>
  <c r="AC91" i="4" s="1"/>
  <c r="AK91" i="4" s="1"/>
  <c r="T87" i="4"/>
  <c r="R87" i="4"/>
  <c r="R91" i="4" s="1"/>
  <c r="Q87" i="4"/>
  <c r="Q91" i="4" s="1"/>
  <c r="P87" i="4"/>
  <c r="P91" i="4" s="1"/>
  <c r="O87" i="4"/>
  <c r="O91" i="4" s="1"/>
  <c r="N87" i="4"/>
  <c r="N91" i="4" s="1"/>
  <c r="M87" i="4"/>
  <c r="M91" i="4" s="1"/>
  <c r="L87" i="4"/>
  <c r="L91" i="4" s="1"/>
  <c r="K87" i="4"/>
  <c r="K91" i="4" s="1"/>
  <c r="BL86" i="4"/>
  <c r="BK86" i="4"/>
  <c r="BJ86" i="4"/>
  <c r="BI86" i="4"/>
  <c r="BH86" i="4"/>
  <c r="BG86" i="4"/>
  <c r="BF86" i="4"/>
  <c r="BV86" i="4" s="1"/>
  <c r="BE86" i="4"/>
  <c r="AT86" i="4"/>
  <c r="AS86" i="4"/>
  <c r="AR86" i="4"/>
  <c r="AQ86" i="4"/>
  <c r="AP86" i="4"/>
  <c r="AO86" i="4"/>
  <c r="AN86" i="4"/>
  <c r="BD86" i="4" s="1"/>
  <c r="AM86" i="4"/>
  <c r="AB86" i="4"/>
  <c r="AA86" i="4"/>
  <c r="Z86" i="4"/>
  <c r="Y86" i="4"/>
  <c r="X86" i="4"/>
  <c r="W86" i="4"/>
  <c r="V86" i="4"/>
  <c r="AL86" i="4" s="1"/>
  <c r="U86" i="4"/>
  <c r="J86" i="4"/>
  <c r="I86" i="4"/>
  <c r="H86" i="4"/>
  <c r="G86" i="4"/>
  <c r="F86" i="4"/>
  <c r="E86" i="4"/>
  <c r="D86" i="4"/>
  <c r="T86" i="4" s="1"/>
  <c r="C86" i="4"/>
  <c r="CX85" i="4"/>
  <c r="DF85" i="4" s="1"/>
  <c r="CW85" i="4"/>
  <c r="DE85" i="4" s="1"/>
  <c r="CV85" i="4"/>
  <c r="DD85" i="4" s="1"/>
  <c r="CU85" i="4"/>
  <c r="DC85" i="4" s="1"/>
  <c r="CT85" i="4"/>
  <c r="DB85" i="4" s="1"/>
  <c r="CS85" i="4"/>
  <c r="DA85" i="4" s="1"/>
  <c r="CR85" i="4"/>
  <c r="DH85" i="4" s="1"/>
  <c r="CQ85" i="4"/>
  <c r="CY85" i="4" s="1"/>
  <c r="CF85" i="4"/>
  <c r="CN85" i="4" s="1"/>
  <c r="CE85" i="4"/>
  <c r="CM85" i="4" s="1"/>
  <c r="CD85" i="4"/>
  <c r="CL85" i="4" s="1"/>
  <c r="CC85" i="4"/>
  <c r="CK85" i="4" s="1"/>
  <c r="CB85" i="4"/>
  <c r="CJ85" i="4" s="1"/>
  <c r="CA85" i="4"/>
  <c r="CI85" i="4" s="1"/>
  <c r="BZ85" i="4"/>
  <c r="CP85" i="4" s="1"/>
  <c r="BY85" i="4"/>
  <c r="CG85" i="4" s="1"/>
  <c r="BV85" i="4"/>
  <c r="BT85" i="4"/>
  <c r="BS85" i="4"/>
  <c r="BR85" i="4"/>
  <c r="BQ85" i="4"/>
  <c r="BP85" i="4"/>
  <c r="BO85" i="4"/>
  <c r="BN85" i="4"/>
  <c r="BM85" i="4"/>
  <c r="BU85" i="4" s="1"/>
  <c r="BD85" i="4"/>
  <c r="BB85" i="4"/>
  <c r="BA85" i="4"/>
  <c r="AZ85" i="4"/>
  <c r="AY85" i="4"/>
  <c r="AX85" i="4"/>
  <c r="AW85" i="4"/>
  <c r="AV85" i="4"/>
  <c r="AU85" i="4"/>
  <c r="BC85" i="4" s="1"/>
  <c r="AL85" i="4"/>
  <c r="AJ85" i="4"/>
  <c r="AI85" i="4"/>
  <c r="AH85" i="4"/>
  <c r="AG85" i="4"/>
  <c r="AF85" i="4"/>
  <c r="AE85" i="4"/>
  <c r="AD85" i="4"/>
  <c r="AC85" i="4"/>
  <c r="AK85" i="4" s="1"/>
  <c r="T85" i="4"/>
  <c r="R85" i="4"/>
  <c r="Q85" i="4"/>
  <c r="P85" i="4"/>
  <c r="O85" i="4"/>
  <c r="N85" i="4"/>
  <c r="M85" i="4"/>
  <c r="L85" i="4"/>
  <c r="K85" i="4"/>
  <c r="S85" i="4" s="1"/>
  <c r="CX84" i="4"/>
  <c r="DF84" i="4" s="1"/>
  <c r="CW84" i="4"/>
  <c r="DE84" i="4" s="1"/>
  <c r="CV84" i="4"/>
  <c r="DD84" i="4" s="1"/>
  <c r="CU84" i="4"/>
  <c r="DC84" i="4" s="1"/>
  <c r="CT84" i="4"/>
  <c r="DB84" i="4" s="1"/>
  <c r="CS84" i="4"/>
  <c r="DA84" i="4" s="1"/>
  <c r="CR84" i="4"/>
  <c r="DH84" i="4" s="1"/>
  <c r="CQ84" i="4"/>
  <c r="CY84" i="4" s="1"/>
  <c r="CF84" i="4"/>
  <c r="CN84" i="4" s="1"/>
  <c r="CE84" i="4"/>
  <c r="CM84" i="4" s="1"/>
  <c r="CD84" i="4"/>
  <c r="CL84" i="4" s="1"/>
  <c r="CC84" i="4"/>
  <c r="CK84" i="4" s="1"/>
  <c r="CB84" i="4"/>
  <c r="CJ84" i="4" s="1"/>
  <c r="CA84" i="4"/>
  <c r="CI84" i="4" s="1"/>
  <c r="BZ84" i="4"/>
  <c r="CP84" i="4" s="1"/>
  <c r="BY84" i="4"/>
  <c r="CG84" i="4" s="1"/>
  <c r="BV84" i="4"/>
  <c r="BT84" i="4"/>
  <c r="BS84" i="4"/>
  <c r="BR84" i="4"/>
  <c r="BQ84" i="4"/>
  <c r="BP84" i="4"/>
  <c r="BO84" i="4"/>
  <c r="BN84" i="4"/>
  <c r="BM84" i="4"/>
  <c r="BU84" i="4" s="1"/>
  <c r="BD84" i="4"/>
  <c r="BB84" i="4"/>
  <c r="BA84" i="4"/>
  <c r="AZ84" i="4"/>
  <c r="AY84" i="4"/>
  <c r="AX84" i="4"/>
  <c r="AW84" i="4"/>
  <c r="AV84" i="4"/>
  <c r="AU84" i="4"/>
  <c r="BC84" i="4" s="1"/>
  <c r="AL84" i="4"/>
  <c r="AJ84" i="4"/>
  <c r="AI84" i="4"/>
  <c r="AH84" i="4"/>
  <c r="AG84" i="4"/>
  <c r="AF84" i="4"/>
  <c r="AE84" i="4"/>
  <c r="AD84" i="4"/>
  <c r="AC84" i="4"/>
  <c r="AK84" i="4" s="1"/>
  <c r="T84" i="4"/>
  <c r="R84" i="4"/>
  <c r="Q84" i="4"/>
  <c r="P84" i="4"/>
  <c r="O84" i="4"/>
  <c r="N84" i="4"/>
  <c r="M84" i="4"/>
  <c r="L84" i="4"/>
  <c r="K84" i="4"/>
  <c r="S84" i="4" s="1"/>
  <c r="CX83" i="4"/>
  <c r="DF83" i="4" s="1"/>
  <c r="CW83" i="4"/>
  <c r="DE83" i="4" s="1"/>
  <c r="CV83" i="4"/>
  <c r="DD83" i="4" s="1"/>
  <c r="CU83" i="4"/>
  <c r="DC83" i="4" s="1"/>
  <c r="CT83" i="4"/>
  <c r="DB83" i="4" s="1"/>
  <c r="CS83" i="4"/>
  <c r="DA83" i="4" s="1"/>
  <c r="CR83" i="4"/>
  <c r="DH83" i="4" s="1"/>
  <c r="CQ83" i="4"/>
  <c r="CY83" i="4" s="1"/>
  <c r="CF83" i="4"/>
  <c r="CN83" i="4" s="1"/>
  <c r="CE83" i="4"/>
  <c r="CM83" i="4" s="1"/>
  <c r="CD83" i="4"/>
  <c r="CL83" i="4" s="1"/>
  <c r="CC83" i="4"/>
  <c r="CK83" i="4" s="1"/>
  <c r="CB83" i="4"/>
  <c r="CJ83" i="4" s="1"/>
  <c r="CA83" i="4"/>
  <c r="CI83" i="4" s="1"/>
  <c r="BZ83" i="4"/>
  <c r="CP83" i="4" s="1"/>
  <c r="BY83" i="4"/>
  <c r="CG83" i="4" s="1"/>
  <c r="BV83" i="4"/>
  <c r="BT83" i="4"/>
  <c r="BS83" i="4"/>
  <c r="BR83" i="4"/>
  <c r="BQ83" i="4"/>
  <c r="BP83" i="4"/>
  <c r="BO83" i="4"/>
  <c r="BN83" i="4"/>
  <c r="BM83" i="4"/>
  <c r="BU83" i="4" s="1"/>
  <c r="BD83" i="4"/>
  <c r="BB83" i="4"/>
  <c r="BA83" i="4"/>
  <c r="AZ83" i="4"/>
  <c r="AY83" i="4"/>
  <c r="AX83" i="4"/>
  <c r="AW83" i="4"/>
  <c r="AV83" i="4"/>
  <c r="AU83" i="4"/>
  <c r="BC83" i="4" s="1"/>
  <c r="AL83" i="4"/>
  <c r="AJ83" i="4"/>
  <c r="AI83" i="4"/>
  <c r="AH83" i="4"/>
  <c r="AG83" i="4"/>
  <c r="AF83" i="4"/>
  <c r="AE83" i="4"/>
  <c r="AD83" i="4"/>
  <c r="AC83" i="4"/>
  <c r="AK83" i="4" s="1"/>
  <c r="T83" i="4"/>
  <c r="R83" i="4"/>
  <c r="Q83" i="4"/>
  <c r="P83" i="4"/>
  <c r="O83" i="4"/>
  <c r="N83" i="4"/>
  <c r="M83" i="4"/>
  <c r="L83" i="4"/>
  <c r="K83" i="4"/>
  <c r="S83" i="4" s="1"/>
  <c r="CX82" i="4"/>
  <c r="CX86" i="4" s="1"/>
  <c r="CW82" i="4"/>
  <c r="CW86" i="4" s="1"/>
  <c r="CV82" i="4"/>
  <c r="CV86" i="4" s="1"/>
  <c r="CU82" i="4"/>
  <c r="CU86" i="4" s="1"/>
  <c r="CT82" i="4"/>
  <c r="CT86" i="4" s="1"/>
  <c r="CS82" i="4"/>
  <c r="CS86" i="4" s="1"/>
  <c r="CR82" i="4"/>
  <c r="CR86" i="4" s="1"/>
  <c r="CQ82" i="4"/>
  <c r="CQ86" i="4" s="1"/>
  <c r="DH86" i="4" s="1"/>
  <c r="CF82" i="4"/>
  <c r="CF86" i="4" s="1"/>
  <c r="CE82" i="4"/>
  <c r="CE86" i="4" s="1"/>
  <c r="CD82" i="4"/>
  <c r="CD86" i="4" s="1"/>
  <c r="CC82" i="4"/>
  <c r="CC86" i="4" s="1"/>
  <c r="CB82" i="4"/>
  <c r="CB86" i="4" s="1"/>
  <c r="CA82" i="4"/>
  <c r="CA86" i="4" s="1"/>
  <c r="BZ82" i="4"/>
  <c r="BZ86" i="4" s="1"/>
  <c r="BY82" i="4"/>
  <c r="BY86" i="4" s="1"/>
  <c r="CP86" i="4" s="1"/>
  <c r="BV82" i="4"/>
  <c r="BT82" i="4"/>
  <c r="BT86" i="4" s="1"/>
  <c r="BS82" i="4"/>
  <c r="BS86" i="4" s="1"/>
  <c r="BR82" i="4"/>
  <c r="BR86" i="4" s="1"/>
  <c r="BQ82" i="4"/>
  <c r="BQ86" i="4" s="1"/>
  <c r="BP82" i="4"/>
  <c r="BP86" i="4" s="1"/>
  <c r="BO82" i="4"/>
  <c r="BO86" i="4" s="1"/>
  <c r="BN82" i="4"/>
  <c r="BN86" i="4" s="1"/>
  <c r="BM82" i="4"/>
  <c r="BM86" i="4" s="1"/>
  <c r="BD82" i="4"/>
  <c r="BB82" i="4"/>
  <c r="BB86" i="4" s="1"/>
  <c r="BA82" i="4"/>
  <c r="BA86" i="4" s="1"/>
  <c r="AZ82" i="4"/>
  <c r="AZ86" i="4" s="1"/>
  <c r="AY82" i="4"/>
  <c r="AY86" i="4" s="1"/>
  <c r="AX82" i="4"/>
  <c r="AX86" i="4" s="1"/>
  <c r="AW82" i="4"/>
  <c r="AW86" i="4" s="1"/>
  <c r="AV82" i="4"/>
  <c r="AV86" i="4" s="1"/>
  <c r="AU82" i="4"/>
  <c r="AU86" i="4" s="1"/>
  <c r="BC86" i="4" s="1"/>
  <c r="AL82" i="4"/>
  <c r="AJ82" i="4"/>
  <c r="AJ86" i="4" s="1"/>
  <c r="AI82" i="4"/>
  <c r="AI86" i="4" s="1"/>
  <c r="AH82" i="4"/>
  <c r="AH86" i="4" s="1"/>
  <c r="AG82" i="4"/>
  <c r="AG86" i="4" s="1"/>
  <c r="AF82" i="4"/>
  <c r="AF86" i="4" s="1"/>
  <c r="AE82" i="4"/>
  <c r="AE86" i="4" s="1"/>
  <c r="AD82" i="4"/>
  <c r="AD86" i="4" s="1"/>
  <c r="AC82" i="4"/>
  <c r="AC86" i="4" s="1"/>
  <c r="T82" i="4"/>
  <c r="R82" i="4"/>
  <c r="R86" i="4" s="1"/>
  <c r="Q82" i="4"/>
  <c r="Q86" i="4" s="1"/>
  <c r="P82" i="4"/>
  <c r="P86" i="4" s="1"/>
  <c r="O82" i="4"/>
  <c r="O86" i="4" s="1"/>
  <c r="N82" i="4"/>
  <c r="N86" i="4" s="1"/>
  <c r="M82" i="4"/>
  <c r="M86" i="4" s="1"/>
  <c r="L82" i="4"/>
  <c r="L86" i="4" s="1"/>
  <c r="K82" i="4"/>
  <c r="K86" i="4" s="1"/>
  <c r="S86" i="4" s="1"/>
  <c r="BL81" i="4"/>
  <c r="BK81" i="4"/>
  <c r="BJ81" i="4"/>
  <c r="BI81" i="4"/>
  <c r="BH81" i="4"/>
  <c r="BG81" i="4"/>
  <c r="BF81" i="4"/>
  <c r="BV81" i="4" s="1"/>
  <c r="BE81" i="4"/>
  <c r="AT81" i="4"/>
  <c r="AS81" i="4"/>
  <c r="AR81" i="4"/>
  <c r="AQ81" i="4"/>
  <c r="AP81" i="4"/>
  <c r="AO81" i="4"/>
  <c r="AN81" i="4"/>
  <c r="BD81" i="4" s="1"/>
  <c r="AM81" i="4"/>
  <c r="AB81" i="4"/>
  <c r="AA81" i="4"/>
  <c r="Z81" i="4"/>
  <c r="Y81" i="4"/>
  <c r="X81" i="4"/>
  <c r="W81" i="4"/>
  <c r="V81" i="4"/>
  <c r="AL81" i="4" s="1"/>
  <c r="U81" i="4"/>
  <c r="J81" i="4"/>
  <c r="I81" i="4"/>
  <c r="H81" i="4"/>
  <c r="G81" i="4"/>
  <c r="F81" i="4"/>
  <c r="E81" i="4"/>
  <c r="D81" i="4"/>
  <c r="T81" i="4" s="1"/>
  <c r="C81" i="4"/>
  <c r="CX80" i="4"/>
  <c r="DF80" i="4" s="1"/>
  <c r="CW80" i="4"/>
  <c r="DE80" i="4" s="1"/>
  <c r="CV80" i="4"/>
  <c r="DD80" i="4" s="1"/>
  <c r="CU80" i="4"/>
  <c r="DC80" i="4" s="1"/>
  <c r="CT80" i="4"/>
  <c r="DB80" i="4" s="1"/>
  <c r="CS80" i="4"/>
  <c r="DA80" i="4" s="1"/>
  <c r="CR80" i="4"/>
  <c r="DH80" i="4" s="1"/>
  <c r="CQ80" i="4"/>
  <c r="CY80" i="4" s="1"/>
  <c r="CF80" i="4"/>
  <c r="CN80" i="4" s="1"/>
  <c r="CE80" i="4"/>
  <c r="CM80" i="4" s="1"/>
  <c r="CD80" i="4"/>
  <c r="CL80" i="4" s="1"/>
  <c r="CC80" i="4"/>
  <c r="CK80" i="4" s="1"/>
  <c r="CB80" i="4"/>
  <c r="CJ80" i="4" s="1"/>
  <c r="CA80" i="4"/>
  <c r="CI80" i="4" s="1"/>
  <c r="BZ80" i="4"/>
  <c r="CP80" i="4" s="1"/>
  <c r="BY80" i="4"/>
  <c r="CG80" i="4" s="1"/>
  <c r="BV80" i="4"/>
  <c r="BT80" i="4"/>
  <c r="BS80" i="4"/>
  <c r="BR80" i="4"/>
  <c r="BQ80" i="4"/>
  <c r="BP80" i="4"/>
  <c r="BO80" i="4"/>
  <c r="BN80" i="4"/>
  <c r="BM80" i="4"/>
  <c r="BU80" i="4" s="1"/>
  <c r="BD80" i="4"/>
  <c r="BB80" i="4"/>
  <c r="BA80" i="4"/>
  <c r="AZ80" i="4"/>
  <c r="AY80" i="4"/>
  <c r="AX80" i="4"/>
  <c r="AW80" i="4"/>
  <c r="AV80" i="4"/>
  <c r="AU80" i="4"/>
  <c r="BC80" i="4" s="1"/>
  <c r="AL80" i="4"/>
  <c r="AJ80" i="4"/>
  <c r="AI80" i="4"/>
  <c r="AH80" i="4"/>
  <c r="AG80" i="4"/>
  <c r="AF80" i="4"/>
  <c r="AE80" i="4"/>
  <c r="AD80" i="4"/>
  <c r="AC80" i="4"/>
  <c r="AK80" i="4" s="1"/>
  <c r="T80" i="4"/>
  <c r="R80" i="4"/>
  <c r="Q80" i="4"/>
  <c r="P80" i="4"/>
  <c r="O80" i="4"/>
  <c r="N80" i="4"/>
  <c r="M80" i="4"/>
  <c r="L80" i="4"/>
  <c r="K80" i="4"/>
  <c r="S80" i="4" s="1"/>
  <c r="CX79" i="4"/>
  <c r="DF79" i="4" s="1"/>
  <c r="CW79" i="4"/>
  <c r="DE79" i="4" s="1"/>
  <c r="CV79" i="4"/>
  <c r="DD79" i="4" s="1"/>
  <c r="CU79" i="4"/>
  <c r="DC79" i="4" s="1"/>
  <c r="CT79" i="4"/>
  <c r="DB79" i="4" s="1"/>
  <c r="CS79" i="4"/>
  <c r="DA79" i="4" s="1"/>
  <c r="CR79" i="4"/>
  <c r="DH79" i="4" s="1"/>
  <c r="CQ79" i="4"/>
  <c r="CY79" i="4" s="1"/>
  <c r="CF79" i="4"/>
  <c r="CN79" i="4" s="1"/>
  <c r="CE79" i="4"/>
  <c r="CM79" i="4" s="1"/>
  <c r="CD79" i="4"/>
  <c r="CL79" i="4" s="1"/>
  <c r="CC79" i="4"/>
  <c r="CK79" i="4" s="1"/>
  <c r="CB79" i="4"/>
  <c r="CJ79" i="4" s="1"/>
  <c r="CA79" i="4"/>
  <c r="CI79" i="4" s="1"/>
  <c r="BZ79" i="4"/>
  <c r="CP79" i="4" s="1"/>
  <c r="BY79" i="4"/>
  <c r="CG79" i="4" s="1"/>
  <c r="BV79" i="4"/>
  <c r="BT79" i="4"/>
  <c r="BS79" i="4"/>
  <c r="BR79" i="4"/>
  <c r="BQ79" i="4"/>
  <c r="BP79" i="4"/>
  <c r="BO79" i="4"/>
  <c r="BN79" i="4"/>
  <c r="BM79" i="4"/>
  <c r="BU79" i="4" s="1"/>
  <c r="BD79" i="4"/>
  <c r="BB79" i="4"/>
  <c r="BA79" i="4"/>
  <c r="AZ79" i="4"/>
  <c r="AY79" i="4"/>
  <c r="AX79" i="4"/>
  <c r="AW79" i="4"/>
  <c r="AV79" i="4"/>
  <c r="AU79" i="4"/>
  <c r="BC79" i="4" s="1"/>
  <c r="AL79" i="4"/>
  <c r="AJ79" i="4"/>
  <c r="AI79" i="4"/>
  <c r="AH79" i="4"/>
  <c r="AG79" i="4"/>
  <c r="AF79" i="4"/>
  <c r="AE79" i="4"/>
  <c r="AD79" i="4"/>
  <c r="AC79" i="4"/>
  <c r="AK79" i="4" s="1"/>
  <c r="T79" i="4"/>
  <c r="R79" i="4"/>
  <c r="Q79" i="4"/>
  <c r="P79" i="4"/>
  <c r="O79" i="4"/>
  <c r="N79" i="4"/>
  <c r="M79" i="4"/>
  <c r="L79" i="4"/>
  <c r="K79" i="4"/>
  <c r="S79" i="4" s="1"/>
  <c r="CX78" i="4"/>
  <c r="DF78" i="4" s="1"/>
  <c r="CW78" i="4"/>
  <c r="DE78" i="4" s="1"/>
  <c r="CV78" i="4"/>
  <c r="DD78" i="4" s="1"/>
  <c r="CU78" i="4"/>
  <c r="DC78" i="4" s="1"/>
  <c r="CT78" i="4"/>
  <c r="DB78" i="4" s="1"/>
  <c r="CS78" i="4"/>
  <c r="DA78" i="4" s="1"/>
  <c r="CR78" i="4"/>
  <c r="DH78" i="4" s="1"/>
  <c r="CQ78" i="4"/>
  <c r="CY78" i="4" s="1"/>
  <c r="CF78" i="4"/>
  <c r="CN78" i="4" s="1"/>
  <c r="CE78" i="4"/>
  <c r="CM78" i="4" s="1"/>
  <c r="CD78" i="4"/>
  <c r="CL78" i="4" s="1"/>
  <c r="CC78" i="4"/>
  <c r="CK78" i="4" s="1"/>
  <c r="CB78" i="4"/>
  <c r="CJ78" i="4" s="1"/>
  <c r="CA78" i="4"/>
  <c r="CI78" i="4" s="1"/>
  <c r="BZ78" i="4"/>
  <c r="CP78" i="4" s="1"/>
  <c r="BY78" i="4"/>
  <c r="CG78" i="4" s="1"/>
  <c r="BV78" i="4"/>
  <c r="BT78" i="4"/>
  <c r="BS78" i="4"/>
  <c r="BR78" i="4"/>
  <c r="BQ78" i="4"/>
  <c r="BP78" i="4"/>
  <c r="BO78" i="4"/>
  <c r="BN78" i="4"/>
  <c r="BM78" i="4"/>
  <c r="BU78" i="4" s="1"/>
  <c r="BD78" i="4"/>
  <c r="BB78" i="4"/>
  <c r="BA78" i="4"/>
  <c r="AZ78" i="4"/>
  <c r="AY78" i="4"/>
  <c r="AX78" i="4"/>
  <c r="AW78" i="4"/>
  <c r="AV78" i="4"/>
  <c r="AU78" i="4"/>
  <c r="BC78" i="4" s="1"/>
  <c r="AL78" i="4"/>
  <c r="AJ78" i="4"/>
  <c r="AI78" i="4"/>
  <c r="AH78" i="4"/>
  <c r="AG78" i="4"/>
  <c r="AF78" i="4"/>
  <c r="AE78" i="4"/>
  <c r="AD78" i="4"/>
  <c r="AC78" i="4"/>
  <c r="AK78" i="4" s="1"/>
  <c r="T78" i="4"/>
  <c r="R78" i="4"/>
  <c r="Q78" i="4"/>
  <c r="P78" i="4"/>
  <c r="O78" i="4"/>
  <c r="N78" i="4"/>
  <c r="M78" i="4"/>
  <c r="L78" i="4"/>
  <c r="K78" i="4"/>
  <c r="S78" i="4" s="1"/>
  <c r="CX77" i="4"/>
  <c r="CX81" i="4" s="1"/>
  <c r="CW77" i="4"/>
  <c r="CW81" i="4" s="1"/>
  <c r="CV77" i="4"/>
  <c r="CV81" i="4" s="1"/>
  <c r="CU77" i="4"/>
  <c r="CU81" i="4" s="1"/>
  <c r="CT77" i="4"/>
  <c r="CT81" i="4" s="1"/>
  <c r="CS77" i="4"/>
  <c r="CS81" i="4" s="1"/>
  <c r="CR77" i="4"/>
  <c r="CR81" i="4" s="1"/>
  <c r="CQ77" i="4"/>
  <c r="CQ81" i="4" s="1"/>
  <c r="DH81" i="4" s="1"/>
  <c r="CF77" i="4"/>
  <c r="CF81" i="4" s="1"/>
  <c r="CE77" i="4"/>
  <c r="CE81" i="4" s="1"/>
  <c r="CD77" i="4"/>
  <c r="CD81" i="4" s="1"/>
  <c r="CC77" i="4"/>
  <c r="CC81" i="4" s="1"/>
  <c r="CB77" i="4"/>
  <c r="CB81" i="4" s="1"/>
  <c r="CA77" i="4"/>
  <c r="CA81" i="4" s="1"/>
  <c r="BZ77" i="4"/>
  <c r="BZ81" i="4" s="1"/>
  <c r="BY77" i="4"/>
  <c r="BY81" i="4" s="1"/>
  <c r="CP81" i="4" s="1"/>
  <c r="BV77" i="4"/>
  <c r="BT77" i="4"/>
  <c r="BT81" i="4" s="1"/>
  <c r="BS77" i="4"/>
  <c r="BS81" i="4" s="1"/>
  <c r="BR77" i="4"/>
  <c r="BR81" i="4" s="1"/>
  <c r="BQ77" i="4"/>
  <c r="BQ81" i="4" s="1"/>
  <c r="BP77" i="4"/>
  <c r="BP81" i="4" s="1"/>
  <c r="BO77" i="4"/>
  <c r="BO81" i="4" s="1"/>
  <c r="BN77" i="4"/>
  <c r="BN81" i="4" s="1"/>
  <c r="BM77" i="4"/>
  <c r="BM81" i="4" s="1"/>
  <c r="BD77" i="4"/>
  <c r="BB77" i="4"/>
  <c r="BB81" i="4" s="1"/>
  <c r="BA77" i="4"/>
  <c r="BA81" i="4" s="1"/>
  <c r="AZ77" i="4"/>
  <c r="AZ81" i="4" s="1"/>
  <c r="AY77" i="4"/>
  <c r="AY81" i="4" s="1"/>
  <c r="AX77" i="4"/>
  <c r="AX81" i="4" s="1"/>
  <c r="AW77" i="4"/>
  <c r="AW81" i="4" s="1"/>
  <c r="AV77" i="4"/>
  <c r="AV81" i="4" s="1"/>
  <c r="AU77" i="4"/>
  <c r="AU81" i="4" s="1"/>
  <c r="BC81" i="4" s="1"/>
  <c r="AL77" i="4"/>
  <c r="AJ77" i="4"/>
  <c r="AJ81" i="4" s="1"/>
  <c r="AI77" i="4"/>
  <c r="AI81" i="4" s="1"/>
  <c r="AH77" i="4"/>
  <c r="AH81" i="4" s="1"/>
  <c r="AG77" i="4"/>
  <c r="AG81" i="4" s="1"/>
  <c r="AF77" i="4"/>
  <c r="AF81" i="4" s="1"/>
  <c r="AE77" i="4"/>
  <c r="AE81" i="4" s="1"/>
  <c r="AD77" i="4"/>
  <c r="AD81" i="4" s="1"/>
  <c r="AC77" i="4"/>
  <c r="AC81" i="4" s="1"/>
  <c r="T77" i="4"/>
  <c r="R77" i="4"/>
  <c r="R81" i="4" s="1"/>
  <c r="Q77" i="4"/>
  <c r="Q81" i="4" s="1"/>
  <c r="P77" i="4"/>
  <c r="P81" i="4" s="1"/>
  <c r="O77" i="4"/>
  <c r="O81" i="4" s="1"/>
  <c r="N77" i="4"/>
  <c r="N81" i="4" s="1"/>
  <c r="M77" i="4"/>
  <c r="M81" i="4" s="1"/>
  <c r="L77" i="4"/>
  <c r="L81" i="4" s="1"/>
  <c r="K77" i="4"/>
  <c r="K81" i="4" s="1"/>
  <c r="S81" i="4" s="1"/>
  <c r="BL76" i="4"/>
  <c r="BK76" i="4"/>
  <c r="BJ76" i="4"/>
  <c r="BI76" i="4"/>
  <c r="BH76" i="4"/>
  <c r="BG76" i="4"/>
  <c r="BF76" i="4"/>
  <c r="BV76" i="4" s="1"/>
  <c r="BE76" i="4"/>
  <c r="AT76" i="4"/>
  <c r="AS76" i="4"/>
  <c r="AR76" i="4"/>
  <c r="AQ76" i="4"/>
  <c r="AP76" i="4"/>
  <c r="AO76" i="4"/>
  <c r="AN76" i="4"/>
  <c r="BD76" i="4" s="1"/>
  <c r="AM76" i="4"/>
  <c r="AB76" i="4"/>
  <c r="AA76" i="4"/>
  <c r="Z76" i="4"/>
  <c r="Y76" i="4"/>
  <c r="X76" i="4"/>
  <c r="W76" i="4"/>
  <c r="V76" i="4"/>
  <c r="AL76" i="4" s="1"/>
  <c r="U76" i="4"/>
  <c r="J76" i="4"/>
  <c r="I76" i="4"/>
  <c r="H76" i="4"/>
  <c r="G76" i="4"/>
  <c r="F76" i="4"/>
  <c r="E76" i="4"/>
  <c r="D76" i="4"/>
  <c r="T76" i="4" s="1"/>
  <c r="C76" i="4"/>
  <c r="CX75" i="4"/>
  <c r="DF75" i="4" s="1"/>
  <c r="CW75" i="4"/>
  <c r="DE75" i="4" s="1"/>
  <c r="CV75" i="4"/>
  <c r="DD75" i="4" s="1"/>
  <c r="CU75" i="4"/>
  <c r="DC75" i="4" s="1"/>
  <c r="CT75" i="4"/>
  <c r="DB75" i="4" s="1"/>
  <c r="CS75" i="4"/>
  <c r="DA75" i="4" s="1"/>
  <c r="CR75" i="4"/>
  <c r="DH75" i="4" s="1"/>
  <c r="CQ75" i="4"/>
  <c r="CY75" i="4" s="1"/>
  <c r="CF75" i="4"/>
  <c r="CN75" i="4" s="1"/>
  <c r="CE75" i="4"/>
  <c r="CM75" i="4" s="1"/>
  <c r="CD75" i="4"/>
  <c r="CL75" i="4" s="1"/>
  <c r="CC75" i="4"/>
  <c r="CK75" i="4" s="1"/>
  <c r="CB75" i="4"/>
  <c r="CJ75" i="4" s="1"/>
  <c r="CA75" i="4"/>
  <c r="CI75" i="4" s="1"/>
  <c r="BZ75" i="4"/>
  <c r="CP75" i="4" s="1"/>
  <c r="BY75" i="4"/>
  <c r="CG75" i="4" s="1"/>
  <c r="BV75" i="4"/>
  <c r="BT75" i="4"/>
  <c r="BS75" i="4"/>
  <c r="BR75" i="4"/>
  <c r="BQ75" i="4"/>
  <c r="BP75" i="4"/>
  <c r="BO75" i="4"/>
  <c r="BN75" i="4"/>
  <c r="BM75" i="4"/>
  <c r="BU75" i="4" s="1"/>
  <c r="BD75" i="4"/>
  <c r="BB75" i="4"/>
  <c r="BA75" i="4"/>
  <c r="AZ75" i="4"/>
  <c r="AY75" i="4"/>
  <c r="AX75" i="4"/>
  <c r="AW75" i="4"/>
  <c r="AV75" i="4"/>
  <c r="AU75" i="4"/>
  <c r="BC75" i="4" s="1"/>
  <c r="AL75" i="4"/>
  <c r="AJ75" i="4"/>
  <c r="AI75" i="4"/>
  <c r="AH75" i="4"/>
  <c r="AG75" i="4"/>
  <c r="AF75" i="4"/>
  <c r="AE75" i="4"/>
  <c r="AD75" i="4"/>
  <c r="AC75" i="4"/>
  <c r="AK75" i="4" s="1"/>
  <c r="T75" i="4"/>
  <c r="R75" i="4"/>
  <c r="Q75" i="4"/>
  <c r="P75" i="4"/>
  <c r="O75" i="4"/>
  <c r="N75" i="4"/>
  <c r="M75" i="4"/>
  <c r="L75" i="4"/>
  <c r="K75" i="4"/>
  <c r="S75" i="4" s="1"/>
  <c r="CX74" i="4"/>
  <c r="DF74" i="4" s="1"/>
  <c r="CW74" i="4"/>
  <c r="DE74" i="4" s="1"/>
  <c r="CV74" i="4"/>
  <c r="DD74" i="4" s="1"/>
  <c r="CU74" i="4"/>
  <c r="DC74" i="4" s="1"/>
  <c r="CT74" i="4"/>
  <c r="DB74" i="4" s="1"/>
  <c r="CS74" i="4"/>
  <c r="DA74" i="4" s="1"/>
  <c r="CR74" i="4"/>
  <c r="DH74" i="4" s="1"/>
  <c r="CQ74" i="4"/>
  <c r="CY74" i="4" s="1"/>
  <c r="CF74" i="4"/>
  <c r="CN74" i="4" s="1"/>
  <c r="CE74" i="4"/>
  <c r="CM74" i="4" s="1"/>
  <c r="CD74" i="4"/>
  <c r="CL74" i="4" s="1"/>
  <c r="CC74" i="4"/>
  <c r="CK74" i="4" s="1"/>
  <c r="CB74" i="4"/>
  <c r="CJ74" i="4" s="1"/>
  <c r="CA74" i="4"/>
  <c r="CI74" i="4" s="1"/>
  <c r="BZ74" i="4"/>
  <c r="CP74" i="4" s="1"/>
  <c r="BY74" i="4"/>
  <c r="CG74" i="4" s="1"/>
  <c r="BV74" i="4"/>
  <c r="BT74" i="4"/>
  <c r="BS74" i="4"/>
  <c r="BR74" i="4"/>
  <c r="BQ74" i="4"/>
  <c r="BP74" i="4"/>
  <c r="BO74" i="4"/>
  <c r="BN74" i="4"/>
  <c r="BM74" i="4"/>
  <c r="BU74" i="4" s="1"/>
  <c r="BD74" i="4"/>
  <c r="BB74" i="4"/>
  <c r="BA74" i="4"/>
  <c r="AZ74" i="4"/>
  <c r="AY74" i="4"/>
  <c r="AX74" i="4"/>
  <c r="AW74" i="4"/>
  <c r="AV74" i="4"/>
  <c r="AU74" i="4"/>
  <c r="BC74" i="4" s="1"/>
  <c r="AL74" i="4"/>
  <c r="AJ74" i="4"/>
  <c r="AI74" i="4"/>
  <c r="AH74" i="4"/>
  <c r="AG74" i="4"/>
  <c r="AF74" i="4"/>
  <c r="AE74" i="4"/>
  <c r="AD74" i="4"/>
  <c r="AC74" i="4"/>
  <c r="AK74" i="4" s="1"/>
  <c r="T74" i="4"/>
  <c r="R74" i="4"/>
  <c r="Q74" i="4"/>
  <c r="P74" i="4"/>
  <c r="O74" i="4"/>
  <c r="N74" i="4"/>
  <c r="M74" i="4"/>
  <c r="L74" i="4"/>
  <c r="K74" i="4"/>
  <c r="S74" i="4" s="1"/>
  <c r="CX73" i="4"/>
  <c r="DF73" i="4" s="1"/>
  <c r="CW73" i="4"/>
  <c r="DE73" i="4" s="1"/>
  <c r="CV73" i="4"/>
  <c r="DD73" i="4" s="1"/>
  <c r="CU73" i="4"/>
  <c r="DC73" i="4" s="1"/>
  <c r="CT73" i="4"/>
  <c r="DB73" i="4" s="1"/>
  <c r="CS73" i="4"/>
  <c r="DA73" i="4" s="1"/>
  <c r="CR73" i="4"/>
  <c r="DH73" i="4" s="1"/>
  <c r="CQ73" i="4"/>
  <c r="CY73" i="4" s="1"/>
  <c r="CF73" i="4"/>
  <c r="CN73" i="4" s="1"/>
  <c r="CE73" i="4"/>
  <c r="CM73" i="4" s="1"/>
  <c r="CD73" i="4"/>
  <c r="CL73" i="4" s="1"/>
  <c r="CC73" i="4"/>
  <c r="CK73" i="4" s="1"/>
  <c r="CB73" i="4"/>
  <c r="CJ73" i="4" s="1"/>
  <c r="CA73" i="4"/>
  <c r="CI73" i="4" s="1"/>
  <c r="BZ73" i="4"/>
  <c r="CP73" i="4" s="1"/>
  <c r="BY73" i="4"/>
  <c r="CG73" i="4" s="1"/>
  <c r="BV73" i="4"/>
  <c r="BT73" i="4"/>
  <c r="BS73" i="4"/>
  <c r="BR73" i="4"/>
  <c r="BQ73" i="4"/>
  <c r="BP73" i="4"/>
  <c r="BO73" i="4"/>
  <c r="BN73" i="4"/>
  <c r="BM73" i="4"/>
  <c r="BU73" i="4" s="1"/>
  <c r="BD73" i="4"/>
  <c r="BB73" i="4"/>
  <c r="BA73" i="4"/>
  <c r="AZ73" i="4"/>
  <c r="AY73" i="4"/>
  <c r="AX73" i="4"/>
  <c r="AW73" i="4"/>
  <c r="AV73" i="4"/>
  <c r="AU73" i="4"/>
  <c r="BC73" i="4" s="1"/>
  <c r="AL73" i="4"/>
  <c r="AJ73" i="4"/>
  <c r="AI73" i="4"/>
  <c r="AH73" i="4"/>
  <c r="AG73" i="4"/>
  <c r="AF73" i="4"/>
  <c r="AE73" i="4"/>
  <c r="AD73" i="4"/>
  <c r="AC73" i="4"/>
  <c r="AK73" i="4" s="1"/>
  <c r="T73" i="4"/>
  <c r="R73" i="4"/>
  <c r="Q73" i="4"/>
  <c r="P73" i="4"/>
  <c r="O73" i="4"/>
  <c r="N73" i="4"/>
  <c r="M73" i="4"/>
  <c r="L73" i="4"/>
  <c r="K73" i="4"/>
  <c r="S73" i="4" s="1"/>
  <c r="CX72" i="4"/>
  <c r="CX76" i="4" s="1"/>
  <c r="CW72" i="4"/>
  <c r="CW76" i="4" s="1"/>
  <c r="CV72" i="4"/>
  <c r="CV76" i="4" s="1"/>
  <c r="CU72" i="4"/>
  <c r="CU76" i="4" s="1"/>
  <c r="CT72" i="4"/>
  <c r="CT76" i="4" s="1"/>
  <c r="CS72" i="4"/>
  <c r="CS76" i="4" s="1"/>
  <c r="CR72" i="4"/>
  <c r="CR76" i="4" s="1"/>
  <c r="CQ72" i="4"/>
  <c r="CQ76" i="4" s="1"/>
  <c r="DH76" i="4" s="1"/>
  <c r="CF72" i="4"/>
  <c r="CF76" i="4" s="1"/>
  <c r="CE72" i="4"/>
  <c r="CE76" i="4" s="1"/>
  <c r="CD72" i="4"/>
  <c r="CD76" i="4" s="1"/>
  <c r="CC72" i="4"/>
  <c r="CC76" i="4" s="1"/>
  <c r="CB72" i="4"/>
  <c r="CB76" i="4" s="1"/>
  <c r="CA72" i="4"/>
  <c r="CA76" i="4" s="1"/>
  <c r="BZ72" i="4"/>
  <c r="BZ76" i="4" s="1"/>
  <c r="BY72" i="4"/>
  <c r="BY76" i="4" s="1"/>
  <c r="CP76" i="4" s="1"/>
  <c r="BV72" i="4"/>
  <c r="BT72" i="4"/>
  <c r="BT76" i="4" s="1"/>
  <c r="BS72" i="4"/>
  <c r="BS76" i="4" s="1"/>
  <c r="BR72" i="4"/>
  <c r="BR76" i="4" s="1"/>
  <c r="BQ72" i="4"/>
  <c r="BQ76" i="4" s="1"/>
  <c r="BP72" i="4"/>
  <c r="BP76" i="4" s="1"/>
  <c r="BO72" i="4"/>
  <c r="BO76" i="4" s="1"/>
  <c r="BN72" i="4"/>
  <c r="BN76" i="4" s="1"/>
  <c r="BM72" i="4"/>
  <c r="BM76" i="4" s="1"/>
  <c r="BD72" i="4"/>
  <c r="BB72" i="4"/>
  <c r="BB76" i="4" s="1"/>
  <c r="BA72" i="4"/>
  <c r="BA76" i="4" s="1"/>
  <c r="AZ72" i="4"/>
  <c r="AZ76" i="4" s="1"/>
  <c r="AY72" i="4"/>
  <c r="AY76" i="4" s="1"/>
  <c r="AX72" i="4"/>
  <c r="AX76" i="4" s="1"/>
  <c r="AW72" i="4"/>
  <c r="AW76" i="4" s="1"/>
  <c r="AV72" i="4"/>
  <c r="AV76" i="4" s="1"/>
  <c r="AU72" i="4"/>
  <c r="AU76" i="4" s="1"/>
  <c r="BC76" i="4" s="1"/>
  <c r="AL72" i="4"/>
  <c r="AJ72" i="4"/>
  <c r="AJ76" i="4" s="1"/>
  <c r="AI72" i="4"/>
  <c r="AI76" i="4" s="1"/>
  <c r="AH72" i="4"/>
  <c r="AH76" i="4" s="1"/>
  <c r="AG72" i="4"/>
  <c r="AG76" i="4" s="1"/>
  <c r="AF72" i="4"/>
  <c r="AF76" i="4" s="1"/>
  <c r="AE72" i="4"/>
  <c r="AE76" i="4" s="1"/>
  <c r="AD72" i="4"/>
  <c r="AD76" i="4" s="1"/>
  <c r="AC72" i="4"/>
  <c r="AC76" i="4" s="1"/>
  <c r="T72" i="4"/>
  <c r="R72" i="4"/>
  <c r="R76" i="4" s="1"/>
  <c r="Q72" i="4"/>
  <c r="Q76" i="4" s="1"/>
  <c r="P72" i="4"/>
  <c r="P76" i="4" s="1"/>
  <c r="O72" i="4"/>
  <c r="O76" i="4" s="1"/>
  <c r="N72" i="4"/>
  <c r="N76" i="4" s="1"/>
  <c r="M72" i="4"/>
  <c r="M76" i="4" s="1"/>
  <c r="L72" i="4"/>
  <c r="L76" i="4" s="1"/>
  <c r="K72" i="4"/>
  <c r="K76" i="4" s="1"/>
  <c r="S76" i="4" s="1"/>
  <c r="BL71" i="4"/>
  <c r="BK71" i="4"/>
  <c r="BJ71" i="4"/>
  <c r="BI71" i="4"/>
  <c r="BH71" i="4"/>
  <c r="BG71" i="4"/>
  <c r="BF71" i="4"/>
  <c r="BV71" i="4" s="1"/>
  <c r="BE71" i="4"/>
  <c r="AT71" i="4"/>
  <c r="AS71" i="4"/>
  <c r="AR71" i="4"/>
  <c r="AQ71" i="4"/>
  <c r="AP71" i="4"/>
  <c r="AO71" i="4"/>
  <c r="AN71" i="4"/>
  <c r="BD71" i="4" s="1"/>
  <c r="AM71" i="4"/>
  <c r="AB71" i="4"/>
  <c r="AA71" i="4"/>
  <c r="Z71" i="4"/>
  <c r="Y71" i="4"/>
  <c r="X71" i="4"/>
  <c r="W71" i="4"/>
  <c r="V71" i="4"/>
  <c r="AL71" i="4" s="1"/>
  <c r="U71" i="4"/>
  <c r="J71" i="4"/>
  <c r="I71" i="4"/>
  <c r="H71" i="4"/>
  <c r="G71" i="4"/>
  <c r="F71" i="4"/>
  <c r="E71" i="4"/>
  <c r="D71" i="4"/>
  <c r="T71" i="4" s="1"/>
  <c r="C71" i="4"/>
  <c r="CX70" i="4"/>
  <c r="DF70" i="4" s="1"/>
  <c r="CW70" i="4"/>
  <c r="DE70" i="4" s="1"/>
  <c r="CV70" i="4"/>
  <c r="DD70" i="4" s="1"/>
  <c r="CU70" i="4"/>
  <c r="DC70" i="4" s="1"/>
  <c r="CT70" i="4"/>
  <c r="DB70" i="4" s="1"/>
  <c r="CS70" i="4"/>
  <c r="DA70" i="4" s="1"/>
  <c r="CR70" i="4"/>
  <c r="DH70" i="4" s="1"/>
  <c r="CQ70" i="4"/>
  <c r="CY70" i="4" s="1"/>
  <c r="CF70" i="4"/>
  <c r="CN70" i="4" s="1"/>
  <c r="CE70" i="4"/>
  <c r="CM70" i="4" s="1"/>
  <c r="CD70" i="4"/>
  <c r="CL70" i="4" s="1"/>
  <c r="CC70" i="4"/>
  <c r="CK70" i="4" s="1"/>
  <c r="CB70" i="4"/>
  <c r="CJ70" i="4" s="1"/>
  <c r="CA70" i="4"/>
  <c r="CI70" i="4" s="1"/>
  <c r="BZ70" i="4"/>
  <c r="CP70" i="4" s="1"/>
  <c r="BY70" i="4"/>
  <c r="CG70" i="4" s="1"/>
  <c r="BV70" i="4"/>
  <c r="BT70" i="4"/>
  <c r="BS70" i="4"/>
  <c r="BR70" i="4"/>
  <c r="BQ70" i="4"/>
  <c r="BP70" i="4"/>
  <c r="BO70" i="4"/>
  <c r="BN70" i="4"/>
  <c r="BM70" i="4"/>
  <c r="BU70" i="4" s="1"/>
  <c r="BD70" i="4"/>
  <c r="BB70" i="4"/>
  <c r="BA70" i="4"/>
  <c r="AZ70" i="4"/>
  <c r="AY70" i="4"/>
  <c r="AX70" i="4"/>
  <c r="AW70" i="4"/>
  <c r="AV70" i="4"/>
  <c r="AU70" i="4"/>
  <c r="BC70" i="4" s="1"/>
  <c r="AL70" i="4"/>
  <c r="AJ70" i="4"/>
  <c r="AI70" i="4"/>
  <c r="AH70" i="4"/>
  <c r="AG70" i="4"/>
  <c r="AF70" i="4"/>
  <c r="AE70" i="4"/>
  <c r="AD70" i="4"/>
  <c r="AC70" i="4"/>
  <c r="AK70" i="4" s="1"/>
  <c r="T70" i="4"/>
  <c r="R70" i="4"/>
  <c r="Q70" i="4"/>
  <c r="P70" i="4"/>
  <c r="O70" i="4"/>
  <c r="N70" i="4"/>
  <c r="M70" i="4"/>
  <c r="L70" i="4"/>
  <c r="K70" i="4"/>
  <c r="S70" i="4" s="1"/>
  <c r="CX69" i="4"/>
  <c r="DF69" i="4" s="1"/>
  <c r="CW69" i="4"/>
  <c r="DE69" i="4" s="1"/>
  <c r="CV69" i="4"/>
  <c r="DD69" i="4" s="1"/>
  <c r="CU69" i="4"/>
  <c r="DC69" i="4" s="1"/>
  <c r="CT69" i="4"/>
  <c r="DB69" i="4" s="1"/>
  <c r="CS69" i="4"/>
  <c r="DA69" i="4" s="1"/>
  <c r="CR69" i="4"/>
  <c r="DH69" i="4" s="1"/>
  <c r="CQ69" i="4"/>
  <c r="CY69" i="4" s="1"/>
  <c r="CF69" i="4"/>
  <c r="CN69" i="4" s="1"/>
  <c r="CE69" i="4"/>
  <c r="CM69" i="4" s="1"/>
  <c r="CD69" i="4"/>
  <c r="CL69" i="4" s="1"/>
  <c r="CC69" i="4"/>
  <c r="CK69" i="4" s="1"/>
  <c r="CB69" i="4"/>
  <c r="CJ69" i="4" s="1"/>
  <c r="CA69" i="4"/>
  <c r="CI69" i="4" s="1"/>
  <c r="BZ69" i="4"/>
  <c r="CP69" i="4" s="1"/>
  <c r="BY69" i="4"/>
  <c r="CG69" i="4" s="1"/>
  <c r="BV69" i="4"/>
  <c r="BT69" i="4"/>
  <c r="BS69" i="4"/>
  <c r="BR69" i="4"/>
  <c r="BQ69" i="4"/>
  <c r="BP69" i="4"/>
  <c r="BO69" i="4"/>
  <c r="BN69" i="4"/>
  <c r="BM69" i="4"/>
  <c r="BU69" i="4" s="1"/>
  <c r="BD69" i="4"/>
  <c r="BB69" i="4"/>
  <c r="BA69" i="4"/>
  <c r="AZ69" i="4"/>
  <c r="AY69" i="4"/>
  <c r="AX69" i="4"/>
  <c r="AW69" i="4"/>
  <c r="AV69" i="4"/>
  <c r="AU69" i="4"/>
  <c r="BC69" i="4" s="1"/>
  <c r="AL69" i="4"/>
  <c r="AJ69" i="4"/>
  <c r="AI69" i="4"/>
  <c r="AH69" i="4"/>
  <c r="AG69" i="4"/>
  <c r="AF69" i="4"/>
  <c r="AE69" i="4"/>
  <c r="AD69" i="4"/>
  <c r="AC69" i="4"/>
  <c r="AK69" i="4" s="1"/>
  <c r="T69" i="4"/>
  <c r="R69" i="4"/>
  <c r="Q69" i="4"/>
  <c r="P69" i="4"/>
  <c r="O69" i="4"/>
  <c r="N69" i="4"/>
  <c r="M69" i="4"/>
  <c r="L69" i="4"/>
  <c r="K69" i="4"/>
  <c r="S69" i="4" s="1"/>
  <c r="CX68" i="4"/>
  <c r="DF68" i="4" s="1"/>
  <c r="CW68" i="4"/>
  <c r="DE68" i="4" s="1"/>
  <c r="CV68" i="4"/>
  <c r="DD68" i="4" s="1"/>
  <c r="CU68" i="4"/>
  <c r="DC68" i="4" s="1"/>
  <c r="CT68" i="4"/>
  <c r="DB68" i="4" s="1"/>
  <c r="CS68" i="4"/>
  <c r="DA68" i="4" s="1"/>
  <c r="CR68" i="4"/>
  <c r="DH68" i="4" s="1"/>
  <c r="CQ68" i="4"/>
  <c r="CY68" i="4" s="1"/>
  <c r="CF68" i="4"/>
  <c r="CN68" i="4" s="1"/>
  <c r="CE68" i="4"/>
  <c r="CM68" i="4" s="1"/>
  <c r="CD68" i="4"/>
  <c r="CL68" i="4" s="1"/>
  <c r="CC68" i="4"/>
  <c r="CK68" i="4" s="1"/>
  <c r="CB68" i="4"/>
  <c r="CJ68" i="4" s="1"/>
  <c r="CA68" i="4"/>
  <c r="CI68" i="4" s="1"/>
  <c r="BZ68" i="4"/>
  <c r="CP68" i="4" s="1"/>
  <c r="BY68" i="4"/>
  <c r="CG68" i="4" s="1"/>
  <c r="BV68" i="4"/>
  <c r="BT68" i="4"/>
  <c r="BS68" i="4"/>
  <c r="BR68" i="4"/>
  <c r="BQ68" i="4"/>
  <c r="BP68" i="4"/>
  <c r="BO68" i="4"/>
  <c r="BN68" i="4"/>
  <c r="BM68" i="4"/>
  <c r="BU68" i="4" s="1"/>
  <c r="BD68" i="4"/>
  <c r="BB68" i="4"/>
  <c r="BA68" i="4"/>
  <c r="AZ68" i="4"/>
  <c r="AY68" i="4"/>
  <c r="AX68" i="4"/>
  <c r="AW68" i="4"/>
  <c r="AV68" i="4"/>
  <c r="AU68" i="4"/>
  <c r="BC68" i="4" s="1"/>
  <c r="AL68" i="4"/>
  <c r="AJ68" i="4"/>
  <c r="AI68" i="4"/>
  <c r="AH68" i="4"/>
  <c r="AG68" i="4"/>
  <c r="AF68" i="4"/>
  <c r="AE68" i="4"/>
  <c r="AD68" i="4"/>
  <c r="AC68" i="4"/>
  <c r="AK68" i="4" s="1"/>
  <c r="T68" i="4"/>
  <c r="R68" i="4"/>
  <c r="Q68" i="4"/>
  <c r="P68" i="4"/>
  <c r="O68" i="4"/>
  <c r="N68" i="4"/>
  <c r="M68" i="4"/>
  <c r="L68" i="4"/>
  <c r="K68" i="4"/>
  <c r="S68" i="4" s="1"/>
  <c r="CX67" i="4"/>
  <c r="CX71" i="4" s="1"/>
  <c r="CW67" i="4"/>
  <c r="CW71" i="4" s="1"/>
  <c r="CV67" i="4"/>
  <c r="CV71" i="4" s="1"/>
  <c r="CU67" i="4"/>
  <c r="CU71" i="4" s="1"/>
  <c r="CT67" i="4"/>
  <c r="CT71" i="4" s="1"/>
  <c r="CS67" i="4"/>
  <c r="CS71" i="4" s="1"/>
  <c r="CR67" i="4"/>
  <c r="CR71" i="4" s="1"/>
  <c r="CQ67" i="4"/>
  <c r="CQ71" i="4" s="1"/>
  <c r="DH71" i="4" s="1"/>
  <c r="CF67" i="4"/>
  <c r="CF71" i="4" s="1"/>
  <c r="CE67" i="4"/>
  <c r="CE71" i="4" s="1"/>
  <c r="CD67" i="4"/>
  <c r="CD71" i="4" s="1"/>
  <c r="CC67" i="4"/>
  <c r="CC71" i="4" s="1"/>
  <c r="CB67" i="4"/>
  <c r="CB71" i="4" s="1"/>
  <c r="CA67" i="4"/>
  <c r="CA71" i="4" s="1"/>
  <c r="BZ67" i="4"/>
  <c r="BZ71" i="4" s="1"/>
  <c r="BY67" i="4"/>
  <c r="BY71" i="4" s="1"/>
  <c r="CP71" i="4" s="1"/>
  <c r="BV67" i="4"/>
  <c r="BT67" i="4"/>
  <c r="BT71" i="4" s="1"/>
  <c r="BS67" i="4"/>
  <c r="BS71" i="4" s="1"/>
  <c r="BR67" i="4"/>
  <c r="BR71" i="4" s="1"/>
  <c r="BQ67" i="4"/>
  <c r="BQ71" i="4" s="1"/>
  <c r="BP67" i="4"/>
  <c r="BP71" i="4" s="1"/>
  <c r="BO67" i="4"/>
  <c r="BO71" i="4" s="1"/>
  <c r="BN67" i="4"/>
  <c r="BN71" i="4" s="1"/>
  <c r="BM67" i="4"/>
  <c r="BM71" i="4" s="1"/>
  <c r="BD67" i="4"/>
  <c r="BB67" i="4"/>
  <c r="BB71" i="4" s="1"/>
  <c r="BA67" i="4"/>
  <c r="BA71" i="4" s="1"/>
  <c r="AZ67" i="4"/>
  <c r="AZ71" i="4" s="1"/>
  <c r="AY67" i="4"/>
  <c r="AY71" i="4" s="1"/>
  <c r="AX67" i="4"/>
  <c r="AX71" i="4" s="1"/>
  <c r="AW67" i="4"/>
  <c r="AW71" i="4" s="1"/>
  <c r="AV67" i="4"/>
  <c r="AV71" i="4" s="1"/>
  <c r="AU67" i="4"/>
  <c r="AU71" i="4" s="1"/>
  <c r="BC71" i="4" s="1"/>
  <c r="AL67" i="4"/>
  <c r="AJ67" i="4"/>
  <c r="AJ71" i="4" s="1"/>
  <c r="AI67" i="4"/>
  <c r="AI71" i="4" s="1"/>
  <c r="AH67" i="4"/>
  <c r="AH71" i="4" s="1"/>
  <c r="AG67" i="4"/>
  <c r="AG71" i="4" s="1"/>
  <c r="AF67" i="4"/>
  <c r="AF71" i="4" s="1"/>
  <c r="AE67" i="4"/>
  <c r="AE71" i="4" s="1"/>
  <c r="AD67" i="4"/>
  <c r="AD71" i="4" s="1"/>
  <c r="AC67" i="4"/>
  <c r="AC71" i="4" s="1"/>
  <c r="T67" i="4"/>
  <c r="R67" i="4"/>
  <c r="R71" i="4" s="1"/>
  <c r="Q67" i="4"/>
  <c r="Q71" i="4" s="1"/>
  <c r="P67" i="4"/>
  <c r="P71" i="4" s="1"/>
  <c r="O67" i="4"/>
  <c r="O71" i="4" s="1"/>
  <c r="N67" i="4"/>
  <c r="N71" i="4" s="1"/>
  <c r="M67" i="4"/>
  <c r="M71" i="4" s="1"/>
  <c r="L67" i="4"/>
  <c r="L71" i="4" s="1"/>
  <c r="K67" i="4"/>
  <c r="K71" i="4" s="1"/>
  <c r="S71" i="4" s="1"/>
  <c r="BL66" i="4"/>
  <c r="BK66" i="4"/>
  <c r="BJ66" i="4"/>
  <c r="BI66" i="4"/>
  <c r="BH66" i="4"/>
  <c r="BG66" i="4"/>
  <c r="BF66" i="4"/>
  <c r="BV66" i="4" s="1"/>
  <c r="BE66" i="4"/>
  <c r="AT66" i="4"/>
  <c r="AS66" i="4"/>
  <c r="AR66" i="4"/>
  <c r="AQ66" i="4"/>
  <c r="AP66" i="4"/>
  <c r="AO66" i="4"/>
  <c r="AN66" i="4"/>
  <c r="BD66" i="4" s="1"/>
  <c r="AM66" i="4"/>
  <c r="AB66" i="4"/>
  <c r="AA66" i="4"/>
  <c r="Z66" i="4"/>
  <c r="Y66" i="4"/>
  <c r="X66" i="4"/>
  <c r="W66" i="4"/>
  <c r="V66" i="4"/>
  <c r="AL66" i="4" s="1"/>
  <c r="U66" i="4"/>
  <c r="J66" i="4"/>
  <c r="I66" i="4"/>
  <c r="H66" i="4"/>
  <c r="G66" i="4"/>
  <c r="F66" i="4"/>
  <c r="E66" i="4"/>
  <c r="D66" i="4"/>
  <c r="T66" i="4" s="1"/>
  <c r="C66" i="4"/>
  <c r="CX65" i="4"/>
  <c r="DF65" i="4" s="1"/>
  <c r="CW65" i="4"/>
  <c r="DE65" i="4" s="1"/>
  <c r="CV65" i="4"/>
  <c r="DD65" i="4" s="1"/>
  <c r="CU65" i="4"/>
  <c r="DC65" i="4" s="1"/>
  <c r="CT65" i="4"/>
  <c r="DB65" i="4" s="1"/>
  <c r="CS65" i="4"/>
  <c r="DA65" i="4" s="1"/>
  <c r="CR65" i="4"/>
  <c r="DH65" i="4" s="1"/>
  <c r="CQ65" i="4"/>
  <c r="CY65" i="4" s="1"/>
  <c r="CF65" i="4"/>
  <c r="CN65" i="4" s="1"/>
  <c r="CE65" i="4"/>
  <c r="CM65" i="4" s="1"/>
  <c r="CD65" i="4"/>
  <c r="CL65" i="4" s="1"/>
  <c r="CC65" i="4"/>
  <c r="CK65" i="4" s="1"/>
  <c r="CB65" i="4"/>
  <c r="CJ65" i="4" s="1"/>
  <c r="CA65" i="4"/>
  <c r="CI65" i="4" s="1"/>
  <c r="BZ65" i="4"/>
  <c r="CP65" i="4" s="1"/>
  <c r="BY65" i="4"/>
  <c r="CG65" i="4" s="1"/>
  <c r="BV65" i="4"/>
  <c r="BT65" i="4"/>
  <c r="BS65" i="4"/>
  <c r="BR65" i="4"/>
  <c r="BQ65" i="4"/>
  <c r="BP65" i="4"/>
  <c r="BO65" i="4"/>
  <c r="BN65" i="4"/>
  <c r="BM65" i="4"/>
  <c r="BU65" i="4" s="1"/>
  <c r="BD65" i="4"/>
  <c r="BB65" i="4"/>
  <c r="BA65" i="4"/>
  <c r="AZ65" i="4"/>
  <c r="AY65" i="4"/>
  <c r="AX65" i="4"/>
  <c r="AW65" i="4"/>
  <c r="AV65" i="4"/>
  <c r="AU65" i="4"/>
  <c r="BC65" i="4" s="1"/>
  <c r="AL65" i="4"/>
  <c r="AJ65" i="4"/>
  <c r="AI65" i="4"/>
  <c r="AH65" i="4"/>
  <c r="AG65" i="4"/>
  <c r="AF65" i="4"/>
  <c r="AE65" i="4"/>
  <c r="AD65" i="4"/>
  <c r="AC65" i="4"/>
  <c r="AK65" i="4" s="1"/>
  <c r="T65" i="4"/>
  <c r="R65" i="4"/>
  <c r="Q65" i="4"/>
  <c r="P65" i="4"/>
  <c r="O65" i="4"/>
  <c r="N65" i="4"/>
  <c r="M65" i="4"/>
  <c r="L65" i="4"/>
  <c r="K65" i="4"/>
  <c r="S65" i="4" s="1"/>
  <c r="CX64" i="4"/>
  <c r="DF64" i="4" s="1"/>
  <c r="CW64" i="4"/>
  <c r="DE64" i="4" s="1"/>
  <c r="CV64" i="4"/>
  <c r="DD64" i="4" s="1"/>
  <c r="CU64" i="4"/>
  <c r="DC64" i="4" s="1"/>
  <c r="CT64" i="4"/>
  <c r="DB64" i="4" s="1"/>
  <c r="CS64" i="4"/>
  <c r="DA64" i="4" s="1"/>
  <c r="CR64" i="4"/>
  <c r="DH64" i="4" s="1"/>
  <c r="CQ64" i="4"/>
  <c r="CY64" i="4" s="1"/>
  <c r="CF64" i="4"/>
  <c r="CN64" i="4" s="1"/>
  <c r="CE64" i="4"/>
  <c r="CM64" i="4" s="1"/>
  <c r="CD64" i="4"/>
  <c r="CL64" i="4" s="1"/>
  <c r="CC64" i="4"/>
  <c r="CK64" i="4" s="1"/>
  <c r="CB64" i="4"/>
  <c r="CJ64" i="4" s="1"/>
  <c r="CA64" i="4"/>
  <c r="CI64" i="4" s="1"/>
  <c r="BZ64" i="4"/>
  <c r="CP64" i="4" s="1"/>
  <c r="BY64" i="4"/>
  <c r="CG64" i="4" s="1"/>
  <c r="BV64" i="4"/>
  <c r="BT64" i="4"/>
  <c r="BS64" i="4"/>
  <c r="BR64" i="4"/>
  <c r="BQ64" i="4"/>
  <c r="BP64" i="4"/>
  <c r="BO64" i="4"/>
  <c r="BN64" i="4"/>
  <c r="BM64" i="4"/>
  <c r="BU64" i="4" s="1"/>
  <c r="BD64" i="4"/>
  <c r="BB64" i="4"/>
  <c r="BA64" i="4"/>
  <c r="AZ64" i="4"/>
  <c r="AY64" i="4"/>
  <c r="AX64" i="4"/>
  <c r="AW64" i="4"/>
  <c r="AV64" i="4"/>
  <c r="AU64" i="4"/>
  <c r="BC64" i="4" s="1"/>
  <c r="AL64" i="4"/>
  <c r="AJ64" i="4"/>
  <c r="AI64" i="4"/>
  <c r="AH64" i="4"/>
  <c r="AG64" i="4"/>
  <c r="AF64" i="4"/>
  <c r="AE64" i="4"/>
  <c r="AD64" i="4"/>
  <c r="AC64" i="4"/>
  <c r="AK64" i="4" s="1"/>
  <c r="T64" i="4"/>
  <c r="R64" i="4"/>
  <c r="Q64" i="4"/>
  <c r="P64" i="4"/>
  <c r="O64" i="4"/>
  <c r="N64" i="4"/>
  <c r="M64" i="4"/>
  <c r="L64" i="4"/>
  <c r="K64" i="4"/>
  <c r="S64" i="4" s="1"/>
  <c r="CX63" i="4"/>
  <c r="DF63" i="4" s="1"/>
  <c r="CW63" i="4"/>
  <c r="DE63" i="4" s="1"/>
  <c r="CV63" i="4"/>
  <c r="DD63" i="4" s="1"/>
  <c r="CU63" i="4"/>
  <c r="DC63" i="4" s="1"/>
  <c r="CT63" i="4"/>
  <c r="DB63" i="4" s="1"/>
  <c r="CS63" i="4"/>
  <c r="DA63" i="4" s="1"/>
  <c r="CR63" i="4"/>
  <c r="DH63" i="4" s="1"/>
  <c r="CQ63" i="4"/>
  <c r="CY63" i="4" s="1"/>
  <c r="CF63" i="4"/>
  <c r="CN63" i="4" s="1"/>
  <c r="CE63" i="4"/>
  <c r="CM63" i="4" s="1"/>
  <c r="CD63" i="4"/>
  <c r="CL63" i="4" s="1"/>
  <c r="CC63" i="4"/>
  <c r="CK63" i="4" s="1"/>
  <c r="CB63" i="4"/>
  <c r="CJ63" i="4" s="1"/>
  <c r="CA63" i="4"/>
  <c r="CI63" i="4" s="1"/>
  <c r="BZ63" i="4"/>
  <c r="CP63" i="4" s="1"/>
  <c r="BY63" i="4"/>
  <c r="CG63" i="4" s="1"/>
  <c r="BV63" i="4"/>
  <c r="BT63" i="4"/>
  <c r="BS63" i="4"/>
  <c r="BR63" i="4"/>
  <c r="BQ63" i="4"/>
  <c r="BP63" i="4"/>
  <c r="BO63" i="4"/>
  <c r="BN63" i="4"/>
  <c r="BM63" i="4"/>
  <c r="BU63" i="4" s="1"/>
  <c r="BD63" i="4"/>
  <c r="BB63" i="4"/>
  <c r="BA63" i="4"/>
  <c r="AZ63" i="4"/>
  <c r="AY63" i="4"/>
  <c r="AX63" i="4"/>
  <c r="AW63" i="4"/>
  <c r="AV63" i="4"/>
  <c r="AU63" i="4"/>
  <c r="BC63" i="4" s="1"/>
  <c r="AL63" i="4"/>
  <c r="AJ63" i="4"/>
  <c r="AI63" i="4"/>
  <c r="AH63" i="4"/>
  <c r="AG63" i="4"/>
  <c r="AF63" i="4"/>
  <c r="AE63" i="4"/>
  <c r="AD63" i="4"/>
  <c r="AC63" i="4"/>
  <c r="AK63" i="4" s="1"/>
  <c r="T63" i="4"/>
  <c r="R63" i="4"/>
  <c r="Q63" i="4"/>
  <c r="P63" i="4"/>
  <c r="O63" i="4"/>
  <c r="N63" i="4"/>
  <c r="M63" i="4"/>
  <c r="L63" i="4"/>
  <c r="K63" i="4"/>
  <c r="S63" i="4" s="1"/>
  <c r="CX62" i="4"/>
  <c r="CX66" i="4" s="1"/>
  <c r="CW62" i="4"/>
  <c r="CW66" i="4" s="1"/>
  <c r="CV62" i="4"/>
  <c r="CV66" i="4" s="1"/>
  <c r="CU62" i="4"/>
  <c r="CU66" i="4" s="1"/>
  <c r="CT62" i="4"/>
  <c r="CT66" i="4" s="1"/>
  <c r="CS62" i="4"/>
  <c r="CS66" i="4" s="1"/>
  <c r="CR62" i="4"/>
  <c r="CR66" i="4" s="1"/>
  <c r="CQ62" i="4"/>
  <c r="CQ66" i="4" s="1"/>
  <c r="DH66" i="4" s="1"/>
  <c r="CF62" i="4"/>
  <c r="CF66" i="4" s="1"/>
  <c r="CE62" i="4"/>
  <c r="CE66" i="4" s="1"/>
  <c r="CD62" i="4"/>
  <c r="CD66" i="4" s="1"/>
  <c r="CC62" i="4"/>
  <c r="CC66" i="4" s="1"/>
  <c r="CB62" i="4"/>
  <c r="CB66" i="4" s="1"/>
  <c r="CA62" i="4"/>
  <c r="CA66" i="4" s="1"/>
  <c r="BZ62" i="4"/>
  <c r="BZ66" i="4" s="1"/>
  <c r="BY62" i="4"/>
  <c r="BY66" i="4" s="1"/>
  <c r="CP66" i="4" s="1"/>
  <c r="BV62" i="4"/>
  <c r="BT62" i="4"/>
  <c r="BT66" i="4" s="1"/>
  <c r="BS62" i="4"/>
  <c r="BS66" i="4" s="1"/>
  <c r="BR62" i="4"/>
  <c r="BR66" i="4" s="1"/>
  <c r="BQ62" i="4"/>
  <c r="BQ66" i="4" s="1"/>
  <c r="BP62" i="4"/>
  <c r="BP66" i="4" s="1"/>
  <c r="BO62" i="4"/>
  <c r="BO66" i="4" s="1"/>
  <c r="BN62" i="4"/>
  <c r="BN66" i="4" s="1"/>
  <c r="BM62" i="4"/>
  <c r="BM66" i="4" s="1"/>
  <c r="BD62" i="4"/>
  <c r="BB62" i="4"/>
  <c r="BB66" i="4" s="1"/>
  <c r="BA62" i="4"/>
  <c r="BA66" i="4" s="1"/>
  <c r="AZ62" i="4"/>
  <c r="AZ66" i="4" s="1"/>
  <c r="AY62" i="4"/>
  <c r="AY66" i="4" s="1"/>
  <c r="AX62" i="4"/>
  <c r="AX66" i="4" s="1"/>
  <c r="AW62" i="4"/>
  <c r="AW66" i="4" s="1"/>
  <c r="AV62" i="4"/>
  <c r="AV66" i="4" s="1"/>
  <c r="AU62" i="4"/>
  <c r="AU66" i="4" s="1"/>
  <c r="BC66" i="4" s="1"/>
  <c r="AL62" i="4"/>
  <c r="AJ62" i="4"/>
  <c r="AJ66" i="4" s="1"/>
  <c r="AI62" i="4"/>
  <c r="AI66" i="4" s="1"/>
  <c r="AH62" i="4"/>
  <c r="AH66" i="4" s="1"/>
  <c r="AG62" i="4"/>
  <c r="AG66" i="4" s="1"/>
  <c r="AF62" i="4"/>
  <c r="AF66" i="4" s="1"/>
  <c r="AE62" i="4"/>
  <c r="AE66" i="4" s="1"/>
  <c r="AD62" i="4"/>
  <c r="AD66" i="4" s="1"/>
  <c r="AC62" i="4"/>
  <c r="AC66" i="4" s="1"/>
  <c r="T62" i="4"/>
  <c r="R62" i="4"/>
  <c r="R66" i="4" s="1"/>
  <c r="Q62" i="4"/>
  <c r="Q66" i="4" s="1"/>
  <c r="P62" i="4"/>
  <c r="P66" i="4" s="1"/>
  <c r="O62" i="4"/>
  <c r="O66" i="4" s="1"/>
  <c r="N62" i="4"/>
  <c r="N66" i="4" s="1"/>
  <c r="M62" i="4"/>
  <c r="M66" i="4" s="1"/>
  <c r="L62" i="4"/>
  <c r="L66" i="4" s="1"/>
  <c r="K62" i="4"/>
  <c r="K66" i="4" s="1"/>
  <c r="S66" i="4" s="1"/>
  <c r="BL61" i="4"/>
  <c r="BK61" i="4"/>
  <c r="BJ61" i="4"/>
  <c r="BI61" i="4"/>
  <c r="BH61" i="4"/>
  <c r="BG61" i="4"/>
  <c r="BF61" i="4"/>
  <c r="BV61" i="4" s="1"/>
  <c r="BE61" i="4"/>
  <c r="AT61" i="4"/>
  <c r="AS61" i="4"/>
  <c r="AR61" i="4"/>
  <c r="AQ61" i="4"/>
  <c r="AP61" i="4"/>
  <c r="AO61" i="4"/>
  <c r="AN61" i="4"/>
  <c r="BD61" i="4" s="1"/>
  <c r="AM61" i="4"/>
  <c r="AB61" i="4"/>
  <c r="AA61" i="4"/>
  <c r="Z61" i="4"/>
  <c r="Y61" i="4"/>
  <c r="X61" i="4"/>
  <c r="W61" i="4"/>
  <c r="V61" i="4"/>
  <c r="AL61" i="4" s="1"/>
  <c r="U61" i="4"/>
  <c r="J61" i="4"/>
  <c r="I61" i="4"/>
  <c r="H61" i="4"/>
  <c r="G61" i="4"/>
  <c r="F61" i="4"/>
  <c r="E61" i="4"/>
  <c r="D61" i="4"/>
  <c r="T61" i="4" s="1"/>
  <c r="C61" i="4"/>
  <c r="CX60" i="4"/>
  <c r="DF60" i="4" s="1"/>
  <c r="CW60" i="4"/>
  <c r="DE60" i="4" s="1"/>
  <c r="CV60" i="4"/>
  <c r="DD60" i="4" s="1"/>
  <c r="CU60" i="4"/>
  <c r="DC60" i="4" s="1"/>
  <c r="CT60" i="4"/>
  <c r="DB60" i="4" s="1"/>
  <c r="CS60" i="4"/>
  <c r="DA60" i="4" s="1"/>
  <c r="CR60" i="4"/>
  <c r="DH60" i="4" s="1"/>
  <c r="CQ60" i="4"/>
  <c r="CY60" i="4" s="1"/>
  <c r="CF60" i="4"/>
  <c r="CN60" i="4" s="1"/>
  <c r="CE60" i="4"/>
  <c r="CM60" i="4" s="1"/>
  <c r="CD60" i="4"/>
  <c r="CL60" i="4" s="1"/>
  <c r="CC60" i="4"/>
  <c r="CK60" i="4" s="1"/>
  <c r="CB60" i="4"/>
  <c r="CJ60" i="4" s="1"/>
  <c r="CA60" i="4"/>
  <c r="CI60" i="4" s="1"/>
  <c r="BZ60" i="4"/>
  <c r="CP60" i="4" s="1"/>
  <c r="BY60" i="4"/>
  <c r="CG60" i="4" s="1"/>
  <c r="BV60" i="4"/>
  <c r="BT60" i="4"/>
  <c r="BS60" i="4"/>
  <c r="BR60" i="4"/>
  <c r="BQ60" i="4"/>
  <c r="BP60" i="4"/>
  <c r="BO60" i="4"/>
  <c r="BN60" i="4"/>
  <c r="BM60" i="4"/>
  <c r="BU60" i="4" s="1"/>
  <c r="BD60" i="4"/>
  <c r="BB60" i="4"/>
  <c r="BA60" i="4"/>
  <c r="AZ60" i="4"/>
  <c r="AY60" i="4"/>
  <c r="AX60" i="4"/>
  <c r="AW60" i="4"/>
  <c r="AV60" i="4"/>
  <c r="AU60" i="4"/>
  <c r="BC60" i="4" s="1"/>
  <c r="AL60" i="4"/>
  <c r="AJ60" i="4"/>
  <c r="AI60" i="4"/>
  <c r="AH60" i="4"/>
  <c r="AG60" i="4"/>
  <c r="AF60" i="4"/>
  <c r="AE60" i="4"/>
  <c r="AD60" i="4"/>
  <c r="AC60" i="4"/>
  <c r="AK60" i="4" s="1"/>
  <c r="T60" i="4"/>
  <c r="R60" i="4"/>
  <c r="Q60" i="4"/>
  <c r="P60" i="4"/>
  <c r="O60" i="4"/>
  <c r="N60" i="4"/>
  <c r="M60" i="4"/>
  <c r="L60" i="4"/>
  <c r="K60" i="4"/>
  <c r="S60" i="4" s="1"/>
  <c r="CX59" i="4"/>
  <c r="DF59" i="4" s="1"/>
  <c r="CW59" i="4"/>
  <c r="DE59" i="4" s="1"/>
  <c r="CV59" i="4"/>
  <c r="DD59" i="4" s="1"/>
  <c r="CU59" i="4"/>
  <c r="DC59" i="4" s="1"/>
  <c r="CT59" i="4"/>
  <c r="DB59" i="4" s="1"/>
  <c r="CS59" i="4"/>
  <c r="DA59" i="4" s="1"/>
  <c r="CR59" i="4"/>
  <c r="DH59" i="4" s="1"/>
  <c r="CQ59" i="4"/>
  <c r="CY59" i="4" s="1"/>
  <c r="CF59" i="4"/>
  <c r="CN59" i="4" s="1"/>
  <c r="CE59" i="4"/>
  <c r="CM59" i="4" s="1"/>
  <c r="CD59" i="4"/>
  <c r="CL59" i="4" s="1"/>
  <c r="CC59" i="4"/>
  <c r="CK59" i="4" s="1"/>
  <c r="CB59" i="4"/>
  <c r="CJ59" i="4" s="1"/>
  <c r="CA59" i="4"/>
  <c r="CI59" i="4" s="1"/>
  <c r="BZ59" i="4"/>
  <c r="CP59" i="4" s="1"/>
  <c r="BY59" i="4"/>
  <c r="CG59" i="4" s="1"/>
  <c r="BV59" i="4"/>
  <c r="BT59" i="4"/>
  <c r="BS59" i="4"/>
  <c r="BR59" i="4"/>
  <c r="BQ59" i="4"/>
  <c r="BP59" i="4"/>
  <c r="BO59" i="4"/>
  <c r="BN59" i="4"/>
  <c r="BM59" i="4"/>
  <c r="BU59" i="4" s="1"/>
  <c r="BD59" i="4"/>
  <c r="BB59" i="4"/>
  <c r="BA59" i="4"/>
  <c r="AZ59" i="4"/>
  <c r="AY59" i="4"/>
  <c r="AX59" i="4"/>
  <c r="AW59" i="4"/>
  <c r="AV59" i="4"/>
  <c r="AU59" i="4"/>
  <c r="BC59" i="4" s="1"/>
  <c r="AL59" i="4"/>
  <c r="AJ59" i="4"/>
  <c r="AI59" i="4"/>
  <c r="AH59" i="4"/>
  <c r="AG59" i="4"/>
  <c r="AF59" i="4"/>
  <c r="AE59" i="4"/>
  <c r="AD59" i="4"/>
  <c r="AC59" i="4"/>
  <c r="AK59" i="4" s="1"/>
  <c r="T59" i="4"/>
  <c r="R59" i="4"/>
  <c r="Q59" i="4"/>
  <c r="P59" i="4"/>
  <c r="O59" i="4"/>
  <c r="N59" i="4"/>
  <c r="M59" i="4"/>
  <c r="L59" i="4"/>
  <c r="K59" i="4"/>
  <c r="S59" i="4" s="1"/>
  <c r="CX58" i="4"/>
  <c r="DF58" i="4" s="1"/>
  <c r="CW58" i="4"/>
  <c r="DE58" i="4" s="1"/>
  <c r="CV58" i="4"/>
  <c r="DD58" i="4" s="1"/>
  <c r="CU58" i="4"/>
  <c r="DC58" i="4" s="1"/>
  <c r="CT58" i="4"/>
  <c r="DB58" i="4" s="1"/>
  <c r="CS58" i="4"/>
  <c r="DA58" i="4" s="1"/>
  <c r="CR58" i="4"/>
  <c r="DH58" i="4" s="1"/>
  <c r="CQ58" i="4"/>
  <c r="CY58" i="4" s="1"/>
  <c r="CF58" i="4"/>
  <c r="CN58" i="4" s="1"/>
  <c r="CE58" i="4"/>
  <c r="CM58" i="4" s="1"/>
  <c r="CD58" i="4"/>
  <c r="CL58" i="4" s="1"/>
  <c r="CC58" i="4"/>
  <c r="CK58" i="4" s="1"/>
  <c r="CB58" i="4"/>
  <c r="CJ58" i="4" s="1"/>
  <c r="CA58" i="4"/>
  <c r="CI58" i="4" s="1"/>
  <c r="BZ58" i="4"/>
  <c r="CP58" i="4" s="1"/>
  <c r="BY58" i="4"/>
  <c r="CG58" i="4" s="1"/>
  <c r="BV58" i="4"/>
  <c r="BT58" i="4"/>
  <c r="BS58" i="4"/>
  <c r="BR58" i="4"/>
  <c r="BQ58" i="4"/>
  <c r="BP58" i="4"/>
  <c r="BO58" i="4"/>
  <c r="BN58" i="4"/>
  <c r="BM58" i="4"/>
  <c r="BU58" i="4" s="1"/>
  <c r="BD58" i="4"/>
  <c r="BB58" i="4"/>
  <c r="BA58" i="4"/>
  <c r="AZ58" i="4"/>
  <c r="AY58" i="4"/>
  <c r="AX58" i="4"/>
  <c r="AW58" i="4"/>
  <c r="AV58" i="4"/>
  <c r="AU58" i="4"/>
  <c r="BC58" i="4" s="1"/>
  <c r="AL58" i="4"/>
  <c r="AJ58" i="4"/>
  <c r="AI58" i="4"/>
  <c r="AH58" i="4"/>
  <c r="AG58" i="4"/>
  <c r="AF58" i="4"/>
  <c r="AE58" i="4"/>
  <c r="AD58" i="4"/>
  <c r="AC58" i="4"/>
  <c r="AK58" i="4" s="1"/>
  <c r="T58" i="4"/>
  <c r="R58" i="4"/>
  <c r="Q58" i="4"/>
  <c r="P58" i="4"/>
  <c r="O58" i="4"/>
  <c r="N58" i="4"/>
  <c r="M58" i="4"/>
  <c r="L58" i="4"/>
  <c r="K58" i="4"/>
  <c r="S58" i="4" s="1"/>
  <c r="CX57" i="4"/>
  <c r="CX61" i="4" s="1"/>
  <c r="CW57" i="4"/>
  <c r="CW61" i="4" s="1"/>
  <c r="CV57" i="4"/>
  <c r="CV61" i="4" s="1"/>
  <c r="CU57" i="4"/>
  <c r="CU61" i="4" s="1"/>
  <c r="CT57" i="4"/>
  <c r="CT61" i="4" s="1"/>
  <c r="CS57" i="4"/>
  <c r="CS61" i="4" s="1"/>
  <c r="CR57" i="4"/>
  <c r="CR61" i="4" s="1"/>
  <c r="CQ57" i="4"/>
  <c r="CQ61" i="4" s="1"/>
  <c r="DH61" i="4" s="1"/>
  <c r="CF57" i="4"/>
  <c r="CF61" i="4" s="1"/>
  <c r="CE57" i="4"/>
  <c r="CE61" i="4" s="1"/>
  <c r="CD57" i="4"/>
  <c r="CD61" i="4" s="1"/>
  <c r="CC57" i="4"/>
  <c r="CC61" i="4" s="1"/>
  <c r="CB57" i="4"/>
  <c r="CB61" i="4" s="1"/>
  <c r="CA57" i="4"/>
  <c r="CA61" i="4" s="1"/>
  <c r="BZ57" i="4"/>
  <c r="BZ61" i="4" s="1"/>
  <c r="BY57" i="4"/>
  <c r="BY61" i="4" s="1"/>
  <c r="CP61" i="4" s="1"/>
  <c r="BV57" i="4"/>
  <c r="BT57" i="4"/>
  <c r="BT61" i="4" s="1"/>
  <c r="BS57" i="4"/>
  <c r="BS61" i="4" s="1"/>
  <c r="BR57" i="4"/>
  <c r="BR61" i="4" s="1"/>
  <c r="BQ57" i="4"/>
  <c r="BQ61" i="4" s="1"/>
  <c r="BP57" i="4"/>
  <c r="BP61" i="4" s="1"/>
  <c r="BO57" i="4"/>
  <c r="BO61" i="4" s="1"/>
  <c r="BN57" i="4"/>
  <c r="BN61" i="4" s="1"/>
  <c r="BM57" i="4"/>
  <c r="BM61" i="4" s="1"/>
  <c r="BD57" i="4"/>
  <c r="BB57" i="4"/>
  <c r="BB61" i="4" s="1"/>
  <c r="BA57" i="4"/>
  <c r="BA61" i="4" s="1"/>
  <c r="AZ57" i="4"/>
  <c r="AZ61" i="4" s="1"/>
  <c r="AY57" i="4"/>
  <c r="AY61" i="4" s="1"/>
  <c r="AX57" i="4"/>
  <c r="AX61" i="4" s="1"/>
  <c r="AW57" i="4"/>
  <c r="AW61" i="4" s="1"/>
  <c r="AV57" i="4"/>
  <c r="AV61" i="4" s="1"/>
  <c r="AU57" i="4"/>
  <c r="AU61" i="4" s="1"/>
  <c r="BC61" i="4" s="1"/>
  <c r="AL57" i="4"/>
  <c r="AJ57" i="4"/>
  <c r="AJ61" i="4" s="1"/>
  <c r="AI57" i="4"/>
  <c r="AI61" i="4" s="1"/>
  <c r="AH57" i="4"/>
  <c r="AH61" i="4" s="1"/>
  <c r="AG57" i="4"/>
  <c r="AG61" i="4" s="1"/>
  <c r="AF57" i="4"/>
  <c r="AF61" i="4" s="1"/>
  <c r="AE57" i="4"/>
  <c r="AE61" i="4" s="1"/>
  <c r="AD57" i="4"/>
  <c r="AD61" i="4" s="1"/>
  <c r="AC57" i="4"/>
  <c r="AC61" i="4" s="1"/>
  <c r="T57" i="4"/>
  <c r="R57" i="4"/>
  <c r="R61" i="4" s="1"/>
  <c r="Q57" i="4"/>
  <c r="Q61" i="4" s="1"/>
  <c r="P57" i="4"/>
  <c r="P61" i="4" s="1"/>
  <c r="O57" i="4"/>
  <c r="O61" i="4" s="1"/>
  <c r="N57" i="4"/>
  <c r="N61" i="4" s="1"/>
  <c r="M57" i="4"/>
  <c r="M61" i="4" s="1"/>
  <c r="L57" i="4"/>
  <c r="L61" i="4" s="1"/>
  <c r="K57" i="4"/>
  <c r="K61" i="4" s="1"/>
  <c r="S61" i="4" s="1"/>
  <c r="BL56" i="4"/>
  <c r="BK56" i="4"/>
  <c r="BJ56" i="4"/>
  <c r="BI56" i="4"/>
  <c r="BH56" i="4"/>
  <c r="BG56" i="4"/>
  <c r="BF56" i="4"/>
  <c r="BV56" i="4" s="1"/>
  <c r="BE56" i="4"/>
  <c r="AT56" i="4"/>
  <c r="AS56" i="4"/>
  <c r="AR56" i="4"/>
  <c r="AQ56" i="4"/>
  <c r="AP56" i="4"/>
  <c r="AO56" i="4"/>
  <c r="AN56" i="4"/>
  <c r="BD56" i="4" s="1"/>
  <c r="AM56" i="4"/>
  <c r="AB56" i="4"/>
  <c r="AA56" i="4"/>
  <c r="Z56" i="4"/>
  <c r="Y56" i="4"/>
  <c r="X56" i="4"/>
  <c r="W56" i="4"/>
  <c r="V56" i="4"/>
  <c r="AL56" i="4" s="1"/>
  <c r="U56" i="4"/>
  <c r="J56" i="4"/>
  <c r="I56" i="4"/>
  <c r="H56" i="4"/>
  <c r="G56" i="4"/>
  <c r="F56" i="4"/>
  <c r="E56" i="4"/>
  <c r="D56" i="4"/>
  <c r="T56" i="4" s="1"/>
  <c r="C56" i="4"/>
  <c r="CX55" i="4"/>
  <c r="DF55" i="4" s="1"/>
  <c r="CW55" i="4"/>
  <c r="DE55" i="4" s="1"/>
  <c r="CV55" i="4"/>
  <c r="DD55" i="4" s="1"/>
  <c r="CU55" i="4"/>
  <c r="DC55" i="4" s="1"/>
  <c r="CT55" i="4"/>
  <c r="DB55" i="4" s="1"/>
  <c r="CS55" i="4"/>
  <c r="DA55" i="4" s="1"/>
  <c r="CR55" i="4"/>
  <c r="DH55" i="4" s="1"/>
  <c r="CQ55" i="4"/>
  <c r="CY55" i="4" s="1"/>
  <c r="CF55" i="4"/>
  <c r="CN55" i="4" s="1"/>
  <c r="CE55" i="4"/>
  <c r="CM55" i="4" s="1"/>
  <c r="CD55" i="4"/>
  <c r="CL55" i="4" s="1"/>
  <c r="CC55" i="4"/>
  <c r="CK55" i="4" s="1"/>
  <c r="CB55" i="4"/>
  <c r="CJ55" i="4" s="1"/>
  <c r="CA55" i="4"/>
  <c r="CI55" i="4" s="1"/>
  <c r="BZ55" i="4"/>
  <c r="CP55" i="4" s="1"/>
  <c r="BY55" i="4"/>
  <c r="CG55" i="4" s="1"/>
  <c r="BV55" i="4"/>
  <c r="BT55" i="4"/>
  <c r="BS55" i="4"/>
  <c r="BR55" i="4"/>
  <c r="BQ55" i="4"/>
  <c r="BP55" i="4"/>
  <c r="BO55" i="4"/>
  <c r="BN55" i="4"/>
  <c r="BM55" i="4"/>
  <c r="BU55" i="4" s="1"/>
  <c r="BD55" i="4"/>
  <c r="BB55" i="4"/>
  <c r="BA55" i="4"/>
  <c r="AZ55" i="4"/>
  <c r="AY55" i="4"/>
  <c r="AX55" i="4"/>
  <c r="AW55" i="4"/>
  <c r="AV55" i="4"/>
  <c r="AU55" i="4"/>
  <c r="BC55" i="4" s="1"/>
  <c r="AL55" i="4"/>
  <c r="AJ55" i="4"/>
  <c r="AI55" i="4"/>
  <c r="AH55" i="4"/>
  <c r="AG55" i="4"/>
  <c r="AF55" i="4"/>
  <c r="AE55" i="4"/>
  <c r="AD55" i="4"/>
  <c r="AC55" i="4"/>
  <c r="AK55" i="4" s="1"/>
  <c r="T55" i="4"/>
  <c r="R55" i="4"/>
  <c r="Q55" i="4"/>
  <c r="P55" i="4"/>
  <c r="O55" i="4"/>
  <c r="N55" i="4"/>
  <c r="M55" i="4"/>
  <c r="L55" i="4"/>
  <c r="K55" i="4"/>
  <c r="S55" i="4" s="1"/>
  <c r="CX54" i="4"/>
  <c r="DF54" i="4" s="1"/>
  <c r="CW54" i="4"/>
  <c r="DE54" i="4" s="1"/>
  <c r="CV54" i="4"/>
  <c r="DD54" i="4" s="1"/>
  <c r="CU54" i="4"/>
  <c r="DC54" i="4" s="1"/>
  <c r="CT54" i="4"/>
  <c r="DB54" i="4" s="1"/>
  <c r="CS54" i="4"/>
  <c r="DA54" i="4" s="1"/>
  <c r="CR54" i="4"/>
  <c r="DH54" i="4" s="1"/>
  <c r="CQ54" i="4"/>
  <c r="CY54" i="4" s="1"/>
  <c r="CF54" i="4"/>
  <c r="CN54" i="4" s="1"/>
  <c r="CE54" i="4"/>
  <c r="CM54" i="4" s="1"/>
  <c r="CD54" i="4"/>
  <c r="CL54" i="4" s="1"/>
  <c r="CC54" i="4"/>
  <c r="CK54" i="4" s="1"/>
  <c r="CB54" i="4"/>
  <c r="CJ54" i="4" s="1"/>
  <c r="CA54" i="4"/>
  <c r="CI54" i="4" s="1"/>
  <c r="BZ54" i="4"/>
  <c r="CP54" i="4" s="1"/>
  <c r="BY54" i="4"/>
  <c r="CG54" i="4" s="1"/>
  <c r="BV54" i="4"/>
  <c r="BT54" i="4"/>
  <c r="BS54" i="4"/>
  <c r="BR54" i="4"/>
  <c r="BQ54" i="4"/>
  <c r="BP54" i="4"/>
  <c r="BO54" i="4"/>
  <c r="BN54" i="4"/>
  <c r="BM54" i="4"/>
  <c r="BU54" i="4" s="1"/>
  <c r="BD54" i="4"/>
  <c r="BB54" i="4"/>
  <c r="BA54" i="4"/>
  <c r="AZ54" i="4"/>
  <c r="AY54" i="4"/>
  <c r="AX54" i="4"/>
  <c r="AW54" i="4"/>
  <c r="AV54" i="4"/>
  <c r="AU54" i="4"/>
  <c r="BC54" i="4" s="1"/>
  <c r="AL54" i="4"/>
  <c r="AJ54" i="4"/>
  <c r="AI54" i="4"/>
  <c r="AH54" i="4"/>
  <c r="AG54" i="4"/>
  <c r="AF54" i="4"/>
  <c r="AE54" i="4"/>
  <c r="AD54" i="4"/>
  <c r="AC54" i="4"/>
  <c r="AK54" i="4" s="1"/>
  <c r="T54" i="4"/>
  <c r="R54" i="4"/>
  <c r="Q54" i="4"/>
  <c r="P54" i="4"/>
  <c r="O54" i="4"/>
  <c r="N54" i="4"/>
  <c r="M54" i="4"/>
  <c r="L54" i="4"/>
  <c r="K54" i="4"/>
  <c r="S54" i="4" s="1"/>
  <c r="CX53" i="4"/>
  <c r="DF53" i="4" s="1"/>
  <c r="CW53" i="4"/>
  <c r="DE53" i="4" s="1"/>
  <c r="CV53" i="4"/>
  <c r="DD53" i="4" s="1"/>
  <c r="CU53" i="4"/>
  <c r="DC53" i="4" s="1"/>
  <c r="CT53" i="4"/>
  <c r="DB53" i="4" s="1"/>
  <c r="CS53" i="4"/>
  <c r="DA53" i="4" s="1"/>
  <c r="CR53" i="4"/>
  <c r="DH53" i="4" s="1"/>
  <c r="CQ53" i="4"/>
  <c r="CY53" i="4" s="1"/>
  <c r="CF53" i="4"/>
  <c r="CN53" i="4" s="1"/>
  <c r="CE53" i="4"/>
  <c r="CM53" i="4" s="1"/>
  <c r="CD53" i="4"/>
  <c r="CL53" i="4" s="1"/>
  <c r="CC53" i="4"/>
  <c r="CK53" i="4" s="1"/>
  <c r="CB53" i="4"/>
  <c r="CJ53" i="4" s="1"/>
  <c r="CA53" i="4"/>
  <c r="CI53" i="4" s="1"/>
  <c r="BZ53" i="4"/>
  <c r="CP53" i="4" s="1"/>
  <c r="BY53" i="4"/>
  <c r="CG53" i="4" s="1"/>
  <c r="BV53" i="4"/>
  <c r="BT53" i="4"/>
  <c r="BS53" i="4"/>
  <c r="BR53" i="4"/>
  <c r="BQ53" i="4"/>
  <c r="BP53" i="4"/>
  <c r="BO53" i="4"/>
  <c r="BN53" i="4"/>
  <c r="BM53" i="4"/>
  <c r="BU53" i="4" s="1"/>
  <c r="BD53" i="4"/>
  <c r="BB53" i="4"/>
  <c r="BA53" i="4"/>
  <c r="AZ53" i="4"/>
  <c r="AY53" i="4"/>
  <c r="AX53" i="4"/>
  <c r="AW53" i="4"/>
  <c r="AV53" i="4"/>
  <c r="AU53" i="4"/>
  <c r="BC53" i="4" s="1"/>
  <c r="AL53" i="4"/>
  <c r="AJ53" i="4"/>
  <c r="AI53" i="4"/>
  <c r="AH53" i="4"/>
  <c r="AG53" i="4"/>
  <c r="AF53" i="4"/>
  <c r="AE53" i="4"/>
  <c r="AD53" i="4"/>
  <c r="AC53" i="4"/>
  <c r="AK53" i="4" s="1"/>
  <c r="T53" i="4"/>
  <c r="R53" i="4"/>
  <c r="Q53" i="4"/>
  <c r="P53" i="4"/>
  <c r="O53" i="4"/>
  <c r="N53" i="4"/>
  <c r="M53" i="4"/>
  <c r="L53" i="4"/>
  <c r="K53" i="4"/>
  <c r="S53" i="4" s="1"/>
  <c r="CX52" i="4"/>
  <c r="CX56" i="4" s="1"/>
  <c r="CW52" i="4"/>
  <c r="CW56" i="4" s="1"/>
  <c r="CV52" i="4"/>
  <c r="CV56" i="4" s="1"/>
  <c r="CU52" i="4"/>
  <c r="CU56" i="4" s="1"/>
  <c r="CT52" i="4"/>
  <c r="CT56" i="4" s="1"/>
  <c r="CS52" i="4"/>
  <c r="CS56" i="4" s="1"/>
  <c r="CR52" i="4"/>
  <c r="CR56" i="4" s="1"/>
  <c r="CQ52" i="4"/>
  <c r="CQ56" i="4" s="1"/>
  <c r="DH56" i="4" s="1"/>
  <c r="CF52" i="4"/>
  <c r="CF56" i="4" s="1"/>
  <c r="CE52" i="4"/>
  <c r="CE56" i="4" s="1"/>
  <c r="CD52" i="4"/>
  <c r="CD56" i="4" s="1"/>
  <c r="CC52" i="4"/>
  <c r="CC56" i="4" s="1"/>
  <c r="CB52" i="4"/>
  <c r="CB56" i="4" s="1"/>
  <c r="CA52" i="4"/>
  <c r="CA56" i="4" s="1"/>
  <c r="BZ52" i="4"/>
  <c r="BZ56" i="4" s="1"/>
  <c r="BY52" i="4"/>
  <c r="BY56" i="4" s="1"/>
  <c r="CP56" i="4" s="1"/>
  <c r="BV52" i="4"/>
  <c r="BT52" i="4"/>
  <c r="BT56" i="4" s="1"/>
  <c r="BS52" i="4"/>
  <c r="BS56" i="4" s="1"/>
  <c r="BR52" i="4"/>
  <c r="BR56" i="4" s="1"/>
  <c r="BQ52" i="4"/>
  <c r="BQ56" i="4" s="1"/>
  <c r="BP52" i="4"/>
  <c r="BP56" i="4" s="1"/>
  <c r="BO52" i="4"/>
  <c r="BO56" i="4" s="1"/>
  <c r="BN52" i="4"/>
  <c r="BN56" i="4" s="1"/>
  <c r="BM52" i="4"/>
  <c r="BM56" i="4" s="1"/>
  <c r="BD52" i="4"/>
  <c r="BB52" i="4"/>
  <c r="BB56" i="4" s="1"/>
  <c r="BA52" i="4"/>
  <c r="BA56" i="4" s="1"/>
  <c r="AZ52" i="4"/>
  <c r="AZ56" i="4" s="1"/>
  <c r="AY52" i="4"/>
  <c r="AY56" i="4" s="1"/>
  <c r="AX52" i="4"/>
  <c r="AX56" i="4" s="1"/>
  <c r="AW52" i="4"/>
  <c r="AW56" i="4" s="1"/>
  <c r="AV52" i="4"/>
  <c r="AV56" i="4" s="1"/>
  <c r="AU52" i="4"/>
  <c r="AU56" i="4" s="1"/>
  <c r="BC56" i="4" s="1"/>
  <c r="AL52" i="4"/>
  <c r="AJ52" i="4"/>
  <c r="AJ56" i="4" s="1"/>
  <c r="AI52" i="4"/>
  <c r="AI56" i="4" s="1"/>
  <c r="AH52" i="4"/>
  <c r="AH56" i="4" s="1"/>
  <c r="AG52" i="4"/>
  <c r="AG56" i="4" s="1"/>
  <c r="AF52" i="4"/>
  <c r="AF56" i="4" s="1"/>
  <c r="AE52" i="4"/>
  <c r="AE56" i="4" s="1"/>
  <c r="AD52" i="4"/>
  <c r="AD56" i="4" s="1"/>
  <c r="AC52" i="4"/>
  <c r="AC56" i="4" s="1"/>
  <c r="T52" i="4"/>
  <c r="R52" i="4"/>
  <c r="R56" i="4" s="1"/>
  <c r="Q52" i="4"/>
  <c r="Q56" i="4" s="1"/>
  <c r="P52" i="4"/>
  <c r="P56" i="4" s="1"/>
  <c r="O52" i="4"/>
  <c r="O56" i="4" s="1"/>
  <c r="N52" i="4"/>
  <c r="N56" i="4" s="1"/>
  <c r="M52" i="4"/>
  <c r="M56" i="4" s="1"/>
  <c r="L52" i="4"/>
  <c r="L56" i="4" s="1"/>
  <c r="K52" i="4"/>
  <c r="K56" i="4" s="1"/>
  <c r="S56" i="4" s="1"/>
  <c r="BL51" i="4"/>
  <c r="BK51" i="4"/>
  <c r="BJ51" i="4"/>
  <c r="BI51" i="4"/>
  <c r="BH51" i="4"/>
  <c r="BG51" i="4"/>
  <c r="BF51" i="4"/>
  <c r="BV51" i="4" s="1"/>
  <c r="BE51" i="4"/>
  <c r="AT51" i="4"/>
  <c r="AS51" i="4"/>
  <c r="AR51" i="4"/>
  <c r="AQ51" i="4"/>
  <c r="AP51" i="4"/>
  <c r="AO51" i="4"/>
  <c r="AN51" i="4"/>
  <c r="BD51" i="4" s="1"/>
  <c r="AM51" i="4"/>
  <c r="AB51" i="4"/>
  <c r="AA51" i="4"/>
  <c r="Z51" i="4"/>
  <c r="Y51" i="4"/>
  <c r="X51" i="4"/>
  <c r="W51" i="4"/>
  <c r="V51" i="4"/>
  <c r="AL51" i="4" s="1"/>
  <c r="U51" i="4"/>
  <c r="J51" i="4"/>
  <c r="I51" i="4"/>
  <c r="H51" i="4"/>
  <c r="G51" i="4"/>
  <c r="F51" i="4"/>
  <c r="E51" i="4"/>
  <c r="D51" i="4"/>
  <c r="T51" i="4" s="1"/>
  <c r="C51" i="4"/>
  <c r="CX50" i="4"/>
  <c r="DF50" i="4" s="1"/>
  <c r="CW50" i="4"/>
  <c r="DE50" i="4" s="1"/>
  <c r="CV50" i="4"/>
  <c r="DD50" i="4" s="1"/>
  <c r="CU50" i="4"/>
  <c r="DC50" i="4" s="1"/>
  <c r="CT50" i="4"/>
  <c r="DB50" i="4" s="1"/>
  <c r="CS50" i="4"/>
  <c r="DA50" i="4" s="1"/>
  <c r="CR50" i="4"/>
  <c r="DH50" i="4" s="1"/>
  <c r="CQ50" i="4"/>
  <c r="CY50" i="4" s="1"/>
  <c r="CF50" i="4"/>
  <c r="CN50" i="4" s="1"/>
  <c r="CE50" i="4"/>
  <c r="CM50" i="4" s="1"/>
  <c r="CD50" i="4"/>
  <c r="CL50" i="4" s="1"/>
  <c r="CC50" i="4"/>
  <c r="CK50" i="4" s="1"/>
  <c r="CB50" i="4"/>
  <c r="CJ50" i="4" s="1"/>
  <c r="CA50" i="4"/>
  <c r="CI50" i="4" s="1"/>
  <c r="BZ50" i="4"/>
  <c r="CP50" i="4" s="1"/>
  <c r="BY50" i="4"/>
  <c r="CG50" i="4" s="1"/>
  <c r="BV50" i="4"/>
  <c r="BT50" i="4"/>
  <c r="BS50" i="4"/>
  <c r="BR50" i="4"/>
  <c r="BQ50" i="4"/>
  <c r="BP50" i="4"/>
  <c r="BO50" i="4"/>
  <c r="BN50" i="4"/>
  <c r="BM50" i="4"/>
  <c r="BU50" i="4" s="1"/>
  <c r="BD50" i="4"/>
  <c r="BB50" i="4"/>
  <c r="BA50" i="4"/>
  <c r="AZ50" i="4"/>
  <c r="AY50" i="4"/>
  <c r="AX50" i="4"/>
  <c r="AW50" i="4"/>
  <c r="AV50" i="4"/>
  <c r="AU50" i="4"/>
  <c r="BC50" i="4" s="1"/>
  <c r="AL50" i="4"/>
  <c r="AJ50" i="4"/>
  <c r="AI50" i="4"/>
  <c r="AH50" i="4"/>
  <c r="AG50" i="4"/>
  <c r="AF50" i="4"/>
  <c r="AE50" i="4"/>
  <c r="AD50" i="4"/>
  <c r="AC50" i="4"/>
  <c r="AK50" i="4" s="1"/>
  <c r="T50" i="4"/>
  <c r="R50" i="4"/>
  <c r="Q50" i="4"/>
  <c r="P50" i="4"/>
  <c r="O50" i="4"/>
  <c r="N50" i="4"/>
  <c r="M50" i="4"/>
  <c r="L50" i="4"/>
  <c r="K50" i="4"/>
  <c r="S50" i="4" s="1"/>
  <c r="CX49" i="4"/>
  <c r="DF49" i="4" s="1"/>
  <c r="CW49" i="4"/>
  <c r="DE49" i="4" s="1"/>
  <c r="CV49" i="4"/>
  <c r="DD49" i="4" s="1"/>
  <c r="CU49" i="4"/>
  <c r="DC49" i="4" s="1"/>
  <c r="CT49" i="4"/>
  <c r="DB49" i="4" s="1"/>
  <c r="CS49" i="4"/>
  <c r="DA49" i="4" s="1"/>
  <c r="CR49" i="4"/>
  <c r="DH49" i="4" s="1"/>
  <c r="CQ49" i="4"/>
  <c r="CY49" i="4" s="1"/>
  <c r="CF49" i="4"/>
  <c r="CN49" i="4" s="1"/>
  <c r="CE49" i="4"/>
  <c r="CM49" i="4" s="1"/>
  <c r="CD49" i="4"/>
  <c r="CL49" i="4" s="1"/>
  <c r="CC49" i="4"/>
  <c r="CK49" i="4" s="1"/>
  <c r="CB49" i="4"/>
  <c r="CJ49" i="4" s="1"/>
  <c r="CA49" i="4"/>
  <c r="CI49" i="4" s="1"/>
  <c r="BZ49" i="4"/>
  <c r="CP49" i="4" s="1"/>
  <c r="BY49" i="4"/>
  <c r="CG49" i="4" s="1"/>
  <c r="BV49" i="4"/>
  <c r="BT49" i="4"/>
  <c r="BS49" i="4"/>
  <c r="BR49" i="4"/>
  <c r="BQ49" i="4"/>
  <c r="BP49" i="4"/>
  <c r="BO49" i="4"/>
  <c r="BN49" i="4"/>
  <c r="BM49" i="4"/>
  <c r="BU49" i="4" s="1"/>
  <c r="BD49" i="4"/>
  <c r="BB49" i="4"/>
  <c r="BA49" i="4"/>
  <c r="AZ49" i="4"/>
  <c r="AY49" i="4"/>
  <c r="AX49" i="4"/>
  <c r="AW49" i="4"/>
  <c r="AV49" i="4"/>
  <c r="AU49" i="4"/>
  <c r="BC49" i="4" s="1"/>
  <c r="AL49" i="4"/>
  <c r="AJ49" i="4"/>
  <c r="AI49" i="4"/>
  <c r="AH49" i="4"/>
  <c r="AG49" i="4"/>
  <c r="AF49" i="4"/>
  <c r="AE49" i="4"/>
  <c r="AD49" i="4"/>
  <c r="AC49" i="4"/>
  <c r="AK49" i="4" s="1"/>
  <c r="T49" i="4"/>
  <c r="R49" i="4"/>
  <c r="Q49" i="4"/>
  <c r="P49" i="4"/>
  <c r="O49" i="4"/>
  <c r="N49" i="4"/>
  <c r="M49" i="4"/>
  <c r="L49" i="4"/>
  <c r="K49" i="4"/>
  <c r="S49" i="4" s="1"/>
  <c r="CX48" i="4"/>
  <c r="DF48" i="4" s="1"/>
  <c r="CW48" i="4"/>
  <c r="DE48" i="4" s="1"/>
  <c r="CV48" i="4"/>
  <c r="DD48" i="4" s="1"/>
  <c r="CU48" i="4"/>
  <c r="DC48" i="4" s="1"/>
  <c r="CT48" i="4"/>
  <c r="DB48" i="4" s="1"/>
  <c r="CS48" i="4"/>
  <c r="DA48" i="4" s="1"/>
  <c r="CR48" i="4"/>
  <c r="DH48" i="4" s="1"/>
  <c r="CQ48" i="4"/>
  <c r="CY48" i="4" s="1"/>
  <c r="CF48" i="4"/>
  <c r="CN48" i="4" s="1"/>
  <c r="CE48" i="4"/>
  <c r="CM48" i="4" s="1"/>
  <c r="CD48" i="4"/>
  <c r="CL48" i="4" s="1"/>
  <c r="CC48" i="4"/>
  <c r="CK48" i="4" s="1"/>
  <c r="CB48" i="4"/>
  <c r="CJ48" i="4" s="1"/>
  <c r="CA48" i="4"/>
  <c r="CI48" i="4" s="1"/>
  <c r="BZ48" i="4"/>
  <c r="CP48" i="4" s="1"/>
  <c r="BY48" i="4"/>
  <c r="CG48" i="4" s="1"/>
  <c r="BV48" i="4"/>
  <c r="BT48" i="4"/>
  <c r="BS48" i="4"/>
  <c r="BR48" i="4"/>
  <c r="BQ48" i="4"/>
  <c r="BP48" i="4"/>
  <c r="BO48" i="4"/>
  <c r="BN48" i="4"/>
  <c r="BM48" i="4"/>
  <c r="BU48" i="4" s="1"/>
  <c r="BD48" i="4"/>
  <c r="BB48" i="4"/>
  <c r="BA48" i="4"/>
  <c r="AZ48" i="4"/>
  <c r="AY48" i="4"/>
  <c r="AX48" i="4"/>
  <c r="AW48" i="4"/>
  <c r="AV48" i="4"/>
  <c r="AU48" i="4"/>
  <c r="BC48" i="4" s="1"/>
  <c r="AL48" i="4"/>
  <c r="AJ48" i="4"/>
  <c r="AI48" i="4"/>
  <c r="AH48" i="4"/>
  <c r="AG48" i="4"/>
  <c r="AF48" i="4"/>
  <c r="AE48" i="4"/>
  <c r="AD48" i="4"/>
  <c r="AC48" i="4"/>
  <c r="AK48" i="4" s="1"/>
  <c r="T48" i="4"/>
  <c r="R48" i="4"/>
  <c r="Q48" i="4"/>
  <c r="P48" i="4"/>
  <c r="O48" i="4"/>
  <c r="N48" i="4"/>
  <c r="M48" i="4"/>
  <c r="L48" i="4"/>
  <c r="K48" i="4"/>
  <c r="S48" i="4" s="1"/>
  <c r="CX47" i="4"/>
  <c r="CX51" i="4" s="1"/>
  <c r="CW47" i="4"/>
  <c r="CW51" i="4" s="1"/>
  <c r="CV47" i="4"/>
  <c r="CV51" i="4" s="1"/>
  <c r="CU47" i="4"/>
  <c r="CU51" i="4" s="1"/>
  <c r="CT47" i="4"/>
  <c r="CT51" i="4" s="1"/>
  <c r="CS47" i="4"/>
  <c r="CS51" i="4" s="1"/>
  <c r="CR47" i="4"/>
  <c r="CR51" i="4" s="1"/>
  <c r="CQ47" i="4"/>
  <c r="CQ51" i="4" s="1"/>
  <c r="DH51" i="4" s="1"/>
  <c r="CF47" i="4"/>
  <c r="CF51" i="4" s="1"/>
  <c r="CE47" i="4"/>
  <c r="CE51" i="4" s="1"/>
  <c r="CD47" i="4"/>
  <c r="CD51" i="4" s="1"/>
  <c r="CC47" i="4"/>
  <c r="CC51" i="4" s="1"/>
  <c r="CB47" i="4"/>
  <c r="CB51" i="4" s="1"/>
  <c r="CA47" i="4"/>
  <c r="CA51" i="4" s="1"/>
  <c r="BZ47" i="4"/>
  <c r="BZ51" i="4" s="1"/>
  <c r="BY47" i="4"/>
  <c r="BY51" i="4" s="1"/>
  <c r="CP51" i="4" s="1"/>
  <c r="BV47" i="4"/>
  <c r="BT47" i="4"/>
  <c r="BT51" i="4" s="1"/>
  <c r="BS47" i="4"/>
  <c r="BS51" i="4" s="1"/>
  <c r="BR47" i="4"/>
  <c r="BR51" i="4" s="1"/>
  <c r="BQ47" i="4"/>
  <c r="BQ51" i="4" s="1"/>
  <c r="BP47" i="4"/>
  <c r="BP51" i="4" s="1"/>
  <c r="BO47" i="4"/>
  <c r="BO51" i="4" s="1"/>
  <c r="BN47" i="4"/>
  <c r="BN51" i="4" s="1"/>
  <c r="BM47" i="4"/>
  <c r="BM51" i="4" s="1"/>
  <c r="BD47" i="4"/>
  <c r="BB47" i="4"/>
  <c r="BB51" i="4" s="1"/>
  <c r="BA47" i="4"/>
  <c r="BA51" i="4" s="1"/>
  <c r="AZ47" i="4"/>
  <c r="AZ51" i="4" s="1"/>
  <c r="AY47" i="4"/>
  <c r="AY51" i="4" s="1"/>
  <c r="AX47" i="4"/>
  <c r="AX51" i="4" s="1"/>
  <c r="AW47" i="4"/>
  <c r="AW51" i="4" s="1"/>
  <c r="AV47" i="4"/>
  <c r="AV51" i="4" s="1"/>
  <c r="AU47" i="4"/>
  <c r="AU51" i="4" s="1"/>
  <c r="BC51" i="4" s="1"/>
  <c r="AL47" i="4"/>
  <c r="AJ47" i="4"/>
  <c r="AJ51" i="4" s="1"/>
  <c r="AI47" i="4"/>
  <c r="AI51" i="4" s="1"/>
  <c r="AH47" i="4"/>
  <c r="AH51" i="4" s="1"/>
  <c r="AG47" i="4"/>
  <c r="AG51" i="4" s="1"/>
  <c r="AF47" i="4"/>
  <c r="AF51" i="4" s="1"/>
  <c r="AE47" i="4"/>
  <c r="AE51" i="4" s="1"/>
  <c r="AD47" i="4"/>
  <c r="AD51" i="4" s="1"/>
  <c r="AC47" i="4"/>
  <c r="AC51" i="4" s="1"/>
  <c r="T47" i="4"/>
  <c r="R47" i="4"/>
  <c r="R51" i="4" s="1"/>
  <c r="Q47" i="4"/>
  <c r="Q51" i="4" s="1"/>
  <c r="P47" i="4"/>
  <c r="P51" i="4" s="1"/>
  <c r="O47" i="4"/>
  <c r="O51" i="4" s="1"/>
  <c r="N47" i="4"/>
  <c r="N51" i="4" s="1"/>
  <c r="M47" i="4"/>
  <c r="M51" i="4" s="1"/>
  <c r="L47" i="4"/>
  <c r="L51" i="4" s="1"/>
  <c r="K47" i="4"/>
  <c r="K51" i="4" s="1"/>
  <c r="S51" i="4" s="1"/>
  <c r="BL46" i="4"/>
  <c r="BK46" i="4"/>
  <c r="BJ46" i="4"/>
  <c r="BI46" i="4"/>
  <c r="BH46" i="4"/>
  <c r="BG46" i="4"/>
  <c r="BF46" i="4"/>
  <c r="BV46" i="4" s="1"/>
  <c r="BE46" i="4"/>
  <c r="AT46" i="4"/>
  <c r="AS46" i="4"/>
  <c r="AR46" i="4"/>
  <c r="AQ46" i="4"/>
  <c r="AP46" i="4"/>
  <c r="AO46" i="4"/>
  <c r="AN46" i="4"/>
  <c r="BD46" i="4" s="1"/>
  <c r="AM46" i="4"/>
  <c r="AB46" i="4"/>
  <c r="AA46" i="4"/>
  <c r="Z46" i="4"/>
  <c r="Y46" i="4"/>
  <c r="X46" i="4"/>
  <c r="W46" i="4"/>
  <c r="V46" i="4"/>
  <c r="AL46" i="4" s="1"/>
  <c r="U46" i="4"/>
  <c r="J46" i="4"/>
  <c r="I46" i="4"/>
  <c r="H46" i="4"/>
  <c r="G46" i="4"/>
  <c r="F46" i="4"/>
  <c r="E46" i="4"/>
  <c r="D46" i="4"/>
  <c r="T46" i="4" s="1"/>
  <c r="C46" i="4"/>
  <c r="CX45" i="4"/>
  <c r="DF45" i="4" s="1"/>
  <c r="CW45" i="4"/>
  <c r="DE45" i="4" s="1"/>
  <c r="CV45" i="4"/>
  <c r="DD45" i="4" s="1"/>
  <c r="CU45" i="4"/>
  <c r="DC45" i="4" s="1"/>
  <c r="CT45" i="4"/>
  <c r="DB45" i="4" s="1"/>
  <c r="CS45" i="4"/>
  <c r="DA45" i="4" s="1"/>
  <c r="CR45" i="4"/>
  <c r="DH45" i="4" s="1"/>
  <c r="CQ45" i="4"/>
  <c r="CY45" i="4" s="1"/>
  <c r="CF45" i="4"/>
  <c r="CN45" i="4" s="1"/>
  <c r="CE45" i="4"/>
  <c r="CM45" i="4" s="1"/>
  <c r="CD45" i="4"/>
  <c r="CL45" i="4" s="1"/>
  <c r="CC45" i="4"/>
  <c r="CK45" i="4" s="1"/>
  <c r="CB45" i="4"/>
  <c r="CJ45" i="4" s="1"/>
  <c r="CA45" i="4"/>
  <c r="CI45" i="4" s="1"/>
  <c r="BZ45" i="4"/>
  <c r="CP45" i="4" s="1"/>
  <c r="BY45" i="4"/>
  <c r="CG45" i="4" s="1"/>
  <c r="BV45" i="4"/>
  <c r="BT45" i="4"/>
  <c r="BS45" i="4"/>
  <c r="BR45" i="4"/>
  <c r="BQ45" i="4"/>
  <c r="BP45" i="4"/>
  <c r="BO45" i="4"/>
  <c r="BN45" i="4"/>
  <c r="BM45" i="4"/>
  <c r="BU45" i="4" s="1"/>
  <c r="BD45" i="4"/>
  <c r="BB45" i="4"/>
  <c r="BA45" i="4"/>
  <c r="AZ45" i="4"/>
  <c r="AY45" i="4"/>
  <c r="AX45" i="4"/>
  <c r="AW45" i="4"/>
  <c r="AV45" i="4"/>
  <c r="AU45" i="4"/>
  <c r="BC45" i="4" s="1"/>
  <c r="AL45" i="4"/>
  <c r="AJ45" i="4"/>
  <c r="AI45" i="4"/>
  <c r="AH45" i="4"/>
  <c r="AG45" i="4"/>
  <c r="AF45" i="4"/>
  <c r="AE45" i="4"/>
  <c r="AD45" i="4"/>
  <c r="AC45" i="4"/>
  <c r="AK45" i="4" s="1"/>
  <c r="T45" i="4"/>
  <c r="R45" i="4"/>
  <c r="Q45" i="4"/>
  <c r="P45" i="4"/>
  <c r="O45" i="4"/>
  <c r="N45" i="4"/>
  <c r="M45" i="4"/>
  <c r="L45" i="4"/>
  <c r="K45" i="4"/>
  <c r="S45" i="4" s="1"/>
  <c r="CX44" i="4"/>
  <c r="DF44" i="4" s="1"/>
  <c r="CW44" i="4"/>
  <c r="DE44" i="4" s="1"/>
  <c r="CV44" i="4"/>
  <c r="DD44" i="4" s="1"/>
  <c r="CU44" i="4"/>
  <c r="DC44" i="4" s="1"/>
  <c r="CT44" i="4"/>
  <c r="DB44" i="4" s="1"/>
  <c r="CS44" i="4"/>
  <c r="DA44" i="4" s="1"/>
  <c r="CR44" i="4"/>
  <c r="DH44" i="4" s="1"/>
  <c r="CQ44" i="4"/>
  <c r="CY44" i="4" s="1"/>
  <c r="CF44" i="4"/>
  <c r="CN44" i="4" s="1"/>
  <c r="CE44" i="4"/>
  <c r="CM44" i="4" s="1"/>
  <c r="CD44" i="4"/>
  <c r="CL44" i="4" s="1"/>
  <c r="CC44" i="4"/>
  <c r="CK44" i="4" s="1"/>
  <c r="CB44" i="4"/>
  <c r="CJ44" i="4" s="1"/>
  <c r="CA44" i="4"/>
  <c r="CI44" i="4" s="1"/>
  <c r="BZ44" i="4"/>
  <c r="CP44" i="4" s="1"/>
  <c r="BY44" i="4"/>
  <c r="CG44" i="4" s="1"/>
  <c r="BV44" i="4"/>
  <c r="BT44" i="4"/>
  <c r="BS44" i="4"/>
  <c r="BR44" i="4"/>
  <c r="BQ44" i="4"/>
  <c r="BP44" i="4"/>
  <c r="BO44" i="4"/>
  <c r="BN44" i="4"/>
  <c r="BM44" i="4"/>
  <c r="BU44" i="4" s="1"/>
  <c r="BD44" i="4"/>
  <c r="BB44" i="4"/>
  <c r="BA44" i="4"/>
  <c r="AZ44" i="4"/>
  <c r="AY44" i="4"/>
  <c r="AX44" i="4"/>
  <c r="AW44" i="4"/>
  <c r="AV44" i="4"/>
  <c r="AU44" i="4"/>
  <c r="BC44" i="4" s="1"/>
  <c r="AL44" i="4"/>
  <c r="AJ44" i="4"/>
  <c r="AI44" i="4"/>
  <c r="AH44" i="4"/>
  <c r="AG44" i="4"/>
  <c r="AF44" i="4"/>
  <c r="AE44" i="4"/>
  <c r="AD44" i="4"/>
  <c r="AC44" i="4"/>
  <c r="AK44" i="4" s="1"/>
  <c r="T44" i="4"/>
  <c r="R44" i="4"/>
  <c r="Q44" i="4"/>
  <c r="P44" i="4"/>
  <c r="O44" i="4"/>
  <c r="N44" i="4"/>
  <c r="M44" i="4"/>
  <c r="L44" i="4"/>
  <c r="K44" i="4"/>
  <c r="S44" i="4" s="1"/>
  <c r="CX43" i="4"/>
  <c r="DF43" i="4" s="1"/>
  <c r="CW43" i="4"/>
  <c r="DE43" i="4" s="1"/>
  <c r="CV43" i="4"/>
  <c r="DD43" i="4" s="1"/>
  <c r="CU43" i="4"/>
  <c r="DC43" i="4" s="1"/>
  <c r="CT43" i="4"/>
  <c r="DB43" i="4" s="1"/>
  <c r="CS43" i="4"/>
  <c r="DA43" i="4" s="1"/>
  <c r="CR43" i="4"/>
  <c r="DH43" i="4" s="1"/>
  <c r="CQ43" i="4"/>
  <c r="CY43" i="4" s="1"/>
  <c r="CF43" i="4"/>
  <c r="CN43" i="4" s="1"/>
  <c r="CE43" i="4"/>
  <c r="CM43" i="4" s="1"/>
  <c r="CD43" i="4"/>
  <c r="CL43" i="4" s="1"/>
  <c r="CC43" i="4"/>
  <c r="CK43" i="4" s="1"/>
  <c r="CB43" i="4"/>
  <c r="CJ43" i="4" s="1"/>
  <c r="CA43" i="4"/>
  <c r="CI43" i="4" s="1"/>
  <c r="BZ43" i="4"/>
  <c r="CP43" i="4" s="1"/>
  <c r="BY43" i="4"/>
  <c r="CG43" i="4" s="1"/>
  <c r="BV43" i="4"/>
  <c r="BT43" i="4"/>
  <c r="BS43" i="4"/>
  <c r="BR43" i="4"/>
  <c r="BQ43" i="4"/>
  <c r="BP43" i="4"/>
  <c r="BO43" i="4"/>
  <c r="BN43" i="4"/>
  <c r="BM43" i="4"/>
  <c r="BU43" i="4" s="1"/>
  <c r="BD43" i="4"/>
  <c r="BB43" i="4"/>
  <c r="BA43" i="4"/>
  <c r="AZ43" i="4"/>
  <c r="AY43" i="4"/>
  <c r="AX43" i="4"/>
  <c r="AW43" i="4"/>
  <c r="AV43" i="4"/>
  <c r="AU43" i="4"/>
  <c r="BC43" i="4" s="1"/>
  <c r="AL43" i="4"/>
  <c r="AJ43" i="4"/>
  <c r="AI43" i="4"/>
  <c r="AH43" i="4"/>
  <c r="AG43" i="4"/>
  <c r="AF43" i="4"/>
  <c r="AE43" i="4"/>
  <c r="AD43" i="4"/>
  <c r="AC43" i="4"/>
  <c r="AK43" i="4" s="1"/>
  <c r="T43" i="4"/>
  <c r="R43" i="4"/>
  <c r="Q43" i="4"/>
  <c r="P43" i="4"/>
  <c r="O43" i="4"/>
  <c r="N43" i="4"/>
  <c r="M43" i="4"/>
  <c r="L43" i="4"/>
  <c r="K43" i="4"/>
  <c r="S43" i="4" s="1"/>
  <c r="CX42" i="4"/>
  <c r="CX46" i="4" s="1"/>
  <c r="CW42" i="4"/>
  <c r="CW46" i="4" s="1"/>
  <c r="CV42" i="4"/>
  <c r="CV46" i="4" s="1"/>
  <c r="CU42" i="4"/>
  <c r="CU46" i="4" s="1"/>
  <c r="CT42" i="4"/>
  <c r="CT46" i="4" s="1"/>
  <c r="CS42" i="4"/>
  <c r="CS46" i="4" s="1"/>
  <c r="CR42" i="4"/>
  <c r="CR46" i="4" s="1"/>
  <c r="CQ42" i="4"/>
  <c r="CQ46" i="4" s="1"/>
  <c r="DH46" i="4" s="1"/>
  <c r="CF42" i="4"/>
  <c r="CF46" i="4" s="1"/>
  <c r="CE42" i="4"/>
  <c r="CE46" i="4" s="1"/>
  <c r="CD42" i="4"/>
  <c r="CD46" i="4" s="1"/>
  <c r="CC42" i="4"/>
  <c r="CC46" i="4" s="1"/>
  <c r="CB42" i="4"/>
  <c r="CB46" i="4" s="1"/>
  <c r="CA42" i="4"/>
  <c r="CA46" i="4" s="1"/>
  <c r="BZ42" i="4"/>
  <c r="BZ46" i="4" s="1"/>
  <c r="BY42" i="4"/>
  <c r="BY46" i="4" s="1"/>
  <c r="CP46" i="4" s="1"/>
  <c r="BV42" i="4"/>
  <c r="BT42" i="4"/>
  <c r="BT46" i="4" s="1"/>
  <c r="BS42" i="4"/>
  <c r="BS46" i="4" s="1"/>
  <c r="BR42" i="4"/>
  <c r="BR46" i="4" s="1"/>
  <c r="BQ42" i="4"/>
  <c r="BQ46" i="4" s="1"/>
  <c r="BP42" i="4"/>
  <c r="BP46" i="4" s="1"/>
  <c r="BO42" i="4"/>
  <c r="BO46" i="4" s="1"/>
  <c r="BN42" i="4"/>
  <c r="BN46" i="4" s="1"/>
  <c r="BM42" i="4"/>
  <c r="BM46" i="4" s="1"/>
  <c r="BD42" i="4"/>
  <c r="BB42" i="4"/>
  <c r="BB46" i="4" s="1"/>
  <c r="BA42" i="4"/>
  <c r="BA46" i="4" s="1"/>
  <c r="AZ42" i="4"/>
  <c r="AZ46" i="4" s="1"/>
  <c r="AY42" i="4"/>
  <c r="AY46" i="4" s="1"/>
  <c r="AX42" i="4"/>
  <c r="AX46" i="4" s="1"/>
  <c r="AW42" i="4"/>
  <c r="AW46" i="4" s="1"/>
  <c r="AV42" i="4"/>
  <c r="AV46" i="4" s="1"/>
  <c r="AU42" i="4"/>
  <c r="AU46" i="4" s="1"/>
  <c r="BC46" i="4" s="1"/>
  <c r="AL42" i="4"/>
  <c r="AJ42" i="4"/>
  <c r="AJ46" i="4" s="1"/>
  <c r="AI42" i="4"/>
  <c r="AI46" i="4" s="1"/>
  <c r="AH42" i="4"/>
  <c r="AH46" i="4" s="1"/>
  <c r="AG42" i="4"/>
  <c r="AG46" i="4" s="1"/>
  <c r="AF42" i="4"/>
  <c r="AF46" i="4" s="1"/>
  <c r="AE42" i="4"/>
  <c r="AE46" i="4" s="1"/>
  <c r="AD42" i="4"/>
  <c r="AD46" i="4" s="1"/>
  <c r="AC42" i="4"/>
  <c r="AC46" i="4" s="1"/>
  <c r="T42" i="4"/>
  <c r="R42" i="4"/>
  <c r="R46" i="4" s="1"/>
  <c r="Q42" i="4"/>
  <c r="Q46" i="4" s="1"/>
  <c r="P42" i="4"/>
  <c r="P46" i="4" s="1"/>
  <c r="O42" i="4"/>
  <c r="O46" i="4" s="1"/>
  <c r="N42" i="4"/>
  <c r="N46" i="4" s="1"/>
  <c r="M42" i="4"/>
  <c r="M46" i="4" s="1"/>
  <c r="L42" i="4"/>
  <c r="L46" i="4" s="1"/>
  <c r="K42" i="4"/>
  <c r="K46" i="4" s="1"/>
  <c r="S46" i="4" s="1"/>
  <c r="BL41" i="4"/>
  <c r="BK41" i="4"/>
  <c r="BJ41" i="4"/>
  <c r="BI41" i="4"/>
  <c r="BH41" i="4"/>
  <c r="BG41" i="4"/>
  <c r="BF41" i="4"/>
  <c r="BV41" i="4" s="1"/>
  <c r="BE41" i="4"/>
  <c r="AT41" i="4"/>
  <c r="AS41" i="4"/>
  <c r="AR41" i="4"/>
  <c r="AQ41" i="4"/>
  <c r="AP41" i="4"/>
  <c r="AO41" i="4"/>
  <c r="AN41" i="4"/>
  <c r="BD41" i="4" s="1"/>
  <c r="AM41" i="4"/>
  <c r="AB41" i="4"/>
  <c r="AA41" i="4"/>
  <c r="Z41" i="4"/>
  <c r="Y41" i="4"/>
  <c r="X41" i="4"/>
  <c r="W41" i="4"/>
  <c r="V41" i="4"/>
  <c r="AL41" i="4" s="1"/>
  <c r="U41" i="4"/>
  <c r="J41" i="4"/>
  <c r="I41" i="4"/>
  <c r="H41" i="4"/>
  <c r="G41" i="4"/>
  <c r="F41" i="4"/>
  <c r="E41" i="4"/>
  <c r="D41" i="4"/>
  <c r="T41" i="4" s="1"/>
  <c r="C41" i="4"/>
  <c r="CX40" i="4"/>
  <c r="DF40" i="4" s="1"/>
  <c r="CW40" i="4"/>
  <c r="DE40" i="4" s="1"/>
  <c r="CV40" i="4"/>
  <c r="DD40" i="4" s="1"/>
  <c r="CU40" i="4"/>
  <c r="DC40" i="4" s="1"/>
  <c r="CT40" i="4"/>
  <c r="DB40" i="4" s="1"/>
  <c r="CS40" i="4"/>
  <c r="DA40" i="4" s="1"/>
  <c r="CR40" i="4"/>
  <c r="DH40" i="4" s="1"/>
  <c r="CQ40" i="4"/>
  <c r="CY40" i="4" s="1"/>
  <c r="CF40" i="4"/>
  <c r="CN40" i="4" s="1"/>
  <c r="CE40" i="4"/>
  <c r="CM40" i="4" s="1"/>
  <c r="CD40" i="4"/>
  <c r="CL40" i="4" s="1"/>
  <c r="CC40" i="4"/>
  <c r="CK40" i="4" s="1"/>
  <c r="CB40" i="4"/>
  <c r="CJ40" i="4" s="1"/>
  <c r="CA40" i="4"/>
  <c r="CI40" i="4" s="1"/>
  <c r="BZ40" i="4"/>
  <c r="CP40" i="4" s="1"/>
  <c r="BY40" i="4"/>
  <c r="CG40" i="4" s="1"/>
  <c r="BV40" i="4"/>
  <c r="BT40" i="4"/>
  <c r="BS40" i="4"/>
  <c r="BR40" i="4"/>
  <c r="BQ40" i="4"/>
  <c r="BP40" i="4"/>
  <c r="BO40" i="4"/>
  <c r="BN40" i="4"/>
  <c r="BM40" i="4"/>
  <c r="BU40" i="4" s="1"/>
  <c r="BD40" i="4"/>
  <c r="BB40" i="4"/>
  <c r="BA40" i="4"/>
  <c r="AZ40" i="4"/>
  <c r="AY40" i="4"/>
  <c r="AX40" i="4"/>
  <c r="AW40" i="4"/>
  <c r="AV40" i="4"/>
  <c r="AU40" i="4"/>
  <c r="BC40" i="4" s="1"/>
  <c r="AL40" i="4"/>
  <c r="AJ40" i="4"/>
  <c r="AI40" i="4"/>
  <c r="AH40" i="4"/>
  <c r="AG40" i="4"/>
  <c r="AF40" i="4"/>
  <c r="AE40" i="4"/>
  <c r="AD40" i="4"/>
  <c r="AC40" i="4"/>
  <c r="AK40" i="4" s="1"/>
  <c r="T40" i="4"/>
  <c r="R40" i="4"/>
  <c r="Q40" i="4"/>
  <c r="P40" i="4"/>
  <c r="O40" i="4"/>
  <c r="N40" i="4"/>
  <c r="M40" i="4"/>
  <c r="L40" i="4"/>
  <c r="K40" i="4"/>
  <c r="S40" i="4" s="1"/>
  <c r="CX39" i="4"/>
  <c r="DF39" i="4" s="1"/>
  <c r="CW39" i="4"/>
  <c r="DE39" i="4" s="1"/>
  <c r="CV39" i="4"/>
  <c r="DD39" i="4" s="1"/>
  <c r="CU39" i="4"/>
  <c r="DC39" i="4" s="1"/>
  <c r="CT39" i="4"/>
  <c r="DB39" i="4" s="1"/>
  <c r="CS39" i="4"/>
  <c r="DA39" i="4" s="1"/>
  <c r="CR39" i="4"/>
  <c r="DH39" i="4" s="1"/>
  <c r="CQ39" i="4"/>
  <c r="CY39" i="4" s="1"/>
  <c r="CF39" i="4"/>
  <c r="CN39" i="4" s="1"/>
  <c r="CE39" i="4"/>
  <c r="CM39" i="4" s="1"/>
  <c r="CD39" i="4"/>
  <c r="CL39" i="4" s="1"/>
  <c r="CC39" i="4"/>
  <c r="CK39" i="4" s="1"/>
  <c r="CB39" i="4"/>
  <c r="CJ39" i="4" s="1"/>
  <c r="CA39" i="4"/>
  <c r="CI39" i="4" s="1"/>
  <c r="BZ39" i="4"/>
  <c r="CP39" i="4" s="1"/>
  <c r="BY39" i="4"/>
  <c r="CG39" i="4" s="1"/>
  <c r="BV39" i="4"/>
  <c r="BT39" i="4"/>
  <c r="BS39" i="4"/>
  <c r="BR39" i="4"/>
  <c r="BQ39" i="4"/>
  <c r="BP39" i="4"/>
  <c r="BO39" i="4"/>
  <c r="BN39" i="4"/>
  <c r="BM39" i="4"/>
  <c r="BU39" i="4" s="1"/>
  <c r="BD39" i="4"/>
  <c r="BB39" i="4"/>
  <c r="BA39" i="4"/>
  <c r="AZ39" i="4"/>
  <c r="AY39" i="4"/>
  <c r="AX39" i="4"/>
  <c r="AW39" i="4"/>
  <c r="AV39" i="4"/>
  <c r="AU39" i="4"/>
  <c r="BC39" i="4" s="1"/>
  <c r="AL39" i="4"/>
  <c r="AJ39" i="4"/>
  <c r="AI39" i="4"/>
  <c r="AH39" i="4"/>
  <c r="AG39" i="4"/>
  <c r="AF39" i="4"/>
  <c r="AE39" i="4"/>
  <c r="AD39" i="4"/>
  <c r="AC39" i="4"/>
  <c r="AK39" i="4" s="1"/>
  <c r="T39" i="4"/>
  <c r="R39" i="4"/>
  <c r="Q39" i="4"/>
  <c r="P39" i="4"/>
  <c r="O39" i="4"/>
  <c r="N39" i="4"/>
  <c r="M39" i="4"/>
  <c r="L39" i="4"/>
  <c r="K39" i="4"/>
  <c r="S39" i="4" s="1"/>
  <c r="CX38" i="4"/>
  <c r="DF38" i="4" s="1"/>
  <c r="CW38" i="4"/>
  <c r="DE38" i="4" s="1"/>
  <c r="CV38" i="4"/>
  <c r="DD38" i="4" s="1"/>
  <c r="CU38" i="4"/>
  <c r="DC38" i="4" s="1"/>
  <c r="CT38" i="4"/>
  <c r="DB38" i="4" s="1"/>
  <c r="CS38" i="4"/>
  <c r="DA38" i="4" s="1"/>
  <c r="CR38" i="4"/>
  <c r="DH38" i="4" s="1"/>
  <c r="CQ38" i="4"/>
  <c r="CY38" i="4" s="1"/>
  <c r="CF38" i="4"/>
  <c r="CN38" i="4" s="1"/>
  <c r="CE38" i="4"/>
  <c r="CM38" i="4" s="1"/>
  <c r="CD38" i="4"/>
  <c r="CL38" i="4" s="1"/>
  <c r="CC38" i="4"/>
  <c r="CK38" i="4" s="1"/>
  <c r="CB38" i="4"/>
  <c r="CJ38" i="4" s="1"/>
  <c r="CA38" i="4"/>
  <c r="CI38" i="4" s="1"/>
  <c r="BZ38" i="4"/>
  <c r="CP38" i="4" s="1"/>
  <c r="BY38" i="4"/>
  <c r="CG38" i="4" s="1"/>
  <c r="BV38" i="4"/>
  <c r="BT38" i="4"/>
  <c r="BS38" i="4"/>
  <c r="BR38" i="4"/>
  <c r="BQ38" i="4"/>
  <c r="BP38" i="4"/>
  <c r="BO38" i="4"/>
  <c r="BN38" i="4"/>
  <c r="BM38" i="4"/>
  <c r="BU38" i="4" s="1"/>
  <c r="BD38" i="4"/>
  <c r="BB38" i="4"/>
  <c r="BA38" i="4"/>
  <c r="AZ38" i="4"/>
  <c r="AY38" i="4"/>
  <c r="AX38" i="4"/>
  <c r="AW38" i="4"/>
  <c r="AV38" i="4"/>
  <c r="AU38" i="4"/>
  <c r="BC38" i="4" s="1"/>
  <c r="AL38" i="4"/>
  <c r="AJ38" i="4"/>
  <c r="AI38" i="4"/>
  <c r="AH38" i="4"/>
  <c r="AG38" i="4"/>
  <c r="AF38" i="4"/>
  <c r="AE38" i="4"/>
  <c r="AD38" i="4"/>
  <c r="AC38" i="4"/>
  <c r="AK38" i="4" s="1"/>
  <c r="T38" i="4"/>
  <c r="R38" i="4"/>
  <c r="Q38" i="4"/>
  <c r="P38" i="4"/>
  <c r="O38" i="4"/>
  <c r="N38" i="4"/>
  <c r="M38" i="4"/>
  <c r="L38" i="4"/>
  <c r="K38" i="4"/>
  <c r="S38" i="4" s="1"/>
  <c r="CX37" i="4"/>
  <c r="CX41" i="4" s="1"/>
  <c r="CW37" i="4"/>
  <c r="CW41" i="4" s="1"/>
  <c r="CV37" i="4"/>
  <c r="CV41" i="4" s="1"/>
  <c r="CU37" i="4"/>
  <c r="CU41" i="4" s="1"/>
  <c r="CT37" i="4"/>
  <c r="CT41" i="4" s="1"/>
  <c r="CS37" i="4"/>
  <c r="CS41" i="4" s="1"/>
  <c r="CR37" i="4"/>
  <c r="CR41" i="4" s="1"/>
  <c r="CQ37" i="4"/>
  <c r="CQ41" i="4" s="1"/>
  <c r="DH41" i="4" s="1"/>
  <c r="CF37" i="4"/>
  <c r="CF41" i="4" s="1"/>
  <c r="CE37" i="4"/>
  <c r="CE41" i="4" s="1"/>
  <c r="CD37" i="4"/>
  <c r="CD41" i="4" s="1"/>
  <c r="CC37" i="4"/>
  <c r="CC41" i="4" s="1"/>
  <c r="CB37" i="4"/>
  <c r="CB41" i="4" s="1"/>
  <c r="CA37" i="4"/>
  <c r="CA41" i="4" s="1"/>
  <c r="BZ37" i="4"/>
  <c r="BZ41" i="4" s="1"/>
  <c r="BY37" i="4"/>
  <c r="BY41" i="4" s="1"/>
  <c r="CP41" i="4" s="1"/>
  <c r="BV37" i="4"/>
  <c r="BT37" i="4"/>
  <c r="BT41" i="4" s="1"/>
  <c r="BS37" i="4"/>
  <c r="BS41" i="4" s="1"/>
  <c r="BR37" i="4"/>
  <c r="BR41" i="4" s="1"/>
  <c r="BQ37" i="4"/>
  <c r="BQ41" i="4" s="1"/>
  <c r="BP37" i="4"/>
  <c r="BP41" i="4" s="1"/>
  <c r="BO37" i="4"/>
  <c r="BO41" i="4" s="1"/>
  <c r="BN37" i="4"/>
  <c r="BN41" i="4" s="1"/>
  <c r="BM37" i="4"/>
  <c r="BM41" i="4" s="1"/>
  <c r="BD37" i="4"/>
  <c r="BB37" i="4"/>
  <c r="BB41" i="4" s="1"/>
  <c r="BA37" i="4"/>
  <c r="BA41" i="4" s="1"/>
  <c r="AZ37" i="4"/>
  <c r="AZ41" i="4" s="1"/>
  <c r="AY37" i="4"/>
  <c r="AY41" i="4" s="1"/>
  <c r="AX37" i="4"/>
  <c r="AX41" i="4" s="1"/>
  <c r="AW37" i="4"/>
  <c r="AW41" i="4" s="1"/>
  <c r="AV37" i="4"/>
  <c r="AV41" i="4" s="1"/>
  <c r="AU37" i="4"/>
  <c r="AU41" i="4" s="1"/>
  <c r="BC41" i="4" s="1"/>
  <c r="AL37" i="4"/>
  <c r="AJ37" i="4"/>
  <c r="AJ41" i="4" s="1"/>
  <c r="AI37" i="4"/>
  <c r="AI41" i="4" s="1"/>
  <c r="AH37" i="4"/>
  <c r="AH41" i="4" s="1"/>
  <c r="AG37" i="4"/>
  <c r="AG41" i="4" s="1"/>
  <c r="AF37" i="4"/>
  <c r="AF41" i="4" s="1"/>
  <c r="AE37" i="4"/>
  <c r="AE41" i="4" s="1"/>
  <c r="AD37" i="4"/>
  <c r="AD41" i="4" s="1"/>
  <c r="AC37" i="4"/>
  <c r="AC41" i="4" s="1"/>
  <c r="T37" i="4"/>
  <c r="R37" i="4"/>
  <c r="R41" i="4" s="1"/>
  <c r="Q37" i="4"/>
  <c r="Q41" i="4" s="1"/>
  <c r="P37" i="4"/>
  <c r="P41" i="4" s="1"/>
  <c r="O37" i="4"/>
  <c r="O41" i="4" s="1"/>
  <c r="N37" i="4"/>
  <c r="N41" i="4" s="1"/>
  <c r="M37" i="4"/>
  <c r="M41" i="4" s="1"/>
  <c r="L37" i="4"/>
  <c r="L41" i="4" s="1"/>
  <c r="K37" i="4"/>
  <c r="K41" i="4" s="1"/>
  <c r="S41" i="4" s="1"/>
  <c r="BL36" i="4"/>
  <c r="BK36" i="4"/>
  <c r="BJ36" i="4"/>
  <c r="BI36" i="4"/>
  <c r="BH36" i="4"/>
  <c r="BG36" i="4"/>
  <c r="BF36" i="4"/>
  <c r="BV36" i="4" s="1"/>
  <c r="BE36" i="4"/>
  <c r="AT36" i="4"/>
  <c r="AS36" i="4"/>
  <c r="AR36" i="4"/>
  <c r="AQ36" i="4"/>
  <c r="AP36" i="4"/>
  <c r="AO36" i="4"/>
  <c r="AN36" i="4"/>
  <c r="BD36" i="4" s="1"/>
  <c r="AM36" i="4"/>
  <c r="AB36" i="4"/>
  <c r="AA36" i="4"/>
  <c r="Z36" i="4"/>
  <c r="Y36" i="4"/>
  <c r="X36" i="4"/>
  <c r="W36" i="4"/>
  <c r="V36" i="4"/>
  <c r="AL36" i="4" s="1"/>
  <c r="U36" i="4"/>
  <c r="J36" i="4"/>
  <c r="I36" i="4"/>
  <c r="H36" i="4"/>
  <c r="G36" i="4"/>
  <c r="F36" i="4"/>
  <c r="E36" i="4"/>
  <c r="D36" i="4"/>
  <c r="T36" i="4" s="1"/>
  <c r="C36" i="4"/>
  <c r="CX35" i="4"/>
  <c r="DF35" i="4" s="1"/>
  <c r="CW35" i="4"/>
  <c r="DE35" i="4" s="1"/>
  <c r="CV35" i="4"/>
  <c r="DD35" i="4" s="1"/>
  <c r="CU35" i="4"/>
  <c r="DC35" i="4" s="1"/>
  <c r="CT35" i="4"/>
  <c r="DB35" i="4" s="1"/>
  <c r="CS35" i="4"/>
  <c r="DA35" i="4" s="1"/>
  <c r="CR35" i="4"/>
  <c r="DH35" i="4" s="1"/>
  <c r="CQ35" i="4"/>
  <c r="CY35" i="4" s="1"/>
  <c r="CF35" i="4"/>
  <c r="CN35" i="4" s="1"/>
  <c r="CE35" i="4"/>
  <c r="CM35" i="4" s="1"/>
  <c r="CD35" i="4"/>
  <c r="CL35" i="4" s="1"/>
  <c r="CC35" i="4"/>
  <c r="CK35" i="4" s="1"/>
  <c r="CB35" i="4"/>
  <c r="CJ35" i="4" s="1"/>
  <c r="CA35" i="4"/>
  <c r="CI35" i="4" s="1"/>
  <c r="BZ35" i="4"/>
  <c r="CP35" i="4" s="1"/>
  <c r="BY35" i="4"/>
  <c r="CG35" i="4" s="1"/>
  <c r="BV35" i="4"/>
  <c r="BT35" i="4"/>
  <c r="BS35" i="4"/>
  <c r="BR35" i="4"/>
  <c r="BQ35" i="4"/>
  <c r="BP35" i="4"/>
  <c r="BO35" i="4"/>
  <c r="BN35" i="4"/>
  <c r="BM35" i="4"/>
  <c r="BU35" i="4" s="1"/>
  <c r="BD35" i="4"/>
  <c r="BB35" i="4"/>
  <c r="BA35" i="4"/>
  <c r="AZ35" i="4"/>
  <c r="AY35" i="4"/>
  <c r="AX35" i="4"/>
  <c r="AW35" i="4"/>
  <c r="AV35" i="4"/>
  <c r="AU35" i="4"/>
  <c r="BC35" i="4" s="1"/>
  <c r="AL35" i="4"/>
  <c r="AJ35" i="4"/>
  <c r="AI35" i="4"/>
  <c r="AH35" i="4"/>
  <c r="AG35" i="4"/>
  <c r="AF35" i="4"/>
  <c r="AE35" i="4"/>
  <c r="AD35" i="4"/>
  <c r="AC35" i="4"/>
  <c r="AK35" i="4" s="1"/>
  <c r="T35" i="4"/>
  <c r="R35" i="4"/>
  <c r="Q35" i="4"/>
  <c r="P35" i="4"/>
  <c r="O35" i="4"/>
  <c r="N35" i="4"/>
  <c r="M35" i="4"/>
  <c r="L35" i="4"/>
  <c r="K35" i="4"/>
  <c r="S35" i="4" s="1"/>
  <c r="CX34" i="4"/>
  <c r="DF34" i="4" s="1"/>
  <c r="CW34" i="4"/>
  <c r="DE34" i="4" s="1"/>
  <c r="CV34" i="4"/>
  <c r="DD34" i="4" s="1"/>
  <c r="CU34" i="4"/>
  <c r="DC34" i="4" s="1"/>
  <c r="CT34" i="4"/>
  <c r="DB34" i="4" s="1"/>
  <c r="CS34" i="4"/>
  <c r="DA34" i="4" s="1"/>
  <c r="CR34" i="4"/>
  <c r="DH34" i="4" s="1"/>
  <c r="CQ34" i="4"/>
  <c r="CY34" i="4" s="1"/>
  <c r="CF34" i="4"/>
  <c r="CN34" i="4" s="1"/>
  <c r="CE34" i="4"/>
  <c r="CM34" i="4" s="1"/>
  <c r="CD34" i="4"/>
  <c r="CL34" i="4" s="1"/>
  <c r="CC34" i="4"/>
  <c r="CK34" i="4" s="1"/>
  <c r="CB34" i="4"/>
  <c r="CJ34" i="4" s="1"/>
  <c r="CA34" i="4"/>
  <c r="CI34" i="4" s="1"/>
  <c r="BZ34" i="4"/>
  <c r="CP34" i="4" s="1"/>
  <c r="BY34" i="4"/>
  <c r="CG34" i="4" s="1"/>
  <c r="BV34" i="4"/>
  <c r="BT34" i="4"/>
  <c r="BS34" i="4"/>
  <c r="BR34" i="4"/>
  <c r="BQ34" i="4"/>
  <c r="BP34" i="4"/>
  <c r="BO34" i="4"/>
  <c r="BN34" i="4"/>
  <c r="BM34" i="4"/>
  <c r="BU34" i="4" s="1"/>
  <c r="BD34" i="4"/>
  <c r="BB34" i="4"/>
  <c r="BA34" i="4"/>
  <c r="AZ34" i="4"/>
  <c r="AY34" i="4"/>
  <c r="AX34" i="4"/>
  <c r="AW34" i="4"/>
  <c r="AV34" i="4"/>
  <c r="AU34" i="4"/>
  <c r="BC34" i="4" s="1"/>
  <c r="AL34" i="4"/>
  <c r="AJ34" i="4"/>
  <c r="AI34" i="4"/>
  <c r="AH34" i="4"/>
  <c r="AG34" i="4"/>
  <c r="AF34" i="4"/>
  <c r="AE34" i="4"/>
  <c r="AD34" i="4"/>
  <c r="AC34" i="4"/>
  <c r="AK34" i="4" s="1"/>
  <c r="T34" i="4"/>
  <c r="R34" i="4"/>
  <c r="Q34" i="4"/>
  <c r="P34" i="4"/>
  <c r="O34" i="4"/>
  <c r="N34" i="4"/>
  <c r="M34" i="4"/>
  <c r="L34" i="4"/>
  <c r="K34" i="4"/>
  <c r="S34" i="4" s="1"/>
  <c r="CX33" i="4"/>
  <c r="DF33" i="4" s="1"/>
  <c r="CW33" i="4"/>
  <c r="DE33" i="4" s="1"/>
  <c r="CV33" i="4"/>
  <c r="DD33" i="4" s="1"/>
  <c r="CU33" i="4"/>
  <c r="DC33" i="4" s="1"/>
  <c r="CT33" i="4"/>
  <c r="DB33" i="4" s="1"/>
  <c r="CS33" i="4"/>
  <c r="DA33" i="4" s="1"/>
  <c r="CR33" i="4"/>
  <c r="DH33" i="4" s="1"/>
  <c r="CQ33" i="4"/>
  <c r="CY33" i="4" s="1"/>
  <c r="CF33" i="4"/>
  <c r="CN33" i="4" s="1"/>
  <c r="CE33" i="4"/>
  <c r="CM33" i="4" s="1"/>
  <c r="CD33" i="4"/>
  <c r="CL33" i="4" s="1"/>
  <c r="CC33" i="4"/>
  <c r="CK33" i="4" s="1"/>
  <c r="CB33" i="4"/>
  <c r="CJ33" i="4" s="1"/>
  <c r="CA33" i="4"/>
  <c r="CI33" i="4" s="1"/>
  <c r="BZ33" i="4"/>
  <c r="CP33" i="4" s="1"/>
  <c r="BY33" i="4"/>
  <c r="CG33" i="4" s="1"/>
  <c r="BV33" i="4"/>
  <c r="BT33" i="4"/>
  <c r="BS33" i="4"/>
  <c r="BR33" i="4"/>
  <c r="BQ33" i="4"/>
  <c r="BP33" i="4"/>
  <c r="BO33" i="4"/>
  <c r="BN33" i="4"/>
  <c r="BM33" i="4"/>
  <c r="BU33" i="4" s="1"/>
  <c r="BD33" i="4"/>
  <c r="BB33" i="4"/>
  <c r="BA33" i="4"/>
  <c r="AZ33" i="4"/>
  <c r="AY33" i="4"/>
  <c r="AX33" i="4"/>
  <c r="AW33" i="4"/>
  <c r="AV33" i="4"/>
  <c r="AU33" i="4"/>
  <c r="BC33" i="4" s="1"/>
  <c r="AL33" i="4"/>
  <c r="AJ33" i="4"/>
  <c r="AI33" i="4"/>
  <c r="AH33" i="4"/>
  <c r="AG33" i="4"/>
  <c r="AF33" i="4"/>
  <c r="AE33" i="4"/>
  <c r="AD33" i="4"/>
  <c r="AC33" i="4"/>
  <c r="AK33" i="4" s="1"/>
  <c r="T33" i="4"/>
  <c r="R33" i="4"/>
  <c r="Q33" i="4"/>
  <c r="P33" i="4"/>
  <c r="O33" i="4"/>
  <c r="N33" i="4"/>
  <c r="M33" i="4"/>
  <c r="L33" i="4"/>
  <c r="K33" i="4"/>
  <c r="S33" i="4" s="1"/>
  <c r="CX32" i="4"/>
  <c r="CX36" i="4" s="1"/>
  <c r="CW32" i="4"/>
  <c r="CW36" i="4" s="1"/>
  <c r="CV32" i="4"/>
  <c r="CV36" i="4" s="1"/>
  <c r="CU32" i="4"/>
  <c r="CU36" i="4" s="1"/>
  <c r="CT32" i="4"/>
  <c r="CT36" i="4" s="1"/>
  <c r="CS32" i="4"/>
  <c r="CS36" i="4" s="1"/>
  <c r="CR32" i="4"/>
  <c r="CR36" i="4" s="1"/>
  <c r="CQ32" i="4"/>
  <c r="CQ36" i="4" s="1"/>
  <c r="DH36" i="4" s="1"/>
  <c r="CF32" i="4"/>
  <c r="CF36" i="4" s="1"/>
  <c r="CE32" i="4"/>
  <c r="CE36" i="4" s="1"/>
  <c r="CD32" i="4"/>
  <c r="CD36" i="4" s="1"/>
  <c r="CC32" i="4"/>
  <c r="CC36" i="4" s="1"/>
  <c r="CB32" i="4"/>
  <c r="CB36" i="4" s="1"/>
  <c r="CA32" i="4"/>
  <c r="CA36" i="4" s="1"/>
  <c r="BZ32" i="4"/>
  <c r="BZ36" i="4" s="1"/>
  <c r="BY32" i="4"/>
  <c r="BY36" i="4" s="1"/>
  <c r="CP36" i="4" s="1"/>
  <c r="BV32" i="4"/>
  <c r="BT32" i="4"/>
  <c r="BT36" i="4" s="1"/>
  <c r="BS32" i="4"/>
  <c r="BS36" i="4" s="1"/>
  <c r="BR32" i="4"/>
  <c r="BR36" i="4" s="1"/>
  <c r="BQ32" i="4"/>
  <c r="BQ36" i="4" s="1"/>
  <c r="BP32" i="4"/>
  <c r="BP36" i="4" s="1"/>
  <c r="BO32" i="4"/>
  <c r="BO36" i="4" s="1"/>
  <c r="BN32" i="4"/>
  <c r="BN36" i="4" s="1"/>
  <c r="BM32" i="4"/>
  <c r="BM36" i="4" s="1"/>
  <c r="BD32" i="4"/>
  <c r="BB32" i="4"/>
  <c r="BB36" i="4" s="1"/>
  <c r="BA32" i="4"/>
  <c r="BA36" i="4" s="1"/>
  <c r="AZ32" i="4"/>
  <c r="AZ36" i="4" s="1"/>
  <c r="AY32" i="4"/>
  <c r="AY36" i="4" s="1"/>
  <c r="AX32" i="4"/>
  <c r="AX36" i="4" s="1"/>
  <c r="AW32" i="4"/>
  <c r="AW36" i="4" s="1"/>
  <c r="AV32" i="4"/>
  <c r="AV36" i="4" s="1"/>
  <c r="AU32" i="4"/>
  <c r="AU36" i="4" s="1"/>
  <c r="BC36" i="4" s="1"/>
  <c r="AL32" i="4"/>
  <c r="AJ32" i="4"/>
  <c r="AJ36" i="4" s="1"/>
  <c r="AI32" i="4"/>
  <c r="AI36" i="4" s="1"/>
  <c r="AH32" i="4"/>
  <c r="AH36" i="4" s="1"/>
  <c r="AG32" i="4"/>
  <c r="AG36" i="4" s="1"/>
  <c r="AF32" i="4"/>
  <c r="AF36" i="4" s="1"/>
  <c r="AE32" i="4"/>
  <c r="AE36" i="4" s="1"/>
  <c r="AD32" i="4"/>
  <c r="AD36" i="4" s="1"/>
  <c r="AC32" i="4"/>
  <c r="AC36" i="4" s="1"/>
  <c r="T32" i="4"/>
  <c r="R32" i="4"/>
  <c r="R36" i="4" s="1"/>
  <c r="Q32" i="4"/>
  <c r="Q36" i="4" s="1"/>
  <c r="P32" i="4"/>
  <c r="P36" i="4" s="1"/>
  <c r="O32" i="4"/>
  <c r="O36" i="4" s="1"/>
  <c r="N32" i="4"/>
  <c r="N36" i="4" s="1"/>
  <c r="M32" i="4"/>
  <c r="M36" i="4" s="1"/>
  <c r="L32" i="4"/>
  <c r="L36" i="4" s="1"/>
  <c r="K32" i="4"/>
  <c r="K36" i="4" s="1"/>
  <c r="S36" i="4" s="1"/>
  <c r="BL31" i="4"/>
  <c r="BK31" i="4"/>
  <c r="BJ31" i="4"/>
  <c r="BI31" i="4"/>
  <c r="BH31" i="4"/>
  <c r="BG31" i="4"/>
  <c r="BF31" i="4"/>
  <c r="BV31" i="4" s="1"/>
  <c r="BE31" i="4"/>
  <c r="AT31" i="4"/>
  <c r="AS31" i="4"/>
  <c r="AR31" i="4"/>
  <c r="AQ31" i="4"/>
  <c r="AP31" i="4"/>
  <c r="AO31" i="4"/>
  <c r="AN31" i="4"/>
  <c r="BD31" i="4" s="1"/>
  <c r="AM31" i="4"/>
  <c r="AB31" i="4"/>
  <c r="AA31" i="4"/>
  <c r="Z31" i="4"/>
  <c r="Y31" i="4"/>
  <c r="X31" i="4"/>
  <c r="W31" i="4"/>
  <c r="V31" i="4"/>
  <c r="AL31" i="4" s="1"/>
  <c r="U31" i="4"/>
  <c r="J31" i="4"/>
  <c r="I31" i="4"/>
  <c r="H31" i="4"/>
  <c r="G31" i="4"/>
  <c r="F31" i="4"/>
  <c r="E31" i="4"/>
  <c r="D31" i="4"/>
  <c r="T31" i="4" s="1"/>
  <c r="C31" i="4"/>
  <c r="CX30" i="4"/>
  <c r="DF30" i="4" s="1"/>
  <c r="CW30" i="4"/>
  <c r="DE30" i="4" s="1"/>
  <c r="CV30" i="4"/>
  <c r="DD30" i="4" s="1"/>
  <c r="CU30" i="4"/>
  <c r="DC30" i="4" s="1"/>
  <c r="CT30" i="4"/>
  <c r="DB30" i="4" s="1"/>
  <c r="CS30" i="4"/>
  <c r="DA30" i="4" s="1"/>
  <c r="CR30" i="4"/>
  <c r="DH30" i="4" s="1"/>
  <c r="CQ30" i="4"/>
  <c r="CY30" i="4" s="1"/>
  <c r="CF30" i="4"/>
  <c r="CN30" i="4" s="1"/>
  <c r="CE30" i="4"/>
  <c r="CM30" i="4" s="1"/>
  <c r="CD30" i="4"/>
  <c r="CL30" i="4" s="1"/>
  <c r="CC30" i="4"/>
  <c r="CK30" i="4" s="1"/>
  <c r="CB30" i="4"/>
  <c r="CJ30" i="4" s="1"/>
  <c r="CA30" i="4"/>
  <c r="CI30" i="4" s="1"/>
  <c r="BZ30" i="4"/>
  <c r="CP30" i="4" s="1"/>
  <c r="BY30" i="4"/>
  <c r="CG30" i="4" s="1"/>
  <c r="BV30" i="4"/>
  <c r="BT30" i="4"/>
  <c r="BS30" i="4"/>
  <c r="BR30" i="4"/>
  <c r="BQ30" i="4"/>
  <c r="BP30" i="4"/>
  <c r="BO30" i="4"/>
  <c r="BN30" i="4"/>
  <c r="BM30" i="4"/>
  <c r="BU30" i="4" s="1"/>
  <c r="BD30" i="4"/>
  <c r="BB30" i="4"/>
  <c r="BA30" i="4"/>
  <c r="AZ30" i="4"/>
  <c r="AY30" i="4"/>
  <c r="AX30" i="4"/>
  <c r="AW30" i="4"/>
  <c r="AV30" i="4"/>
  <c r="AU30" i="4"/>
  <c r="BC30" i="4" s="1"/>
  <c r="AL30" i="4"/>
  <c r="AJ30" i="4"/>
  <c r="AI30" i="4"/>
  <c r="AH30" i="4"/>
  <c r="AG30" i="4"/>
  <c r="AF30" i="4"/>
  <c r="AE30" i="4"/>
  <c r="AD30" i="4"/>
  <c r="AC30" i="4"/>
  <c r="AK30" i="4" s="1"/>
  <c r="T30" i="4"/>
  <c r="R30" i="4"/>
  <c r="Q30" i="4"/>
  <c r="P30" i="4"/>
  <c r="O30" i="4"/>
  <c r="N30" i="4"/>
  <c r="M30" i="4"/>
  <c r="L30" i="4"/>
  <c r="K30" i="4"/>
  <c r="S30" i="4" s="1"/>
  <c r="CX29" i="4"/>
  <c r="DF29" i="4" s="1"/>
  <c r="CW29" i="4"/>
  <c r="DE29" i="4" s="1"/>
  <c r="CV29" i="4"/>
  <c r="DD29" i="4" s="1"/>
  <c r="CU29" i="4"/>
  <c r="DC29" i="4" s="1"/>
  <c r="CT29" i="4"/>
  <c r="DB29" i="4" s="1"/>
  <c r="CS29" i="4"/>
  <c r="DA29" i="4" s="1"/>
  <c r="CR29" i="4"/>
  <c r="DH29" i="4" s="1"/>
  <c r="CQ29" i="4"/>
  <c r="CY29" i="4" s="1"/>
  <c r="CF29" i="4"/>
  <c r="CN29" i="4" s="1"/>
  <c r="CE29" i="4"/>
  <c r="CM29" i="4" s="1"/>
  <c r="CD29" i="4"/>
  <c r="CL29" i="4" s="1"/>
  <c r="CC29" i="4"/>
  <c r="CK29" i="4" s="1"/>
  <c r="CB29" i="4"/>
  <c r="CJ29" i="4" s="1"/>
  <c r="CA29" i="4"/>
  <c r="CI29" i="4" s="1"/>
  <c r="BZ29" i="4"/>
  <c r="CP29" i="4" s="1"/>
  <c r="BY29" i="4"/>
  <c r="CG29" i="4" s="1"/>
  <c r="BV29" i="4"/>
  <c r="BT29" i="4"/>
  <c r="BS29" i="4"/>
  <c r="BR29" i="4"/>
  <c r="BQ29" i="4"/>
  <c r="BP29" i="4"/>
  <c r="BO29" i="4"/>
  <c r="BN29" i="4"/>
  <c r="BM29" i="4"/>
  <c r="BU29" i="4" s="1"/>
  <c r="BD29" i="4"/>
  <c r="BB29" i="4"/>
  <c r="BA29" i="4"/>
  <c r="AZ29" i="4"/>
  <c r="AY29" i="4"/>
  <c r="AX29" i="4"/>
  <c r="AW29" i="4"/>
  <c r="AV29" i="4"/>
  <c r="AU29" i="4"/>
  <c r="BC29" i="4" s="1"/>
  <c r="AL29" i="4"/>
  <c r="AJ29" i="4"/>
  <c r="AI29" i="4"/>
  <c r="AH29" i="4"/>
  <c r="AG29" i="4"/>
  <c r="AF29" i="4"/>
  <c r="AE29" i="4"/>
  <c r="AD29" i="4"/>
  <c r="AC29" i="4"/>
  <c r="AK29" i="4" s="1"/>
  <c r="T29" i="4"/>
  <c r="R29" i="4"/>
  <c r="Q29" i="4"/>
  <c r="P29" i="4"/>
  <c r="O29" i="4"/>
  <c r="N29" i="4"/>
  <c r="M29" i="4"/>
  <c r="L29" i="4"/>
  <c r="K29" i="4"/>
  <c r="S29" i="4" s="1"/>
  <c r="CX28" i="4"/>
  <c r="DF28" i="4" s="1"/>
  <c r="CW28" i="4"/>
  <c r="DE28" i="4" s="1"/>
  <c r="CV28" i="4"/>
  <c r="DD28" i="4" s="1"/>
  <c r="CU28" i="4"/>
  <c r="DC28" i="4" s="1"/>
  <c r="CT28" i="4"/>
  <c r="DB28" i="4" s="1"/>
  <c r="CS28" i="4"/>
  <c r="DA28" i="4" s="1"/>
  <c r="CR28" i="4"/>
  <c r="DH28" i="4" s="1"/>
  <c r="CQ28" i="4"/>
  <c r="CY28" i="4" s="1"/>
  <c r="CF28" i="4"/>
  <c r="CN28" i="4" s="1"/>
  <c r="CE28" i="4"/>
  <c r="CM28" i="4" s="1"/>
  <c r="CD28" i="4"/>
  <c r="CL28" i="4" s="1"/>
  <c r="CC28" i="4"/>
  <c r="CK28" i="4" s="1"/>
  <c r="CB28" i="4"/>
  <c r="CJ28" i="4" s="1"/>
  <c r="CA28" i="4"/>
  <c r="CI28" i="4" s="1"/>
  <c r="BZ28" i="4"/>
  <c r="CP28" i="4" s="1"/>
  <c r="BY28" i="4"/>
  <c r="CG28" i="4" s="1"/>
  <c r="BV28" i="4"/>
  <c r="BT28" i="4"/>
  <c r="BS28" i="4"/>
  <c r="BR28" i="4"/>
  <c r="BQ28" i="4"/>
  <c r="BP28" i="4"/>
  <c r="BO28" i="4"/>
  <c r="BN28" i="4"/>
  <c r="BM28" i="4"/>
  <c r="BU28" i="4" s="1"/>
  <c r="BD28" i="4"/>
  <c r="BB28" i="4"/>
  <c r="BA28" i="4"/>
  <c r="AZ28" i="4"/>
  <c r="AY28" i="4"/>
  <c r="AX28" i="4"/>
  <c r="AW28" i="4"/>
  <c r="AV28" i="4"/>
  <c r="AU28" i="4"/>
  <c r="BC28" i="4" s="1"/>
  <c r="AL28" i="4"/>
  <c r="AJ28" i="4"/>
  <c r="AI28" i="4"/>
  <c r="AH28" i="4"/>
  <c r="AG28" i="4"/>
  <c r="AF28" i="4"/>
  <c r="AE28" i="4"/>
  <c r="AD28" i="4"/>
  <c r="AC28" i="4"/>
  <c r="AK28" i="4" s="1"/>
  <c r="T28" i="4"/>
  <c r="R28" i="4"/>
  <c r="Q28" i="4"/>
  <c r="P28" i="4"/>
  <c r="O28" i="4"/>
  <c r="N28" i="4"/>
  <c r="M28" i="4"/>
  <c r="L28" i="4"/>
  <c r="K28" i="4"/>
  <c r="S28" i="4" s="1"/>
  <c r="CX27" i="4"/>
  <c r="CX31" i="4" s="1"/>
  <c r="CW27" i="4"/>
  <c r="CW31" i="4" s="1"/>
  <c r="CV27" i="4"/>
  <c r="CV31" i="4" s="1"/>
  <c r="CU27" i="4"/>
  <c r="CU31" i="4" s="1"/>
  <c r="CT27" i="4"/>
  <c r="CT31" i="4" s="1"/>
  <c r="CS27" i="4"/>
  <c r="CS31" i="4" s="1"/>
  <c r="CR27" i="4"/>
  <c r="CR31" i="4" s="1"/>
  <c r="CQ27" i="4"/>
  <c r="CQ31" i="4" s="1"/>
  <c r="DH31" i="4" s="1"/>
  <c r="CF27" i="4"/>
  <c r="CF31" i="4" s="1"/>
  <c r="CE27" i="4"/>
  <c r="CE31" i="4" s="1"/>
  <c r="CD27" i="4"/>
  <c r="CD31" i="4" s="1"/>
  <c r="CC27" i="4"/>
  <c r="CC31" i="4" s="1"/>
  <c r="CB27" i="4"/>
  <c r="CB31" i="4" s="1"/>
  <c r="CA27" i="4"/>
  <c r="CA31" i="4" s="1"/>
  <c r="BZ27" i="4"/>
  <c r="BZ31" i="4" s="1"/>
  <c r="BY27" i="4"/>
  <c r="BY31" i="4" s="1"/>
  <c r="CP31" i="4" s="1"/>
  <c r="BV27" i="4"/>
  <c r="BT27" i="4"/>
  <c r="BT31" i="4" s="1"/>
  <c r="BS27" i="4"/>
  <c r="BS31" i="4" s="1"/>
  <c r="BR27" i="4"/>
  <c r="BR31" i="4" s="1"/>
  <c r="BQ27" i="4"/>
  <c r="BQ31" i="4" s="1"/>
  <c r="BP27" i="4"/>
  <c r="BP31" i="4" s="1"/>
  <c r="BO27" i="4"/>
  <c r="BO31" i="4" s="1"/>
  <c r="BN27" i="4"/>
  <c r="BN31" i="4" s="1"/>
  <c r="BM27" i="4"/>
  <c r="BM31" i="4" s="1"/>
  <c r="BD27" i="4"/>
  <c r="BB27" i="4"/>
  <c r="BB31" i="4" s="1"/>
  <c r="BA27" i="4"/>
  <c r="BA31" i="4" s="1"/>
  <c r="AZ27" i="4"/>
  <c r="AZ31" i="4" s="1"/>
  <c r="AY27" i="4"/>
  <c r="AY31" i="4" s="1"/>
  <c r="AX27" i="4"/>
  <c r="AX31" i="4" s="1"/>
  <c r="AW27" i="4"/>
  <c r="AW31" i="4" s="1"/>
  <c r="AV27" i="4"/>
  <c r="AV31" i="4" s="1"/>
  <c r="AU27" i="4"/>
  <c r="AU31" i="4" s="1"/>
  <c r="BC31" i="4" s="1"/>
  <c r="AL27" i="4"/>
  <c r="AJ27" i="4"/>
  <c r="AJ31" i="4" s="1"/>
  <c r="AI27" i="4"/>
  <c r="AI31" i="4" s="1"/>
  <c r="AH27" i="4"/>
  <c r="AH31" i="4" s="1"/>
  <c r="AG27" i="4"/>
  <c r="AG31" i="4" s="1"/>
  <c r="AF27" i="4"/>
  <c r="AF31" i="4" s="1"/>
  <c r="AE27" i="4"/>
  <c r="AE31" i="4" s="1"/>
  <c r="AD27" i="4"/>
  <c r="AD31" i="4" s="1"/>
  <c r="AC27" i="4"/>
  <c r="AC31" i="4" s="1"/>
  <c r="T27" i="4"/>
  <c r="R27" i="4"/>
  <c r="R31" i="4" s="1"/>
  <c r="Q27" i="4"/>
  <c r="Q31" i="4" s="1"/>
  <c r="P27" i="4"/>
  <c r="P31" i="4" s="1"/>
  <c r="O27" i="4"/>
  <c r="O31" i="4" s="1"/>
  <c r="N27" i="4"/>
  <c r="N31" i="4" s="1"/>
  <c r="M27" i="4"/>
  <c r="M31" i="4" s="1"/>
  <c r="L27" i="4"/>
  <c r="L31" i="4" s="1"/>
  <c r="K27" i="4"/>
  <c r="K31" i="4" s="1"/>
  <c r="S31" i="4" s="1"/>
  <c r="BL26" i="4"/>
  <c r="BK26" i="4"/>
  <c r="BJ26" i="4"/>
  <c r="BI26" i="4"/>
  <c r="BH26" i="4"/>
  <c r="BG26" i="4"/>
  <c r="BF26" i="4"/>
  <c r="BV26" i="4" s="1"/>
  <c r="BE26" i="4"/>
  <c r="AT26" i="4"/>
  <c r="AS26" i="4"/>
  <c r="AR26" i="4"/>
  <c r="AQ26" i="4"/>
  <c r="AP26" i="4"/>
  <c r="AO26" i="4"/>
  <c r="AN26" i="4"/>
  <c r="BD26" i="4" s="1"/>
  <c r="AM26" i="4"/>
  <c r="AB26" i="4"/>
  <c r="AA26" i="4"/>
  <c r="Z26" i="4"/>
  <c r="Y26" i="4"/>
  <c r="X26" i="4"/>
  <c r="W26" i="4"/>
  <c r="V26" i="4"/>
  <c r="AL26" i="4" s="1"/>
  <c r="U26" i="4"/>
  <c r="J26" i="4"/>
  <c r="I26" i="4"/>
  <c r="H26" i="4"/>
  <c r="G26" i="4"/>
  <c r="F26" i="4"/>
  <c r="E26" i="4"/>
  <c r="D26" i="4"/>
  <c r="T26" i="4" s="1"/>
  <c r="C26" i="4"/>
  <c r="CX25" i="4"/>
  <c r="DF25" i="4" s="1"/>
  <c r="CW25" i="4"/>
  <c r="DE25" i="4" s="1"/>
  <c r="CV25" i="4"/>
  <c r="DD25" i="4" s="1"/>
  <c r="CU25" i="4"/>
  <c r="DC25" i="4" s="1"/>
  <c r="CT25" i="4"/>
  <c r="DB25" i="4" s="1"/>
  <c r="CS25" i="4"/>
  <c r="DA25" i="4" s="1"/>
  <c r="CR25" i="4"/>
  <c r="DH25" i="4" s="1"/>
  <c r="CQ25" i="4"/>
  <c r="CY25" i="4" s="1"/>
  <c r="CF25" i="4"/>
  <c r="CN25" i="4" s="1"/>
  <c r="CE25" i="4"/>
  <c r="CM25" i="4" s="1"/>
  <c r="CD25" i="4"/>
  <c r="CL25" i="4" s="1"/>
  <c r="CC25" i="4"/>
  <c r="CK25" i="4" s="1"/>
  <c r="CB25" i="4"/>
  <c r="CJ25" i="4" s="1"/>
  <c r="CA25" i="4"/>
  <c r="CI25" i="4" s="1"/>
  <c r="BZ25" i="4"/>
  <c r="CP25" i="4" s="1"/>
  <c r="BY25" i="4"/>
  <c r="CG25" i="4" s="1"/>
  <c r="BV25" i="4"/>
  <c r="BT25" i="4"/>
  <c r="BS25" i="4"/>
  <c r="BR25" i="4"/>
  <c r="BQ25" i="4"/>
  <c r="BP25" i="4"/>
  <c r="BO25" i="4"/>
  <c r="BN25" i="4"/>
  <c r="BM25" i="4"/>
  <c r="BU25" i="4" s="1"/>
  <c r="BD25" i="4"/>
  <c r="BB25" i="4"/>
  <c r="BA25" i="4"/>
  <c r="AZ25" i="4"/>
  <c r="AY25" i="4"/>
  <c r="AX25" i="4"/>
  <c r="AW25" i="4"/>
  <c r="AV25" i="4"/>
  <c r="AU25" i="4"/>
  <c r="BC25" i="4" s="1"/>
  <c r="AL25" i="4"/>
  <c r="AJ25" i="4"/>
  <c r="AI25" i="4"/>
  <c r="AH25" i="4"/>
  <c r="AG25" i="4"/>
  <c r="AF25" i="4"/>
  <c r="AE25" i="4"/>
  <c r="AD25" i="4"/>
  <c r="AC25" i="4"/>
  <c r="AK25" i="4" s="1"/>
  <c r="T25" i="4"/>
  <c r="R25" i="4"/>
  <c r="Q25" i="4"/>
  <c r="P25" i="4"/>
  <c r="O25" i="4"/>
  <c r="N25" i="4"/>
  <c r="M25" i="4"/>
  <c r="L25" i="4"/>
  <c r="K25" i="4"/>
  <c r="S25" i="4" s="1"/>
  <c r="CX24" i="4"/>
  <c r="DF24" i="4" s="1"/>
  <c r="CW24" i="4"/>
  <c r="DE24" i="4" s="1"/>
  <c r="CV24" i="4"/>
  <c r="DD24" i="4" s="1"/>
  <c r="CU24" i="4"/>
  <c r="DC24" i="4" s="1"/>
  <c r="CT24" i="4"/>
  <c r="DB24" i="4" s="1"/>
  <c r="CS24" i="4"/>
  <c r="DA24" i="4" s="1"/>
  <c r="CR24" i="4"/>
  <c r="DH24" i="4" s="1"/>
  <c r="CQ24" i="4"/>
  <c r="CY24" i="4" s="1"/>
  <c r="CF24" i="4"/>
  <c r="CN24" i="4" s="1"/>
  <c r="CE24" i="4"/>
  <c r="CM24" i="4" s="1"/>
  <c r="CD24" i="4"/>
  <c r="CL24" i="4" s="1"/>
  <c r="CC24" i="4"/>
  <c r="CK24" i="4" s="1"/>
  <c r="CB24" i="4"/>
  <c r="CJ24" i="4" s="1"/>
  <c r="CA24" i="4"/>
  <c r="CI24" i="4" s="1"/>
  <c r="BZ24" i="4"/>
  <c r="CP24" i="4" s="1"/>
  <c r="BY24" i="4"/>
  <c r="CG24" i="4" s="1"/>
  <c r="BV24" i="4"/>
  <c r="BT24" i="4"/>
  <c r="BS24" i="4"/>
  <c r="BR24" i="4"/>
  <c r="BQ24" i="4"/>
  <c r="BP24" i="4"/>
  <c r="BO24" i="4"/>
  <c r="BN24" i="4"/>
  <c r="BM24" i="4"/>
  <c r="BU24" i="4" s="1"/>
  <c r="BD24" i="4"/>
  <c r="BB24" i="4"/>
  <c r="BA24" i="4"/>
  <c r="AZ24" i="4"/>
  <c r="AY24" i="4"/>
  <c r="AX24" i="4"/>
  <c r="AW24" i="4"/>
  <c r="AV24" i="4"/>
  <c r="AU24" i="4"/>
  <c r="BC24" i="4" s="1"/>
  <c r="AL24" i="4"/>
  <c r="AJ24" i="4"/>
  <c r="AI24" i="4"/>
  <c r="AH24" i="4"/>
  <c r="AG24" i="4"/>
  <c r="AF24" i="4"/>
  <c r="AE24" i="4"/>
  <c r="AD24" i="4"/>
  <c r="AC24" i="4"/>
  <c r="AK24" i="4" s="1"/>
  <c r="T24" i="4"/>
  <c r="R24" i="4"/>
  <c r="Q24" i="4"/>
  <c r="P24" i="4"/>
  <c r="O24" i="4"/>
  <c r="N24" i="4"/>
  <c r="M24" i="4"/>
  <c r="L24" i="4"/>
  <c r="K24" i="4"/>
  <c r="S24" i="4" s="1"/>
  <c r="CX23" i="4"/>
  <c r="DF23" i="4" s="1"/>
  <c r="CW23" i="4"/>
  <c r="DE23" i="4" s="1"/>
  <c r="CV23" i="4"/>
  <c r="DD23" i="4" s="1"/>
  <c r="CU23" i="4"/>
  <c r="DC23" i="4" s="1"/>
  <c r="CT23" i="4"/>
  <c r="DB23" i="4" s="1"/>
  <c r="CS23" i="4"/>
  <c r="DA23" i="4" s="1"/>
  <c r="CR23" i="4"/>
  <c r="DH23" i="4" s="1"/>
  <c r="CQ23" i="4"/>
  <c r="CY23" i="4" s="1"/>
  <c r="CF23" i="4"/>
  <c r="CN23" i="4" s="1"/>
  <c r="CE23" i="4"/>
  <c r="CM23" i="4" s="1"/>
  <c r="CD23" i="4"/>
  <c r="CL23" i="4" s="1"/>
  <c r="CC23" i="4"/>
  <c r="CK23" i="4" s="1"/>
  <c r="CB23" i="4"/>
  <c r="CJ23" i="4" s="1"/>
  <c r="CA23" i="4"/>
  <c r="CI23" i="4" s="1"/>
  <c r="BZ23" i="4"/>
  <c r="CP23" i="4" s="1"/>
  <c r="BY23" i="4"/>
  <c r="CG23" i="4" s="1"/>
  <c r="BV23" i="4"/>
  <c r="BT23" i="4"/>
  <c r="BS23" i="4"/>
  <c r="BR23" i="4"/>
  <c r="BQ23" i="4"/>
  <c r="BP23" i="4"/>
  <c r="BO23" i="4"/>
  <c r="BN23" i="4"/>
  <c r="BM23" i="4"/>
  <c r="BU23" i="4" s="1"/>
  <c r="BD23" i="4"/>
  <c r="BB23" i="4"/>
  <c r="BA23" i="4"/>
  <c r="AZ23" i="4"/>
  <c r="AY23" i="4"/>
  <c r="AX23" i="4"/>
  <c r="AW23" i="4"/>
  <c r="AV23" i="4"/>
  <c r="AU23" i="4"/>
  <c r="BC23" i="4" s="1"/>
  <c r="AL23" i="4"/>
  <c r="AJ23" i="4"/>
  <c r="AI23" i="4"/>
  <c r="AH23" i="4"/>
  <c r="AG23" i="4"/>
  <c r="AF23" i="4"/>
  <c r="AE23" i="4"/>
  <c r="AD23" i="4"/>
  <c r="AC23" i="4"/>
  <c r="AK23" i="4" s="1"/>
  <c r="T23" i="4"/>
  <c r="R23" i="4"/>
  <c r="Q23" i="4"/>
  <c r="P23" i="4"/>
  <c r="O23" i="4"/>
  <c r="N23" i="4"/>
  <c r="M23" i="4"/>
  <c r="L23" i="4"/>
  <c r="K23" i="4"/>
  <c r="S23" i="4" s="1"/>
  <c r="CX22" i="4"/>
  <c r="CX26" i="4" s="1"/>
  <c r="CW22" i="4"/>
  <c r="CW26" i="4" s="1"/>
  <c r="CV22" i="4"/>
  <c r="CV26" i="4" s="1"/>
  <c r="CU22" i="4"/>
  <c r="CU26" i="4" s="1"/>
  <c r="CT22" i="4"/>
  <c r="CT26" i="4" s="1"/>
  <c r="CS22" i="4"/>
  <c r="CS26" i="4" s="1"/>
  <c r="CR22" i="4"/>
  <c r="CR26" i="4" s="1"/>
  <c r="CQ22" i="4"/>
  <c r="CQ26" i="4" s="1"/>
  <c r="DH26" i="4" s="1"/>
  <c r="CF22" i="4"/>
  <c r="CF26" i="4" s="1"/>
  <c r="CE22" i="4"/>
  <c r="CE26" i="4" s="1"/>
  <c r="CD22" i="4"/>
  <c r="CD26" i="4" s="1"/>
  <c r="CC22" i="4"/>
  <c r="CC26" i="4" s="1"/>
  <c r="CB22" i="4"/>
  <c r="CB26" i="4" s="1"/>
  <c r="CA22" i="4"/>
  <c r="CA26" i="4" s="1"/>
  <c r="BZ22" i="4"/>
  <c r="BZ26" i="4" s="1"/>
  <c r="BY22" i="4"/>
  <c r="BY26" i="4" s="1"/>
  <c r="CP26" i="4" s="1"/>
  <c r="BV22" i="4"/>
  <c r="BT22" i="4"/>
  <c r="BT26" i="4" s="1"/>
  <c r="BS22" i="4"/>
  <c r="BS26" i="4" s="1"/>
  <c r="BR22" i="4"/>
  <c r="BR26" i="4" s="1"/>
  <c r="BQ22" i="4"/>
  <c r="BQ26" i="4" s="1"/>
  <c r="BP22" i="4"/>
  <c r="BP26" i="4" s="1"/>
  <c r="BO22" i="4"/>
  <c r="BO26" i="4" s="1"/>
  <c r="BN22" i="4"/>
  <c r="BN26" i="4" s="1"/>
  <c r="BM22" i="4"/>
  <c r="BM26" i="4" s="1"/>
  <c r="BD22" i="4"/>
  <c r="BB22" i="4"/>
  <c r="BB26" i="4" s="1"/>
  <c r="BA22" i="4"/>
  <c r="BA26" i="4" s="1"/>
  <c r="AZ22" i="4"/>
  <c r="AZ26" i="4" s="1"/>
  <c r="AY22" i="4"/>
  <c r="AY26" i="4" s="1"/>
  <c r="AX22" i="4"/>
  <c r="AX26" i="4" s="1"/>
  <c r="AW22" i="4"/>
  <c r="AW26" i="4" s="1"/>
  <c r="AV22" i="4"/>
  <c r="AV26" i="4" s="1"/>
  <c r="AU22" i="4"/>
  <c r="AU26" i="4" s="1"/>
  <c r="BC26" i="4" s="1"/>
  <c r="AL22" i="4"/>
  <c r="AJ22" i="4"/>
  <c r="AJ26" i="4" s="1"/>
  <c r="AI22" i="4"/>
  <c r="AI26" i="4" s="1"/>
  <c r="AH22" i="4"/>
  <c r="AH26" i="4" s="1"/>
  <c r="AG22" i="4"/>
  <c r="AG26" i="4" s="1"/>
  <c r="AF22" i="4"/>
  <c r="AF26" i="4" s="1"/>
  <c r="AE22" i="4"/>
  <c r="AE26" i="4" s="1"/>
  <c r="AD22" i="4"/>
  <c r="AD26" i="4" s="1"/>
  <c r="AC22" i="4"/>
  <c r="AC26" i="4" s="1"/>
  <c r="T22" i="4"/>
  <c r="R22" i="4"/>
  <c r="R26" i="4" s="1"/>
  <c r="Q22" i="4"/>
  <c r="Q26" i="4" s="1"/>
  <c r="P22" i="4"/>
  <c r="P26" i="4" s="1"/>
  <c r="O22" i="4"/>
  <c r="O26" i="4" s="1"/>
  <c r="N22" i="4"/>
  <c r="N26" i="4" s="1"/>
  <c r="M22" i="4"/>
  <c r="M26" i="4" s="1"/>
  <c r="L22" i="4"/>
  <c r="L26" i="4" s="1"/>
  <c r="K22" i="4"/>
  <c r="K26" i="4" s="1"/>
  <c r="S26" i="4" s="1"/>
  <c r="BL21" i="4"/>
  <c r="BK21" i="4"/>
  <c r="BJ21" i="4"/>
  <c r="BI21" i="4"/>
  <c r="BH21" i="4"/>
  <c r="BG21" i="4"/>
  <c r="BF21" i="4"/>
  <c r="BV21" i="4" s="1"/>
  <c r="BE21" i="4"/>
  <c r="AT21" i="4"/>
  <c r="AS21" i="4"/>
  <c r="AR21" i="4"/>
  <c r="AQ21" i="4"/>
  <c r="AP21" i="4"/>
  <c r="AO21" i="4"/>
  <c r="AN21" i="4"/>
  <c r="BD21" i="4" s="1"/>
  <c r="AM21" i="4"/>
  <c r="AB21" i="4"/>
  <c r="AA21" i="4"/>
  <c r="Z21" i="4"/>
  <c r="Y21" i="4"/>
  <c r="X21" i="4"/>
  <c r="W21" i="4"/>
  <c r="V21" i="4"/>
  <c r="AL21" i="4" s="1"/>
  <c r="U21" i="4"/>
  <c r="J21" i="4"/>
  <c r="I21" i="4"/>
  <c r="H21" i="4"/>
  <c r="G21" i="4"/>
  <c r="F21" i="4"/>
  <c r="E21" i="4"/>
  <c r="D21" i="4"/>
  <c r="T21" i="4" s="1"/>
  <c r="C21" i="4"/>
  <c r="CX20" i="4"/>
  <c r="DF20" i="4" s="1"/>
  <c r="CW20" i="4"/>
  <c r="DE20" i="4" s="1"/>
  <c r="CV20" i="4"/>
  <c r="DD20" i="4" s="1"/>
  <c r="CU20" i="4"/>
  <c r="DC20" i="4" s="1"/>
  <c r="CT20" i="4"/>
  <c r="DB20" i="4" s="1"/>
  <c r="CS20" i="4"/>
  <c r="DA20" i="4" s="1"/>
  <c r="CR20" i="4"/>
  <c r="DH20" i="4" s="1"/>
  <c r="CQ20" i="4"/>
  <c r="CY20" i="4" s="1"/>
  <c r="CF20" i="4"/>
  <c r="CN20" i="4" s="1"/>
  <c r="CE20" i="4"/>
  <c r="CM20" i="4" s="1"/>
  <c r="CD20" i="4"/>
  <c r="CL20" i="4" s="1"/>
  <c r="CC20" i="4"/>
  <c r="CK20" i="4" s="1"/>
  <c r="CB20" i="4"/>
  <c r="CJ20" i="4" s="1"/>
  <c r="CA20" i="4"/>
  <c r="CI20" i="4" s="1"/>
  <c r="BZ20" i="4"/>
  <c r="CP20" i="4" s="1"/>
  <c r="BY20" i="4"/>
  <c r="CG20" i="4" s="1"/>
  <c r="BV20" i="4"/>
  <c r="BT20" i="4"/>
  <c r="BS20" i="4"/>
  <c r="BR20" i="4"/>
  <c r="BQ20" i="4"/>
  <c r="BP20" i="4"/>
  <c r="BO20" i="4"/>
  <c r="BN20" i="4"/>
  <c r="BM20" i="4"/>
  <c r="BU20" i="4" s="1"/>
  <c r="BD20" i="4"/>
  <c r="BB20" i="4"/>
  <c r="BA20" i="4"/>
  <c r="AZ20" i="4"/>
  <c r="AY20" i="4"/>
  <c r="AX20" i="4"/>
  <c r="AW20" i="4"/>
  <c r="AV20" i="4"/>
  <c r="AU20" i="4"/>
  <c r="BC20" i="4" s="1"/>
  <c r="AL20" i="4"/>
  <c r="AJ20" i="4"/>
  <c r="AI20" i="4"/>
  <c r="AH20" i="4"/>
  <c r="AG20" i="4"/>
  <c r="AF20" i="4"/>
  <c r="AE20" i="4"/>
  <c r="AD20" i="4"/>
  <c r="AC20" i="4"/>
  <c r="AK20" i="4" s="1"/>
  <c r="T20" i="4"/>
  <c r="R20" i="4"/>
  <c r="Q20" i="4"/>
  <c r="P20" i="4"/>
  <c r="O20" i="4"/>
  <c r="N20" i="4"/>
  <c r="M20" i="4"/>
  <c r="L20" i="4"/>
  <c r="K20" i="4"/>
  <c r="S20" i="4" s="1"/>
  <c r="CX19" i="4"/>
  <c r="DF19" i="4" s="1"/>
  <c r="CW19" i="4"/>
  <c r="DE19" i="4" s="1"/>
  <c r="CV19" i="4"/>
  <c r="DD19" i="4" s="1"/>
  <c r="CU19" i="4"/>
  <c r="DC19" i="4" s="1"/>
  <c r="CT19" i="4"/>
  <c r="DB19" i="4" s="1"/>
  <c r="CS19" i="4"/>
  <c r="DA19" i="4" s="1"/>
  <c r="CR19" i="4"/>
  <c r="DH19" i="4" s="1"/>
  <c r="CQ19" i="4"/>
  <c r="CY19" i="4" s="1"/>
  <c r="CF19" i="4"/>
  <c r="CN19" i="4" s="1"/>
  <c r="CE19" i="4"/>
  <c r="CM19" i="4" s="1"/>
  <c r="CD19" i="4"/>
  <c r="CL19" i="4" s="1"/>
  <c r="CC19" i="4"/>
  <c r="CK19" i="4" s="1"/>
  <c r="CB19" i="4"/>
  <c r="CJ19" i="4" s="1"/>
  <c r="CA19" i="4"/>
  <c r="CI19" i="4" s="1"/>
  <c r="BZ19" i="4"/>
  <c r="CP19" i="4" s="1"/>
  <c r="BY19" i="4"/>
  <c r="CG19" i="4" s="1"/>
  <c r="BV19" i="4"/>
  <c r="BT19" i="4"/>
  <c r="BS19" i="4"/>
  <c r="BR19" i="4"/>
  <c r="BQ19" i="4"/>
  <c r="BP19" i="4"/>
  <c r="BO19" i="4"/>
  <c r="BN19" i="4"/>
  <c r="BM19" i="4"/>
  <c r="BU19" i="4" s="1"/>
  <c r="BD19" i="4"/>
  <c r="BB19" i="4"/>
  <c r="BA19" i="4"/>
  <c r="AZ19" i="4"/>
  <c r="AY19" i="4"/>
  <c r="AX19" i="4"/>
  <c r="AW19" i="4"/>
  <c r="AV19" i="4"/>
  <c r="AU19" i="4"/>
  <c r="BC19" i="4" s="1"/>
  <c r="AL19" i="4"/>
  <c r="AJ19" i="4"/>
  <c r="AI19" i="4"/>
  <c r="AH19" i="4"/>
  <c r="AG19" i="4"/>
  <c r="AF19" i="4"/>
  <c r="AE19" i="4"/>
  <c r="AD19" i="4"/>
  <c r="AC19" i="4"/>
  <c r="AK19" i="4" s="1"/>
  <c r="T19" i="4"/>
  <c r="R19" i="4"/>
  <c r="Q19" i="4"/>
  <c r="P19" i="4"/>
  <c r="O19" i="4"/>
  <c r="N19" i="4"/>
  <c r="M19" i="4"/>
  <c r="L19" i="4"/>
  <c r="K19" i="4"/>
  <c r="S19" i="4" s="1"/>
  <c r="CX18" i="4"/>
  <c r="DF18" i="4" s="1"/>
  <c r="CW18" i="4"/>
  <c r="DE18" i="4" s="1"/>
  <c r="CV18" i="4"/>
  <c r="DD18" i="4" s="1"/>
  <c r="CU18" i="4"/>
  <c r="DC18" i="4" s="1"/>
  <c r="CT18" i="4"/>
  <c r="DB18" i="4" s="1"/>
  <c r="CS18" i="4"/>
  <c r="DA18" i="4" s="1"/>
  <c r="CR18" i="4"/>
  <c r="DH18" i="4" s="1"/>
  <c r="CQ18" i="4"/>
  <c r="CY18" i="4" s="1"/>
  <c r="CF18" i="4"/>
  <c r="CN18" i="4" s="1"/>
  <c r="CE18" i="4"/>
  <c r="CM18" i="4" s="1"/>
  <c r="CD18" i="4"/>
  <c r="CL18" i="4" s="1"/>
  <c r="CC18" i="4"/>
  <c r="CK18" i="4" s="1"/>
  <c r="CB18" i="4"/>
  <c r="CJ18" i="4" s="1"/>
  <c r="CA18" i="4"/>
  <c r="CI18" i="4" s="1"/>
  <c r="BZ18" i="4"/>
  <c r="CP18" i="4" s="1"/>
  <c r="BY18" i="4"/>
  <c r="CG18" i="4" s="1"/>
  <c r="BV18" i="4"/>
  <c r="BT18" i="4"/>
  <c r="BS18" i="4"/>
  <c r="BR18" i="4"/>
  <c r="BQ18" i="4"/>
  <c r="BP18" i="4"/>
  <c r="BO18" i="4"/>
  <c r="BN18" i="4"/>
  <c r="BM18" i="4"/>
  <c r="BU18" i="4" s="1"/>
  <c r="BD18" i="4"/>
  <c r="BB18" i="4"/>
  <c r="BA18" i="4"/>
  <c r="AZ18" i="4"/>
  <c r="AY18" i="4"/>
  <c r="AX18" i="4"/>
  <c r="AW18" i="4"/>
  <c r="AV18" i="4"/>
  <c r="AU18" i="4"/>
  <c r="BC18" i="4" s="1"/>
  <c r="AL18" i="4"/>
  <c r="AJ18" i="4"/>
  <c r="AI18" i="4"/>
  <c r="AH18" i="4"/>
  <c r="AG18" i="4"/>
  <c r="AF18" i="4"/>
  <c r="AE18" i="4"/>
  <c r="AD18" i="4"/>
  <c r="AC18" i="4"/>
  <c r="AK18" i="4" s="1"/>
  <c r="T18" i="4"/>
  <c r="R18" i="4"/>
  <c r="Q18" i="4"/>
  <c r="P18" i="4"/>
  <c r="O18" i="4"/>
  <c r="N18" i="4"/>
  <c r="M18" i="4"/>
  <c r="L18" i="4"/>
  <c r="K18" i="4"/>
  <c r="S18" i="4" s="1"/>
  <c r="CX17" i="4"/>
  <c r="CX21" i="4" s="1"/>
  <c r="CW17" i="4"/>
  <c r="CW21" i="4" s="1"/>
  <c r="CV17" i="4"/>
  <c r="CV21" i="4" s="1"/>
  <c r="CU17" i="4"/>
  <c r="CU21" i="4" s="1"/>
  <c r="CT17" i="4"/>
  <c r="CT21" i="4" s="1"/>
  <c r="CS17" i="4"/>
  <c r="CS21" i="4" s="1"/>
  <c r="CR17" i="4"/>
  <c r="CR21" i="4" s="1"/>
  <c r="CQ17" i="4"/>
  <c r="CQ21" i="4" s="1"/>
  <c r="DH21" i="4" s="1"/>
  <c r="CF17" i="4"/>
  <c r="CF21" i="4" s="1"/>
  <c r="CE17" i="4"/>
  <c r="CE21" i="4" s="1"/>
  <c r="CD17" i="4"/>
  <c r="CD21" i="4" s="1"/>
  <c r="CC17" i="4"/>
  <c r="CC21" i="4" s="1"/>
  <c r="CB17" i="4"/>
  <c r="CB21" i="4" s="1"/>
  <c r="CA17" i="4"/>
  <c r="CA21" i="4" s="1"/>
  <c r="BZ17" i="4"/>
  <c r="BZ21" i="4" s="1"/>
  <c r="BY17" i="4"/>
  <c r="BY21" i="4" s="1"/>
  <c r="CP21" i="4" s="1"/>
  <c r="BV17" i="4"/>
  <c r="BT17" i="4"/>
  <c r="BT21" i="4" s="1"/>
  <c r="BS17" i="4"/>
  <c r="BS21" i="4" s="1"/>
  <c r="BR17" i="4"/>
  <c r="BR21" i="4" s="1"/>
  <c r="BQ17" i="4"/>
  <c r="BQ21" i="4" s="1"/>
  <c r="BP17" i="4"/>
  <c r="BP21" i="4" s="1"/>
  <c r="BO17" i="4"/>
  <c r="BO21" i="4" s="1"/>
  <c r="BN17" i="4"/>
  <c r="BN21" i="4" s="1"/>
  <c r="BM17" i="4"/>
  <c r="BM21" i="4" s="1"/>
  <c r="BD17" i="4"/>
  <c r="BB17" i="4"/>
  <c r="BB21" i="4" s="1"/>
  <c r="BA17" i="4"/>
  <c r="BA21" i="4" s="1"/>
  <c r="AZ17" i="4"/>
  <c r="AZ21" i="4" s="1"/>
  <c r="AY17" i="4"/>
  <c r="AY21" i="4" s="1"/>
  <c r="AX17" i="4"/>
  <c r="AX21" i="4" s="1"/>
  <c r="AW17" i="4"/>
  <c r="AW21" i="4" s="1"/>
  <c r="AV17" i="4"/>
  <c r="AV21" i="4" s="1"/>
  <c r="AU17" i="4"/>
  <c r="AU21" i="4" s="1"/>
  <c r="BC21" i="4" s="1"/>
  <c r="AL17" i="4"/>
  <c r="AJ17" i="4"/>
  <c r="AJ21" i="4" s="1"/>
  <c r="AI17" i="4"/>
  <c r="AI21" i="4" s="1"/>
  <c r="AH17" i="4"/>
  <c r="AH21" i="4" s="1"/>
  <c r="AG17" i="4"/>
  <c r="AG21" i="4" s="1"/>
  <c r="AF17" i="4"/>
  <c r="AF21" i="4" s="1"/>
  <c r="AE17" i="4"/>
  <c r="AE21" i="4" s="1"/>
  <c r="AD17" i="4"/>
  <c r="AD21" i="4" s="1"/>
  <c r="AC17" i="4"/>
  <c r="AC21" i="4" s="1"/>
  <c r="T17" i="4"/>
  <c r="R17" i="4"/>
  <c r="R21" i="4" s="1"/>
  <c r="Q17" i="4"/>
  <c r="Q21" i="4" s="1"/>
  <c r="P17" i="4"/>
  <c r="P21" i="4" s="1"/>
  <c r="O17" i="4"/>
  <c r="O21" i="4" s="1"/>
  <c r="N17" i="4"/>
  <c r="N21" i="4" s="1"/>
  <c r="M17" i="4"/>
  <c r="M21" i="4" s="1"/>
  <c r="L17" i="4"/>
  <c r="L21" i="4" s="1"/>
  <c r="K17" i="4"/>
  <c r="K21" i="4" s="1"/>
  <c r="S21" i="4" s="1"/>
  <c r="BL16" i="4"/>
  <c r="BL133" i="4" s="1"/>
  <c r="BK16" i="4"/>
  <c r="BK133" i="4" s="1"/>
  <c r="BJ16" i="4"/>
  <c r="BJ133" i="4" s="1"/>
  <c r="BI16" i="4"/>
  <c r="BI133" i="4" s="1"/>
  <c r="BH16" i="4"/>
  <c r="BH133" i="4" s="1"/>
  <c r="BG16" i="4"/>
  <c r="BG133" i="4" s="1"/>
  <c r="BF16" i="4"/>
  <c r="BF133" i="4" s="1"/>
  <c r="BE16" i="4"/>
  <c r="BE133" i="4" s="1"/>
  <c r="AT16" i="4"/>
  <c r="AT133" i="4" s="1"/>
  <c r="AS16" i="4"/>
  <c r="AS133" i="4" s="1"/>
  <c r="AR16" i="4"/>
  <c r="AR133" i="4" s="1"/>
  <c r="AQ16" i="4"/>
  <c r="AQ133" i="4" s="1"/>
  <c r="AP16" i="4"/>
  <c r="AP133" i="4" s="1"/>
  <c r="AO16" i="4"/>
  <c r="AO133" i="4" s="1"/>
  <c r="AN16" i="4"/>
  <c r="AN133" i="4" s="1"/>
  <c r="AM16" i="4"/>
  <c r="AM133" i="4" s="1"/>
  <c r="AB16" i="4"/>
  <c r="AB133" i="4" s="1"/>
  <c r="AA16" i="4"/>
  <c r="AA133" i="4" s="1"/>
  <c r="Z16" i="4"/>
  <c r="Z133" i="4" s="1"/>
  <c r="Y16" i="4"/>
  <c r="Y133" i="4" s="1"/>
  <c r="X16" i="4"/>
  <c r="X133" i="4" s="1"/>
  <c r="W16" i="4"/>
  <c r="W133" i="4" s="1"/>
  <c r="V16" i="4"/>
  <c r="V133" i="4" s="1"/>
  <c r="U16" i="4"/>
  <c r="U133" i="4" s="1"/>
  <c r="J16" i="4"/>
  <c r="J133" i="4" s="1"/>
  <c r="I16" i="4"/>
  <c r="I133" i="4" s="1"/>
  <c r="H16" i="4"/>
  <c r="H133" i="4" s="1"/>
  <c r="G16" i="4"/>
  <c r="G133" i="4" s="1"/>
  <c r="F16" i="4"/>
  <c r="F133" i="4" s="1"/>
  <c r="E16" i="4"/>
  <c r="E133" i="4" s="1"/>
  <c r="D16" i="4"/>
  <c r="D133" i="4" s="1"/>
  <c r="C16" i="4"/>
  <c r="C133" i="4" s="1"/>
  <c r="CX15" i="4"/>
  <c r="DF15" i="4" s="1"/>
  <c r="CW15" i="4"/>
  <c r="DE15" i="4" s="1"/>
  <c r="CV15" i="4"/>
  <c r="DD15" i="4" s="1"/>
  <c r="CU15" i="4"/>
  <c r="DC15" i="4" s="1"/>
  <c r="CT15" i="4"/>
  <c r="DB15" i="4" s="1"/>
  <c r="CS15" i="4"/>
  <c r="DA15" i="4" s="1"/>
  <c r="CR15" i="4"/>
  <c r="DH15" i="4" s="1"/>
  <c r="CQ15" i="4"/>
  <c r="CY15" i="4" s="1"/>
  <c r="CF15" i="4"/>
  <c r="CN15" i="4" s="1"/>
  <c r="CE15" i="4"/>
  <c r="CM15" i="4" s="1"/>
  <c r="CD15" i="4"/>
  <c r="CL15" i="4" s="1"/>
  <c r="CC15" i="4"/>
  <c r="CK15" i="4" s="1"/>
  <c r="CB15" i="4"/>
  <c r="CJ15" i="4" s="1"/>
  <c r="CA15" i="4"/>
  <c r="CI15" i="4" s="1"/>
  <c r="BZ15" i="4"/>
  <c r="CP15" i="4" s="1"/>
  <c r="BY15" i="4"/>
  <c r="CG15" i="4" s="1"/>
  <c r="BV15" i="4"/>
  <c r="BT15" i="4"/>
  <c r="BS15" i="4"/>
  <c r="BR15" i="4"/>
  <c r="BQ15" i="4"/>
  <c r="BP15" i="4"/>
  <c r="BO15" i="4"/>
  <c r="BN15" i="4"/>
  <c r="BM15" i="4"/>
  <c r="BU15" i="4" s="1"/>
  <c r="BD15" i="4"/>
  <c r="BB15" i="4"/>
  <c r="BA15" i="4"/>
  <c r="AZ15" i="4"/>
  <c r="AY15" i="4"/>
  <c r="AX15" i="4"/>
  <c r="AW15" i="4"/>
  <c r="AV15" i="4"/>
  <c r="AU15" i="4"/>
  <c r="BC15" i="4" s="1"/>
  <c r="AL15" i="4"/>
  <c r="AJ15" i="4"/>
  <c r="AI15" i="4"/>
  <c r="AH15" i="4"/>
  <c r="AG15" i="4"/>
  <c r="AF15" i="4"/>
  <c r="AE15" i="4"/>
  <c r="AD15" i="4"/>
  <c r="AC15" i="4"/>
  <c r="AK15" i="4" s="1"/>
  <c r="T15" i="4"/>
  <c r="R15" i="4"/>
  <c r="Q15" i="4"/>
  <c r="P15" i="4"/>
  <c r="O15" i="4"/>
  <c r="N15" i="4"/>
  <c r="M15" i="4"/>
  <c r="L15" i="4"/>
  <c r="K15" i="4"/>
  <c r="S15" i="4" s="1"/>
  <c r="CX14" i="4"/>
  <c r="DF14" i="4" s="1"/>
  <c r="CW14" i="4"/>
  <c r="DE14" i="4" s="1"/>
  <c r="CV14" i="4"/>
  <c r="DD14" i="4" s="1"/>
  <c r="CU14" i="4"/>
  <c r="DC14" i="4" s="1"/>
  <c r="CT14" i="4"/>
  <c r="DB14" i="4" s="1"/>
  <c r="CS14" i="4"/>
  <c r="DA14" i="4" s="1"/>
  <c r="CR14" i="4"/>
  <c r="CZ14" i="4" s="1"/>
  <c r="CQ14" i="4"/>
  <c r="CY14" i="4" s="1"/>
  <c r="DG14" i="4" s="1"/>
  <c r="CF14" i="4"/>
  <c r="CN14" i="4" s="1"/>
  <c r="CE14" i="4"/>
  <c r="CM14" i="4" s="1"/>
  <c r="CD14" i="4"/>
  <c r="CL14" i="4" s="1"/>
  <c r="CC14" i="4"/>
  <c r="CK14" i="4" s="1"/>
  <c r="CB14" i="4"/>
  <c r="CJ14" i="4" s="1"/>
  <c r="CA14" i="4"/>
  <c r="CI14" i="4" s="1"/>
  <c r="BZ14" i="4"/>
  <c r="CP14" i="4" s="1"/>
  <c r="BY14" i="4"/>
  <c r="CG14" i="4" s="1"/>
  <c r="BV14" i="4"/>
  <c r="BT14" i="4"/>
  <c r="BS14" i="4"/>
  <c r="BR14" i="4"/>
  <c r="BQ14" i="4"/>
  <c r="BP14" i="4"/>
  <c r="BO14" i="4"/>
  <c r="BN14" i="4"/>
  <c r="BM14" i="4"/>
  <c r="BU14" i="4" s="1"/>
  <c r="BD14" i="4"/>
  <c r="BB14" i="4"/>
  <c r="BA14" i="4"/>
  <c r="AZ14" i="4"/>
  <c r="AY14" i="4"/>
  <c r="AX14" i="4"/>
  <c r="AW14" i="4"/>
  <c r="AV14" i="4"/>
  <c r="AU14" i="4"/>
  <c r="BC14" i="4" s="1"/>
  <c r="AL14" i="4"/>
  <c r="AJ14" i="4"/>
  <c r="AI14" i="4"/>
  <c r="AH14" i="4"/>
  <c r="AG14" i="4"/>
  <c r="AF14" i="4"/>
  <c r="AE14" i="4"/>
  <c r="AD14" i="4"/>
  <c r="AC14" i="4"/>
  <c r="AK14" i="4" s="1"/>
  <c r="T14" i="4"/>
  <c r="R14" i="4"/>
  <c r="Q14" i="4"/>
  <c r="P14" i="4"/>
  <c r="O14" i="4"/>
  <c r="N14" i="4"/>
  <c r="M14" i="4"/>
  <c r="L14" i="4"/>
  <c r="K14" i="4"/>
  <c r="S14" i="4" s="1"/>
  <c r="CX13" i="4"/>
  <c r="DF13" i="4" s="1"/>
  <c r="CW13" i="4"/>
  <c r="DE13" i="4" s="1"/>
  <c r="CV13" i="4"/>
  <c r="DD13" i="4" s="1"/>
  <c r="CU13" i="4"/>
  <c r="DC13" i="4" s="1"/>
  <c r="CT13" i="4"/>
  <c r="DB13" i="4" s="1"/>
  <c r="CS13" i="4"/>
  <c r="DA13" i="4" s="1"/>
  <c r="CR13" i="4"/>
  <c r="DH13" i="4" s="1"/>
  <c r="CQ13" i="4"/>
  <c r="CY13" i="4" s="1"/>
  <c r="CF13" i="4"/>
  <c r="CN13" i="4" s="1"/>
  <c r="CE13" i="4"/>
  <c r="CM13" i="4" s="1"/>
  <c r="CD13" i="4"/>
  <c r="CL13" i="4" s="1"/>
  <c r="CC13" i="4"/>
  <c r="CK13" i="4" s="1"/>
  <c r="CB13" i="4"/>
  <c r="CJ13" i="4" s="1"/>
  <c r="CA13" i="4"/>
  <c r="CI13" i="4" s="1"/>
  <c r="BZ13" i="4"/>
  <c r="CP13" i="4" s="1"/>
  <c r="BY13" i="4"/>
  <c r="CG13" i="4" s="1"/>
  <c r="BV13" i="4"/>
  <c r="BT13" i="4"/>
  <c r="BS13" i="4"/>
  <c r="BR13" i="4"/>
  <c r="BQ13" i="4"/>
  <c r="BP13" i="4"/>
  <c r="BO13" i="4"/>
  <c r="BN13" i="4"/>
  <c r="BM13" i="4"/>
  <c r="BU13" i="4" s="1"/>
  <c r="BD13" i="4"/>
  <c r="BB13" i="4"/>
  <c r="BA13" i="4"/>
  <c r="AZ13" i="4"/>
  <c r="AY13" i="4"/>
  <c r="AX13" i="4"/>
  <c r="AW13" i="4"/>
  <c r="AV13" i="4"/>
  <c r="AU13" i="4"/>
  <c r="BC13" i="4" s="1"/>
  <c r="AL13" i="4"/>
  <c r="AJ13" i="4"/>
  <c r="AI13" i="4"/>
  <c r="AH13" i="4"/>
  <c r="AG13" i="4"/>
  <c r="AF13" i="4"/>
  <c r="AE13" i="4"/>
  <c r="AD13" i="4"/>
  <c r="AC13" i="4"/>
  <c r="AK13" i="4" s="1"/>
  <c r="T13" i="4"/>
  <c r="R13" i="4"/>
  <c r="Q13" i="4"/>
  <c r="P13" i="4"/>
  <c r="O13" i="4"/>
  <c r="N13" i="4"/>
  <c r="M13" i="4"/>
  <c r="L13" i="4"/>
  <c r="K13" i="4"/>
  <c r="S13" i="4" s="1"/>
  <c r="CX12" i="4"/>
  <c r="DF12" i="4" s="1"/>
  <c r="DF16" i="4" s="1"/>
  <c r="CW12" i="4"/>
  <c r="CW16" i="4" s="1"/>
  <c r="CW133" i="4" s="1"/>
  <c r="CV12" i="4"/>
  <c r="DD12" i="4" s="1"/>
  <c r="DD16" i="4" s="1"/>
  <c r="CU12" i="4"/>
  <c r="CU16" i="4" s="1"/>
  <c r="CU133" i="4" s="1"/>
  <c r="CT12" i="4"/>
  <c r="DB12" i="4" s="1"/>
  <c r="DB16" i="4" s="1"/>
  <c r="CS12" i="4"/>
  <c r="CS16" i="4" s="1"/>
  <c r="CS133" i="4" s="1"/>
  <c r="CR12" i="4"/>
  <c r="CR16" i="4" s="1"/>
  <c r="CR133" i="4" s="1"/>
  <c r="CQ12" i="4"/>
  <c r="CQ16" i="4" s="1"/>
  <c r="CF12" i="4"/>
  <c r="CF16" i="4" s="1"/>
  <c r="CF133" i="4" s="1"/>
  <c r="CE12" i="4"/>
  <c r="CE16" i="4" s="1"/>
  <c r="CE133" i="4" s="1"/>
  <c r="CD12" i="4"/>
  <c r="CD16" i="4" s="1"/>
  <c r="CD133" i="4" s="1"/>
  <c r="CC12" i="4"/>
  <c r="CC16" i="4" s="1"/>
  <c r="CC133" i="4" s="1"/>
  <c r="CB12" i="4"/>
  <c r="CB16" i="4" s="1"/>
  <c r="CB133" i="4" s="1"/>
  <c r="CA12" i="4"/>
  <c r="CA16" i="4" s="1"/>
  <c r="CA133" i="4" s="1"/>
  <c r="BZ12" i="4"/>
  <c r="CP12" i="4" s="1"/>
  <c r="BY12" i="4"/>
  <c r="BY16" i="4" s="1"/>
  <c r="BV12" i="4"/>
  <c r="BT12" i="4"/>
  <c r="BT16" i="4" s="1"/>
  <c r="BT133" i="4" s="1"/>
  <c r="BS12" i="4"/>
  <c r="BS16" i="4" s="1"/>
  <c r="BS133" i="4" s="1"/>
  <c r="BR12" i="4"/>
  <c r="BR16" i="4" s="1"/>
  <c r="BR133" i="4" s="1"/>
  <c r="BQ12" i="4"/>
  <c r="BQ16" i="4" s="1"/>
  <c r="BQ133" i="4" s="1"/>
  <c r="BP12" i="4"/>
  <c r="BP16" i="4" s="1"/>
  <c r="BP133" i="4" s="1"/>
  <c r="BO12" i="4"/>
  <c r="BO16" i="4" s="1"/>
  <c r="BO133" i="4" s="1"/>
  <c r="BN12" i="4"/>
  <c r="BN16" i="4" s="1"/>
  <c r="BN133" i="4" s="1"/>
  <c r="BM12" i="4"/>
  <c r="BM16" i="4" s="1"/>
  <c r="BD12" i="4"/>
  <c r="BB12" i="4"/>
  <c r="BB16" i="4" s="1"/>
  <c r="BB133" i="4" s="1"/>
  <c r="BA12" i="4"/>
  <c r="BA16" i="4" s="1"/>
  <c r="BA133" i="4" s="1"/>
  <c r="AZ12" i="4"/>
  <c r="AZ16" i="4" s="1"/>
  <c r="AZ133" i="4" s="1"/>
  <c r="AY12" i="4"/>
  <c r="AY16" i="4" s="1"/>
  <c r="AY133" i="4" s="1"/>
  <c r="AX12" i="4"/>
  <c r="AX16" i="4" s="1"/>
  <c r="AX133" i="4" s="1"/>
  <c r="AW12" i="4"/>
  <c r="AW16" i="4" s="1"/>
  <c r="AW133" i="4" s="1"/>
  <c r="AV12" i="4"/>
  <c r="AV16" i="4" s="1"/>
  <c r="AV133" i="4" s="1"/>
  <c r="AU12" i="4"/>
  <c r="AU16" i="4" s="1"/>
  <c r="AL12" i="4"/>
  <c r="AJ12" i="4"/>
  <c r="AJ16" i="4" s="1"/>
  <c r="AJ133" i="4" s="1"/>
  <c r="AI12" i="4"/>
  <c r="AI16" i="4" s="1"/>
  <c r="AI133" i="4" s="1"/>
  <c r="AH12" i="4"/>
  <c r="AH16" i="4" s="1"/>
  <c r="AH133" i="4" s="1"/>
  <c r="AG12" i="4"/>
  <c r="AG16" i="4" s="1"/>
  <c r="AG133" i="4" s="1"/>
  <c r="AF12" i="4"/>
  <c r="AF16" i="4" s="1"/>
  <c r="AF133" i="4" s="1"/>
  <c r="AE12" i="4"/>
  <c r="AE16" i="4" s="1"/>
  <c r="AE133" i="4" s="1"/>
  <c r="AD12" i="4"/>
  <c r="AD16" i="4" s="1"/>
  <c r="AD133" i="4" s="1"/>
  <c r="AC12" i="4"/>
  <c r="AC16" i="4" s="1"/>
  <c r="T12" i="4"/>
  <c r="R12" i="4"/>
  <c r="R16" i="4" s="1"/>
  <c r="R133" i="4" s="1"/>
  <c r="Q12" i="4"/>
  <c r="Q16" i="4" s="1"/>
  <c r="Q133" i="4" s="1"/>
  <c r="P12" i="4"/>
  <c r="P16" i="4" s="1"/>
  <c r="P133" i="4" s="1"/>
  <c r="O12" i="4"/>
  <c r="O16" i="4" s="1"/>
  <c r="O133" i="4" s="1"/>
  <c r="N12" i="4"/>
  <c r="N16" i="4" s="1"/>
  <c r="N133" i="4" s="1"/>
  <c r="M12" i="4"/>
  <c r="M16" i="4" s="1"/>
  <c r="M133" i="4" s="1"/>
  <c r="L12" i="4"/>
  <c r="L16" i="4" s="1"/>
  <c r="L133" i="4" s="1"/>
  <c r="K12" i="4"/>
  <c r="K16" i="4" s="1"/>
  <c r="DN8" i="8"/>
  <c r="DL8" i="8"/>
  <c r="DJ8" i="8"/>
  <c r="DH8" i="8"/>
  <c r="DF8" i="8"/>
  <c r="DD8" i="8"/>
  <c r="DB8" i="8"/>
  <c r="CZ8" i="8"/>
  <c r="CX8" i="8"/>
  <c r="CV8" i="8"/>
  <c r="CT8" i="8"/>
  <c r="CR8" i="8"/>
  <c r="CP8" i="8"/>
  <c r="CN8" i="8"/>
  <c r="CL8" i="8"/>
  <c r="CJ8" i="8"/>
  <c r="CF8" i="8"/>
  <c r="CD8" i="8"/>
  <c r="CB8" i="8"/>
  <c r="BZ8" i="8"/>
  <c r="BX8" i="8"/>
  <c r="BV8" i="8"/>
  <c r="BT8" i="8"/>
  <c r="BR8" i="8"/>
  <c r="BP8" i="8"/>
  <c r="BN8" i="8"/>
  <c r="BL8" i="8"/>
  <c r="BJ8" i="8"/>
  <c r="BH8" i="8"/>
  <c r="BF8" i="8"/>
  <c r="BD8" i="8"/>
  <c r="BB8" i="8"/>
  <c r="AX8" i="8"/>
  <c r="AV8" i="8"/>
  <c r="AT8" i="8"/>
  <c r="AR8" i="8"/>
  <c r="AP8" i="8"/>
  <c r="AN8" i="8"/>
  <c r="AL8" i="8"/>
  <c r="AJ8" i="8"/>
  <c r="AH8" i="8"/>
  <c r="AF8" i="8"/>
  <c r="AD8" i="8"/>
  <c r="AB8" i="8"/>
  <c r="Z8" i="8"/>
  <c r="X8" i="8"/>
  <c r="V8" i="8"/>
  <c r="T8" i="8"/>
  <c r="EW7" i="8"/>
  <c r="EU7" i="8"/>
  <c r="ES7" i="8"/>
  <c r="EQ7" i="8"/>
  <c r="EO7" i="8"/>
  <c r="EM7" i="8"/>
  <c r="EK7" i="8"/>
  <c r="EI7" i="8"/>
  <c r="EE7" i="8"/>
  <c r="EC7" i="8"/>
  <c r="EA7" i="8"/>
  <c r="DY7" i="8"/>
  <c r="DW7" i="8"/>
  <c r="DU7" i="8"/>
  <c r="DS7" i="8"/>
  <c r="DQ7" i="8"/>
  <c r="DO7" i="8"/>
  <c r="DM7" i="8"/>
  <c r="DK7" i="8"/>
  <c r="DI7" i="8"/>
  <c r="DG7" i="8"/>
  <c r="DE7" i="8"/>
  <c r="DC7" i="8"/>
  <c r="DA7" i="8"/>
  <c r="CW7" i="8"/>
  <c r="CU7" i="8"/>
  <c r="CS7" i="8"/>
  <c r="CQ7" i="8"/>
  <c r="CO7" i="8"/>
  <c r="CM7" i="8"/>
  <c r="CK7" i="8"/>
  <c r="CI7" i="8"/>
  <c r="CG7" i="8"/>
  <c r="CE7" i="8"/>
  <c r="CC7" i="8"/>
  <c r="CA7" i="8"/>
  <c r="BY7" i="8"/>
  <c r="BW7" i="8"/>
  <c r="BU7" i="8"/>
  <c r="BS7" i="8"/>
  <c r="BO7" i="8"/>
  <c r="BM7" i="8"/>
  <c r="BK7" i="8"/>
  <c r="BI7" i="8"/>
  <c r="BG7" i="8"/>
  <c r="BE7" i="8"/>
  <c r="BC7" i="8"/>
  <c r="BA7" i="8"/>
  <c r="AY7" i="8"/>
  <c r="AW7" i="8"/>
  <c r="AU7" i="8"/>
  <c r="AS7" i="8"/>
  <c r="AQ7" i="8"/>
  <c r="AO7" i="8"/>
  <c r="AM7" i="8"/>
  <c r="AK7" i="8"/>
  <c r="AG7" i="8"/>
  <c r="AE7" i="8"/>
  <c r="AC7" i="8"/>
  <c r="AA7" i="8"/>
  <c r="Y7" i="8"/>
  <c r="W7" i="8"/>
  <c r="U7" i="8"/>
  <c r="S7" i="8"/>
  <c r="EV6" i="8"/>
  <c r="ET6" i="8"/>
  <c r="ER6" i="8"/>
  <c r="EP6" i="8"/>
  <c r="EN6" i="8"/>
  <c r="EL6" i="8"/>
  <c r="EJ6" i="8"/>
  <c r="EH6" i="8"/>
  <c r="EF6" i="8"/>
  <c r="ED6" i="8"/>
  <c r="EB6" i="8"/>
  <c r="DZ6" i="8"/>
  <c r="DX6" i="8"/>
  <c r="DV6" i="8"/>
  <c r="DT6" i="8"/>
  <c r="DR6" i="8"/>
  <c r="DN6" i="8"/>
  <c r="DL6" i="8"/>
  <c r="DJ6" i="8"/>
  <c r="DH6" i="8"/>
  <c r="DF6" i="8"/>
  <c r="DD6" i="8"/>
  <c r="DB6" i="8"/>
  <c r="CZ6" i="8"/>
  <c r="CX6" i="8"/>
  <c r="CV6" i="8"/>
  <c r="CT6" i="8"/>
  <c r="CR6" i="8"/>
  <c r="CP6" i="8"/>
  <c r="CN6" i="8"/>
  <c r="CL6" i="8"/>
  <c r="CJ6" i="8"/>
  <c r="CF6" i="8"/>
  <c r="CD6" i="8"/>
  <c r="CB6" i="8"/>
  <c r="BZ6" i="8"/>
  <c r="BX6" i="8"/>
  <c r="BV6" i="8"/>
  <c r="BT6" i="8"/>
  <c r="BR6" i="8"/>
  <c r="BP6" i="8"/>
  <c r="BN6" i="8"/>
  <c r="BL6" i="8"/>
  <c r="BJ6" i="8"/>
  <c r="BH6" i="8"/>
  <c r="BF6" i="8"/>
  <c r="BD6" i="8"/>
  <c r="BB6" i="8"/>
  <c r="AX6" i="8"/>
  <c r="AV6" i="8"/>
  <c r="AT6" i="8"/>
  <c r="AR6" i="8"/>
  <c r="AP6" i="8"/>
  <c r="AN6" i="8"/>
  <c r="AL6" i="8"/>
  <c r="AJ6" i="8"/>
  <c r="AH6" i="8"/>
  <c r="AF6" i="8"/>
  <c r="AD6" i="8"/>
  <c r="AB6" i="8"/>
  <c r="Z6" i="8"/>
  <c r="X6" i="8"/>
  <c r="V6" i="8"/>
  <c r="T6" i="8"/>
  <c r="EW5" i="8"/>
  <c r="EU5" i="8"/>
  <c r="ES5" i="8"/>
  <c r="EQ5" i="8"/>
  <c r="EO5" i="8"/>
  <c r="EM5" i="8"/>
  <c r="EK5" i="8"/>
  <c r="EI5" i="8"/>
  <c r="EE5" i="8"/>
  <c r="EC5" i="8"/>
  <c r="EA5" i="8"/>
  <c r="DY5" i="8"/>
  <c r="DW5" i="8"/>
  <c r="DU5" i="8"/>
  <c r="DS5" i="8"/>
  <c r="DQ5" i="8"/>
  <c r="DO5" i="8"/>
  <c r="DM5" i="8"/>
  <c r="DK5" i="8"/>
  <c r="DI5" i="8"/>
  <c r="DG5" i="8"/>
  <c r="DE5" i="8"/>
  <c r="DC5" i="8"/>
  <c r="DA5" i="8"/>
  <c r="CW5" i="8"/>
  <c r="CU5" i="8"/>
  <c r="CS5" i="8"/>
  <c r="CQ5" i="8"/>
  <c r="CO5" i="8"/>
  <c r="CM5" i="8"/>
  <c r="CK5" i="8"/>
  <c r="CI5" i="8"/>
  <c r="CG5" i="8"/>
  <c r="CE5" i="8"/>
  <c r="CC5" i="8"/>
  <c r="CA5" i="8"/>
  <c r="BY5" i="8"/>
  <c r="BW5" i="8"/>
  <c r="BU5" i="8"/>
  <c r="BS5" i="8"/>
  <c r="BO5" i="8"/>
  <c r="BM5" i="8"/>
  <c r="BK5" i="8"/>
  <c r="BI5" i="8"/>
  <c r="BG5" i="8"/>
  <c r="BE5" i="8"/>
  <c r="BC5" i="8"/>
  <c r="BA5" i="8"/>
  <c r="AY5" i="8"/>
  <c r="AW5" i="8"/>
  <c r="AU5" i="8"/>
  <c r="AS5" i="8"/>
  <c r="AQ5" i="8"/>
  <c r="AO5" i="8"/>
  <c r="AM5" i="8"/>
  <c r="AK5" i="8"/>
  <c r="AG5" i="8"/>
  <c r="AE5" i="8"/>
  <c r="AC5" i="8"/>
  <c r="AA5" i="8"/>
  <c r="Y5" i="8"/>
  <c r="W5" i="8"/>
  <c r="U5" i="8"/>
  <c r="S5" i="8"/>
  <c r="EV4" i="8"/>
  <c r="ET4" i="8"/>
  <c r="ER4" i="8"/>
  <c r="EP4" i="8"/>
  <c r="EN4" i="8"/>
  <c r="EL4" i="8"/>
  <c r="EJ4" i="8"/>
  <c r="EH4" i="8"/>
  <c r="EF4" i="8"/>
  <c r="ED4" i="8"/>
  <c r="EB4" i="8"/>
  <c r="DZ4" i="8"/>
  <c r="DX4" i="8"/>
  <c r="DV4" i="8"/>
  <c r="DT4" i="8"/>
  <c r="DR4" i="8"/>
  <c r="DN4" i="8"/>
  <c r="DL4" i="8"/>
  <c r="DJ4" i="8"/>
  <c r="DH4" i="8"/>
  <c r="DF4" i="8"/>
  <c r="DD4" i="8"/>
  <c r="DB4" i="8"/>
  <c r="CZ4" i="8"/>
  <c r="CX4" i="8"/>
  <c r="CV4" i="8"/>
  <c r="CT4" i="8"/>
  <c r="CR4" i="8"/>
  <c r="CP4" i="8"/>
  <c r="CN4" i="8"/>
  <c r="CL4" i="8"/>
  <c r="CJ4" i="8"/>
  <c r="CF4" i="8"/>
  <c r="CD4" i="8"/>
  <c r="CB4" i="8"/>
  <c r="BZ4" i="8"/>
  <c r="BX4" i="8"/>
  <c r="BV4" i="8"/>
  <c r="BT4" i="8"/>
  <c r="BR4" i="8"/>
  <c r="BP4" i="8"/>
  <c r="BN4" i="8"/>
  <c r="BL4" i="8"/>
  <c r="BJ4" i="8"/>
  <c r="BH4" i="8"/>
  <c r="BF4" i="8"/>
  <c r="BD4" i="8"/>
  <c r="BB4" i="8"/>
  <c r="AX4" i="8"/>
  <c r="AV4" i="8"/>
  <c r="AT4" i="8"/>
  <c r="AR4" i="8"/>
  <c r="AP4" i="8"/>
  <c r="AN4" i="8"/>
  <c r="AL4" i="8"/>
  <c r="AJ4" i="8"/>
  <c r="AH4" i="8"/>
  <c r="AF4" i="8"/>
  <c r="AD4" i="8"/>
  <c r="AB4" i="8"/>
  <c r="Z4" i="8"/>
  <c r="X4" i="8"/>
  <c r="V4" i="8"/>
  <c r="T4" i="8"/>
  <c r="EW3" i="8"/>
  <c r="EU3" i="8"/>
  <c r="ES3" i="8"/>
  <c r="EQ3" i="8"/>
  <c r="EO3" i="8"/>
  <c r="EM3" i="8"/>
  <c r="EK3" i="8"/>
  <c r="EI3" i="8"/>
  <c r="EE3" i="8"/>
  <c r="EC3" i="8"/>
  <c r="EA3" i="8"/>
  <c r="DY3" i="8"/>
  <c r="DW3" i="8"/>
  <c r="DU3" i="8"/>
  <c r="DS3" i="8"/>
  <c r="DQ3" i="8"/>
  <c r="DO3" i="8"/>
  <c r="DM3" i="8"/>
  <c r="DK3" i="8"/>
  <c r="DI3" i="8"/>
  <c r="DG3" i="8"/>
  <c r="DE3" i="8"/>
  <c r="DC3" i="8"/>
  <c r="DA3" i="8"/>
  <c r="CW3" i="8"/>
  <c r="CU3" i="8"/>
  <c r="CS3" i="8"/>
  <c r="CQ3" i="8"/>
  <c r="CO3" i="8"/>
  <c r="CM3" i="8"/>
  <c r="CK3" i="8"/>
  <c r="CI3" i="8"/>
  <c r="CG3" i="8"/>
  <c r="CE3" i="8"/>
  <c r="CC3" i="8"/>
  <c r="CA3" i="8"/>
  <c r="BY3" i="8"/>
  <c r="BW3" i="8"/>
  <c r="BU3" i="8"/>
  <c r="BS3" i="8"/>
  <c r="BO3" i="8"/>
  <c r="BM3" i="8"/>
  <c r="BK3" i="8"/>
  <c r="BI3" i="8"/>
  <c r="BG3" i="8"/>
  <c r="BE3" i="8"/>
  <c r="BC3" i="8"/>
  <c r="BA3" i="8"/>
  <c r="AY3" i="8"/>
  <c r="AW3" i="8"/>
  <c r="AU3" i="8"/>
  <c r="AS3" i="8"/>
  <c r="AQ3" i="8"/>
  <c r="AO3" i="8"/>
  <c r="AM3" i="8"/>
  <c r="AK3" i="8"/>
  <c r="AG3" i="8"/>
  <c r="AE3" i="8"/>
  <c r="AC3" i="8"/>
  <c r="AA3" i="8"/>
  <c r="Y3" i="8"/>
  <c r="W3" i="8"/>
  <c r="U3" i="8"/>
  <c r="S3" i="8"/>
  <c r="EV2" i="8"/>
  <c r="ET2" i="8"/>
  <c r="ER2" i="8"/>
  <c r="EP2" i="8"/>
  <c r="EN2" i="8"/>
  <c r="EL2" i="8"/>
  <c r="EJ2" i="8"/>
  <c r="EH2" i="8"/>
  <c r="EF2" i="8"/>
  <c r="ED2" i="8"/>
  <c r="EB2" i="8"/>
  <c r="DZ2" i="8"/>
  <c r="DX2" i="8"/>
  <c r="DV2" i="8"/>
  <c r="DT2" i="8"/>
  <c r="DR2" i="8"/>
  <c r="DN2" i="8"/>
  <c r="DL2" i="8"/>
  <c r="DJ2" i="8"/>
  <c r="DH2" i="8"/>
  <c r="DF2" i="8"/>
  <c r="DD2" i="8"/>
  <c r="DB2" i="8"/>
  <c r="CZ2" i="8"/>
  <c r="CX2" i="8"/>
  <c r="CV2" i="8"/>
  <c r="CT2" i="8"/>
  <c r="CR2" i="8"/>
  <c r="CP2" i="8"/>
  <c r="CN2" i="8"/>
  <c r="CL2" i="8"/>
  <c r="CJ2" i="8"/>
  <c r="CF2" i="8"/>
  <c r="CD2" i="8"/>
  <c r="CB2" i="8"/>
  <c r="BZ2" i="8"/>
  <c r="BX2" i="8"/>
  <c r="BV2" i="8"/>
  <c r="BT2" i="8"/>
  <c r="BR2" i="8"/>
  <c r="BP2" i="8"/>
  <c r="BN2" i="8"/>
  <c r="BL2" i="8"/>
  <c r="BJ2" i="8"/>
  <c r="BH2" i="8"/>
  <c r="BF2" i="8"/>
  <c r="BD2" i="8"/>
  <c r="BB2" i="8"/>
  <c r="AX2" i="8"/>
  <c r="AV2" i="8"/>
  <c r="AT2" i="8"/>
  <c r="AR2" i="8"/>
  <c r="AP2" i="8"/>
  <c r="AN2" i="8"/>
  <c r="AL2" i="8"/>
  <c r="AJ2" i="8"/>
  <c r="AH2" i="8"/>
  <c r="AF2" i="8"/>
  <c r="AD2" i="8"/>
  <c r="AB2" i="8"/>
  <c r="Z2" i="8"/>
  <c r="X2" i="8"/>
  <c r="V2" i="8"/>
  <c r="T2" i="8"/>
  <c r="EW1" i="8"/>
  <c r="EU1" i="8"/>
  <c r="ES1" i="8"/>
  <c r="EQ1" i="8"/>
  <c r="EO1" i="8"/>
  <c r="EM1" i="8"/>
  <c r="EK1" i="8"/>
  <c r="EI1" i="8"/>
  <c r="EE1" i="8"/>
  <c r="EC1" i="8"/>
  <c r="EA1" i="8"/>
  <c r="DY1" i="8"/>
  <c r="DW1" i="8"/>
  <c r="DU1" i="8"/>
  <c r="DS1" i="8"/>
  <c r="DQ1" i="8"/>
  <c r="DO1" i="8"/>
  <c r="DM1" i="8"/>
  <c r="DK1" i="8"/>
  <c r="DI1" i="8"/>
  <c r="DG1" i="8"/>
  <c r="DE1" i="8"/>
  <c r="DC1" i="8"/>
  <c r="DA1" i="8"/>
  <c r="CW1" i="8"/>
  <c r="CU1" i="8"/>
  <c r="CS1" i="8"/>
  <c r="CQ1" i="8"/>
  <c r="CO1" i="8"/>
  <c r="CM1" i="8"/>
  <c r="CK1" i="8"/>
  <c r="CI1" i="8"/>
  <c r="CG1" i="8"/>
  <c r="CE1" i="8"/>
  <c r="CC1" i="8"/>
  <c r="CA1" i="8"/>
  <c r="BY1" i="8"/>
  <c r="BW1" i="8"/>
  <c r="BU1" i="8"/>
  <c r="BS1" i="8"/>
  <c r="BO1" i="8"/>
  <c r="BM1" i="8"/>
  <c r="BK1" i="8"/>
  <c r="BI1" i="8"/>
  <c r="BG1" i="8"/>
  <c r="BE1" i="8"/>
  <c r="BC1" i="8"/>
  <c r="BA1" i="8"/>
  <c r="AY1" i="8"/>
  <c r="AW1" i="8"/>
  <c r="AU1" i="8"/>
  <c r="AS1" i="8"/>
  <c r="AQ1" i="8"/>
  <c r="AO1" i="8"/>
  <c r="AM1" i="8"/>
  <c r="AK1" i="8"/>
  <c r="AG1" i="8"/>
  <c r="AE1" i="8"/>
  <c r="AC1" i="8"/>
  <c r="AA1" i="8"/>
  <c r="Y1" i="8"/>
  <c r="W1" i="8"/>
  <c r="U1" i="8"/>
  <c r="S1" i="8"/>
  <c r="EV9" i="8"/>
  <c r="ET9" i="8"/>
  <c r="ER9" i="8"/>
  <c r="EP9" i="8"/>
  <c r="EN9" i="8"/>
  <c r="EL9" i="8"/>
  <c r="EJ9" i="8"/>
  <c r="EH9" i="8"/>
  <c r="EF9" i="8"/>
  <c r="ED9" i="8"/>
  <c r="EB9" i="8"/>
  <c r="DZ9" i="8"/>
  <c r="DX9" i="8"/>
  <c r="DV9" i="8"/>
  <c r="DT9" i="8"/>
  <c r="DR9" i="8"/>
  <c r="DN9" i="8"/>
  <c r="DL9" i="8"/>
  <c r="DJ9" i="8"/>
  <c r="DH9" i="8"/>
  <c r="DF9" i="8"/>
  <c r="DD9" i="8"/>
  <c r="DB9" i="8"/>
  <c r="CZ9" i="8"/>
  <c r="CX9" i="8"/>
  <c r="CV9" i="8"/>
  <c r="CT9" i="8"/>
  <c r="CR9" i="8"/>
  <c r="CP9" i="8"/>
  <c r="CN9" i="8"/>
  <c r="CL9" i="8"/>
  <c r="CJ9" i="8"/>
  <c r="CF9" i="8"/>
  <c r="CD9" i="8"/>
  <c r="CB9" i="8"/>
  <c r="BZ9" i="8"/>
  <c r="BX9" i="8"/>
  <c r="BV9" i="8"/>
  <c r="BT9" i="8"/>
  <c r="BR9" i="8"/>
  <c r="BP9" i="8"/>
  <c r="BN9" i="8"/>
  <c r="BL9" i="8"/>
  <c r="BJ9" i="8"/>
  <c r="BH9" i="8"/>
  <c r="BF9" i="8"/>
  <c r="BD9" i="8"/>
  <c r="BB9" i="8"/>
  <c r="AX9" i="8"/>
  <c r="AV9" i="8"/>
  <c r="AT9" i="8"/>
  <c r="AR9" i="8"/>
  <c r="AP9" i="8"/>
  <c r="AN9" i="8"/>
  <c r="AL9" i="8"/>
  <c r="AJ9" i="8"/>
  <c r="AH9" i="8"/>
  <c r="AF9" i="8"/>
  <c r="AD9" i="8"/>
  <c r="AB9" i="8"/>
  <c r="Z9" i="8"/>
  <c r="X9" i="8"/>
  <c r="V9" i="8"/>
  <c r="T9" i="8"/>
  <c r="EW8" i="8"/>
  <c r="EU8" i="8"/>
  <c r="ES8" i="8"/>
  <c r="EQ8" i="8"/>
  <c r="EO8" i="8"/>
  <c r="EM8" i="8"/>
  <c r="EK8" i="8"/>
  <c r="EI8" i="8"/>
  <c r="EE8" i="8"/>
  <c r="EC8" i="8"/>
  <c r="EA8" i="8"/>
  <c r="DY8" i="8"/>
  <c r="DW8" i="8"/>
  <c r="DU8" i="8"/>
  <c r="DS8" i="8"/>
  <c r="DQ8" i="8"/>
  <c r="DO8" i="8"/>
  <c r="DM8" i="8"/>
  <c r="DK8" i="8"/>
  <c r="DI8" i="8"/>
  <c r="DG8" i="8"/>
  <c r="DE8" i="8"/>
  <c r="DC8" i="8"/>
  <c r="DA8" i="8"/>
  <c r="CW8" i="8"/>
  <c r="CU8" i="8"/>
  <c r="CS8" i="8"/>
  <c r="CQ8" i="8"/>
  <c r="CO8" i="8"/>
  <c r="CM8" i="8"/>
  <c r="CK8" i="8"/>
  <c r="CI8" i="8"/>
  <c r="CG8" i="8"/>
  <c r="CE8" i="8"/>
  <c r="CC8" i="8"/>
  <c r="CA8" i="8"/>
  <c r="BY8" i="8"/>
  <c r="BW8" i="8"/>
  <c r="BU8" i="8"/>
  <c r="BS8" i="8"/>
  <c r="BO8" i="8"/>
  <c r="BM8" i="8"/>
  <c r="BK8" i="8"/>
  <c r="BI8" i="8"/>
  <c r="BG8" i="8"/>
  <c r="BE8" i="8"/>
  <c r="BC8" i="8"/>
  <c r="BA8" i="8"/>
  <c r="AY8" i="8"/>
  <c r="AW8" i="8"/>
  <c r="AU8" i="8"/>
  <c r="AS8" i="8"/>
  <c r="AQ8" i="8"/>
  <c r="AO8" i="8"/>
  <c r="AM8" i="8"/>
  <c r="AK8" i="8"/>
  <c r="AG8" i="8"/>
  <c r="AE8" i="8"/>
  <c r="AC8" i="8"/>
  <c r="AA8" i="8"/>
  <c r="Y8" i="8"/>
  <c r="W8" i="8"/>
  <c r="U8" i="8"/>
  <c r="S8" i="8"/>
  <c r="EV7" i="8"/>
  <c r="ET7" i="8"/>
  <c r="ER7" i="8"/>
  <c r="EP7" i="8"/>
  <c r="EN7" i="8"/>
  <c r="EL7" i="8"/>
  <c r="EJ7" i="8"/>
  <c r="EH7" i="8"/>
  <c r="EF7" i="8"/>
  <c r="ED7" i="8"/>
  <c r="EB7" i="8"/>
  <c r="DZ7" i="8"/>
  <c r="DX7" i="8"/>
  <c r="DV7" i="8"/>
  <c r="DT7" i="8"/>
  <c r="DR7" i="8"/>
  <c r="DN7" i="8"/>
  <c r="DL7" i="8"/>
  <c r="DJ7" i="8"/>
  <c r="DH7" i="8"/>
  <c r="DF7" i="8"/>
  <c r="DD7" i="8"/>
  <c r="DB7" i="8"/>
  <c r="CZ7" i="8"/>
  <c r="CX7" i="8"/>
  <c r="CV7" i="8"/>
  <c r="CT7" i="8"/>
  <c r="CR7" i="8"/>
  <c r="CP7" i="8"/>
  <c r="CN7" i="8"/>
  <c r="CL7" i="8"/>
  <c r="CJ7" i="8"/>
  <c r="CF7" i="8"/>
  <c r="CD7" i="8"/>
  <c r="CB7" i="8"/>
  <c r="BZ7" i="8"/>
  <c r="BX7" i="8"/>
  <c r="BV7" i="8"/>
  <c r="BT7" i="8"/>
  <c r="BR7" i="8"/>
  <c r="BP7" i="8"/>
  <c r="BN7" i="8"/>
  <c r="BL7" i="8"/>
  <c r="BJ7" i="8"/>
  <c r="BH7" i="8"/>
  <c r="BF7" i="8"/>
  <c r="BD7" i="8"/>
  <c r="BB7" i="8"/>
  <c r="AX7" i="8"/>
  <c r="AV7" i="8"/>
  <c r="AT7" i="8"/>
  <c r="AR7" i="8"/>
  <c r="AP7" i="8"/>
  <c r="AN7" i="8"/>
  <c r="AL7" i="8"/>
  <c r="AJ7" i="8"/>
  <c r="AH7" i="8"/>
  <c r="AF7" i="8"/>
  <c r="AD7" i="8"/>
  <c r="AB7" i="8"/>
  <c r="Z7" i="8"/>
  <c r="X7" i="8"/>
  <c r="V7" i="8"/>
  <c r="T7" i="8"/>
  <c r="EW6" i="8"/>
  <c r="EU6" i="8"/>
  <c r="ES6" i="8"/>
  <c r="EQ6" i="8"/>
  <c r="EO6" i="8"/>
  <c r="EM6" i="8"/>
  <c r="EK6" i="8"/>
  <c r="EI6" i="8"/>
  <c r="EE6" i="8"/>
  <c r="EC6" i="8"/>
  <c r="EA6" i="8"/>
  <c r="DY6" i="8"/>
  <c r="DW6" i="8"/>
  <c r="DU6" i="8"/>
  <c r="DS6" i="8"/>
  <c r="DQ6" i="8"/>
  <c r="DO6" i="8"/>
  <c r="DM6" i="8"/>
  <c r="DK6" i="8"/>
  <c r="DI6" i="8"/>
  <c r="DG6" i="8"/>
  <c r="DE6" i="8"/>
  <c r="DC6" i="8"/>
  <c r="DA6" i="8"/>
  <c r="CW6" i="8"/>
  <c r="CU6" i="8"/>
  <c r="CS6" i="8"/>
  <c r="CQ6" i="8"/>
  <c r="CO6" i="8"/>
  <c r="CM6" i="8"/>
  <c r="CK6" i="8"/>
  <c r="CI6" i="8"/>
  <c r="CG6" i="8"/>
  <c r="CE6" i="8"/>
  <c r="CC6" i="8"/>
  <c r="CA6" i="8"/>
  <c r="BY6" i="8"/>
  <c r="BW6" i="8"/>
  <c r="BU6" i="8"/>
  <c r="BS6" i="8"/>
  <c r="BO6" i="8"/>
  <c r="BM6" i="8"/>
  <c r="BK6" i="8"/>
  <c r="BI6" i="8"/>
  <c r="BG6" i="8"/>
  <c r="BE6" i="8"/>
  <c r="BC6" i="8"/>
  <c r="BA6" i="8"/>
  <c r="AY6" i="8"/>
  <c r="AW6" i="8"/>
  <c r="AU6" i="8"/>
  <c r="AS6" i="8"/>
  <c r="AQ6" i="8"/>
  <c r="AO6" i="8"/>
  <c r="AM6" i="8"/>
  <c r="AK6" i="8"/>
  <c r="AG6" i="8"/>
  <c r="AE6" i="8"/>
  <c r="AC6" i="8"/>
  <c r="AA6" i="8"/>
  <c r="Y6" i="8"/>
  <c r="W6" i="8"/>
  <c r="U6" i="8"/>
  <c r="S6" i="8"/>
  <c r="EV5" i="8"/>
  <c r="ET5" i="8"/>
  <c r="ER5" i="8"/>
  <c r="EP5" i="8"/>
  <c r="EN5" i="8"/>
  <c r="EL5" i="8"/>
  <c r="EJ5" i="8"/>
  <c r="EH5" i="8"/>
  <c r="EF5" i="8"/>
  <c r="ED5" i="8"/>
  <c r="EB5" i="8"/>
  <c r="DZ5" i="8"/>
  <c r="DX5" i="8"/>
  <c r="DV5" i="8"/>
  <c r="DT5" i="8"/>
  <c r="DR5" i="8"/>
  <c r="DN5" i="8"/>
  <c r="DL5" i="8"/>
  <c r="DJ5" i="8"/>
  <c r="DH5" i="8"/>
  <c r="DF5" i="8"/>
  <c r="DD5" i="8"/>
  <c r="DB5" i="8"/>
  <c r="CZ5" i="8"/>
  <c r="CX5" i="8"/>
  <c r="CV5" i="8"/>
  <c r="CT5" i="8"/>
  <c r="CR5" i="8"/>
  <c r="CP5" i="8"/>
  <c r="CN5" i="8"/>
  <c r="CL5" i="8"/>
  <c r="CJ5" i="8"/>
  <c r="CF5" i="8"/>
  <c r="CD5" i="8"/>
  <c r="CB5" i="8"/>
  <c r="BZ5" i="8"/>
  <c r="BX5" i="8"/>
  <c r="BV5" i="8"/>
  <c r="BT5" i="8"/>
  <c r="BR5" i="8"/>
  <c r="BP5" i="8"/>
  <c r="BN5" i="8"/>
  <c r="BL5" i="8"/>
  <c r="BJ5" i="8"/>
  <c r="BH5" i="8"/>
  <c r="BF5" i="8"/>
  <c r="BD5" i="8"/>
  <c r="BB5" i="8"/>
  <c r="AX5" i="8"/>
  <c r="AV5" i="8"/>
  <c r="AT5" i="8"/>
  <c r="AR5" i="8"/>
  <c r="AP5" i="8"/>
  <c r="AN5" i="8"/>
  <c r="AL5" i="8"/>
  <c r="AJ5" i="8"/>
  <c r="AH5" i="8"/>
  <c r="AF5" i="8"/>
  <c r="AD5" i="8"/>
  <c r="AB5" i="8"/>
  <c r="Z5" i="8"/>
  <c r="X5" i="8"/>
  <c r="V5" i="8"/>
  <c r="T5" i="8"/>
  <c r="EW4" i="8"/>
  <c r="EU4" i="8"/>
  <c r="ES4" i="8"/>
  <c r="EQ4" i="8"/>
  <c r="EO4" i="8"/>
  <c r="EM4" i="8"/>
  <c r="EK4" i="8"/>
  <c r="EI4" i="8"/>
  <c r="EE4" i="8"/>
  <c r="EC4" i="8"/>
  <c r="EA4" i="8"/>
  <c r="DY4" i="8"/>
  <c r="DW4" i="8"/>
  <c r="DU4" i="8"/>
  <c r="DS4" i="8"/>
  <c r="DQ4" i="8"/>
  <c r="DO4" i="8"/>
  <c r="DM4" i="8"/>
  <c r="DK4" i="8"/>
  <c r="DI4" i="8"/>
  <c r="DG4" i="8"/>
  <c r="DE4" i="8"/>
  <c r="DC4" i="8"/>
  <c r="DA4" i="8"/>
  <c r="CW4" i="8"/>
  <c r="CU4" i="8"/>
  <c r="CS4" i="8"/>
  <c r="CQ4" i="8"/>
  <c r="CO4" i="8"/>
  <c r="CM4" i="8"/>
  <c r="CK4" i="8"/>
  <c r="CI4" i="8"/>
  <c r="CG4" i="8"/>
  <c r="CE4" i="8"/>
  <c r="CC4" i="8"/>
  <c r="CA4" i="8"/>
  <c r="BY4" i="8"/>
  <c r="BW4" i="8"/>
  <c r="BU4" i="8"/>
  <c r="BS4" i="8"/>
  <c r="BO4" i="8"/>
  <c r="BM4" i="8"/>
  <c r="BK4" i="8"/>
  <c r="BI4" i="8"/>
  <c r="BG4" i="8"/>
  <c r="BE4" i="8"/>
  <c r="BC4" i="8"/>
  <c r="BA4" i="8"/>
  <c r="AY4" i="8"/>
  <c r="AW4" i="8"/>
  <c r="AU4" i="8"/>
  <c r="AS4" i="8"/>
  <c r="AQ4" i="8"/>
  <c r="AO4" i="8"/>
  <c r="AM4" i="8"/>
  <c r="AK4" i="8"/>
  <c r="AG4" i="8"/>
  <c r="AE4" i="8"/>
  <c r="AC4" i="8"/>
  <c r="AA4" i="8"/>
  <c r="Y4" i="8"/>
  <c r="W4" i="8"/>
  <c r="U4" i="8"/>
  <c r="S4" i="8"/>
  <c r="EV3" i="8"/>
  <c r="ET3" i="8"/>
  <c r="ER3" i="8"/>
  <c r="EP3" i="8"/>
  <c r="EN3" i="8"/>
  <c r="EL3" i="8"/>
  <c r="EJ3" i="8"/>
  <c r="EH3" i="8"/>
  <c r="EF3" i="8"/>
  <c r="ED3" i="8"/>
  <c r="EB3" i="8"/>
  <c r="DZ3" i="8"/>
  <c r="DX3" i="8"/>
  <c r="DV3" i="8"/>
  <c r="DT3" i="8"/>
  <c r="DR3" i="8"/>
  <c r="DN3" i="8"/>
  <c r="DL3" i="8"/>
  <c r="DJ3" i="8"/>
  <c r="DH3" i="8"/>
  <c r="DF3" i="8"/>
  <c r="DD3" i="8"/>
  <c r="DB3" i="8"/>
  <c r="CZ3" i="8"/>
  <c r="CX3" i="8"/>
  <c r="CV3" i="8"/>
  <c r="CT3" i="8"/>
  <c r="CR3" i="8"/>
  <c r="CP3" i="8"/>
  <c r="CN3" i="8"/>
  <c r="CL3" i="8"/>
  <c r="CJ3" i="8"/>
  <c r="CF3" i="8"/>
  <c r="CD3" i="8"/>
  <c r="CB3" i="8"/>
  <c r="BZ3" i="8"/>
  <c r="BX3" i="8"/>
  <c r="BV3" i="8"/>
  <c r="BT3" i="8"/>
  <c r="BR3" i="8"/>
  <c r="BP3" i="8"/>
  <c r="BN3" i="8"/>
  <c r="BL3" i="8"/>
  <c r="BJ3" i="8"/>
  <c r="BH3" i="8"/>
  <c r="BF3" i="8"/>
  <c r="BD3" i="8"/>
  <c r="BB3" i="8"/>
  <c r="AX3" i="8"/>
  <c r="AV3" i="8"/>
  <c r="AT3" i="8"/>
  <c r="AR3" i="8"/>
  <c r="AP3" i="8"/>
  <c r="AN3" i="8"/>
  <c r="AL3" i="8"/>
  <c r="AJ3" i="8"/>
  <c r="AH3" i="8"/>
  <c r="AF3" i="8"/>
  <c r="AD3" i="8"/>
  <c r="AB3" i="8"/>
  <c r="Z3" i="8"/>
  <c r="X3" i="8"/>
  <c r="V3" i="8"/>
  <c r="T3" i="8"/>
  <c r="EW2" i="8"/>
  <c r="EU2" i="8"/>
  <c r="ES2" i="8"/>
  <c r="EQ2" i="8"/>
  <c r="EO2" i="8"/>
  <c r="EM2" i="8"/>
  <c r="EK2" i="8"/>
  <c r="EI2" i="8"/>
  <c r="EE2" i="8"/>
  <c r="EC2" i="8"/>
  <c r="EA2" i="8"/>
  <c r="DY2" i="8"/>
  <c r="DW2" i="8"/>
  <c r="DU2" i="8"/>
  <c r="DS2" i="8"/>
  <c r="DQ2" i="8"/>
  <c r="DO2" i="8"/>
  <c r="DM2" i="8"/>
  <c r="DK2" i="8"/>
  <c r="DI2" i="8"/>
  <c r="DG2" i="8"/>
  <c r="DE2" i="8"/>
  <c r="DC2" i="8"/>
  <c r="DA2" i="8"/>
  <c r="CW2" i="8"/>
  <c r="CU2" i="8"/>
  <c r="CS2" i="8"/>
  <c r="CQ2" i="8"/>
  <c r="CO2" i="8"/>
  <c r="CM2" i="8"/>
  <c r="CK2" i="8"/>
  <c r="CI2" i="8"/>
  <c r="CG2" i="8"/>
  <c r="CE2" i="8"/>
  <c r="CC2" i="8"/>
  <c r="CA2" i="8"/>
  <c r="BY2" i="8"/>
  <c r="BW2" i="8"/>
  <c r="BU2" i="8"/>
  <c r="BS2" i="8"/>
  <c r="BO2" i="8"/>
  <c r="BM2" i="8"/>
  <c r="BK2" i="8"/>
  <c r="BI2" i="8"/>
  <c r="BG2" i="8"/>
  <c r="BE2" i="8"/>
  <c r="BC2" i="8"/>
  <c r="BA2" i="8"/>
  <c r="AY2" i="8"/>
  <c r="AW2" i="8"/>
  <c r="AU2" i="8"/>
  <c r="AS2" i="8"/>
  <c r="AQ2" i="8"/>
  <c r="AO2" i="8"/>
  <c r="AM2" i="8"/>
  <c r="AK2" i="8"/>
  <c r="AG2" i="8"/>
  <c r="AE2" i="8"/>
  <c r="AC2" i="8"/>
  <c r="AA2" i="8"/>
  <c r="Y2" i="8"/>
  <c r="W2" i="8"/>
  <c r="U2" i="8"/>
  <c r="S2" i="8"/>
  <c r="EV1" i="8"/>
  <c r="ET1" i="8"/>
  <c r="ER1" i="8"/>
  <c r="EP1" i="8"/>
  <c r="EN1" i="8"/>
  <c r="EL1" i="8"/>
  <c r="EJ1" i="8"/>
  <c r="EH1" i="8"/>
  <c r="EF1" i="8"/>
  <c r="ED1" i="8"/>
  <c r="EB1" i="8"/>
  <c r="DZ1" i="8"/>
  <c r="DX1" i="8"/>
  <c r="DV1" i="8"/>
  <c r="DT1" i="8"/>
  <c r="DR1" i="8"/>
  <c r="DN1" i="8"/>
  <c r="DL1" i="8"/>
  <c r="DJ1" i="8"/>
  <c r="DH1" i="8"/>
  <c r="DF1" i="8"/>
  <c r="DD1" i="8"/>
  <c r="DB1" i="8"/>
  <c r="CZ1" i="8"/>
  <c r="CX1" i="8"/>
  <c r="CV1" i="8"/>
  <c r="CT1" i="8"/>
  <c r="CR1" i="8"/>
  <c r="CP1" i="8"/>
  <c r="CN1" i="8"/>
  <c r="CL1" i="8"/>
  <c r="CJ1" i="8"/>
  <c r="CF1" i="8"/>
  <c r="CD1" i="8"/>
  <c r="CB1" i="8"/>
  <c r="BZ1" i="8"/>
  <c r="BX1" i="8"/>
  <c r="BV1" i="8"/>
  <c r="BT1" i="8"/>
  <c r="BR1" i="8"/>
  <c r="BP1" i="8"/>
  <c r="BN1" i="8"/>
  <c r="BL1" i="8"/>
  <c r="BJ1" i="8"/>
  <c r="BH1" i="8"/>
  <c r="BF1" i="8"/>
  <c r="BD1" i="8"/>
  <c r="BB1" i="8"/>
  <c r="AX1" i="8"/>
  <c r="AV1" i="8"/>
  <c r="AT1" i="8"/>
  <c r="AR1" i="8"/>
  <c r="AP1" i="8"/>
  <c r="AN1" i="8"/>
  <c r="AL1" i="8"/>
  <c r="AJ1" i="8"/>
  <c r="AH1" i="8"/>
  <c r="AF1" i="8"/>
  <c r="AD1" i="8"/>
  <c r="AB1" i="8"/>
  <c r="Z1" i="8"/>
  <c r="X1" i="8"/>
  <c r="V1" i="8"/>
  <c r="T1" i="8"/>
  <c r="J12" i="8"/>
  <c r="AI1" i="8" l="1"/>
  <c r="BQ1" i="8"/>
  <c r="CY1" i="8"/>
  <c r="EG1" i="8"/>
  <c r="R2" i="8"/>
  <c r="AZ2" i="8"/>
  <c r="CH2" i="8"/>
  <c r="DP2" i="8"/>
  <c r="AI3" i="8"/>
  <c r="BQ3" i="8"/>
  <c r="CY3" i="8"/>
  <c r="EG3" i="8"/>
  <c r="R4" i="8"/>
  <c r="AZ4" i="8"/>
  <c r="CH4" i="8"/>
  <c r="DP4" i="8"/>
  <c r="AI5" i="8"/>
  <c r="BQ5" i="8"/>
  <c r="CY5" i="8"/>
  <c r="EG5" i="8"/>
  <c r="R6" i="8"/>
  <c r="AZ6" i="8"/>
  <c r="CH6" i="8"/>
  <c r="DP6" i="8"/>
  <c r="AI7" i="8"/>
  <c r="BQ7" i="8"/>
  <c r="CY7" i="8"/>
  <c r="EG7" i="8"/>
  <c r="R8" i="8"/>
  <c r="AZ8" i="8"/>
  <c r="CH8" i="8"/>
  <c r="R1" i="8"/>
  <c r="AZ1" i="8"/>
  <c r="CH1" i="8"/>
  <c r="DP1" i="8"/>
  <c r="AI2" i="8"/>
  <c r="BQ2" i="8"/>
  <c r="CY2" i="8"/>
  <c r="EG2" i="8"/>
  <c r="R3" i="8"/>
  <c r="AZ3" i="8"/>
  <c r="CH3" i="8"/>
  <c r="DP3" i="8"/>
  <c r="AI4" i="8"/>
  <c r="BQ4" i="8"/>
  <c r="CY4" i="8"/>
  <c r="EG4" i="8"/>
  <c r="R5" i="8"/>
  <c r="AZ5" i="8"/>
  <c r="CH5" i="8"/>
  <c r="DP5" i="8"/>
  <c r="AI6" i="8"/>
  <c r="BQ6" i="8"/>
  <c r="CY6" i="8"/>
  <c r="EG6" i="8"/>
  <c r="R7" i="8"/>
  <c r="AZ7" i="8"/>
  <c r="CH7" i="8"/>
  <c r="DP7" i="8"/>
  <c r="AI8" i="8"/>
  <c r="BQ8" i="8"/>
  <c r="CY8" i="8"/>
  <c r="AC133" i="4"/>
  <c r="AK16" i="4"/>
  <c r="BM133" i="4"/>
  <c r="BU16" i="4"/>
  <c r="BU133" i="4" s="1"/>
  <c r="AK21" i="4"/>
  <c r="BU21" i="4"/>
  <c r="AK26" i="4"/>
  <c r="BU26" i="4"/>
  <c r="AK31" i="4"/>
  <c r="BU31" i="4"/>
  <c r="AK36" i="4"/>
  <c r="BU36" i="4"/>
  <c r="AK41" i="4"/>
  <c r="BU41" i="4"/>
  <c r="AK46" i="4"/>
  <c r="BU46" i="4"/>
  <c r="AK51" i="4"/>
  <c r="BU51" i="4"/>
  <c r="AK56" i="4"/>
  <c r="BU56" i="4"/>
  <c r="AK61" i="4"/>
  <c r="BU61" i="4"/>
  <c r="AK66" i="4"/>
  <c r="BU66" i="4"/>
  <c r="AK71" i="4"/>
  <c r="BU71" i="4"/>
  <c r="AK76" i="4"/>
  <c r="BU76" i="4"/>
  <c r="AK81" i="4"/>
  <c r="BU81" i="4"/>
  <c r="AK86" i="4"/>
  <c r="BU86" i="4"/>
  <c r="AC133" i="5"/>
  <c r="AK16" i="5"/>
  <c r="BM133" i="5"/>
  <c r="BU16" i="5"/>
  <c r="CP96" i="5"/>
  <c r="CP101" i="5"/>
  <c r="CP106" i="5"/>
  <c r="DH116" i="5"/>
  <c r="K133" i="4"/>
  <c r="S16" i="4"/>
  <c r="AU133" i="4"/>
  <c r="BC16" i="4"/>
  <c r="BY133" i="4"/>
  <c r="CQ133" i="4"/>
  <c r="S91" i="4"/>
  <c r="BC91" i="4"/>
  <c r="CP91" i="4"/>
  <c r="DH91" i="4"/>
  <c r="S96" i="4"/>
  <c r="BC96" i="4"/>
  <c r="CP96" i="4"/>
  <c r="DH96" i="4"/>
  <c r="S101" i="4"/>
  <c r="BC101" i="4"/>
  <c r="CP101" i="4"/>
  <c r="DH101" i="4"/>
  <c r="S106" i="4"/>
  <c r="BC106" i="4"/>
  <c r="CP106" i="4"/>
  <c r="DH106" i="4"/>
  <c r="S111" i="4"/>
  <c r="BC111" i="4"/>
  <c r="CP111" i="4"/>
  <c r="DH111" i="4"/>
  <c r="S116" i="4"/>
  <c r="BC116" i="4"/>
  <c r="CP116" i="4"/>
  <c r="DH116" i="4"/>
  <c r="S121" i="4"/>
  <c r="BC121" i="4"/>
  <c r="CP121" i="4"/>
  <c r="DH121" i="4"/>
  <c r="S126" i="4"/>
  <c r="BC126" i="4"/>
  <c r="CP126" i="4"/>
  <c r="DH126" i="4"/>
  <c r="S131" i="4"/>
  <c r="BC131" i="4"/>
  <c r="CP131" i="4"/>
  <c r="DH131" i="4"/>
  <c r="K133" i="5"/>
  <c r="S16" i="5"/>
  <c r="AU133" i="5"/>
  <c r="BC16" i="5"/>
  <c r="BY133" i="5"/>
  <c r="CP16" i="5"/>
  <c r="CQ133" i="5"/>
  <c r="DH16" i="5"/>
  <c r="S21" i="5"/>
  <c r="BC21" i="5"/>
  <c r="CP21" i="5"/>
  <c r="DH21" i="5"/>
  <c r="S26" i="5"/>
  <c r="BC26" i="5"/>
  <c r="CP26" i="5"/>
  <c r="DH26" i="5"/>
  <c r="S31" i="5"/>
  <c r="BC31" i="5"/>
  <c r="CP31" i="5"/>
  <c r="DH31" i="5"/>
  <c r="S36" i="5"/>
  <c r="BC36" i="5"/>
  <c r="CP36" i="5"/>
  <c r="DH36" i="5"/>
  <c r="S41" i="5"/>
  <c r="BC41" i="5"/>
  <c r="CP41" i="5"/>
  <c r="DH41" i="5"/>
  <c r="S46" i="5"/>
  <c r="BC46" i="5"/>
  <c r="CP46" i="5"/>
  <c r="DH46" i="5"/>
  <c r="S51" i="5"/>
  <c r="BC51" i="5"/>
  <c r="CP51" i="5"/>
  <c r="DH51" i="5"/>
  <c r="S56" i="5"/>
  <c r="BC56" i="5"/>
  <c r="CP56" i="5"/>
  <c r="DH56" i="5"/>
  <c r="S61" i="5"/>
  <c r="BC61" i="5"/>
  <c r="CP61" i="5"/>
  <c r="DH61" i="5"/>
  <c r="S66" i="5"/>
  <c r="BC66" i="5"/>
  <c r="CP66" i="5"/>
  <c r="DH66" i="5"/>
  <c r="S71" i="5"/>
  <c r="BC71" i="5"/>
  <c r="CP71" i="5"/>
  <c r="DH71" i="5"/>
  <c r="S76" i="5"/>
  <c r="BC76" i="5"/>
  <c r="CP76" i="5"/>
  <c r="DH76" i="5"/>
  <c r="S81" i="5"/>
  <c r="BC81" i="5"/>
  <c r="CP81" i="5"/>
  <c r="DH81" i="5"/>
  <c r="S86" i="5"/>
  <c r="BC86" i="5"/>
  <c r="CP86" i="5"/>
  <c r="DH86" i="5"/>
  <c r="S91" i="5"/>
  <c r="DH106" i="5"/>
  <c r="CP111" i="5"/>
  <c r="CJ12" i="4"/>
  <c r="CJ16" i="4" s="1"/>
  <c r="CL12" i="4"/>
  <c r="CL16" i="4" s="1"/>
  <c r="CN12" i="4"/>
  <c r="CN16" i="4" s="1"/>
  <c r="CZ12" i="4"/>
  <c r="DH12" i="4"/>
  <c r="CH13" i="4"/>
  <c r="CO13" i="4" s="1"/>
  <c r="CH14" i="4"/>
  <c r="CO14" i="4" s="1"/>
  <c r="DH14" i="4"/>
  <c r="CH15" i="4"/>
  <c r="CO15" i="4" s="1"/>
  <c r="CZ15" i="4"/>
  <c r="DG15" i="4" s="1"/>
  <c r="T16" i="4"/>
  <c r="T133" i="4" s="1"/>
  <c r="AL16" i="4"/>
  <c r="AL133" i="4" s="1"/>
  <c r="BD16" i="4"/>
  <c r="BD133" i="4" s="1"/>
  <c r="BV16" i="4"/>
  <c r="BV133" i="4" s="1"/>
  <c r="BZ16" i="4"/>
  <c r="BZ133" i="4" s="1"/>
  <c r="CT16" i="4"/>
  <c r="CT133" i="4" s="1"/>
  <c r="CV16" i="4"/>
  <c r="CV133" i="4" s="1"/>
  <c r="CX16" i="4"/>
  <c r="CX133" i="4" s="1"/>
  <c r="CH17" i="4"/>
  <c r="CJ17" i="4"/>
  <c r="CJ21" i="4" s="1"/>
  <c r="CL17" i="4"/>
  <c r="CL21" i="4" s="1"/>
  <c r="CN17" i="4"/>
  <c r="CN21" i="4" s="1"/>
  <c r="CP17" i="4"/>
  <c r="CZ17" i="4"/>
  <c r="DB17" i="4"/>
  <c r="DB21" i="4" s="1"/>
  <c r="DB133" i="4" s="1"/>
  <c r="DD17" i="4"/>
  <c r="DD21" i="4" s="1"/>
  <c r="DD133" i="4" s="1"/>
  <c r="DF17" i="4"/>
  <c r="DF21" i="4" s="1"/>
  <c r="DF133" i="4" s="1"/>
  <c r="DH17" i="4"/>
  <c r="CZ18" i="4"/>
  <c r="DG18" i="4" s="1"/>
  <c r="CH19" i="4"/>
  <c r="CO19" i="4" s="1"/>
  <c r="CZ19" i="4"/>
  <c r="DG19" i="4" s="1"/>
  <c r="CH20" i="4"/>
  <c r="CO20" i="4" s="1"/>
  <c r="CZ20" i="4"/>
  <c r="DG20" i="4" s="1"/>
  <c r="CH22" i="4"/>
  <c r="CJ22" i="4"/>
  <c r="CJ26" i="4" s="1"/>
  <c r="CL22" i="4"/>
  <c r="CL26" i="4" s="1"/>
  <c r="CN22" i="4"/>
  <c r="CN26" i="4" s="1"/>
  <c r="CP22" i="4"/>
  <c r="CZ22" i="4"/>
  <c r="DB22" i="4"/>
  <c r="DB26" i="4" s="1"/>
  <c r="DD22" i="4"/>
  <c r="DD26" i="4" s="1"/>
  <c r="DF22" i="4"/>
  <c r="DF26" i="4" s="1"/>
  <c r="DH22" i="4"/>
  <c r="CH23" i="4"/>
  <c r="CO23" i="4" s="1"/>
  <c r="CZ23" i="4"/>
  <c r="DG23" i="4" s="1"/>
  <c r="CH24" i="4"/>
  <c r="CO24" i="4" s="1"/>
  <c r="CZ24" i="4"/>
  <c r="DG24" i="4" s="1"/>
  <c r="CH25" i="4"/>
  <c r="CO25" i="4" s="1"/>
  <c r="CZ25" i="4"/>
  <c r="DG25" i="4" s="1"/>
  <c r="CH27" i="4"/>
  <c r="CJ27" i="4"/>
  <c r="CJ31" i="4" s="1"/>
  <c r="CL27" i="4"/>
  <c r="CL31" i="4" s="1"/>
  <c r="CN27" i="4"/>
  <c r="CN31" i="4" s="1"/>
  <c r="CP27" i="4"/>
  <c r="CZ27" i="4"/>
  <c r="DB27" i="4"/>
  <c r="DB31" i="4" s="1"/>
  <c r="DD27" i="4"/>
  <c r="DD31" i="4" s="1"/>
  <c r="DF27" i="4"/>
  <c r="DF31" i="4" s="1"/>
  <c r="DH27" i="4"/>
  <c r="CH28" i="4"/>
  <c r="CO28" i="4" s="1"/>
  <c r="CZ28" i="4"/>
  <c r="DG28" i="4" s="1"/>
  <c r="CH29" i="4"/>
  <c r="CO29" i="4" s="1"/>
  <c r="CZ29" i="4"/>
  <c r="DG29" i="4" s="1"/>
  <c r="CH30" i="4"/>
  <c r="CO30" i="4" s="1"/>
  <c r="CZ30" i="4"/>
  <c r="DG30" i="4" s="1"/>
  <c r="CH32" i="4"/>
  <c r="CJ32" i="4"/>
  <c r="CJ36" i="4" s="1"/>
  <c r="CL32" i="4"/>
  <c r="CL36" i="4" s="1"/>
  <c r="CN32" i="4"/>
  <c r="CN36" i="4" s="1"/>
  <c r="CP32" i="4"/>
  <c r="CZ32" i="4"/>
  <c r="DB32" i="4"/>
  <c r="DB36" i="4" s="1"/>
  <c r="DD32" i="4"/>
  <c r="DD36" i="4" s="1"/>
  <c r="DF32" i="4"/>
  <c r="DF36" i="4" s="1"/>
  <c r="DH32" i="4"/>
  <c r="CH33" i="4"/>
  <c r="CO33" i="4" s="1"/>
  <c r="CZ33" i="4"/>
  <c r="DG33" i="4" s="1"/>
  <c r="CH34" i="4"/>
  <c r="CO34" i="4" s="1"/>
  <c r="CZ34" i="4"/>
  <c r="DG34" i="4" s="1"/>
  <c r="CH35" i="4"/>
  <c r="CO35" i="4" s="1"/>
  <c r="CZ35" i="4"/>
  <c r="DG35" i="4" s="1"/>
  <c r="CH37" i="4"/>
  <c r="CJ37" i="4"/>
  <c r="CJ41" i="4" s="1"/>
  <c r="CL37" i="4"/>
  <c r="CL41" i="4" s="1"/>
  <c r="CN37" i="4"/>
  <c r="CN41" i="4" s="1"/>
  <c r="CP37" i="4"/>
  <c r="CZ37" i="4"/>
  <c r="DB37" i="4"/>
  <c r="DB41" i="4" s="1"/>
  <c r="DD37" i="4"/>
  <c r="DD41" i="4" s="1"/>
  <c r="DF37" i="4"/>
  <c r="DF41" i="4" s="1"/>
  <c r="DH37" i="4"/>
  <c r="CH38" i="4"/>
  <c r="CO38" i="4" s="1"/>
  <c r="CZ38" i="4"/>
  <c r="DG38" i="4" s="1"/>
  <c r="CH39" i="4"/>
  <c r="CO39" i="4" s="1"/>
  <c r="CZ39" i="4"/>
  <c r="DG39" i="4" s="1"/>
  <c r="CH40" i="4"/>
  <c r="CO40" i="4" s="1"/>
  <c r="CZ40" i="4"/>
  <c r="DG40" i="4" s="1"/>
  <c r="CH42" i="4"/>
  <c r="CJ42" i="4"/>
  <c r="CJ46" i="4" s="1"/>
  <c r="CL42" i="4"/>
  <c r="CL46" i="4" s="1"/>
  <c r="CN42" i="4"/>
  <c r="CN46" i="4" s="1"/>
  <c r="CP42" i="4"/>
  <c r="CZ42" i="4"/>
  <c r="DB42" i="4"/>
  <c r="DB46" i="4" s="1"/>
  <c r="DD42" i="4"/>
  <c r="DD46" i="4" s="1"/>
  <c r="DF42" i="4"/>
  <c r="DF46" i="4" s="1"/>
  <c r="DH42" i="4"/>
  <c r="CH43" i="4"/>
  <c r="CO43" i="4" s="1"/>
  <c r="CZ43" i="4"/>
  <c r="DG43" i="4" s="1"/>
  <c r="CH44" i="4"/>
  <c r="CO44" i="4" s="1"/>
  <c r="CZ44" i="4"/>
  <c r="DG44" i="4" s="1"/>
  <c r="CH45" i="4"/>
  <c r="CO45" i="4" s="1"/>
  <c r="CZ45" i="4"/>
  <c r="DG45" i="4" s="1"/>
  <c r="CH47" i="4"/>
  <c r="CJ47" i="4"/>
  <c r="CJ51" i="4" s="1"/>
  <c r="CL47" i="4"/>
  <c r="CL51" i="4" s="1"/>
  <c r="CN47" i="4"/>
  <c r="CN51" i="4" s="1"/>
  <c r="CP47" i="4"/>
  <c r="CZ47" i="4"/>
  <c r="DB47" i="4"/>
  <c r="DB51" i="4" s="1"/>
  <c r="DD47" i="4"/>
  <c r="DD51" i="4" s="1"/>
  <c r="DF47" i="4"/>
  <c r="DF51" i="4" s="1"/>
  <c r="DH47" i="4"/>
  <c r="CH48" i="4"/>
  <c r="CO48" i="4" s="1"/>
  <c r="CZ48" i="4"/>
  <c r="DG48" i="4" s="1"/>
  <c r="CH49" i="4"/>
  <c r="CO49" i="4" s="1"/>
  <c r="CZ49" i="4"/>
  <c r="DG49" i="4" s="1"/>
  <c r="CH50" i="4"/>
  <c r="CO50" i="4" s="1"/>
  <c r="CZ50" i="4"/>
  <c r="DG50" i="4" s="1"/>
  <c r="CH52" i="4"/>
  <c r="CJ52" i="4"/>
  <c r="CJ56" i="4" s="1"/>
  <c r="CL52" i="4"/>
  <c r="CL56" i="4" s="1"/>
  <c r="CN52" i="4"/>
  <c r="CN56" i="4" s="1"/>
  <c r="CP52" i="4"/>
  <c r="CZ52" i="4"/>
  <c r="DB52" i="4"/>
  <c r="DB56" i="4" s="1"/>
  <c r="DD52" i="4"/>
  <c r="DD56" i="4" s="1"/>
  <c r="DF52" i="4"/>
  <c r="DF56" i="4" s="1"/>
  <c r="DH52" i="4"/>
  <c r="CH53" i="4"/>
  <c r="CO53" i="4" s="1"/>
  <c r="CZ53" i="4"/>
  <c r="DG53" i="4" s="1"/>
  <c r="CH54" i="4"/>
  <c r="CO54" i="4" s="1"/>
  <c r="CZ54" i="4"/>
  <c r="DG54" i="4" s="1"/>
  <c r="CH55" i="4"/>
  <c r="CO55" i="4" s="1"/>
  <c r="CZ55" i="4"/>
  <c r="DG55" i="4" s="1"/>
  <c r="CH57" i="4"/>
  <c r="CJ57" i="4"/>
  <c r="CJ61" i="4" s="1"/>
  <c r="CL57" i="4"/>
  <c r="CL61" i="4" s="1"/>
  <c r="CN57" i="4"/>
  <c r="CN61" i="4" s="1"/>
  <c r="CP57" i="4"/>
  <c r="CZ57" i="4"/>
  <c r="DB57" i="4"/>
  <c r="DB61" i="4" s="1"/>
  <c r="DD57" i="4"/>
  <c r="DD61" i="4" s="1"/>
  <c r="DF57" i="4"/>
  <c r="DF61" i="4" s="1"/>
  <c r="DH57" i="4"/>
  <c r="CH58" i="4"/>
  <c r="CO58" i="4" s="1"/>
  <c r="CZ58" i="4"/>
  <c r="DG58" i="4" s="1"/>
  <c r="CH59" i="4"/>
  <c r="CO59" i="4" s="1"/>
  <c r="CZ59" i="4"/>
  <c r="DG59" i="4" s="1"/>
  <c r="CH60" i="4"/>
  <c r="CO60" i="4" s="1"/>
  <c r="CZ60" i="4"/>
  <c r="DG60" i="4" s="1"/>
  <c r="CH62" i="4"/>
  <c r="CJ62" i="4"/>
  <c r="CJ66" i="4" s="1"/>
  <c r="CL62" i="4"/>
  <c r="CL66" i="4" s="1"/>
  <c r="CN62" i="4"/>
  <c r="CN66" i="4" s="1"/>
  <c r="CP62" i="4"/>
  <c r="CZ62" i="4"/>
  <c r="DB62" i="4"/>
  <c r="DB66" i="4" s="1"/>
  <c r="DD62" i="4"/>
  <c r="DD66" i="4" s="1"/>
  <c r="DF62" i="4"/>
  <c r="DF66" i="4" s="1"/>
  <c r="DH62" i="4"/>
  <c r="CH63" i="4"/>
  <c r="CO63" i="4" s="1"/>
  <c r="CZ63" i="4"/>
  <c r="DG63" i="4" s="1"/>
  <c r="CH64" i="4"/>
  <c r="CO64" i="4" s="1"/>
  <c r="CZ64" i="4"/>
  <c r="DG64" i="4" s="1"/>
  <c r="CH65" i="4"/>
  <c r="CO65" i="4" s="1"/>
  <c r="CZ65" i="4"/>
  <c r="DG65" i="4" s="1"/>
  <c r="CH67" i="4"/>
  <c r="CJ67" i="4"/>
  <c r="CJ71" i="4" s="1"/>
  <c r="CL67" i="4"/>
  <c r="CL71" i="4" s="1"/>
  <c r="CN67" i="4"/>
  <c r="CN71" i="4" s="1"/>
  <c r="CP67" i="4"/>
  <c r="CZ67" i="4"/>
  <c r="DB67" i="4"/>
  <c r="DB71" i="4" s="1"/>
  <c r="DD67" i="4"/>
  <c r="DD71" i="4" s="1"/>
  <c r="DF67" i="4"/>
  <c r="DF71" i="4" s="1"/>
  <c r="DH67" i="4"/>
  <c r="CH68" i="4"/>
  <c r="CO68" i="4" s="1"/>
  <c r="CZ68" i="4"/>
  <c r="DG68" i="4" s="1"/>
  <c r="CH69" i="4"/>
  <c r="CO69" i="4" s="1"/>
  <c r="CZ69" i="4"/>
  <c r="DG69" i="4" s="1"/>
  <c r="CH70" i="4"/>
  <c r="CO70" i="4" s="1"/>
  <c r="CZ70" i="4"/>
  <c r="DG70" i="4" s="1"/>
  <c r="CH72" i="4"/>
  <c r="CJ72" i="4"/>
  <c r="CJ76" i="4" s="1"/>
  <c r="CL72" i="4"/>
  <c r="CL76" i="4" s="1"/>
  <c r="CN72" i="4"/>
  <c r="CN76" i="4" s="1"/>
  <c r="CP72" i="4"/>
  <c r="CZ72" i="4"/>
  <c r="DB72" i="4"/>
  <c r="DB76" i="4" s="1"/>
  <c r="DD72" i="4"/>
  <c r="DD76" i="4" s="1"/>
  <c r="DF72" i="4"/>
  <c r="DF76" i="4" s="1"/>
  <c r="DH72" i="4"/>
  <c r="CH73" i="4"/>
  <c r="CO73" i="4" s="1"/>
  <c r="CZ73" i="4"/>
  <c r="DG73" i="4" s="1"/>
  <c r="CH74" i="4"/>
  <c r="CO74" i="4" s="1"/>
  <c r="CZ74" i="4"/>
  <c r="DG74" i="4" s="1"/>
  <c r="CH75" i="4"/>
  <c r="CO75" i="4" s="1"/>
  <c r="CZ75" i="4"/>
  <c r="DG75" i="4" s="1"/>
  <c r="CH77" i="4"/>
  <c r="CJ77" i="4"/>
  <c r="CJ81" i="4" s="1"/>
  <c r="CL77" i="4"/>
  <c r="CL81" i="4" s="1"/>
  <c r="CN77" i="4"/>
  <c r="CN81" i="4" s="1"/>
  <c r="CP77" i="4"/>
  <c r="CZ77" i="4"/>
  <c r="DB77" i="4"/>
  <c r="DB81" i="4" s="1"/>
  <c r="DD77" i="4"/>
  <c r="DD81" i="4" s="1"/>
  <c r="DF77" i="4"/>
  <c r="DF81" i="4" s="1"/>
  <c r="DH77" i="4"/>
  <c r="CH78" i="4"/>
  <c r="CO78" i="4" s="1"/>
  <c r="CZ78" i="4"/>
  <c r="DG78" i="4" s="1"/>
  <c r="CH79" i="4"/>
  <c r="CO79" i="4" s="1"/>
  <c r="CZ79" i="4"/>
  <c r="DG79" i="4" s="1"/>
  <c r="CH80" i="4"/>
  <c r="CO80" i="4" s="1"/>
  <c r="CZ80" i="4"/>
  <c r="DG80" i="4" s="1"/>
  <c r="CH82" i="4"/>
  <c r="CJ82" i="4"/>
  <c r="CJ86" i="4" s="1"/>
  <c r="CL82" i="4"/>
  <c r="CL86" i="4" s="1"/>
  <c r="CN82" i="4"/>
  <c r="CN86" i="4" s="1"/>
  <c r="CP82" i="4"/>
  <c r="CZ82" i="4"/>
  <c r="DB82" i="4"/>
  <c r="DB86" i="4" s="1"/>
  <c r="DD82" i="4"/>
  <c r="DD86" i="4" s="1"/>
  <c r="DF82" i="4"/>
  <c r="DF86" i="4" s="1"/>
  <c r="DH82" i="4"/>
  <c r="CH83" i="4"/>
  <c r="CO83" i="4" s="1"/>
  <c r="CZ83" i="4"/>
  <c r="DG83" i="4" s="1"/>
  <c r="CH84" i="4"/>
  <c r="CO84" i="4" s="1"/>
  <c r="CZ84" i="4"/>
  <c r="DG84" i="4" s="1"/>
  <c r="CH85" i="4"/>
  <c r="CO85" i="4" s="1"/>
  <c r="CZ85" i="4"/>
  <c r="DG85" i="4" s="1"/>
  <c r="CH87" i="4"/>
  <c r="CJ87" i="4"/>
  <c r="CJ91" i="4" s="1"/>
  <c r="CL87" i="4"/>
  <c r="CL91" i="4" s="1"/>
  <c r="CN87" i="4"/>
  <c r="CN91" i="4" s="1"/>
  <c r="CP87" i="4"/>
  <c r="CZ87" i="4"/>
  <c r="DB87" i="4"/>
  <c r="DB91" i="4" s="1"/>
  <c r="DD87" i="4"/>
  <c r="DD91" i="4" s="1"/>
  <c r="DF87" i="4"/>
  <c r="DF91" i="4" s="1"/>
  <c r="DH87" i="4"/>
  <c r="CH88" i="4"/>
  <c r="CO88" i="4" s="1"/>
  <c r="CZ88" i="4"/>
  <c r="DG88" i="4" s="1"/>
  <c r="CH89" i="4"/>
  <c r="CO89" i="4" s="1"/>
  <c r="CZ89" i="4"/>
  <c r="DG89" i="4" s="1"/>
  <c r="CH90" i="4"/>
  <c r="CO90" i="4" s="1"/>
  <c r="CZ90" i="4"/>
  <c r="DG90" i="4" s="1"/>
  <c r="CH92" i="4"/>
  <c r="CJ92" i="4"/>
  <c r="CJ96" i="4" s="1"/>
  <c r="CL92" i="4"/>
  <c r="CL96" i="4" s="1"/>
  <c r="CN92" i="4"/>
  <c r="CN96" i="4" s="1"/>
  <c r="CP92" i="4"/>
  <c r="CZ92" i="4"/>
  <c r="DB92" i="4"/>
  <c r="DB96" i="4" s="1"/>
  <c r="DD92" i="4"/>
  <c r="DD96" i="4" s="1"/>
  <c r="DF92" i="4"/>
  <c r="DF96" i="4" s="1"/>
  <c r="DH92" i="4"/>
  <c r="CH93" i="4"/>
  <c r="CO93" i="4" s="1"/>
  <c r="CZ93" i="4"/>
  <c r="DG93" i="4" s="1"/>
  <c r="CH94" i="4"/>
  <c r="CO94" i="4" s="1"/>
  <c r="CZ94" i="4"/>
  <c r="DG94" i="4" s="1"/>
  <c r="CH95" i="4"/>
  <c r="CO95" i="4" s="1"/>
  <c r="CZ95" i="4"/>
  <c r="DG95" i="4" s="1"/>
  <c r="CH97" i="4"/>
  <c r="CJ97" i="4"/>
  <c r="CJ101" i="4" s="1"/>
  <c r="CL97" i="4"/>
  <c r="CL101" i="4" s="1"/>
  <c r="CN97" i="4"/>
  <c r="CN101" i="4" s="1"/>
  <c r="CP97" i="4"/>
  <c r="CZ97" i="4"/>
  <c r="DB97" i="4"/>
  <c r="DB101" i="4" s="1"/>
  <c r="DD97" i="4"/>
  <c r="DD101" i="4" s="1"/>
  <c r="DF97" i="4"/>
  <c r="DF101" i="4" s="1"/>
  <c r="DH97" i="4"/>
  <c r="CH98" i="4"/>
  <c r="CO98" i="4" s="1"/>
  <c r="CZ98" i="4"/>
  <c r="DG98" i="4" s="1"/>
  <c r="CH99" i="4"/>
  <c r="CO99" i="4" s="1"/>
  <c r="CZ99" i="4"/>
  <c r="DG99" i="4" s="1"/>
  <c r="CH100" i="4"/>
  <c r="CO100" i="4" s="1"/>
  <c r="CZ100" i="4"/>
  <c r="DG100" i="4" s="1"/>
  <c r="CH102" i="4"/>
  <c r="CJ102" i="4"/>
  <c r="CJ106" i="4" s="1"/>
  <c r="CL102" i="4"/>
  <c r="CL106" i="4" s="1"/>
  <c r="CN102" i="4"/>
  <c r="CN106" i="4" s="1"/>
  <c r="CP102" i="4"/>
  <c r="CZ102" i="4"/>
  <c r="DB102" i="4"/>
  <c r="DB106" i="4" s="1"/>
  <c r="DD102" i="4"/>
  <c r="DD106" i="4" s="1"/>
  <c r="DF102" i="4"/>
  <c r="DF106" i="4" s="1"/>
  <c r="DH102" i="4"/>
  <c r="CH103" i="4"/>
  <c r="CO103" i="4" s="1"/>
  <c r="CZ103" i="4"/>
  <c r="DG103" i="4" s="1"/>
  <c r="CH104" i="4"/>
  <c r="CO104" i="4" s="1"/>
  <c r="CZ104" i="4"/>
  <c r="DG104" i="4" s="1"/>
  <c r="CH105" i="4"/>
  <c r="CO105" i="4" s="1"/>
  <c r="CZ105" i="4"/>
  <c r="DG105" i="4" s="1"/>
  <c r="CH107" i="4"/>
  <c r="CJ107" i="4"/>
  <c r="CJ111" i="4" s="1"/>
  <c r="CL107" i="4"/>
  <c r="CL111" i="4" s="1"/>
  <c r="CN107" i="4"/>
  <c r="CN111" i="4" s="1"/>
  <c r="CP107" i="4"/>
  <c r="CZ107" i="4"/>
  <c r="DB107" i="4"/>
  <c r="DB111" i="4" s="1"/>
  <c r="DD107" i="4"/>
  <c r="DD111" i="4" s="1"/>
  <c r="DF107" i="4"/>
  <c r="DF111" i="4" s="1"/>
  <c r="DH107" i="4"/>
  <c r="CH108" i="4"/>
  <c r="CO108" i="4" s="1"/>
  <c r="CZ108" i="4"/>
  <c r="DG108" i="4" s="1"/>
  <c r="CH109" i="4"/>
  <c r="CO109" i="4" s="1"/>
  <c r="CZ109" i="4"/>
  <c r="DG109" i="4" s="1"/>
  <c r="CH110" i="4"/>
  <c r="CO110" i="4" s="1"/>
  <c r="CZ110" i="4"/>
  <c r="DG110" i="4" s="1"/>
  <c r="CH112" i="4"/>
  <c r="CJ112" i="4"/>
  <c r="CJ116" i="4" s="1"/>
  <c r="CL112" i="4"/>
  <c r="CL116" i="4" s="1"/>
  <c r="CN112" i="4"/>
  <c r="CN116" i="4" s="1"/>
  <c r="CP112" i="4"/>
  <c r="CZ112" i="4"/>
  <c r="DB112" i="4"/>
  <c r="DB116" i="4" s="1"/>
  <c r="DD112" i="4"/>
  <c r="DD116" i="4" s="1"/>
  <c r="DF112" i="4"/>
  <c r="DF116" i="4" s="1"/>
  <c r="DH112" i="4"/>
  <c r="CH113" i="4"/>
  <c r="CO113" i="4" s="1"/>
  <c r="CZ113" i="4"/>
  <c r="DG113" i="4" s="1"/>
  <c r="CH114" i="4"/>
  <c r="CO114" i="4" s="1"/>
  <c r="CZ114" i="4"/>
  <c r="DG114" i="4" s="1"/>
  <c r="CH115" i="4"/>
  <c r="CO115" i="4" s="1"/>
  <c r="CZ115" i="4"/>
  <c r="DG115" i="4" s="1"/>
  <c r="CH117" i="4"/>
  <c r="CJ117" i="4"/>
  <c r="CJ121" i="4" s="1"/>
  <c r="CL117" i="4"/>
  <c r="CL121" i="4" s="1"/>
  <c r="CN117" i="4"/>
  <c r="CN121" i="4" s="1"/>
  <c r="CP117" i="4"/>
  <c r="CZ117" i="4"/>
  <c r="DB117" i="4"/>
  <c r="DB121" i="4" s="1"/>
  <c r="DD117" i="4"/>
  <c r="DD121" i="4" s="1"/>
  <c r="DF117" i="4"/>
  <c r="DF121" i="4" s="1"/>
  <c r="DH117" i="4"/>
  <c r="CH118" i="4"/>
  <c r="CO118" i="4" s="1"/>
  <c r="CZ118" i="4"/>
  <c r="DG118" i="4" s="1"/>
  <c r="CH119" i="4"/>
  <c r="CO119" i="4" s="1"/>
  <c r="CZ119" i="4"/>
  <c r="DG119" i="4" s="1"/>
  <c r="CH120" i="4"/>
  <c r="CO120" i="4" s="1"/>
  <c r="CZ120" i="4"/>
  <c r="DG120" i="4" s="1"/>
  <c r="CH122" i="4"/>
  <c r="CJ122" i="4"/>
  <c r="CJ126" i="4" s="1"/>
  <c r="CL122" i="4"/>
  <c r="CL126" i="4" s="1"/>
  <c r="CN122" i="4"/>
  <c r="CN126" i="4" s="1"/>
  <c r="CP122" i="4"/>
  <c r="CZ122" i="4"/>
  <c r="DB122" i="4"/>
  <c r="DB126" i="4" s="1"/>
  <c r="DD122" i="4"/>
  <c r="DD126" i="4" s="1"/>
  <c r="DF122" i="4"/>
  <c r="DF126" i="4" s="1"/>
  <c r="DH122" i="4"/>
  <c r="CH123" i="4"/>
  <c r="CO123" i="4" s="1"/>
  <c r="CZ123" i="4"/>
  <c r="DG123" i="4" s="1"/>
  <c r="CH124" i="4"/>
  <c r="CO124" i="4" s="1"/>
  <c r="CZ124" i="4"/>
  <c r="DG124" i="4" s="1"/>
  <c r="CH125" i="4"/>
  <c r="CO125" i="4" s="1"/>
  <c r="CZ125" i="4"/>
  <c r="DG125" i="4" s="1"/>
  <c r="CH127" i="4"/>
  <c r="CJ127" i="4"/>
  <c r="CJ131" i="4" s="1"/>
  <c r="CL127" i="4"/>
  <c r="CL131" i="4" s="1"/>
  <c r="CN127" i="4"/>
  <c r="CN131" i="4" s="1"/>
  <c r="CP127" i="4"/>
  <c r="CZ127" i="4"/>
  <c r="DB127" i="4"/>
  <c r="DB131" i="4" s="1"/>
  <c r="DD127" i="4"/>
  <c r="DD131" i="4" s="1"/>
  <c r="DF127" i="4"/>
  <c r="DF131" i="4" s="1"/>
  <c r="DH127" i="4"/>
  <c r="CH128" i="4"/>
  <c r="CO128" i="4" s="1"/>
  <c r="CZ128" i="4"/>
  <c r="DG128" i="4" s="1"/>
  <c r="CH129" i="4"/>
  <c r="CO129" i="4" s="1"/>
  <c r="CZ129" i="4"/>
  <c r="DG129" i="4" s="1"/>
  <c r="CH130" i="4"/>
  <c r="CO130" i="4" s="1"/>
  <c r="CZ130" i="4"/>
  <c r="DG130" i="4" s="1"/>
  <c r="CH12" i="5"/>
  <c r="CJ12" i="5"/>
  <c r="CJ16" i="5" s="1"/>
  <c r="CL12" i="5"/>
  <c r="CL16" i="5" s="1"/>
  <c r="CN12" i="5"/>
  <c r="CN16" i="5" s="1"/>
  <c r="CP12" i="5"/>
  <c r="CZ12" i="5"/>
  <c r="DB12" i="5"/>
  <c r="DB16" i="5" s="1"/>
  <c r="DD12" i="5"/>
  <c r="DD16" i="5" s="1"/>
  <c r="DF12" i="5"/>
  <c r="DF16" i="5" s="1"/>
  <c r="DH12" i="5"/>
  <c r="CH13" i="5"/>
  <c r="CO13" i="5" s="1"/>
  <c r="CZ13" i="5"/>
  <c r="DG13" i="5" s="1"/>
  <c r="CH14" i="5"/>
  <c r="CO14" i="5" s="1"/>
  <c r="CZ14" i="5"/>
  <c r="DG14" i="5" s="1"/>
  <c r="CH15" i="5"/>
  <c r="CO15" i="5" s="1"/>
  <c r="CZ15" i="5"/>
  <c r="DG15" i="5" s="1"/>
  <c r="T16" i="5"/>
  <c r="T133" i="5" s="1"/>
  <c r="AL16" i="5"/>
  <c r="AL133" i="5" s="1"/>
  <c r="BD16" i="5"/>
  <c r="BD133" i="5" s="1"/>
  <c r="BV16" i="5"/>
  <c r="BV133" i="5" s="1"/>
  <c r="CH17" i="5"/>
  <c r="CJ17" i="5"/>
  <c r="CJ21" i="5" s="1"/>
  <c r="CL17" i="5"/>
  <c r="CL21" i="5" s="1"/>
  <c r="CN17" i="5"/>
  <c r="CN21" i="5" s="1"/>
  <c r="CP17" i="5"/>
  <c r="CZ17" i="5"/>
  <c r="DB17" i="5"/>
  <c r="DB21" i="5" s="1"/>
  <c r="DD17" i="5"/>
  <c r="DD21" i="5" s="1"/>
  <c r="DF17" i="5"/>
  <c r="DF21" i="5" s="1"/>
  <c r="DH17" i="5"/>
  <c r="CH18" i="5"/>
  <c r="CO18" i="5" s="1"/>
  <c r="CZ18" i="5"/>
  <c r="DG18" i="5" s="1"/>
  <c r="CH19" i="5"/>
  <c r="CO19" i="5" s="1"/>
  <c r="CZ19" i="5"/>
  <c r="DG19" i="5" s="1"/>
  <c r="CH20" i="5"/>
  <c r="CO20" i="5" s="1"/>
  <c r="CZ20" i="5"/>
  <c r="DG20" i="5" s="1"/>
  <c r="CH22" i="5"/>
  <c r="CJ22" i="5"/>
  <c r="CJ26" i="5" s="1"/>
  <c r="CL22" i="5"/>
  <c r="CL26" i="5" s="1"/>
  <c r="CN22" i="5"/>
  <c r="CN26" i="5" s="1"/>
  <c r="CP22" i="5"/>
  <c r="CZ22" i="5"/>
  <c r="DB22" i="5"/>
  <c r="DB26" i="5" s="1"/>
  <c r="DD22" i="5"/>
  <c r="DD26" i="5" s="1"/>
  <c r="DF22" i="5"/>
  <c r="DF26" i="5" s="1"/>
  <c r="DH22" i="5"/>
  <c r="CH23" i="5"/>
  <c r="CO23" i="5" s="1"/>
  <c r="CZ23" i="5"/>
  <c r="DG23" i="5" s="1"/>
  <c r="CH24" i="5"/>
  <c r="CO24" i="5" s="1"/>
  <c r="CZ24" i="5"/>
  <c r="DG24" i="5" s="1"/>
  <c r="CH25" i="5"/>
  <c r="CO25" i="5" s="1"/>
  <c r="CZ25" i="5"/>
  <c r="DG25" i="5" s="1"/>
  <c r="CH27" i="5"/>
  <c r="CJ27" i="5"/>
  <c r="CJ31" i="5" s="1"/>
  <c r="CL27" i="5"/>
  <c r="CL31" i="5" s="1"/>
  <c r="CN27" i="5"/>
  <c r="CN31" i="5" s="1"/>
  <c r="CP27" i="5"/>
  <c r="CZ27" i="5"/>
  <c r="DB27" i="5"/>
  <c r="DB31" i="5" s="1"/>
  <c r="DD27" i="5"/>
  <c r="DD31" i="5" s="1"/>
  <c r="DF27" i="5"/>
  <c r="DF31" i="5" s="1"/>
  <c r="DH27" i="5"/>
  <c r="CH28" i="5"/>
  <c r="CO28" i="5" s="1"/>
  <c r="CZ28" i="5"/>
  <c r="DG28" i="5" s="1"/>
  <c r="CH29" i="5"/>
  <c r="CO29" i="5" s="1"/>
  <c r="CZ29" i="5"/>
  <c r="DG29" i="5" s="1"/>
  <c r="CH30" i="5"/>
  <c r="CO30" i="5" s="1"/>
  <c r="CZ30" i="5"/>
  <c r="DG30" i="5" s="1"/>
  <c r="CH32" i="5"/>
  <c r="CJ32" i="5"/>
  <c r="CJ36" i="5" s="1"/>
  <c r="CL32" i="5"/>
  <c r="CL36" i="5" s="1"/>
  <c r="CN32" i="5"/>
  <c r="CN36" i="5" s="1"/>
  <c r="CP32" i="5"/>
  <c r="CZ32" i="5"/>
  <c r="DB32" i="5"/>
  <c r="DB36" i="5" s="1"/>
  <c r="DD32" i="5"/>
  <c r="DD36" i="5" s="1"/>
  <c r="DF32" i="5"/>
  <c r="DF36" i="5" s="1"/>
  <c r="DH32" i="5"/>
  <c r="CH33" i="5"/>
  <c r="CO33" i="5" s="1"/>
  <c r="CZ33" i="5"/>
  <c r="DG33" i="5" s="1"/>
  <c r="CH34" i="5"/>
  <c r="CO34" i="5" s="1"/>
  <c r="CZ34" i="5"/>
  <c r="DG34" i="5" s="1"/>
  <c r="CH35" i="5"/>
  <c r="CO35" i="5" s="1"/>
  <c r="CZ35" i="5"/>
  <c r="DG35" i="5" s="1"/>
  <c r="CH37" i="5"/>
  <c r="CJ37" i="5"/>
  <c r="CJ41" i="5" s="1"/>
  <c r="CL37" i="5"/>
  <c r="CL41" i="5" s="1"/>
  <c r="CN37" i="5"/>
  <c r="CN41" i="5" s="1"/>
  <c r="CP37" i="5"/>
  <c r="CZ37" i="5"/>
  <c r="DB37" i="5"/>
  <c r="DB41" i="5" s="1"/>
  <c r="DD37" i="5"/>
  <c r="DD41" i="5" s="1"/>
  <c r="DF37" i="5"/>
  <c r="DF41" i="5" s="1"/>
  <c r="DH37" i="5"/>
  <c r="CH38" i="5"/>
  <c r="CO38" i="5" s="1"/>
  <c r="CZ38" i="5"/>
  <c r="DG38" i="5" s="1"/>
  <c r="CH39" i="5"/>
  <c r="CO39" i="5" s="1"/>
  <c r="CZ39" i="5"/>
  <c r="DG39" i="5" s="1"/>
  <c r="CH40" i="5"/>
  <c r="CO40" i="5" s="1"/>
  <c r="CZ40" i="5"/>
  <c r="DG40" i="5" s="1"/>
  <c r="CH42" i="5"/>
  <c r="CJ42" i="5"/>
  <c r="CJ46" i="5" s="1"/>
  <c r="CL42" i="5"/>
  <c r="CL46" i="5" s="1"/>
  <c r="CN42" i="5"/>
  <c r="CN46" i="5" s="1"/>
  <c r="CP42" i="5"/>
  <c r="CZ42" i="5"/>
  <c r="DB42" i="5"/>
  <c r="DB46" i="5" s="1"/>
  <c r="DD42" i="5"/>
  <c r="DD46" i="5" s="1"/>
  <c r="DF42" i="5"/>
  <c r="DF46" i="5" s="1"/>
  <c r="DH42" i="5"/>
  <c r="CH43" i="5"/>
  <c r="CO43" i="5" s="1"/>
  <c r="CZ43" i="5"/>
  <c r="DG43" i="5" s="1"/>
  <c r="CH44" i="5"/>
  <c r="CO44" i="5" s="1"/>
  <c r="CZ44" i="5"/>
  <c r="DG44" i="5" s="1"/>
  <c r="CH45" i="5"/>
  <c r="CO45" i="5" s="1"/>
  <c r="CZ45" i="5"/>
  <c r="DG45" i="5" s="1"/>
  <c r="CH47" i="5"/>
  <c r="CJ47" i="5"/>
  <c r="CJ51" i="5" s="1"/>
  <c r="CL47" i="5"/>
  <c r="CL51" i="5" s="1"/>
  <c r="CN47" i="5"/>
  <c r="CN51" i="5" s="1"/>
  <c r="CP47" i="5"/>
  <c r="CZ47" i="5"/>
  <c r="DB47" i="5"/>
  <c r="DB51" i="5" s="1"/>
  <c r="DD47" i="5"/>
  <c r="DD51" i="5" s="1"/>
  <c r="DF47" i="5"/>
  <c r="DF51" i="5" s="1"/>
  <c r="DH47" i="5"/>
  <c r="CH48" i="5"/>
  <c r="CO48" i="5" s="1"/>
  <c r="CZ48" i="5"/>
  <c r="DG48" i="5" s="1"/>
  <c r="CH49" i="5"/>
  <c r="CO49" i="5" s="1"/>
  <c r="CZ49" i="5"/>
  <c r="DG49" i="5" s="1"/>
  <c r="CH50" i="5"/>
  <c r="CO50" i="5" s="1"/>
  <c r="CZ50" i="5"/>
  <c r="DG50" i="5" s="1"/>
  <c r="CH52" i="5"/>
  <c r="CJ52" i="5"/>
  <c r="CJ56" i="5" s="1"/>
  <c r="CL52" i="5"/>
  <c r="CL56" i="5" s="1"/>
  <c r="CN52" i="5"/>
  <c r="CN56" i="5" s="1"/>
  <c r="CP52" i="5"/>
  <c r="CZ52" i="5"/>
  <c r="DB52" i="5"/>
  <c r="DB56" i="5" s="1"/>
  <c r="DD52" i="5"/>
  <c r="DD56" i="5" s="1"/>
  <c r="DF52" i="5"/>
  <c r="DF56" i="5" s="1"/>
  <c r="DH52" i="5"/>
  <c r="CH53" i="5"/>
  <c r="CO53" i="5" s="1"/>
  <c r="CZ53" i="5"/>
  <c r="DG53" i="5" s="1"/>
  <c r="CH54" i="5"/>
  <c r="CO54" i="5" s="1"/>
  <c r="CZ54" i="5"/>
  <c r="DG54" i="5" s="1"/>
  <c r="CH55" i="5"/>
  <c r="CO55" i="5" s="1"/>
  <c r="CZ55" i="5"/>
  <c r="DG55" i="5" s="1"/>
  <c r="CH57" i="5"/>
  <c r="CJ57" i="5"/>
  <c r="CJ61" i="5" s="1"/>
  <c r="CL57" i="5"/>
  <c r="CL61" i="5" s="1"/>
  <c r="CN57" i="5"/>
  <c r="CN61" i="5" s="1"/>
  <c r="CP57" i="5"/>
  <c r="CZ57" i="5"/>
  <c r="DB57" i="5"/>
  <c r="DB61" i="5" s="1"/>
  <c r="DD57" i="5"/>
  <c r="DD61" i="5" s="1"/>
  <c r="DF57" i="5"/>
  <c r="DF61" i="5" s="1"/>
  <c r="DH57" i="5"/>
  <c r="CH58" i="5"/>
  <c r="CO58" i="5" s="1"/>
  <c r="CZ58" i="5"/>
  <c r="DG58" i="5" s="1"/>
  <c r="CH59" i="5"/>
  <c r="CO59" i="5" s="1"/>
  <c r="CZ59" i="5"/>
  <c r="DG59" i="5" s="1"/>
  <c r="CH60" i="5"/>
  <c r="CO60" i="5" s="1"/>
  <c r="CZ60" i="5"/>
  <c r="DG60" i="5" s="1"/>
  <c r="CH62" i="5"/>
  <c r="CJ62" i="5"/>
  <c r="CJ66" i="5" s="1"/>
  <c r="CL62" i="5"/>
  <c r="CL66" i="5" s="1"/>
  <c r="CN62" i="5"/>
  <c r="CN66" i="5" s="1"/>
  <c r="CP62" i="5"/>
  <c r="CZ62" i="5"/>
  <c r="DB62" i="5"/>
  <c r="DB66" i="5" s="1"/>
  <c r="DD62" i="5"/>
  <c r="DD66" i="5" s="1"/>
  <c r="DF62" i="5"/>
  <c r="DF66" i="5" s="1"/>
  <c r="DH62" i="5"/>
  <c r="CH63" i="5"/>
  <c r="CO63" i="5" s="1"/>
  <c r="CZ63" i="5"/>
  <c r="DG63" i="5" s="1"/>
  <c r="CH64" i="5"/>
  <c r="CO64" i="5" s="1"/>
  <c r="CZ64" i="5"/>
  <c r="DG64" i="5" s="1"/>
  <c r="CH65" i="5"/>
  <c r="CO65" i="5" s="1"/>
  <c r="CZ65" i="5"/>
  <c r="DG65" i="5" s="1"/>
  <c r="CH67" i="5"/>
  <c r="CJ67" i="5"/>
  <c r="CJ71" i="5" s="1"/>
  <c r="CL67" i="5"/>
  <c r="CL71" i="5" s="1"/>
  <c r="CN67" i="5"/>
  <c r="CN71" i="5" s="1"/>
  <c r="CP67" i="5"/>
  <c r="CZ67" i="5"/>
  <c r="DB67" i="5"/>
  <c r="DB71" i="5" s="1"/>
  <c r="DD67" i="5"/>
  <c r="DD71" i="5" s="1"/>
  <c r="DF67" i="5"/>
  <c r="DF71" i="5" s="1"/>
  <c r="DH67" i="5"/>
  <c r="CH68" i="5"/>
  <c r="CO68" i="5" s="1"/>
  <c r="CZ68" i="5"/>
  <c r="DG68" i="5" s="1"/>
  <c r="CH69" i="5"/>
  <c r="CO69" i="5" s="1"/>
  <c r="CZ69" i="5"/>
  <c r="DG69" i="5" s="1"/>
  <c r="CH70" i="5"/>
  <c r="CO70" i="5" s="1"/>
  <c r="CZ70" i="5"/>
  <c r="DG70" i="5" s="1"/>
  <c r="CH72" i="5"/>
  <c r="CJ72" i="5"/>
  <c r="CJ76" i="5" s="1"/>
  <c r="CL72" i="5"/>
  <c r="CL76" i="5" s="1"/>
  <c r="CN72" i="5"/>
  <c r="CN76" i="5" s="1"/>
  <c r="CP72" i="5"/>
  <c r="CZ72" i="5"/>
  <c r="DB72" i="5"/>
  <c r="DB76" i="5" s="1"/>
  <c r="DD72" i="5"/>
  <c r="DD76" i="5" s="1"/>
  <c r="DF72" i="5"/>
  <c r="DF76" i="5" s="1"/>
  <c r="DH72" i="5"/>
  <c r="CH73" i="5"/>
  <c r="CO73" i="5" s="1"/>
  <c r="CZ73" i="5"/>
  <c r="DG73" i="5" s="1"/>
  <c r="CH74" i="5"/>
  <c r="CO74" i="5" s="1"/>
  <c r="CZ74" i="5"/>
  <c r="DG74" i="5" s="1"/>
  <c r="CH75" i="5"/>
  <c r="CO75" i="5" s="1"/>
  <c r="CZ75" i="5"/>
  <c r="DG75" i="5" s="1"/>
  <c r="CH77" i="5"/>
  <c r="CJ77" i="5"/>
  <c r="CJ81" i="5" s="1"/>
  <c r="CL77" i="5"/>
  <c r="CL81" i="5" s="1"/>
  <c r="CN77" i="5"/>
  <c r="CN81" i="5" s="1"/>
  <c r="CP77" i="5"/>
  <c r="CZ77" i="5"/>
  <c r="DB77" i="5"/>
  <c r="DB81" i="5" s="1"/>
  <c r="DD77" i="5"/>
  <c r="DD81" i="5" s="1"/>
  <c r="DF77" i="5"/>
  <c r="DF81" i="5" s="1"/>
  <c r="DH77" i="5"/>
  <c r="CH78" i="5"/>
  <c r="CO78" i="5" s="1"/>
  <c r="CZ78" i="5"/>
  <c r="DG78" i="5" s="1"/>
  <c r="CH79" i="5"/>
  <c r="CO79" i="5" s="1"/>
  <c r="CZ79" i="5"/>
  <c r="DG79" i="5" s="1"/>
  <c r="CH80" i="5"/>
  <c r="CO80" i="5" s="1"/>
  <c r="CZ80" i="5"/>
  <c r="DG80" i="5" s="1"/>
  <c r="CH82" i="5"/>
  <c r="CJ82" i="5"/>
  <c r="CJ86" i="5" s="1"/>
  <c r="CL82" i="5"/>
  <c r="CL86" i="5" s="1"/>
  <c r="CN82" i="5"/>
  <c r="CN86" i="5" s="1"/>
  <c r="CP82" i="5"/>
  <c r="CZ82" i="5"/>
  <c r="DB82" i="5"/>
  <c r="DB86" i="5" s="1"/>
  <c r="DD82" i="5"/>
  <c r="DD86" i="5" s="1"/>
  <c r="DF82" i="5"/>
  <c r="DF86" i="5" s="1"/>
  <c r="DH82" i="5"/>
  <c r="CH83" i="5"/>
  <c r="CO83" i="5" s="1"/>
  <c r="CZ83" i="5"/>
  <c r="DG83" i="5" s="1"/>
  <c r="CH84" i="5"/>
  <c r="CO84" i="5" s="1"/>
  <c r="CZ84" i="5"/>
  <c r="DG84" i="5" s="1"/>
  <c r="CH85" i="5"/>
  <c r="CO85" i="5" s="1"/>
  <c r="CZ85" i="5"/>
  <c r="DG85" i="5" s="1"/>
  <c r="CH87" i="5"/>
  <c r="CJ87" i="5"/>
  <c r="CJ91" i="5" s="1"/>
  <c r="CL87" i="5"/>
  <c r="CL91" i="5" s="1"/>
  <c r="CN87" i="5"/>
  <c r="CN91" i="5" s="1"/>
  <c r="CP87" i="5"/>
  <c r="CZ87" i="5"/>
  <c r="DB87" i="5"/>
  <c r="DB91" i="5" s="1"/>
  <c r="DD87" i="5"/>
  <c r="DD91" i="5" s="1"/>
  <c r="DF87" i="5"/>
  <c r="DF91" i="5" s="1"/>
  <c r="DH87" i="5"/>
  <c r="CH88" i="5"/>
  <c r="CO88" i="5" s="1"/>
  <c r="CZ88" i="5"/>
  <c r="DG88" i="5" s="1"/>
  <c r="CH89" i="5"/>
  <c r="CO89" i="5" s="1"/>
  <c r="CZ89" i="5"/>
  <c r="DG89" i="5" s="1"/>
  <c r="CH90" i="5"/>
  <c r="CO90" i="5" s="1"/>
  <c r="CZ90" i="5"/>
  <c r="DG90" i="5" s="1"/>
  <c r="S96" i="5"/>
  <c r="BC96" i="5"/>
  <c r="DB92" i="5"/>
  <c r="DB96" i="5" s="1"/>
  <c r="DF92" i="5"/>
  <c r="DF96" i="5" s="1"/>
  <c r="CO93" i="5"/>
  <c r="CO94" i="5"/>
  <c r="CO95" i="5"/>
  <c r="S101" i="5"/>
  <c r="BC101" i="5"/>
  <c r="DB97" i="5"/>
  <c r="DB101" i="5" s="1"/>
  <c r="DF97" i="5"/>
  <c r="DF101" i="5" s="1"/>
  <c r="CO98" i="5"/>
  <c r="CO99" i="5"/>
  <c r="CO100" i="5"/>
  <c r="S106" i="5"/>
  <c r="BC106" i="5"/>
  <c r="DB102" i="5"/>
  <c r="DB106" i="5" s="1"/>
  <c r="DF102" i="5"/>
  <c r="DF106" i="5" s="1"/>
  <c r="CO103" i="5"/>
  <c r="CO104" i="5"/>
  <c r="CO105" i="5"/>
  <c r="S111" i="5"/>
  <c r="BC111" i="5"/>
  <c r="DB107" i="5"/>
  <c r="DB111" i="5" s="1"/>
  <c r="DF107" i="5"/>
  <c r="DF111" i="5" s="1"/>
  <c r="CO108" i="5"/>
  <c r="CO109" i="5"/>
  <c r="CO110" i="5"/>
  <c r="S116" i="5"/>
  <c r="BC116" i="5"/>
  <c r="DB112" i="5"/>
  <c r="DB116" i="5" s="1"/>
  <c r="DF112" i="5"/>
  <c r="DF116" i="5" s="1"/>
  <c r="CO113" i="5"/>
  <c r="CO114" i="5"/>
  <c r="CO115" i="5"/>
  <c r="S121" i="5"/>
  <c r="BC121" i="5"/>
  <c r="DB117" i="5"/>
  <c r="DB121" i="5" s="1"/>
  <c r="DF117" i="5"/>
  <c r="DF121" i="5" s="1"/>
  <c r="CO118" i="5"/>
  <c r="CO119" i="5"/>
  <c r="CO120" i="5"/>
  <c r="AC133" i="6"/>
  <c r="AK16" i="6"/>
  <c r="BM133" i="6"/>
  <c r="BU16" i="6"/>
  <c r="AK51" i="6"/>
  <c r="BU51" i="6"/>
  <c r="AK56" i="6"/>
  <c r="BU56" i="6"/>
  <c r="AK61" i="6"/>
  <c r="BU61" i="6"/>
  <c r="AK66" i="6"/>
  <c r="BU66" i="6"/>
  <c r="AK71" i="6"/>
  <c r="BU71" i="6"/>
  <c r="AK76" i="6"/>
  <c r="BU76" i="6"/>
  <c r="AK81" i="6"/>
  <c r="BU81" i="6"/>
  <c r="AK86" i="6"/>
  <c r="BU86" i="6"/>
  <c r="AK91" i="6"/>
  <c r="BU91" i="6"/>
  <c r="AK96" i="6"/>
  <c r="BU96" i="6"/>
  <c r="AK101" i="6"/>
  <c r="BU101" i="6"/>
  <c r="AK106" i="6"/>
  <c r="BU106" i="6"/>
  <c r="AK111" i="6"/>
  <c r="BU111" i="6"/>
  <c r="AK116" i="6"/>
  <c r="BU116" i="6"/>
  <c r="AK121" i="6"/>
  <c r="BU121" i="6"/>
  <c r="AK126" i="6"/>
  <c r="BU126" i="6"/>
  <c r="AK131" i="6"/>
  <c r="BU131" i="6"/>
  <c r="AC133" i="7"/>
  <c r="AK16" i="7"/>
  <c r="BM133" i="7"/>
  <c r="BU16" i="7"/>
  <c r="AK21" i="7"/>
  <c r="BU21" i="7"/>
  <c r="AK26" i="7"/>
  <c r="BU26" i="7"/>
  <c r="AK31" i="7"/>
  <c r="BU31" i="7"/>
  <c r="AK36" i="7"/>
  <c r="BU36" i="7"/>
  <c r="AK41" i="7"/>
  <c r="BU41" i="7"/>
  <c r="AK46" i="7"/>
  <c r="BU46" i="7"/>
  <c r="CH12" i="4"/>
  <c r="CH16" i="4" s="1"/>
  <c r="CZ13" i="4"/>
  <c r="DG13" i="4" s="1"/>
  <c r="CH18" i="4"/>
  <c r="CO18" i="4" s="1"/>
  <c r="S12" i="4"/>
  <c r="AK12" i="4"/>
  <c r="BC12" i="4"/>
  <c r="BU12" i="4"/>
  <c r="CG12" i="4"/>
  <c r="CI12" i="4"/>
  <c r="CI16" i="4" s="1"/>
  <c r="CK12" i="4"/>
  <c r="CK16" i="4" s="1"/>
  <c r="CM12" i="4"/>
  <c r="CM16" i="4" s="1"/>
  <c r="CY12" i="4"/>
  <c r="DA12" i="4"/>
  <c r="DA16" i="4" s="1"/>
  <c r="DC12" i="4"/>
  <c r="DC16" i="4" s="1"/>
  <c r="DE12" i="4"/>
  <c r="DE16" i="4" s="1"/>
  <c r="S17" i="4"/>
  <c r="AK17" i="4"/>
  <c r="BC17" i="4"/>
  <c r="BU17" i="4"/>
  <c r="CG17" i="4"/>
  <c r="CI17" i="4"/>
  <c r="CI21" i="4" s="1"/>
  <c r="CK17" i="4"/>
  <c r="CK21" i="4" s="1"/>
  <c r="CM17" i="4"/>
  <c r="CM21" i="4" s="1"/>
  <c r="CY17" i="4"/>
  <c r="DA17" i="4"/>
  <c r="DA21" i="4" s="1"/>
  <c r="DC17" i="4"/>
  <c r="DC21" i="4" s="1"/>
  <c r="DE17" i="4"/>
  <c r="DE21" i="4" s="1"/>
  <c r="S22" i="4"/>
  <c r="AK22" i="4"/>
  <c r="BC22" i="4"/>
  <c r="BU22" i="4"/>
  <c r="CG22" i="4"/>
  <c r="CI22" i="4"/>
  <c r="CI26" i="4" s="1"/>
  <c r="CK22" i="4"/>
  <c r="CK26" i="4" s="1"/>
  <c r="CM22" i="4"/>
  <c r="CM26" i="4" s="1"/>
  <c r="CY22" i="4"/>
  <c r="DA22" i="4"/>
  <c r="DA26" i="4" s="1"/>
  <c r="DC22" i="4"/>
  <c r="DC26" i="4" s="1"/>
  <c r="DE22" i="4"/>
  <c r="DE26" i="4" s="1"/>
  <c r="S27" i="4"/>
  <c r="AK27" i="4"/>
  <c r="BC27" i="4"/>
  <c r="BU27" i="4"/>
  <c r="CG27" i="4"/>
  <c r="CI27" i="4"/>
  <c r="CI31" i="4" s="1"/>
  <c r="CK27" i="4"/>
  <c r="CK31" i="4" s="1"/>
  <c r="CM27" i="4"/>
  <c r="CM31" i="4" s="1"/>
  <c r="CY27" i="4"/>
  <c r="DA27" i="4"/>
  <c r="DA31" i="4" s="1"/>
  <c r="DC27" i="4"/>
  <c r="DC31" i="4" s="1"/>
  <c r="DE27" i="4"/>
  <c r="DE31" i="4" s="1"/>
  <c r="S32" i="4"/>
  <c r="AK32" i="4"/>
  <c r="BC32" i="4"/>
  <c r="BU32" i="4"/>
  <c r="CG32" i="4"/>
  <c r="CI32" i="4"/>
  <c r="CI36" i="4" s="1"/>
  <c r="CK32" i="4"/>
  <c r="CK36" i="4" s="1"/>
  <c r="CM32" i="4"/>
  <c r="CM36" i="4" s="1"/>
  <c r="CY32" i="4"/>
  <c r="DA32" i="4"/>
  <c r="DA36" i="4" s="1"/>
  <c r="DC32" i="4"/>
  <c r="DC36" i="4" s="1"/>
  <c r="DE32" i="4"/>
  <c r="DE36" i="4" s="1"/>
  <c r="S37" i="4"/>
  <c r="AK37" i="4"/>
  <c r="BC37" i="4"/>
  <c r="BU37" i="4"/>
  <c r="CG37" i="4"/>
  <c r="CI37" i="4"/>
  <c r="CI41" i="4" s="1"/>
  <c r="CK37" i="4"/>
  <c r="CK41" i="4" s="1"/>
  <c r="CM37" i="4"/>
  <c r="CM41" i="4" s="1"/>
  <c r="CY37" i="4"/>
  <c r="DA37" i="4"/>
  <c r="DA41" i="4" s="1"/>
  <c r="DC37" i="4"/>
  <c r="DC41" i="4" s="1"/>
  <c r="DE37" i="4"/>
  <c r="DE41" i="4" s="1"/>
  <c r="S42" i="4"/>
  <c r="AK42" i="4"/>
  <c r="BC42" i="4"/>
  <c r="BU42" i="4"/>
  <c r="CG42" i="4"/>
  <c r="CI42" i="4"/>
  <c r="CI46" i="4" s="1"/>
  <c r="CK42" i="4"/>
  <c r="CK46" i="4" s="1"/>
  <c r="CM42" i="4"/>
  <c r="CM46" i="4" s="1"/>
  <c r="CY42" i="4"/>
  <c r="DA42" i="4"/>
  <c r="DA46" i="4" s="1"/>
  <c r="DC42" i="4"/>
  <c r="DC46" i="4" s="1"/>
  <c r="DE42" i="4"/>
  <c r="DE46" i="4" s="1"/>
  <c r="S47" i="4"/>
  <c r="AK47" i="4"/>
  <c r="BC47" i="4"/>
  <c r="BU47" i="4"/>
  <c r="CG47" i="4"/>
  <c r="CI47" i="4"/>
  <c r="CI51" i="4" s="1"/>
  <c r="CK47" i="4"/>
  <c r="CK51" i="4" s="1"/>
  <c r="CM47" i="4"/>
  <c r="CM51" i="4" s="1"/>
  <c r="CY47" i="4"/>
  <c r="DA47" i="4"/>
  <c r="DA51" i="4" s="1"/>
  <c r="DC47" i="4"/>
  <c r="DC51" i="4" s="1"/>
  <c r="DE47" i="4"/>
  <c r="DE51" i="4" s="1"/>
  <c r="S52" i="4"/>
  <c r="AK52" i="4"/>
  <c r="BC52" i="4"/>
  <c r="BU52" i="4"/>
  <c r="CG52" i="4"/>
  <c r="CI52" i="4"/>
  <c r="CI56" i="4" s="1"/>
  <c r="CK52" i="4"/>
  <c r="CK56" i="4" s="1"/>
  <c r="CM52" i="4"/>
  <c r="CM56" i="4" s="1"/>
  <c r="CY52" i="4"/>
  <c r="DA52" i="4"/>
  <c r="DA56" i="4" s="1"/>
  <c r="DC52" i="4"/>
  <c r="DC56" i="4" s="1"/>
  <c r="DE52" i="4"/>
  <c r="DE56" i="4" s="1"/>
  <c r="S57" i="4"/>
  <c r="AK57" i="4"/>
  <c r="BC57" i="4"/>
  <c r="BU57" i="4"/>
  <c r="CG57" i="4"/>
  <c r="CI57" i="4"/>
  <c r="CI61" i="4" s="1"/>
  <c r="CK57" i="4"/>
  <c r="CK61" i="4" s="1"/>
  <c r="CM57" i="4"/>
  <c r="CM61" i="4" s="1"/>
  <c r="CY57" i="4"/>
  <c r="DA57" i="4"/>
  <c r="DA61" i="4" s="1"/>
  <c r="DC57" i="4"/>
  <c r="DC61" i="4" s="1"/>
  <c r="DE57" i="4"/>
  <c r="DE61" i="4" s="1"/>
  <c r="S62" i="4"/>
  <c r="AK62" i="4"/>
  <c r="BC62" i="4"/>
  <c r="BU62" i="4"/>
  <c r="CG62" i="4"/>
  <c r="CI62" i="4"/>
  <c r="CI66" i="4" s="1"/>
  <c r="CK62" i="4"/>
  <c r="CK66" i="4" s="1"/>
  <c r="CM62" i="4"/>
  <c r="CM66" i="4" s="1"/>
  <c r="CY62" i="4"/>
  <c r="DA62" i="4"/>
  <c r="DA66" i="4" s="1"/>
  <c r="DC62" i="4"/>
  <c r="DC66" i="4" s="1"/>
  <c r="DE62" i="4"/>
  <c r="DE66" i="4" s="1"/>
  <c r="S67" i="4"/>
  <c r="AK67" i="4"/>
  <c r="BC67" i="4"/>
  <c r="BU67" i="4"/>
  <c r="CG67" i="4"/>
  <c r="CI67" i="4"/>
  <c r="CI71" i="4" s="1"/>
  <c r="CK67" i="4"/>
  <c r="CK71" i="4" s="1"/>
  <c r="CM67" i="4"/>
  <c r="CM71" i="4" s="1"/>
  <c r="CY67" i="4"/>
  <c r="DA67" i="4"/>
  <c r="DA71" i="4" s="1"/>
  <c r="DC67" i="4"/>
  <c r="DC71" i="4" s="1"/>
  <c r="DE67" i="4"/>
  <c r="DE71" i="4" s="1"/>
  <c r="S72" i="4"/>
  <c r="AK72" i="4"/>
  <c r="BC72" i="4"/>
  <c r="BU72" i="4"/>
  <c r="CG72" i="4"/>
  <c r="CI72" i="4"/>
  <c r="CI76" i="4" s="1"/>
  <c r="CK72" i="4"/>
  <c r="CK76" i="4" s="1"/>
  <c r="CM72" i="4"/>
  <c r="CM76" i="4" s="1"/>
  <c r="CY72" i="4"/>
  <c r="DA72" i="4"/>
  <c r="DA76" i="4" s="1"/>
  <c r="DC72" i="4"/>
  <c r="DC76" i="4" s="1"/>
  <c r="DE72" i="4"/>
  <c r="DE76" i="4" s="1"/>
  <c r="S77" i="4"/>
  <c r="AK77" i="4"/>
  <c r="BC77" i="4"/>
  <c r="BU77" i="4"/>
  <c r="CG77" i="4"/>
  <c r="CI77" i="4"/>
  <c r="CI81" i="4" s="1"/>
  <c r="CK77" i="4"/>
  <c r="CK81" i="4" s="1"/>
  <c r="CM77" i="4"/>
  <c r="CM81" i="4" s="1"/>
  <c r="CY77" i="4"/>
  <c r="DA77" i="4"/>
  <c r="DA81" i="4" s="1"/>
  <c r="DC77" i="4"/>
  <c r="DC81" i="4" s="1"/>
  <c r="DE77" i="4"/>
  <c r="DE81" i="4" s="1"/>
  <c r="S82" i="4"/>
  <c r="AK82" i="4"/>
  <c r="BC82" i="4"/>
  <c r="BU82" i="4"/>
  <c r="CG82" i="4"/>
  <c r="CI82" i="4"/>
  <c r="CI86" i="4" s="1"/>
  <c r="CK82" i="4"/>
  <c r="CK86" i="4" s="1"/>
  <c r="CM82" i="4"/>
  <c r="CM86" i="4" s="1"/>
  <c r="CY82" i="4"/>
  <c r="DA82" i="4"/>
  <c r="DA86" i="4" s="1"/>
  <c r="DC82" i="4"/>
  <c r="DC86" i="4" s="1"/>
  <c r="DE82" i="4"/>
  <c r="DE86" i="4" s="1"/>
  <c r="S87" i="4"/>
  <c r="AK87" i="4"/>
  <c r="BC87" i="4"/>
  <c r="BU87" i="4"/>
  <c r="CG87" i="4"/>
  <c r="CI87" i="4"/>
  <c r="CI91" i="4" s="1"/>
  <c r="CK87" i="4"/>
  <c r="CK91" i="4" s="1"/>
  <c r="CM87" i="4"/>
  <c r="CM91" i="4" s="1"/>
  <c r="CY87" i="4"/>
  <c r="DA87" i="4"/>
  <c r="DA91" i="4" s="1"/>
  <c r="DC87" i="4"/>
  <c r="DC91" i="4" s="1"/>
  <c r="DE87" i="4"/>
  <c r="DE91" i="4" s="1"/>
  <c r="S92" i="4"/>
  <c r="AK92" i="4"/>
  <c r="BC92" i="4"/>
  <c r="BU92" i="4"/>
  <c r="CG92" i="4"/>
  <c r="CI92" i="4"/>
  <c r="CI96" i="4" s="1"/>
  <c r="CK92" i="4"/>
  <c r="CK96" i="4" s="1"/>
  <c r="CM92" i="4"/>
  <c r="CM96" i="4" s="1"/>
  <c r="CY92" i="4"/>
  <c r="DA92" i="4"/>
  <c r="DA96" i="4" s="1"/>
  <c r="DC92" i="4"/>
  <c r="DC96" i="4" s="1"/>
  <c r="DE92" i="4"/>
  <c r="DE96" i="4" s="1"/>
  <c r="S97" i="4"/>
  <c r="AK97" i="4"/>
  <c r="BC97" i="4"/>
  <c r="BU97" i="4"/>
  <c r="CG97" i="4"/>
  <c r="CI97" i="4"/>
  <c r="CI101" i="4" s="1"/>
  <c r="CK97" i="4"/>
  <c r="CK101" i="4" s="1"/>
  <c r="CM97" i="4"/>
  <c r="CM101" i="4" s="1"/>
  <c r="CY97" i="4"/>
  <c r="DA97" i="4"/>
  <c r="DA101" i="4" s="1"/>
  <c r="DC97" i="4"/>
  <c r="DC101" i="4" s="1"/>
  <c r="DE97" i="4"/>
  <c r="DE101" i="4" s="1"/>
  <c r="S102" i="4"/>
  <c r="AK102" i="4"/>
  <c r="BC102" i="4"/>
  <c r="BU102" i="4"/>
  <c r="CG102" i="4"/>
  <c r="CI102" i="4"/>
  <c r="CI106" i="4" s="1"/>
  <c r="CK102" i="4"/>
  <c r="CK106" i="4" s="1"/>
  <c r="CM102" i="4"/>
  <c r="CM106" i="4" s="1"/>
  <c r="CY102" i="4"/>
  <c r="DA102" i="4"/>
  <c r="DA106" i="4" s="1"/>
  <c r="DC102" i="4"/>
  <c r="DC106" i="4" s="1"/>
  <c r="DE102" i="4"/>
  <c r="DE106" i="4" s="1"/>
  <c r="S107" i="4"/>
  <c r="AK107" i="4"/>
  <c r="BC107" i="4"/>
  <c r="BU107" i="4"/>
  <c r="CG107" i="4"/>
  <c r="CI107" i="4"/>
  <c r="CI111" i="4" s="1"/>
  <c r="CK107" i="4"/>
  <c r="CK111" i="4" s="1"/>
  <c r="CM107" i="4"/>
  <c r="CM111" i="4" s="1"/>
  <c r="CY107" i="4"/>
  <c r="DA107" i="4"/>
  <c r="DA111" i="4" s="1"/>
  <c r="DC107" i="4"/>
  <c r="DC111" i="4" s="1"/>
  <c r="DE107" i="4"/>
  <c r="DE111" i="4" s="1"/>
  <c r="S112" i="4"/>
  <c r="AK112" i="4"/>
  <c r="BC112" i="4"/>
  <c r="BU112" i="4"/>
  <c r="CG112" i="4"/>
  <c r="CI112" i="4"/>
  <c r="CI116" i="4" s="1"/>
  <c r="CK112" i="4"/>
  <c r="CK116" i="4" s="1"/>
  <c r="CM112" i="4"/>
  <c r="CM116" i="4" s="1"/>
  <c r="CY112" i="4"/>
  <c r="DA112" i="4"/>
  <c r="DA116" i="4" s="1"/>
  <c r="DC112" i="4"/>
  <c r="DC116" i="4" s="1"/>
  <c r="DE112" i="4"/>
  <c r="DE116" i="4" s="1"/>
  <c r="S117" i="4"/>
  <c r="AK117" i="4"/>
  <c r="BC117" i="4"/>
  <c r="BU117" i="4"/>
  <c r="CG117" i="4"/>
  <c r="CI117" i="4"/>
  <c r="CI121" i="4" s="1"/>
  <c r="CK117" i="4"/>
  <c r="CK121" i="4" s="1"/>
  <c r="CM117" i="4"/>
  <c r="CM121" i="4" s="1"/>
  <c r="CY117" i="4"/>
  <c r="DA117" i="4"/>
  <c r="DA121" i="4" s="1"/>
  <c r="DC117" i="4"/>
  <c r="DC121" i="4" s="1"/>
  <c r="DE117" i="4"/>
  <c r="DE121" i="4" s="1"/>
  <c r="S122" i="4"/>
  <c r="AK122" i="4"/>
  <c r="BC122" i="4"/>
  <c r="BU122" i="4"/>
  <c r="CG122" i="4"/>
  <c r="CI122" i="4"/>
  <c r="CI126" i="4" s="1"/>
  <c r="CK122" i="4"/>
  <c r="CK126" i="4" s="1"/>
  <c r="CM122" i="4"/>
  <c r="CM126" i="4" s="1"/>
  <c r="CY122" i="4"/>
  <c r="DA122" i="4"/>
  <c r="DA126" i="4" s="1"/>
  <c r="DC122" i="4"/>
  <c r="DC126" i="4" s="1"/>
  <c r="DE122" i="4"/>
  <c r="DE126" i="4" s="1"/>
  <c r="S127" i="4"/>
  <c r="AK127" i="4"/>
  <c r="BC127" i="4"/>
  <c r="BU127" i="4"/>
  <c r="CG127" i="4"/>
  <c r="CI127" i="4"/>
  <c r="CI131" i="4" s="1"/>
  <c r="CK127" i="4"/>
  <c r="CK131" i="4" s="1"/>
  <c r="CM127" i="4"/>
  <c r="CM131" i="4" s="1"/>
  <c r="CY127" i="4"/>
  <c r="DA127" i="4"/>
  <c r="DA131" i="4" s="1"/>
  <c r="DC127" i="4"/>
  <c r="DC131" i="4" s="1"/>
  <c r="DE127" i="4"/>
  <c r="DE131" i="4" s="1"/>
  <c r="S12" i="5"/>
  <c r="AK12" i="5"/>
  <c r="BC12" i="5"/>
  <c r="BU12" i="5"/>
  <c r="CG12" i="5"/>
  <c r="CI12" i="5"/>
  <c r="CI16" i="5" s="1"/>
  <c r="CK12" i="5"/>
  <c r="CK16" i="5" s="1"/>
  <c r="CM12" i="5"/>
  <c r="CM16" i="5" s="1"/>
  <c r="CY12" i="5"/>
  <c r="DA12" i="5"/>
  <c r="DA16" i="5" s="1"/>
  <c r="DC12" i="5"/>
  <c r="DC16" i="5" s="1"/>
  <c r="DE12" i="5"/>
  <c r="DE16" i="5" s="1"/>
  <c r="S17" i="5"/>
  <c r="AK17" i="5"/>
  <c r="BC17" i="5"/>
  <c r="BU17" i="5"/>
  <c r="CG17" i="5"/>
  <c r="CI17" i="5"/>
  <c r="CI21" i="5" s="1"/>
  <c r="CK17" i="5"/>
  <c r="CK21" i="5" s="1"/>
  <c r="CM17" i="5"/>
  <c r="CM21" i="5" s="1"/>
  <c r="CY17" i="5"/>
  <c r="DA17" i="5"/>
  <c r="DA21" i="5" s="1"/>
  <c r="DC17" i="5"/>
  <c r="DC21" i="5" s="1"/>
  <c r="DE17" i="5"/>
  <c r="DE21" i="5" s="1"/>
  <c r="S22" i="5"/>
  <c r="AK22" i="5"/>
  <c r="BC22" i="5"/>
  <c r="BU22" i="5"/>
  <c r="CG22" i="5"/>
  <c r="CI22" i="5"/>
  <c r="CI26" i="5" s="1"/>
  <c r="CK22" i="5"/>
  <c r="CK26" i="5" s="1"/>
  <c r="CM22" i="5"/>
  <c r="CM26" i="5" s="1"/>
  <c r="CY22" i="5"/>
  <c r="DA22" i="5"/>
  <c r="DA26" i="5" s="1"/>
  <c r="DC22" i="5"/>
  <c r="DC26" i="5" s="1"/>
  <c r="DE22" i="5"/>
  <c r="DE26" i="5" s="1"/>
  <c r="S27" i="5"/>
  <c r="AK27" i="5"/>
  <c r="BC27" i="5"/>
  <c r="BU27" i="5"/>
  <c r="CG27" i="5"/>
  <c r="CI27" i="5"/>
  <c r="CI31" i="5" s="1"/>
  <c r="CK27" i="5"/>
  <c r="CK31" i="5" s="1"/>
  <c r="CM27" i="5"/>
  <c r="CM31" i="5" s="1"/>
  <c r="CY27" i="5"/>
  <c r="DA27" i="5"/>
  <c r="DA31" i="5" s="1"/>
  <c r="DC27" i="5"/>
  <c r="DC31" i="5" s="1"/>
  <c r="DE27" i="5"/>
  <c r="DE31" i="5" s="1"/>
  <c r="S32" i="5"/>
  <c r="AK32" i="5"/>
  <c r="BC32" i="5"/>
  <c r="BU32" i="5"/>
  <c r="CG32" i="5"/>
  <c r="CI32" i="5"/>
  <c r="CI36" i="5" s="1"/>
  <c r="CK32" i="5"/>
  <c r="CK36" i="5" s="1"/>
  <c r="CM32" i="5"/>
  <c r="CM36" i="5" s="1"/>
  <c r="CY32" i="5"/>
  <c r="DA32" i="5"/>
  <c r="DA36" i="5" s="1"/>
  <c r="DC32" i="5"/>
  <c r="DC36" i="5" s="1"/>
  <c r="DE32" i="5"/>
  <c r="DE36" i="5" s="1"/>
  <c r="S37" i="5"/>
  <c r="AK37" i="5"/>
  <c r="BC37" i="5"/>
  <c r="BU37" i="5"/>
  <c r="CG37" i="5"/>
  <c r="CI37" i="5"/>
  <c r="CI41" i="5" s="1"/>
  <c r="CK37" i="5"/>
  <c r="CK41" i="5" s="1"/>
  <c r="CM37" i="5"/>
  <c r="CM41" i="5" s="1"/>
  <c r="CY37" i="5"/>
  <c r="DA37" i="5"/>
  <c r="DA41" i="5" s="1"/>
  <c r="DC37" i="5"/>
  <c r="DC41" i="5" s="1"/>
  <c r="DE37" i="5"/>
  <c r="DE41" i="5" s="1"/>
  <c r="S42" i="5"/>
  <c r="AK42" i="5"/>
  <c r="BC42" i="5"/>
  <c r="BU42" i="5"/>
  <c r="CG42" i="5"/>
  <c r="CI42" i="5"/>
  <c r="CI46" i="5" s="1"/>
  <c r="CK42" i="5"/>
  <c r="CK46" i="5" s="1"/>
  <c r="CM42" i="5"/>
  <c r="CM46" i="5" s="1"/>
  <c r="CY42" i="5"/>
  <c r="DA42" i="5"/>
  <c r="DA46" i="5" s="1"/>
  <c r="DC42" i="5"/>
  <c r="DC46" i="5" s="1"/>
  <c r="DE42" i="5"/>
  <c r="DE46" i="5" s="1"/>
  <c r="S47" i="5"/>
  <c r="AK47" i="5"/>
  <c r="BC47" i="5"/>
  <c r="BU47" i="5"/>
  <c r="CG47" i="5"/>
  <c r="CI47" i="5"/>
  <c r="CI51" i="5" s="1"/>
  <c r="CK47" i="5"/>
  <c r="CK51" i="5" s="1"/>
  <c r="CM47" i="5"/>
  <c r="CM51" i="5" s="1"/>
  <c r="CY47" i="5"/>
  <c r="DA47" i="5"/>
  <c r="DA51" i="5" s="1"/>
  <c r="DC47" i="5"/>
  <c r="DC51" i="5" s="1"/>
  <c r="DE47" i="5"/>
  <c r="DE51" i="5" s="1"/>
  <c r="S52" i="5"/>
  <c r="AK52" i="5"/>
  <c r="BC52" i="5"/>
  <c r="BU52" i="5"/>
  <c r="CG52" i="5"/>
  <c r="CI52" i="5"/>
  <c r="CI56" i="5" s="1"/>
  <c r="CK52" i="5"/>
  <c r="CK56" i="5" s="1"/>
  <c r="CM52" i="5"/>
  <c r="CM56" i="5" s="1"/>
  <c r="CY52" i="5"/>
  <c r="DA52" i="5"/>
  <c r="DA56" i="5" s="1"/>
  <c r="DC52" i="5"/>
  <c r="DC56" i="5" s="1"/>
  <c r="DE52" i="5"/>
  <c r="DE56" i="5" s="1"/>
  <c r="S57" i="5"/>
  <c r="AK57" i="5"/>
  <c r="BC57" i="5"/>
  <c r="BU57" i="5"/>
  <c r="CG57" i="5"/>
  <c r="CI57" i="5"/>
  <c r="CI61" i="5" s="1"/>
  <c r="CK57" i="5"/>
  <c r="CK61" i="5" s="1"/>
  <c r="CM57" i="5"/>
  <c r="CM61" i="5" s="1"/>
  <c r="CY57" i="5"/>
  <c r="DA57" i="5"/>
  <c r="DA61" i="5" s="1"/>
  <c r="DC57" i="5"/>
  <c r="DC61" i="5" s="1"/>
  <c r="DE57" i="5"/>
  <c r="DE61" i="5" s="1"/>
  <c r="S62" i="5"/>
  <c r="AK62" i="5"/>
  <c r="BC62" i="5"/>
  <c r="BU62" i="5"/>
  <c r="CG62" i="5"/>
  <c r="CI62" i="5"/>
  <c r="CI66" i="5" s="1"/>
  <c r="CK62" i="5"/>
  <c r="CK66" i="5" s="1"/>
  <c r="CM62" i="5"/>
  <c r="CM66" i="5" s="1"/>
  <c r="CY62" i="5"/>
  <c r="DA62" i="5"/>
  <c r="DA66" i="5" s="1"/>
  <c r="DC62" i="5"/>
  <c r="DC66" i="5" s="1"/>
  <c r="DE62" i="5"/>
  <c r="DE66" i="5" s="1"/>
  <c r="S67" i="5"/>
  <c r="AK67" i="5"/>
  <c r="BC67" i="5"/>
  <c r="BU67" i="5"/>
  <c r="CG67" i="5"/>
  <c r="CI67" i="5"/>
  <c r="CI71" i="5" s="1"/>
  <c r="CK67" i="5"/>
  <c r="CK71" i="5" s="1"/>
  <c r="CM67" i="5"/>
  <c r="CM71" i="5" s="1"/>
  <c r="CY67" i="5"/>
  <c r="DA67" i="5"/>
  <c r="DA71" i="5" s="1"/>
  <c r="DC67" i="5"/>
  <c r="DC71" i="5" s="1"/>
  <c r="DE67" i="5"/>
  <c r="DE71" i="5" s="1"/>
  <c r="S72" i="5"/>
  <c r="AK72" i="5"/>
  <c r="BC72" i="5"/>
  <c r="BU72" i="5"/>
  <c r="CG72" i="5"/>
  <c r="CI72" i="5"/>
  <c r="CI76" i="5" s="1"/>
  <c r="CK72" i="5"/>
  <c r="CK76" i="5" s="1"/>
  <c r="CM72" i="5"/>
  <c r="CM76" i="5" s="1"/>
  <c r="CY72" i="5"/>
  <c r="DA72" i="5"/>
  <c r="DA76" i="5" s="1"/>
  <c r="DC72" i="5"/>
  <c r="DC76" i="5" s="1"/>
  <c r="DE72" i="5"/>
  <c r="DE76" i="5" s="1"/>
  <c r="S77" i="5"/>
  <c r="AK77" i="5"/>
  <c r="BC77" i="5"/>
  <c r="BU77" i="5"/>
  <c r="CG77" i="5"/>
  <c r="CI77" i="5"/>
  <c r="CI81" i="5" s="1"/>
  <c r="CK77" i="5"/>
  <c r="CK81" i="5" s="1"/>
  <c r="CM77" i="5"/>
  <c r="CM81" i="5" s="1"/>
  <c r="CY77" i="5"/>
  <c r="DA77" i="5"/>
  <c r="DA81" i="5" s="1"/>
  <c r="DC77" i="5"/>
  <c r="DC81" i="5" s="1"/>
  <c r="DE77" i="5"/>
  <c r="DE81" i="5" s="1"/>
  <c r="S82" i="5"/>
  <c r="AK82" i="5"/>
  <c r="BC82" i="5"/>
  <c r="BU82" i="5"/>
  <c r="CG82" i="5"/>
  <c r="CI82" i="5"/>
  <c r="CI86" i="5" s="1"/>
  <c r="CK82" i="5"/>
  <c r="CK86" i="5" s="1"/>
  <c r="CM82" i="5"/>
  <c r="CM86" i="5" s="1"/>
  <c r="CY82" i="5"/>
  <c r="DA82" i="5"/>
  <c r="DA86" i="5" s="1"/>
  <c r="DC82" i="5"/>
  <c r="DC86" i="5" s="1"/>
  <c r="DE82" i="5"/>
  <c r="DE86" i="5" s="1"/>
  <c r="S87" i="5"/>
  <c r="AK91" i="5"/>
  <c r="AK87" i="5"/>
  <c r="BC91" i="5"/>
  <c r="BC87" i="5"/>
  <c r="BU91" i="5"/>
  <c r="BU87" i="5"/>
  <c r="CG87" i="5"/>
  <c r="CI87" i="5"/>
  <c r="CI91" i="5" s="1"/>
  <c r="CK87" i="5"/>
  <c r="CK91" i="5" s="1"/>
  <c r="CM87" i="5"/>
  <c r="CM91" i="5" s="1"/>
  <c r="CY87" i="5"/>
  <c r="DA87" i="5"/>
  <c r="DA91" i="5" s="1"/>
  <c r="DC87" i="5"/>
  <c r="DC91" i="5" s="1"/>
  <c r="DE87" i="5"/>
  <c r="DE91" i="5" s="1"/>
  <c r="AK96" i="5"/>
  <c r="BU96" i="5"/>
  <c r="CJ92" i="5"/>
  <c r="CJ96" i="5" s="1"/>
  <c r="CN92" i="5"/>
  <c r="CN96" i="5" s="1"/>
  <c r="CZ92" i="5"/>
  <c r="DD92" i="5"/>
  <c r="DD96" i="5" s="1"/>
  <c r="DH92" i="5"/>
  <c r="AK93" i="5"/>
  <c r="BU93" i="5"/>
  <c r="CZ93" i="5"/>
  <c r="DG93" i="5" s="1"/>
  <c r="AK94" i="5"/>
  <c r="BU94" i="5"/>
  <c r="CZ94" i="5"/>
  <c r="DG94" i="5" s="1"/>
  <c r="AK95" i="5"/>
  <c r="BU95" i="5"/>
  <c r="CZ95" i="5"/>
  <c r="DG95" i="5" s="1"/>
  <c r="AK101" i="5"/>
  <c r="BU101" i="5"/>
  <c r="CJ97" i="5"/>
  <c r="CJ101" i="5" s="1"/>
  <c r="CN97" i="5"/>
  <c r="CN101" i="5" s="1"/>
  <c r="CZ97" i="5"/>
  <c r="DD97" i="5"/>
  <c r="DD101" i="5" s="1"/>
  <c r="DH97" i="5"/>
  <c r="AK98" i="5"/>
  <c r="BU98" i="5"/>
  <c r="DG98" i="5"/>
  <c r="CZ98" i="5"/>
  <c r="AK99" i="5"/>
  <c r="BU99" i="5"/>
  <c r="DG99" i="5"/>
  <c r="CZ99" i="5"/>
  <c r="AK100" i="5"/>
  <c r="BU100" i="5"/>
  <c r="DG100" i="5"/>
  <c r="CZ100" i="5"/>
  <c r="AK106" i="5"/>
  <c r="BU106" i="5"/>
  <c r="CJ102" i="5"/>
  <c r="CJ106" i="5" s="1"/>
  <c r="CN102" i="5"/>
  <c r="CN106" i="5" s="1"/>
  <c r="CZ102" i="5"/>
  <c r="DD102" i="5"/>
  <c r="DD106" i="5" s="1"/>
  <c r="DH102" i="5"/>
  <c r="AK103" i="5"/>
  <c r="BU103" i="5"/>
  <c r="CZ103" i="5"/>
  <c r="DG103" i="5" s="1"/>
  <c r="AK104" i="5"/>
  <c r="BU104" i="5"/>
  <c r="CZ104" i="5"/>
  <c r="DG104" i="5" s="1"/>
  <c r="AK105" i="5"/>
  <c r="BU105" i="5"/>
  <c r="CZ105" i="5"/>
  <c r="DG105" i="5" s="1"/>
  <c r="AK111" i="5"/>
  <c r="BU111" i="5"/>
  <c r="CJ107" i="5"/>
  <c r="CJ111" i="5" s="1"/>
  <c r="CN107" i="5"/>
  <c r="CN111" i="5" s="1"/>
  <c r="CZ107" i="5"/>
  <c r="DD107" i="5"/>
  <c r="DD111" i="5" s="1"/>
  <c r="DH107" i="5"/>
  <c r="AK108" i="5"/>
  <c r="BU108" i="5"/>
  <c r="DG108" i="5"/>
  <c r="CZ108" i="5"/>
  <c r="AK109" i="5"/>
  <c r="BU109" i="5"/>
  <c r="DG109" i="5"/>
  <c r="CZ109" i="5"/>
  <c r="AK110" i="5"/>
  <c r="BU110" i="5"/>
  <c r="DG110" i="5"/>
  <c r="CZ110" i="5"/>
  <c r="AK116" i="5"/>
  <c r="BU116" i="5"/>
  <c r="CJ112" i="5"/>
  <c r="CJ116" i="5" s="1"/>
  <c r="CN112" i="5"/>
  <c r="CN116" i="5" s="1"/>
  <c r="CZ112" i="5"/>
  <c r="DD112" i="5"/>
  <c r="DD116" i="5" s="1"/>
  <c r="DH112" i="5"/>
  <c r="AK113" i="5"/>
  <c r="BU113" i="5"/>
  <c r="CZ113" i="5"/>
  <c r="DG113" i="5" s="1"/>
  <c r="AK114" i="5"/>
  <c r="BU114" i="5"/>
  <c r="CZ114" i="5"/>
  <c r="DG114" i="5" s="1"/>
  <c r="AK115" i="5"/>
  <c r="BU115" i="5"/>
  <c r="CZ115" i="5"/>
  <c r="DG115" i="5" s="1"/>
  <c r="AK121" i="5"/>
  <c r="BU121" i="5"/>
  <c r="CJ117" i="5"/>
  <c r="CJ121" i="5" s="1"/>
  <c r="CN117" i="5"/>
  <c r="CN121" i="5" s="1"/>
  <c r="DH121" i="5"/>
  <c r="CZ117" i="5"/>
  <c r="DD117" i="5"/>
  <c r="DD121" i="5" s="1"/>
  <c r="DH117" i="5"/>
  <c r="AK118" i="5"/>
  <c r="BU118" i="5"/>
  <c r="CZ118" i="5"/>
  <c r="DG118" i="5" s="1"/>
  <c r="AK119" i="5"/>
  <c r="BU119" i="5"/>
  <c r="CZ119" i="5"/>
  <c r="DG119" i="5" s="1"/>
  <c r="AK120" i="5"/>
  <c r="BU120" i="5"/>
  <c r="CZ120" i="5"/>
  <c r="DG120" i="5" s="1"/>
  <c r="S126" i="5"/>
  <c r="BC126" i="5"/>
  <c r="CP126" i="5"/>
  <c r="DH126" i="5"/>
  <c r="S131" i="5"/>
  <c r="BC131" i="5"/>
  <c r="CP131" i="5"/>
  <c r="DH131" i="5"/>
  <c r="K133" i="6"/>
  <c r="S16" i="6"/>
  <c r="AU133" i="6"/>
  <c r="BC16" i="6"/>
  <c r="CP16" i="6"/>
  <c r="BY133" i="6"/>
  <c r="DH16" i="6"/>
  <c r="CQ133" i="6"/>
  <c r="S21" i="6"/>
  <c r="BC21" i="6"/>
  <c r="CP21" i="6"/>
  <c r="DH21" i="6"/>
  <c r="S26" i="6"/>
  <c r="BC26" i="6"/>
  <c r="CP26" i="6"/>
  <c r="DH26" i="6"/>
  <c r="S31" i="6"/>
  <c r="BC31" i="6"/>
  <c r="CP31" i="6"/>
  <c r="DH31" i="6"/>
  <c r="S36" i="6"/>
  <c r="BC36" i="6"/>
  <c r="CP36" i="6"/>
  <c r="DH36" i="6"/>
  <c r="S41" i="6"/>
  <c r="BC41" i="6"/>
  <c r="CP41" i="6"/>
  <c r="DH41" i="6"/>
  <c r="S46" i="6"/>
  <c r="BC46" i="6"/>
  <c r="CP46" i="6"/>
  <c r="DH46" i="6"/>
  <c r="K133" i="7"/>
  <c r="S16" i="7"/>
  <c r="S133" i="7" s="1"/>
  <c r="AU133" i="7"/>
  <c r="BC16" i="7"/>
  <c r="BC133" i="7" s="1"/>
  <c r="CP16" i="7"/>
  <c r="DH16" i="7"/>
  <c r="S92" i="5"/>
  <c r="AK92" i="5"/>
  <c r="BC92" i="5"/>
  <c r="BU92" i="5"/>
  <c r="CG92" i="5"/>
  <c r="CI92" i="5"/>
  <c r="CI96" i="5" s="1"/>
  <c r="CK92" i="5"/>
  <c r="CK96" i="5" s="1"/>
  <c r="CM92" i="5"/>
  <c r="CM96" i="5" s="1"/>
  <c r="CY92" i="5"/>
  <c r="DA92" i="5"/>
  <c r="DA96" i="5" s="1"/>
  <c r="DC92" i="5"/>
  <c r="DC96" i="5" s="1"/>
  <c r="DE92" i="5"/>
  <c r="DE96" i="5" s="1"/>
  <c r="S97" i="5"/>
  <c r="AK97" i="5"/>
  <c r="BC97" i="5"/>
  <c r="BU97" i="5"/>
  <c r="CG97" i="5"/>
  <c r="CI97" i="5"/>
  <c r="CI101" i="5" s="1"/>
  <c r="CK97" i="5"/>
  <c r="CK101" i="5" s="1"/>
  <c r="CM97" i="5"/>
  <c r="CM101" i="5" s="1"/>
  <c r="CY97" i="5"/>
  <c r="DA97" i="5"/>
  <c r="DA101" i="5" s="1"/>
  <c r="DC97" i="5"/>
  <c r="DC101" i="5" s="1"/>
  <c r="DE97" i="5"/>
  <c r="DE101" i="5" s="1"/>
  <c r="S102" i="5"/>
  <c r="AK102" i="5"/>
  <c r="BC102" i="5"/>
  <c r="BU102" i="5"/>
  <c r="CG102" i="5"/>
  <c r="CI102" i="5"/>
  <c r="CI106" i="5" s="1"/>
  <c r="CK102" i="5"/>
  <c r="CK106" i="5" s="1"/>
  <c r="CM102" i="5"/>
  <c r="CM106" i="5" s="1"/>
  <c r="CY102" i="5"/>
  <c r="DA102" i="5"/>
  <c r="DA106" i="5" s="1"/>
  <c r="DC102" i="5"/>
  <c r="DC106" i="5" s="1"/>
  <c r="DE102" i="5"/>
  <c r="DE106" i="5" s="1"/>
  <c r="S107" i="5"/>
  <c r="AK107" i="5"/>
  <c r="BC107" i="5"/>
  <c r="BU107" i="5"/>
  <c r="CG107" i="5"/>
  <c r="CI107" i="5"/>
  <c r="CI111" i="5" s="1"/>
  <c r="CK107" i="5"/>
  <c r="CK111" i="5" s="1"/>
  <c r="CM107" i="5"/>
  <c r="CM111" i="5" s="1"/>
  <c r="CY107" i="5"/>
  <c r="DA107" i="5"/>
  <c r="DA111" i="5" s="1"/>
  <c r="DC107" i="5"/>
  <c r="DC111" i="5" s="1"/>
  <c r="DE107" i="5"/>
  <c r="DE111" i="5" s="1"/>
  <c r="S112" i="5"/>
  <c r="AK112" i="5"/>
  <c r="BC112" i="5"/>
  <c r="BU112" i="5"/>
  <c r="CG112" i="5"/>
  <c r="CI112" i="5"/>
  <c r="CI116" i="5" s="1"/>
  <c r="CK112" i="5"/>
  <c r="CK116" i="5" s="1"/>
  <c r="CM112" i="5"/>
  <c r="CM116" i="5" s="1"/>
  <c r="CY112" i="5"/>
  <c r="DA112" i="5"/>
  <c r="DA116" i="5" s="1"/>
  <c r="DC112" i="5"/>
  <c r="DC116" i="5" s="1"/>
  <c r="DE112" i="5"/>
  <c r="DE116" i="5" s="1"/>
  <c r="S117" i="5"/>
  <c r="AK117" i="5"/>
  <c r="BC117" i="5"/>
  <c r="BU117" i="5"/>
  <c r="CG117" i="5"/>
  <c r="CI117" i="5"/>
  <c r="CI121" i="5" s="1"/>
  <c r="CK117" i="5"/>
  <c r="CK121" i="5" s="1"/>
  <c r="CM117" i="5"/>
  <c r="CM121" i="5" s="1"/>
  <c r="CY117" i="5"/>
  <c r="DA117" i="5"/>
  <c r="DA121" i="5" s="1"/>
  <c r="DC117" i="5"/>
  <c r="DC121" i="5" s="1"/>
  <c r="DE117" i="5"/>
  <c r="DE121" i="5" s="1"/>
  <c r="S122" i="5"/>
  <c r="AK122" i="5"/>
  <c r="BC122" i="5"/>
  <c r="BU122" i="5"/>
  <c r="CG122" i="5"/>
  <c r="CI122" i="5"/>
  <c r="CI126" i="5" s="1"/>
  <c r="CK122" i="5"/>
  <c r="CK126" i="5" s="1"/>
  <c r="CM122" i="5"/>
  <c r="CM126" i="5" s="1"/>
  <c r="CY122" i="5"/>
  <c r="DA122" i="5"/>
  <c r="DA126" i="5" s="1"/>
  <c r="DC122" i="5"/>
  <c r="DC126" i="5" s="1"/>
  <c r="DE122" i="5"/>
  <c r="DE126" i="5" s="1"/>
  <c r="S127" i="5"/>
  <c r="AK127" i="5"/>
  <c r="BC127" i="5"/>
  <c r="BU127" i="5"/>
  <c r="CG127" i="5"/>
  <c r="CI127" i="5"/>
  <c r="CI131" i="5" s="1"/>
  <c r="CK127" i="5"/>
  <c r="CK131" i="5" s="1"/>
  <c r="CM127" i="5"/>
  <c r="CM131" i="5" s="1"/>
  <c r="CY127" i="5"/>
  <c r="DA127" i="5"/>
  <c r="DA131" i="5" s="1"/>
  <c r="DC127" i="5"/>
  <c r="DC131" i="5" s="1"/>
  <c r="DE127" i="5"/>
  <c r="DE131" i="5" s="1"/>
  <c r="S12" i="6"/>
  <c r="AK12" i="6"/>
  <c r="BC12" i="6"/>
  <c r="BU12" i="6"/>
  <c r="CG12" i="6"/>
  <c r="CI12" i="6"/>
  <c r="CI16" i="6" s="1"/>
  <c r="CK12" i="6"/>
  <c r="CK16" i="6" s="1"/>
  <c r="CM12" i="6"/>
  <c r="CM16" i="6" s="1"/>
  <c r="CY12" i="6"/>
  <c r="DA12" i="6"/>
  <c r="DA16" i="6" s="1"/>
  <c r="DC12" i="6"/>
  <c r="DC16" i="6" s="1"/>
  <c r="DE12" i="6"/>
  <c r="DE16" i="6" s="1"/>
  <c r="S17" i="6"/>
  <c r="AK17" i="6"/>
  <c r="BC17" i="6"/>
  <c r="BU17" i="6"/>
  <c r="CG17" i="6"/>
  <c r="CI17" i="6"/>
  <c r="CI21" i="6" s="1"/>
  <c r="CK17" i="6"/>
  <c r="CK21" i="6" s="1"/>
  <c r="CM17" i="6"/>
  <c r="CM21" i="6" s="1"/>
  <c r="CY17" i="6"/>
  <c r="DA17" i="6"/>
  <c r="DA21" i="6" s="1"/>
  <c r="DC17" i="6"/>
  <c r="DC21" i="6" s="1"/>
  <c r="DE17" i="6"/>
  <c r="DE21" i="6" s="1"/>
  <c r="S22" i="6"/>
  <c r="AK22" i="6"/>
  <c r="BC22" i="6"/>
  <c r="BU22" i="6"/>
  <c r="CG22" i="6"/>
  <c r="CI22" i="6"/>
  <c r="CI26" i="6" s="1"/>
  <c r="CK22" i="6"/>
  <c r="CK26" i="6" s="1"/>
  <c r="CM22" i="6"/>
  <c r="CM26" i="6" s="1"/>
  <c r="CY22" i="6"/>
  <c r="DA22" i="6"/>
  <c r="DA26" i="6" s="1"/>
  <c r="DC22" i="6"/>
  <c r="DC26" i="6" s="1"/>
  <c r="DE22" i="6"/>
  <c r="DE26" i="6" s="1"/>
  <c r="S27" i="6"/>
  <c r="AK27" i="6"/>
  <c r="BC27" i="6"/>
  <c r="BU27" i="6"/>
  <c r="CG27" i="6"/>
  <c r="CI27" i="6"/>
  <c r="CI31" i="6" s="1"/>
  <c r="CK27" i="6"/>
  <c r="CK31" i="6" s="1"/>
  <c r="CM27" i="6"/>
  <c r="CM31" i="6" s="1"/>
  <c r="CY27" i="6"/>
  <c r="DA27" i="6"/>
  <c r="DA31" i="6" s="1"/>
  <c r="DC27" i="6"/>
  <c r="DC31" i="6" s="1"/>
  <c r="DE27" i="6"/>
  <c r="DE31" i="6" s="1"/>
  <c r="S32" i="6"/>
  <c r="AK32" i="6"/>
  <c r="BC32" i="6"/>
  <c r="BU32" i="6"/>
  <c r="CG32" i="6"/>
  <c r="CI32" i="6"/>
  <c r="CI36" i="6" s="1"/>
  <c r="CK32" i="6"/>
  <c r="CK36" i="6" s="1"/>
  <c r="CM32" i="6"/>
  <c r="CM36" i="6" s="1"/>
  <c r="CY32" i="6"/>
  <c r="DA32" i="6"/>
  <c r="DA36" i="6" s="1"/>
  <c r="DC32" i="6"/>
  <c r="DC36" i="6" s="1"/>
  <c r="DE32" i="6"/>
  <c r="DE36" i="6" s="1"/>
  <c r="S37" i="6"/>
  <c r="AK37" i="6"/>
  <c r="BC37" i="6"/>
  <c r="BU37" i="6"/>
  <c r="CG37" i="6"/>
  <c r="CI37" i="6"/>
  <c r="CI41" i="6" s="1"/>
  <c r="CK37" i="6"/>
  <c r="CK41" i="6" s="1"/>
  <c r="CM37" i="6"/>
  <c r="CM41" i="6" s="1"/>
  <c r="CY37" i="6"/>
  <c r="DA37" i="6"/>
  <c r="DA41" i="6" s="1"/>
  <c r="DC37" i="6"/>
  <c r="DC41" i="6" s="1"/>
  <c r="DE37" i="6"/>
  <c r="DE41" i="6" s="1"/>
  <c r="S42" i="6"/>
  <c r="AK42" i="6"/>
  <c r="BC42" i="6"/>
  <c r="BU42" i="6"/>
  <c r="CG42" i="6"/>
  <c r="CI42" i="6"/>
  <c r="CI46" i="6" s="1"/>
  <c r="CK42" i="6"/>
  <c r="CK46" i="6" s="1"/>
  <c r="CM42" i="6"/>
  <c r="CM46" i="6" s="1"/>
  <c r="CY42" i="6"/>
  <c r="DA42" i="6"/>
  <c r="DA46" i="6" s="1"/>
  <c r="DC42" i="6"/>
  <c r="DC46" i="6" s="1"/>
  <c r="DE42" i="6"/>
  <c r="DE46" i="6" s="1"/>
  <c r="S47" i="6"/>
  <c r="AK47" i="6"/>
  <c r="BC47" i="6"/>
  <c r="BU47" i="6"/>
  <c r="CG47" i="6"/>
  <c r="CI47" i="6"/>
  <c r="CI51" i="6" s="1"/>
  <c r="CK47" i="6"/>
  <c r="CK51" i="6" s="1"/>
  <c r="CM47" i="6"/>
  <c r="CM51" i="6" s="1"/>
  <c r="CY47" i="6"/>
  <c r="DA47" i="6"/>
  <c r="DA51" i="6" s="1"/>
  <c r="DC47" i="6"/>
  <c r="DC51" i="6" s="1"/>
  <c r="DE47" i="6"/>
  <c r="DE51" i="6" s="1"/>
  <c r="S52" i="6"/>
  <c r="AK52" i="6"/>
  <c r="BC52" i="6"/>
  <c r="BU52" i="6"/>
  <c r="CG52" i="6"/>
  <c r="CI52" i="6"/>
  <c r="CI56" i="6" s="1"/>
  <c r="CK52" i="6"/>
  <c r="CK56" i="6" s="1"/>
  <c r="CM52" i="6"/>
  <c r="CM56" i="6" s="1"/>
  <c r="CY52" i="6"/>
  <c r="DA52" i="6"/>
  <c r="DA56" i="6" s="1"/>
  <c r="DC52" i="6"/>
  <c r="DC56" i="6" s="1"/>
  <c r="DE52" i="6"/>
  <c r="DE56" i="6" s="1"/>
  <c r="S57" i="6"/>
  <c r="AK57" i="6"/>
  <c r="BC57" i="6"/>
  <c r="BU57" i="6"/>
  <c r="CG57" i="6"/>
  <c r="CI57" i="6"/>
  <c r="CI61" i="6" s="1"/>
  <c r="CK57" i="6"/>
  <c r="CK61" i="6" s="1"/>
  <c r="CM57" i="6"/>
  <c r="CM61" i="6" s="1"/>
  <c r="CY57" i="6"/>
  <c r="DA57" i="6"/>
  <c r="DA61" i="6" s="1"/>
  <c r="DC57" i="6"/>
  <c r="DC61" i="6" s="1"/>
  <c r="DE57" i="6"/>
  <c r="DE61" i="6" s="1"/>
  <c r="S62" i="6"/>
  <c r="AK62" i="6"/>
  <c r="BC62" i="6"/>
  <c r="BU62" i="6"/>
  <c r="CG62" i="6"/>
  <c r="CI62" i="6"/>
  <c r="CI66" i="6" s="1"/>
  <c r="CK62" i="6"/>
  <c r="CK66" i="6" s="1"/>
  <c r="CM62" i="6"/>
  <c r="CM66" i="6" s="1"/>
  <c r="CY62" i="6"/>
  <c r="DA62" i="6"/>
  <c r="DA66" i="6" s="1"/>
  <c r="DC62" i="6"/>
  <c r="DC66" i="6" s="1"/>
  <c r="DE62" i="6"/>
  <c r="DE66" i="6" s="1"/>
  <c r="S67" i="6"/>
  <c r="AK67" i="6"/>
  <c r="BC67" i="6"/>
  <c r="BU67" i="6"/>
  <c r="CG67" i="6"/>
  <c r="CI67" i="6"/>
  <c r="CI71" i="6" s="1"/>
  <c r="CK67" i="6"/>
  <c r="CK71" i="6" s="1"/>
  <c r="CM67" i="6"/>
  <c r="CM71" i="6" s="1"/>
  <c r="CY67" i="6"/>
  <c r="DA67" i="6"/>
  <c r="DA71" i="6" s="1"/>
  <c r="DC67" i="6"/>
  <c r="DC71" i="6" s="1"/>
  <c r="DE67" i="6"/>
  <c r="DE71" i="6" s="1"/>
  <c r="S72" i="6"/>
  <c r="AK72" i="6"/>
  <c r="BC72" i="6"/>
  <c r="BU72" i="6"/>
  <c r="CG72" i="6"/>
  <c r="CI72" i="6"/>
  <c r="CI76" i="6" s="1"/>
  <c r="CK72" i="6"/>
  <c r="CK76" i="6" s="1"/>
  <c r="CM72" i="6"/>
  <c r="CM76" i="6" s="1"/>
  <c r="CY72" i="6"/>
  <c r="DA72" i="6"/>
  <c r="DA76" i="6" s="1"/>
  <c r="DC72" i="6"/>
  <c r="DC76" i="6" s="1"/>
  <c r="DE72" i="6"/>
  <c r="DE76" i="6" s="1"/>
  <c r="S77" i="6"/>
  <c r="AK77" i="6"/>
  <c r="BC77" i="6"/>
  <c r="BU77" i="6"/>
  <c r="CG77" i="6"/>
  <c r="CI77" i="6"/>
  <c r="CI81" i="6" s="1"/>
  <c r="CK77" i="6"/>
  <c r="CK81" i="6" s="1"/>
  <c r="CM77" i="6"/>
  <c r="CM81" i="6" s="1"/>
  <c r="CY77" i="6"/>
  <c r="DA77" i="6"/>
  <c r="DA81" i="6" s="1"/>
  <c r="DC77" i="6"/>
  <c r="DC81" i="6" s="1"/>
  <c r="DE77" i="6"/>
  <c r="DE81" i="6" s="1"/>
  <c r="S82" i="6"/>
  <c r="AK82" i="6"/>
  <c r="BC82" i="6"/>
  <c r="BU82" i="6"/>
  <c r="CG82" i="6"/>
  <c r="CI82" i="6"/>
  <c r="CI86" i="6" s="1"/>
  <c r="CK82" i="6"/>
  <c r="CK86" i="6" s="1"/>
  <c r="CM82" i="6"/>
  <c r="CM86" i="6" s="1"/>
  <c r="CY82" i="6"/>
  <c r="DA82" i="6"/>
  <c r="DA86" i="6" s="1"/>
  <c r="DC82" i="6"/>
  <c r="DC86" i="6" s="1"/>
  <c r="DE82" i="6"/>
  <c r="DE86" i="6" s="1"/>
  <c r="S87" i="6"/>
  <c r="AK87" i="6"/>
  <c r="BC87" i="6"/>
  <c r="BU87" i="6"/>
  <c r="CG87" i="6"/>
  <c r="CI87" i="6"/>
  <c r="CI91" i="6" s="1"/>
  <c r="CK87" i="6"/>
  <c r="CK91" i="6" s="1"/>
  <c r="CM87" i="6"/>
  <c r="CM91" i="6" s="1"/>
  <c r="CY87" i="6"/>
  <c r="DA87" i="6"/>
  <c r="DA91" i="6" s="1"/>
  <c r="DC87" i="6"/>
  <c r="DC91" i="6" s="1"/>
  <c r="DE87" i="6"/>
  <c r="DE91" i="6" s="1"/>
  <c r="S92" i="6"/>
  <c r="AK92" i="6"/>
  <c r="BC92" i="6"/>
  <c r="BU92" i="6"/>
  <c r="CG92" i="6"/>
  <c r="CI92" i="6"/>
  <c r="CI96" i="6" s="1"/>
  <c r="CK92" i="6"/>
  <c r="CK96" i="6" s="1"/>
  <c r="CM92" i="6"/>
  <c r="CM96" i="6" s="1"/>
  <c r="CY92" i="6"/>
  <c r="DA92" i="6"/>
  <c r="DA96" i="6" s="1"/>
  <c r="DC92" i="6"/>
  <c r="DC96" i="6" s="1"/>
  <c r="DE92" i="6"/>
  <c r="DE96" i="6" s="1"/>
  <c r="S97" i="6"/>
  <c r="AK97" i="6"/>
  <c r="BC97" i="6"/>
  <c r="BU97" i="6"/>
  <c r="CG97" i="6"/>
  <c r="CI97" i="6"/>
  <c r="CI101" i="6" s="1"/>
  <c r="CK97" i="6"/>
  <c r="CK101" i="6" s="1"/>
  <c r="CM97" i="6"/>
  <c r="CM101" i="6" s="1"/>
  <c r="CY97" i="6"/>
  <c r="DA97" i="6"/>
  <c r="DA101" i="6" s="1"/>
  <c r="DC97" i="6"/>
  <c r="DC101" i="6" s="1"/>
  <c r="DE97" i="6"/>
  <c r="DE101" i="6" s="1"/>
  <c r="S102" i="6"/>
  <c r="AK102" i="6"/>
  <c r="BC102" i="6"/>
  <c r="BU102" i="6"/>
  <c r="CG102" i="6"/>
  <c r="CI102" i="6"/>
  <c r="CI106" i="6" s="1"/>
  <c r="CK102" i="6"/>
  <c r="CK106" i="6" s="1"/>
  <c r="CM102" i="6"/>
  <c r="CM106" i="6" s="1"/>
  <c r="CY102" i="6"/>
  <c r="DA102" i="6"/>
  <c r="DA106" i="6" s="1"/>
  <c r="DC102" i="6"/>
  <c r="DC106" i="6" s="1"/>
  <c r="DE102" i="6"/>
  <c r="DE106" i="6" s="1"/>
  <c r="S107" i="6"/>
  <c r="AK107" i="6"/>
  <c r="BC107" i="6"/>
  <c r="BU107" i="6"/>
  <c r="CG107" i="6"/>
  <c r="CI107" i="6"/>
  <c r="CI111" i="6" s="1"/>
  <c r="CK107" i="6"/>
  <c r="CK111" i="6" s="1"/>
  <c r="CM107" i="6"/>
  <c r="CM111" i="6" s="1"/>
  <c r="CY107" i="6"/>
  <c r="DA107" i="6"/>
  <c r="DA111" i="6" s="1"/>
  <c r="DC107" i="6"/>
  <c r="DC111" i="6" s="1"/>
  <c r="DE107" i="6"/>
  <c r="DE111" i="6" s="1"/>
  <c r="S112" i="6"/>
  <c r="AK112" i="6"/>
  <c r="BC112" i="6"/>
  <c r="BU112" i="6"/>
  <c r="CG112" i="6"/>
  <c r="CI112" i="6"/>
  <c r="CI116" i="6" s="1"/>
  <c r="CK112" i="6"/>
  <c r="CK116" i="6" s="1"/>
  <c r="CM112" i="6"/>
  <c r="CM116" i="6" s="1"/>
  <c r="CY112" i="6"/>
  <c r="DA112" i="6"/>
  <c r="DA116" i="6" s="1"/>
  <c r="DC112" i="6"/>
  <c r="DC116" i="6" s="1"/>
  <c r="DE112" i="6"/>
  <c r="DE116" i="6" s="1"/>
  <c r="S117" i="6"/>
  <c r="AK117" i="6"/>
  <c r="BC117" i="6"/>
  <c r="BU117" i="6"/>
  <c r="CG117" i="6"/>
  <c r="CI117" i="6"/>
  <c r="CI121" i="6" s="1"/>
  <c r="CK117" i="6"/>
  <c r="CK121" i="6" s="1"/>
  <c r="CM117" i="6"/>
  <c r="CM121" i="6" s="1"/>
  <c r="CY117" i="6"/>
  <c r="DA117" i="6"/>
  <c r="DA121" i="6" s="1"/>
  <c r="DC117" i="6"/>
  <c r="DC121" i="6" s="1"/>
  <c r="DE117" i="6"/>
  <c r="DE121" i="6" s="1"/>
  <c r="S122" i="6"/>
  <c r="AK122" i="6"/>
  <c r="BC122" i="6"/>
  <c r="BU122" i="6"/>
  <c r="CG122" i="6"/>
  <c r="CI122" i="6"/>
  <c r="CI126" i="6" s="1"/>
  <c r="CK122" i="6"/>
  <c r="CK126" i="6" s="1"/>
  <c r="CM122" i="6"/>
  <c r="CM126" i="6" s="1"/>
  <c r="CY122" i="6"/>
  <c r="DA122" i="6"/>
  <c r="DA126" i="6" s="1"/>
  <c r="DC122" i="6"/>
  <c r="DC126" i="6" s="1"/>
  <c r="DE122" i="6"/>
  <c r="DE126" i="6" s="1"/>
  <c r="S127" i="6"/>
  <c r="AK127" i="6"/>
  <c r="BC127" i="6"/>
  <c r="BU127" i="6"/>
  <c r="CG127" i="6"/>
  <c r="CI127" i="6"/>
  <c r="CI131" i="6" s="1"/>
  <c r="CK127" i="6"/>
  <c r="CK131" i="6" s="1"/>
  <c r="CM127" i="6"/>
  <c r="CM131" i="6" s="1"/>
  <c r="CY127" i="6"/>
  <c r="DA127" i="6"/>
  <c r="DA131" i="6" s="1"/>
  <c r="DC127" i="6"/>
  <c r="DC131" i="6" s="1"/>
  <c r="DE127" i="6"/>
  <c r="DE131" i="6" s="1"/>
  <c r="S12" i="7"/>
  <c r="AK12" i="7"/>
  <c r="BC12" i="7"/>
  <c r="BU12" i="7"/>
  <c r="CG12" i="7"/>
  <c r="CI12" i="7"/>
  <c r="CI16" i="7" s="1"/>
  <c r="CK12" i="7"/>
  <c r="CK16" i="7" s="1"/>
  <c r="CM12" i="7"/>
  <c r="CM16" i="7" s="1"/>
  <c r="CY12" i="7"/>
  <c r="DA12" i="7"/>
  <c r="DA16" i="7" s="1"/>
  <c r="DC12" i="7"/>
  <c r="DC16" i="7" s="1"/>
  <c r="DE12" i="7"/>
  <c r="DE16" i="7" s="1"/>
  <c r="S17" i="7"/>
  <c r="AK17" i="7"/>
  <c r="BC17" i="7"/>
  <c r="BU17" i="7"/>
  <c r="CG17" i="7"/>
  <c r="CI17" i="7"/>
  <c r="CI21" i="7" s="1"/>
  <c r="CK17" i="7"/>
  <c r="CK21" i="7" s="1"/>
  <c r="CM17" i="7"/>
  <c r="CM21" i="7" s="1"/>
  <c r="CY17" i="7"/>
  <c r="DA17" i="7"/>
  <c r="DA21" i="7" s="1"/>
  <c r="DC17" i="7"/>
  <c r="DC21" i="7" s="1"/>
  <c r="DE17" i="7"/>
  <c r="DE21" i="7" s="1"/>
  <c r="S22" i="7"/>
  <c r="AK22" i="7"/>
  <c r="BC22" i="7"/>
  <c r="BU22" i="7"/>
  <c r="CG22" i="7"/>
  <c r="CI22" i="7"/>
  <c r="CI26" i="7" s="1"/>
  <c r="CK22" i="7"/>
  <c r="CK26" i="7" s="1"/>
  <c r="CM22" i="7"/>
  <c r="CM26" i="7" s="1"/>
  <c r="CY22" i="7"/>
  <c r="DA22" i="7"/>
  <c r="DA26" i="7" s="1"/>
  <c r="DC22" i="7"/>
  <c r="DC26" i="7" s="1"/>
  <c r="DE22" i="7"/>
  <c r="DE26" i="7" s="1"/>
  <c r="S27" i="7"/>
  <c r="AK27" i="7"/>
  <c r="BC27" i="7"/>
  <c r="BU27" i="7"/>
  <c r="CG27" i="7"/>
  <c r="CI27" i="7"/>
  <c r="CI31" i="7" s="1"/>
  <c r="CK27" i="7"/>
  <c r="CK31" i="7" s="1"/>
  <c r="CM27" i="7"/>
  <c r="CM31" i="7" s="1"/>
  <c r="CY27" i="7"/>
  <c r="DA27" i="7"/>
  <c r="DA31" i="7" s="1"/>
  <c r="DC27" i="7"/>
  <c r="DC31" i="7" s="1"/>
  <c r="DE27" i="7"/>
  <c r="DE31" i="7" s="1"/>
  <c r="S32" i="7"/>
  <c r="AK32" i="7"/>
  <c r="BC32" i="7"/>
  <c r="BU32" i="7"/>
  <c r="CG32" i="7"/>
  <c r="CI32" i="7"/>
  <c r="CI36" i="7" s="1"/>
  <c r="CK32" i="7"/>
  <c r="CK36" i="7" s="1"/>
  <c r="CM32" i="7"/>
  <c r="CM36" i="7" s="1"/>
  <c r="CY32" i="7"/>
  <c r="DA32" i="7"/>
  <c r="DA36" i="7" s="1"/>
  <c r="DC32" i="7"/>
  <c r="DC36" i="7" s="1"/>
  <c r="DE32" i="7"/>
  <c r="DE36" i="7" s="1"/>
  <c r="S37" i="7"/>
  <c r="AK37" i="7"/>
  <c r="BC37" i="7"/>
  <c r="BU37" i="7"/>
  <c r="CG37" i="7"/>
  <c r="CI37" i="7"/>
  <c r="CI41" i="7" s="1"/>
  <c r="CK37" i="7"/>
  <c r="CK41" i="7" s="1"/>
  <c r="CM37" i="7"/>
  <c r="CM41" i="7" s="1"/>
  <c r="CY37" i="7"/>
  <c r="DA37" i="7"/>
  <c r="DA41" i="7" s="1"/>
  <c r="DC37" i="7"/>
  <c r="DC41" i="7" s="1"/>
  <c r="DE37" i="7"/>
  <c r="DE41" i="7" s="1"/>
  <c r="S42" i="7"/>
  <c r="AK42" i="7"/>
  <c r="BC42" i="7"/>
  <c r="BU42" i="7"/>
  <c r="CG42" i="7"/>
  <c r="CI42" i="7"/>
  <c r="CI46" i="7" s="1"/>
  <c r="CK42" i="7"/>
  <c r="CK46" i="7" s="1"/>
  <c r="CM42" i="7"/>
  <c r="CM46" i="7" s="1"/>
  <c r="CY42" i="7"/>
  <c r="DA42" i="7"/>
  <c r="DA46" i="7" s="1"/>
  <c r="DC42" i="7"/>
  <c r="DC46" i="7" s="1"/>
  <c r="DE42" i="7"/>
  <c r="DE46" i="7" s="1"/>
  <c r="S47" i="7"/>
  <c r="BC47" i="7"/>
  <c r="CG47" i="7"/>
  <c r="CK47" i="7"/>
  <c r="CK51" i="7" s="1"/>
  <c r="DA47" i="7"/>
  <c r="DA51" i="7" s="1"/>
  <c r="DE47" i="7"/>
  <c r="DE51" i="7" s="1"/>
  <c r="CG48" i="7"/>
  <c r="CO48" i="7" s="1"/>
  <c r="CG49" i="7"/>
  <c r="CO49" i="7" s="1"/>
  <c r="CG50" i="7"/>
  <c r="CO50" i="7" s="1"/>
  <c r="AK56" i="7"/>
  <c r="BU56" i="7"/>
  <c r="AK61" i="7"/>
  <c r="BU61" i="7"/>
  <c r="AK66" i="7"/>
  <c r="BU66" i="7"/>
  <c r="AK71" i="7"/>
  <c r="BU71" i="7"/>
  <c r="AK76" i="7"/>
  <c r="BU76" i="7"/>
  <c r="AK81" i="7"/>
  <c r="BU81" i="7"/>
  <c r="AK86" i="7"/>
  <c r="BU86" i="7"/>
  <c r="AK91" i="7"/>
  <c r="BU91" i="7"/>
  <c r="AK96" i="7"/>
  <c r="BU96" i="7"/>
  <c r="AK101" i="7"/>
  <c r="BU101" i="7"/>
  <c r="AK106" i="7"/>
  <c r="BU106" i="7"/>
  <c r="AK111" i="7"/>
  <c r="BU111" i="7"/>
  <c r="AK116" i="7"/>
  <c r="BU116" i="7"/>
  <c r="AK121" i="7"/>
  <c r="BU121" i="7"/>
  <c r="AK126" i="7"/>
  <c r="BU126" i="7"/>
  <c r="AK131" i="7"/>
  <c r="BU131" i="7"/>
  <c r="CH122" i="5"/>
  <c r="CJ122" i="5"/>
  <c r="CJ126" i="5" s="1"/>
  <c r="CL122" i="5"/>
  <c r="CL126" i="5" s="1"/>
  <c r="CN122" i="5"/>
  <c r="CN126" i="5" s="1"/>
  <c r="CP122" i="5"/>
  <c r="CZ122" i="5"/>
  <c r="DB122" i="5"/>
  <c r="DB126" i="5" s="1"/>
  <c r="DD122" i="5"/>
  <c r="DD126" i="5" s="1"/>
  <c r="DF122" i="5"/>
  <c r="DF126" i="5" s="1"/>
  <c r="DH122" i="5"/>
  <c r="CH123" i="5"/>
  <c r="CO123" i="5" s="1"/>
  <c r="CZ123" i="5"/>
  <c r="DG123" i="5" s="1"/>
  <c r="CH124" i="5"/>
  <c r="CO124" i="5" s="1"/>
  <c r="CZ124" i="5"/>
  <c r="DG124" i="5" s="1"/>
  <c r="CH125" i="5"/>
  <c r="CO125" i="5" s="1"/>
  <c r="CZ125" i="5"/>
  <c r="DG125" i="5" s="1"/>
  <c r="CH127" i="5"/>
  <c r="CJ127" i="5"/>
  <c r="CJ131" i="5" s="1"/>
  <c r="CL127" i="5"/>
  <c r="CL131" i="5" s="1"/>
  <c r="CN127" i="5"/>
  <c r="CN131" i="5" s="1"/>
  <c r="CP127" i="5"/>
  <c r="CZ127" i="5"/>
  <c r="DB127" i="5"/>
  <c r="DB131" i="5" s="1"/>
  <c r="DD127" i="5"/>
  <c r="DD131" i="5" s="1"/>
  <c r="DF127" i="5"/>
  <c r="DF131" i="5" s="1"/>
  <c r="DH127" i="5"/>
  <c r="CH128" i="5"/>
  <c r="CO128" i="5" s="1"/>
  <c r="CZ128" i="5"/>
  <c r="DG128" i="5" s="1"/>
  <c r="CH129" i="5"/>
  <c r="CO129" i="5" s="1"/>
  <c r="CZ129" i="5"/>
  <c r="DG129" i="5" s="1"/>
  <c r="CH130" i="5"/>
  <c r="CO130" i="5" s="1"/>
  <c r="CZ130" i="5"/>
  <c r="DG130" i="5" s="1"/>
  <c r="CH12" i="6"/>
  <c r="CJ12" i="6"/>
  <c r="CJ16" i="6" s="1"/>
  <c r="CL12" i="6"/>
  <c r="CL16" i="6" s="1"/>
  <c r="CN12" i="6"/>
  <c r="CN16" i="6" s="1"/>
  <c r="CP12" i="6"/>
  <c r="CZ12" i="6"/>
  <c r="DB12" i="6"/>
  <c r="DB16" i="6" s="1"/>
  <c r="DD12" i="6"/>
  <c r="DD16" i="6" s="1"/>
  <c r="DF12" i="6"/>
  <c r="DF16" i="6" s="1"/>
  <c r="DH12" i="6"/>
  <c r="CH13" i="6"/>
  <c r="CO13" i="6" s="1"/>
  <c r="CZ13" i="6"/>
  <c r="DG13" i="6" s="1"/>
  <c r="CH14" i="6"/>
  <c r="CO14" i="6" s="1"/>
  <c r="CZ14" i="6"/>
  <c r="DG14" i="6" s="1"/>
  <c r="CH15" i="6"/>
  <c r="CO15" i="6" s="1"/>
  <c r="CZ15" i="6"/>
  <c r="DG15" i="6" s="1"/>
  <c r="T16" i="6"/>
  <c r="T133" i="6" s="1"/>
  <c r="AL16" i="6"/>
  <c r="AL133" i="6" s="1"/>
  <c r="BD16" i="6"/>
  <c r="BD133" i="6" s="1"/>
  <c r="BV16" i="6"/>
  <c r="BV133" i="6" s="1"/>
  <c r="CH17" i="6"/>
  <c r="CJ17" i="6"/>
  <c r="CJ21" i="6" s="1"/>
  <c r="CL17" i="6"/>
  <c r="CL21" i="6" s="1"/>
  <c r="CN17" i="6"/>
  <c r="CN21" i="6" s="1"/>
  <c r="CP17" i="6"/>
  <c r="CZ17" i="6"/>
  <c r="DB17" i="6"/>
  <c r="DB21" i="6" s="1"/>
  <c r="DD17" i="6"/>
  <c r="DD21" i="6" s="1"/>
  <c r="DF17" i="6"/>
  <c r="DF21" i="6" s="1"/>
  <c r="DH17" i="6"/>
  <c r="CH18" i="6"/>
  <c r="CO18" i="6" s="1"/>
  <c r="CZ18" i="6"/>
  <c r="DG18" i="6" s="1"/>
  <c r="CH19" i="6"/>
  <c r="CO19" i="6" s="1"/>
  <c r="CZ19" i="6"/>
  <c r="DG19" i="6" s="1"/>
  <c r="CH20" i="6"/>
  <c r="CO20" i="6" s="1"/>
  <c r="CZ20" i="6"/>
  <c r="DG20" i="6" s="1"/>
  <c r="CH22" i="6"/>
  <c r="CJ22" i="6"/>
  <c r="CJ26" i="6" s="1"/>
  <c r="CL22" i="6"/>
  <c r="CL26" i="6" s="1"/>
  <c r="CN22" i="6"/>
  <c r="CN26" i="6" s="1"/>
  <c r="CP22" i="6"/>
  <c r="CZ22" i="6"/>
  <c r="DB22" i="6"/>
  <c r="DB26" i="6" s="1"/>
  <c r="DD22" i="6"/>
  <c r="DD26" i="6" s="1"/>
  <c r="DF22" i="6"/>
  <c r="DF26" i="6" s="1"/>
  <c r="DH22" i="6"/>
  <c r="CH23" i="6"/>
  <c r="CO23" i="6" s="1"/>
  <c r="CZ23" i="6"/>
  <c r="DG23" i="6" s="1"/>
  <c r="CH24" i="6"/>
  <c r="CO24" i="6" s="1"/>
  <c r="CZ24" i="6"/>
  <c r="DG24" i="6" s="1"/>
  <c r="CH25" i="6"/>
  <c r="CO25" i="6" s="1"/>
  <c r="CZ25" i="6"/>
  <c r="DG25" i="6" s="1"/>
  <c r="CH27" i="6"/>
  <c r="CJ27" i="6"/>
  <c r="CJ31" i="6" s="1"/>
  <c r="CL27" i="6"/>
  <c r="CL31" i="6" s="1"/>
  <c r="CN27" i="6"/>
  <c r="CN31" i="6" s="1"/>
  <c r="CP27" i="6"/>
  <c r="CZ27" i="6"/>
  <c r="DB27" i="6"/>
  <c r="DB31" i="6" s="1"/>
  <c r="DD27" i="6"/>
  <c r="DD31" i="6" s="1"/>
  <c r="DF27" i="6"/>
  <c r="DF31" i="6" s="1"/>
  <c r="DH27" i="6"/>
  <c r="CH28" i="6"/>
  <c r="CO28" i="6" s="1"/>
  <c r="CZ28" i="6"/>
  <c r="DG28" i="6" s="1"/>
  <c r="CH29" i="6"/>
  <c r="CO29" i="6" s="1"/>
  <c r="CZ29" i="6"/>
  <c r="DG29" i="6" s="1"/>
  <c r="CH30" i="6"/>
  <c r="CO30" i="6" s="1"/>
  <c r="CZ30" i="6"/>
  <c r="DG30" i="6" s="1"/>
  <c r="CH32" i="6"/>
  <c r="CJ32" i="6"/>
  <c r="CJ36" i="6" s="1"/>
  <c r="CL32" i="6"/>
  <c r="CL36" i="6" s="1"/>
  <c r="CN32" i="6"/>
  <c r="CN36" i="6" s="1"/>
  <c r="CP32" i="6"/>
  <c r="CZ32" i="6"/>
  <c r="DB32" i="6"/>
  <c r="DB36" i="6" s="1"/>
  <c r="DD32" i="6"/>
  <c r="DD36" i="6" s="1"/>
  <c r="DF32" i="6"/>
  <c r="DF36" i="6" s="1"/>
  <c r="DH32" i="6"/>
  <c r="CH33" i="6"/>
  <c r="CO33" i="6" s="1"/>
  <c r="CZ33" i="6"/>
  <c r="DG33" i="6" s="1"/>
  <c r="CH34" i="6"/>
  <c r="CO34" i="6" s="1"/>
  <c r="CZ34" i="6"/>
  <c r="DG34" i="6" s="1"/>
  <c r="CH35" i="6"/>
  <c r="CO35" i="6" s="1"/>
  <c r="CZ35" i="6"/>
  <c r="DG35" i="6" s="1"/>
  <c r="CH37" i="6"/>
  <c r="CJ37" i="6"/>
  <c r="CJ41" i="6" s="1"/>
  <c r="CL37" i="6"/>
  <c r="CL41" i="6" s="1"/>
  <c r="CN37" i="6"/>
  <c r="CN41" i="6" s="1"/>
  <c r="CP37" i="6"/>
  <c r="CZ37" i="6"/>
  <c r="DB37" i="6"/>
  <c r="DB41" i="6" s="1"/>
  <c r="DD37" i="6"/>
  <c r="DD41" i="6" s="1"/>
  <c r="DF37" i="6"/>
  <c r="DF41" i="6" s="1"/>
  <c r="DH37" i="6"/>
  <c r="CH38" i="6"/>
  <c r="CO38" i="6" s="1"/>
  <c r="CZ38" i="6"/>
  <c r="DG38" i="6" s="1"/>
  <c r="CH39" i="6"/>
  <c r="CO39" i="6" s="1"/>
  <c r="CZ39" i="6"/>
  <c r="DG39" i="6" s="1"/>
  <c r="CH40" i="6"/>
  <c r="CO40" i="6" s="1"/>
  <c r="CZ40" i="6"/>
  <c r="DG40" i="6" s="1"/>
  <c r="CH42" i="6"/>
  <c r="CJ42" i="6"/>
  <c r="CJ46" i="6" s="1"/>
  <c r="CL42" i="6"/>
  <c r="CL46" i="6" s="1"/>
  <c r="CN42" i="6"/>
  <c r="CN46" i="6" s="1"/>
  <c r="CP42" i="6"/>
  <c r="CZ42" i="6"/>
  <c r="DB42" i="6"/>
  <c r="DB46" i="6" s="1"/>
  <c r="DD42" i="6"/>
  <c r="DD46" i="6" s="1"/>
  <c r="DF42" i="6"/>
  <c r="DF46" i="6" s="1"/>
  <c r="DH42" i="6"/>
  <c r="CH43" i="6"/>
  <c r="CO43" i="6" s="1"/>
  <c r="CZ43" i="6"/>
  <c r="DG43" i="6" s="1"/>
  <c r="CH44" i="6"/>
  <c r="CO44" i="6" s="1"/>
  <c r="CZ44" i="6"/>
  <c r="DG44" i="6" s="1"/>
  <c r="CH45" i="6"/>
  <c r="CO45" i="6" s="1"/>
  <c r="CZ45" i="6"/>
  <c r="DG45" i="6" s="1"/>
  <c r="CH47" i="6"/>
  <c r="CJ47" i="6"/>
  <c r="CJ51" i="6" s="1"/>
  <c r="CL47" i="6"/>
  <c r="CL51" i="6" s="1"/>
  <c r="CN47" i="6"/>
  <c r="CN51" i="6" s="1"/>
  <c r="CP47" i="6"/>
  <c r="CZ47" i="6"/>
  <c r="DB47" i="6"/>
  <c r="DB51" i="6" s="1"/>
  <c r="DD47" i="6"/>
  <c r="DD51" i="6" s="1"/>
  <c r="DF47" i="6"/>
  <c r="DF51" i="6" s="1"/>
  <c r="DH47" i="6"/>
  <c r="CH48" i="6"/>
  <c r="CO48" i="6" s="1"/>
  <c r="CZ48" i="6"/>
  <c r="DG48" i="6" s="1"/>
  <c r="CH49" i="6"/>
  <c r="CO49" i="6" s="1"/>
  <c r="CZ49" i="6"/>
  <c r="DG49" i="6" s="1"/>
  <c r="CH50" i="6"/>
  <c r="CO50" i="6" s="1"/>
  <c r="CZ50" i="6"/>
  <c r="DG50" i="6" s="1"/>
  <c r="CH52" i="6"/>
  <c r="CJ52" i="6"/>
  <c r="CJ56" i="6" s="1"/>
  <c r="CL52" i="6"/>
  <c r="CL56" i="6" s="1"/>
  <c r="CN52" i="6"/>
  <c r="CN56" i="6" s="1"/>
  <c r="CP52" i="6"/>
  <c r="CZ52" i="6"/>
  <c r="DB52" i="6"/>
  <c r="DB56" i="6" s="1"/>
  <c r="DD52" i="6"/>
  <c r="DD56" i="6" s="1"/>
  <c r="DF52" i="6"/>
  <c r="DF56" i="6" s="1"/>
  <c r="DH52" i="6"/>
  <c r="CH53" i="6"/>
  <c r="CO53" i="6" s="1"/>
  <c r="CZ53" i="6"/>
  <c r="DG53" i="6" s="1"/>
  <c r="CH54" i="6"/>
  <c r="CO54" i="6" s="1"/>
  <c r="CZ54" i="6"/>
  <c r="DG54" i="6" s="1"/>
  <c r="CH55" i="6"/>
  <c r="CO55" i="6" s="1"/>
  <c r="CZ55" i="6"/>
  <c r="DG55" i="6" s="1"/>
  <c r="CH57" i="6"/>
  <c r="CJ57" i="6"/>
  <c r="CJ61" i="6" s="1"/>
  <c r="CL57" i="6"/>
  <c r="CL61" i="6" s="1"/>
  <c r="CN57" i="6"/>
  <c r="CN61" i="6" s="1"/>
  <c r="CP57" i="6"/>
  <c r="CZ57" i="6"/>
  <c r="DB57" i="6"/>
  <c r="DB61" i="6" s="1"/>
  <c r="DD57" i="6"/>
  <c r="DD61" i="6" s="1"/>
  <c r="DF57" i="6"/>
  <c r="DF61" i="6" s="1"/>
  <c r="DH57" i="6"/>
  <c r="CH58" i="6"/>
  <c r="CO58" i="6" s="1"/>
  <c r="CZ58" i="6"/>
  <c r="DG58" i="6" s="1"/>
  <c r="CH59" i="6"/>
  <c r="CO59" i="6" s="1"/>
  <c r="CZ59" i="6"/>
  <c r="DG59" i="6" s="1"/>
  <c r="CH60" i="6"/>
  <c r="CO60" i="6" s="1"/>
  <c r="CZ60" i="6"/>
  <c r="DG60" i="6" s="1"/>
  <c r="CH62" i="6"/>
  <c r="CJ62" i="6"/>
  <c r="CJ66" i="6" s="1"/>
  <c r="CL62" i="6"/>
  <c r="CL66" i="6" s="1"/>
  <c r="CN62" i="6"/>
  <c r="CN66" i="6" s="1"/>
  <c r="CP62" i="6"/>
  <c r="CZ62" i="6"/>
  <c r="DB62" i="6"/>
  <c r="DB66" i="6" s="1"/>
  <c r="DD62" i="6"/>
  <c r="DD66" i="6" s="1"/>
  <c r="DF62" i="6"/>
  <c r="DF66" i="6" s="1"/>
  <c r="DH62" i="6"/>
  <c r="CH63" i="6"/>
  <c r="CO63" i="6" s="1"/>
  <c r="CZ63" i="6"/>
  <c r="DG63" i="6" s="1"/>
  <c r="CH64" i="6"/>
  <c r="CO64" i="6" s="1"/>
  <c r="CZ64" i="6"/>
  <c r="DG64" i="6" s="1"/>
  <c r="CH65" i="6"/>
  <c r="CO65" i="6" s="1"/>
  <c r="CZ65" i="6"/>
  <c r="DG65" i="6" s="1"/>
  <c r="CH67" i="6"/>
  <c r="CJ67" i="6"/>
  <c r="CJ71" i="6" s="1"/>
  <c r="CL67" i="6"/>
  <c r="CL71" i="6" s="1"/>
  <c r="CN67" i="6"/>
  <c r="CN71" i="6" s="1"/>
  <c r="CP67" i="6"/>
  <c r="CZ67" i="6"/>
  <c r="DB67" i="6"/>
  <c r="DB71" i="6" s="1"/>
  <c r="DD67" i="6"/>
  <c r="DD71" i="6" s="1"/>
  <c r="DF67" i="6"/>
  <c r="DF71" i="6" s="1"/>
  <c r="DH67" i="6"/>
  <c r="CH68" i="6"/>
  <c r="CO68" i="6" s="1"/>
  <c r="CZ68" i="6"/>
  <c r="DG68" i="6" s="1"/>
  <c r="CH69" i="6"/>
  <c r="CO69" i="6" s="1"/>
  <c r="CZ69" i="6"/>
  <c r="DG69" i="6" s="1"/>
  <c r="CH70" i="6"/>
  <c r="CO70" i="6" s="1"/>
  <c r="CZ70" i="6"/>
  <c r="DG70" i="6" s="1"/>
  <c r="CH72" i="6"/>
  <c r="CJ72" i="6"/>
  <c r="CJ76" i="6" s="1"/>
  <c r="CL72" i="6"/>
  <c r="CL76" i="6" s="1"/>
  <c r="CN72" i="6"/>
  <c r="CN76" i="6" s="1"/>
  <c r="CP72" i="6"/>
  <c r="CZ72" i="6"/>
  <c r="DB72" i="6"/>
  <c r="DB76" i="6" s="1"/>
  <c r="DD72" i="6"/>
  <c r="DD76" i="6" s="1"/>
  <c r="DF72" i="6"/>
  <c r="DF76" i="6" s="1"/>
  <c r="DH72" i="6"/>
  <c r="CH73" i="6"/>
  <c r="CO73" i="6" s="1"/>
  <c r="CZ73" i="6"/>
  <c r="DG73" i="6" s="1"/>
  <c r="CH74" i="6"/>
  <c r="CO74" i="6" s="1"/>
  <c r="CZ74" i="6"/>
  <c r="DG74" i="6" s="1"/>
  <c r="CH75" i="6"/>
  <c r="CO75" i="6" s="1"/>
  <c r="CZ75" i="6"/>
  <c r="DG75" i="6" s="1"/>
  <c r="CH77" i="6"/>
  <c r="CJ77" i="6"/>
  <c r="CJ81" i="6" s="1"/>
  <c r="CL77" i="6"/>
  <c r="CL81" i="6" s="1"/>
  <c r="CN77" i="6"/>
  <c r="CN81" i="6" s="1"/>
  <c r="CP77" i="6"/>
  <c r="CZ77" i="6"/>
  <c r="DB77" i="6"/>
  <c r="DB81" i="6" s="1"/>
  <c r="DD77" i="6"/>
  <c r="DD81" i="6" s="1"/>
  <c r="DF77" i="6"/>
  <c r="DF81" i="6" s="1"/>
  <c r="DH77" i="6"/>
  <c r="CH78" i="6"/>
  <c r="CO78" i="6" s="1"/>
  <c r="CZ78" i="6"/>
  <c r="DG78" i="6" s="1"/>
  <c r="CH79" i="6"/>
  <c r="CO79" i="6" s="1"/>
  <c r="CZ79" i="6"/>
  <c r="DG79" i="6" s="1"/>
  <c r="CH80" i="6"/>
  <c r="CO80" i="6" s="1"/>
  <c r="CZ80" i="6"/>
  <c r="DG80" i="6" s="1"/>
  <c r="CH82" i="6"/>
  <c r="CJ82" i="6"/>
  <c r="CJ86" i="6" s="1"/>
  <c r="CL82" i="6"/>
  <c r="CL86" i="6" s="1"/>
  <c r="CN82" i="6"/>
  <c r="CN86" i="6" s="1"/>
  <c r="CP82" i="6"/>
  <c r="CZ82" i="6"/>
  <c r="DB82" i="6"/>
  <c r="DB86" i="6" s="1"/>
  <c r="DD82" i="6"/>
  <c r="DD86" i="6" s="1"/>
  <c r="DF82" i="6"/>
  <c r="DF86" i="6" s="1"/>
  <c r="DH82" i="6"/>
  <c r="CH83" i="6"/>
  <c r="CO83" i="6" s="1"/>
  <c r="CZ83" i="6"/>
  <c r="DG83" i="6" s="1"/>
  <c r="CH84" i="6"/>
  <c r="CO84" i="6" s="1"/>
  <c r="CZ84" i="6"/>
  <c r="DG84" i="6" s="1"/>
  <c r="CH85" i="6"/>
  <c r="CO85" i="6" s="1"/>
  <c r="CZ85" i="6"/>
  <c r="DG85" i="6" s="1"/>
  <c r="CH87" i="6"/>
  <c r="CJ87" i="6"/>
  <c r="CJ91" i="6" s="1"/>
  <c r="CL87" i="6"/>
  <c r="CL91" i="6" s="1"/>
  <c r="CN87" i="6"/>
  <c r="CN91" i="6" s="1"/>
  <c r="CP87" i="6"/>
  <c r="CZ87" i="6"/>
  <c r="DB87" i="6"/>
  <c r="DB91" i="6" s="1"/>
  <c r="DD87" i="6"/>
  <c r="DD91" i="6" s="1"/>
  <c r="DF87" i="6"/>
  <c r="DF91" i="6" s="1"/>
  <c r="DH87" i="6"/>
  <c r="CH88" i="6"/>
  <c r="CO88" i="6" s="1"/>
  <c r="CZ88" i="6"/>
  <c r="DG88" i="6" s="1"/>
  <c r="CH89" i="6"/>
  <c r="CO89" i="6" s="1"/>
  <c r="CZ89" i="6"/>
  <c r="DG89" i="6" s="1"/>
  <c r="CH90" i="6"/>
  <c r="CO90" i="6" s="1"/>
  <c r="CZ90" i="6"/>
  <c r="DG90" i="6" s="1"/>
  <c r="CH92" i="6"/>
  <c r="CJ92" i="6"/>
  <c r="CJ96" i="6" s="1"/>
  <c r="CL92" i="6"/>
  <c r="CL96" i="6" s="1"/>
  <c r="CN92" i="6"/>
  <c r="CN96" i="6" s="1"/>
  <c r="CP92" i="6"/>
  <c r="CZ92" i="6"/>
  <c r="DB92" i="6"/>
  <c r="DB96" i="6" s="1"/>
  <c r="DD92" i="6"/>
  <c r="DD96" i="6" s="1"/>
  <c r="DF92" i="6"/>
  <c r="DF96" i="6" s="1"/>
  <c r="DH92" i="6"/>
  <c r="CH93" i="6"/>
  <c r="CO93" i="6" s="1"/>
  <c r="CZ93" i="6"/>
  <c r="DG93" i="6" s="1"/>
  <c r="CH94" i="6"/>
  <c r="CO94" i="6" s="1"/>
  <c r="CZ94" i="6"/>
  <c r="DG94" i="6" s="1"/>
  <c r="CH95" i="6"/>
  <c r="CO95" i="6" s="1"/>
  <c r="CZ95" i="6"/>
  <c r="DG95" i="6" s="1"/>
  <c r="CH97" i="6"/>
  <c r="CJ97" i="6"/>
  <c r="CJ101" i="6" s="1"/>
  <c r="CL97" i="6"/>
  <c r="CL101" i="6" s="1"/>
  <c r="CN97" i="6"/>
  <c r="CN101" i="6" s="1"/>
  <c r="CP97" i="6"/>
  <c r="CZ97" i="6"/>
  <c r="DB97" i="6"/>
  <c r="DB101" i="6" s="1"/>
  <c r="DD97" i="6"/>
  <c r="DD101" i="6" s="1"/>
  <c r="DF97" i="6"/>
  <c r="DF101" i="6" s="1"/>
  <c r="DH97" i="6"/>
  <c r="CH98" i="6"/>
  <c r="CO98" i="6" s="1"/>
  <c r="CZ98" i="6"/>
  <c r="DG98" i="6" s="1"/>
  <c r="CH99" i="6"/>
  <c r="CO99" i="6" s="1"/>
  <c r="CZ99" i="6"/>
  <c r="DG99" i="6" s="1"/>
  <c r="CH100" i="6"/>
  <c r="CO100" i="6" s="1"/>
  <c r="CZ100" i="6"/>
  <c r="DG100" i="6" s="1"/>
  <c r="CH102" i="6"/>
  <c r="CJ102" i="6"/>
  <c r="CJ106" i="6" s="1"/>
  <c r="CL102" i="6"/>
  <c r="CL106" i="6" s="1"/>
  <c r="CN102" i="6"/>
  <c r="CN106" i="6" s="1"/>
  <c r="CP102" i="6"/>
  <c r="CZ102" i="6"/>
  <c r="DB102" i="6"/>
  <c r="DB106" i="6" s="1"/>
  <c r="DD102" i="6"/>
  <c r="DD106" i="6" s="1"/>
  <c r="DF102" i="6"/>
  <c r="DF106" i="6" s="1"/>
  <c r="DH102" i="6"/>
  <c r="CH103" i="6"/>
  <c r="CO103" i="6" s="1"/>
  <c r="CZ103" i="6"/>
  <c r="DG103" i="6" s="1"/>
  <c r="CH104" i="6"/>
  <c r="CO104" i="6" s="1"/>
  <c r="CZ104" i="6"/>
  <c r="DG104" i="6" s="1"/>
  <c r="CH105" i="6"/>
  <c r="CO105" i="6" s="1"/>
  <c r="CZ105" i="6"/>
  <c r="DG105" i="6" s="1"/>
  <c r="CH107" i="6"/>
  <c r="CJ107" i="6"/>
  <c r="CJ111" i="6" s="1"/>
  <c r="CL107" i="6"/>
  <c r="CL111" i="6" s="1"/>
  <c r="CN107" i="6"/>
  <c r="CN111" i="6" s="1"/>
  <c r="CP107" i="6"/>
  <c r="CZ107" i="6"/>
  <c r="DB107" i="6"/>
  <c r="DB111" i="6" s="1"/>
  <c r="DD107" i="6"/>
  <c r="DD111" i="6" s="1"/>
  <c r="DF107" i="6"/>
  <c r="DF111" i="6" s="1"/>
  <c r="DH107" i="6"/>
  <c r="CH108" i="6"/>
  <c r="CO108" i="6" s="1"/>
  <c r="CZ108" i="6"/>
  <c r="DG108" i="6" s="1"/>
  <c r="CH109" i="6"/>
  <c r="CO109" i="6" s="1"/>
  <c r="CZ109" i="6"/>
  <c r="DG109" i="6" s="1"/>
  <c r="CH110" i="6"/>
  <c r="CO110" i="6" s="1"/>
  <c r="CZ110" i="6"/>
  <c r="DG110" i="6" s="1"/>
  <c r="CH112" i="6"/>
  <c r="CJ112" i="6"/>
  <c r="CJ116" i="6" s="1"/>
  <c r="CL112" i="6"/>
  <c r="CL116" i="6" s="1"/>
  <c r="CN112" i="6"/>
  <c r="CN116" i="6" s="1"/>
  <c r="CP112" i="6"/>
  <c r="CZ112" i="6"/>
  <c r="DB112" i="6"/>
  <c r="DB116" i="6" s="1"/>
  <c r="DD112" i="6"/>
  <c r="DD116" i="6" s="1"/>
  <c r="DF112" i="6"/>
  <c r="DF116" i="6" s="1"/>
  <c r="DH112" i="6"/>
  <c r="CH113" i="6"/>
  <c r="CO113" i="6" s="1"/>
  <c r="CZ113" i="6"/>
  <c r="DG113" i="6" s="1"/>
  <c r="CH114" i="6"/>
  <c r="CO114" i="6" s="1"/>
  <c r="CZ114" i="6"/>
  <c r="DG114" i="6" s="1"/>
  <c r="CH115" i="6"/>
  <c r="CO115" i="6" s="1"/>
  <c r="CZ115" i="6"/>
  <c r="DG115" i="6" s="1"/>
  <c r="CH117" i="6"/>
  <c r="CJ117" i="6"/>
  <c r="CJ121" i="6" s="1"/>
  <c r="CL117" i="6"/>
  <c r="CL121" i="6" s="1"/>
  <c r="CN117" i="6"/>
  <c r="CN121" i="6" s="1"/>
  <c r="CP117" i="6"/>
  <c r="CZ117" i="6"/>
  <c r="DB117" i="6"/>
  <c r="DB121" i="6" s="1"/>
  <c r="DD117" i="6"/>
  <c r="DD121" i="6" s="1"/>
  <c r="DF117" i="6"/>
  <c r="DF121" i="6" s="1"/>
  <c r="DH117" i="6"/>
  <c r="CH118" i="6"/>
  <c r="CO118" i="6" s="1"/>
  <c r="CZ118" i="6"/>
  <c r="DG118" i="6" s="1"/>
  <c r="CH119" i="6"/>
  <c r="CO119" i="6" s="1"/>
  <c r="CZ119" i="6"/>
  <c r="DG119" i="6" s="1"/>
  <c r="CH120" i="6"/>
  <c r="CO120" i="6" s="1"/>
  <c r="CZ120" i="6"/>
  <c r="DG120" i="6" s="1"/>
  <c r="CH122" i="6"/>
  <c r="CJ122" i="6"/>
  <c r="CJ126" i="6" s="1"/>
  <c r="CL122" i="6"/>
  <c r="CL126" i="6" s="1"/>
  <c r="CN122" i="6"/>
  <c r="CN126" i="6" s="1"/>
  <c r="CP122" i="6"/>
  <c r="CZ122" i="6"/>
  <c r="DB122" i="6"/>
  <c r="DB126" i="6" s="1"/>
  <c r="DD122" i="6"/>
  <c r="DD126" i="6" s="1"/>
  <c r="DF122" i="6"/>
  <c r="DF126" i="6" s="1"/>
  <c r="DH122" i="6"/>
  <c r="CH123" i="6"/>
  <c r="CO123" i="6" s="1"/>
  <c r="CZ123" i="6"/>
  <c r="DG123" i="6" s="1"/>
  <c r="CH124" i="6"/>
  <c r="CO124" i="6" s="1"/>
  <c r="CZ124" i="6"/>
  <c r="DG124" i="6" s="1"/>
  <c r="CH125" i="6"/>
  <c r="CO125" i="6" s="1"/>
  <c r="CZ125" i="6"/>
  <c r="DG125" i="6" s="1"/>
  <c r="CH127" i="6"/>
  <c r="CJ127" i="6"/>
  <c r="CJ131" i="6" s="1"/>
  <c r="CL127" i="6"/>
  <c r="CL131" i="6" s="1"/>
  <c r="CN127" i="6"/>
  <c r="CN131" i="6" s="1"/>
  <c r="CP127" i="6"/>
  <c r="CZ127" i="6"/>
  <c r="DB127" i="6"/>
  <c r="DB131" i="6" s="1"/>
  <c r="DD127" i="6"/>
  <c r="DD131" i="6" s="1"/>
  <c r="DF127" i="6"/>
  <c r="DF131" i="6" s="1"/>
  <c r="DH127" i="6"/>
  <c r="CH128" i="6"/>
  <c r="CO128" i="6" s="1"/>
  <c r="CZ128" i="6"/>
  <c r="DG128" i="6" s="1"/>
  <c r="CH129" i="6"/>
  <c r="CO129" i="6" s="1"/>
  <c r="CZ129" i="6"/>
  <c r="DG129" i="6" s="1"/>
  <c r="CH130" i="6"/>
  <c r="CO130" i="6" s="1"/>
  <c r="CZ130" i="6"/>
  <c r="DG130" i="6" s="1"/>
  <c r="CH12" i="7"/>
  <c r="CJ12" i="7"/>
  <c r="CJ16" i="7" s="1"/>
  <c r="CL12" i="7"/>
  <c r="CL16" i="7" s="1"/>
  <c r="CN12" i="7"/>
  <c r="CN16" i="7" s="1"/>
  <c r="CP12" i="7"/>
  <c r="CZ12" i="7"/>
  <c r="DB12" i="7"/>
  <c r="DB16" i="7" s="1"/>
  <c r="DD12" i="7"/>
  <c r="DD16" i="7" s="1"/>
  <c r="DF12" i="7"/>
  <c r="DF16" i="7" s="1"/>
  <c r="DH12" i="7"/>
  <c r="CH13" i="7"/>
  <c r="CO13" i="7" s="1"/>
  <c r="CZ13" i="7"/>
  <c r="DG13" i="7" s="1"/>
  <c r="CH14" i="7"/>
  <c r="CO14" i="7" s="1"/>
  <c r="CZ14" i="7"/>
  <c r="DG14" i="7" s="1"/>
  <c r="CH15" i="7"/>
  <c r="CO15" i="7" s="1"/>
  <c r="CZ15" i="7"/>
  <c r="DG15" i="7" s="1"/>
  <c r="T16" i="7"/>
  <c r="T133" i="7" s="1"/>
  <c r="AL16" i="7"/>
  <c r="AL133" i="7" s="1"/>
  <c r="BD16" i="7"/>
  <c r="BD133" i="7" s="1"/>
  <c r="BV16" i="7"/>
  <c r="BV133" i="7" s="1"/>
  <c r="CH17" i="7"/>
  <c r="CJ17" i="7"/>
  <c r="CJ21" i="7" s="1"/>
  <c r="CL17" i="7"/>
  <c r="CL21" i="7" s="1"/>
  <c r="CN17" i="7"/>
  <c r="CN21" i="7" s="1"/>
  <c r="CP17" i="7"/>
  <c r="CZ17" i="7"/>
  <c r="DB17" i="7"/>
  <c r="DB21" i="7" s="1"/>
  <c r="DD17" i="7"/>
  <c r="DD21" i="7" s="1"/>
  <c r="DF17" i="7"/>
  <c r="DF21" i="7" s="1"/>
  <c r="DH17" i="7"/>
  <c r="CH18" i="7"/>
  <c r="CO18" i="7" s="1"/>
  <c r="CZ18" i="7"/>
  <c r="DG18" i="7" s="1"/>
  <c r="CH19" i="7"/>
  <c r="CO19" i="7" s="1"/>
  <c r="CZ19" i="7"/>
  <c r="DG19" i="7" s="1"/>
  <c r="CH20" i="7"/>
  <c r="CO20" i="7" s="1"/>
  <c r="CZ20" i="7"/>
  <c r="DG20" i="7" s="1"/>
  <c r="CH22" i="7"/>
  <c r="CJ22" i="7"/>
  <c r="CJ26" i="7" s="1"/>
  <c r="CL22" i="7"/>
  <c r="CL26" i="7" s="1"/>
  <c r="CN22" i="7"/>
  <c r="CN26" i="7" s="1"/>
  <c r="CP22" i="7"/>
  <c r="CZ22" i="7"/>
  <c r="DB22" i="7"/>
  <c r="DB26" i="7" s="1"/>
  <c r="DD22" i="7"/>
  <c r="DD26" i="7" s="1"/>
  <c r="DF22" i="7"/>
  <c r="DF26" i="7" s="1"/>
  <c r="DH22" i="7"/>
  <c r="CH23" i="7"/>
  <c r="CO23" i="7" s="1"/>
  <c r="CZ23" i="7"/>
  <c r="DG23" i="7" s="1"/>
  <c r="CH24" i="7"/>
  <c r="CO24" i="7" s="1"/>
  <c r="CZ24" i="7"/>
  <c r="DG24" i="7" s="1"/>
  <c r="CH25" i="7"/>
  <c r="CO25" i="7" s="1"/>
  <c r="CZ25" i="7"/>
  <c r="DG25" i="7" s="1"/>
  <c r="CH27" i="7"/>
  <c r="CJ27" i="7"/>
  <c r="CJ31" i="7" s="1"/>
  <c r="CL27" i="7"/>
  <c r="CL31" i="7" s="1"/>
  <c r="CN27" i="7"/>
  <c r="CN31" i="7" s="1"/>
  <c r="CP27" i="7"/>
  <c r="CZ27" i="7"/>
  <c r="DB27" i="7"/>
  <c r="DB31" i="7" s="1"/>
  <c r="DD27" i="7"/>
  <c r="DD31" i="7" s="1"/>
  <c r="DF27" i="7"/>
  <c r="DF31" i="7" s="1"/>
  <c r="DH27" i="7"/>
  <c r="CH28" i="7"/>
  <c r="CO28" i="7" s="1"/>
  <c r="CZ28" i="7"/>
  <c r="DG28" i="7" s="1"/>
  <c r="CH29" i="7"/>
  <c r="CO29" i="7" s="1"/>
  <c r="CZ29" i="7"/>
  <c r="DG29" i="7" s="1"/>
  <c r="CH30" i="7"/>
  <c r="CO30" i="7" s="1"/>
  <c r="CZ30" i="7"/>
  <c r="DG30" i="7" s="1"/>
  <c r="CH32" i="7"/>
  <c r="CJ32" i="7"/>
  <c r="CJ36" i="7" s="1"/>
  <c r="CL32" i="7"/>
  <c r="CL36" i="7" s="1"/>
  <c r="CN32" i="7"/>
  <c r="CN36" i="7" s="1"/>
  <c r="CP32" i="7"/>
  <c r="CZ32" i="7"/>
  <c r="DB32" i="7"/>
  <c r="DB36" i="7" s="1"/>
  <c r="DD32" i="7"/>
  <c r="DD36" i="7" s="1"/>
  <c r="DF32" i="7"/>
  <c r="DF36" i="7" s="1"/>
  <c r="DH32" i="7"/>
  <c r="CH33" i="7"/>
  <c r="CO33" i="7" s="1"/>
  <c r="CZ33" i="7"/>
  <c r="DG33" i="7" s="1"/>
  <c r="CH34" i="7"/>
  <c r="CO34" i="7" s="1"/>
  <c r="CZ34" i="7"/>
  <c r="DG34" i="7" s="1"/>
  <c r="CH35" i="7"/>
  <c r="CO35" i="7" s="1"/>
  <c r="CZ35" i="7"/>
  <c r="DG35" i="7" s="1"/>
  <c r="CH37" i="7"/>
  <c r="CJ37" i="7"/>
  <c r="CJ41" i="7" s="1"/>
  <c r="CL37" i="7"/>
  <c r="CL41" i="7" s="1"/>
  <c r="CN37" i="7"/>
  <c r="CN41" i="7" s="1"/>
  <c r="CP37" i="7"/>
  <c r="CZ37" i="7"/>
  <c r="DB37" i="7"/>
  <c r="DB41" i="7" s="1"/>
  <c r="DD37" i="7"/>
  <c r="DD41" i="7" s="1"/>
  <c r="DF37" i="7"/>
  <c r="DF41" i="7" s="1"/>
  <c r="DH37" i="7"/>
  <c r="CH38" i="7"/>
  <c r="CO38" i="7" s="1"/>
  <c r="CZ38" i="7"/>
  <c r="DG38" i="7" s="1"/>
  <c r="CH39" i="7"/>
  <c r="CO39" i="7" s="1"/>
  <c r="CZ39" i="7"/>
  <c r="DG39" i="7" s="1"/>
  <c r="CH40" i="7"/>
  <c r="CO40" i="7" s="1"/>
  <c r="CZ40" i="7"/>
  <c r="DG40" i="7" s="1"/>
  <c r="CH42" i="7"/>
  <c r="CJ42" i="7"/>
  <c r="CJ46" i="7" s="1"/>
  <c r="CL42" i="7"/>
  <c r="CL46" i="7" s="1"/>
  <c r="CN42" i="7"/>
  <c r="CN46" i="7" s="1"/>
  <c r="CP42" i="7"/>
  <c r="CZ42" i="7"/>
  <c r="DB42" i="7"/>
  <c r="DB46" i="7" s="1"/>
  <c r="DD42" i="7"/>
  <c r="DD46" i="7" s="1"/>
  <c r="DF42" i="7"/>
  <c r="DF46" i="7" s="1"/>
  <c r="DH42" i="7"/>
  <c r="CH43" i="7"/>
  <c r="CO43" i="7" s="1"/>
  <c r="CZ43" i="7"/>
  <c r="DG43" i="7" s="1"/>
  <c r="CH44" i="7"/>
  <c r="CO44" i="7" s="1"/>
  <c r="CZ44" i="7"/>
  <c r="DG44" i="7" s="1"/>
  <c r="CH45" i="7"/>
  <c r="CO45" i="7" s="1"/>
  <c r="CZ45" i="7"/>
  <c r="DG45" i="7" s="1"/>
  <c r="CH47" i="7"/>
  <c r="CH51" i="7" s="1"/>
  <c r="CJ47" i="7"/>
  <c r="CJ51" i="7" s="1"/>
  <c r="CL47" i="7"/>
  <c r="CL51" i="7" s="1"/>
  <c r="CN47" i="7"/>
  <c r="CN51" i="7" s="1"/>
  <c r="CP47" i="7"/>
  <c r="CZ47" i="7"/>
  <c r="CZ51" i="7" s="1"/>
  <c r="DB47" i="7"/>
  <c r="DB51" i="7" s="1"/>
  <c r="DD47" i="7"/>
  <c r="DD51" i="7" s="1"/>
  <c r="DF47" i="7"/>
  <c r="DF51" i="7" s="1"/>
  <c r="DH47" i="7"/>
  <c r="CY48" i="7"/>
  <c r="DC48" i="7"/>
  <c r="DC51" i="7" s="1"/>
  <c r="CY49" i="7"/>
  <c r="DG49" i="7" s="1"/>
  <c r="CY50" i="7"/>
  <c r="DG50" i="7" s="1"/>
  <c r="CQ51" i="7"/>
  <c r="DH51" i="7" s="1"/>
  <c r="S52" i="7"/>
  <c r="AK52" i="7"/>
  <c r="BC52" i="7"/>
  <c r="BU52" i="7"/>
  <c r="CG52" i="7"/>
  <c r="CI52" i="7"/>
  <c r="CI56" i="7" s="1"/>
  <c r="CK52" i="7"/>
  <c r="CK56" i="7" s="1"/>
  <c r="CM52" i="7"/>
  <c r="CM56" i="7" s="1"/>
  <c r="CY52" i="7"/>
  <c r="DA52" i="7"/>
  <c r="DA56" i="7" s="1"/>
  <c r="DC52" i="7"/>
  <c r="DC56" i="7" s="1"/>
  <c r="DE52" i="7"/>
  <c r="DE56" i="7" s="1"/>
  <c r="CG53" i="7"/>
  <c r="CO53" i="7" s="1"/>
  <c r="CY53" i="7"/>
  <c r="DG53" i="7" s="1"/>
  <c r="CG54" i="7"/>
  <c r="CO54" i="7" s="1"/>
  <c r="CY54" i="7"/>
  <c r="DG54" i="7" s="1"/>
  <c r="CG55" i="7"/>
  <c r="CO55" i="7" s="1"/>
  <c r="CY55" i="7"/>
  <c r="DG55" i="7" s="1"/>
  <c r="BY56" i="7"/>
  <c r="CP56" i="7" s="1"/>
  <c r="CQ56" i="7"/>
  <c r="DH56" i="7" s="1"/>
  <c r="S57" i="7"/>
  <c r="AK57" i="7"/>
  <c r="BC57" i="7"/>
  <c r="BU57" i="7"/>
  <c r="CG57" i="7"/>
  <c r="CI57" i="7"/>
  <c r="CI61" i="7" s="1"/>
  <c r="CK57" i="7"/>
  <c r="CK61" i="7" s="1"/>
  <c r="CM57" i="7"/>
  <c r="CM61" i="7" s="1"/>
  <c r="CY57" i="7"/>
  <c r="DA57" i="7"/>
  <c r="DA61" i="7" s="1"/>
  <c r="DC57" i="7"/>
  <c r="DC61" i="7" s="1"/>
  <c r="DE57" i="7"/>
  <c r="DE61" i="7" s="1"/>
  <c r="CG58" i="7"/>
  <c r="CO58" i="7" s="1"/>
  <c r="CY58" i="7"/>
  <c r="DG58" i="7" s="1"/>
  <c r="CG59" i="7"/>
  <c r="CO59" i="7" s="1"/>
  <c r="CY59" i="7"/>
  <c r="DG59" i="7" s="1"/>
  <c r="CG60" i="7"/>
  <c r="CO60" i="7" s="1"/>
  <c r="CY60" i="7"/>
  <c r="DG60" i="7" s="1"/>
  <c r="BY61" i="7"/>
  <c r="CP61" i="7" s="1"/>
  <c r="CQ61" i="7"/>
  <c r="DH61" i="7" s="1"/>
  <c r="S62" i="7"/>
  <c r="AK62" i="7"/>
  <c r="BC62" i="7"/>
  <c r="BU62" i="7"/>
  <c r="CG62" i="7"/>
  <c r="CI62" i="7"/>
  <c r="CI66" i="7" s="1"/>
  <c r="CK62" i="7"/>
  <c r="CK66" i="7" s="1"/>
  <c r="CM62" i="7"/>
  <c r="CM66" i="7" s="1"/>
  <c r="CY62" i="7"/>
  <c r="DA62" i="7"/>
  <c r="DA66" i="7" s="1"/>
  <c r="DC62" i="7"/>
  <c r="DC66" i="7" s="1"/>
  <c r="DE62" i="7"/>
  <c r="DE66" i="7" s="1"/>
  <c r="CG63" i="7"/>
  <c r="CO63" i="7" s="1"/>
  <c r="CY63" i="7"/>
  <c r="DG63" i="7" s="1"/>
  <c r="CG64" i="7"/>
  <c r="CO64" i="7" s="1"/>
  <c r="CY64" i="7"/>
  <c r="DG64" i="7" s="1"/>
  <c r="CG65" i="7"/>
  <c r="CO65" i="7" s="1"/>
  <c r="CY65" i="7"/>
  <c r="DG65" i="7" s="1"/>
  <c r="BY66" i="7"/>
  <c r="CP66" i="7" s="1"/>
  <c r="CQ66" i="7"/>
  <c r="DH66" i="7" s="1"/>
  <c r="S67" i="7"/>
  <c r="AK67" i="7"/>
  <c r="BC67" i="7"/>
  <c r="BU67" i="7"/>
  <c r="CG67" i="7"/>
  <c r="CI67" i="7"/>
  <c r="CI71" i="7" s="1"/>
  <c r="CK67" i="7"/>
  <c r="CK71" i="7" s="1"/>
  <c r="CM67" i="7"/>
  <c r="CM71" i="7" s="1"/>
  <c r="CY67" i="7"/>
  <c r="DA67" i="7"/>
  <c r="DA71" i="7" s="1"/>
  <c r="DC67" i="7"/>
  <c r="DC71" i="7" s="1"/>
  <c r="DE67" i="7"/>
  <c r="DE71" i="7" s="1"/>
  <c r="CG68" i="7"/>
  <c r="CO68" i="7" s="1"/>
  <c r="CY68" i="7"/>
  <c r="DG68" i="7" s="1"/>
  <c r="CG69" i="7"/>
  <c r="CO69" i="7" s="1"/>
  <c r="CY69" i="7"/>
  <c r="DG69" i="7" s="1"/>
  <c r="CG70" i="7"/>
  <c r="CO70" i="7" s="1"/>
  <c r="CY70" i="7"/>
  <c r="DG70" i="7" s="1"/>
  <c r="BY71" i="7"/>
  <c r="CP71" i="7" s="1"/>
  <c r="CQ71" i="7"/>
  <c r="DH71" i="7" s="1"/>
  <c r="S72" i="7"/>
  <c r="AK72" i="7"/>
  <c r="BC72" i="7"/>
  <c r="BU72" i="7"/>
  <c r="CG72" i="7"/>
  <c r="CI72" i="7"/>
  <c r="CI76" i="7" s="1"/>
  <c r="CK72" i="7"/>
  <c r="CK76" i="7" s="1"/>
  <c r="CM72" i="7"/>
  <c r="CM76" i="7" s="1"/>
  <c r="CY72" i="7"/>
  <c r="DA72" i="7"/>
  <c r="DA76" i="7" s="1"/>
  <c r="DC72" i="7"/>
  <c r="DC76" i="7" s="1"/>
  <c r="DE72" i="7"/>
  <c r="DE76" i="7" s="1"/>
  <c r="CG73" i="7"/>
  <c r="CO73" i="7" s="1"/>
  <c r="CY73" i="7"/>
  <c r="DG73" i="7" s="1"/>
  <c r="CG74" i="7"/>
  <c r="CO74" i="7" s="1"/>
  <c r="CY74" i="7"/>
  <c r="DG74" i="7" s="1"/>
  <c r="CG75" i="7"/>
  <c r="CO75" i="7" s="1"/>
  <c r="CY75" i="7"/>
  <c r="DG75" i="7" s="1"/>
  <c r="BY76" i="7"/>
  <c r="CP76" i="7" s="1"/>
  <c r="CQ76" i="7"/>
  <c r="DH76" i="7" s="1"/>
  <c r="S77" i="7"/>
  <c r="AK77" i="7"/>
  <c r="BC77" i="7"/>
  <c r="BU77" i="7"/>
  <c r="CG77" i="7"/>
  <c r="CI77" i="7"/>
  <c r="CI81" i="7" s="1"/>
  <c r="CK77" i="7"/>
  <c r="CK81" i="7" s="1"/>
  <c r="CM77" i="7"/>
  <c r="CM81" i="7" s="1"/>
  <c r="CY77" i="7"/>
  <c r="DA77" i="7"/>
  <c r="DA81" i="7" s="1"/>
  <c r="DC77" i="7"/>
  <c r="DC81" i="7" s="1"/>
  <c r="DE77" i="7"/>
  <c r="DE81" i="7" s="1"/>
  <c r="CG78" i="7"/>
  <c r="CO78" i="7" s="1"/>
  <c r="CY78" i="7"/>
  <c r="DG78" i="7" s="1"/>
  <c r="CG79" i="7"/>
  <c r="CO79" i="7" s="1"/>
  <c r="CY79" i="7"/>
  <c r="DG79" i="7" s="1"/>
  <c r="CG80" i="7"/>
  <c r="CO80" i="7" s="1"/>
  <c r="CY80" i="7"/>
  <c r="DG80" i="7" s="1"/>
  <c r="BY81" i="7"/>
  <c r="CP81" i="7" s="1"/>
  <c r="CQ81" i="7"/>
  <c r="DH81" i="7" s="1"/>
  <c r="S82" i="7"/>
  <c r="AK82" i="7"/>
  <c r="BC82" i="7"/>
  <c r="BU82" i="7"/>
  <c r="CG82" i="7"/>
  <c r="CI82" i="7"/>
  <c r="CI86" i="7" s="1"/>
  <c r="CK82" i="7"/>
  <c r="CK86" i="7" s="1"/>
  <c r="CM82" i="7"/>
  <c r="CM86" i="7" s="1"/>
  <c r="CY82" i="7"/>
  <c r="DA82" i="7"/>
  <c r="DA86" i="7" s="1"/>
  <c r="DC82" i="7"/>
  <c r="DC86" i="7" s="1"/>
  <c r="DE82" i="7"/>
  <c r="DE86" i="7" s="1"/>
  <c r="CG83" i="7"/>
  <c r="CO83" i="7" s="1"/>
  <c r="CY83" i="7"/>
  <c r="DG83" i="7" s="1"/>
  <c r="CG84" i="7"/>
  <c r="CO84" i="7" s="1"/>
  <c r="CY84" i="7"/>
  <c r="DG84" i="7" s="1"/>
  <c r="CG85" i="7"/>
  <c r="CO85" i="7" s="1"/>
  <c r="CY85" i="7"/>
  <c r="DG85" i="7" s="1"/>
  <c r="BY86" i="7"/>
  <c r="CP86" i="7" s="1"/>
  <c r="CQ86" i="7"/>
  <c r="DH86" i="7" s="1"/>
  <c r="S87" i="7"/>
  <c r="AK87" i="7"/>
  <c r="BC87" i="7"/>
  <c r="BU87" i="7"/>
  <c r="CG87" i="7"/>
  <c r="CI87" i="7"/>
  <c r="CI91" i="7" s="1"/>
  <c r="CK87" i="7"/>
  <c r="CK91" i="7" s="1"/>
  <c r="CM87" i="7"/>
  <c r="CM91" i="7" s="1"/>
  <c r="CY87" i="7"/>
  <c r="DA87" i="7"/>
  <c r="DA91" i="7" s="1"/>
  <c r="DC87" i="7"/>
  <c r="DC91" i="7" s="1"/>
  <c r="DE87" i="7"/>
  <c r="DE91" i="7" s="1"/>
  <c r="CG88" i="7"/>
  <c r="CO88" i="7" s="1"/>
  <c r="CY88" i="7"/>
  <c r="DG88" i="7" s="1"/>
  <c r="CG89" i="7"/>
  <c r="CO89" i="7" s="1"/>
  <c r="CY89" i="7"/>
  <c r="DG89" i="7" s="1"/>
  <c r="CG90" i="7"/>
  <c r="CO90" i="7" s="1"/>
  <c r="CY90" i="7"/>
  <c r="DG90" i="7" s="1"/>
  <c r="BY91" i="7"/>
  <c r="CP91" i="7" s="1"/>
  <c r="CQ91" i="7"/>
  <c r="DH91" i="7" s="1"/>
  <c r="S92" i="7"/>
  <c r="AK92" i="7"/>
  <c r="BC92" i="7"/>
  <c r="BU92" i="7"/>
  <c r="CG92" i="7"/>
  <c r="CI92" i="7"/>
  <c r="CI96" i="7" s="1"/>
  <c r="CK92" i="7"/>
  <c r="CK96" i="7" s="1"/>
  <c r="CM92" i="7"/>
  <c r="CM96" i="7" s="1"/>
  <c r="CY92" i="7"/>
  <c r="DA92" i="7"/>
  <c r="DA96" i="7" s="1"/>
  <c r="DC92" i="7"/>
  <c r="DC96" i="7" s="1"/>
  <c r="DE92" i="7"/>
  <c r="DE96" i="7" s="1"/>
  <c r="CG93" i="7"/>
  <c r="CO93" i="7" s="1"/>
  <c r="CY93" i="7"/>
  <c r="DG93" i="7" s="1"/>
  <c r="CG94" i="7"/>
  <c r="CO94" i="7" s="1"/>
  <c r="CY94" i="7"/>
  <c r="DG94" i="7" s="1"/>
  <c r="CG95" i="7"/>
  <c r="CO95" i="7" s="1"/>
  <c r="CY95" i="7"/>
  <c r="DG95" i="7" s="1"/>
  <c r="BY96" i="7"/>
  <c r="CP96" i="7" s="1"/>
  <c r="CQ96" i="7"/>
  <c r="DH96" i="7" s="1"/>
  <c r="S97" i="7"/>
  <c r="AK97" i="7"/>
  <c r="BC97" i="7"/>
  <c r="BU97" i="7"/>
  <c r="CG97" i="7"/>
  <c r="CI97" i="7"/>
  <c r="CI101" i="7" s="1"/>
  <c r="CK97" i="7"/>
  <c r="CK101" i="7" s="1"/>
  <c r="CM97" i="7"/>
  <c r="CM101" i="7" s="1"/>
  <c r="CY97" i="7"/>
  <c r="DA97" i="7"/>
  <c r="DA101" i="7" s="1"/>
  <c r="DC97" i="7"/>
  <c r="DC101" i="7" s="1"/>
  <c r="DE97" i="7"/>
  <c r="DE101" i="7" s="1"/>
  <c r="CG98" i="7"/>
  <c r="CO98" i="7" s="1"/>
  <c r="CY98" i="7"/>
  <c r="DG98" i="7" s="1"/>
  <c r="CG99" i="7"/>
  <c r="CO99" i="7" s="1"/>
  <c r="CY99" i="7"/>
  <c r="DG99" i="7" s="1"/>
  <c r="CG100" i="7"/>
  <c r="CO100" i="7" s="1"/>
  <c r="CY100" i="7"/>
  <c r="DG100" i="7" s="1"/>
  <c r="BY101" i="7"/>
  <c r="CP101" i="7" s="1"/>
  <c r="CQ101" i="7"/>
  <c r="DH101" i="7" s="1"/>
  <c r="S102" i="7"/>
  <c r="AK102" i="7"/>
  <c r="BC102" i="7"/>
  <c r="BU102" i="7"/>
  <c r="CG102" i="7"/>
  <c r="CI102" i="7"/>
  <c r="CI106" i="7" s="1"/>
  <c r="CK102" i="7"/>
  <c r="CK106" i="7" s="1"/>
  <c r="CM102" i="7"/>
  <c r="CM106" i="7" s="1"/>
  <c r="CY102" i="7"/>
  <c r="DA102" i="7"/>
  <c r="DA106" i="7" s="1"/>
  <c r="DC102" i="7"/>
  <c r="DC106" i="7" s="1"/>
  <c r="DE102" i="7"/>
  <c r="DE106" i="7" s="1"/>
  <c r="CG103" i="7"/>
  <c r="CO103" i="7" s="1"/>
  <c r="CY103" i="7"/>
  <c r="DG103" i="7" s="1"/>
  <c r="CG104" i="7"/>
  <c r="CO104" i="7" s="1"/>
  <c r="CY104" i="7"/>
  <c r="DG104" i="7" s="1"/>
  <c r="CG105" i="7"/>
  <c r="CO105" i="7" s="1"/>
  <c r="CY105" i="7"/>
  <c r="DG105" i="7" s="1"/>
  <c r="BY106" i="7"/>
  <c r="CP106" i="7" s="1"/>
  <c r="CQ106" i="7"/>
  <c r="DH106" i="7" s="1"/>
  <c r="S107" i="7"/>
  <c r="AK107" i="7"/>
  <c r="BC107" i="7"/>
  <c r="BU107" i="7"/>
  <c r="CG107" i="7"/>
  <c r="CI107" i="7"/>
  <c r="CI111" i="7" s="1"/>
  <c r="CK107" i="7"/>
  <c r="CK111" i="7" s="1"/>
  <c r="CM107" i="7"/>
  <c r="CM111" i="7" s="1"/>
  <c r="CY107" i="7"/>
  <c r="DA107" i="7"/>
  <c r="DA111" i="7" s="1"/>
  <c r="DC107" i="7"/>
  <c r="DC111" i="7" s="1"/>
  <c r="DE107" i="7"/>
  <c r="DE111" i="7" s="1"/>
  <c r="CG108" i="7"/>
  <c r="CO108" i="7" s="1"/>
  <c r="CY108" i="7"/>
  <c r="DG108" i="7" s="1"/>
  <c r="CG109" i="7"/>
  <c r="CO109" i="7" s="1"/>
  <c r="CY109" i="7"/>
  <c r="DG109" i="7" s="1"/>
  <c r="CG110" i="7"/>
  <c r="CO110" i="7" s="1"/>
  <c r="CY110" i="7"/>
  <c r="DG110" i="7" s="1"/>
  <c r="BY111" i="7"/>
  <c r="CP111" i="7" s="1"/>
  <c r="CQ111" i="7"/>
  <c r="DH111" i="7" s="1"/>
  <c r="S112" i="7"/>
  <c r="AK112" i="7"/>
  <c r="BC112" i="7"/>
  <c r="BU112" i="7"/>
  <c r="CG112" i="7"/>
  <c r="CI112" i="7"/>
  <c r="CI116" i="7" s="1"/>
  <c r="CK112" i="7"/>
  <c r="CK116" i="7" s="1"/>
  <c r="CM112" i="7"/>
  <c r="CM116" i="7" s="1"/>
  <c r="CY112" i="7"/>
  <c r="DA112" i="7"/>
  <c r="DA116" i="7" s="1"/>
  <c r="DC112" i="7"/>
  <c r="DC116" i="7" s="1"/>
  <c r="DE112" i="7"/>
  <c r="DE116" i="7" s="1"/>
  <c r="CG113" i="7"/>
  <c r="CO113" i="7" s="1"/>
  <c r="CY113" i="7"/>
  <c r="DG113" i="7" s="1"/>
  <c r="CG114" i="7"/>
  <c r="CO114" i="7" s="1"/>
  <c r="CY114" i="7"/>
  <c r="DG114" i="7" s="1"/>
  <c r="CG115" i="7"/>
  <c r="CO115" i="7" s="1"/>
  <c r="CY115" i="7"/>
  <c r="DG115" i="7" s="1"/>
  <c r="BY116" i="7"/>
  <c r="CP116" i="7" s="1"/>
  <c r="CQ116" i="7"/>
  <c r="DH116" i="7" s="1"/>
  <c r="S117" i="7"/>
  <c r="AK117" i="7"/>
  <c r="BC117" i="7"/>
  <c r="BU117" i="7"/>
  <c r="CG117" i="7"/>
  <c r="CI117" i="7"/>
  <c r="CI121" i="7" s="1"/>
  <c r="CK117" i="7"/>
  <c r="CK121" i="7" s="1"/>
  <c r="CM117" i="7"/>
  <c r="CM121" i="7" s="1"/>
  <c r="CY117" i="7"/>
  <c r="DA117" i="7"/>
  <c r="DA121" i="7" s="1"/>
  <c r="DC117" i="7"/>
  <c r="DC121" i="7" s="1"/>
  <c r="DE117" i="7"/>
  <c r="DE121" i="7" s="1"/>
  <c r="CG118" i="7"/>
  <c r="CO118" i="7" s="1"/>
  <c r="CY118" i="7"/>
  <c r="DG118" i="7" s="1"/>
  <c r="CG119" i="7"/>
  <c r="CO119" i="7" s="1"/>
  <c r="CY119" i="7"/>
  <c r="DG119" i="7" s="1"/>
  <c r="CG120" i="7"/>
  <c r="CO120" i="7" s="1"/>
  <c r="CY120" i="7"/>
  <c r="DG120" i="7" s="1"/>
  <c r="BY121" i="7"/>
  <c r="CP121" i="7" s="1"/>
  <c r="CQ121" i="7"/>
  <c r="DH121" i="7" s="1"/>
  <c r="S122" i="7"/>
  <c r="AK122" i="7"/>
  <c r="BC122" i="7"/>
  <c r="BU122" i="7"/>
  <c r="CG122" i="7"/>
  <c r="CI122" i="7"/>
  <c r="CI126" i="7" s="1"/>
  <c r="CK122" i="7"/>
  <c r="CK126" i="7" s="1"/>
  <c r="CM122" i="7"/>
  <c r="CM126" i="7" s="1"/>
  <c r="CY122" i="7"/>
  <c r="DA122" i="7"/>
  <c r="DA126" i="7" s="1"/>
  <c r="DC122" i="7"/>
  <c r="DC126" i="7" s="1"/>
  <c r="DE122" i="7"/>
  <c r="DE126" i="7" s="1"/>
  <c r="CG123" i="7"/>
  <c r="CO123" i="7" s="1"/>
  <c r="CY123" i="7"/>
  <c r="DG123" i="7" s="1"/>
  <c r="CG124" i="7"/>
  <c r="CO124" i="7" s="1"/>
  <c r="CY124" i="7"/>
  <c r="DG124" i="7" s="1"/>
  <c r="CG125" i="7"/>
  <c r="CO125" i="7" s="1"/>
  <c r="CY125" i="7"/>
  <c r="DG125" i="7" s="1"/>
  <c r="BY126" i="7"/>
  <c r="CP126" i="7" s="1"/>
  <c r="CQ126" i="7"/>
  <c r="DH126" i="7" s="1"/>
  <c r="S127" i="7"/>
  <c r="AK127" i="7"/>
  <c r="BC127" i="7"/>
  <c r="BU127" i="7"/>
  <c r="CG127" i="7"/>
  <c r="CI127" i="7"/>
  <c r="CI131" i="7" s="1"/>
  <c r="CK127" i="7"/>
  <c r="CK131" i="7" s="1"/>
  <c r="CM127" i="7"/>
  <c r="CM131" i="7" s="1"/>
  <c r="CY127" i="7"/>
  <c r="DA127" i="7"/>
  <c r="DA131" i="7" s="1"/>
  <c r="DC127" i="7"/>
  <c r="DC131" i="7" s="1"/>
  <c r="DE127" i="7"/>
  <c r="DE131" i="7" s="1"/>
  <c r="CG128" i="7"/>
  <c r="CO128" i="7" s="1"/>
  <c r="CY128" i="7"/>
  <c r="DG128" i="7" s="1"/>
  <c r="CG129" i="7"/>
  <c r="CO129" i="7" s="1"/>
  <c r="CY129" i="7"/>
  <c r="DG129" i="7" s="1"/>
  <c r="CG130" i="7"/>
  <c r="CO130" i="7" s="1"/>
  <c r="CY130" i="7"/>
  <c r="DG130" i="7" s="1"/>
  <c r="BY131" i="7"/>
  <c r="CP131" i="7" s="1"/>
  <c r="CQ131" i="7"/>
  <c r="DH131" i="7" s="1"/>
  <c r="CH52" i="7"/>
  <c r="CH56" i="7" s="1"/>
  <c r="CJ52" i="7"/>
  <c r="CJ56" i="7" s="1"/>
  <c r="CL52" i="7"/>
  <c r="CL56" i="7" s="1"/>
  <c r="CN52" i="7"/>
  <c r="CN56" i="7" s="1"/>
  <c r="CZ52" i="7"/>
  <c r="CZ56" i="7" s="1"/>
  <c r="DB52" i="7"/>
  <c r="DB56" i="7" s="1"/>
  <c r="DD52" i="7"/>
  <c r="DD56" i="7" s="1"/>
  <c r="DF52" i="7"/>
  <c r="DF56" i="7" s="1"/>
  <c r="CH57" i="7"/>
  <c r="CH61" i="7" s="1"/>
  <c r="CJ57" i="7"/>
  <c r="CJ61" i="7" s="1"/>
  <c r="CL57" i="7"/>
  <c r="CL61" i="7" s="1"/>
  <c r="CN57" i="7"/>
  <c r="CN61" i="7" s="1"/>
  <c r="CZ57" i="7"/>
  <c r="CZ61" i="7" s="1"/>
  <c r="DB57" i="7"/>
  <c r="DB61" i="7" s="1"/>
  <c r="DD57" i="7"/>
  <c r="DD61" i="7" s="1"/>
  <c r="DF57" i="7"/>
  <c r="DF61" i="7" s="1"/>
  <c r="CH62" i="7"/>
  <c r="CH66" i="7" s="1"/>
  <c r="CJ62" i="7"/>
  <c r="CJ66" i="7" s="1"/>
  <c r="CL62" i="7"/>
  <c r="CL66" i="7" s="1"/>
  <c r="CN62" i="7"/>
  <c r="CN66" i="7" s="1"/>
  <c r="CZ62" i="7"/>
  <c r="CZ66" i="7" s="1"/>
  <c r="DB62" i="7"/>
  <c r="DB66" i="7" s="1"/>
  <c r="DD62" i="7"/>
  <c r="DD66" i="7" s="1"/>
  <c r="DF62" i="7"/>
  <c r="DF66" i="7" s="1"/>
  <c r="CH67" i="7"/>
  <c r="CH71" i="7" s="1"/>
  <c r="CJ67" i="7"/>
  <c r="CJ71" i="7" s="1"/>
  <c r="CL67" i="7"/>
  <c r="CL71" i="7" s="1"/>
  <c r="CN67" i="7"/>
  <c r="CN71" i="7" s="1"/>
  <c r="CZ67" i="7"/>
  <c r="CZ71" i="7" s="1"/>
  <c r="DB67" i="7"/>
  <c r="DB71" i="7" s="1"/>
  <c r="DD67" i="7"/>
  <c r="DD71" i="7" s="1"/>
  <c r="DF67" i="7"/>
  <c r="DF71" i="7" s="1"/>
  <c r="CH72" i="7"/>
  <c r="CH76" i="7" s="1"/>
  <c r="CJ72" i="7"/>
  <c r="CJ76" i="7" s="1"/>
  <c r="CL72" i="7"/>
  <c r="CL76" i="7" s="1"/>
  <c r="CN72" i="7"/>
  <c r="CN76" i="7" s="1"/>
  <c r="CZ72" i="7"/>
  <c r="CZ76" i="7" s="1"/>
  <c r="DB72" i="7"/>
  <c r="DB76" i="7" s="1"/>
  <c r="DD72" i="7"/>
  <c r="DD76" i="7" s="1"/>
  <c r="DF72" i="7"/>
  <c r="DF76" i="7" s="1"/>
  <c r="CH77" i="7"/>
  <c r="CH81" i="7" s="1"/>
  <c r="CJ77" i="7"/>
  <c r="CJ81" i="7" s="1"/>
  <c r="CL77" i="7"/>
  <c r="CL81" i="7" s="1"/>
  <c r="CN77" i="7"/>
  <c r="CN81" i="7" s="1"/>
  <c r="CZ77" i="7"/>
  <c r="CZ81" i="7" s="1"/>
  <c r="DB77" i="7"/>
  <c r="DB81" i="7" s="1"/>
  <c r="DD77" i="7"/>
  <c r="DD81" i="7" s="1"/>
  <c r="DF77" i="7"/>
  <c r="DF81" i="7" s="1"/>
  <c r="CH82" i="7"/>
  <c r="CH86" i="7" s="1"/>
  <c r="CJ82" i="7"/>
  <c r="CJ86" i="7" s="1"/>
  <c r="CL82" i="7"/>
  <c r="CL86" i="7" s="1"/>
  <c r="CN82" i="7"/>
  <c r="CN86" i="7" s="1"/>
  <c r="CZ82" i="7"/>
  <c r="CZ86" i="7" s="1"/>
  <c r="DB82" i="7"/>
  <c r="DB86" i="7" s="1"/>
  <c r="DD82" i="7"/>
  <c r="DD86" i="7" s="1"/>
  <c r="DF82" i="7"/>
  <c r="DF86" i="7" s="1"/>
  <c r="CH87" i="7"/>
  <c r="CH91" i="7" s="1"/>
  <c r="CJ87" i="7"/>
  <c r="CJ91" i="7" s="1"/>
  <c r="CL87" i="7"/>
  <c r="CL91" i="7" s="1"/>
  <c r="CN87" i="7"/>
  <c r="CN91" i="7" s="1"/>
  <c r="CZ87" i="7"/>
  <c r="CZ91" i="7" s="1"/>
  <c r="DB87" i="7"/>
  <c r="DB91" i="7" s="1"/>
  <c r="DD87" i="7"/>
  <c r="DD91" i="7" s="1"/>
  <c r="DF87" i="7"/>
  <c r="DF91" i="7" s="1"/>
  <c r="CH92" i="7"/>
  <c r="CH96" i="7" s="1"/>
  <c r="CJ92" i="7"/>
  <c r="CJ96" i="7" s="1"/>
  <c r="CL92" i="7"/>
  <c r="CL96" i="7" s="1"/>
  <c r="CN92" i="7"/>
  <c r="CN96" i="7" s="1"/>
  <c r="CZ92" i="7"/>
  <c r="CZ96" i="7" s="1"/>
  <c r="DB92" i="7"/>
  <c r="DB96" i="7" s="1"/>
  <c r="DD92" i="7"/>
  <c r="DD96" i="7" s="1"/>
  <c r="DF92" i="7"/>
  <c r="DF96" i="7" s="1"/>
  <c r="CH97" i="7"/>
  <c r="CH101" i="7" s="1"/>
  <c r="CJ97" i="7"/>
  <c r="CJ101" i="7" s="1"/>
  <c r="CL97" i="7"/>
  <c r="CL101" i="7" s="1"/>
  <c r="CN97" i="7"/>
  <c r="CN101" i="7" s="1"/>
  <c r="CZ97" i="7"/>
  <c r="CZ101" i="7" s="1"/>
  <c r="DB97" i="7"/>
  <c r="DB101" i="7" s="1"/>
  <c r="DD97" i="7"/>
  <c r="DD101" i="7" s="1"/>
  <c r="DF97" i="7"/>
  <c r="DF101" i="7" s="1"/>
  <c r="CH102" i="7"/>
  <c r="CH106" i="7" s="1"/>
  <c r="CJ102" i="7"/>
  <c r="CJ106" i="7" s="1"/>
  <c r="CL102" i="7"/>
  <c r="CL106" i="7" s="1"/>
  <c r="CN102" i="7"/>
  <c r="CN106" i="7" s="1"/>
  <c r="CZ102" i="7"/>
  <c r="CZ106" i="7" s="1"/>
  <c r="DB102" i="7"/>
  <c r="DB106" i="7" s="1"/>
  <c r="DD102" i="7"/>
  <c r="DD106" i="7" s="1"/>
  <c r="DF102" i="7"/>
  <c r="DF106" i="7" s="1"/>
  <c r="CH107" i="7"/>
  <c r="CH111" i="7" s="1"/>
  <c r="CJ107" i="7"/>
  <c r="CJ111" i="7" s="1"/>
  <c r="CL107" i="7"/>
  <c r="CL111" i="7" s="1"/>
  <c r="CN107" i="7"/>
  <c r="CN111" i="7" s="1"/>
  <c r="CZ107" i="7"/>
  <c r="CZ111" i="7" s="1"/>
  <c r="DB107" i="7"/>
  <c r="DB111" i="7" s="1"/>
  <c r="DD107" i="7"/>
  <c r="DD111" i="7" s="1"/>
  <c r="DF107" i="7"/>
  <c r="DF111" i="7" s="1"/>
  <c r="CH112" i="7"/>
  <c r="CH116" i="7" s="1"/>
  <c r="CJ112" i="7"/>
  <c r="CJ116" i="7" s="1"/>
  <c r="CL112" i="7"/>
  <c r="CL116" i="7" s="1"/>
  <c r="CN112" i="7"/>
  <c r="CN116" i="7" s="1"/>
  <c r="CZ112" i="7"/>
  <c r="CZ116" i="7" s="1"/>
  <c r="DB112" i="7"/>
  <c r="DB116" i="7" s="1"/>
  <c r="DD112" i="7"/>
  <c r="DD116" i="7" s="1"/>
  <c r="DF112" i="7"/>
  <c r="DF116" i="7" s="1"/>
  <c r="CH117" i="7"/>
  <c r="CH121" i="7" s="1"/>
  <c r="CJ117" i="7"/>
  <c r="CJ121" i="7" s="1"/>
  <c r="CL117" i="7"/>
  <c r="CL121" i="7" s="1"/>
  <c r="CN117" i="7"/>
  <c r="CN121" i="7" s="1"/>
  <c r="CZ117" i="7"/>
  <c r="CZ121" i="7" s="1"/>
  <c r="DB117" i="7"/>
  <c r="DB121" i="7" s="1"/>
  <c r="DD117" i="7"/>
  <c r="DD121" i="7" s="1"/>
  <c r="DF117" i="7"/>
  <c r="DF121" i="7" s="1"/>
  <c r="CH122" i="7"/>
  <c r="CH126" i="7" s="1"/>
  <c r="CJ122" i="7"/>
  <c r="CJ126" i="7" s="1"/>
  <c r="CL122" i="7"/>
  <c r="CL126" i="7" s="1"/>
  <c r="CN122" i="7"/>
  <c r="CN126" i="7" s="1"/>
  <c r="CZ122" i="7"/>
  <c r="CZ126" i="7" s="1"/>
  <c r="DB122" i="7"/>
  <c r="DB126" i="7" s="1"/>
  <c r="DD122" i="7"/>
  <c r="DD126" i="7" s="1"/>
  <c r="DF122" i="7"/>
  <c r="DF126" i="7" s="1"/>
  <c r="CH127" i="7"/>
  <c r="CH131" i="7" s="1"/>
  <c r="CJ127" i="7"/>
  <c r="CJ131" i="7" s="1"/>
  <c r="CL127" i="7"/>
  <c r="CL131" i="7" s="1"/>
  <c r="CN127" i="7"/>
  <c r="CN131" i="7" s="1"/>
  <c r="CZ127" i="7"/>
  <c r="CZ131" i="7" s="1"/>
  <c r="DB127" i="7"/>
  <c r="DB131" i="7" s="1"/>
  <c r="DD127" i="7"/>
  <c r="DD131" i="7" s="1"/>
  <c r="DF127" i="7"/>
  <c r="DF131" i="7" s="1"/>
  <c r="L12" i="8"/>
  <c r="EW96" i="8"/>
  <c r="ES96" i="8"/>
  <c r="EO96" i="8"/>
  <c r="EK96" i="8"/>
  <c r="EE96" i="8"/>
  <c r="EA96" i="8"/>
  <c r="DW96" i="8"/>
  <c r="DS96" i="8"/>
  <c r="DO96" i="8"/>
  <c r="DK96" i="8"/>
  <c r="DG96" i="8"/>
  <c r="DC96" i="8"/>
  <c r="CW96" i="8"/>
  <c r="CS96" i="8"/>
  <c r="CO96" i="8"/>
  <c r="CK96" i="8"/>
  <c r="CG96" i="8"/>
  <c r="CC96" i="8"/>
  <c r="BY96" i="8"/>
  <c r="BU96" i="8"/>
  <c r="BO96" i="8"/>
  <c r="BK96" i="8"/>
  <c r="BG96" i="8"/>
  <c r="BC96" i="8"/>
  <c r="AY96" i="8"/>
  <c r="AU96" i="8"/>
  <c r="AQ96" i="8"/>
  <c r="AM96" i="8"/>
  <c r="AG96" i="8"/>
  <c r="AC96" i="8"/>
  <c r="Y96" i="8"/>
  <c r="U96" i="8"/>
  <c r="EV95" i="8"/>
  <c r="ER95" i="8"/>
  <c r="EN95" i="8"/>
  <c r="EJ95" i="8"/>
  <c r="EF95" i="8"/>
  <c r="EB95" i="8"/>
  <c r="DX95" i="8"/>
  <c r="DT95" i="8"/>
  <c r="DN95" i="8"/>
  <c r="DJ95" i="8"/>
  <c r="DF95" i="8"/>
  <c r="DB95" i="8"/>
  <c r="CX95" i="8"/>
  <c r="CT95" i="8"/>
  <c r="CP95" i="8"/>
  <c r="CL95" i="8"/>
  <c r="CF95" i="8"/>
  <c r="CB95" i="8"/>
  <c r="BX95" i="8"/>
  <c r="BT95" i="8"/>
  <c r="BP95" i="8"/>
  <c r="BL95" i="8"/>
  <c r="BH95" i="8"/>
  <c r="BD95" i="8"/>
  <c r="AX95" i="8"/>
  <c r="AT95" i="8"/>
  <c r="AP95" i="8"/>
  <c r="AL95" i="8"/>
  <c r="AH95" i="8"/>
  <c r="AD95" i="8"/>
  <c r="Z95" i="8"/>
  <c r="V95" i="8"/>
  <c r="EW94" i="8"/>
  <c r="ES94" i="8"/>
  <c r="EO94" i="8"/>
  <c r="EK94" i="8"/>
  <c r="EE94" i="8"/>
  <c r="EA94" i="8"/>
  <c r="DW94" i="8"/>
  <c r="DS94" i="8"/>
  <c r="DO94" i="8"/>
  <c r="DK94" i="8"/>
  <c r="DG94" i="8"/>
  <c r="DC94" i="8"/>
  <c r="CW94" i="8"/>
  <c r="CS94" i="8"/>
  <c r="EV96" i="8"/>
  <c r="ER96" i="8"/>
  <c r="EN96" i="8"/>
  <c r="EJ96" i="8"/>
  <c r="EF96" i="8"/>
  <c r="EB96" i="8"/>
  <c r="DX96" i="8"/>
  <c r="DT96" i="8"/>
  <c r="DN96" i="8"/>
  <c r="DJ96" i="8"/>
  <c r="DF96" i="8"/>
  <c r="DB96" i="8"/>
  <c r="CX96" i="8"/>
  <c r="CT96" i="8"/>
  <c r="CP96" i="8"/>
  <c r="CL96" i="8"/>
  <c r="CF96" i="8"/>
  <c r="CB96" i="8"/>
  <c r="BX96" i="8"/>
  <c r="BT96" i="8"/>
  <c r="BP96" i="8"/>
  <c r="BL96" i="8"/>
  <c r="BH96" i="8"/>
  <c r="BD96" i="8"/>
  <c r="AX96" i="8"/>
  <c r="AT96" i="8"/>
  <c r="AP96" i="8"/>
  <c r="AL96" i="8"/>
  <c r="AH96" i="8"/>
  <c r="AD96" i="8"/>
  <c r="Z96" i="8"/>
  <c r="V96" i="8"/>
  <c r="EW95" i="8"/>
  <c r="ES95" i="8"/>
  <c r="EO95" i="8"/>
  <c r="EK95" i="8"/>
  <c r="EE95" i="8"/>
  <c r="EA95" i="8"/>
  <c r="DW95" i="8"/>
  <c r="DS95" i="8"/>
  <c r="DO95" i="8"/>
  <c r="DK95" i="8"/>
  <c r="DG95" i="8"/>
  <c r="DC95" i="8"/>
  <c r="CW95" i="8"/>
  <c r="CS95" i="8"/>
  <c r="CO95" i="8"/>
  <c r="CK95" i="8"/>
  <c r="CG95" i="8"/>
  <c r="CC95" i="8"/>
  <c r="BY95" i="8"/>
  <c r="BU95" i="8"/>
  <c r="BO95" i="8"/>
  <c r="BK95" i="8"/>
  <c r="BG95" i="8"/>
  <c r="BC95" i="8"/>
  <c r="AY95" i="8"/>
  <c r="AU95" i="8"/>
  <c r="AQ95" i="8"/>
  <c r="AM95" i="8"/>
  <c r="AG95" i="8"/>
  <c r="AC95" i="8"/>
  <c r="Y95" i="8"/>
  <c r="U95" i="8"/>
  <c r="EV94" i="8"/>
  <c r="ER94" i="8"/>
  <c r="EN94" i="8"/>
  <c r="EJ94" i="8"/>
  <c r="EF94" i="8"/>
  <c r="EB94" i="8"/>
  <c r="DX94" i="8"/>
  <c r="DT94" i="8"/>
  <c r="DN94" i="8"/>
  <c r="DJ94" i="8"/>
  <c r="DF94" i="8"/>
  <c r="DB94" i="8"/>
  <c r="CX94" i="8"/>
  <c r="CT94" i="8"/>
  <c r="CP94" i="8"/>
  <c r="CM94" i="8"/>
  <c r="CI94" i="8"/>
  <c r="CE94" i="8"/>
  <c r="CA94" i="8"/>
  <c r="BW94" i="8"/>
  <c r="BS94" i="8"/>
  <c r="BM94" i="8"/>
  <c r="BI94" i="8"/>
  <c r="BE94" i="8"/>
  <c r="BA94" i="8"/>
  <c r="AW94" i="8"/>
  <c r="AS94" i="8"/>
  <c r="AO94" i="8"/>
  <c r="AK94" i="8"/>
  <c r="AE94" i="8"/>
  <c r="AA94" i="8"/>
  <c r="W94" i="8"/>
  <c r="S94" i="8"/>
  <c r="ET93" i="8"/>
  <c r="EP93" i="8"/>
  <c r="EL93" i="8"/>
  <c r="EH93" i="8"/>
  <c r="ED93" i="8"/>
  <c r="DZ93" i="8"/>
  <c r="DV93" i="8"/>
  <c r="DR93" i="8"/>
  <c r="DL93" i="8"/>
  <c r="DH93" i="8"/>
  <c r="DD93" i="8"/>
  <c r="CZ93" i="8"/>
  <c r="CV93" i="8"/>
  <c r="CR93" i="8"/>
  <c r="CN93" i="8"/>
  <c r="CJ93" i="8"/>
  <c r="CD93" i="8"/>
  <c r="BZ93" i="8"/>
  <c r="BV93" i="8"/>
  <c r="BR93" i="8"/>
  <c r="BN93" i="8"/>
  <c r="BJ93" i="8"/>
  <c r="BF93" i="8"/>
  <c r="BB93" i="8"/>
  <c r="AV93" i="8"/>
  <c r="AR93" i="8"/>
  <c r="AN93" i="8"/>
  <c r="AJ93" i="8"/>
  <c r="AF93" i="8"/>
  <c r="AB93" i="8"/>
  <c r="X93" i="8"/>
  <c r="T93" i="8"/>
  <c r="EU92" i="8"/>
  <c r="EQ92" i="8"/>
  <c r="EM92" i="8"/>
  <c r="EI92" i="8"/>
  <c r="EC92" i="8"/>
  <c r="DY92" i="8"/>
  <c r="DU92" i="8"/>
  <c r="DQ92" i="8"/>
  <c r="DM92" i="8"/>
  <c r="DI92" i="8"/>
  <c r="DE92" i="8"/>
  <c r="DA92" i="8"/>
  <c r="CU92" i="8"/>
  <c r="CQ92" i="8"/>
  <c r="CM92" i="8"/>
  <c r="CI92" i="8"/>
  <c r="CE92" i="8"/>
  <c r="CA92" i="8"/>
  <c r="BW92" i="8"/>
  <c r="BS92" i="8"/>
  <c r="BM92" i="8"/>
  <c r="BI92" i="8"/>
  <c r="BE92" i="8"/>
  <c r="BA92" i="8"/>
  <c r="AW92" i="8"/>
  <c r="AS92" i="8"/>
  <c r="AO92" i="8"/>
  <c r="AK92" i="8"/>
  <c r="AE92" i="8"/>
  <c r="CN94" i="8"/>
  <c r="CJ94" i="8"/>
  <c r="CD94" i="8"/>
  <c r="BZ94" i="8"/>
  <c r="BV94" i="8"/>
  <c r="BR94" i="8"/>
  <c r="BN94" i="8"/>
  <c r="BJ94" i="8"/>
  <c r="BF94" i="8"/>
  <c r="BB94" i="8"/>
  <c r="AV94" i="8"/>
  <c r="AR94" i="8"/>
  <c r="AN94" i="8"/>
  <c r="AJ94" i="8"/>
  <c r="AF94" i="8"/>
  <c r="AB94" i="8"/>
  <c r="X94" i="8"/>
  <c r="T94" i="8"/>
  <c r="EU93" i="8"/>
  <c r="EQ93" i="8"/>
  <c r="EM93" i="8"/>
  <c r="EI93" i="8"/>
  <c r="EC93" i="8"/>
  <c r="DY93" i="8"/>
  <c r="DU93" i="8"/>
  <c r="DQ93" i="8"/>
  <c r="DM93" i="8"/>
  <c r="DI93" i="8"/>
  <c r="DE93" i="8"/>
  <c r="DA93" i="8"/>
  <c r="CU93" i="8"/>
  <c r="CQ93" i="8"/>
  <c r="CM93" i="8"/>
  <c r="CI93" i="8"/>
  <c r="CE93" i="8"/>
  <c r="CA93" i="8"/>
  <c r="BW93" i="8"/>
  <c r="BS93" i="8"/>
  <c r="BM93" i="8"/>
  <c r="BI93" i="8"/>
  <c r="BE93" i="8"/>
  <c r="BA93" i="8"/>
  <c r="AW93" i="8"/>
  <c r="AS93" i="8"/>
  <c r="AO93" i="8"/>
  <c r="AK93" i="8"/>
  <c r="AE93" i="8"/>
  <c r="AA93" i="8"/>
  <c r="W93" i="8"/>
  <c r="S93" i="8"/>
  <c r="ET92" i="8"/>
  <c r="EP92" i="8"/>
  <c r="EL92" i="8"/>
  <c r="EH92" i="8"/>
  <c r="ED92" i="8"/>
  <c r="DZ92" i="8"/>
  <c r="DV92" i="8"/>
  <c r="DR92" i="8"/>
  <c r="DL92" i="8"/>
  <c r="DH92" i="8"/>
  <c r="DD92" i="8"/>
  <c r="CZ92" i="8"/>
  <c r="CV92" i="8"/>
  <c r="CR92" i="8"/>
  <c r="CN92" i="8"/>
  <c r="CJ92" i="8"/>
  <c r="CD92" i="8"/>
  <c r="BZ92" i="8"/>
  <c r="BV92" i="8"/>
  <c r="BR92" i="8"/>
  <c r="BN92" i="8"/>
  <c r="BJ92" i="8"/>
  <c r="BF92" i="8"/>
  <c r="BB92" i="8"/>
  <c r="AV92" i="8"/>
  <c r="AR92" i="8"/>
  <c r="AN92" i="8"/>
  <c r="AJ92" i="8"/>
  <c r="AF92" i="8"/>
  <c r="AB92" i="8"/>
  <c r="X92" i="8"/>
  <c r="T92" i="8"/>
  <c r="EU91" i="8"/>
  <c r="EQ91" i="8"/>
  <c r="EM91" i="8"/>
  <c r="EI91" i="8"/>
  <c r="EC91" i="8"/>
  <c r="DY91" i="8"/>
  <c r="DU91" i="8"/>
  <c r="DQ91" i="8"/>
  <c r="DM91" i="8"/>
  <c r="DI91" i="8"/>
  <c r="DE91" i="8"/>
  <c r="DA91" i="8"/>
  <c r="CU91" i="8"/>
  <c r="CQ91" i="8"/>
  <c r="CM91" i="8"/>
  <c r="CI91" i="8"/>
  <c r="CE91" i="8"/>
  <c r="CA91" i="8"/>
  <c r="BW91" i="8"/>
  <c r="BS91" i="8"/>
  <c r="BM91" i="8"/>
  <c r="BI91" i="8"/>
  <c r="BE91" i="8"/>
  <c r="BA91" i="8"/>
  <c r="AW91" i="8"/>
  <c r="AS91" i="8"/>
  <c r="AO91" i="8"/>
  <c r="AK91" i="8"/>
  <c r="AE91" i="8"/>
  <c r="AA91" i="8"/>
  <c r="W91" i="8"/>
  <c r="S91" i="8"/>
  <c r="ET90" i="8"/>
  <c r="EP90" i="8"/>
  <c r="EL90" i="8"/>
  <c r="EH90" i="8"/>
  <c r="ED90" i="8"/>
  <c r="DZ90" i="8"/>
  <c r="DV90" i="8"/>
  <c r="DR90" i="8"/>
  <c r="DL90" i="8"/>
  <c r="DH90" i="8"/>
  <c r="DD90" i="8"/>
  <c r="CZ90" i="8"/>
  <c r="CV90" i="8"/>
  <c r="CR90" i="8"/>
  <c r="CN90" i="8"/>
  <c r="CJ90" i="8"/>
  <c r="CD90" i="8"/>
  <c r="BZ90" i="8"/>
  <c r="BV90" i="8"/>
  <c r="BR90" i="8"/>
  <c r="BN90" i="8"/>
  <c r="BJ90" i="8"/>
  <c r="BF90" i="8"/>
  <c r="BB90" i="8"/>
  <c r="AV90" i="8"/>
  <c r="AR90" i="8"/>
  <c r="AN90" i="8"/>
  <c r="AJ90" i="8"/>
  <c r="AF90" i="8"/>
  <c r="AB90" i="8"/>
  <c r="X90" i="8"/>
  <c r="T90" i="8"/>
  <c r="EU89" i="8"/>
  <c r="EQ89" i="8"/>
  <c r="EM89" i="8"/>
  <c r="EI89" i="8"/>
  <c r="EC89" i="8"/>
  <c r="DY89" i="8"/>
  <c r="DU89" i="8"/>
  <c r="DQ89" i="8"/>
  <c r="DM89" i="8"/>
  <c r="DI89" i="8"/>
  <c r="DE89" i="8"/>
  <c r="DA89" i="8"/>
  <c r="CU89" i="8"/>
  <c r="CQ89" i="8"/>
  <c r="CM89" i="8"/>
  <c r="CI89" i="8"/>
  <c r="CE89" i="8"/>
  <c r="CA89" i="8"/>
  <c r="BW89" i="8"/>
  <c r="BS89" i="8"/>
  <c r="BM89" i="8"/>
  <c r="BI89" i="8"/>
  <c r="BE89" i="8"/>
  <c r="BA89" i="8"/>
  <c r="AW89" i="8"/>
  <c r="AS89" i="8"/>
  <c r="AO89" i="8"/>
  <c r="AK89" i="8"/>
  <c r="AE89" i="8"/>
  <c r="AA89" i="8"/>
  <c r="W89" i="8"/>
  <c r="S89" i="8"/>
  <c r="ET88" i="8"/>
  <c r="EP88" i="8"/>
  <c r="EL88" i="8"/>
  <c r="EH88" i="8"/>
  <c r="ED88" i="8"/>
  <c r="DZ88" i="8"/>
  <c r="DV88" i="8"/>
  <c r="DR88" i="8"/>
  <c r="DL88" i="8"/>
  <c r="DH88" i="8"/>
  <c r="DD88" i="8"/>
  <c r="CZ88" i="8"/>
  <c r="CV88" i="8"/>
  <c r="CR88" i="8"/>
  <c r="CN88" i="8"/>
  <c r="CJ88" i="8"/>
  <c r="CD88" i="8"/>
  <c r="BZ88" i="8"/>
  <c r="BV88" i="8"/>
  <c r="BR88" i="8"/>
  <c r="BN88" i="8"/>
  <c r="BJ88" i="8"/>
  <c r="BF88" i="8"/>
  <c r="BB88" i="8"/>
  <c r="AV88" i="8"/>
  <c r="AR88" i="8"/>
  <c r="AN88" i="8"/>
  <c r="AJ88" i="8"/>
  <c r="AF88" i="8"/>
  <c r="AB88" i="8"/>
  <c r="X88" i="8"/>
  <c r="T88" i="8"/>
  <c r="EU87" i="8"/>
  <c r="EQ87" i="8"/>
  <c r="EM87" i="8"/>
  <c r="EI87" i="8"/>
  <c r="EC87" i="8"/>
  <c r="DY87" i="8"/>
  <c r="DU87" i="8"/>
  <c r="DQ87" i="8"/>
  <c r="DM87" i="8"/>
  <c r="DI87" i="8"/>
  <c r="DE87" i="8"/>
  <c r="DA87" i="8"/>
  <c r="CU87" i="8"/>
  <c r="CQ87" i="8"/>
  <c r="CM87" i="8"/>
  <c r="CI87" i="8"/>
  <c r="CE87" i="8"/>
  <c r="CA87" i="8"/>
  <c r="BW87" i="8"/>
  <c r="BS87" i="8"/>
  <c r="BM87" i="8"/>
  <c r="BI87" i="8"/>
  <c r="BE87" i="8"/>
  <c r="BA87" i="8"/>
  <c r="AW87" i="8"/>
  <c r="AS87" i="8"/>
  <c r="AO87" i="8"/>
  <c r="AK87" i="8"/>
  <c r="AA92" i="8"/>
  <c r="W92" i="8"/>
  <c r="S92" i="8"/>
  <c r="ET91" i="8"/>
  <c r="EP91" i="8"/>
  <c r="EL91" i="8"/>
  <c r="EH91" i="8"/>
  <c r="ED91" i="8"/>
  <c r="DZ91" i="8"/>
  <c r="DV91" i="8"/>
  <c r="DR91" i="8"/>
  <c r="DL91" i="8"/>
  <c r="DH91" i="8"/>
  <c r="DD91" i="8"/>
  <c r="CZ91" i="8"/>
  <c r="CV91" i="8"/>
  <c r="CR91" i="8"/>
  <c r="CN91" i="8"/>
  <c r="CJ91" i="8"/>
  <c r="CD91" i="8"/>
  <c r="BZ91" i="8"/>
  <c r="BV91" i="8"/>
  <c r="BR91" i="8"/>
  <c r="BN91" i="8"/>
  <c r="BJ91" i="8"/>
  <c r="BF91" i="8"/>
  <c r="BB91" i="8"/>
  <c r="AV91" i="8"/>
  <c r="AR91" i="8"/>
  <c r="AN91" i="8"/>
  <c r="AJ91" i="8"/>
  <c r="AF91" i="8"/>
  <c r="AB91" i="8"/>
  <c r="X91" i="8"/>
  <c r="T91" i="8"/>
  <c r="EU90" i="8"/>
  <c r="EQ90" i="8"/>
  <c r="EM90" i="8"/>
  <c r="EI90" i="8"/>
  <c r="EC90" i="8"/>
  <c r="DY90" i="8"/>
  <c r="DU90" i="8"/>
  <c r="DQ90" i="8"/>
  <c r="DM90" i="8"/>
  <c r="DI90" i="8"/>
  <c r="DE90" i="8"/>
  <c r="DA90" i="8"/>
  <c r="CU90" i="8"/>
  <c r="CQ90" i="8"/>
  <c r="CM90" i="8"/>
  <c r="CI90" i="8"/>
  <c r="CE90" i="8"/>
  <c r="CA90" i="8"/>
  <c r="BW90" i="8"/>
  <c r="BS90" i="8"/>
  <c r="BM90" i="8"/>
  <c r="BI90" i="8"/>
  <c r="BE90" i="8"/>
  <c r="BA90" i="8"/>
  <c r="AW90" i="8"/>
  <c r="AS90" i="8"/>
  <c r="AO90" i="8"/>
  <c r="AK90" i="8"/>
  <c r="AE90" i="8"/>
  <c r="AA90" i="8"/>
  <c r="W90" i="8"/>
  <c r="S90" i="8"/>
  <c r="ET89" i="8"/>
  <c r="EP89" i="8"/>
  <c r="EL89" i="8"/>
  <c r="EH89" i="8"/>
  <c r="ED89" i="8"/>
  <c r="DZ89" i="8"/>
  <c r="DV89" i="8"/>
  <c r="DR89" i="8"/>
  <c r="DL89" i="8"/>
  <c r="DH89" i="8"/>
  <c r="DD89" i="8"/>
  <c r="CZ89" i="8"/>
  <c r="CV89" i="8"/>
  <c r="CR89" i="8"/>
  <c r="CN89" i="8"/>
  <c r="CJ89" i="8"/>
  <c r="CD89" i="8"/>
  <c r="BZ89" i="8"/>
  <c r="BV89" i="8"/>
  <c r="BR89" i="8"/>
  <c r="BN89" i="8"/>
  <c r="BJ89" i="8"/>
  <c r="BF89" i="8"/>
  <c r="BB89" i="8"/>
  <c r="AV89" i="8"/>
  <c r="AR89" i="8"/>
  <c r="AN89" i="8"/>
  <c r="AJ89" i="8"/>
  <c r="AF89" i="8"/>
  <c r="AB89" i="8"/>
  <c r="X89" i="8"/>
  <c r="T89" i="8"/>
  <c r="EU88" i="8"/>
  <c r="EQ88" i="8"/>
  <c r="EM88" i="8"/>
  <c r="EI88" i="8"/>
  <c r="EC88" i="8"/>
  <c r="DY88" i="8"/>
  <c r="DU88" i="8"/>
  <c r="DQ88" i="8"/>
  <c r="DM88" i="8"/>
  <c r="DI88" i="8"/>
  <c r="DE88" i="8"/>
  <c r="DA88" i="8"/>
  <c r="CU88" i="8"/>
  <c r="CQ88" i="8"/>
  <c r="CM88" i="8"/>
  <c r="CI88" i="8"/>
  <c r="CE88" i="8"/>
  <c r="CA88" i="8"/>
  <c r="BW88" i="8"/>
  <c r="BS88" i="8"/>
  <c r="BM88" i="8"/>
  <c r="BI88" i="8"/>
  <c r="BE88" i="8"/>
  <c r="BA88" i="8"/>
  <c r="AW88" i="8"/>
  <c r="AS88" i="8"/>
  <c r="AO88" i="8"/>
  <c r="AK88" i="8"/>
  <c r="AE88" i="8"/>
  <c r="AA88" i="8"/>
  <c r="W88" i="8"/>
  <c r="S88" i="8"/>
  <c r="ET87" i="8"/>
  <c r="EP87" i="8"/>
  <c r="EL87" i="8"/>
  <c r="EH87" i="8"/>
  <c r="ED87" i="8"/>
  <c r="DZ87" i="8"/>
  <c r="DV87" i="8"/>
  <c r="DR87" i="8"/>
  <c r="DL87" i="8"/>
  <c r="DH87" i="8"/>
  <c r="DD87" i="8"/>
  <c r="CZ87" i="8"/>
  <c r="CV87" i="8"/>
  <c r="CR87" i="8"/>
  <c r="CN87" i="8"/>
  <c r="CJ87" i="8"/>
  <c r="CD87" i="8"/>
  <c r="BZ87" i="8"/>
  <c r="BV87" i="8"/>
  <c r="BR87" i="8"/>
  <c r="BN87" i="8"/>
  <c r="BJ87" i="8"/>
  <c r="BF87" i="8"/>
  <c r="BB87" i="8"/>
  <c r="AV87" i="8"/>
  <c r="AR87" i="8"/>
  <c r="AN87" i="8"/>
  <c r="AJ87" i="8"/>
  <c r="AF87" i="8"/>
  <c r="AC87" i="8"/>
  <c r="Y87" i="8"/>
  <c r="U87" i="8"/>
  <c r="EV86" i="8"/>
  <c r="ER86" i="8"/>
  <c r="EN86" i="8"/>
  <c r="EJ86" i="8"/>
  <c r="EF86" i="8"/>
  <c r="EB86" i="8"/>
  <c r="DX86" i="8"/>
  <c r="DT86" i="8"/>
  <c r="DN86" i="8"/>
  <c r="DJ86" i="8"/>
  <c r="DF86" i="8"/>
  <c r="DB86" i="8"/>
  <c r="CX86" i="8"/>
  <c r="CT86" i="8"/>
  <c r="CP86" i="8"/>
  <c r="CL86" i="8"/>
  <c r="CF86" i="8"/>
  <c r="CB86" i="8"/>
  <c r="BX86" i="8"/>
  <c r="BT86" i="8"/>
  <c r="BP86" i="8"/>
  <c r="BL86" i="8"/>
  <c r="BH86" i="8"/>
  <c r="BD86" i="8"/>
  <c r="AX86" i="8"/>
  <c r="AT86" i="8"/>
  <c r="AP86" i="8"/>
  <c r="AL86" i="8"/>
  <c r="AH86" i="8"/>
  <c r="AD86" i="8"/>
  <c r="Z86" i="8"/>
  <c r="V86" i="8"/>
  <c r="EW85" i="8"/>
  <c r="ES85" i="8"/>
  <c r="EO85" i="8"/>
  <c r="EK85" i="8"/>
  <c r="EE85" i="8"/>
  <c r="EA85" i="8"/>
  <c r="DW85" i="8"/>
  <c r="DS85" i="8"/>
  <c r="DO85" i="8"/>
  <c r="DK85" i="8"/>
  <c r="DG85" i="8"/>
  <c r="DC85" i="8"/>
  <c r="CW85" i="8"/>
  <c r="CS85" i="8"/>
  <c r="CO85" i="8"/>
  <c r="CK85" i="8"/>
  <c r="CG85" i="8"/>
  <c r="CC85" i="8"/>
  <c r="BY85" i="8"/>
  <c r="BU85" i="8"/>
  <c r="BO85" i="8"/>
  <c r="BK85" i="8"/>
  <c r="BG85" i="8"/>
  <c r="BC85" i="8"/>
  <c r="AY85" i="8"/>
  <c r="AU85" i="8"/>
  <c r="AQ85" i="8"/>
  <c r="AM85" i="8"/>
  <c r="AG85" i="8"/>
  <c r="AC85" i="8"/>
  <c r="Y85" i="8"/>
  <c r="U85" i="8"/>
  <c r="EV84" i="8"/>
  <c r="ER84" i="8"/>
  <c r="EN84" i="8"/>
  <c r="EJ84" i="8"/>
  <c r="EF84" i="8"/>
  <c r="EB84" i="8"/>
  <c r="DX84" i="8"/>
  <c r="DT84" i="8"/>
  <c r="DN84" i="8"/>
  <c r="DJ84" i="8"/>
  <c r="DF84" i="8"/>
  <c r="DB84" i="8"/>
  <c r="CX84" i="8"/>
  <c r="CT84" i="8"/>
  <c r="CP84" i="8"/>
  <c r="CL84" i="8"/>
  <c r="CF84" i="8"/>
  <c r="CB84" i="8"/>
  <c r="BX84" i="8"/>
  <c r="BT84" i="8"/>
  <c r="BP84" i="8"/>
  <c r="BL84" i="8"/>
  <c r="BH84" i="8"/>
  <c r="BD84" i="8"/>
  <c r="AX84" i="8"/>
  <c r="AT84" i="8"/>
  <c r="AP84" i="8"/>
  <c r="AL84" i="8"/>
  <c r="AH84" i="8"/>
  <c r="AD84" i="8"/>
  <c r="Z84" i="8"/>
  <c r="V84" i="8"/>
  <c r="EW83" i="8"/>
  <c r="ES83" i="8"/>
  <c r="EO83" i="8"/>
  <c r="EK83" i="8"/>
  <c r="EE83" i="8"/>
  <c r="EA83" i="8"/>
  <c r="DW83" i="8"/>
  <c r="DS83" i="8"/>
  <c r="DO83" i="8"/>
  <c r="DK83" i="8"/>
  <c r="DG83" i="8"/>
  <c r="DC83" i="8"/>
  <c r="CW83" i="8"/>
  <c r="CS83" i="8"/>
  <c r="CO83" i="8"/>
  <c r="CK83" i="8"/>
  <c r="CG83" i="8"/>
  <c r="CC83" i="8"/>
  <c r="BY83" i="8"/>
  <c r="BU83" i="8"/>
  <c r="BO83" i="8"/>
  <c r="BK83" i="8"/>
  <c r="BG83" i="8"/>
  <c r="BC83" i="8"/>
  <c r="AY83" i="8"/>
  <c r="AU83" i="8"/>
  <c r="AQ83" i="8"/>
  <c r="AM83" i="8"/>
  <c r="AG83" i="8"/>
  <c r="AC83" i="8"/>
  <c r="Y83" i="8"/>
  <c r="U83" i="8"/>
  <c r="EV82" i="8"/>
  <c r="ER82" i="8"/>
  <c r="EN82" i="8"/>
  <c r="EJ82" i="8"/>
  <c r="EF82" i="8"/>
  <c r="EB82" i="8"/>
  <c r="DX82" i="8"/>
  <c r="DT82" i="8"/>
  <c r="DN82" i="8"/>
  <c r="DJ82" i="8"/>
  <c r="DF82" i="8"/>
  <c r="DB82" i="8"/>
  <c r="CX82" i="8"/>
  <c r="CT82" i="8"/>
  <c r="CP82" i="8"/>
  <c r="CL82" i="8"/>
  <c r="CF82" i="8"/>
  <c r="CB82" i="8"/>
  <c r="BX82" i="8"/>
  <c r="BT82" i="8"/>
  <c r="BP82" i="8"/>
  <c r="BL82" i="8"/>
  <c r="BH82" i="8"/>
  <c r="BD82" i="8"/>
  <c r="AX82" i="8"/>
  <c r="AT82" i="8"/>
  <c r="AP82" i="8"/>
  <c r="AL82" i="8"/>
  <c r="AH82" i="8"/>
  <c r="AD87" i="8"/>
  <c r="Z87" i="8"/>
  <c r="V87" i="8"/>
  <c r="EW86" i="8"/>
  <c r="ES86" i="8"/>
  <c r="EO86" i="8"/>
  <c r="EK86" i="8"/>
  <c r="EE86" i="8"/>
  <c r="EA86" i="8"/>
  <c r="DW86" i="8"/>
  <c r="DS86" i="8"/>
  <c r="DO86" i="8"/>
  <c r="DK86" i="8"/>
  <c r="DG86" i="8"/>
  <c r="DC86" i="8"/>
  <c r="CW86" i="8"/>
  <c r="CS86" i="8"/>
  <c r="CO86" i="8"/>
  <c r="CK86" i="8"/>
  <c r="CG86" i="8"/>
  <c r="CC86" i="8"/>
  <c r="BY86" i="8"/>
  <c r="BU86" i="8"/>
  <c r="BO86" i="8"/>
  <c r="BK86" i="8"/>
  <c r="BG86" i="8"/>
  <c r="BC86" i="8"/>
  <c r="AY86" i="8"/>
  <c r="AU86" i="8"/>
  <c r="AQ86" i="8"/>
  <c r="AM86" i="8"/>
  <c r="AG86" i="8"/>
  <c r="AC86" i="8"/>
  <c r="Y86" i="8"/>
  <c r="U86" i="8"/>
  <c r="EV85" i="8"/>
  <c r="ER85" i="8"/>
  <c r="EN85" i="8"/>
  <c r="EJ85" i="8"/>
  <c r="EF85" i="8"/>
  <c r="EB85" i="8"/>
  <c r="DX85" i="8"/>
  <c r="DT85" i="8"/>
  <c r="DN85" i="8"/>
  <c r="DJ85" i="8"/>
  <c r="DF85" i="8"/>
  <c r="DB85" i="8"/>
  <c r="CX85" i="8"/>
  <c r="CT85" i="8"/>
  <c r="CP85" i="8"/>
  <c r="CL85" i="8"/>
  <c r="CF85" i="8"/>
  <c r="CB85" i="8"/>
  <c r="BX85" i="8"/>
  <c r="BT85" i="8"/>
  <c r="BP85" i="8"/>
  <c r="BL85" i="8"/>
  <c r="BH85" i="8"/>
  <c r="BD85" i="8"/>
  <c r="AX85" i="8"/>
  <c r="AT85" i="8"/>
  <c r="AP85" i="8"/>
  <c r="AL85" i="8"/>
  <c r="AH85" i="8"/>
  <c r="AD85" i="8"/>
  <c r="Z85" i="8"/>
  <c r="V85" i="8"/>
  <c r="EW84" i="8"/>
  <c r="ES84" i="8"/>
  <c r="EO84" i="8"/>
  <c r="EK84" i="8"/>
  <c r="EE84" i="8"/>
  <c r="EA84" i="8"/>
  <c r="DW84" i="8"/>
  <c r="DS84" i="8"/>
  <c r="DO84" i="8"/>
  <c r="DK84" i="8"/>
  <c r="DG84" i="8"/>
  <c r="DC84" i="8"/>
  <c r="CW84" i="8"/>
  <c r="CS84" i="8"/>
  <c r="CO84" i="8"/>
  <c r="CK84" i="8"/>
  <c r="CG84" i="8"/>
  <c r="CC84" i="8"/>
  <c r="BY84" i="8"/>
  <c r="BU84" i="8"/>
  <c r="BO84" i="8"/>
  <c r="BK84" i="8"/>
  <c r="BG84" i="8"/>
  <c r="BC84" i="8"/>
  <c r="AY84" i="8"/>
  <c r="AU84" i="8"/>
  <c r="AQ84" i="8"/>
  <c r="AM84" i="8"/>
  <c r="AG84" i="8"/>
  <c r="AC84" i="8"/>
  <c r="Y84" i="8"/>
  <c r="U84" i="8"/>
  <c r="EV83" i="8"/>
  <c r="ER83" i="8"/>
  <c r="EN83" i="8"/>
  <c r="EJ83" i="8"/>
  <c r="EF83" i="8"/>
  <c r="EB83" i="8"/>
  <c r="DX83" i="8"/>
  <c r="DT83" i="8"/>
  <c r="DN83" i="8"/>
  <c r="DJ83" i="8"/>
  <c r="DF83" i="8"/>
  <c r="DB83" i="8"/>
  <c r="CX83" i="8"/>
  <c r="CT83" i="8"/>
  <c r="CP83" i="8"/>
  <c r="CL83" i="8"/>
  <c r="CF83" i="8"/>
  <c r="CB83" i="8"/>
  <c r="BX83" i="8"/>
  <c r="BT83" i="8"/>
  <c r="BP83" i="8"/>
  <c r="BL83" i="8"/>
  <c r="BH83" i="8"/>
  <c r="BD83" i="8"/>
  <c r="AX83" i="8"/>
  <c r="AT83" i="8"/>
  <c r="AP83" i="8"/>
  <c r="AL83" i="8"/>
  <c r="AH83" i="8"/>
  <c r="AD83" i="8"/>
  <c r="Z83" i="8"/>
  <c r="V83" i="8"/>
  <c r="EW82" i="8"/>
  <c r="ES82" i="8"/>
  <c r="EO82" i="8"/>
  <c r="EK82" i="8"/>
  <c r="EE82" i="8"/>
  <c r="EA82" i="8"/>
  <c r="DW82" i="8"/>
  <c r="DS82" i="8"/>
  <c r="DO82" i="8"/>
  <c r="DK82" i="8"/>
  <c r="DG82" i="8"/>
  <c r="DC82" i="8"/>
  <c r="CW82" i="8"/>
  <c r="CS82" i="8"/>
  <c r="CO82" i="8"/>
  <c r="CK82" i="8"/>
  <c r="CG82" i="8"/>
  <c r="CC82" i="8"/>
  <c r="BY82" i="8"/>
  <c r="BU82" i="8"/>
  <c r="BO82" i="8"/>
  <c r="BK82" i="8"/>
  <c r="BG82" i="8"/>
  <c r="BC82" i="8"/>
  <c r="AY82" i="8"/>
  <c r="AU82" i="8"/>
  <c r="AQ82" i="8"/>
  <c r="AM82" i="8"/>
  <c r="AG82" i="8"/>
  <c r="AB82" i="8"/>
  <c r="X82" i="8"/>
  <c r="T82" i="8"/>
  <c r="EU81" i="8"/>
  <c r="EQ81" i="8"/>
  <c r="EM81" i="8"/>
  <c r="EI81" i="8"/>
  <c r="EC81" i="8"/>
  <c r="DY81" i="8"/>
  <c r="DU81" i="8"/>
  <c r="DQ81" i="8"/>
  <c r="DM81" i="8"/>
  <c r="DI81" i="8"/>
  <c r="DE81" i="8"/>
  <c r="DA81" i="8"/>
  <c r="CU81" i="8"/>
  <c r="CQ81" i="8"/>
  <c r="CM81" i="8"/>
  <c r="CI81" i="8"/>
  <c r="CE81" i="8"/>
  <c r="CA81" i="8"/>
  <c r="BW81" i="8"/>
  <c r="BS81" i="8"/>
  <c r="BM81" i="8"/>
  <c r="BI81" i="8"/>
  <c r="BE81" i="8"/>
  <c r="BA81" i="8"/>
  <c r="AW81" i="8"/>
  <c r="AS81" i="8"/>
  <c r="AO81" i="8"/>
  <c r="AK81" i="8"/>
  <c r="AE81" i="8"/>
  <c r="AA81" i="8"/>
  <c r="W81" i="8"/>
  <c r="S81" i="8"/>
  <c r="ET80" i="8"/>
  <c r="EP80" i="8"/>
  <c r="EL80" i="8"/>
  <c r="EH80" i="8"/>
  <c r="ED80" i="8"/>
  <c r="DZ80" i="8"/>
  <c r="DV80" i="8"/>
  <c r="DR80" i="8"/>
  <c r="DL80" i="8"/>
  <c r="DH80" i="8"/>
  <c r="DD80" i="8"/>
  <c r="CZ80" i="8"/>
  <c r="CV80" i="8"/>
  <c r="CR80" i="8"/>
  <c r="CN80" i="8"/>
  <c r="CJ80" i="8"/>
  <c r="CD80" i="8"/>
  <c r="BZ80" i="8"/>
  <c r="BV80" i="8"/>
  <c r="BR80" i="8"/>
  <c r="BN80" i="8"/>
  <c r="BJ80" i="8"/>
  <c r="BF80" i="8"/>
  <c r="BB80" i="8"/>
  <c r="AV80" i="8"/>
  <c r="AR80" i="8"/>
  <c r="AN80" i="8"/>
  <c r="AJ80" i="8"/>
  <c r="AF80" i="8"/>
  <c r="AB80" i="8"/>
  <c r="X80" i="8"/>
  <c r="T80" i="8"/>
  <c r="EU79" i="8"/>
  <c r="EQ79" i="8"/>
  <c r="EM79" i="8"/>
  <c r="EI79" i="8"/>
  <c r="EC79" i="8"/>
  <c r="DY79" i="8"/>
  <c r="DU79" i="8"/>
  <c r="DQ79" i="8"/>
  <c r="DM79" i="8"/>
  <c r="DI79" i="8"/>
  <c r="DE79" i="8"/>
  <c r="DA79" i="8"/>
  <c r="CU79" i="8"/>
  <c r="CQ79" i="8"/>
  <c r="CM79" i="8"/>
  <c r="CI79" i="8"/>
  <c r="CE79" i="8"/>
  <c r="CA79" i="8"/>
  <c r="BW79" i="8"/>
  <c r="BS79" i="8"/>
  <c r="BM79" i="8"/>
  <c r="BI79" i="8"/>
  <c r="BE79" i="8"/>
  <c r="BA79" i="8"/>
  <c r="AW79" i="8"/>
  <c r="AS79" i="8"/>
  <c r="AO79" i="8"/>
  <c r="AK79" i="8"/>
  <c r="AE79" i="8"/>
  <c r="AA79" i="8"/>
  <c r="W79" i="8"/>
  <c r="S79" i="8"/>
  <c r="ET78" i="8"/>
  <c r="EP78" i="8"/>
  <c r="EL78" i="8"/>
  <c r="EH78" i="8"/>
  <c r="ED78" i="8"/>
  <c r="DZ78" i="8"/>
  <c r="DV78" i="8"/>
  <c r="DR78" i="8"/>
  <c r="DL78" i="8"/>
  <c r="DH78" i="8"/>
  <c r="DD78" i="8"/>
  <c r="CZ78" i="8"/>
  <c r="CV78" i="8"/>
  <c r="CR78" i="8"/>
  <c r="CN78" i="8"/>
  <c r="CJ78" i="8"/>
  <c r="CD78" i="8"/>
  <c r="BZ78" i="8"/>
  <c r="BV78" i="8"/>
  <c r="BR78" i="8"/>
  <c r="BN78" i="8"/>
  <c r="BJ78" i="8"/>
  <c r="BF78" i="8"/>
  <c r="BB78" i="8"/>
  <c r="AV78" i="8"/>
  <c r="AR78" i="8"/>
  <c r="AN78" i="8"/>
  <c r="AJ78" i="8"/>
  <c r="AF78" i="8"/>
  <c r="AB78" i="8"/>
  <c r="X78" i="8"/>
  <c r="T78" i="8"/>
  <c r="EU77" i="8"/>
  <c r="EQ77" i="8"/>
  <c r="EM77" i="8"/>
  <c r="EI77" i="8"/>
  <c r="EC77" i="8"/>
  <c r="DY77" i="8"/>
  <c r="DU77" i="8"/>
  <c r="DQ77" i="8"/>
  <c r="DM77" i="8"/>
  <c r="DI77" i="8"/>
  <c r="DE77" i="8"/>
  <c r="DA77" i="8"/>
  <c r="CU77" i="8"/>
  <c r="CQ77" i="8"/>
  <c r="CM77" i="8"/>
  <c r="CI77" i="8"/>
  <c r="CE77" i="8"/>
  <c r="CA77" i="8"/>
  <c r="BW77" i="8"/>
  <c r="BS77" i="8"/>
  <c r="BM77" i="8"/>
  <c r="BI77" i="8"/>
  <c r="BE77" i="8"/>
  <c r="BA77" i="8"/>
  <c r="AW77" i="8"/>
  <c r="AS77" i="8"/>
  <c r="AO77" i="8"/>
  <c r="AK77" i="8"/>
  <c r="AE77" i="8"/>
  <c r="AA77" i="8"/>
  <c r="W77" i="8"/>
  <c r="S77" i="8"/>
  <c r="ET76" i="8"/>
  <c r="EP76" i="8"/>
  <c r="EL76" i="8"/>
  <c r="EH76" i="8"/>
  <c r="ED76" i="8"/>
  <c r="DZ76" i="8"/>
  <c r="DV76" i="8"/>
  <c r="DR76" i="8"/>
  <c r="DL76" i="8"/>
  <c r="DH76" i="8"/>
  <c r="DD76" i="8"/>
  <c r="CZ76" i="8"/>
  <c r="CV76" i="8"/>
  <c r="CR76" i="8"/>
  <c r="CN76" i="8"/>
  <c r="CJ76" i="8"/>
  <c r="CD76" i="8"/>
  <c r="BZ76" i="8"/>
  <c r="BV76" i="8"/>
  <c r="BR76" i="8"/>
  <c r="BN76" i="8"/>
  <c r="BJ76" i="8"/>
  <c r="BF76" i="8"/>
  <c r="BB76" i="8"/>
  <c r="AV76" i="8"/>
  <c r="AR76" i="8"/>
  <c r="AN76" i="8"/>
  <c r="AJ76" i="8"/>
  <c r="AF76" i="8"/>
  <c r="AB76" i="8"/>
  <c r="X76" i="8"/>
  <c r="T76" i="8"/>
  <c r="EU75" i="8"/>
  <c r="EQ75" i="8"/>
  <c r="EM75" i="8"/>
  <c r="EI75" i="8"/>
  <c r="EC75" i="8"/>
  <c r="DY75" i="8"/>
  <c r="DU75" i="8"/>
  <c r="DQ75" i="8"/>
  <c r="DM75" i="8"/>
  <c r="DI75" i="8"/>
  <c r="DE75" i="8"/>
  <c r="DA75" i="8"/>
  <c r="CU75" i="8"/>
  <c r="CQ75" i="8"/>
  <c r="CM75" i="8"/>
  <c r="CI75" i="8"/>
  <c r="CE75" i="8"/>
  <c r="CA75" i="8"/>
  <c r="BW75" i="8"/>
  <c r="BS75" i="8"/>
  <c r="BM75" i="8"/>
  <c r="BI75" i="8"/>
  <c r="BE75" i="8"/>
  <c r="BA75" i="8"/>
  <c r="AW75" i="8"/>
  <c r="AS75" i="8"/>
  <c r="AO75" i="8"/>
  <c r="AK75" i="8"/>
  <c r="AE75" i="8"/>
  <c r="AA75" i="8"/>
  <c r="W75" i="8"/>
  <c r="S75" i="8"/>
  <c r="ET74" i="8"/>
  <c r="EP74" i="8"/>
  <c r="EL74" i="8"/>
  <c r="EH74" i="8"/>
  <c r="ED74" i="8"/>
  <c r="DZ74" i="8"/>
  <c r="DV74" i="8"/>
  <c r="DR74" i="8"/>
  <c r="DL74" i="8"/>
  <c r="DH74" i="8"/>
  <c r="DD74" i="8"/>
  <c r="CZ74" i="8"/>
  <c r="CV74" i="8"/>
  <c r="CR74" i="8"/>
  <c r="CN74" i="8"/>
  <c r="CJ74" i="8"/>
  <c r="CD74" i="8"/>
  <c r="BZ74" i="8"/>
  <c r="BV74" i="8"/>
  <c r="BR74" i="8"/>
  <c r="BN74" i="8"/>
  <c r="BJ74" i="8"/>
  <c r="BF74" i="8"/>
  <c r="BB74" i="8"/>
  <c r="AV74" i="8"/>
  <c r="AR74" i="8"/>
  <c r="AN74" i="8"/>
  <c r="AJ74" i="8"/>
  <c r="AF74" i="8"/>
  <c r="AB74" i="8"/>
  <c r="X74" i="8"/>
  <c r="T74" i="8"/>
  <c r="EU73" i="8"/>
  <c r="EQ73" i="8"/>
  <c r="EM73" i="8"/>
  <c r="EI73" i="8"/>
  <c r="EC73" i="8"/>
  <c r="DY73" i="8"/>
  <c r="DU73" i="8"/>
  <c r="DQ73" i="8"/>
  <c r="DM73" i="8"/>
  <c r="DI73" i="8"/>
  <c r="DE73" i="8"/>
  <c r="DA73" i="8"/>
  <c r="CU73" i="8"/>
  <c r="CQ73" i="8"/>
  <c r="CM73" i="8"/>
  <c r="CI73" i="8"/>
  <c r="CE73" i="8"/>
  <c r="CA73" i="8"/>
  <c r="BW73" i="8"/>
  <c r="BS73" i="8"/>
  <c r="BM73" i="8"/>
  <c r="BI73" i="8"/>
  <c r="BE73" i="8"/>
  <c r="BA73" i="8"/>
  <c r="AW73" i="8"/>
  <c r="AS73" i="8"/>
  <c r="AO73" i="8"/>
  <c r="AK73" i="8"/>
  <c r="AE73" i="8"/>
  <c r="AA73" i="8"/>
  <c r="W73" i="8"/>
  <c r="S73" i="8"/>
  <c r="ET72" i="8"/>
  <c r="EP72" i="8"/>
  <c r="EL72" i="8"/>
  <c r="EH72" i="8"/>
  <c r="ED72" i="8"/>
  <c r="DZ72" i="8"/>
  <c r="DV72" i="8"/>
  <c r="DR72" i="8"/>
  <c r="DL72" i="8"/>
  <c r="DH72" i="8"/>
  <c r="DD72" i="8"/>
  <c r="CZ72" i="8"/>
  <c r="CV72" i="8"/>
  <c r="CR72" i="8"/>
  <c r="CN72" i="8"/>
  <c r="CJ72" i="8"/>
  <c r="CD72" i="8"/>
  <c r="BZ72" i="8"/>
  <c r="BV72" i="8"/>
  <c r="BR72" i="8"/>
  <c r="BN72" i="8"/>
  <c r="BJ72" i="8"/>
  <c r="BF72" i="8"/>
  <c r="BB72" i="8"/>
  <c r="AV72" i="8"/>
  <c r="AR72" i="8"/>
  <c r="AN72" i="8"/>
  <c r="AC82" i="8"/>
  <c r="Y82" i="8"/>
  <c r="U82" i="8"/>
  <c r="EV81" i="8"/>
  <c r="ER81" i="8"/>
  <c r="EN81" i="8"/>
  <c r="EJ81" i="8"/>
  <c r="EF81" i="8"/>
  <c r="EB81" i="8"/>
  <c r="DX81" i="8"/>
  <c r="DT81" i="8"/>
  <c r="DN81" i="8"/>
  <c r="DJ81" i="8"/>
  <c r="DF81" i="8"/>
  <c r="DB81" i="8"/>
  <c r="CX81" i="8"/>
  <c r="CT81" i="8"/>
  <c r="CP81" i="8"/>
  <c r="CL81" i="8"/>
  <c r="CF81" i="8"/>
  <c r="CB81" i="8"/>
  <c r="BX81" i="8"/>
  <c r="BT81" i="8"/>
  <c r="BP81" i="8"/>
  <c r="BL81" i="8"/>
  <c r="BH81" i="8"/>
  <c r="BD81" i="8"/>
  <c r="AX81" i="8"/>
  <c r="AT81" i="8"/>
  <c r="AP81" i="8"/>
  <c r="AL81" i="8"/>
  <c r="AH81" i="8"/>
  <c r="AD81" i="8"/>
  <c r="Z81" i="8"/>
  <c r="V81" i="8"/>
  <c r="EW80" i="8"/>
  <c r="ES80" i="8"/>
  <c r="EO80" i="8"/>
  <c r="EK80" i="8"/>
  <c r="EE80" i="8"/>
  <c r="EA80" i="8"/>
  <c r="DW80" i="8"/>
  <c r="DS80" i="8"/>
  <c r="DO80" i="8"/>
  <c r="DK80" i="8"/>
  <c r="DG80" i="8"/>
  <c r="DC80" i="8"/>
  <c r="CW80" i="8"/>
  <c r="CS80" i="8"/>
  <c r="CO80" i="8"/>
  <c r="CK80" i="8"/>
  <c r="CG80" i="8"/>
  <c r="CC80" i="8"/>
  <c r="BY80" i="8"/>
  <c r="BU80" i="8"/>
  <c r="BO80" i="8"/>
  <c r="BK80" i="8"/>
  <c r="BG80" i="8"/>
  <c r="BC80" i="8"/>
  <c r="AY80" i="8"/>
  <c r="AU80" i="8"/>
  <c r="AQ80" i="8"/>
  <c r="AM80" i="8"/>
  <c r="AG80" i="8"/>
  <c r="AC80" i="8"/>
  <c r="Y80" i="8"/>
  <c r="U80" i="8"/>
  <c r="EV79" i="8"/>
  <c r="ER79" i="8"/>
  <c r="EN79" i="8"/>
  <c r="EJ79" i="8"/>
  <c r="EF79" i="8"/>
  <c r="EB79" i="8"/>
  <c r="DX79" i="8"/>
  <c r="DT79" i="8"/>
  <c r="DN79" i="8"/>
  <c r="DJ79" i="8"/>
  <c r="DF79" i="8"/>
  <c r="DB79" i="8"/>
  <c r="CX79" i="8"/>
  <c r="CT79" i="8"/>
  <c r="CP79" i="8"/>
  <c r="CL79" i="8"/>
  <c r="CF79" i="8"/>
  <c r="CB79" i="8"/>
  <c r="BX79" i="8"/>
  <c r="BT79" i="8"/>
  <c r="BP79" i="8"/>
  <c r="BL79" i="8"/>
  <c r="BH79" i="8"/>
  <c r="BD79" i="8"/>
  <c r="AX79" i="8"/>
  <c r="AT79" i="8"/>
  <c r="AP79" i="8"/>
  <c r="AL79" i="8"/>
  <c r="AH79" i="8"/>
  <c r="AD79" i="8"/>
  <c r="Z79" i="8"/>
  <c r="V79" i="8"/>
  <c r="EW78" i="8"/>
  <c r="ES78" i="8"/>
  <c r="EO78" i="8"/>
  <c r="EK78" i="8"/>
  <c r="EE78" i="8"/>
  <c r="EA78" i="8"/>
  <c r="DW78" i="8"/>
  <c r="DS78" i="8"/>
  <c r="DO78" i="8"/>
  <c r="DK78" i="8"/>
  <c r="DG78" i="8"/>
  <c r="DC78" i="8"/>
  <c r="CW78" i="8"/>
  <c r="CS78" i="8"/>
  <c r="CO78" i="8"/>
  <c r="CK78" i="8"/>
  <c r="CG78" i="8"/>
  <c r="CC78" i="8"/>
  <c r="BY78" i="8"/>
  <c r="BU78" i="8"/>
  <c r="BO78" i="8"/>
  <c r="BK78" i="8"/>
  <c r="BG78" i="8"/>
  <c r="BC78" i="8"/>
  <c r="AY78" i="8"/>
  <c r="AU78" i="8"/>
  <c r="AQ78" i="8"/>
  <c r="AM78" i="8"/>
  <c r="AG78" i="8"/>
  <c r="AC78" i="8"/>
  <c r="Y78" i="8"/>
  <c r="U78" i="8"/>
  <c r="EV77" i="8"/>
  <c r="ER77" i="8"/>
  <c r="EN77" i="8"/>
  <c r="EJ77" i="8"/>
  <c r="EF77" i="8"/>
  <c r="EB77" i="8"/>
  <c r="DX77" i="8"/>
  <c r="DT77" i="8"/>
  <c r="DN77" i="8"/>
  <c r="DJ77" i="8"/>
  <c r="DF77" i="8"/>
  <c r="DB77" i="8"/>
  <c r="CX77" i="8"/>
  <c r="CT77" i="8"/>
  <c r="CP77" i="8"/>
  <c r="CL77" i="8"/>
  <c r="CF77" i="8"/>
  <c r="CB77" i="8"/>
  <c r="BX77" i="8"/>
  <c r="BT77" i="8"/>
  <c r="BP77" i="8"/>
  <c r="BL77" i="8"/>
  <c r="BH77" i="8"/>
  <c r="BD77" i="8"/>
  <c r="AX77" i="8"/>
  <c r="AT77" i="8"/>
  <c r="AP77" i="8"/>
  <c r="AL77" i="8"/>
  <c r="AH77" i="8"/>
  <c r="AD77" i="8"/>
  <c r="Z77" i="8"/>
  <c r="V77" i="8"/>
  <c r="EW76" i="8"/>
  <c r="ES76" i="8"/>
  <c r="EO76" i="8"/>
  <c r="EK76" i="8"/>
  <c r="EE76" i="8"/>
  <c r="EA76" i="8"/>
  <c r="DW76" i="8"/>
  <c r="DS76" i="8"/>
  <c r="DO76" i="8"/>
  <c r="DK76" i="8"/>
  <c r="DG76" i="8"/>
  <c r="DC76" i="8"/>
  <c r="CW76" i="8"/>
  <c r="CS76" i="8"/>
  <c r="CO76" i="8"/>
  <c r="CK76" i="8"/>
  <c r="CG76" i="8"/>
  <c r="CC76" i="8"/>
  <c r="BY76" i="8"/>
  <c r="BU76" i="8"/>
  <c r="BO76" i="8"/>
  <c r="BK76" i="8"/>
  <c r="BG76" i="8"/>
  <c r="BC76" i="8"/>
  <c r="AY76" i="8"/>
  <c r="AU76" i="8"/>
  <c r="AQ76" i="8"/>
  <c r="AM76" i="8"/>
  <c r="AG76" i="8"/>
  <c r="AC76" i="8"/>
  <c r="Y76" i="8"/>
  <c r="U76" i="8"/>
  <c r="EV75" i="8"/>
  <c r="ER75" i="8"/>
  <c r="EN75" i="8"/>
  <c r="EJ75" i="8"/>
  <c r="EF75" i="8"/>
  <c r="EB75" i="8"/>
  <c r="DX75" i="8"/>
  <c r="DT75" i="8"/>
  <c r="DN75" i="8"/>
  <c r="DJ75" i="8"/>
  <c r="DF75" i="8"/>
  <c r="DB75" i="8"/>
  <c r="CX75" i="8"/>
  <c r="CT75" i="8"/>
  <c r="CP75" i="8"/>
  <c r="CL75" i="8"/>
  <c r="CF75" i="8"/>
  <c r="CB75" i="8"/>
  <c r="BX75" i="8"/>
  <c r="BT75" i="8"/>
  <c r="BP75" i="8"/>
  <c r="BL75" i="8"/>
  <c r="BH75" i="8"/>
  <c r="BD75" i="8"/>
  <c r="AX75" i="8"/>
  <c r="AT75" i="8"/>
  <c r="AP75" i="8"/>
  <c r="AL75" i="8"/>
  <c r="AH75" i="8"/>
  <c r="AD75" i="8"/>
  <c r="Z75" i="8"/>
  <c r="V75" i="8"/>
  <c r="EW74" i="8"/>
  <c r="ES74" i="8"/>
  <c r="EO74" i="8"/>
  <c r="EK74" i="8"/>
  <c r="EE74" i="8"/>
  <c r="EA74" i="8"/>
  <c r="DW74" i="8"/>
  <c r="DS74" i="8"/>
  <c r="DO74" i="8"/>
  <c r="DK74" i="8"/>
  <c r="DG74" i="8"/>
  <c r="DC74" i="8"/>
  <c r="CW74" i="8"/>
  <c r="CS74" i="8"/>
  <c r="CO74" i="8"/>
  <c r="CK74" i="8"/>
  <c r="CE74" i="8"/>
  <c r="BW74" i="8"/>
  <c r="BO74" i="8"/>
  <c r="BG74" i="8"/>
  <c r="AY74" i="8"/>
  <c r="AQ74" i="8"/>
  <c r="AE74" i="8"/>
  <c r="W74" i="8"/>
  <c r="EV73" i="8"/>
  <c r="EN73" i="8"/>
  <c r="EF73" i="8"/>
  <c r="DX73" i="8"/>
  <c r="DL73" i="8"/>
  <c r="DD73" i="8"/>
  <c r="CV73" i="8"/>
  <c r="CN73" i="8"/>
  <c r="CF73" i="8"/>
  <c r="BX73" i="8"/>
  <c r="BP73" i="8"/>
  <c r="BH73" i="8"/>
  <c r="AV73" i="8"/>
  <c r="AN73" i="8"/>
  <c r="AF73" i="8"/>
  <c r="X73" i="8"/>
  <c r="EW72" i="8"/>
  <c r="EO72" i="8"/>
  <c r="EC72" i="8"/>
  <c r="DU72" i="8"/>
  <c r="DM72" i="8"/>
  <c r="DE72" i="8"/>
  <c r="CW72" i="8"/>
  <c r="CO72" i="8"/>
  <c r="CG72" i="8"/>
  <c r="BY72" i="8"/>
  <c r="BM72" i="8"/>
  <c r="BE72" i="8"/>
  <c r="AW72" i="8"/>
  <c r="AO72" i="8"/>
  <c r="AJ72" i="8"/>
  <c r="AF72" i="8"/>
  <c r="AB72" i="8"/>
  <c r="X72" i="8"/>
  <c r="T72" i="8"/>
  <c r="EU71" i="8"/>
  <c r="EQ71" i="8"/>
  <c r="EM71" i="8"/>
  <c r="EI71" i="8"/>
  <c r="EC71" i="8"/>
  <c r="DY71" i="8"/>
  <c r="DU71" i="8"/>
  <c r="DQ71" i="8"/>
  <c r="DM71" i="8"/>
  <c r="DI71" i="8"/>
  <c r="DE71" i="8"/>
  <c r="DA71" i="8"/>
  <c r="CU71" i="8"/>
  <c r="CQ71" i="8"/>
  <c r="CM71" i="8"/>
  <c r="CI71" i="8"/>
  <c r="CE71" i="8"/>
  <c r="CA71" i="8"/>
  <c r="BW71" i="8"/>
  <c r="BS71" i="8"/>
  <c r="BM71" i="8"/>
  <c r="BI71" i="8"/>
  <c r="BE71" i="8"/>
  <c r="BA71" i="8"/>
  <c r="AW71" i="8"/>
  <c r="AS71" i="8"/>
  <c r="AO71" i="8"/>
  <c r="AK71" i="8"/>
  <c r="AE71" i="8"/>
  <c r="AA71" i="8"/>
  <c r="W71" i="8"/>
  <c r="S71" i="8"/>
  <c r="ET70" i="8"/>
  <c r="EP70" i="8"/>
  <c r="EL70" i="8"/>
  <c r="EH70" i="8"/>
  <c r="ED70" i="8"/>
  <c r="DZ70" i="8"/>
  <c r="DV70" i="8"/>
  <c r="DR70" i="8"/>
  <c r="DL70" i="8"/>
  <c r="DH70" i="8"/>
  <c r="DD70" i="8"/>
  <c r="CZ70" i="8"/>
  <c r="CV70" i="8"/>
  <c r="CR70" i="8"/>
  <c r="CN70" i="8"/>
  <c r="CJ70" i="8"/>
  <c r="CD70" i="8"/>
  <c r="BZ70" i="8"/>
  <c r="BV70" i="8"/>
  <c r="BR70" i="8"/>
  <c r="BN70" i="8"/>
  <c r="BJ70" i="8"/>
  <c r="BF70" i="8"/>
  <c r="BB70" i="8"/>
  <c r="AV70" i="8"/>
  <c r="AR70" i="8"/>
  <c r="AN70" i="8"/>
  <c r="AJ70" i="8"/>
  <c r="AF70" i="8"/>
  <c r="AB70" i="8"/>
  <c r="X70" i="8"/>
  <c r="T70" i="8"/>
  <c r="EU69" i="8"/>
  <c r="EQ69" i="8"/>
  <c r="EM69" i="8"/>
  <c r="EI69" i="8"/>
  <c r="EC69" i="8"/>
  <c r="DY69" i="8"/>
  <c r="DU69" i="8"/>
  <c r="DQ69" i="8"/>
  <c r="DM69" i="8"/>
  <c r="DI69" i="8"/>
  <c r="DE69" i="8"/>
  <c r="DA69" i="8"/>
  <c r="CU69" i="8"/>
  <c r="CQ69" i="8"/>
  <c r="CM69" i="8"/>
  <c r="CI69" i="8"/>
  <c r="CE69" i="8"/>
  <c r="CA69" i="8"/>
  <c r="BW69" i="8"/>
  <c r="BS69" i="8"/>
  <c r="BM69" i="8"/>
  <c r="BI69" i="8"/>
  <c r="BE69" i="8"/>
  <c r="BA69" i="8"/>
  <c r="AW69" i="8"/>
  <c r="AS69" i="8"/>
  <c r="AO69" i="8"/>
  <c r="AK69" i="8"/>
  <c r="AE69" i="8"/>
  <c r="AA69" i="8"/>
  <c r="W69" i="8"/>
  <c r="S69" i="8"/>
  <c r="ET68" i="8"/>
  <c r="EP68" i="8"/>
  <c r="EL68" i="8"/>
  <c r="EH68" i="8"/>
  <c r="ED68" i="8"/>
  <c r="DZ68" i="8"/>
  <c r="DV68" i="8"/>
  <c r="DR68" i="8"/>
  <c r="DL68" i="8"/>
  <c r="DH68" i="8"/>
  <c r="DD68" i="8"/>
  <c r="CZ68" i="8"/>
  <c r="CV68" i="8"/>
  <c r="CR68" i="8"/>
  <c r="CN68" i="8"/>
  <c r="CJ68" i="8"/>
  <c r="CD68" i="8"/>
  <c r="BZ68" i="8"/>
  <c r="BV68" i="8"/>
  <c r="BR68" i="8"/>
  <c r="BN68" i="8"/>
  <c r="BJ68" i="8"/>
  <c r="BF68" i="8"/>
  <c r="BB68" i="8"/>
  <c r="AV68" i="8"/>
  <c r="AR68" i="8"/>
  <c r="AN68" i="8"/>
  <c r="AJ68" i="8"/>
  <c r="AF68" i="8"/>
  <c r="AB68" i="8"/>
  <c r="X68" i="8"/>
  <c r="T68" i="8"/>
  <c r="EU67" i="8"/>
  <c r="EQ67" i="8"/>
  <c r="EM67" i="8"/>
  <c r="EI67" i="8"/>
  <c r="EC67" i="8"/>
  <c r="DY67" i="8"/>
  <c r="DU67" i="8"/>
  <c r="DQ67" i="8"/>
  <c r="DM67" i="8"/>
  <c r="DI67" i="8"/>
  <c r="DE67" i="8"/>
  <c r="DA67" i="8"/>
  <c r="CU67" i="8"/>
  <c r="CQ67" i="8"/>
  <c r="CM67" i="8"/>
  <c r="CI67" i="8"/>
  <c r="CE67" i="8"/>
  <c r="CA67" i="8"/>
  <c r="BW67" i="8"/>
  <c r="BS67" i="8"/>
  <c r="BM67" i="8"/>
  <c r="BI67" i="8"/>
  <c r="BE67" i="8"/>
  <c r="BA67" i="8"/>
  <c r="AW67" i="8"/>
  <c r="AS67" i="8"/>
  <c r="AO67" i="8"/>
  <c r="AK67" i="8"/>
  <c r="AE67" i="8"/>
  <c r="AA67" i="8"/>
  <c r="W67" i="8"/>
  <c r="S67" i="8"/>
  <c r="ET66" i="8"/>
  <c r="EP66" i="8"/>
  <c r="EL66" i="8"/>
  <c r="EH66" i="8"/>
  <c r="ED66" i="8"/>
  <c r="DZ66" i="8"/>
  <c r="DV66" i="8"/>
  <c r="DR66" i="8"/>
  <c r="DL66" i="8"/>
  <c r="DH66" i="8"/>
  <c r="DD66" i="8"/>
  <c r="CZ66" i="8"/>
  <c r="CV66" i="8"/>
  <c r="CR66" i="8"/>
  <c r="CN66" i="8"/>
  <c r="CJ66" i="8"/>
  <c r="CD66" i="8"/>
  <c r="BZ66" i="8"/>
  <c r="BV66" i="8"/>
  <c r="BR66" i="8"/>
  <c r="BN66" i="8"/>
  <c r="BJ66" i="8"/>
  <c r="BF66" i="8"/>
  <c r="BB66" i="8"/>
  <c r="AV66" i="8"/>
  <c r="AR66" i="8"/>
  <c r="AN66" i="8"/>
  <c r="AJ66" i="8"/>
  <c r="AF66" i="8"/>
  <c r="AB66" i="8"/>
  <c r="X66" i="8"/>
  <c r="T66" i="8"/>
  <c r="EU65" i="8"/>
  <c r="EQ65" i="8"/>
  <c r="EM65" i="8"/>
  <c r="EI65" i="8"/>
  <c r="EC65" i="8"/>
  <c r="DY65" i="8"/>
  <c r="DU65" i="8"/>
  <c r="DQ65" i="8"/>
  <c r="DM65" i="8"/>
  <c r="DI65" i="8"/>
  <c r="DE65" i="8"/>
  <c r="DA65" i="8"/>
  <c r="CU65" i="8"/>
  <c r="CQ65" i="8"/>
  <c r="CM65" i="8"/>
  <c r="CI65" i="8"/>
  <c r="CE65" i="8"/>
  <c r="CA65" i="8"/>
  <c r="BW65" i="8"/>
  <c r="BS65" i="8"/>
  <c r="BM65" i="8"/>
  <c r="BI65" i="8"/>
  <c r="BE65" i="8"/>
  <c r="BA65" i="8"/>
  <c r="AW65" i="8"/>
  <c r="AS65" i="8"/>
  <c r="AO65" i="8"/>
  <c r="AK65" i="8"/>
  <c r="AE65" i="8"/>
  <c r="AA65" i="8"/>
  <c r="W65" i="8"/>
  <c r="S65" i="8"/>
  <c r="ET64" i="8"/>
  <c r="EP64" i="8"/>
  <c r="EL64" i="8"/>
  <c r="EH64" i="8"/>
  <c r="ED64" i="8"/>
  <c r="DZ64" i="8"/>
  <c r="DV64" i="8"/>
  <c r="DR64" i="8"/>
  <c r="DL64" i="8"/>
  <c r="DH64" i="8"/>
  <c r="DD64" i="8"/>
  <c r="CZ64" i="8"/>
  <c r="CV64" i="8"/>
  <c r="CR64" i="8"/>
  <c r="CN64" i="8"/>
  <c r="CJ64" i="8"/>
  <c r="CD64" i="8"/>
  <c r="BZ64" i="8"/>
  <c r="BV64" i="8"/>
  <c r="BR64" i="8"/>
  <c r="BN64" i="8"/>
  <c r="BJ64" i="8"/>
  <c r="BF64" i="8"/>
  <c r="BB64" i="8"/>
  <c r="AV64" i="8"/>
  <c r="AR64" i="8"/>
  <c r="AN64" i="8"/>
  <c r="AJ64" i="8"/>
  <c r="AF64" i="8"/>
  <c r="AB64" i="8"/>
  <c r="X64" i="8"/>
  <c r="T64" i="8"/>
  <c r="EU63" i="8"/>
  <c r="EQ63" i="8"/>
  <c r="EM63" i="8"/>
  <c r="EI63" i="8"/>
  <c r="EC63" i="8"/>
  <c r="DY63" i="8"/>
  <c r="DU63" i="8"/>
  <c r="DQ63" i="8"/>
  <c r="DM63" i="8"/>
  <c r="DI63" i="8"/>
  <c r="DE63" i="8"/>
  <c r="DA63" i="8"/>
  <c r="CU63" i="8"/>
  <c r="CQ63" i="8"/>
  <c r="CM63" i="8"/>
  <c r="CI63" i="8"/>
  <c r="CE63" i="8"/>
  <c r="CA63" i="8"/>
  <c r="BW63" i="8"/>
  <c r="BS63" i="8"/>
  <c r="BM63" i="8"/>
  <c r="BI63" i="8"/>
  <c r="BE63" i="8"/>
  <c r="BA63" i="8"/>
  <c r="AW63" i="8"/>
  <c r="AS63" i="8"/>
  <c r="AO63" i="8"/>
  <c r="AK63" i="8"/>
  <c r="AE63" i="8"/>
  <c r="AA63" i="8"/>
  <c r="W63" i="8"/>
  <c r="S63" i="8"/>
  <c r="ET62" i="8"/>
  <c r="EP62" i="8"/>
  <c r="EL62" i="8"/>
  <c r="EH62" i="8"/>
  <c r="ED62" i="8"/>
  <c r="DZ62" i="8"/>
  <c r="DV62" i="8"/>
  <c r="DR62" i="8"/>
  <c r="DL62" i="8"/>
  <c r="DH62" i="8"/>
  <c r="DD62" i="8"/>
  <c r="CZ62" i="8"/>
  <c r="CV62" i="8"/>
  <c r="CR62" i="8"/>
  <c r="CN62" i="8"/>
  <c r="CJ62" i="8"/>
  <c r="CD62" i="8"/>
  <c r="BZ62" i="8"/>
  <c r="BV62" i="8"/>
  <c r="BR62" i="8"/>
  <c r="BN62" i="8"/>
  <c r="BJ62" i="8"/>
  <c r="BF62" i="8"/>
  <c r="BB62" i="8"/>
  <c r="AV62" i="8"/>
  <c r="AR62" i="8"/>
  <c r="AN62" i="8"/>
  <c r="AJ62" i="8"/>
  <c r="AF62" i="8"/>
  <c r="AB62" i="8"/>
  <c r="X62" i="8"/>
  <c r="T62" i="8"/>
  <c r="EU61" i="8"/>
  <c r="EQ61" i="8"/>
  <c r="EM61" i="8"/>
  <c r="EI61" i="8"/>
  <c r="EC61" i="8"/>
  <c r="DY61" i="8"/>
  <c r="DU61" i="8"/>
  <c r="DQ61" i="8"/>
  <c r="DM61" i="8"/>
  <c r="DI61" i="8"/>
  <c r="DE61" i="8"/>
  <c r="DA61" i="8"/>
  <c r="CU61" i="8"/>
  <c r="CQ61" i="8"/>
  <c r="CM61" i="8"/>
  <c r="CI61" i="8"/>
  <c r="CE61" i="8"/>
  <c r="CA61" i="8"/>
  <c r="BW61" i="8"/>
  <c r="BS61" i="8"/>
  <c r="BM61" i="8"/>
  <c r="BI61" i="8"/>
  <c r="BE61" i="8"/>
  <c r="BA61" i="8"/>
  <c r="AW61" i="8"/>
  <c r="AS61" i="8"/>
  <c r="AO61" i="8"/>
  <c r="AK61" i="8"/>
  <c r="AE61" i="8"/>
  <c r="AA61" i="8"/>
  <c r="W61" i="8"/>
  <c r="S61" i="8"/>
  <c r="ET60" i="8"/>
  <c r="EP60" i="8"/>
  <c r="EL60" i="8"/>
  <c r="EH60" i="8"/>
  <c r="ED60" i="8"/>
  <c r="DZ60" i="8"/>
  <c r="DV60" i="8"/>
  <c r="DR60" i="8"/>
  <c r="DL60" i="8"/>
  <c r="DH60" i="8"/>
  <c r="DD60" i="8"/>
  <c r="CZ60" i="8"/>
  <c r="CV60" i="8"/>
  <c r="CR60" i="8"/>
  <c r="CN60" i="8"/>
  <c r="CJ60" i="8"/>
  <c r="CD60" i="8"/>
  <c r="BZ60" i="8"/>
  <c r="BV60" i="8"/>
  <c r="BR60" i="8"/>
  <c r="BN60" i="8"/>
  <c r="BJ60" i="8"/>
  <c r="BF60" i="8"/>
  <c r="BB60" i="8"/>
  <c r="AV60" i="8"/>
  <c r="AR60" i="8"/>
  <c r="AN60" i="8"/>
  <c r="AJ60" i="8"/>
  <c r="AF60" i="8"/>
  <c r="AB60" i="8"/>
  <c r="X60" i="8"/>
  <c r="T60" i="8"/>
  <c r="EU59" i="8"/>
  <c r="EQ59" i="8"/>
  <c r="EM59" i="8"/>
  <c r="EI59" i="8"/>
  <c r="EC59" i="8"/>
  <c r="DY59" i="8"/>
  <c r="DU59" i="8"/>
  <c r="DQ59" i="8"/>
  <c r="DM59" i="8"/>
  <c r="DI59" i="8"/>
  <c r="DE59" i="8"/>
  <c r="DA59" i="8"/>
  <c r="CU59" i="8"/>
  <c r="CQ59" i="8"/>
  <c r="CM59" i="8"/>
  <c r="CI59" i="8"/>
  <c r="CE59" i="8"/>
  <c r="CA59" i="8"/>
  <c r="BW59" i="8"/>
  <c r="BS59" i="8"/>
  <c r="BM59" i="8"/>
  <c r="BI59" i="8"/>
  <c r="BE59" i="8"/>
  <c r="CC74" i="8"/>
  <c r="BU74" i="8"/>
  <c r="BI74" i="8"/>
  <c r="BA74" i="8"/>
  <c r="AS74" i="8"/>
  <c r="AK74" i="8"/>
  <c r="AC74" i="8"/>
  <c r="U74" i="8"/>
  <c r="EP73" i="8"/>
  <c r="EH73" i="8"/>
  <c r="DZ73" i="8"/>
  <c r="DR73" i="8"/>
  <c r="DJ73" i="8"/>
  <c r="DB73" i="8"/>
  <c r="CT73" i="8"/>
  <c r="CL73" i="8"/>
  <c r="BZ73" i="8"/>
  <c r="BR73" i="8"/>
  <c r="BJ73" i="8"/>
  <c r="BB73" i="8"/>
  <c r="AT73" i="8"/>
  <c r="AL73" i="8"/>
  <c r="AD73" i="8"/>
  <c r="V73" i="8"/>
  <c r="EQ72" i="8"/>
  <c r="EI72" i="8"/>
  <c r="EA72" i="8"/>
  <c r="DS72" i="8"/>
  <c r="DK72" i="8"/>
  <c r="DC72" i="8"/>
  <c r="CQ72" i="8"/>
  <c r="CI72" i="8"/>
  <c r="CA72" i="8"/>
  <c r="BS72" i="8"/>
  <c r="BK72" i="8"/>
  <c r="BC72" i="8"/>
  <c r="AU72" i="8"/>
  <c r="AM72" i="8"/>
  <c r="AG72" i="8"/>
  <c r="AC72" i="8"/>
  <c r="Y72" i="8"/>
  <c r="U72" i="8"/>
  <c r="EV71" i="8"/>
  <c r="ER71" i="8"/>
  <c r="EN71" i="8"/>
  <c r="EJ71" i="8"/>
  <c r="EF71" i="8"/>
  <c r="EB71" i="8"/>
  <c r="DX71" i="8"/>
  <c r="DT71" i="8"/>
  <c r="DN71" i="8"/>
  <c r="DJ71" i="8"/>
  <c r="DF71" i="8"/>
  <c r="DB71" i="8"/>
  <c r="CX71" i="8"/>
  <c r="CT71" i="8"/>
  <c r="CP71" i="8"/>
  <c r="CL71" i="8"/>
  <c r="CF71" i="8"/>
  <c r="CB71" i="8"/>
  <c r="BX71" i="8"/>
  <c r="BT71" i="8"/>
  <c r="BP71" i="8"/>
  <c r="BL71" i="8"/>
  <c r="BH71" i="8"/>
  <c r="BD71" i="8"/>
  <c r="AX71" i="8"/>
  <c r="AT71" i="8"/>
  <c r="AP71" i="8"/>
  <c r="AL71" i="8"/>
  <c r="AH71" i="8"/>
  <c r="AD71" i="8"/>
  <c r="Z71" i="8"/>
  <c r="V71" i="8"/>
  <c r="EW70" i="8"/>
  <c r="ES70" i="8"/>
  <c r="EO70" i="8"/>
  <c r="EK70" i="8"/>
  <c r="EE70" i="8"/>
  <c r="EA70" i="8"/>
  <c r="DW70" i="8"/>
  <c r="DS70" i="8"/>
  <c r="DO70" i="8"/>
  <c r="DK70" i="8"/>
  <c r="DG70" i="8"/>
  <c r="DC70" i="8"/>
  <c r="CW70" i="8"/>
  <c r="CS70" i="8"/>
  <c r="CO70" i="8"/>
  <c r="CK70" i="8"/>
  <c r="CG70" i="8"/>
  <c r="CC70" i="8"/>
  <c r="BY70" i="8"/>
  <c r="BU70" i="8"/>
  <c r="BO70" i="8"/>
  <c r="BK70" i="8"/>
  <c r="BG70" i="8"/>
  <c r="BC70" i="8"/>
  <c r="AY70" i="8"/>
  <c r="AU70" i="8"/>
  <c r="AQ70" i="8"/>
  <c r="AM70" i="8"/>
  <c r="AG70" i="8"/>
  <c r="AC70" i="8"/>
  <c r="Y70" i="8"/>
  <c r="U70" i="8"/>
  <c r="EV69" i="8"/>
  <c r="ER69" i="8"/>
  <c r="EN69" i="8"/>
  <c r="EJ69" i="8"/>
  <c r="EF69" i="8"/>
  <c r="EB69" i="8"/>
  <c r="DX69" i="8"/>
  <c r="DT69" i="8"/>
  <c r="DN69" i="8"/>
  <c r="DJ69" i="8"/>
  <c r="DF69" i="8"/>
  <c r="DB69" i="8"/>
  <c r="CX69" i="8"/>
  <c r="CT69" i="8"/>
  <c r="CP69" i="8"/>
  <c r="CL69" i="8"/>
  <c r="CF69" i="8"/>
  <c r="CB69" i="8"/>
  <c r="BX69" i="8"/>
  <c r="BT69" i="8"/>
  <c r="BP69" i="8"/>
  <c r="BL69" i="8"/>
  <c r="BH69" i="8"/>
  <c r="BD69" i="8"/>
  <c r="AX69" i="8"/>
  <c r="AT69" i="8"/>
  <c r="AP69" i="8"/>
  <c r="AL69" i="8"/>
  <c r="AH69" i="8"/>
  <c r="AD69" i="8"/>
  <c r="Z69" i="8"/>
  <c r="V69" i="8"/>
  <c r="EW68" i="8"/>
  <c r="ES68" i="8"/>
  <c r="EO68" i="8"/>
  <c r="EK68" i="8"/>
  <c r="EE68" i="8"/>
  <c r="EA68" i="8"/>
  <c r="DW68" i="8"/>
  <c r="DS68" i="8"/>
  <c r="DO68" i="8"/>
  <c r="DK68" i="8"/>
  <c r="DG68" i="8"/>
  <c r="DC68" i="8"/>
  <c r="CW68" i="8"/>
  <c r="CS68" i="8"/>
  <c r="CO68" i="8"/>
  <c r="CK68" i="8"/>
  <c r="CG68" i="8"/>
  <c r="CC68" i="8"/>
  <c r="BY68" i="8"/>
  <c r="BU68" i="8"/>
  <c r="BO68" i="8"/>
  <c r="BK68" i="8"/>
  <c r="BG68" i="8"/>
  <c r="BC68" i="8"/>
  <c r="AY68" i="8"/>
  <c r="AU68" i="8"/>
  <c r="AQ68" i="8"/>
  <c r="AM68" i="8"/>
  <c r="AG68" i="8"/>
  <c r="AC68" i="8"/>
  <c r="Y68" i="8"/>
  <c r="U68" i="8"/>
  <c r="EV67" i="8"/>
  <c r="ER67" i="8"/>
  <c r="EN67" i="8"/>
  <c r="EJ67" i="8"/>
  <c r="EF67" i="8"/>
  <c r="EB67" i="8"/>
  <c r="DX67" i="8"/>
  <c r="DT67" i="8"/>
  <c r="DN67" i="8"/>
  <c r="DJ67" i="8"/>
  <c r="DF67" i="8"/>
  <c r="DB67" i="8"/>
  <c r="CX67" i="8"/>
  <c r="CT67" i="8"/>
  <c r="CP67" i="8"/>
  <c r="CL67" i="8"/>
  <c r="CF67" i="8"/>
  <c r="CB67" i="8"/>
  <c r="BX67" i="8"/>
  <c r="BT67" i="8"/>
  <c r="BP67" i="8"/>
  <c r="BL67" i="8"/>
  <c r="BH67" i="8"/>
  <c r="BD67" i="8"/>
  <c r="AX67" i="8"/>
  <c r="AT67" i="8"/>
  <c r="AP67" i="8"/>
  <c r="AL67" i="8"/>
  <c r="AH67" i="8"/>
  <c r="AD67" i="8"/>
  <c r="Z67" i="8"/>
  <c r="V67" i="8"/>
  <c r="EW66" i="8"/>
  <c r="ES66" i="8"/>
  <c r="EO66" i="8"/>
  <c r="EK66" i="8"/>
  <c r="EE66" i="8"/>
  <c r="EA66" i="8"/>
  <c r="DW66" i="8"/>
  <c r="DS66" i="8"/>
  <c r="DO66" i="8"/>
  <c r="DK66" i="8"/>
  <c r="DG66" i="8"/>
  <c r="DC66" i="8"/>
  <c r="CW66" i="8"/>
  <c r="CS66" i="8"/>
  <c r="CO66" i="8"/>
  <c r="CK66" i="8"/>
  <c r="CG66" i="8"/>
  <c r="CC66" i="8"/>
  <c r="BY66" i="8"/>
  <c r="BU66" i="8"/>
  <c r="BO66" i="8"/>
  <c r="BK66" i="8"/>
  <c r="BG66" i="8"/>
  <c r="BC66" i="8"/>
  <c r="AY66" i="8"/>
  <c r="AU66" i="8"/>
  <c r="AQ66" i="8"/>
  <c r="AM66" i="8"/>
  <c r="AG66" i="8"/>
  <c r="AC66" i="8"/>
  <c r="Y66" i="8"/>
  <c r="U66" i="8"/>
  <c r="EV65" i="8"/>
  <c r="ER65" i="8"/>
  <c r="EN65" i="8"/>
  <c r="EJ65" i="8"/>
  <c r="EF65" i="8"/>
  <c r="EB65" i="8"/>
  <c r="DX65" i="8"/>
  <c r="DT65" i="8"/>
  <c r="DN65" i="8"/>
  <c r="DJ65" i="8"/>
  <c r="DF65" i="8"/>
  <c r="DB65" i="8"/>
  <c r="CX65" i="8"/>
  <c r="CT65" i="8"/>
  <c r="CP65" i="8"/>
  <c r="CL65" i="8"/>
  <c r="CF65" i="8"/>
  <c r="CB65" i="8"/>
  <c r="BX65" i="8"/>
  <c r="BT65" i="8"/>
  <c r="BP65" i="8"/>
  <c r="BL65" i="8"/>
  <c r="BH65" i="8"/>
  <c r="BD65" i="8"/>
  <c r="AX65" i="8"/>
  <c r="AT65" i="8"/>
  <c r="AP65" i="8"/>
  <c r="AL65" i="8"/>
  <c r="AH65" i="8"/>
  <c r="AD65" i="8"/>
  <c r="Z65" i="8"/>
  <c r="V65" i="8"/>
  <c r="EW64" i="8"/>
  <c r="ES64" i="8"/>
  <c r="EO64" i="8"/>
  <c r="EK64" i="8"/>
  <c r="EE64" i="8"/>
  <c r="EA64" i="8"/>
  <c r="DW64" i="8"/>
  <c r="DS64" i="8"/>
  <c r="DO64" i="8"/>
  <c r="DK64" i="8"/>
  <c r="DG64" i="8"/>
  <c r="DC64" i="8"/>
  <c r="CW64" i="8"/>
  <c r="CS64" i="8"/>
  <c r="CO64" i="8"/>
  <c r="CK64" i="8"/>
  <c r="CG64" i="8"/>
  <c r="CC64" i="8"/>
  <c r="BY64" i="8"/>
  <c r="BU64" i="8"/>
  <c r="BO64" i="8"/>
  <c r="BK64" i="8"/>
  <c r="BG64" i="8"/>
  <c r="BC64" i="8"/>
  <c r="AY64" i="8"/>
  <c r="AU64" i="8"/>
  <c r="AQ64" i="8"/>
  <c r="AM64" i="8"/>
  <c r="AG64" i="8"/>
  <c r="AC64" i="8"/>
  <c r="Y64" i="8"/>
  <c r="U64" i="8"/>
  <c r="EV63" i="8"/>
  <c r="ER63" i="8"/>
  <c r="EN63" i="8"/>
  <c r="EJ63" i="8"/>
  <c r="EF63" i="8"/>
  <c r="EB63" i="8"/>
  <c r="DX63" i="8"/>
  <c r="DT63" i="8"/>
  <c r="DN63" i="8"/>
  <c r="DJ63" i="8"/>
  <c r="DF63" i="8"/>
  <c r="DB63" i="8"/>
  <c r="CX63" i="8"/>
  <c r="CT63" i="8"/>
  <c r="CP63" i="8"/>
  <c r="CL63" i="8"/>
  <c r="CF63" i="8"/>
  <c r="CB63" i="8"/>
  <c r="BX63" i="8"/>
  <c r="BT63" i="8"/>
  <c r="BP63" i="8"/>
  <c r="BH63" i="8"/>
  <c r="AV63" i="8"/>
  <c r="AN63" i="8"/>
  <c r="AF63" i="8"/>
  <c r="X63" i="8"/>
  <c r="EW62" i="8"/>
  <c r="EO62" i="8"/>
  <c r="EC62" i="8"/>
  <c r="DU62" i="8"/>
  <c r="DM62" i="8"/>
  <c r="DE62" i="8"/>
  <c r="CW62" i="8"/>
  <c r="CO62" i="8"/>
  <c r="CG62" i="8"/>
  <c r="BY62" i="8"/>
  <c r="BM62" i="8"/>
  <c r="BE62" i="8"/>
  <c r="AW62" i="8"/>
  <c r="AO62" i="8"/>
  <c r="AG62" i="8"/>
  <c r="Y62" i="8"/>
  <c r="ET61" i="8"/>
  <c r="EL61" i="8"/>
  <c r="ED61" i="8"/>
  <c r="DV61" i="8"/>
  <c r="DN61" i="8"/>
  <c r="DF61" i="8"/>
  <c r="CX61" i="8"/>
  <c r="CP61" i="8"/>
  <c r="CD61" i="8"/>
  <c r="BV61" i="8"/>
  <c r="BN61" i="8"/>
  <c r="BF61" i="8"/>
  <c r="AX61" i="8"/>
  <c r="AP61" i="8"/>
  <c r="AH61" i="8"/>
  <c r="Z61" i="8"/>
  <c r="EU60" i="8"/>
  <c r="EM60" i="8"/>
  <c r="EE60" i="8"/>
  <c r="DW60" i="8"/>
  <c r="DO60" i="8"/>
  <c r="DG60" i="8"/>
  <c r="CU60" i="8"/>
  <c r="CM60" i="8"/>
  <c r="CE60" i="8"/>
  <c r="BW60" i="8"/>
  <c r="BO60" i="8"/>
  <c r="BG60" i="8"/>
  <c r="AY60" i="8"/>
  <c r="AQ60" i="8"/>
  <c r="AE60" i="8"/>
  <c r="W60" i="8"/>
  <c r="EV59" i="8"/>
  <c r="EN59" i="8"/>
  <c r="EF59" i="8"/>
  <c r="DX59" i="8"/>
  <c r="DL59" i="8"/>
  <c r="DD59" i="8"/>
  <c r="CV59" i="8"/>
  <c r="CN59" i="8"/>
  <c r="CF59" i="8"/>
  <c r="BX59" i="8"/>
  <c r="BP59" i="8"/>
  <c r="BH59" i="8"/>
  <c r="BB59" i="8"/>
  <c r="AV59" i="8"/>
  <c r="AR59" i="8"/>
  <c r="AN59" i="8"/>
  <c r="AJ59" i="8"/>
  <c r="AF59" i="8"/>
  <c r="AB59" i="8"/>
  <c r="X59" i="8"/>
  <c r="T59" i="8"/>
  <c r="EU58" i="8"/>
  <c r="EQ58" i="8"/>
  <c r="EM58" i="8"/>
  <c r="EI58" i="8"/>
  <c r="EC58" i="8"/>
  <c r="DY58" i="8"/>
  <c r="DU58" i="8"/>
  <c r="DQ58" i="8"/>
  <c r="DM58" i="8"/>
  <c r="DI58" i="8"/>
  <c r="DE58" i="8"/>
  <c r="DA58" i="8"/>
  <c r="CU58" i="8"/>
  <c r="CQ58" i="8"/>
  <c r="CM58" i="8"/>
  <c r="CI58" i="8"/>
  <c r="CE58" i="8"/>
  <c r="CA58" i="8"/>
  <c r="BW58" i="8"/>
  <c r="BS58" i="8"/>
  <c r="BM58" i="8"/>
  <c r="BI58" i="8"/>
  <c r="BE58" i="8"/>
  <c r="BA58" i="8"/>
  <c r="AW58" i="8"/>
  <c r="AS58" i="8"/>
  <c r="AO58" i="8"/>
  <c r="AK58" i="8"/>
  <c r="AE58" i="8"/>
  <c r="AA58" i="8"/>
  <c r="W58" i="8"/>
  <c r="S58" i="8"/>
  <c r="ET57" i="8"/>
  <c r="EP57" i="8"/>
  <c r="EL57" i="8"/>
  <c r="EH57" i="8"/>
  <c r="ED57" i="8"/>
  <c r="DZ57" i="8"/>
  <c r="DV57" i="8"/>
  <c r="DR57" i="8"/>
  <c r="DL57" i="8"/>
  <c r="DH57" i="8"/>
  <c r="DD57" i="8"/>
  <c r="CZ57" i="8"/>
  <c r="CV57" i="8"/>
  <c r="CR57" i="8"/>
  <c r="CN57" i="8"/>
  <c r="CJ57" i="8"/>
  <c r="CD57" i="8"/>
  <c r="BZ57" i="8"/>
  <c r="BV57" i="8"/>
  <c r="BR57" i="8"/>
  <c r="BN57" i="8"/>
  <c r="BJ57" i="8"/>
  <c r="BF57" i="8"/>
  <c r="BB57" i="8"/>
  <c r="AV57" i="8"/>
  <c r="AR57" i="8"/>
  <c r="AN57" i="8"/>
  <c r="AJ57" i="8"/>
  <c r="AF57" i="8"/>
  <c r="AB57" i="8"/>
  <c r="X57" i="8"/>
  <c r="T57" i="8"/>
  <c r="EU56" i="8"/>
  <c r="EQ56" i="8"/>
  <c r="EM56" i="8"/>
  <c r="EI56" i="8"/>
  <c r="EC56" i="8"/>
  <c r="DY56" i="8"/>
  <c r="DU56" i="8"/>
  <c r="DQ56" i="8"/>
  <c r="DM56" i="8"/>
  <c r="DI56" i="8"/>
  <c r="DE56" i="8"/>
  <c r="DA56" i="8"/>
  <c r="CU56" i="8"/>
  <c r="CQ56" i="8"/>
  <c r="CM56" i="8"/>
  <c r="CI56" i="8"/>
  <c r="CE56" i="8"/>
  <c r="CA56" i="8"/>
  <c r="BW56" i="8"/>
  <c r="BS56" i="8"/>
  <c r="BM56" i="8"/>
  <c r="BI56" i="8"/>
  <c r="BE56" i="8"/>
  <c r="BA56" i="8"/>
  <c r="AW56" i="8"/>
  <c r="AS56" i="8"/>
  <c r="AO56" i="8"/>
  <c r="AK56" i="8"/>
  <c r="AE56" i="8"/>
  <c r="AA56" i="8"/>
  <c r="W56" i="8"/>
  <c r="S56" i="8"/>
  <c r="ET55" i="8"/>
  <c r="EP55" i="8"/>
  <c r="EL55" i="8"/>
  <c r="EH55" i="8"/>
  <c r="ED55" i="8"/>
  <c r="DZ55" i="8"/>
  <c r="DV55" i="8"/>
  <c r="DR55" i="8"/>
  <c r="DL55" i="8"/>
  <c r="DH55" i="8"/>
  <c r="DD55" i="8"/>
  <c r="CZ55" i="8"/>
  <c r="CV55" i="8"/>
  <c r="CR55" i="8"/>
  <c r="CN55" i="8"/>
  <c r="CJ55" i="8"/>
  <c r="CD55" i="8"/>
  <c r="BZ55" i="8"/>
  <c r="BV55" i="8"/>
  <c r="BR55" i="8"/>
  <c r="BN55" i="8"/>
  <c r="BJ55" i="8"/>
  <c r="BF55" i="8"/>
  <c r="BB55" i="8"/>
  <c r="AV55" i="8"/>
  <c r="AR55" i="8"/>
  <c r="AN55" i="8"/>
  <c r="AJ55" i="8"/>
  <c r="AF55" i="8"/>
  <c r="AB55" i="8"/>
  <c r="X55" i="8"/>
  <c r="T55" i="8"/>
  <c r="EU54" i="8"/>
  <c r="EQ54" i="8"/>
  <c r="EM54" i="8"/>
  <c r="EI54" i="8"/>
  <c r="EC54" i="8"/>
  <c r="DY54" i="8"/>
  <c r="DU54" i="8"/>
  <c r="DQ54" i="8"/>
  <c r="DM54" i="8"/>
  <c r="DI54" i="8"/>
  <c r="DE54" i="8"/>
  <c r="DA54" i="8"/>
  <c r="CU54" i="8"/>
  <c r="CQ54" i="8"/>
  <c r="CM54" i="8"/>
  <c r="CI54" i="8"/>
  <c r="CE54" i="8"/>
  <c r="CA54" i="8"/>
  <c r="BW54" i="8"/>
  <c r="BS54" i="8"/>
  <c r="BM54" i="8"/>
  <c r="BI54" i="8"/>
  <c r="BE54" i="8"/>
  <c r="BA54" i="8"/>
  <c r="AW54" i="8"/>
  <c r="AS54" i="8"/>
  <c r="AO54" i="8"/>
  <c r="AK54" i="8"/>
  <c r="AE54" i="8"/>
  <c r="AA54" i="8"/>
  <c r="W54" i="8"/>
  <c r="S54" i="8"/>
  <c r="ET53" i="8"/>
  <c r="EP53" i="8"/>
  <c r="EL53" i="8"/>
  <c r="EH53" i="8"/>
  <c r="ED53" i="8"/>
  <c r="DZ53" i="8"/>
  <c r="DV53" i="8"/>
  <c r="DR53" i="8"/>
  <c r="DL53" i="8"/>
  <c r="DH53" i="8"/>
  <c r="DD53" i="8"/>
  <c r="CZ53" i="8"/>
  <c r="CV53" i="8"/>
  <c r="CR53" i="8"/>
  <c r="CN53" i="8"/>
  <c r="CJ53" i="8"/>
  <c r="CD53" i="8"/>
  <c r="BZ53" i="8"/>
  <c r="BV53" i="8"/>
  <c r="BR53" i="8"/>
  <c r="BN53" i="8"/>
  <c r="BJ53" i="8"/>
  <c r="BF53" i="8"/>
  <c r="BB53" i="8"/>
  <c r="AV53" i="8"/>
  <c r="AR53" i="8"/>
  <c r="AN53" i="8"/>
  <c r="AJ53" i="8"/>
  <c r="AF53" i="8"/>
  <c r="AB53" i="8"/>
  <c r="X53" i="8"/>
  <c r="T53" i="8"/>
  <c r="EU52" i="8"/>
  <c r="EQ52" i="8"/>
  <c r="EM52" i="8"/>
  <c r="EI52" i="8"/>
  <c r="EC52" i="8"/>
  <c r="DY52" i="8"/>
  <c r="DU52" i="8"/>
  <c r="DQ52" i="8"/>
  <c r="DM52" i="8"/>
  <c r="DI52" i="8"/>
  <c r="DE52" i="8"/>
  <c r="DA52" i="8"/>
  <c r="CU52" i="8"/>
  <c r="CQ52" i="8"/>
  <c r="CM52" i="8"/>
  <c r="CI52" i="8"/>
  <c r="CE52" i="8"/>
  <c r="CA52" i="8"/>
  <c r="BW52" i="8"/>
  <c r="BS52" i="8"/>
  <c r="BM52" i="8"/>
  <c r="BI52" i="8"/>
  <c r="BE52" i="8"/>
  <c r="BA52" i="8"/>
  <c r="AW52" i="8"/>
  <c r="AS52" i="8"/>
  <c r="AO52" i="8"/>
  <c r="AK52" i="8"/>
  <c r="AE52" i="8"/>
  <c r="AA52" i="8"/>
  <c r="W52" i="8"/>
  <c r="S52" i="8"/>
  <c r="ET51" i="8"/>
  <c r="EP51" i="8"/>
  <c r="EL51" i="8"/>
  <c r="EH51" i="8"/>
  <c r="ED51" i="8"/>
  <c r="DZ51" i="8"/>
  <c r="DV51" i="8"/>
  <c r="DR51" i="8"/>
  <c r="DL51" i="8"/>
  <c r="DH51" i="8"/>
  <c r="DD51" i="8"/>
  <c r="CZ51" i="8"/>
  <c r="CV51" i="8"/>
  <c r="CR51" i="8"/>
  <c r="CN51" i="8"/>
  <c r="CJ51" i="8"/>
  <c r="CD51" i="8"/>
  <c r="BZ51" i="8"/>
  <c r="BV51" i="8"/>
  <c r="BR51" i="8"/>
  <c r="BN51" i="8"/>
  <c r="BJ51" i="8"/>
  <c r="BF51" i="8"/>
  <c r="BB51" i="8"/>
  <c r="AV51" i="8"/>
  <c r="AR51" i="8"/>
  <c r="AN51" i="8"/>
  <c r="AJ51" i="8"/>
  <c r="AF51" i="8"/>
  <c r="AB51" i="8"/>
  <c r="X51" i="8"/>
  <c r="T51" i="8"/>
  <c r="EU50" i="8"/>
  <c r="EQ50" i="8"/>
  <c r="EM50" i="8"/>
  <c r="EI50" i="8"/>
  <c r="EC50" i="8"/>
  <c r="DY50" i="8"/>
  <c r="DU50" i="8"/>
  <c r="DQ50" i="8"/>
  <c r="DM50" i="8"/>
  <c r="DI50" i="8"/>
  <c r="DE50" i="8"/>
  <c r="DA50" i="8"/>
  <c r="CU50" i="8"/>
  <c r="CQ50" i="8"/>
  <c r="CM50" i="8"/>
  <c r="CI50" i="8"/>
  <c r="CE50" i="8"/>
  <c r="CA50" i="8"/>
  <c r="BW50" i="8"/>
  <c r="BS50" i="8"/>
  <c r="BM50" i="8"/>
  <c r="BI50" i="8"/>
  <c r="BE50" i="8"/>
  <c r="BA50" i="8"/>
  <c r="AW50" i="8"/>
  <c r="AS50" i="8"/>
  <c r="AO50" i="8"/>
  <c r="AK50" i="8"/>
  <c r="AE50" i="8"/>
  <c r="AA50" i="8"/>
  <c r="W50" i="8"/>
  <c r="S50" i="8"/>
  <c r="ET49" i="8"/>
  <c r="EP49" i="8"/>
  <c r="EL49" i="8"/>
  <c r="EH49" i="8"/>
  <c r="ED49" i="8"/>
  <c r="DZ49" i="8"/>
  <c r="DV49" i="8"/>
  <c r="DR49" i="8"/>
  <c r="DL49" i="8"/>
  <c r="DH49" i="8"/>
  <c r="DD49" i="8"/>
  <c r="CZ49" i="8"/>
  <c r="CV49" i="8"/>
  <c r="CR49" i="8"/>
  <c r="CN49" i="8"/>
  <c r="CJ49" i="8"/>
  <c r="CD49" i="8"/>
  <c r="BZ49" i="8"/>
  <c r="BV49" i="8"/>
  <c r="BR49" i="8"/>
  <c r="BN49" i="8"/>
  <c r="BJ49" i="8"/>
  <c r="BF49" i="8"/>
  <c r="BB49" i="8"/>
  <c r="AV49" i="8"/>
  <c r="AR49" i="8"/>
  <c r="AN49" i="8"/>
  <c r="AJ49" i="8"/>
  <c r="AF49" i="8"/>
  <c r="AB49" i="8"/>
  <c r="X49" i="8"/>
  <c r="T49" i="8"/>
  <c r="EU48" i="8"/>
  <c r="EQ48" i="8"/>
  <c r="EM48" i="8"/>
  <c r="EI48" i="8"/>
  <c r="EC48" i="8"/>
  <c r="DY48" i="8"/>
  <c r="DU48" i="8"/>
  <c r="DQ48" i="8"/>
  <c r="DM48" i="8"/>
  <c r="DI48" i="8"/>
  <c r="DE48" i="8"/>
  <c r="DA48" i="8"/>
  <c r="CU48" i="8"/>
  <c r="CQ48" i="8"/>
  <c r="CM48" i="8"/>
  <c r="CI48" i="8"/>
  <c r="CE48" i="8"/>
  <c r="CA48" i="8"/>
  <c r="BW48" i="8"/>
  <c r="BS48" i="8"/>
  <c r="BM48" i="8"/>
  <c r="BI48" i="8"/>
  <c r="BE48" i="8"/>
  <c r="BA48" i="8"/>
  <c r="AW48" i="8"/>
  <c r="AS48" i="8"/>
  <c r="AO48" i="8"/>
  <c r="AK48" i="8"/>
  <c r="AE48" i="8"/>
  <c r="AA48" i="8"/>
  <c r="W48" i="8"/>
  <c r="S48" i="8"/>
  <c r="ET47" i="8"/>
  <c r="EP47" i="8"/>
  <c r="EL47" i="8"/>
  <c r="EH47" i="8"/>
  <c r="ED47" i="8"/>
  <c r="DZ47" i="8"/>
  <c r="DV47" i="8"/>
  <c r="DR47" i="8"/>
  <c r="DL47" i="8"/>
  <c r="DH47" i="8"/>
  <c r="DD47" i="8"/>
  <c r="CZ47" i="8"/>
  <c r="CV47" i="8"/>
  <c r="CR47" i="8"/>
  <c r="CN47" i="8"/>
  <c r="CJ47" i="8"/>
  <c r="CD47" i="8"/>
  <c r="BZ47" i="8"/>
  <c r="BV47" i="8"/>
  <c r="BR47" i="8"/>
  <c r="BN47" i="8"/>
  <c r="BJ47" i="8"/>
  <c r="BF47" i="8"/>
  <c r="BB47" i="8"/>
  <c r="AV47" i="8"/>
  <c r="AR47" i="8"/>
  <c r="AN47" i="8"/>
  <c r="AJ47" i="8"/>
  <c r="AF47" i="8"/>
  <c r="AB47" i="8"/>
  <c r="X47" i="8"/>
  <c r="T47" i="8"/>
  <c r="EU46" i="8"/>
  <c r="EQ46" i="8"/>
  <c r="EM46" i="8"/>
  <c r="EI46" i="8"/>
  <c r="EC46" i="8"/>
  <c r="DY46" i="8"/>
  <c r="DU46" i="8"/>
  <c r="DQ46" i="8"/>
  <c r="DM46" i="8"/>
  <c r="DI46" i="8"/>
  <c r="DE46" i="8"/>
  <c r="DA46" i="8"/>
  <c r="CU46" i="8"/>
  <c r="CQ46" i="8"/>
  <c r="CM46" i="8"/>
  <c r="CI46" i="8"/>
  <c r="CE46" i="8"/>
  <c r="CA46" i="8"/>
  <c r="BW46" i="8"/>
  <c r="BS46" i="8"/>
  <c r="BM46" i="8"/>
  <c r="BI46" i="8"/>
  <c r="BE46" i="8"/>
  <c r="BA46" i="8"/>
  <c r="AW46" i="8"/>
  <c r="AS46" i="8"/>
  <c r="AO46" i="8"/>
  <c r="AK46" i="8"/>
  <c r="AE46" i="8"/>
  <c r="AA46" i="8"/>
  <c r="W46" i="8"/>
  <c r="S46" i="8"/>
  <c r="ET45" i="8"/>
  <c r="EP45" i="8"/>
  <c r="EL45" i="8"/>
  <c r="EH45" i="8"/>
  <c r="ED45" i="8"/>
  <c r="DZ45" i="8"/>
  <c r="DV45" i="8"/>
  <c r="DR45" i="8"/>
  <c r="DL45" i="8"/>
  <c r="DH45" i="8"/>
  <c r="DD45" i="8"/>
  <c r="CZ45" i="8"/>
  <c r="CV45" i="8"/>
  <c r="CR45" i="8"/>
  <c r="CN45" i="8"/>
  <c r="CJ45" i="8"/>
  <c r="CD45" i="8"/>
  <c r="BZ45" i="8"/>
  <c r="BV45" i="8"/>
  <c r="BR45" i="8"/>
  <c r="BN45" i="8"/>
  <c r="BJ45" i="8"/>
  <c r="BF45" i="8"/>
  <c r="BB45" i="8"/>
  <c r="AV45" i="8"/>
  <c r="AR45" i="8"/>
  <c r="AN45" i="8"/>
  <c r="AJ45" i="8"/>
  <c r="AF45" i="8"/>
  <c r="AB45" i="8"/>
  <c r="X45" i="8"/>
  <c r="T45" i="8"/>
  <c r="EU44" i="8"/>
  <c r="EQ44" i="8"/>
  <c r="EM44" i="8"/>
  <c r="EI44" i="8"/>
  <c r="EC44" i="8"/>
  <c r="DY44" i="8"/>
  <c r="DU44" i="8"/>
  <c r="DQ44" i="8"/>
  <c r="DM44" i="8"/>
  <c r="DI44" i="8"/>
  <c r="DE44" i="8"/>
  <c r="DA44" i="8"/>
  <c r="CU44" i="8"/>
  <c r="CQ44" i="8"/>
  <c r="CM44" i="8"/>
  <c r="CI44" i="8"/>
  <c r="CE44" i="8"/>
  <c r="CA44" i="8"/>
  <c r="BW44" i="8"/>
  <c r="BS44" i="8"/>
  <c r="BM44" i="8"/>
  <c r="BI44" i="8"/>
  <c r="BE44" i="8"/>
  <c r="BA44" i="8"/>
  <c r="AW44" i="8"/>
  <c r="AS44" i="8"/>
  <c r="AO44" i="8"/>
  <c r="AK44" i="8"/>
  <c r="AE44" i="8"/>
  <c r="AA44" i="8"/>
  <c r="W44" i="8"/>
  <c r="S44" i="8"/>
  <c r="ET43" i="8"/>
  <c r="EP43" i="8"/>
  <c r="EL43" i="8"/>
  <c r="EH43" i="8"/>
  <c r="ED43" i="8"/>
  <c r="DZ43" i="8"/>
  <c r="DV43" i="8"/>
  <c r="DR43" i="8"/>
  <c r="DL43" i="8"/>
  <c r="DH43" i="8"/>
  <c r="DD43" i="8"/>
  <c r="CZ43" i="8"/>
  <c r="CV43" i="8"/>
  <c r="CR43" i="8"/>
  <c r="CN43" i="8"/>
  <c r="CJ43" i="8"/>
  <c r="CD43" i="8"/>
  <c r="BZ43" i="8"/>
  <c r="BV43" i="8"/>
  <c r="BR43" i="8"/>
  <c r="BN43" i="8"/>
  <c r="BJ43" i="8"/>
  <c r="BF43" i="8"/>
  <c r="BB43" i="8"/>
  <c r="AV43" i="8"/>
  <c r="AR43" i="8"/>
  <c r="AN43" i="8"/>
  <c r="AJ43" i="8"/>
  <c r="AF43" i="8"/>
  <c r="AB43" i="8"/>
  <c r="X43" i="8"/>
  <c r="T43" i="8"/>
  <c r="EU42" i="8"/>
  <c r="EQ42" i="8"/>
  <c r="EM42" i="8"/>
  <c r="EI42" i="8"/>
  <c r="EC42" i="8"/>
  <c r="DY42" i="8"/>
  <c r="DU42" i="8"/>
  <c r="DQ42" i="8"/>
  <c r="DM42" i="8"/>
  <c r="DI42" i="8"/>
  <c r="DE42" i="8"/>
  <c r="DA42" i="8"/>
  <c r="CU42" i="8"/>
  <c r="CQ42" i="8"/>
  <c r="CM42" i="8"/>
  <c r="CI42" i="8"/>
  <c r="CE42" i="8"/>
  <c r="CA42" i="8"/>
  <c r="BW42" i="8"/>
  <c r="BS42" i="8"/>
  <c r="BM42" i="8"/>
  <c r="BI42" i="8"/>
  <c r="BE42" i="8"/>
  <c r="BA42" i="8"/>
  <c r="AW42" i="8"/>
  <c r="AS42" i="8"/>
  <c r="AO42" i="8"/>
  <c r="AK42" i="8"/>
  <c r="AE42" i="8"/>
  <c r="AA42" i="8"/>
  <c r="W42" i="8"/>
  <c r="S42" i="8"/>
  <c r="ET41" i="8"/>
  <c r="EP41" i="8"/>
  <c r="EL41" i="8"/>
  <c r="EH41" i="8"/>
  <c r="ED41" i="8"/>
  <c r="DZ41" i="8"/>
  <c r="DV41" i="8"/>
  <c r="DR41" i="8"/>
  <c r="DL41" i="8"/>
  <c r="DH41" i="8"/>
  <c r="DD41" i="8"/>
  <c r="CZ41" i="8"/>
  <c r="CV41" i="8"/>
  <c r="CR41" i="8"/>
  <c r="CN41" i="8"/>
  <c r="CJ41" i="8"/>
  <c r="CD41" i="8"/>
  <c r="BZ41" i="8"/>
  <c r="BV41" i="8"/>
  <c r="BJ63" i="8"/>
  <c r="BB63" i="8"/>
  <c r="AT63" i="8"/>
  <c r="AL63" i="8"/>
  <c r="AD63" i="8"/>
  <c r="V63" i="8"/>
  <c r="EQ62" i="8"/>
  <c r="EI62" i="8"/>
  <c r="EA62" i="8"/>
  <c r="DS62" i="8"/>
  <c r="DK62" i="8"/>
  <c r="DC62" i="8"/>
  <c r="CQ62" i="8"/>
  <c r="CI62" i="8"/>
  <c r="CA62" i="8"/>
  <c r="BS62" i="8"/>
  <c r="BK62" i="8"/>
  <c r="BC62" i="8"/>
  <c r="AU62" i="8"/>
  <c r="AM62" i="8"/>
  <c r="AA62" i="8"/>
  <c r="S62" i="8"/>
  <c r="ER61" i="8"/>
  <c r="EJ61" i="8"/>
  <c r="EB61" i="8"/>
  <c r="DT61" i="8"/>
  <c r="DH61" i="8"/>
  <c r="CZ61" i="8"/>
  <c r="CR61" i="8"/>
  <c r="CJ61" i="8"/>
  <c r="CB61" i="8"/>
  <c r="BT61" i="8"/>
  <c r="BL61" i="8"/>
  <c r="BD61" i="8"/>
  <c r="AR61" i="8"/>
  <c r="AJ61" i="8"/>
  <c r="AB61" i="8"/>
  <c r="T61" i="8"/>
  <c r="ES60" i="8"/>
  <c r="EK60" i="8"/>
  <c r="DY60" i="8"/>
  <c r="DQ60" i="8"/>
  <c r="DI60" i="8"/>
  <c r="DA60" i="8"/>
  <c r="CS60" i="8"/>
  <c r="CK60" i="8"/>
  <c r="CC60" i="8"/>
  <c r="BU60" i="8"/>
  <c r="BI60" i="8"/>
  <c r="BA60" i="8"/>
  <c r="AS60" i="8"/>
  <c r="AK60" i="8"/>
  <c r="AC60" i="8"/>
  <c r="U60" i="8"/>
  <c r="EP59" i="8"/>
  <c r="EH59" i="8"/>
  <c r="DZ59" i="8"/>
  <c r="DR59" i="8"/>
  <c r="DJ59" i="8"/>
  <c r="DB59" i="8"/>
  <c r="CT59" i="8"/>
  <c r="CL59" i="8"/>
  <c r="BZ59" i="8"/>
  <c r="BR59" i="8"/>
  <c r="BJ59" i="8"/>
  <c r="BC59" i="8"/>
  <c r="AY59" i="8"/>
  <c r="AU59" i="8"/>
  <c r="AQ59" i="8"/>
  <c r="AM59" i="8"/>
  <c r="AG59" i="8"/>
  <c r="AC59" i="8"/>
  <c r="Y59" i="8"/>
  <c r="U59" i="8"/>
  <c r="EV58" i="8"/>
  <c r="ER58" i="8"/>
  <c r="EN58" i="8"/>
  <c r="EJ58" i="8"/>
  <c r="EF58" i="8"/>
  <c r="EB58" i="8"/>
  <c r="DX58" i="8"/>
  <c r="DT58" i="8"/>
  <c r="DN58" i="8"/>
  <c r="DJ58" i="8"/>
  <c r="DF58" i="8"/>
  <c r="DB58" i="8"/>
  <c r="CX58" i="8"/>
  <c r="CT58" i="8"/>
  <c r="CP58" i="8"/>
  <c r="CL58" i="8"/>
  <c r="CF58" i="8"/>
  <c r="CB58" i="8"/>
  <c r="BX58" i="8"/>
  <c r="BT58" i="8"/>
  <c r="BP58" i="8"/>
  <c r="BL58" i="8"/>
  <c r="BH58" i="8"/>
  <c r="BD58" i="8"/>
  <c r="AX58" i="8"/>
  <c r="AT58" i="8"/>
  <c r="AP58" i="8"/>
  <c r="AL58" i="8"/>
  <c r="AH58" i="8"/>
  <c r="AD58" i="8"/>
  <c r="Z58" i="8"/>
  <c r="V58" i="8"/>
  <c r="EW57" i="8"/>
  <c r="ES57" i="8"/>
  <c r="EO57" i="8"/>
  <c r="EK57" i="8"/>
  <c r="EE57" i="8"/>
  <c r="EA57" i="8"/>
  <c r="DW57" i="8"/>
  <c r="DS57" i="8"/>
  <c r="DO57" i="8"/>
  <c r="DK57" i="8"/>
  <c r="DG57" i="8"/>
  <c r="DC57" i="8"/>
  <c r="CW57" i="8"/>
  <c r="CS57" i="8"/>
  <c r="CO57" i="8"/>
  <c r="CK57" i="8"/>
  <c r="CG57" i="8"/>
  <c r="CC57" i="8"/>
  <c r="BY57" i="8"/>
  <c r="BU57" i="8"/>
  <c r="BO57" i="8"/>
  <c r="BK57" i="8"/>
  <c r="BG57" i="8"/>
  <c r="BC57" i="8"/>
  <c r="AY57" i="8"/>
  <c r="AU57" i="8"/>
  <c r="AQ57" i="8"/>
  <c r="AM57" i="8"/>
  <c r="AG57" i="8"/>
  <c r="AC57" i="8"/>
  <c r="Y57" i="8"/>
  <c r="U57" i="8"/>
  <c r="EV56" i="8"/>
  <c r="ER56" i="8"/>
  <c r="EN56" i="8"/>
  <c r="EJ56" i="8"/>
  <c r="EF56" i="8"/>
  <c r="EB56" i="8"/>
  <c r="DX56" i="8"/>
  <c r="DT56" i="8"/>
  <c r="DN56" i="8"/>
  <c r="DJ56" i="8"/>
  <c r="DF56" i="8"/>
  <c r="DB56" i="8"/>
  <c r="CX56" i="8"/>
  <c r="CT56" i="8"/>
  <c r="CP56" i="8"/>
  <c r="CL56" i="8"/>
  <c r="CF56" i="8"/>
  <c r="CB56" i="8"/>
  <c r="BX56" i="8"/>
  <c r="BT56" i="8"/>
  <c r="BP56" i="8"/>
  <c r="BL56" i="8"/>
  <c r="BH56" i="8"/>
  <c r="BD56" i="8"/>
  <c r="AX56" i="8"/>
  <c r="AT56" i="8"/>
  <c r="AP56" i="8"/>
  <c r="AL56" i="8"/>
  <c r="AH56" i="8"/>
  <c r="AD56" i="8"/>
  <c r="Z56" i="8"/>
  <c r="V56" i="8"/>
  <c r="EW55" i="8"/>
  <c r="ES55" i="8"/>
  <c r="EO55" i="8"/>
  <c r="EK55" i="8"/>
  <c r="EE55" i="8"/>
  <c r="EA55" i="8"/>
  <c r="DW55" i="8"/>
  <c r="DS55" i="8"/>
  <c r="DO55" i="8"/>
  <c r="DK55" i="8"/>
  <c r="DG55" i="8"/>
  <c r="DC55" i="8"/>
  <c r="CW55" i="8"/>
  <c r="CS55" i="8"/>
  <c r="CO55" i="8"/>
  <c r="CK55" i="8"/>
  <c r="CG55" i="8"/>
  <c r="CC55" i="8"/>
  <c r="BY55" i="8"/>
  <c r="BU55" i="8"/>
  <c r="BO55" i="8"/>
  <c r="BK55" i="8"/>
  <c r="BG55" i="8"/>
  <c r="BC55" i="8"/>
  <c r="AY55" i="8"/>
  <c r="AU55" i="8"/>
  <c r="AQ55" i="8"/>
  <c r="AM55" i="8"/>
  <c r="AG55" i="8"/>
  <c r="AC55" i="8"/>
  <c r="Y55" i="8"/>
  <c r="U55" i="8"/>
  <c r="EV54" i="8"/>
  <c r="ER54" i="8"/>
  <c r="EN54" i="8"/>
  <c r="EJ54" i="8"/>
  <c r="EF54" i="8"/>
  <c r="EB54" i="8"/>
  <c r="DX54" i="8"/>
  <c r="DT54" i="8"/>
  <c r="DN54" i="8"/>
  <c r="DJ54" i="8"/>
  <c r="DF54" i="8"/>
  <c r="DB54" i="8"/>
  <c r="CX54" i="8"/>
  <c r="CT54" i="8"/>
  <c r="CP54" i="8"/>
  <c r="CL54" i="8"/>
  <c r="CF54" i="8"/>
  <c r="CB54" i="8"/>
  <c r="BX54" i="8"/>
  <c r="BT54" i="8"/>
  <c r="BP54" i="8"/>
  <c r="BL54" i="8"/>
  <c r="BH54" i="8"/>
  <c r="BD54" i="8"/>
  <c r="AX54" i="8"/>
  <c r="AT54" i="8"/>
  <c r="AP54" i="8"/>
  <c r="AL54" i="8"/>
  <c r="AH54" i="8"/>
  <c r="AD54" i="8"/>
  <c r="Z54" i="8"/>
  <c r="V54" i="8"/>
  <c r="EW53" i="8"/>
  <c r="ES53" i="8"/>
  <c r="EO53" i="8"/>
  <c r="EK53" i="8"/>
  <c r="EE53" i="8"/>
  <c r="EA53" i="8"/>
  <c r="DW53" i="8"/>
  <c r="DS53" i="8"/>
  <c r="DO53" i="8"/>
  <c r="DK53" i="8"/>
  <c r="DG53" i="8"/>
  <c r="DC53" i="8"/>
  <c r="CW53" i="8"/>
  <c r="CS53" i="8"/>
  <c r="CO53" i="8"/>
  <c r="CK53" i="8"/>
  <c r="CG53" i="8"/>
  <c r="CC53" i="8"/>
  <c r="BY53" i="8"/>
  <c r="BU53" i="8"/>
  <c r="BO53" i="8"/>
  <c r="BK53" i="8"/>
  <c r="BG53" i="8"/>
  <c r="BC53" i="8"/>
  <c r="AY53" i="8"/>
  <c r="AU53" i="8"/>
  <c r="AQ53" i="8"/>
  <c r="AM53" i="8"/>
  <c r="AG53" i="8"/>
  <c r="AC53" i="8"/>
  <c r="Y53" i="8"/>
  <c r="U53" i="8"/>
  <c r="EV52" i="8"/>
  <c r="ER52" i="8"/>
  <c r="EN52" i="8"/>
  <c r="EJ52" i="8"/>
  <c r="EF52" i="8"/>
  <c r="EB52" i="8"/>
  <c r="DX52" i="8"/>
  <c r="DT52" i="8"/>
  <c r="DN52" i="8"/>
  <c r="DJ52" i="8"/>
  <c r="DF52" i="8"/>
  <c r="DB52" i="8"/>
  <c r="CX52" i="8"/>
  <c r="CT52" i="8"/>
  <c r="CP52" i="8"/>
  <c r="CL52" i="8"/>
  <c r="CF52" i="8"/>
  <c r="CB52" i="8"/>
  <c r="BX52" i="8"/>
  <c r="BT52" i="8"/>
  <c r="BP52" i="8"/>
  <c r="BL52" i="8"/>
  <c r="BH52" i="8"/>
  <c r="BD52" i="8"/>
  <c r="AX52" i="8"/>
  <c r="AT52" i="8"/>
  <c r="AP52" i="8"/>
  <c r="AL52" i="8"/>
  <c r="AH52" i="8"/>
  <c r="AD52" i="8"/>
  <c r="Z52" i="8"/>
  <c r="V52" i="8"/>
  <c r="EW51" i="8"/>
  <c r="ES51" i="8"/>
  <c r="EO51" i="8"/>
  <c r="EK51" i="8"/>
  <c r="EE51" i="8"/>
  <c r="EA51" i="8"/>
  <c r="DW51" i="8"/>
  <c r="DS51" i="8"/>
  <c r="DO51" i="8"/>
  <c r="DK51" i="8"/>
  <c r="DG51" i="8"/>
  <c r="DC51" i="8"/>
  <c r="CW51" i="8"/>
  <c r="CS51" i="8"/>
  <c r="CO51" i="8"/>
  <c r="CK51" i="8"/>
  <c r="CG51" i="8"/>
  <c r="CC51" i="8"/>
  <c r="BY51" i="8"/>
  <c r="BU51" i="8"/>
  <c r="BO51" i="8"/>
  <c r="BK51" i="8"/>
  <c r="BG51" i="8"/>
  <c r="BC51" i="8"/>
  <c r="AY51" i="8"/>
  <c r="AU51" i="8"/>
  <c r="AQ51" i="8"/>
  <c r="AM51" i="8"/>
  <c r="AG51" i="8"/>
  <c r="AC51" i="8"/>
  <c r="Y51" i="8"/>
  <c r="U51" i="8"/>
  <c r="EV50" i="8"/>
  <c r="ER50" i="8"/>
  <c r="EN50" i="8"/>
  <c r="EJ50" i="8"/>
  <c r="EF50" i="8"/>
  <c r="EB50" i="8"/>
  <c r="DX50" i="8"/>
  <c r="DT50" i="8"/>
  <c r="DN50" i="8"/>
  <c r="DJ50" i="8"/>
  <c r="DF50" i="8"/>
  <c r="DB50" i="8"/>
  <c r="CX50" i="8"/>
  <c r="CT50" i="8"/>
  <c r="CP50" i="8"/>
  <c r="CL50" i="8"/>
  <c r="CF50" i="8"/>
  <c r="CB50" i="8"/>
  <c r="BX50" i="8"/>
  <c r="BT50" i="8"/>
  <c r="BP50" i="8"/>
  <c r="BL50" i="8"/>
  <c r="BH50" i="8"/>
  <c r="BD50" i="8"/>
  <c r="AX50" i="8"/>
  <c r="AT50" i="8"/>
  <c r="AP50" i="8"/>
  <c r="AL50" i="8"/>
  <c r="AH50" i="8"/>
  <c r="AD50" i="8"/>
  <c r="Z50" i="8"/>
  <c r="V50" i="8"/>
  <c r="EW49" i="8"/>
  <c r="ES49" i="8"/>
  <c r="EO49" i="8"/>
  <c r="EK49" i="8"/>
  <c r="EE49" i="8"/>
  <c r="EA49" i="8"/>
  <c r="DW49" i="8"/>
  <c r="DS49" i="8"/>
  <c r="DO49" i="8"/>
  <c r="DK49" i="8"/>
  <c r="DG49" i="8"/>
  <c r="DC49" i="8"/>
  <c r="CW49" i="8"/>
  <c r="CS49" i="8"/>
  <c r="CO49" i="8"/>
  <c r="CK49" i="8"/>
  <c r="CG49" i="8"/>
  <c r="CC49" i="8"/>
  <c r="BY49" i="8"/>
  <c r="BU49" i="8"/>
  <c r="BO49" i="8"/>
  <c r="BK49" i="8"/>
  <c r="BG49" i="8"/>
  <c r="BC49" i="8"/>
  <c r="AY49" i="8"/>
  <c r="AU49" i="8"/>
  <c r="AQ49" i="8"/>
  <c r="AM49" i="8"/>
  <c r="AG49" i="8"/>
  <c r="AC49" i="8"/>
  <c r="Y49" i="8"/>
  <c r="U49" i="8"/>
  <c r="EV48" i="8"/>
  <c r="ER48" i="8"/>
  <c r="EN48" i="8"/>
  <c r="EJ48" i="8"/>
  <c r="EF48" i="8"/>
  <c r="EB48" i="8"/>
  <c r="DX48" i="8"/>
  <c r="DT48" i="8"/>
  <c r="DN48" i="8"/>
  <c r="DJ48" i="8"/>
  <c r="DF48" i="8"/>
  <c r="DB48" i="8"/>
  <c r="CX48" i="8"/>
  <c r="CT48" i="8"/>
  <c r="CP48" i="8"/>
  <c r="CL48" i="8"/>
  <c r="CF48" i="8"/>
  <c r="CB48" i="8"/>
  <c r="BX48" i="8"/>
  <c r="BT48" i="8"/>
  <c r="BP48" i="8"/>
  <c r="BL48" i="8"/>
  <c r="BH48" i="8"/>
  <c r="BD48" i="8"/>
  <c r="AX48" i="8"/>
  <c r="AT48" i="8"/>
  <c r="AP48" i="8"/>
  <c r="AL48" i="8"/>
  <c r="AH48" i="8"/>
  <c r="AD48" i="8"/>
  <c r="Z48" i="8"/>
  <c r="V48" i="8"/>
  <c r="EW47" i="8"/>
  <c r="ES47" i="8"/>
  <c r="EO47" i="8"/>
  <c r="EK47" i="8"/>
  <c r="EE47" i="8"/>
  <c r="EA47" i="8"/>
  <c r="DW47" i="8"/>
  <c r="DS47" i="8"/>
  <c r="DO47" i="8"/>
  <c r="DK47" i="8"/>
  <c r="DG47" i="8"/>
  <c r="DC47" i="8"/>
  <c r="CW47" i="8"/>
  <c r="CS47" i="8"/>
  <c r="CO47" i="8"/>
  <c r="CK47" i="8"/>
  <c r="CG47" i="8"/>
  <c r="CC47" i="8"/>
  <c r="BY47" i="8"/>
  <c r="BU47" i="8"/>
  <c r="BO47" i="8"/>
  <c r="BK47" i="8"/>
  <c r="BG47" i="8"/>
  <c r="BC47" i="8"/>
  <c r="AY47" i="8"/>
  <c r="AU47" i="8"/>
  <c r="AQ47" i="8"/>
  <c r="AM47" i="8"/>
  <c r="AG47" i="8"/>
  <c r="AC47" i="8"/>
  <c r="Y47" i="8"/>
  <c r="U47" i="8"/>
  <c r="EV46" i="8"/>
  <c r="ER46" i="8"/>
  <c r="EN46" i="8"/>
  <c r="EJ46" i="8"/>
  <c r="EF46" i="8"/>
  <c r="DX46" i="8"/>
  <c r="DL46" i="8"/>
  <c r="DD46" i="8"/>
  <c r="CV46" i="8"/>
  <c r="CN46" i="8"/>
  <c r="CF46" i="8"/>
  <c r="BX46" i="8"/>
  <c r="BP46" i="8"/>
  <c r="BH46" i="8"/>
  <c r="AV46" i="8"/>
  <c r="AN46" i="8"/>
  <c r="AF46" i="8"/>
  <c r="X46" i="8"/>
  <c r="EW45" i="8"/>
  <c r="EO45" i="8"/>
  <c r="EC45" i="8"/>
  <c r="DU45" i="8"/>
  <c r="DM45" i="8"/>
  <c r="DE45" i="8"/>
  <c r="CW45" i="8"/>
  <c r="CO45" i="8"/>
  <c r="CG45" i="8"/>
  <c r="BY45" i="8"/>
  <c r="BM45" i="8"/>
  <c r="BE45" i="8"/>
  <c r="AW45" i="8"/>
  <c r="AO45" i="8"/>
  <c r="AG45" i="8"/>
  <c r="Y45" i="8"/>
  <c r="ET44" i="8"/>
  <c r="EL44" i="8"/>
  <c r="ED44" i="8"/>
  <c r="DV44" i="8"/>
  <c r="DN44" i="8"/>
  <c r="DF44" i="8"/>
  <c r="CX44" i="8"/>
  <c r="CP44" i="8"/>
  <c r="CD44" i="8"/>
  <c r="BV44" i="8"/>
  <c r="BN44" i="8"/>
  <c r="BF44" i="8"/>
  <c r="AX44" i="8"/>
  <c r="AP44" i="8"/>
  <c r="AH44" i="8"/>
  <c r="Z44" i="8"/>
  <c r="EU43" i="8"/>
  <c r="EM43" i="8"/>
  <c r="EE43" i="8"/>
  <c r="DW43" i="8"/>
  <c r="DO43" i="8"/>
  <c r="DG43" i="8"/>
  <c r="CU43" i="8"/>
  <c r="CM43" i="8"/>
  <c r="CE43" i="8"/>
  <c r="BW43" i="8"/>
  <c r="BO43" i="8"/>
  <c r="BG43" i="8"/>
  <c r="AY43" i="8"/>
  <c r="AQ43" i="8"/>
  <c r="AE43" i="8"/>
  <c r="W43" i="8"/>
  <c r="EV42" i="8"/>
  <c r="EN42" i="8"/>
  <c r="EF42" i="8"/>
  <c r="DX42" i="8"/>
  <c r="DL42" i="8"/>
  <c r="DD42" i="8"/>
  <c r="CV42" i="8"/>
  <c r="CN42" i="8"/>
  <c r="CF42" i="8"/>
  <c r="BX42" i="8"/>
  <c r="BP42" i="8"/>
  <c r="BH42" i="8"/>
  <c r="AV42" i="8"/>
  <c r="AN42" i="8"/>
  <c r="AF42" i="8"/>
  <c r="X42" i="8"/>
  <c r="EW41" i="8"/>
  <c r="EO41" i="8"/>
  <c r="EC41" i="8"/>
  <c r="DU41" i="8"/>
  <c r="DM41" i="8"/>
  <c r="DE41" i="8"/>
  <c r="CW41" i="8"/>
  <c r="CO41" i="8"/>
  <c r="CG41" i="8"/>
  <c r="BY41" i="8"/>
  <c r="BS41" i="8"/>
  <c r="BM41" i="8"/>
  <c r="BI41" i="8"/>
  <c r="BE41" i="8"/>
  <c r="BA41" i="8"/>
  <c r="AW41" i="8"/>
  <c r="AS41" i="8"/>
  <c r="AO41" i="8"/>
  <c r="AK41" i="8"/>
  <c r="AE41" i="8"/>
  <c r="AA41" i="8"/>
  <c r="W41" i="8"/>
  <c r="S41" i="8"/>
  <c r="ET40" i="8"/>
  <c r="EP40" i="8"/>
  <c r="EL40" i="8"/>
  <c r="EH40" i="8"/>
  <c r="ED40" i="8"/>
  <c r="DZ40" i="8"/>
  <c r="DV40" i="8"/>
  <c r="DR40" i="8"/>
  <c r="DL40" i="8"/>
  <c r="DH40" i="8"/>
  <c r="DD40" i="8"/>
  <c r="CZ40" i="8"/>
  <c r="CV40" i="8"/>
  <c r="CR40" i="8"/>
  <c r="CN40" i="8"/>
  <c r="CJ40" i="8"/>
  <c r="CD40" i="8"/>
  <c r="BZ40" i="8"/>
  <c r="BV40" i="8"/>
  <c r="BR40" i="8"/>
  <c r="BN40" i="8"/>
  <c r="BJ40" i="8"/>
  <c r="BF40" i="8"/>
  <c r="BB40" i="8"/>
  <c r="AV40" i="8"/>
  <c r="AR40" i="8"/>
  <c r="AN40" i="8"/>
  <c r="AJ40" i="8"/>
  <c r="AF40" i="8"/>
  <c r="AB40" i="8"/>
  <c r="X40" i="8"/>
  <c r="T40" i="8"/>
  <c r="EU39" i="8"/>
  <c r="EQ39" i="8"/>
  <c r="EM39" i="8"/>
  <c r="EI39" i="8"/>
  <c r="EC39" i="8"/>
  <c r="DY39" i="8"/>
  <c r="DU39" i="8"/>
  <c r="DQ39" i="8"/>
  <c r="DM39" i="8"/>
  <c r="DI39" i="8"/>
  <c r="DE39" i="8"/>
  <c r="DA39" i="8"/>
  <c r="CU39" i="8"/>
  <c r="CQ39" i="8"/>
  <c r="CM39" i="8"/>
  <c r="CI39" i="8"/>
  <c r="CE39" i="8"/>
  <c r="CA39" i="8"/>
  <c r="BW39" i="8"/>
  <c r="BS39" i="8"/>
  <c r="BM39" i="8"/>
  <c r="BI39" i="8"/>
  <c r="BE39" i="8"/>
  <c r="BA39" i="8"/>
  <c r="AW39" i="8"/>
  <c r="AS39" i="8"/>
  <c r="AO39" i="8"/>
  <c r="AK39" i="8"/>
  <c r="AE39" i="8"/>
  <c r="AA39" i="8"/>
  <c r="W39" i="8"/>
  <c r="S39" i="8"/>
  <c r="ET38" i="8"/>
  <c r="EP38" i="8"/>
  <c r="EL38" i="8"/>
  <c r="EH38" i="8"/>
  <c r="ED38" i="8"/>
  <c r="DZ38" i="8"/>
  <c r="DV38" i="8"/>
  <c r="DR38" i="8"/>
  <c r="DL38" i="8"/>
  <c r="DH38" i="8"/>
  <c r="DD38" i="8"/>
  <c r="CZ38" i="8"/>
  <c r="CV38" i="8"/>
  <c r="CR38" i="8"/>
  <c r="CN38" i="8"/>
  <c r="CJ38" i="8"/>
  <c r="CD38" i="8"/>
  <c r="BZ38" i="8"/>
  <c r="BV38" i="8"/>
  <c r="BR38" i="8"/>
  <c r="BN38" i="8"/>
  <c r="BJ38" i="8"/>
  <c r="BF38" i="8"/>
  <c r="BB38" i="8"/>
  <c r="AV38" i="8"/>
  <c r="AR38" i="8"/>
  <c r="AN38" i="8"/>
  <c r="AJ38" i="8"/>
  <c r="AF38" i="8"/>
  <c r="AB38" i="8"/>
  <c r="X38" i="8"/>
  <c r="T38" i="8"/>
  <c r="EU37" i="8"/>
  <c r="EQ37" i="8"/>
  <c r="EM37" i="8"/>
  <c r="EI37" i="8"/>
  <c r="EC37" i="8"/>
  <c r="DY37" i="8"/>
  <c r="DU37" i="8"/>
  <c r="DQ37" i="8"/>
  <c r="DM37" i="8"/>
  <c r="DI37" i="8"/>
  <c r="DE37" i="8"/>
  <c r="DA37" i="8"/>
  <c r="CU37" i="8"/>
  <c r="CQ37" i="8"/>
  <c r="CM37" i="8"/>
  <c r="CI37" i="8"/>
  <c r="CE37" i="8"/>
  <c r="CA37" i="8"/>
  <c r="BW37" i="8"/>
  <c r="BS37" i="8"/>
  <c r="BM37" i="8"/>
  <c r="BI37" i="8"/>
  <c r="BE37" i="8"/>
  <c r="BA37" i="8"/>
  <c r="AW37" i="8"/>
  <c r="AS37" i="8"/>
  <c r="AO37" i="8"/>
  <c r="AK37" i="8"/>
  <c r="AE37" i="8"/>
  <c r="AA37" i="8"/>
  <c r="W37" i="8"/>
  <c r="S37" i="8"/>
  <c r="ET36" i="8"/>
  <c r="EP36" i="8"/>
  <c r="EL36" i="8"/>
  <c r="EH36" i="8"/>
  <c r="ED36" i="8"/>
  <c r="DZ36" i="8"/>
  <c r="DV36" i="8"/>
  <c r="DR36" i="8"/>
  <c r="DL36" i="8"/>
  <c r="DH36" i="8"/>
  <c r="DD36" i="8"/>
  <c r="CZ36" i="8"/>
  <c r="CV36" i="8"/>
  <c r="CR36" i="8"/>
  <c r="CN36" i="8"/>
  <c r="CJ36" i="8"/>
  <c r="CD36" i="8"/>
  <c r="BZ36" i="8"/>
  <c r="BV36" i="8"/>
  <c r="BR36" i="8"/>
  <c r="BN36" i="8"/>
  <c r="BJ36" i="8"/>
  <c r="BF36" i="8"/>
  <c r="BB36" i="8"/>
  <c r="AV36" i="8"/>
  <c r="AR36" i="8"/>
  <c r="AN36" i="8"/>
  <c r="AJ36" i="8"/>
  <c r="AF36" i="8"/>
  <c r="AB36" i="8"/>
  <c r="X36" i="8"/>
  <c r="T36" i="8"/>
  <c r="EU35" i="8"/>
  <c r="EQ35" i="8"/>
  <c r="EM35" i="8"/>
  <c r="EI35" i="8"/>
  <c r="EC35" i="8"/>
  <c r="DY35" i="8"/>
  <c r="DU35" i="8"/>
  <c r="DQ35" i="8"/>
  <c r="DM35" i="8"/>
  <c r="DI35" i="8"/>
  <c r="DE35" i="8"/>
  <c r="DA35" i="8"/>
  <c r="CU35" i="8"/>
  <c r="CQ35" i="8"/>
  <c r="CM35" i="8"/>
  <c r="CI35" i="8"/>
  <c r="CE35" i="8"/>
  <c r="CA35" i="8"/>
  <c r="BW35" i="8"/>
  <c r="BS35" i="8"/>
  <c r="BM35" i="8"/>
  <c r="BI35" i="8"/>
  <c r="BE35" i="8"/>
  <c r="BA35" i="8"/>
  <c r="AW35" i="8"/>
  <c r="AS35" i="8"/>
  <c r="AO35" i="8"/>
  <c r="AK35" i="8"/>
  <c r="AE35" i="8"/>
  <c r="AA35" i="8"/>
  <c r="W35" i="8"/>
  <c r="S35" i="8"/>
  <c r="ET34" i="8"/>
  <c r="EP34" i="8"/>
  <c r="EL34" i="8"/>
  <c r="EH34" i="8"/>
  <c r="ED34" i="8"/>
  <c r="DZ34" i="8"/>
  <c r="DV34" i="8"/>
  <c r="DR34" i="8"/>
  <c r="DL34" i="8"/>
  <c r="DH34" i="8"/>
  <c r="DD34" i="8"/>
  <c r="CZ34" i="8"/>
  <c r="CV34" i="8"/>
  <c r="CR34" i="8"/>
  <c r="CN34" i="8"/>
  <c r="CJ34" i="8"/>
  <c r="CD34" i="8"/>
  <c r="BZ34" i="8"/>
  <c r="BV34" i="8"/>
  <c r="BR34" i="8"/>
  <c r="BN34" i="8"/>
  <c r="BJ34" i="8"/>
  <c r="BF34" i="8"/>
  <c r="BB34" i="8"/>
  <c r="AV34" i="8"/>
  <c r="AR34" i="8"/>
  <c r="AN34" i="8"/>
  <c r="AJ34" i="8"/>
  <c r="AF34" i="8"/>
  <c r="AB34" i="8"/>
  <c r="X34" i="8"/>
  <c r="T34" i="8"/>
  <c r="EU33" i="8"/>
  <c r="EQ33" i="8"/>
  <c r="EM33" i="8"/>
  <c r="EI33" i="8"/>
  <c r="EC33" i="8"/>
  <c r="DY33" i="8"/>
  <c r="DU33" i="8"/>
  <c r="DQ33" i="8"/>
  <c r="DM33" i="8"/>
  <c r="DI33" i="8"/>
  <c r="DE33" i="8"/>
  <c r="DA33" i="8"/>
  <c r="CU33" i="8"/>
  <c r="CQ33" i="8"/>
  <c r="CM33" i="8"/>
  <c r="CI33" i="8"/>
  <c r="CE33" i="8"/>
  <c r="CA33" i="8"/>
  <c r="BW33" i="8"/>
  <c r="BS33" i="8"/>
  <c r="BM33" i="8"/>
  <c r="BI33" i="8"/>
  <c r="BE33" i="8"/>
  <c r="BA33" i="8"/>
  <c r="AW33" i="8"/>
  <c r="AS33" i="8"/>
  <c r="AO33" i="8"/>
  <c r="AK33" i="8"/>
  <c r="AE33" i="8"/>
  <c r="AA33" i="8"/>
  <c r="W33" i="8"/>
  <c r="S33" i="8"/>
  <c r="ET32" i="8"/>
  <c r="EP32" i="8"/>
  <c r="EL32" i="8"/>
  <c r="EH32" i="8"/>
  <c r="ED32" i="8"/>
  <c r="DZ32" i="8"/>
  <c r="DV32" i="8"/>
  <c r="DR32" i="8"/>
  <c r="DL32" i="8"/>
  <c r="DH32" i="8"/>
  <c r="DD32" i="8"/>
  <c r="CZ32" i="8"/>
  <c r="CV32" i="8"/>
  <c r="CR32" i="8"/>
  <c r="CN32" i="8"/>
  <c r="CJ32" i="8"/>
  <c r="CD32" i="8"/>
  <c r="BZ32" i="8"/>
  <c r="BV32" i="8"/>
  <c r="BR32" i="8"/>
  <c r="BN32" i="8"/>
  <c r="BJ32" i="8"/>
  <c r="BF32" i="8"/>
  <c r="BB32" i="8"/>
  <c r="AV32" i="8"/>
  <c r="AR32" i="8"/>
  <c r="AN32" i="8"/>
  <c r="AJ32" i="8"/>
  <c r="AF32" i="8"/>
  <c r="AB32" i="8"/>
  <c r="X32" i="8"/>
  <c r="T32" i="8"/>
  <c r="EU31" i="8"/>
  <c r="EQ31" i="8"/>
  <c r="EM31" i="8"/>
  <c r="EI31" i="8"/>
  <c r="EC31" i="8"/>
  <c r="DY31" i="8"/>
  <c r="DU31" i="8"/>
  <c r="DQ31" i="8"/>
  <c r="DM31" i="8"/>
  <c r="DI31" i="8"/>
  <c r="DE31" i="8"/>
  <c r="DA31" i="8"/>
  <c r="CU31" i="8"/>
  <c r="CQ31" i="8"/>
  <c r="CM31" i="8"/>
  <c r="CI31" i="8"/>
  <c r="CE31" i="8"/>
  <c r="CA31" i="8"/>
  <c r="BW31" i="8"/>
  <c r="BS31" i="8"/>
  <c r="BM31" i="8"/>
  <c r="BI31" i="8"/>
  <c r="BE31" i="8"/>
  <c r="BA31" i="8"/>
  <c r="AW31" i="8"/>
  <c r="AS31" i="8"/>
  <c r="AO31" i="8"/>
  <c r="AK31" i="8"/>
  <c r="AE31" i="8"/>
  <c r="AA31" i="8"/>
  <c r="W31" i="8"/>
  <c r="S31" i="8"/>
  <c r="EU30" i="8"/>
  <c r="EQ30" i="8"/>
  <c r="EM30" i="8"/>
  <c r="EI30" i="8"/>
  <c r="EC30" i="8"/>
  <c r="DY30" i="8"/>
  <c r="DU30" i="8"/>
  <c r="DQ30" i="8"/>
  <c r="DM30" i="8"/>
  <c r="DI30" i="8"/>
  <c r="DE30" i="8"/>
  <c r="DA30" i="8"/>
  <c r="CU30" i="8"/>
  <c r="CQ30" i="8"/>
  <c r="CM30" i="8"/>
  <c r="CI30" i="8"/>
  <c r="CE30" i="8"/>
  <c r="CA30" i="8"/>
  <c r="BW30" i="8"/>
  <c r="BS30" i="8"/>
  <c r="BM30" i="8"/>
  <c r="BI30" i="8"/>
  <c r="BE30" i="8"/>
  <c r="BA30" i="8"/>
  <c r="AW30" i="8"/>
  <c r="AS30" i="8"/>
  <c r="AO30" i="8"/>
  <c r="AK30" i="8"/>
  <c r="AE30" i="8"/>
  <c r="AA30" i="8"/>
  <c r="W30" i="8"/>
  <c r="S30" i="8"/>
  <c r="EU29" i="8"/>
  <c r="EQ29" i="8"/>
  <c r="EM29" i="8"/>
  <c r="EI29" i="8"/>
  <c r="EC29" i="8"/>
  <c r="DY29" i="8"/>
  <c r="DU29" i="8"/>
  <c r="DQ29" i="8"/>
  <c r="DM29" i="8"/>
  <c r="DI29" i="8"/>
  <c r="DE29" i="8"/>
  <c r="DA29" i="8"/>
  <c r="CU29" i="8"/>
  <c r="CQ29" i="8"/>
  <c r="CM29" i="8"/>
  <c r="CI29" i="8"/>
  <c r="CE29" i="8"/>
  <c r="CA29" i="8"/>
  <c r="BW29" i="8"/>
  <c r="BS29" i="8"/>
  <c r="BM29" i="8"/>
  <c r="BI29" i="8"/>
  <c r="BE29" i="8"/>
  <c r="BA29" i="8"/>
  <c r="AW29" i="8"/>
  <c r="AS29" i="8"/>
  <c r="AO29" i="8"/>
  <c r="AK29" i="8"/>
  <c r="AE29" i="8"/>
  <c r="AA29" i="8"/>
  <c r="W29" i="8"/>
  <c r="S29" i="8"/>
  <c r="EU28" i="8"/>
  <c r="EQ28" i="8"/>
  <c r="EM28" i="8"/>
  <c r="EI28" i="8"/>
  <c r="EC28" i="8"/>
  <c r="DY28" i="8"/>
  <c r="DU28" i="8"/>
  <c r="DQ28" i="8"/>
  <c r="DM28" i="8"/>
  <c r="DI28" i="8"/>
  <c r="DE28" i="8"/>
  <c r="DA28" i="8"/>
  <c r="CU28" i="8"/>
  <c r="CQ28" i="8"/>
  <c r="CM28" i="8"/>
  <c r="CI28" i="8"/>
  <c r="CE28" i="8"/>
  <c r="CA28" i="8"/>
  <c r="BW28" i="8"/>
  <c r="BS28" i="8"/>
  <c r="BM28" i="8"/>
  <c r="BI28" i="8"/>
  <c r="BE28" i="8"/>
  <c r="BA28" i="8"/>
  <c r="AW28" i="8"/>
  <c r="AS28" i="8"/>
  <c r="AO28" i="8"/>
  <c r="AK28" i="8"/>
  <c r="AE28" i="8"/>
  <c r="AA28" i="8"/>
  <c r="W28" i="8"/>
  <c r="S28" i="8"/>
  <c r="EU27" i="8"/>
  <c r="EQ27" i="8"/>
  <c r="EM27" i="8"/>
  <c r="EI27" i="8"/>
  <c r="EC27" i="8"/>
  <c r="DY27" i="8"/>
  <c r="DU27" i="8"/>
  <c r="DQ27" i="8"/>
  <c r="DM27" i="8"/>
  <c r="DI27" i="8"/>
  <c r="DE27" i="8"/>
  <c r="DA27" i="8"/>
  <c r="CU27" i="8"/>
  <c r="CQ27" i="8"/>
  <c r="CM27" i="8"/>
  <c r="CI27" i="8"/>
  <c r="CE27" i="8"/>
  <c r="CA27" i="8"/>
  <c r="BW27" i="8"/>
  <c r="BS27" i="8"/>
  <c r="BM27" i="8"/>
  <c r="BI27" i="8"/>
  <c r="BE27" i="8"/>
  <c r="BA27" i="8"/>
  <c r="AW27" i="8"/>
  <c r="AS27" i="8"/>
  <c r="AO27" i="8"/>
  <c r="AK27" i="8"/>
  <c r="AE27" i="8"/>
  <c r="AA27" i="8"/>
  <c r="W27" i="8"/>
  <c r="S27" i="8"/>
  <c r="ET26" i="8"/>
  <c r="EP26" i="8"/>
  <c r="EL26" i="8"/>
  <c r="EH26" i="8"/>
  <c r="ED26" i="8"/>
  <c r="DZ26" i="8"/>
  <c r="DV26" i="8"/>
  <c r="DR26" i="8"/>
  <c r="DL26" i="8"/>
  <c r="DH26" i="8"/>
  <c r="DD26" i="8"/>
  <c r="CZ26" i="8"/>
  <c r="CV26" i="8"/>
  <c r="CR26" i="8"/>
  <c r="CN26" i="8"/>
  <c r="CJ26" i="8"/>
  <c r="CD26" i="8"/>
  <c r="BZ26" i="8"/>
  <c r="BV26" i="8"/>
  <c r="BR26" i="8"/>
  <c r="BN26" i="8"/>
  <c r="BJ26" i="8"/>
  <c r="BF26" i="8"/>
  <c r="BB26" i="8"/>
  <c r="AV26" i="8"/>
  <c r="AR26" i="8"/>
  <c r="AN26" i="8"/>
  <c r="AJ26" i="8"/>
  <c r="AF26" i="8"/>
  <c r="AB26" i="8"/>
  <c r="X26" i="8"/>
  <c r="T26" i="8"/>
  <c r="EU25" i="8"/>
  <c r="EQ25" i="8"/>
  <c r="EM25" i="8"/>
  <c r="EI25" i="8"/>
  <c r="EC25" i="8"/>
  <c r="DY25" i="8"/>
  <c r="DU25" i="8"/>
  <c r="DQ25" i="8"/>
  <c r="DM25" i="8"/>
  <c r="DI25" i="8"/>
  <c r="DE25" i="8"/>
  <c r="DA25" i="8"/>
  <c r="CU25" i="8"/>
  <c r="CQ25" i="8"/>
  <c r="CM25" i="8"/>
  <c r="CI25" i="8"/>
  <c r="CE25" i="8"/>
  <c r="CA25" i="8"/>
  <c r="BW25" i="8"/>
  <c r="BS25" i="8"/>
  <c r="BM25" i="8"/>
  <c r="BI25" i="8"/>
  <c r="BE25" i="8"/>
  <c r="BA25" i="8"/>
  <c r="AW25" i="8"/>
  <c r="AS25" i="8"/>
  <c r="AO25" i="8"/>
  <c r="AK25" i="8"/>
  <c r="AE25" i="8"/>
  <c r="AA25" i="8"/>
  <c r="W25" i="8"/>
  <c r="S25" i="8"/>
  <c r="ET24" i="8"/>
  <c r="EP24" i="8"/>
  <c r="EL24" i="8"/>
  <c r="EH24" i="8"/>
  <c r="ED24" i="8"/>
  <c r="DZ24" i="8"/>
  <c r="DV24" i="8"/>
  <c r="DR24" i="8"/>
  <c r="DL24" i="8"/>
  <c r="DH24" i="8"/>
  <c r="DD24" i="8"/>
  <c r="CZ24" i="8"/>
  <c r="CV24" i="8"/>
  <c r="CR24" i="8"/>
  <c r="CN24" i="8"/>
  <c r="CJ24" i="8"/>
  <c r="CD24" i="8"/>
  <c r="BZ24" i="8"/>
  <c r="BV24" i="8"/>
  <c r="BR24" i="8"/>
  <c r="BN24" i="8"/>
  <c r="BJ24" i="8"/>
  <c r="BF24" i="8"/>
  <c r="BB24" i="8"/>
  <c r="AV24" i="8"/>
  <c r="AR24" i="8"/>
  <c r="AN24" i="8"/>
  <c r="AJ24" i="8"/>
  <c r="AF24" i="8"/>
  <c r="AB24" i="8"/>
  <c r="X24" i="8"/>
  <c r="T24" i="8"/>
  <c r="EU23" i="8"/>
  <c r="EQ23" i="8"/>
  <c r="EM23" i="8"/>
  <c r="EI23" i="8"/>
  <c r="EC23" i="8"/>
  <c r="DY23" i="8"/>
  <c r="DU23" i="8"/>
  <c r="DQ23" i="8"/>
  <c r="DM23" i="8"/>
  <c r="DI23" i="8"/>
  <c r="DE23" i="8"/>
  <c r="DA23" i="8"/>
  <c r="CU23" i="8"/>
  <c r="CQ23" i="8"/>
  <c r="CM23" i="8"/>
  <c r="CI23" i="8"/>
  <c r="CE23" i="8"/>
  <c r="CA23" i="8"/>
  <c r="BW23" i="8"/>
  <c r="BS23" i="8"/>
  <c r="BM23" i="8"/>
  <c r="BI23" i="8"/>
  <c r="BE23" i="8"/>
  <c r="BA23" i="8"/>
  <c r="AW23" i="8"/>
  <c r="AS23" i="8"/>
  <c r="AO23" i="8"/>
  <c r="AK23" i="8"/>
  <c r="AE23" i="8"/>
  <c r="AA23" i="8"/>
  <c r="W23" i="8"/>
  <c r="S23" i="8"/>
  <c r="ET22" i="8"/>
  <c r="EP22" i="8"/>
  <c r="EL22" i="8"/>
  <c r="EH22" i="8"/>
  <c r="ED22" i="8"/>
  <c r="DZ22" i="8"/>
  <c r="DV22" i="8"/>
  <c r="DR22" i="8"/>
  <c r="DL22" i="8"/>
  <c r="DH22" i="8"/>
  <c r="DD22" i="8"/>
  <c r="CZ22" i="8"/>
  <c r="CV22" i="8"/>
  <c r="CR22" i="8"/>
  <c r="CN22" i="8"/>
  <c r="CJ22" i="8"/>
  <c r="CD22" i="8"/>
  <c r="BZ22" i="8"/>
  <c r="BV22" i="8"/>
  <c r="BR22" i="8"/>
  <c r="BN22" i="8"/>
  <c r="BJ22" i="8"/>
  <c r="BF22" i="8"/>
  <c r="BB22" i="8"/>
  <c r="AV22" i="8"/>
  <c r="AR22" i="8"/>
  <c r="AN22" i="8"/>
  <c r="AJ22" i="8"/>
  <c r="AF22" i="8"/>
  <c r="AB22" i="8"/>
  <c r="X22" i="8"/>
  <c r="T22" i="8"/>
  <c r="EU21" i="8"/>
  <c r="EQ21" i="8"/>
  <c r="EM21" i="8"/>
  <c r="EI21" i="8"/>
  <c r="EC21" i="8"/>
  <c r="DY21" i="8"/>
  <c r="DU21" i="8"/>
  <c r="DQ21" i="8"/>
  <c r="DM21" i="8"/>
  <c r="DI21" i="8"/>
  <c r="DE21" i="8"/>
  <c r="DA21" i="8"/>
  <c r="CU21" i="8"/>
  <c r="CQ21" i="8"/>
  <c r="CM21" i="8"/>
  <c r="CI21" i="8"/>
  <c r="CE21" i="8"/>
  <c r="CA21" i="8"/>
  <c r="BW21" i="8"/>
  <c r="BS21" i="8"/>
  <c r="BM21" i="8"/>
  <c r="BI21" i="8"/>
  <c r="BE21" i="8"/>
  <c r="BA21" i="8"/>
  <c r="AW21" i="8"/>
  <c r="AS21" i="8"/>
  <c r="AO21" i="8"/>
  <c r="AK21" i="8"/>
  <c r="AE21" i="8"/>
  <c r="AA21" i="8"/>
  <c r="W21" i="8"/>
  <c r="S21" i="8"/>
  <c r="ET20" i="8"/>
  <c r="EP20" i="8"/>
  <c r="EL20" i="8"/>
  <c r="EH20" i="8"/>
  <c r="ED20" i="8"/>
  <c r="DZ20" i="8"/>
  <c r="DV20" i="8"/>
  <c r="DR20" i="8"/>
  <c r="DL20" i="8"/>
  <c r="DH20" i="8"/>
  <c r="DD20" i="8"/>
  <c r="CZ20" i="8"/>
  <c r="CV20" i="8"/>
  <c r="CR20" i="8"/>
  <c r="CN20" i="8"/>
  <c r="CJ20" i="8"/>
  <c r="CD20" i="8"/>
  <c r="BZ20" i="8"/>
  <c r="BV20" i="8"/>
  <c r="BR20" i="8"/>
  <c r="BN20" i="8"/>
  <c r="BJ20" i="8"/>
  <c r="BF20" i="8"/>
  <c r="BB20" i="8"/>
  <c r="AV20" i="8"/>
  <c r="AR20" i="8"/>
  <c r="AN20" i="8"/>
  <c r="AJ20" i="8"/>
  <c r="AF20" i="8"/>
  <c r="AB20" i="8"/>
  <c r="X20" i="8"/>
  <c r="T20" i="8"/>
  <c r="EU19" i="8"/>
  <c r="EQ19" i="8"/>
  <c r="EM19" i="8"/>
  <c r="EI19" i="8"/>
  <c r="EC19" i="8"/>
  <c r="DY19" i="8"/>
  <c r="DU19" i="8"/>
  <c r="DQ19" i="8"/>
  <c r="DM19" i="8"/>
  <c r="DI19" i="8"/>
  <c r="DE19" i="8"/>
  <c r="DA19" i="8"/>
  <c r="CU19" i="8"/>
  <c r="CQ19" i="8"/>
  <c r="CM19" i="8"/>
  <c r="CI19" i="8"/>
  <c r="CE19" i="8"/>
  <c r="CA19" i="8"/>
  <c r="BW19" i="8"/>
  <c r="BS19" i="8"/>
  <c r="BM19" i="8"/>
  <c r="BI19" i="8"/>
  <c r="BE19" i="8"/>
  <c r="BA19" i="8"/>
  <c r="AW19" i="8"/>
  <c r="AS19" i="8"/>
  <c r="AO19" i="8"/>
  <c r="AK19" i="8"/>
  <c r="AE19" i="8"/>
  <c r="AA19" i="8"/>
  <c r="W19" i="8"/>
  <c r="S19" i="8"/>
  <c r="ET18" i="8"/>
  <c r="EP18" i="8"/>
  <c r="EL18" i="8"/>
  <c r="EH18" i="8"/>
  <c r="ED18" i="8"/>
  <c r="DZ18" i="8"/>
  <c r="DV18" i="8"/>
  <c r="DR18" i="8"/>
  <c r="DL18" i="8"/>
  <c r="DH18" i="8"/>
  <c r="DD18" i="8"/>
  <c r="CZ18" i="8"/>
  <c r="CV18" i="8"/>
  <c r="CR18" i="8"/>
  <c r="CN18" i="8"/>
  <c r="CJ18" i="8"/>
  <c r="CD18" i="8"/>
  <c r="BZ18" i="8"/>
  <c r="BV18" i="8"/>
  <c r="BR18" i="8"/>
  <c r="BN18" i="8"/>
  <c r="BJ18" i="8"/>
  <c r="BF18" i="8"/>
  <c r="BB18" i="8"/>
  <c r="AV18" i="8"/>
  <c r="AR18" i="8"/>
  <c r="AN18" i="8"/>
  <c r="AJ18" i="8"/>
  <c r="AF18" i="8"/>
  <c r="AB18" i="8"/>
  <c r="X18" i="8"/>
  <c r="T18" i="8"/>
  <c r="ET17" i="8"/>
  <c r="EP17" i="8"/>
  <c r="EL17" i="8"/>
  <c r="EH17" i="8"/>
  <c r="ED17" i="8"/>
  <c r="DZ17" i="8"/>
  <c r="DV17" i="8"/>
  <c r="DR17" i="8"/>
  <c r="DL17" i="8"/>
  <c r="DH17" i="8"/>
  <c r="DD17" i="8"/>
  <c r="CZ17" i="8"/>
  <c r="CV17" i="8"/>
  <c r="CR17" i="8"/>
  <c r="CN17" i="8"/>
  <c r="CJ17" i="8"/>
  <c r="CD17" i="8"/>
  <c r="BZ17" i="8"/>
  <c r="BV17" i="8"/>
  <c r="BR17" i="8"/>
  <c r="BN17" i="8"/>
  <c r="BJ17" i="8"/>
  <c r="BF17" i="8"/>
  <c r="BB17" i="8"/>
  <c r="AV17" i="8"/>
  <c r="AR17" i="8"/>
  <c r="AN17" i="8"/>
  <c r="AJ17" i="8"/>
  <c r="AF17" i="8"/>
  <c r="AB17" i="8"/>
  <c r="X17" i="8"/>
  <c r="ED46" i="8"/>
  <c r="DV46" i="8"/>
  <c r="DN46" i="8"/>
  <c r="DF46" i="8"/>
  <c r="CX46" i="8"/>
  <c r="CP46" i="8"/>
  <c r="CD46" i="8"/>
  <c r="BV46" i="8"/>
  <c r="BN46" i="8"/>
  <c r="BF46" i="8"/>
  <c r="AX46" i="8"/>
  <c r="AP46" i="8"/>
  <c r="AH46" i="8"/>
  <c r="Z46" i="8"/>
  <c r="EU45" i="8"/>
  <c r="EM45" i="8"/>
  <c r="EE45" i="8"/>
  <c r="DW45" i="8"/>
  <c r="DO45" i="8"/>
  <c r="DG45" i="8"/>
  <c r="CU45" i="8"/>
  <c r="CM45" i="8"/>
  <c r="CE45" i="8"/>
  <c r="BW45" i="8"/>
  <c r="BO45" i="8"/>
  <c r="BG45" i="8"/>
  <c r="AY45" i="8"/>
  <c r="AQ45" i="8"/>
  <c r="AE45" i="8"/>
  <c r="W45" i="8"/>
  <c r="EV44" i="8"/>
  <c r="EN44" i="8"/>
  <c r="EF44" i="8"/>
  <c r="DX44" i="8"/>
  <c r="DL44" i="8"/>
  <c r="DD44" i="8"/>
  <c r="CV44" i="8"/>
  <c r="CN44" i="8"/>
  <c r="CF44" i="8"/>
  <c r="BX44" i="8"/>
  <c r="BP44" i="8"/>
  <c r="BH44" i="8"/>
  <c r="AV44" i="8"/>
  <c r="AN44" i="8"/>
  <c r="AF44" i="8"/>
  <c r="X44" i="8"/>
  <c r="EW43" i="8"/>
  <c r="EO43" i="8"/>
  <c r="EC43" i="8"/>
  <c r="DU43" i="8"/>
  <c r="DM43" i="8"/>
  <c r="DE43" i="8"/>
  <c r="CW43" i="8"/>
  <c r="CO43" i="8"/>
  <c r="CG43" i="8"/>
  <c r="BY43" i="8"/>
  <c r="BM43" i="8"/>
  <c r="BE43" i="8"/>
  <c r="AW43" i="8"/>
  <c r="AO43" i="8"/>
  <c r="AG43" i="8"/>
  <c r="Y43" i="8"/>
  <c r="ET42" i="8"/>
  <c r="EL42" i="8"/>
  <c r="ED42" i="8"/>
  <c r="DV42" i="8"/>
  <c r="DN42" i="8"/>
  <c r="DF42" i="8"/>
  <c r="CX42" i="8"/>
  <c r="CP42" i="8"/>
  <c r="CD42" i="8"/>
  <c r="BV42" i="8"/>
  <c r="BN42" i="8"/>
  <c r="BF42" i="8"/>
  <c r="AX42" i="8"/>
  <c r="AP42" i="8"/>
  <c r="AH42" i="8"/>
  <c r="Z42" i="8"/>
  <c r="EU41" i="8"/>
  <c r="EM41" i="8"/>
  <c r="EE41" i="8"/>
  <c r="DW41" i="8"/>
  <c r="DO41" i="8"/>
  <c r="DG41" i="8"/>
  <c r="CU41" i="8"/>
  <c r="CM41" i="8"/>
  <c r="CE41" i="8"/>
  <c r="BW41" i="8"/>
  <c r="BR41" i="8"/>
  <c r="BN41" i="8"/>
  <c r="BJ41" i="8"/>
  <c r="BF41" i="8"/>
  <c r="BB41" i="8"/>
  <c r="AV41" i="8"/>
  <c r="AR41" i="8"/>
  <c r="AN41" i="8"/>
  <c r="AJ41" i="8"/>
  <c r="AF41" i="8"/>
  <c r="AB41" i="8"/>
  <c r="X41" i="8"/>
  <c r="T41" i="8"/>
  <c r="EU40" i="8"/>
  <c r="EQ40" i="8"/>
  <c r="EM40" i="8"/>
  <c r="EI40" i="8"/>
  <c r="EC40" i="8"/>
  <c r="DY40" i="8"/>
  <c r="DU40" i="8"/>
  <c r="DQ40" i="8"/>
  <c r="DM40" i="8"/>
  <c r="DI40" i="8"/>
  <c r="DE40" i="8"/>
  <c r="DA40" i="8"/>
  <c r="CU40" i="8"/>
  <c r="CQ40" i="8"/>
  <c r="CM40" i="8"/>
  <c r="CI40" i="8"/>
  <c r="CE40" i="8"/>
  <c r="CA40" i="8"/>
  <c r="BW40" i="8"/>
  <c r="BS40" i="8"/>
  <c r="BM40" i="8"/>
  <c r="BI40" i="8"/>
  <c r="BE40" i="8"/>
  <c r="BA40" i="8"/>
  <c r="AW40" i="8"/>
  <c r="AS40" i="8"/>
  <c r="AO40" i="8"/>
  <c r="AK40" i="8"/>
  <c r="AE40" i="8"/>
  <c r="AA40" i="8"/>
  <c r="W40" i="8"/>
  <c r="S40" i="8"/>
  <c r="ET39" i="8"/>
  <c r="EP39" i="8"/>
  <c r="EL39" i="8"/>
  <c r="EH39" i="8"/>
  <c r="ED39" i="8"/>
  <c r="DZ39" i="8"/>
  <c r="DV39" i="8"/>
  <c r="DR39" i="8"/>
  <c r="DL39" i="8"/>
  <c r="DH39" i="8"/>
  <c r="DD39" i="8"/>
  <c r="CZ39" i="8"/>
  <c r="CV39" i="8"/>
  <c r="CR39" i="8"/>
  <c r="CN39" i="8"/>
  <c r="CJ39" i="8"/>
  <c r="CD39" i="8"/>
  <c r="BZ39" i="8"/>
  <c r="BV39" i="8"/>
  <c r="BR39" i="8"/>
  <c r="BN39" i="8"/>
  <c r="BJ39" i="8"/>
  <c r="BF39" i="8"/>
  <c r="BB39" i="8"/>
  <c r="AV39" i="8"/>
  <c r="AR39" i="8"/>
  <c r="AN39" i="8"/>
  <c r="AJ39" i="8"/>
  <c r="AF39" i="8"/>
  <c r="AB39" i="8"/>
  <c r="X39" i="8"/>
  <c r="T39" i="8"/>
  <c r="EU38" i="8"/>
  <c r="EQ38" i="8"/>
  <c r="EM38" i="8"/>
  <c r="EI38" i="8"/>
  <c r="EC38" i="8"/>
  <c r="DY38" i="8"/>
  <c r="DU38" i="8"/>
  <c r="DQ38" i="8"/>
  <c r="DM38" i="8"/>
  <c r="DI38" i="8"/>
  <c r="DE38" i="8"/>
  <c r="DA38" i="8"/>
  <c r="CU38" i="8"/>
  <c r="CQ38" i="8"/>
  <c r="CM38" i="8"/>
  <c r="CI38" i="8"/>
  <c r="CE38" i="8"/>
  <c r="CA38" i="8"/>
  <c r="BW38" i="8"/>
  <c r="BS38" i="8"/>
  <c r="BM38" i="8"/>
  <c r="BI38" i="8"/>
  <c r="BE38" i="8"/>
  <c r="BA38" i="8"/>
  <c r="AW38" i="8"/>
  <c r="AS38" i="8"/>
  <c r="AO38" i="8"/>
  <c r="AK38" i="8"/>
  <c r="AE38" i="8"/>
  <c r="AA38" i="8"/>
  <c r="W38" i="8"/>
  <c r="S38" i="8"/>
  <c r="ET37" i="8"/>
  <c r="EP37" i="8"/>
  <c r="EL37" i="8"/>
  <c r="EH37" i="8"/>
  <c r="ED37" i="8"/>
  <c r="DZ37" i="8"/>
  <c r="DV37" i="8"/>
  <c r="DR37" i="8"/>
  <c r="DL37" i="8"/>
  <c r="DH37" i="8"/>
  <c r="DD37" i="8"/>
  <c r="CZ37" i="8"/>
  <c r="CV37" i="8"/>
  <c r="CR37" i="8"/>
  <c r="CN37" i="8"/>
  <c r="CJ37" i="8"/>
  <c r="CD37" i="8"/>
  <c r="BZ37" i="8"/>
  <c r="BV37" i="8"/>
  <c r="BR37" i="8"/>
  <c r="BN37" i="8"/>
  <c r="BJ37" i="8"/>
  <c r="BF37" i="8"/>
  <c r="BB37" i="8"/>
  <c r="AV37" i="8"/>
  <c r="AR37" i="8"/>
  <c r="AN37" i="8"/>
  <c r="AJ37" i="8"/>
  <c r="AF37" i="8"/>
  <c r="AB37" i="8"/>
  <c r="X37" i="8"/>
  <c r="T37" i="8"/>
  <c r="EU36" i="8"/>
  <c r="EQ36" i="8"/>
  <c r="EM36" i="8"/>
  <c r="EI36" i="8"/>
  <c r="EC36" i="8"/>
  <c r="DY36" i="8"/>
  <c r="DU36" i="8"/>
  <c r="DQ36" i="8"/>
  <c r="DM36" i="8"/>
  <c r="DI36" i="8"/>
  <c r="DE36" i="8"/>
  <c r="DA36" i="8"/>
  <c r="CU36" i="8"/>
  <c r="CQ36" i="8"/>
  <c r="CM36" i="8"/>
  <c r="CI36" i="8"/>
  <c r="CE36" i="8"/>
  <c r="CA36" i="8"/>
  <c r="BW36" i="8"/>
  <c r="BS36" i="8"/>
  <c r="BM36" i="8"/>
  <c r="BI36" i="8"/>
  <c r="BE36" i="8"/>
  <c r="BA36" i="8"/>
  <c r="AW36" i="8"/>
  <c r="AS36" i="8"/>
  <c r="AO36" i="8"/>
  <c r="AK36" i="8"/>
  <c r="AE36" i="8"/>
  <c r="AA36" i="8"/>
  <c r="W36" i="8"/>
  <c r="S36" i="8"/>
  <c r="ET35" i="8"/>
  <c r="EP35" i="8"/>
  <c r="EL35" i="8"/>
  <c r="EH35" i="8"/>
  <c r="ED35" i="8"/>
  <c r="DZ35" i="8"/>
  <c r="DV35" i="8"/>
  <c r="DR35" i="8"/>
  <c r="DL35" i="8"/>
  <c r="DH35" i="8"/>
  <c r="DD35" i="8"/>
  <c r="CZ35" i="8"/>
  <c r="CV35" i="8"/>
  <c r="CR35" i="8"/>
  <c r="CN35" i="8"/>
  <c r="CJ35" i="8"/>
  <c r="CD35" i="8"/>
  <c r="BZ35" i="8"/>
  <c r="BV35" i="8"/>
  <c r="BR35" i="8"/>
  <c r="BN35" i="8"/>
  <c r="BJ35" i="8"/>
  <c r="BF35" i="8"/>
  <c r="BB35" i="8"/>
  <c r="AV35" i="8"/>
  <c r="AR35" i="8"/>
  <c r="AN35" i="8"/>
  <c r="AJ35" i="8"/>
  <c r="AF35" i="8"/>
  <c r="AB35" i="8"/>
  <c r="X35" i="8"/>
  <c r="T35" i="8"/>
  <c r="EU34" i="8"/>
  <c r="EQ34" i="8"/>
  <c r="EM34" i="8"/>
  <c r="EI34" i="8"/>
  <c r="EC34" i="8"/>
  <c r="DY34" i="8"/>
  <c r="DU34" i="8"/>
  <c r="DQ34" i="8"/>
  <c r="DM34" i="8"/>
  <c r="DI34" i="8"/>
  <c r="DE34" i="8"/>
  <c r="DA34" i="8"/>
  <c r="CU34" i="8"/>
  <c r="CQ34" i="8"/>
  <c r="CM34" i="8"/>
  <c r="CI34" i="8"/>
  <c r="CE34" i="8"/>
  <c r="CA34" i="8"/>
  <c r="BW34" i="8"/>
  <c r="BS34" i="8"/>
  <c r="BM34" i="8"/>
  <c r="BI34" i="8"/>
  <c r="BE34" i="8"/>
  <c r="BA34" i="8"/>
  <c r="AW34" i="8"/>
  <c r="AS34" i="8"/>
  <c r="AO34" i="8"/>
  <c r="AK34" i="8"/>
  <c r="AE34" i="8"/>
  <c r="AA34" i="8"/>
  <c r="W34" i="8"/>
  <c r="S34" i="8"/>
  <c r="ET33" i="8"/>
  <c r="EP33" i="8"/>
  <c r="EL33" i="8"/>
  <c r="EH33" i="8"/>
  <c r="ED33" i="8"/>
  <c r="DZ33" i="8"/>
  <c r="DV33" i="8"/>
  <c r="DR33" i="8"/>
  <c r="DL33" i="8"/>
  <c r="DH33" i="8"/>
  <c r="DD33" i="8"/>
  <c r="CZ33" i="8"/>
  <c r="CV33" i="8"/>
  <c r="CR33" i="8"/>
  <c r="CN33" i="8"/>
  <c r="CJ33" i="8"/>
  <c r="CD33" i="8"/>
  <c r="BZ33" i="8"/>
  <c r="BV33" i="8"/>
  <c r="BR33" i="8"/>
  <c r="BN33" i="8"/>
  <c r="BJ33" i="8"/>
  <c r="BF33" i="8"/>
  <c r="BB33" i="8"/>
  <c r="AV33" i="8"/>
  <c r="AR33" i="8"/>
  <c r="AN33" i="8"/>
  <c r="AJ33" i="8"/>
  <c r="AF33" i="8"/>
  <c r="AB33" i="8"/>
  <c r="X33" i="8"/>
  <c r="T33" i="8"/>
  <c r="EU32" i="8"/>
  <c r="EQ32" i="8"/>
  <c r="EM32" i="8"/>
  <c r="EI32" i="8"/>
  <c r="EC32" i="8"/>
  <c r="DY32" i="8"/>
  <c r="DU32" i="8"/>
  <c r="DQ32" i="8"/>
  <c r="DM32" i="8"/>
  <c r="DI32" i="8"/>
  <c r="DE32" i="8"/>
  <c r="DA32" i="8"/>
  <c r="CU32" i="8"/>
  <c r="CQ32" i="8"/>
  <c r="CM32" i="8"/>
  <c r="CI32" i="8"/>
  <c r="CE32" i="8"/>
  <c r="CA32" i="8"/>
  <c r="BW32" i="8"/>
  <c r="BS32" i="8"/>
  <c r="BM32" i="8"/>
  <c r="BI32" i="8"/>
  <c r="BE32" i="8"/>
  <c r="BA32" i="8"/>
  <c r="AW32" i="8"/>
  <c r="AS32" i="8"/>
  <c r="AO32" i="8"/>
  <c r="AK32" i="8"/>
  <c r="AE32" i="8"/>
  <c r="AA32" i="8"/>
  <c r="W32" i="8"/>
  <c r="S32" i="8"/>
  <c r="ET31" i="8"/>
  <c r="EP31" i="8"/>
  <c r="EL31" i="8"/>
  <c r="EH31" i="8"/>
  <c r="ED31" i="8"/>
  <c r="DZ31" i="8"/>
  <c r="DV31" i="8"/>
  <c r="DR31" i="8"/>
  <c r="DL31" i="8"/>
  <c r="DH31" i="8"/>
  <c r="DD31" i="8"/>
  <c r="CZ31" i="8"/>
  <c r="CV31" i="8"/>
  <c r="CR31" i="8"/>
  <c r="CN31" i="8"/>
  <c r="CJ31" i="8"/>
  <c r="CD31" i="8"/>
  <c r="BZ31" i="8"/>
  <c r="BV31" i="8"/>
  <c r="BR31" i="8"/>
  <c r="BN31" i="8"/>
  <c r="BJ31" i="8"/>
  <c r="BF31" i="8"/>
  <c r="BB31" i="8"/>
  <c r="AV31" i="8"/>
  <c r="AR31" i="8"/>
  <c r="AN31" i="8"/>
  <c r="AJ31" i="8"/>
  <c r="AF31" i="8"/>
  <c r="AB31" i="8"/>
  <c r="X31" i="8"/>
  <c r="T31" i="8"/>
  <c r="ET30" i="8"/>
  <c r="EP30" i="8"/>
  <c r="EL30" i="8"/>
  <c r="EH30" i="8"/>
  <c r="ED30" i="8"/>
  <c r="DZ30" i="8"/>
  <c r="DV30" i="8"/>
  <c r="DR30" i="8"/>
  <c r="DL30" i="8"/>
  <c r="DH30" i="8"/>
  <c r="DD30" i="8"/>
  <c r="CZ30" i="8"/>
  <c r="CV30" i="8"/>
  <c r="CR30" i="8"/>
  <c r="CN30" i="8"/>
  <c r="CJ30" i="8"/>
  <c r="CD30" i="8"/>
  <c r="BZ30" i="8"/>
  <c r="BV30" i="8"/>
  <c r="BR30" i="8"/>
  <c r="BN30" i="8"/>
  <c r="BJ30" i="8"/>
  <c r="BF30" i="8"/>
  <c r="BB30" i="8"/>
  <c r="AV30" i="8"/>
  <c r="AR30" i="8"/>
  <c r="AN30" i="8"/>
  <c r="AJ30" i="8"/>
  <c r="AF30" i="8"/>
  <c r="AB30" i="8"/>
  <c r="X30" i="8"/>
  <c r="T30" i="8"/>
  <c r="ET29" i="8"/>
  <c r="EP29" i="8"/>
  <c r="EL29" i="8"/>
  <c r="EH29" i="8"/>
  <c r="ED29" i="8"/>
  <c r="DZ29" i="8"/>
  <c r="DV29" i="8"/>
  <c r="DR29" i="8"/>
  <c r="DL29" i="8"/>
  <c r="DH29" i="8"/>
  <c r="DD29" i="8"/>
  <c r="CZ29" i="8"/>
  <c r="CV29" i="8"/>
  <c r="CR29" i="8"/>
  <c r="CN29" i="8"/>
  <c r="CJ29" i="8"/>
  <c r="CD29" i="8"/>
  <c r="BZ29" i="8"/>
  <c r="BV29" i="8"/>
  <c r="BR29" i="8"/>
  <c r="BN29" i="8"/>
  <c r="BJ29" i="8"/>
  <c r="BF29" i="8"/>
  <c r="BB29" i="8"/>
  <c r="AV29" i="8"/>
  <c r="AR29" i="8"/>
  <c r="AN29" i="8"/>
  <c r="AJ29" i="8"/>
  <c r="AF29" i="8"/>
  <c r="AB29" i="8"/>
  <c r="X29" i="8"/>
  <c r="T29" i="8"/>
  <c r="ET28" i="8"/>
  <c r="EP28" i="8"/>
  <c r="EL28" i="8"/>
  <c r="EH28" i="8"/>
  <c r="ED28" i="8"/>
  <c r="DZ28" i="8"/>
  <c r="DV28" i="8"/>
  <c r="DR28" i="8"/>
  <c r="DL28" i="8"/>
  <c r="DH28" i="8"/>
  <c r="DD28" i="8"/>
  <c r="CZ28" i="8"/>
  <c r="CV28" i="8"/>
  <c r="CR28" i="8"/>
  <c r="CN28" i="8"/>
  <c r="CJ28" i="8"/>
  <c r="CD28" i="8"/>
  <c r="BZ28" i="8"/>
  <c r="BV28" i="8"/>
  <c r="BR28" i="8"/>
  <c r="BN28" i="8"/>
  <c r="BJ28" i="8"/>
  <c r="BF28" i="8"/>
  <c r="BB28" i="8"/>
  <c r="AV28" i="8"/>
  <c r="AR28" i="8"/>
  <c r="AN28" i="8"/>
  <c r="AJ28" i="8"/>
  <c r="AF28" i="8"/>
  <c r="AB28" i="8"/>
  <c r="X28" i="8"/>
  <c r="T28" i="8"/>
  <c r="ET27" i="8"/>
  <c r="EP27" i="8"/>
  <c r="EL27" i="8"/>
  <c r="EH27" i="8"/>
  <c r="ED27" i="8"/>
  <c r="DZ27" i="8"/>
  <c r="DV27" i="8"/>
  <c r="DR27" i="8"/>
  <c r="DL27" i="8"/>
  <c r="DH27" i="8"/>
  <c r="DD27" i="8"/>
  <c r="CZ27" i="8"/>
  <c r="CV27" i="8"/>
  <c r="CR27" i="8"/>
  <c r="CN27" i="8"/>
  <c r="CJ27" i="8"/>
  <c r="CD27" i="8"/>
  <c r="BZ27" i="8"/>
  <c r="BV27" i="8"/>
  <c r="BR27" i="8"/>
  <c r="BN27" i="8"/>
  <c r="BJ27" i="8"/>
  <c r="BF27" i="8"/>
  <c r="BB27" i="8"/>
  <c r="AV27" i="8"/>
  <c r="AR27" i="8"/>
  <c r="AN27" i="8"/>
  <c r="AJ27" i="8"/>
  <c r="AF27" i="8"/>
  <c r="AB27" i="8"/>
  <c r="X27" i="8"/>
  <c r="T27" i="8"/>
  <c r="EU26" i="8"/>
  <c r="EQ26" i="8"/>
  <c r="EM26" i="8"/>
  <c r="EI26" i="8"/>
  <c r="EC26" i="8"/>
  <c r="DY26" i="8"/>
  <c r="DU26" i="8"/>
  <c r="DQ26" i="8"/>
  <c r="DM26" i="8"/>
  <c r="DI26" i="8"/>
  <c r="DE26" i="8"/>
  <c r="DA26" i="8"/>
  <c r="CU26" i="8"/>
  <c r="CQ26" i="8"/>
  <c r="CM26" i="8"/>
  <c r="CI26" i="8"/>
  <c r="CE26" i="8"/>
  <c r="CA26" i="8"/>
  <c r="BW26" i="8"/>
  <c r="BS26" i="8"/>
  <c r="BM26" i="8"/>
  <c r="BI26" i="8"/>
  <c r="BE26" i="8"/>
  <c r="BA26" i="8"/>
  <c r="AW26" i="8"/>
  <c r="AS26" i="8"/>
  <c r="AO26" i="8"/>
  <c r="AK26" i="8"/>
  <c r="AE26" i="8"/>
  <c r="AA26" i="8"/>
  <c r="W26" i="8"/>
  <c r="S26" i="8"/>
  <c r="ET25" i="8"/>
  <c r="EP25" i="8"/>
  <c r="EL25" i="8"/>
  <c r="EH25" i="8"/>
  <c r="ED25" i="8"/>
  <c r="DZ25" i="8"/>
  <c r="DV25" i="8"/>
  <c r="DR25" i="8"/>
  <c r="DL25" i="8"/>
  <c r="DH25" i="8"/>
  <c r="DD25" i="8"/>
  <c r="CZ25" i="8"/>
  <c r="CV25" i="8"/>
  <c r="CR25" i="8"/>
  <c r="CN25" i="8"/>
  <c r="CJ25" i="8"/>
  <c r="CD25" i="8"/>
  <c r="BZ25" i="8"/>
  <c r="BV25" i="8"/>
  <c r="BR25" i="8"/>
  <c r="BN25" i="8"/>
  <c r="BJ25" i="8"/>
  <c r="BF25" i="8"/>
  <c r="BB25" i="8"/>
  <c r="AV25" i="8"/>
  <c r="AR25" i="8"/>
  <c r="AN25" i="8"/>
  <c r="AJ25" i="8"/>
  <c r="AF25" i="8"/>
  <c r="AB25" i="8"/>
  <c r="X25" i="8"/>
  <c r="T25" i="8"/>
  <c r="EU24" i="8"/>
  <c r="EQ24" i="8"/>
  <c r="EM24" i="8"/>
  <c r="EI24" i="8"/>
  <c r="EC24" i="8"/>
  <c r="DY24" i="8"/>
  <c r="DU24" i="8"/>
  <c r="DQ24" i="8"/>
  <c r="DM24" i="8"/>
  <c r="DI24" i="8"/>
  <c r="DE24" i="8"/>
  <c r="DA24" i="8"/>
  <c r="CU24" i="8"/>
  <c r="CQ24" i="8"/>
  <c r="CM24" i="8"/>
  <c r="CI24" i="8"/>
  <c r="T10" i="8"/>
  <c r="X10" i="8"/>
  <c r="AB10" i="8"/>
  <c r="AF10" i="8"/>
  <c r="AJ10" i="8"/>
  <c r="AN10" i="8"/>
  <c r="AR10" i="8"/>
  <c r="AV10" i="8"/>
  <c r="BB10" i="8"/>
  <c r="BF10" i="8"/>
  <c r="BJ10" i="8"/>
  <c r="BN10" i="8"/>
  <c r="BR10" i="8"/>
  <c r="BV10" i="8"/>
  <c r="BZ10" i="8"/>
  <c r="CD10" i="8"/>
  <c r="CJ10" i="8"/>
  <c r="CN10" i="8"/>
  <c r="CR10" i="8"/>
  <c r="CV10" i="8"/>
  <c r="CZ10" i="8"/>
  <c r="DD10" i="8"/>
  <c r="DH10" i="8"/>
  <c r="DL10" i="8"/>
  <c r="DR10" i="8"/>
  <c r="DV10" i="8"/>
  <c r="DZ10" i="8"/>
  <c r="ED10" i="8"/>
  <c r="EH10" i="8"/>
  <c r="EL10" i="8"/>
  <c r="EP10" i="8"/>
  <c r="ET10" i="8"/>
  <c r="S11" i="8"/>
  <c r="W11" i="8"/>
  <c r="AA11" i="8"/>
  <c r="AE11" i="8"/>
  <c r="AK11" i="8"/>
  <c r="AO11" i="8"/>
  <c r="AS11" i="8"/>
  <c r="AW11" i="8"/>
  <c r="BA11" i="8"/>
  <c r="BE11" i="8"/>
  <c r="BI11" i="8"/>
  <c r="BM11" i="8"/>
  <c r="BS11" i="8"/>
  <c r="BW11" i="8"/>
  <c r="CA11" i="8"/>
  <c r="CE11" i="8"/>
  <c r="CI11" i="8"/>
  <c r="CM11" i="8"/>
  <c r="CQ11" i="8"/>
  <c r="CU11" i="8"/>
  <c r="DA11" i="8"/>
  <c r="DE11" i="8"/>
  <c r="DI11" i="8"/>
  <c r="DM11" i="8"/>
  <c r="DQ11" i="8"/>
  <c r="DU11" i="8"/>
  <c r="DY11" i="8"/>
  <c r="EC11" i="8"/>
  <c r="EI11" i="8"/>
  <c r="EM11" i="8"/>
  <c r="EQ11" i="8"/>
  <c r="EU11" i="8"/>
  <c r="K12" i="8"/>
  <c r="U12" i="8"/>
  <c r="Y12" i="8"/>
  <c r="AC12" i="8"/>
  <c r="AG12" i="8"/>
  <c r="AM12" i="8"/>
  <c r="AQ12" i="8"/>
  <c r="AU12" i="8"/>
  <c r="AY12" i="8"/>
  <c r="BC12" i="8"/>
  <c r="BG12" i="8"/>
  <c r="BK12" i="8"/>
  <c r="BO12" i="8"/>
  <c r="BU12" i="8"/>
  <c r="BY12" i="8"/>
  <c r="CC12" i="8"/>
  <c r="CG12" i="8"/>
  <c r="CK12" i="8"/>
  <c r="CO12" i="8"/>
  <c r="CS12" i="8"/>
  <c r="CW12" i="8"/>
  <c r="DC12" i="8"/>
  <c r="DG12" i="8"/>
  <c r="DK12" i="8"/>
  <c r="DO12" i="8"/>
  <c r="DS12" i="8"/>
  <c r="DW12" i="8"/>
  <c r="EA12" i="8"/>
  <c r="EE12" i="8"/>
  <c r="EK12" i="8"/>
  <c r="EO12" i="8"/>
  <c r="ES12" i="8"/>
  <c r="EW12" i="8"/>
  <c r="V13" i="8"/>
  <c r="Z13" i="8"/>
  <c r="AD13" i="8"/>
  <c r="AH13" i="8"/>
  <c r="AL13" i="8"/>
  <c r="AP13" i="8"/>
  <c r="AT13" i="8"/>
  <c r="AX13" i="8"/>
  <c r="BD13" i="8"/>
  <c r="BH13" i="8"/>
  <c r="BL13" i="8"/>
  <c r="BP13" i="8"/>
  <c r="BT13" i="8"/>
  <c r="BX13" i="8"/>
  <c r="CB13" i="8"/>
  <c r="CF13" i="8"/>
  <c r="CL13" i="8"/>
  <c r="CP13" i="8"/>
  <c r="CT13" i="8"/>
  <c r="CX13" i="8"/>
  <c r="DB13" i="8"/>
  <c r="DF13" i="8"/>
  <c r="DJ13" i="8"/>
  <c r="DN13" i="8"/>
  <c r="DT13" i="8"/>
  <c r="DX13" i="8"/>
  <c r="EB13" i="8"/>
  <c r="EF13" i="8"/>
  <c r="EJ13" i="8"/>
  <c r="EN13" i="8"/>
  <c r="ER13" i="8"/>
  <c r="EV13" i="8"/>
  <c r="U14" i="8"/>
  <c r="Y14" i="8"/>
  <c r="AC14" i="8"/>
  <c r="AG14" i="8"/>
  <c r="AM14" i="8"/>
  <c r="AQ14" i="8"/>
  <c r="AU14" i="8"/>
  <c r="AY14" i="8"/>
  <c r="BC14" i="8"/>
  <c r="BG14" i="8"/>
  <c r="BK14" i="8"/>
  <c r="BO14" i="8"/>
  <c r="BU14" i="8"/>
  <c r="BY14" i="8"/>
  <c r="CC14" i="8"/>
  <c r="CG14" i="8"/>
  <c r="CK14" i="8"/>
  <c r="CO14" i="8"/>
  <c r="CS14" i="8"/>
  <c r="CW14" i="8"/>
  <c r="DC14" i="8"/>
  <c r="DG14" i="8"/>
  <c r="DK14" i="8"/>
  <c r="DO14" i="8"/>
  <c r="DS14" i="8"/>
  <c r="DW14" i="8"/>
  <c r="EA14" i="8"/>
  <c r="EE14" i="8"/>
  <c r="EK14" i="8"/>
  <c r="EO14" i="8"/>
  <c r="ES14" i="8"/>
  <c r="EW14" i="8"/>
  <c r="V15" i="8"/>
  <c r="Z15" i="8"/>
  <c r="AD15" i="8"/>
  <c r="AH15" i="8"/>
  <c r="AL15" i="8"/>
  <c r="AP15" i="8"/>
  <c r="AT15" i="8"/>
  <c r="AX15" i="8"/>
  <c r="BD15" i="8"/>
  <c r="BH15" i="8"/>
  <c r="BL15" i="8"/>
  <c r="BP15" i="8"/>
  <c r="BT15" i="8"/>
  <c r="BX15" i="8"/>
  <c r="CB15" i="8"/>
  <c r="CF15" i="8"/>
  <c r="CL15" i="8"/>
  <c r="CP15" i="8"/>
  <c r="CT15" i="8"/>
  <c r="CX15" i="8"/>
  <c r="DB15" i="8"/>
  <c r="DF15" i="8"/>
  <c r="DJ15" i="8"/>
  <c r="DN15" i="8"/>
  <c r="DT15" i="8"/>
  <c r="DX15" i="8"/>
  <c r="EB15" i="8"/>
  <c r="EF15" i="8"/>
  <c r="EJ15" i="8"/>
  <c r="EN15" i="8"/>
  <c r="ER15" i="8"/>
  <c r="EV15" i="8"/>
  <c r="U16" i="8"/>
  <c r="Y16" i="8"/>
  <c r="AC16" i="8"/>
  <c r="AG16" i="8"/>
  <c r="AM16" i="8"/>
  <c r="AQ16" i="8"/>
  <c r="AU16" i="8"/>
  <c r="AY16" i="8"/>
  <c r="BC16" i="8"/>
  <c r="BG16" i="8"/>
  <c r="BK16" i="8"/>
  <c r="BO16" i="8"/>
  <c r="BU16" i="8"/>
  <c r="BY16" i="8"/>
  <c r="CC16" i="8"/>
  <c r="CG16" i="8"/>
  <c r="CK16" i="8"/>
  <c r="CO16" i="8"/>
  <c r="CS16" i="8"/>
  <c r="CW16" i="8"/>
  <c r="DC16" i="8"/>
  <c r="DG16" i="8"/>
  <c r="DK16" i="8"/>
  <c r="DO16" i="8"/>
  <c r="DS16" i="8"/>
  <c r="DW16" i="8"/>
  <c r="EA16" i="8"/>
  <c r="EE16" i="8"/>
  <c r="EK16" i="8"/>
  <c r="EO16" i="8"/>
  <c r="ES16" i="8"/>
  <c r="EW16" i="8"/>
  <c r="U17" i="8"/>
  <c r="AC17" i="8"/>
  <c r="AK17" i="8"/>
  <c r="AS17" i="8"/>
  <c r="BA17" i="8"/>
  <c r="BI17" i="8"/>
  <c r="BU17" i="8"/>
  <c r="CC17" i="8"/>
  <c r="CK17" i="8"/>
  <c r="CS17" i="8"/>
  <c r="DA17" i="8"/>
  <c r="DI17" i="8"/>
  <c r="DQ17" i="8"/>
  <c r="DY17" i="8"/>
  <c r="EK17" i="8"/>
  <c r="ES17" i="8"/>
  <c r="U18" i="8"/>
  <c r="AC18" i="8"/>
  <c r="AK18" i="8"/>
  <c r="AS18" i="8"/>
  <c r="BA18" i="8"/>
  <c r="BI18" i="8"/>
  <c r="BU18" i="8"/>
  <c r="CC18" i="8"/>
  <c r="CK18" i="8"/>
  <c r="CS18" i="8"/>
  <c r="DA18" i="8"/>
  <c r="DI18" i="8"/>
  <c r="DQ18" i="8"/>
  <c r="DY18" i="8"/>
  <c r="EK18" i="8"/>
  <c r="ES18" i="8"/>
  <c r="T19" i="8"/>
  <c r="AB19" i="8"/>
  <c r="AJ19" i="8"/>
  <c r="AR19" i="8"/>
  <c r="BD19" i="8"/>
  <c r="BL19" i="8"/>
  <c r="BT19" i="8"/>
  <c r="CB19" i="8"/>
  <c r="CJ19" i="8"/>
  <c r="CR19" i="8"/>
  <c r="CZ19" i="8"/>
  <c r="DH19" i="8"/>
  <c r="DT19" i="8"/>
  <c r="EB19" i="8"/>
  <c r="EJ19" i="8"/>
  <c r="ER19" i="8"/>
  <c r="S20" i="8"/>
  <c r="AA20" i="8"/>
  <c r="AM20" i="8"/>
  <c r="AU20" i="8"/>
  <c r="BC20" i="8"/>
  <c r="BK20" i="8"/>
  <c r="BS20" i="8"/>
  <c r="CA20" i="8"/>
  <c r="CI20" i="8"/>
  <c r="CQ20" i="8"/>
  <c r="DC20" i="8"/>
  <c r="DK20" i="8"/>
  <c r="DS20" i="8"/>
  <c r="EA20" i="8"/>
  <c r="EI20" i="8"/>
  <c r="EQ20" i="8"/>
  <c r="V21" i="8"/>
  <c r="AD21" i="8"/>
  <c r="AL21" i="8"/>
  <c r="AT21" i="8"/>
  <c r="BB21" i="8"/>
  <c r="BJ21" i="8"/>
  <c r="BR21" i="8"/>
  <c r="BZ21" i="8"/>
  <c r="CL21" i="8"/>
  <c r="CT21" i="8"/>
  <c r="DB21" i="8"/>
  <c r="DJ21" i="8"/>
  <c r="DR21" i="8"/>
  <c r="DZ21" i="8"/>
  <c r="EH21" i="8"/>
  <c r="EP21" i="8"/>
  <c r="S22" i="8"/>
  <c r="AA22" i="8"/>
  <c r="AM22" i="8"/>
  <c r="AU22" i="8"/>
  <c r="BC22" i="8"/>
  <c r="BK22" i="8"/>
  <c r="BS22" i="8"/>
  <c r="CA22" i="8"/>
  <c r="CI22" i="8"/>
  <c r="CQ22" i="8"/>
  <c r="DC22" i="8"/>
  <c r="DK22" i="8"/>
  <c r="DS22" i="8"/>
  <c r="EA22" i="8"/>
  <c r="EI22" i="8"/>
  <c r="EQ22" i="8"/>
  <c r="T23" i="8"/>
  <c r="AB23" i="8"/>
  <c r="AJ23" i="8"/>
  <c r="AR23" i="8"/>
  <c r="BD23" i="8"/>
  <c r="BL23" i="8"/>
  <c r="BT23" i="8"/>
  <c r="CB23" i="8"/>
  <c r="CJ23" i="8"/>
  <c r="CR23" i="8"/>
  <c r="CZ23" i="8"/>
  <c r="DH23" i="8"/>
  <c r="DT23" i="8"/>
  <c r="EB23" i="8"/>
  <c r="EJ23" i="8"/>
  <c r="ER23" i="8"/>
  <c r="U24" i="8"/>
  <c r="AC24" i="8"/>
  <c r="AK24" i="8"/>
  <c r="AS24" i="8"/>
  <c r="BA24" i="8"/>
  <c r="BI24" i="8"/>
  <c r="BU24" i="8"/>
  <c r="CC24" i="8"/>
  <c r="DT8" i="8"/>
  <c r="DX8" i="8"/>
  <c r="EB8" i="8"/>
  <c r="EF8" i="8"/>
  <c r="EJ8" i="8"/>
  <c r="EN8" i="8"/>
  <c r="ER8" i="8"/>
  <c r="EV8" i="8"/>
  <c r="U9" i="8"/>
  <c r="Y9" i="8"/>
  <c r="AC9" i="8"/>
  <c r="AG9" i="8"/>
  <c r="AM9" i="8"/>
  <c r="AQ9" i="8"/>
  <c r="AU9" i="8"/>
  <c r="AY9" i="8"/>
  <c r="BC9" i="8"/>
  <c r="BG9" i="8"/>
  <c r="BK9" i="8"/>
  <c r="BO9" i="8"/>
  <c r="BU9" i="8"/>
  <c r="BY9" i="8"/>
  <c r="CC9" i="8"/>
  <c r="CG9" i="8"/>
  <c r="CK9" i="8"/>
  <c r="CO9" i="8"/>
  <c r="CS9" i="8"/>
  <c r="CW9" i="8"/>
  <c r="DC9" i="8"/>
  <c r="DG9" i="8"/>
  <c r="DK9" i="8"/>
  <c r="DO9" i="8"/>
  <c r="DS9" i="8"/>
  <c r="DW9" i="8"/>
  <c r="EA9" i="8"/>
  <c r="EE9" i="8"/>
  <c r="EK9" i="8"/>
  <c r="EO9" i="8"/>
  <c r="ES9" i="8"/>
  <c r="EW9" i="8"/>
  <c r="U10" i="8"/>
  <c r="Y10" i="8"/>
  <c r="AC10" i="8"/>
  <c r="AG10" i="8"/>
  <c r="AM10" i="8"/>
  <c r="AQ10" i="8"/>
  <c r="AU10" i="8"/>
  <c r="AY10" i="8"/>
  <c r="BC10" i="8"/>
  <c r="BG10" i="8"/>
  <c r="BK10" i="8"/>
  <c r="BO10" i="8"/>
  <c r="BU10" i="8"/>
  <c r="BY10" i="8"/>
  <c r="CC10" i="8"/>
  <c r="CG10" i="8"/>
  <c r="CK10" i="8"/>
  <c r="CO10" i="8"/>
  <c r="CS10" i="8"/>
  <c r="CW10" i="8"/>
  <c r="DC10" i="8"/>
  <c r="DG10" i="8"/>
  <c r="DK10" i="8"/>
  <c r="DO10" i="8"/>
  <c r="DS10" i="8"/>
  <c r="DW10" i="8"/>
  <c r="EA10" i="8"/>
  <c r="EE10" i="8"/>
  <c r="EK10" i="8"/>
  <c r="EO10" i="8"/>
  <c r="ES10" i="8"/>
  <c r="EW10" i="8"/>
  <c r="V11" i="8"/>
  <c r="Z11" i="8"/>
  <c r="AD11" i="8"/>
  <c r="AH11" i="8"/>
  <c r="AL11" i="8"/>
  <c r="AP11" i="8"/>
  <c r="AT11" i="8"/>
  <c r="AX11" i="8"/>
  <c r="BD11" i="8"/>
  <c r="BH11" i="8"/>
  <c r="BL11" i="8"/>
  <c r="BP11" i="8"/>
  <c r="BT11" i="8"/>
  <c r="BX11" i="8"/>
  <c r="CB11" i="8"/>
  <c r="CF11" i="8"/>
  <c r="CL11" i="8"/>
  <c r="CP11" i="8"/>
  <c r="CT11" i="8"/>
  <c r="CX11" i="8"/>
  <c r="DB11" i="8"/>
  <c r="DF11" i="8"/>
  <c r="DJ11" i="8"/>
  <c r="DN11" i="8"/>
  <c r="DT11" i="8"/>
  <c r="DX11" i="8"/>
  <c r="EB11" i="8"/>
  <c r="EF11" i="8"/>
  <c r="EJ11" i="8"/>
  <c r="EN11" i="8"/>
  <c r="ER11" i="8"/>
  <c r="EV11" i="8"/>
  <c r="T12" i="8"/>
  <c r="X12" i="8"/>
  <c r="AB12" i="8"/>
  <c r="AF12" i="8"/>
  <c r="AJ12" i="8"/>
  <c r="AN12" i="8"/>
  <c r="AR12" i="8"/>
  <c r="AV12" i="8"/>
  <c r="BB12" i="8"/>
  <c r="BF12" i="8"/>
  <c r="BJ12" i="8"/>
  <c r="BN12" i="8"/>
  <c r="BR12" i="8"/>
  <c r="BV12" i="8"/>
  <c r="BZ12" i="8"/>
  <c r="CD12" i="8"/>
  <c r="CJ12" i="8"/>
  <c r="CN12" i="8"/>
  <c r="CR12" i="8"/>
  <c r="CV12" i="8"/>
  <c r="CZ12" i="8"/>
  <c r="DD12" i="8"/>
  <c r="DH12" i="8"/>
  <c r="DL12" i="8"/>
  <c r="DR12" i="8"/>
  <c r="DV12" i="8"/>
  <c r="DZ12" i="8"/>
  <c r="ED12" i="8"/>
  <c r="EH12" i="8"/>
  <c r="EL12" i="8"/>
  <c r="EP12" i="8"/>
  <c r="ET12" i="8"/>
  <c r="S13" i="8"/>
  <c r="W13" i="8"/>
  <c r="AA13" i="8"/>
  <c r="AE13" i="8"/>
  <c r="AK13" i="8"/>
  <c r="AO13" i="8"/>
  <c r="AS13" i="8"/>
  <c r="AW13" i="8"/>
  <c r="BA13" i="8"/>
  <c r="BE13" i="8"/>
  <c r="BI13" i="8"/>
  <c r="BM13" i="8"/>
  <c r="BS13" i="8"/>
  <c r="BW13" i="8"/>
  <c r="CA13" i="8"/>
  <c r="CE13" i="8"/>
  <c r="CI13" i="8"/>
  <c r="CM13" i="8"/>
  <c r="CQ13" i="8"/>
  <c r="CU13" i="8"/>
  <c r="DA13" i="8"/>
  <c r="DE13" i="8"/>
  <c r="DI13" i="8"/>
  <c r="DM13" i="8"/>
  <c r="DQ13" i="8"/>
  <c r="DU13" i="8"/>
  <c r="DY13" i="8"/>
  <c r="EC13" i="8"/>
  <c r="EI13" i="8"/>
  <c r="EM13" i="8"/>
  <c r="EQ13" i="8"/>
  <c r="EU13" i="8"/>
  <c r="T14" i="8"/>
  <c r="X14" i="8"/>
  <c r="AB14" i="8"/>
  <c r="AF14" i="8"/>
  <c r="AJ14" i="8"/>
  <c r="AN14" i="8"/>
  <c r="AR14" i="8"/>
  <c r="AV14" i="8"/>
  <c r="BB14" i="8"/>
  <c r="BF14" i="8"/>
  <c r="BJ14" i="8"/>
  <c r="BN14" i="8"/>
  <c r="BR14" i="8"/>
  <c r="BV14" i="8"/>
  <c r="BZ14" i="8"/>
  <c r="CD14" i="8"/>
  <c r="CJ14" i="8"/>
  <c r="CN14" i="8"/>
  <c r="CR14" i="8"/>
  <c r="CV14" i="8"/>
  <c r="CZ14" i="8"/>
  <c r="DD14" i="8"/>
  <c r="DH14" i="8"/>
  <c r="DL14" i="8"/>
  <c r="DR14" i="8"/>
  <c r="DV14" i="8"/>
  <c r="DZ14" i="8"/>
  <c r="ED14" i="8"/>
  <c r="EH14" i="8"/>
  <c r="EL14" i="8"/>
  <c r="EP14" i="8"/>
  <c r="ET14" i="8"/>
  <c r="CC102" i="8"/>
  <c r="BY102" i="8"/>
  <c r="BU102" i="8"/>
  <c r="BQ102" i="8"/>
  <c r="BM102" i="8"/>
  <c r="BI102" i="8"/>
  <c r="BE102" i="8"/>
  <c r="BA102" i="8"/>
  <c r="AW102" i="8"/>
  <c r="AS102" i="8"/>
  <c r="AO102" i="8"/>
  <c r="AK102" i="8"/>
  <c r="AG102" i="8"/>
  <c r="AC102" i="8"/>
  <c r="Y102" i="8"/>
  <c r="U102" i="8"/>
  <c r="CC101" i="8"/>
  <c r="BY101" i="8"/>
  <c r="BU101" i="8"/>
  <c r="BQ101" i="8"/>
  <c r="BM101" i="8"/>
  <c r="BI101" i="8"/>
  <c r="BE101" i="8"/>
  <c r="BA101" i="8"/>
  <c r="AW101" i="8"/>
  <c r="AS101" i="8"/>
  <c r="AO101" i="8"/>
  <c r="AK101" i="8"/>
  <c r="AG101" i="8"/>
  <c r="AC101" i="8"/>
  <c r="Y101" i="8"/>
  <c r="U101" i="8"/>
  <c r="CC100" i="8"/>
  <c r="BY100" i="8"/>
  <c r="BU100" i="8"/>
  <c r="BQ100" i="8"/>
  <c r="BM100" i="8"/>
  <c r="BI100" i="8"/>
  <c r="BE100" i="8"/>
  <c r="BA100" i="8"/>
  <c r="AW100" i="8"/>
  <c r="AS100" i="8"/>
  <c r="AO100" i="8"/>
  <c r="BX102" i="8"/>
  <c r="BP102" i="8"/>
  <c r="BH102" i="8"/>
  <c r="AZ102" i="8"/>
  <c r="AR102" i="8"/>
  <c r="AJ102" i="8"/>
  <c r="AB102" i="8"/>
  <c r="T102" i="8"/>
  <c r="BX101" i="8"/>
  <c r="BP101" i="8"/>
  <c r="BH101" i="8"/>
  <c r="AZ101" i="8"/>
  <c r="AR101" i="8"/>
  <c r="AJ101" i="8"/>
  <c r="AB101" i="8"/>
  <c r="T101" i="8"/>
  <c r="BX100" i="8"/>
  <c r="BP100" i="8"/>
  <c r="BH100" i="8"/>
  <c r="AZ100" i="8"/>
  <c r="AR100" i="8"/>
  <c r="AL100" i="8"/>
  <c r="AH100" i="8"/>
  <c r="AD100" i="8"/>
  <c r="Z100" i="8"/>
  <c r="V100" i="8"/>
  <c r="R100" i="8"/>
  <c r="BZ99" i="8"/>
  <c r="BV99" i="8"/>
  <c r="BR99" i="8"/>
  <c r="BN99" i="8"/>
  <c r="BJ99" i="8"/>
  <c r="BF99" i="8"/>
  <c r="BB99" i="8"/>
  <c r="AX99" i="8"/>
  <c r="AT99" i="8"/>
  <c r="AP99" i="8"/>
  <c r="AL99" i="8"/>
  <c r="AH99" i="8"/>
  <c r="AD99" i="8"/>
  <c r="BV102" i="8"/>
  <c r="BN102" i="8"/>
  <c r="BF102" i="8"/>
  <c r="AX102" i="8"/>
  <c r="AP102" i="8"/>
  <c r="AH102" i="8"/>
  <c r="Z102" i="8"/>
  <c r="R102" i="8"/>
  <c r="BV101" i="8"/>
  <c r="BN101" i="8"/>
  <c r="BF101" i="8"/>
  <c r="AX101" i="8"/>
  <c r="AP101" i="8"/>
  <c r="AH101" i="8"/>
  <c r="Z101" i="8"/>
  <c r="R101" i="8"/>
  <c r="BV100" i="8"/>
  <c r="BN100" i="8"/>
  <c r="BF100" i="8"/>
  <c r="AX100" i="8"/>
  <c r="AP100" i="8"/>
  <c r="AK100" i="8"/>
  <c r="AG100" i="8"/>
  <c r="AC100" i="8"/>
  <c r="Y100" i="8"/>
  <c r="U100" i="8"/>
  <c r="CC99" i="8"/>
  <c r="BY99" i="8"/>
  <c r="BU99" i="8"/>
  <c r="BQ99" i="8"/>
  <c r="BM99" i="8"/>
  <c r="BI99" i="8"/>
  <c r="BE99" i="8"/>
  <c r="BA99" i="8"/>
  <c r="AW99" i="8"/>
  <c r="AS99" i="8"/>
  <c r="AO99" i="8"/>
  <c r="AK99" i="8"/>
  <c r="AG99" i="8"/>
  <c r="AC99" i="8"/>
  <c r="Y99" i="8"/>
  <c r="U99" i="8"/>
  <c r="AB99" i="8"/>
  <c r="T99" i="8"/>
  <c r="V99" i="8"/>
  <c r="S15" i="8"/>
  <c r="W15" i="8"/>
  <c r="AA15" i="8"/>
  <c r="AE15" i="8"/>
  <c r="AK15" i="8"/>
  <c r="AO15" i="8"/>
  <c r="AS15" i="8"/>
  <c r="AW15" i="8"/>
  <c r="BA15" i="8"/>
  <c r="BE15" i="8"/>
  <c r="BI15" i="8"/>
  <c r="BM15" i="8"/>
  <c r="BS15" i="8"/>
  <c r="BW15" i="8"/>
  <c r="CA15" i="8"/>
  <c r="CE15" i="8"/>
  <c r="CI15" i="8"/>
  <c r="CM15" i="8"/>
  <c r="CQ15" i="8"/>
  <c r="CU15" i="8"/>
  <c r="DA15" i="8"/>
  <c r="DE15" i="8"/>
  <c r="DI15" i="8"/>
  <c r="DM15" i="8"/>
  <c r="DQ15" i="8"/>
  <c r="DU15" i="8"/>
  <c r="DY15" i="8"/>
  <c r="EC15" i="8"/>
  <c r="EI15" i="8"/>
  <c r="EM15" i="8"/>
  <c r="EQ15" i="8"/>
  <c r="EU15" i="8"/>
  <c r="T16" i="8"/>
  <c r="X16" i="8"/>
  <c r="AB16" i="8"/>
  <c r="AF16" i="8"/>
  <c r="AJ16" i="8"/>
  <c r="AN16" i="8"/>
  <c r="AR16" i="8"/>
  <c r="AV16" i="8"/>
  <c r="BB16" i="8"/>
  <c r="BF16" i="8"/>
  <c r="BJ16" i="8"/>
  <c r="BN16" i="8"/>
  <c r="BR16" i="8"/>
  <c r="BV16" i="8"/>
  <c r="BZ16" i="8"/>
  <c r="CD16" i="8"/>
  <c r="CJ16" i="8"/>
  <c r="CN16" i="8"/>
  <c r="CR16" i="8"/>
  <c r="CV16" i="8"/>
  <c r="CZ16" i="8"/>
  <c r="DD16" i="8"/>
  <c r="DH16" i="8"/>
  <c r="DL16" i="8"/>
  <c r="DR16" i="8"/>
  <c r="DV16" i="8"/>
  <c r="DZ16" i="8"/>
  <c r="ED16" i="8"/>
  <c r="EH16" i="8"/>
  <c r="EL16" i="8"/>
  <c r="EP16" i="8"/>
  <c r="ET16" i="8"/>
  <c r="T17" i="8"/>
  <c r="AA17" i="8"/>
  <c r="AM17" i="8"/>
  <c r="AU17" i="8"/>
  <c r="BC17" i="8"/>
  <c r="BK17" i="8"/>
  <c r="BS17" i="8"/>
  <c r="CA17" i="8"/>
  <c r="CI17" i="8"/>
  <c r="CQ17" i="8"/>
  <c r="DC17" i="8"/>
  <c r="DK17" i="8"/>
  <c r="DS17" i="8"/>
  <c r="EA17" i="8"/>
  <c r="EI17" i="8"/>
  <c r="EQ17" i="8"/>
  <c r="S18" i="8"/>
  <c r="AA18" i="8"/>
  <c r="AM18" i="8"/>
  <c r="AU18" i="8"/>
  <c r="BC18" i="8"/>
  <c r="BK18" i="8"/>
  <c r="BS18" i="8"/>
  <c r="CA18" i="8"/>
  <c r="CI18" i="8"/>
  <c r="CQ18" i="8"/>
  <c r="DC18" i="8"/>
  <c r="DK18" i="8"/>
  <c r="DS18" i="8"/>
  <c r="EA18" i="8"/>
  <c r="EI18" i="8"/>
  <c r="EQ18" i="8"/>
  <c r="V19" i="8"/>
  <c r="AD19" i="8"/>
  <c r="AL19" i="8"/>
  <c r="AT19" i="8"/>
  <c r="BB19" i="8"/>
  <c r="BJ19" i="8"/>
  <c r="BR19" i="8"/>
  <c r="BZ19" i="8"/>
  <c r="CL19" i="8"/>
  <c r="CT19" i="8"/>
  <c r="DB19" i="8"/>
  <c r="DJ19" i="8"/>
  <c r="DR19" i="8"/>
  <c r="DZ19" i="8"/>
  <c r="EH19" i="8"/>
  <c r="EP19" i="8"/>
  <c r="U20" i="8"/>
  <c r="AC20" i="8"/>
  <c r="AK20" i="8"/>
  <c r="AS20" i="8"/>
  <c r="BA20" i="8"/>
  <c r="BI20" i="8"/>
  <c r="BU20" i="8"/>
  <c r="CC20" i="8"/>
  <c r="CK20" i="8"/>
  <c r="CS20" i="8"/>
  <c r="DA20" i="8"/>
  <c r="DI20" i="8"/>
  <c r="DQ20" i="8"/>
  <c r="DY20" i="8"/>
  <c r="EK20" i="8"/>
  <c r="ES20" i="8"/>
  <c r="T21" i="8"/>
  <c r="AB21" i="8"/>
  <c r="AJ21" i="8"/>
  <c r="AR21" i="8"/>
  <c r="BD21" i="8"/>
  <c r="BL21" i="8"/>
  <c r="BT21" i="8"/>
  <c r="CB21" i="8"/>
  <c r="CJ21" i="8"/>
  <c r="CR21" i="8"/>
  <c r="CZ21" i="8"/>
  <c r="DH21" i="8"/>
  <c r="DT21" i="8"/>
  <c r="EB21" i="8"/>
  <c r="EJ21" i="8"/>
  <c r="ER21" i="8"/>
  <c r="U22" i="8"/>
  <c r="AC22" i="8"/>
  <c r="AK22" i="8"/>
  <c r="AS22" i="8"/>
  <c r="BA22" i="8"/>
  <c r="BI22" i="8"/>
  <c r="BU22" i="8"/>
  <c r="CC22" i="8"/>
  <c r="CK22" i="8"/>
  <c r="CS22" i="8"/>
  <c r="DA22" i="8"/>
  <c r="DI22" i="8"/>
  <c r="DQ22" i="8"/>
  <c r="DY22" i="8"/>
  <c r="EK22" i="8"/>
  <c r="ES22" i="8"/>
  <c r="V23" i="8"/>
  <c r="AD23" i="8"/>
  <c r="AL23" i="8"/>
  <c r="AT23" i="8"/>
  <c r="BB23" i="8"/>
  <c r="BJ23" i="8"/>
  <c r="BR23" i="8"/>
  <c r="BZ23" i="8"/>
  <c r="CL23" i="8"/>
  <c r="CT23" i="8"/>
  <c r="DB23" i="8"/>
  <c r="DJ23" i="8"/>
  <c r="DR23" i="8"/>
  <c r="DZ23" i="8"/>
  <c r="EH23" i="8"/>
  <c r="EP23" i="8"/>
  <c r="S24" i="8"/>
  <c r="AA24" i="8"/>
  <c r="AM24" i="8"/>
  <c r="AU24" i="8"/>
  <c r="BC24" i="8"/>
  <c r="BK24" i="8"/>
  <c r="BS24" i="8"/>
  <c r="CA24" i="8"/>
  <c r="EN17" i="8"/>
  <c r="BD17" i="8"/>
  <c r="AX17" i="8"/>
  <c r="AP17" i="8"/>
  <c r="AL17" i="8"/>
  <c r="AD17" i="8"/>
  <c r="Z17" i="8"/>
  <c r="DZ46" i="8"/>
  <c r="DJ46" i="8"/>
  <c r="DB46" i="8"/>
  <c r="CL46" i="8"/>
  <c r="BR46" i="8"/>
  <c r="BJ46" i="8"/>
  <c r="AT46" i="8"/>
  <c r="AD46" i="8"/>
  <c r="V46" i="8"/>
  <c r="EI45" i="8"/>
  <c r="DS45" i="8"/>
  <c r="DK45" i="8"/>
  <c r="CQ45" i="8"/>
  <c r="CA45" i="8"/>
  <c r="BS45" i="8"/>
  <c r="BC45" i="8"/>
  <c r="AU45" i="8"/>
  <c r="AA45" i="8"/>
  <c r="ER44" i="8"/>
  <c r="EB44" i="8"/>
  <c r="DT44" i="8"/>
  <c r="CZ44" i="8"/>
  <c r="CR44" i="8"/>
  <c r="CB44" i="8"/>
  <c r="BL44" i="8"/>
  <c r="BD44" i="8"/>
  <c r="AJ44" i="8"/>
  <c r="AB44" i="8"/>
  <c r="ES43" i="8"/>
  <c r="DY43" i="8"/>
  <c r="DI43" i="8"/>
  <c r="DA43" i="8"/>
  <c r="CK43" i="8"/>
  <c r="BU43" i="8"/>
  <c r="BI43" i="8"/>
  <c r="AS43" i="8"/>
  <c r="AK43" i="8"/>
  <c r="U43" i="8"/>
  <c r="EH42" i="8"/>
  <c r="DZ42" i="8"/>
  <c r="DJ42" i="8"/>
  <c r="CT42" i="8"/>
  <c r="CL42" i="8"/>
  <c r="BR42" i="8"/>
  <c r="BJ42" i="8"/>
  <c r="AT42" i="8"/>
  <c r="AD42" i="8"/>
  <c r="V42" i="8"/>
  <c r="EI41" i="8"/>
  <c r="DS41" i="8"/>
  <c r="DK41" i="8"/>
  <c r="CQ41" i="8"/>
  <c r="CA41" i="8"/>
  <c r="BT41" i="8"/>
  <c r="BL41" i="8"/>
  <c r="BD41" i="8"/>
  <c r="AX41" i="8"/>
  <c r="AP41" i="8"/>
  <c r="AH41" i="8"/>
  <c r="AD41" i="8"/>
  <c r="V41" i="8"/>
  <c r="EW40" i="8"/>
  <c r="EO40" i="8"/>
  <c r="EE40" i="8"/>
  <c r="EA40" i="8"/>
  <c r="DS40" i="8"/>
  <c r="DO40" i="8"/>
  <c r="DG40" i="8"/>
  <c r="DC40" i="8"/>
  <c r="CS40" i="8"/>
  <c r="CK40" i="8"/>
  <c r="CG40" i="8"/>
  <c r="BY40" i="8"/>
  <c r="BU40" i="8"/>
  <c r="BK40" i="8"/>
  <c r="BC40" i="8"/>
  <c r="AY40" i="8"/>
  <c r="AQ40" i="8"/>
  <c r="AG40" i="8"/>
  <c r="AC40" i="8"/>
  <c r="U40" i="8"/>
  <c r="EV39" i="8"/>
  <c r="EN39" i="8"/>
  <c r="EF39" i="8"/>
  <c r="EB39" i="8"/>
  <c r="DT39" i="8"/>
  <c r="DN39" i="8"/>
  <c r="DF39" i="8"/>
  <c r="CX39" i="8"/>
  <c r="CT39" i="8"/>
  <c r="CL39" i="8"/>
  <c r="CB39" i="8"/>
  <c r="BX39" i="8"/>
  <c r="BP39" i="8"/>
  <c r="BH39" i="8"/>
  <c r="BD39" i="8"/>
  <c r="AT39" i="8"/>
  <c r="AL39" i="8"/>
  <c r="AH39" i="8"/>
  <c r="Z39" i="8"/>
  <c r="EW38" i="8"/>
  <c r="ES38" i="8"/>
  <c r="EK38" i="8"/>
  <c r="EE38" i="8"/>
  <c r="DW38" i="8"/>
  <c r="DO38" i="8"/>
  <c r="DK38" i="8"/>
  <c r="DC38" i="8"/>
  <c r="CS38" i="8"/>
  <c r="CO38" i="8"/>
  <c r="CG38" i="8"/>
  <c r="CC38" i="8"/>
  <c r="BU38" i="8"/>
  <c r="BK38" i="8"/>
  <c r="BG38" i="8"/>
  <c r="AY38" i="8"/>
  <c r="AU38" i="8"/>
  <c r="AM38" i="8"/>
  <c r="AC38" i="8"/>
  <c r="Y38" i="8"/>
  <c r="EV37" i="8"/>
  <c r="EN37" i="8"/>
  <c r="EJ37" i="8"/>
  <c r="EB37" i="8"/>
  <c r="DT37" i="8"/>
  <c r="DN37" i="8"/>
  <c r="DF37" i="8"/>
  <c r="DB37" i="8"/>
  <c r="CT37" i="8"/>
  <c r="CL37" i="8"/>
  <c r="CF37" i="8"/>
  <c r="BX37" i="8"/>
  <c r="BP37" i="8"/>
  <c r="BL37" i="8"/>
  <c r="BD37" i="8"/>
  <c r="AT37" i="8"/>
  <c r="AP37" i="8"/>
  <c r="AH37" i="8"/>
  <c r="AD37" i="8"/>
  <c r="V37" i="8"/>
  <c r="ES36" i="8"/>
  <c r="EO36" i="8"/>
  <c r="EE36" i="8"/>
  <c r="EA36" i="8"/>
  <c r="DS36" i="8"/>
  <c r="DK36" i="8"/>
  <c r="DG36" i="8"/>
  <c r="CW36" i="8"/>
  <c r="CS36" i="8"/>
  <c r="CK36" i="8"/>
  <c r="CC36" i="8"/>
  <c r="BY36" i="8"/>
  <c r="BO36" i="8"/>
  <c r="BK36" i="8"/>
  <c r="BC36" i="8"/>
  <c r="AY36" i="8"/>
  <c r="AQ36" i="8"/>
  <c r="AG36" i="8"/>
  <c r="AC36" i="8"/>
  <c r="U36" i="8"/>
  <c r="EV35" i="8"/>
  <c r="EN35" i="8"/>
  <c r="EF35" i="8"/>
  <c r="EB35" i="8"/>
  <c r="DT35" i="8"/>
  <c r="DJ35" i="8"/>
  <c r="DF35" i="8"/>
  <c r="CX35" i="8"/>
  <c r="CP35" i="8"/>
  <c r="CL35" i="8"/>
  <c r="CB35" i="8"/>
  <c r="BX35" i="8"/>
  <c r="BP35" i="8"/>
  <c r="BH35" i="8"/>
  <c r="BD35" i="8"/>
  <c r="AT35" i="8"/>
  <c r="AL35" i="8"/>
  <c r="AH35" i="8"/>
  <c r="Z35" i="8"/>
  <c r="EW34" i="8"/>
  <c r="ES34" i="8"/>
  <c r="EK34" i="8"/>
  <c r="EE34" i="8"/>
  <c r="DW34" i="8"/>
  <c r="DS34" i="8"/>
  <c r="DK34" i="8"/>
  <c r="DC34" i="8"/>
  <c r="CW34" i="8"/>
  <c r="CO34" i="8"/>
  <c r="CG34" i="8"/>
  <c r="CC34" i="8"/>
  <c r="BU34" i="8"/>
  <c r="BK34" i="8"/>
  <c r="BG34" i="8"/>
  <c r="AY34" i="8"/>
  <c r="AU34" i="8"/>
  <c r="AM34" i="8"/>
  <c r="AC34" i="8"/>
  <c r="Y34" i="8"/>
  <c r="EV33" i="8"/>
  <c r="ER33" i="8"/>
  <c r="EN33" i="8"/>
  <c r="EJ33" i="8"/>
  <c r="EF33" i="8"/>
  <c r="EB33" i="8"/>
  <c r="DX33" i="8"/>
  <c r="DT33" i="8"/>
  <c r="DN33" i="8"/>
  <c r="DJ33" i="8"/>
  <c r="DB33" i="8"/>
  <c r="CT33" i="8"/>
  <c r="CL33" i="8"/>
  <c r="CB33" i="8"/>
  <c r="BX33" i="8"/>
  <c r="BP33" i="8"/>
  <c r="BH33" i="8"/>
  <c r="AX33" i="8"/>
  <c r="AL33" i="8"/>
  <c r="AD33" i="8"/>
  <c r="V33" i="8"/>
  <c r="ES32" i="8"/>
  <c r="EK32" i="8"/>
  <c r="EA32" i="8"/>
  <c r="DS32" i="8"/>
  <c r="DK32" i="8"/>
  <c r="DC32" i="8"/>
  <c r="CS32" i="8"/>
  <c r="CK32" i="8"/>
  <c r="CC32" i="8"/>
  <c r="BO32" i="8"/>
  <c r="BG32" i="8"/>
  <c r="AY32" i="8"/>
  <c r="AQ32" i="8"/>
  <c r="AG32" i="8"/>
  <c r="Y32" i="8"/>
  <c r="EV31" i="8"/>
  <c r="EN31" i="8"/>
  <c r="EF31" i="8"/>
  <c r="DX31" i="8"/>
  <c r="DN31" i="8"/>
  <c r="DF31" i="8"/>
  <c r="CX31" i="8"/>
  <c r="CP31" i="8"/>
  <c r="CF31" i="8"/>
  <c r="BX31" i="8"/>
  <c r="BP31" i="8"/>
  <c r="BH31" i="8"/>
  <c r="AX31" i="8"/>
  <c r="AP31" i="8"/>
  <c r="AH31" i="8"/>
  <c r="Z31" i="8"/>
  <c r="EV30" i="8"/>
  <c r="EN30" i="8"/>
  <c r="EF30" i="8"/>
  <c r="DX30" i="8"/>
  <c r="DN30" i="8"/>
  <c r="DF30" i="8"/>
  <c r="CX30" i="8"/>
  <c r="CP30" i="8"/>
  <c r="CF30" i="8"/>
  <c r="CB30" i="8"/>
  <c r="BT30" i="8"/>
  <c r="BH30" i="8"/>
  <c r="AX30" i="8"/>
  <c r="AP30" i="8"/>
  <c r="AH30" i="8"/>
  <c r="Z30" i="8"/>
  <c r="EV29" i="8"/>
  <c r="EN29" i="8"/>
  <c r="EF29" i="8"/>
  <c r="EB29" i="8"/>
  <c r="DT29" i="8"/>
  <c r="DJ29" i="8"/>
  <c r="CX29" i="8"/>
  <c r="CT29" i="8"/>
  <c r="CF29" i="8"/>
  <c r="BX29" i="8"/>
  <c r="BP29" i="8"/>
  <c r="BH29" i="8"/>
  <c r="AX29" i="8"/>
  <c r="AP29" i="8"/>
  <c r="AH29" i="8"/>
  <c r="AD29" i="8"/>
  <c r="EV28" i="8"/>
  <c r="EN28" i="8"/>
  <c r="EF28" i="8"/>
  <c r="DX28" i="8"/>
  <c r="DN28" i="8"/>
  <c r="DF28" i="8"/>
  <c r="DB28" i="8"/>
  <c r="CT28" i="8"/>
  <c r="CL28" i="8"/>
  <c r="BX28" i="8"/>
  <c r="BP28" i="8"/>
  <c r="BH28" i="8"/>
  <c r="BD28" i="8"/>
  <c r="AT28" i="8"/>
  <c r="AL28" i="8"/>
  <c r="AD28" i="8"/>
  <c r="V28" i="8"/>
  <c r="ER27" i="8"/>
  <c r="EJ27" i="8"/>
  <c r="EB27" i="8"/>
  <c r="DT27" i="8"/>
  <c r="DJ27" i="8"/>
  <c r="DB27" i="8"/>
  <c r="CT27" i="8"/>
  <c r="CF27" i="8"/>
  <c r="BX27" i="8"/>
  <c r="BT27" i="8"/>
  <c r="BH27" i="8"/>
  <c r="BD27" i="8"/>
  <c r="AT27" i="8"/>
  <c r="AL27" i="8"/>
  <c r="Z27" i="8"/>
  <c r="EW26" i="8"/>
  <c r="EO26" i="8"/>
  <c r="EE26" i="8"/>
  <c r="EA26" i="8"/>
  <c r="DO26" i="8"/>
  <c r="DG26" i="8"/>
  <c r="CW26" i="8"/>
  <c r="CS26" i="8"/>
  <c r="CK26" i="8"/>
  <c r="BY26" i="8"/>
  <c r="BU26" i="8"/>
  <c r="BK26" i="8"/>
  <c r="BC26" i="8"/>
  <c r="AU26" i="8"/>
  <c r="AG26" i="8"/>
  <c r="Y26" i="8"/>
  <c r="EV25" i="8"/>
  <c r="EN25" i="8"/>
  <c r="EF25" i="8"/>
  <c r="DX25" i="8"/>
  <c r="DN25" i="8"/>
  <c r="DF25" i="8"/>
  <c r="CX25" i="8"/>
  <c r="CP25" i="8"/>
  <c r="CF25" i="8"/>
  <c r="BX25" i="8"/>
  <c r="BP25" i="8"/>
  <c r="BH25" i="8"/>
  <c r="AX25" i="8"/>
  <c r="AL25" i="8"/>
  <c r="AD25" i="8"/>
  <c r="Z25" i="8"/>
  <c r="EW24" i="8"/>
  <c r="EO24" i="8"/>
  <c r="EE24" i="8"/>
  <c r="DW24" i="8"/>
  <c r="DO24" i="8"/>
  <c r="DG24" i="8"/>
  <c r="CW24" i="8"/>
  <c r="CO24" i="8"/>
  <c r="V10" i="8"/>
  <c r="Z10" i="8"/>
  <c r="AL10" i="8"/>
  <c r="AT10" i="8"/>
  <c r="BD10" i="8"/>
  <c r="BP10" i="8"/>
  <c r="BX10" i="8"/>
  <c r="CF10" i="8"/>
  <c r="CP10" i="8"/>
  <c r="CX10" i="8"/>
  <c r="DF10" i="8"/>
  <c r="DN10" i="8"/>
  <c r="DX10" i="8"/>
  <c r="EF10" i="8"/>
  <c r="EN10" i="8"/>
  <c r="EV10" i="8"/>
  <c r="U11" i="8"/>
  <c r="AC11" i="8"/>
  <c r="AQ11" i="8"/>
  <c r="AY11" i="8"/>
  <c r="BG11" i="8"/>
  <c r="BO11" i="8"/>
  <c r="BY11" i="8"/>
  <c r="CG11" i="8"/>
  <c r="CO11" i="8"/>
  <c r="CW11" i="8"/>
  <c r="DG11" i="8"/>
  <c r="DO11" i="8"/>
  <c r="DW11" i="8"/>
  <c r="EE11" i="8"/>
  <c r="EO11" i="8"/>
  <c r="EW11" i="8"/>
  <c r="W12" i="8"/>
  <c r="AE12" i="8"/>
  <c r="AO12" i="8"/>
  <c r="AW12" i="8"/>
  <c r="BE12" i="8"/>
  <c r="BM12" i="8"/>
  <c r="BW12" i="8"/>
  <c r="CE12" i="8"/>
  <c r="CM12" i="8"/>
  <c r="CU12" i="8"/>
  <c r="DE12" i="8"/>
  <c r="DM12" i="8"/>
  <c r="DU12" i="8"/>
  <c r="EC12" i="8"/>
  <c r="EM12" i="8"/>
  <c r="EU12" i="8"/>
  <c r="X13" i="8"/>
  <c r="AF13" i="8"/>
  <c r="AN13" i="8"/>
  <c r="AV13" i="8"/>
  <c r="BF13" i="8"/>
  <c r="BN13" i="8"/>
  <c r="BV13" i="8"/>
  <c r="CJ13" i="8"/>
  <c r="CR13" i="8"/>
  <c r="CZ13" i="8"/>
  <c r="DH13" i="8"/>
  <c r="DR13" i="8"/>
  <c r="DZ13" i="8"/>
  <c r="EH13" i="8"/>
  <c r="ET13" i="8"/>
  <c r="S14" i="8"/>
  <c r="AE14" i="8"/>
  <c r="AK14" i="8"/>
  <c r="AS14" i="8"/>
  <c r="BE14" i="8"/>
  <c r="BM14" i="8"/>
  <c r="BW14" i="8"/>
  <c r="CE14" i="8"/>
  <c r="CM14" i="8"/>
  <c r="CU14" i="8"/>
  <c r="DI14" i="8"/>
  <c r="DQ14" i="8"/>
  <c r="DY14" i="8"/>
  <c r="EI14" i="8"/>
  <c r="EQ14" i="8"/>
  <c r="T15" i="8"/>
  <c r="AB15" i="8"/>
  <c r="AJ15" i="8"/>
  <c r="AR15" i="8"/>
  <c r="BB15" i="8"/>
  <c r="BJ15" i="8"/>
  <c r="BR15" i="8"/>
  <c r="BZ15" i="8"/>
  <c r="CJ15" i="8"/>
  <c r="CR15" i="8"/>
  <c r="CZ15" i="8"/>
  <c r="DH15" i="8"/>
  <c r="DR15" i="8"/>
  <c r="DZ15" i="8"/>
  <c r="EH15" i="8"/>
  <c r="EP15" i="8"/>
  <c r="S16" i="8"/>
  <c r="AE16" i="8"/>
  <c r="AO16" i="8"/>
  <c r="AW16" i="8"/>
  <c r="BE16" i="8"/>
  <c r="BM16" i="8"/>
  <c r="BW16" i="8"/>
  <c r="CE16" i="8"/>
  <c r="CM16" i="8"/>
  <c r="CU16" i="8"/>
  <c r="DE16" i="8"/>
  <c r="DM16" i="8"/>
  <c r="DU16" i="8"/>
  <c r="EI16" i="8"/>
  <c r="EM16" i="8"/>
  <c r="EU16" i="8"/>
  <c r="Y17" i="8"/>
  <c r="AW17" i="8"/>
  <c r="BM17" i="8"/>
  <c r="CG17" i="8"/>
  <c r="CW17" i="8"/>
  <c r="DU17" i="8"/>
  <c r="EO17" i="8"/>
  <c r="Y18" i="8"/>
  <c r="AO18" i="8"/>
  <c r="BE18" i="8"/>
  <c r="BY18" i="8"/>
  <c r="CO18" i="8"/>
  <c r="DE18" i="8"/>
  <c r="DU18" i="8"/>
  <c r="EO18" i="8"/>
  <c r="AF19" i="8"/>
  <c r="AV19" i="8"/>
  <c r="BH19" i="8"/>
  <c r="CF19" i="8"/>
  <c r="CV19" i="8"/>
  <c r="DD19" i="8"/>
  <c r="DX19" i="8"/>
  <c r="EN19" i="8"/>
  <c r="W20" i="8"/>
  <c r="AQ20" i="8"/>
  <c r="BG20" i="8"/>
  <c r="BW20" i="8"/>
  <c r="CM20" i="8"/>
  <c r="DG20" i="8"/>
  <c r="DW20" i="8"/>
  <c r="EM20" i="8"/>
  <c r="AH21" i="8"/>
  <c r="AX21" i="8"/>
  <c r="BN21" i="8"/>
  <c r="CD21" i="8"/>
  <c r="DF21" i="8"/>
  <c r="DV21" i="8"/>
  <c r="EL21" i="8"/>
  <c r="W22" i="8"/>
  <c r="AQ22" i="8"/>
  <c r="BG22" i="8"/>
  <c r="BW22" i="8"/>
  <c r="CU22" i="8"/>
  <c r="DO22" i="8"/>
  <c r="EE22" i="8"/>
  <c r="EU22" i="8"/>
  <c r="AF23" i="8"/>
  <c r="AV23" i="8"/>
  <c r="BP23" i="8"/>
  <c r="CN23" i="8"/>
  <c r="DD23" i="8"/>
  <c r="DX23" i="8"/>
  <c r="EN23" i="8"/>
  <c r="Y24" i="8"/>
  <c r="AO24" i="8"/>
  <c r="BE24" i="8"/>
  <c r="BM24" i="8"/>
  <c r="DR8" i="8"/>
  <c r="DZ8" i="8"/>
  <c r="ED8" i="8"/>
  <c r="EL8" i="8"/>
  <c r="ET8" i="8"/>
  <c r="W9" i="8"/>
  <c r="AE9" i="8"/>
  <c r="AO9" i="8"/>
  <c r="AW9" i="8"/>
  <c r="BE9" i="8"/>
  <c r="BS9" i="8"/>
  <c r="CA9" i="8"/>
  <c r="CE9" i="8"/>
  <c r="CM9" i="8"/>
  <c r="CU9" i="8"/>
  <c r="DE9" i="8"/>
  <c r="DQ9" i="8"/>
  <c r="DY9" i="8"/>
  <c r="EC9" i="8"/>
  <c r="EQ9" i="8"/>
  <c r="S10" i="8"/>
  <c r="AA10" i="8"/>
  <c r="AK10" i="8"/>
  <c r="AS10" i="8"/>
  <c r="BA10" i="8"/>
  <c r="BI10" i="8"/>
  <c r="BS10" i="8"/>
  <c r="CA10" i="8"/>
  <c r="CI10" i="8"/>
  <c r="CQ10" i="8"/>
  <c r="DA10" i="8"/>
  <c r="DI10" i="8"/>
  <c r="DQ10" i="8"/>
  <c r="DY10" i="8"/>
  <c r="EI10" i="8"/>
  <c r="EQ10" i="8"/>
  <c r="T11" i="8"/>
  <c r="AB11" i="8"/>
  <c r="AJ11" i="8"/>
  <c r="AV11" i="8"/>
  <c r="BF11" i="8"/>
  <c r="BN11" i="8"/>
  <c r="BV11" i="8"/>
  <c r="CD11" i="8"/>
  <c r="CN11" i="8"/>
  <c r="CV11" i="8"/>
  <c r="DD11" i="8"/>
  <c r="DL11" i="8"/>
  <c r="DV11" i="8"/>
  <c r="ED11" i="8"/>
  <c r="EL11" i="8"/>
  <c r="ET11" i="8"/>
  <c r="V12" i="8"/>
  <c r="Z12" i="8"/>
  <c r="AD12" i="8"/>
  <c r="AH12" i="8"/>
  <c r="AL12" i="8"/>
  <c r="AP12" i="8"/>
  <c r="AT12" i="8"/>
  <c r="AX12" i="8"/>
  <c r="BD12" i="8"/>
  <c r="BH12" i="8"/>
  <c r="BP12" i="8"/>
  <c r="BX12" i="8"/>
  <c r="CF12" i="8"/>
  <c r="CP12" i="8"/>
  <c r="CX12" i="8"/>
  <c r="DJ12" i="8"/>
  <c r="DN12" i="8"/>
  <c r="DX12" i="8"/>
  <c r="EF12" i="8"/>
  <c r="ER12" i="8"/>
  <c r="U13" i="8"/>
  <c r="AC13" i="8"/>
  <c r="AM13" i="8"/>
  <c r="AU13" i="8"/>
  <c r="BC13" i="8"/>
  <c r="BK13" i="8"/>
  <c r="BU13" i="8"/>
  <c r="CC13" i="8"/>
  <c r="CO13" i="8"/>
  <c r="CW13" i="8"/>
  <c r="DG13" i="8"/>
  <c r="DO13" i="8"/>
  <c r="DW13" i="8"/>
  <c r="EE13" i="8"/>
  <c r="EO13" i="8"/>
  <c r="EW13" i="8"/>
  <c r="Z14" i="8"/>
  <c r="AL14" i="8"/>
  <c r="AP14" i="8"/>
  <c r="BD14" i="8"/>
  <c r="BL14" i="8"/>
  <c r="BT14" i="8"/>
  <c r="CB14" i="8"/>
  <c r="CL14" i="8"/>
  <c r="CT14" i="8"/>
  <c r="DB14" i="8"/>
  <c r="DJ14" i="8"/>
  <c r="DT14" i="8"/>
  <c r="EB14" i="8"/>
  <c r="EN14" i="8"/>
  <c r="EV14" i="8"/>
  <c r="BW102" i="8"/>
  <c r="BO102" i="8"/>
  <c r="BG102" i="8"/>
  <c r="AY102" i="8"/>
  <c r="AM102" i="8"/>
  <c r="AE102" i="8"/>
  <c r="W102" i="8"/>
  <c r="CA101" i="8"/>
  <c r="BS101" i="8"/>
  <c r="BK101" i="8"/>
  <c r="BC101" i="8"/>
  <c r="AU101" i="8"/>
  <c r="AM101" i="8"/>
  <c r="AE101" i="8"/>
  <c r="W101" i="8"/>
  <c r="CA100" i="8"/>
  <c r="BS100" i="8"/>
  <c r="BK100" i="8"/>
  <c r="AY100" i="8"/>
  <c r="AQ100" i="8"/>
  <c r="BT102" i="8"/>
  <c r="BL102" i="8"/>
  <c r="AV102" i="8"/>
  <c r="AF102" i="8"/>
  <c r="CB101" i="8"/>
  <c r="BL101" i="8"/>
  <c r="AN101" i="8"/>
  <c r="X101" i="8"/>
  <c r="BT100" i="8"/>
  <c r="BD100" i="8"/>
  <c r="AN100" i="8"/>
  <c r="AF100" i="8"/>
  <c r="X100" i="8"/>
  <c r="CB99" i="8"/>
  <c r="BT99" i="8"/>
  <c r="BL99" i="8"/>
  <c r="BD99" i="8"/>
  <c r="AV99" i="8"/>
  <c r="AN99" i="8"/>
  <c r="AF99" i="8"/>
  <c r="BR102" i="8"/>
  <c r="BB102" i="8"/>
  <c r="AL102" i="8"/>
  <c r="V102" i="8"/>
  <c r="BR101" i="8"/>
  <c r="BB101" i="8"/>
  <c r="AL101" i="8"/>
  <c r="V101" i="8"/>
  <c r="BR100" i="8"/>
  <c r="AT100" i="8"/>
  <c r="AI100" i="8"/>
  <c r="AA100" i="8"/>
  <c r="S100" i="8"/>
  <c r="BW99" i="8"/>
  <c r="BK99" i="8"/>
  <c r="BG99" i="8"/>
  <c r="AU99" i="8"/>
  <c r="AM99" i="8"/>
  <c r="AI99" i="8"/>
  <c r="AA99" i="8"/>
  <c r="X99" i="8"/>
  <c r="R99" i="8"/>
  <c r="Y15" i="8"/>
  <c r="AC15" i="8"/>
  <c r="AM15" i="8"/>
  <c r="AU15" i="8"/>
  <c r="BC15" i="8"/>
  <c r="BK15" i="8"/>
  <c r="BU15" i="8"/>
  <c r="CC15" i="8"/>
  <c r="CK15" i="8"/>
  <c r="CS15" i="8"/>
  <c r="DC15" i="8"/>
  <c r="DK15" i="8"/>
  <c r="DS15" i="8"/>
  <c r="EA15" i="8"/>
  <c r="EK15" i="8"/>
  <c r="ES15" i="8"/>
  <c r="V16" i="8"/>
  <c r="AH16" i="8"/>
  <c r="AL16" i="8"/>
  <c r="AX16" i="8"/>
  <c r="BD16" i="8"/>
  <c r="BL16" i="8"/>
  <c r="BT16" i="8"/>
  <c r="CB16" i="8"/>
  <c r="CL16" i="8"/>
  <c r="CT16" i="8"/>
  <c r="DB16" i="8"/>
  <c r="DJ16" i="8"/>
  <c r="DT16" i="8"/>
  <c r="EB16" i="8"/>
  <c r="EN16" i="8"/>
  <c r="EV16" i="8"/>
  <c r="AE17" i="8"/>
  <c r="AY17" i="8"/>
  <c r="BO17" i="8"/>
  <c r="CE17" i="8"/>
  <c r="CU17" i="8"/>
  <c r="DO17" i="8"/>
  <c r="EE17" i="8"/>
  <c r="EU17" i="8"/>
  <c r="AE18" i="8"/>
  <c r="AY18" i="8"/>
  <c r="BO18" i="8"/>
  <c r="CE18" i="8"/>
  <c r="CU18" i="8"/>
  <c r="DW18" i="8"/>
  <c r="EM18" i="8"/>
  <c r="Z19" i="8"/>
  <c r="AP19" i="8"/>
  <c r="BF19" i="8"/>
  <c r="BV19" i="8"/>
  <c r="CP19" i="8"/>
  <c r="DF19" i="8"/>
  <c r="DV19" i="8"/>
  <c r="EL19" i="8"/>
  <c r="Y20" i="8"/>
  <c r="AO20" i="8"/>
  <c r="BE20" i="8"/>
  <c r="BY20" i="8"/>
  <c r="CO20" i="8"/>
  <c r="DM20" i="8"/>
  <c r="DU20" i="8"/>
  <c r="EO20" i="8"/>
  <c r="X21" i="8"/>
  <c r="AN21" i="8"/>
  <c r="BH21" i="8"/>
  <c r="BX21" i="8"/>
  <c r="CN21" i="8"/>
  <c r="DD21" i="8"/>
  <c r="DX21" i="8"/>
  <c r="EN21" i="8"/>
  <c r="AG22" i="8"/>
  <c r="AO22" i="8"/>
  <c r="BE22" i="8"/>
  <c r="CG22" i="8"/>
  <c r="CO22" i="8"/>
  <c r="DE22" i="8"/>
  <c r="DU22" i="8"/>
  <c r="EO22" i="8"/>
  <c r="Z23" i="8"/>
  <c r="AP23" i="8"/>
  <c r="BN23" i="8"/>
  <c r="CD23" i="8"/>
  <c r="CX23" i="8"/>
  <c r="DN23" i="8"/>
  <c r="ED23" i="8"/>
  <c r="ET23" i="8"/>
  <c r="AE24" i="8"/>
  <c r="AY24" i="8"/>
  <c r="BO24" i="8"/>
  <c r="CE24" i="8"/>
  <c r="EU96" i="8"/>
  <c r="EQ96" i="8"/>
  <c r="EM96" i="8"/>
  <c r="EI96" i="8"/>
  <c r="EC96" i="8"/>
  <c r="DY96" i="8"/>
  <c r="DU96" i="8"/>
  <c r="DQ96" i="8"/>
  <c r="DM96" i="8"/>
  <c r="DI96" i="8"/>
  <c r="DE96" i="8"/>
  <c r="DA96" i="8"/>
  <c r="CU96" i="8"/>
  <c r="CQ96" i="8"/>
  <c r="CM96" i="8"/>
  <c r="CI96" i="8"/>
  <c r="CE96" i="8"/>
  <c r="CA96" i="8"/>
  <c r="BW96" i="8"/>
  <c r="BS96" i="8"/>
  <c r="BM96" i="8"/>
  <c r="BI96" i="8"/>
  <c r="BE96" i="8"/>
  <c r="BA96" i="8"/>
  <c r="AW96" i="8"/>
  <c r="AS96" i="8"/>
  <c r="AO96" i="8"/>
  <c r="AK96" i="8"/>
  <c r="AE96" i="8"/>
  <c r="AA96" i="8"/>
  <c r="W96" i="8"/>
  <c r="S96" i="8"/>
  <c r="ET95" i="8"/>
  <c r="EP95" i="8"/>
  <c r="EL95" i="8"/>
  <c r="EH95" i="8"/>
  <c r="ED95" i="8"/>
  <c r="DZ95" i="8"/>
  <c r="DV95" i="8"/>
  <c r="DR95" i="8"/>
  <c r="DL95" i="8"/>
  <c r="DH95" i="8"/>
  <c r="DD95" i="8"/>
  <c r="CZ95" i="8"/>
  <c r="CV95" i="8"/>
  <c r="CR95" i="8"/>
  <c r="CN95" i="8"/>
  <c r="CJ95" i="8"/>
  <c r="CD95" i="8"/>
  <c r="BZ95" i="8"/>
  <c r="BV95" i="8"/>
  <c r="BR95" i="8"/>
  <c r="BN95" i="8"/>
  <c r="BJ95" i="8"/>
  <c r="BF95" i="8"/>
  <c r="BB95" i="8"/>
  <c r="AV95" i="8"/>
  <c r="AR95" i="8"/>
  <c r="AN95" i="8"/>
  <c r="AJ95" i="8"/>
  <c r="AF95" i="8"/>
  <c r="AB95" i="8"/>
  <c r="X95" i="8"/>
  <c r="T95" i="8"/>
  <c r="EU94" i="8"/>
  <c r="EQ94" i="8"/>
  <c r="EM94" i="8"/>
  <c r="EI94" i="8"/>
  <c r="EC94" i="8"/>
  <c r="DY94" i="8"/>
  <c r="DU94" i="8"/>
  <c r="DQ94" i="8"/>
  <c r="DM94" i="8"/>
  <c r="DI94" i="8"/>
  <c r="DE94" i="8"/>
  <c r="DA94" i="8"/>
  <c r="CU94" i="8"/>
  <c r="CQ94" i="8"/>
  <c r="ET96" i="8"/>
  <c r="EP96" i="8"/>
  <c r="EL96" i="8"/>
  <c r="EH96" i="8"/>
  <c r="ED96" i="8"/>
  <c r="DZ96" i="8"/>
  <c r="DV96" i="8"/>
  <c r="DR96" i="8"/>
  <c r="DL96" i="8"/>
  <c r="DH96" i="8"/>
  <c r="DD96" i="8"/>
  <c r="CZ96" i="8"/>
  <c r="CV96" i="8"/>
  <c r="CR96" i="8"/>
  <c r="CN96" i="8"/>
  <c r="CJ96" i="8"/>
  <c r="CD96" i="8"/>
  <c r="BZ96" i="8"/>
  <c r="BV96" i="8"/>
  <c r="BR96" i="8"/>
  <c r="BN96" i="8"/>
  <c r="BJ96" i="8"/>
  <c r="BF96" i="8"/>
  <c r="BB96" i="8"/>
  <c r="AV96" i="8"/>
  <c r="AR96" i="8"/>
  <c r="AN96" i="8"/>
  <c r="AJ96" i="8"/>
  <c r="AF96" i="8"/>
  <c r="AB96" i="8"/>
  <c r="X96" i="8"/>
  <c r="T96" i="8"/>
  <c r="EU95" i="8"/>
  <c r="EQ95" i="8"/>
  <c r="EM95" i="8"/>
  <c r="EI95" i="8"/>
  <c r="EC95" i="8"/>
  <c r="DY95" i="8"/>
  <c r="DU95" i="8"/>
  <c r="DQ95" i="8"/>
  <c r="DM95" i="8"/>
  <c r="DI95" i="8"/>
  <c r="DE95" i="8"/>
  <c r="DA95" i="8"/>
  <c r="CU95" i="8"/>
  <c r="CQ95" i="8"/>
  <c r="CM95" i="8"/>
  <c r="CI95" i="8"/>
  <c r="CE95" i="8"/>
  <c r="CA95" i="8"/>
  <c r="BW95" i="8"/>
  <c r="BS95" i="8"/>
  <c r="BM95" i="8"/>
  <c r="BI95" i="8"/>
  <c r="BE95" i="8"/>
  <c r="BA95" i="8"/>
  <c r="AW95" i="8"/>
  <c r="AS95" i="8"/>
  <c r="AO95" i="8"/>
  <c r="AK95" i="8"/>
  <c r="AE95" i="8"/>
  <c r="AA95" i="8"/>
  <c r="W95" i="8"/>
  <c r="S95" i="8"/>
  <c r="ET94" i="8"/>
  <c r="EP94" i="8"/>
  <c r="EL94" i="8"/>
  <c r="EH94" i="8"/>
  <c r="ED94" i="8"/>
  <c r="DZ94" i="8"/>
  <c r="DV94" i="8"/>
  <c r="DR94" i="8"/>
  <c r="DL94" i="8"/>
  <c r="DH94" i="8"/>
  <c r="DD94" i="8"/>
  <c r="CZ94" i="8"/>
  <c r="CV94" i="8"/>
  <c r="CR94" i="8"/>
  <c r="CO94" i="8"/>
  <c r="CK94" i="8"/>
  <c r="CG94" i="8"/>
  <c r="CC94" i="8"/>
  <c r="BY94" i="8"/>
  <c r="BU94" i="8"/>
  <c r="BO94" i="8"/>
  <c r="BK94" i="8"/>
  <c r="BG94" i="8"/>
  <c r="BC94" i="8"/>
  <c r="AY94" i="8"/>
  <c r="AU94" i="8"/>
  <c r="AQ94" i="8"/>
  <c r="AM94" i="8"/>
  <c r="AG94" i="8"/>
  <c r="AC94" i="8"/>
  <c r="Y94" i="8"/>
  <c r="U94" i="8"/>
  <c r="EV93" i="8"/>
  <c r="ER93" i="8"/>
  <c r="EN93" i="8"/>
  <c r="EJ93" i="8"/>
  <c r="EF93" i="8"/>
  <c r="EB93" i="8"/>
  <c r="DX93" i="8"/>
  <c r="DT93" i="8"/>
  <c r="DN93" i="8"/>
  <c r="DJ93" i="8"/>
  <c r="DF93" i="8"/>
  <c r="DB93" i="8"/>
  <c r="CX93" i="8"/>
  <c r="CT93" i="8"/>
  <c r="CP93" i="8"/>
  <c r="CL93" i="8"/>
  <c r="CF93" i="8"/>
  <c r="CB93" i="8"/>
  <c r="BX93" i="8"/>
  <c r="BT93" i="8"/>
  <c r="BP93" i="8"/>
  <c r="BL93" i="8"/>
  <c r="BH93" i="8"/>
  <c r="BD93" i="8"/>
  <c r="AX93" i="8"/>
  <c r="AT93" i="8"/>
  <c r="AP93" i="8"/>
  <c r="AL93" i="8"/>
  <c r="AH93" i="8"/>
  <c r="AD93" i="8"/>
  <c r="Z93" i="8"/>
  <c r="V93" i="8"/>
  <c r="EW92" i="8"/>
  <c r="ES92" i="8"/>
  <c r="EO92" i="8"/>
  <c r="EK92" i="8"/>
  <c r="EE92" i="8"/>
  <c r="EA92" i="8"/>
  <c r="DW92" i="8"/>
  <c r="DS92" i="8"/>
  <c r="DO92" i="8"/>
  <c r="DK92" i="8"/>
  <c r="DG92" i="8"/>
  <c r="DC92" i="8"/>
  <c r="CW92" i="8"/>
  <c r="CS92" i="8"/>
  <c r="CO92" i="8"/>
  <c r="CK92" i="8"/>
  <c r="CG92" i="8"/>
  <c r="CC92" i="8"/>
  <c r="BY92" i="8"/>
  <c r="BU92" i="8"/>
  <c r="BO92" i="8"/>
  <c r="BK92" i="8"/>
  <c r="BG92" i="8"/>
  <c r="BC92" i="8"/>
  <c r="AY92" i="8"/>
  <c r="AU92" i="8"/>
  <c r="AQ92" i="8"/>
  <c r="AM92" i="8"/>
  <c r="AG92" i="8"/>
  <c r="AC92" i="8"/>
  <c r="CL94" i="8"/>
  <c r="CF94" i="8"/>
  <c r="CB94" i="8"/>
  <c r="BX94" i="8"/>
  <c r="BT94" i="8"/>
  <c r="BP94" i="8"/>
  <c r="BL94" i="8"/>
  <c r="BH94" i="8"/>
  <c r="BD94" i="8"/>
  <c r="AX94" i="8"/>
  <c r="AT94" i="8"/>
  <c r="AP94" i="8"/>
  <c r="AL94" i="8"/>
  <c r="AH94" i="8"/>
  <c r="AD94" i="8"/>
  <c r="Z94" i="8"/>
  <c r="V94" i="8"/>
  <c r="EW93" i="8"/>
  <c r="ES93" i="8"/>
  <c r="EO93" i="8"/>
  <c r="EK93" i="8"/>
  <c r="EE93" i="8"/>
  <c r="EA93" i="8"/>
  <c r="DW93" i="8"/>
  <c r="DS93" i="8"/>
  <c r="DO93" i="8"/>
  <c r="DK93" i="8"/>
  <c r="DG93" i="8"/>
  <c r="DC93" i="8"/>
  <c r="CW93" i="8"/>
  <c r="CS93" i="8"/>
  <c r="CO93" i="8"/>
  <c r="CK93" i="8"/>
  <c r="CG93" i="8"/>
  <c r="CC93" i="8"/>
  <c r="BY93" i="8"/>
  <c r="BU93" i="8"/>
  <c r="BO93" i="8"/>
  <c r="BK93" i="8"/>
  <c r="BG93" i="8"/>
  <c r="BC93" i="8"/>
  <c r="AY93" i="8"/>
  <c r="AU93" i="8"/>
  <c r="AQ93" i="8"/>
  <c r="AM93" i="8"/>
  <c r="AG93" i="8"/>
  <c r="AC93" i="8"/>
  <c r="Y93" i="8"/>
  <c r="U93" i="8"/>
  <c r="EV92" i="8"/>
  <c r="ER92" i="8"/>
  <c r="EN92" i="8"/>
  <c r="EJ92" i="8"/>
  <c r="EF92" i="8"/>
  <c r="EB92" i="8"/>
  <c r="DX92" i="8"/>
  <c r="DT92" i="8"/>
  <c r="DN92" i="8"/>
  <c r="DJ92" i="8"/>
  <c r="DF92" i="8"/>
  <c r="DB92" i="8"/>
  <c r="CX92" i="8"/>
  <c r="CT92" i="8"/>
  <c r="CP92" i="8"/>
  <c r="CL92" i="8"/>
  <c r="CF92" i="8"/>
  <c r="CB92" i="8"/>
  <c r="BX92" i="8"/>
  <c r="BT92" i="8"/>
  <c r="BP92" i="8"/>
  <c r="BL92" i="8"/>
  <c r="BH92" i="8"/>
  <c r="BD92" i="8"/>
  <c r="AX92" i="8"/>
  <c r="AT92" i="8"/>
  <c r="AP92" i="8"/>
  <c r="AL92" i="8"/>
  <c r="AH92" i="8"/>
  <c r="AD92" i="8"/>
  <c r="Z92" i="8"/>
  <c r="V92" i="8"/>
  <c r="EW91" i="8"/>
  <c r="ES91" i="8"/>
  <c r="EO91" i="8"/>
  <c r="EK91" i="8"/>
  <c r="EE91" i="8"/>
  <c r="EA91" i="8"/>
  <c r="DW91" i="8"/>
  <c r="DS91" i="8"/>
  <c r="DO91" i="8"/>
  <c r="DK91" i="8"/>
  <c r="DG91" i="8"/>
  <c r="DC91" i="8"/>
  <c r="CW91" i="8"/>
  <c r="CS91" i="8"/>
  <c r="CO91" i="8"/>
  <c r="CK91" i="8"/>
  <c r="CG91" i="8"/>
  <c r="CC91" i="8"/>
  <c r="BY91" i="8"/>
  <c r="BU91" i="8"/>
  <c r="BO91" i="8"/>
  <c r="BK91" i="8"/>
  <c r="BG91" i="8"/>
  <c r="BC91" i="8"/>
  <c r="AY91" i="8"/>
  <c r="AU91" i="8"/>
  <c r="AQ91" i="8"/>
  <c r="AM91" i="8"/>
  <c r="AG91" i="8"/>
  <c r="AC91" i="8"/>
  <c r="Y91" i="8"/>
  <c r="U91" i="8"/>
  <c r="EV90" i="8"/>
  <c r="ER90" i="8"/>
  <c r="EN90" i="8"/>
  <c r="EJ90" i="8"/>
  <c r="EF90" i="8"/>
  <c r="EB90" i="8"/>
  <c r="DX90" i="8"/>
  <c r="DT90" i="8"/>
  <c r="DN90" i="8"/>
  <c r="DJ90" i="8"/>
  <c r="DF90" i="8"/>
  <c r="DB90" i="8"/>
  <c r="CX90" i="8"/>
  <c r="CT90" i="8"/>
  <c r="CP90" i="8"/>
  <c r="CL90" i="8"/>
  <c r="CF90" i="8"/>
  <c r="CB90" i="8"/>
  <c r="BX90" i="8"/>
  <c r="BT90" i="8"/>
  <c r="BP90" i="8"/>
  <c r="BL90" i="8"/>
  <c r="BH90" i="8"/>
  <c r="BD90" i="8"/>
  <c r="AX90" i="8"/>
  <c r="AT90" i="8"/>
  <c r="AP90" i="8"/>
  <c r="AL90" i="8"/>
  <c r="AH90" i="8"/>
  <c r="AD90" i="8"/>
  <c r="Z90" i="8"/>
  <c r="V90" i="8"/>
  <c r="EW89" i="8"/>
  <c r="ES89" i="8"/>
  <c r="EO89" i="8"/>
  <c r="EK89" i="8"/>
  <c r="EE89" i="8"/>
  <c r="EA89" i="8"/>
  <c r="DW89" i="8"/>
  <c r="DS89" i="8"/>
  <c r="DO89" i="8"/>
  <c r="DK89" i="8"/>
  <c r="DG89" i="8"/>
  <c r="DC89" i="8"/>
  <c r="CW89" i="8"/>
  <c r="CS89" i="8"/>
  <c r="CO89" i="8"/>
  <c r="CK89" i="8"/>
  <c r="CG89" i="8"/>
  <c r="CC89" i="8"/>
  <c r="BY89" i="8"/>
  <c r="BU89" i="8"/>
  <c r="BO89" i="8"/>
  <c r="BK89" i="8"/>
  <c r="BG89" i="8"/>
  <c r="BC89" i="8"/>
  <c r="AY89" i="8"/>
  <c r="AU89" i="8"/>
  <c r="AQ89" i="8"/>
  <c r="AM89" i="8"/>
  <c r="AG89" i="8"/>
  <c r="AC89" i="8"/>
  <c r="Y89" i="8"/>
  <c r="U89" i="8"/>
  <c r="EV88" i="8"/>
  <c r="ER88" i="8"/>
  <c r="EN88" i="8"/>
  <c r="EJ88" i="8"/>
  <c r="EF88" i="8"/>
  <c r="EB88" i="8"/>
  <c r="DX88" i="8"/>
  <c r="DT88" i="8"/>
  <c r="DN88" i="8"/>
  <c r="DJ88" i="8"/>
  <c r="DF88" i="8"/>
  <c r="DB88" i="8"/>
  <c r="CX88" i="8"/>
  <c r="CT88" i="8"/>
  <c r="CP88" i="8"/>
  <c r="CL88" i="8"/>
  <c r="CF88" i="8"/>
  <c r="CB88" i="8"/>
  <c r="BX88" i="8"/>
  <c r="BT88" i="8"/>
  <c r="BP88" i="8"/>
  <c r="BL88" i="8"/>
  <c r="BH88" i="8"/>
  <c r="BD88" i="8"/>
  <c r="AX88" i="8"/>
  <c r="AT88" i="8"/>
  <c r="AP88" i="8"/>
  <c r="AL88" i="8"/>
  <c r="AH88" i="8"/>
  <c r="AD88" i="8"/>
  <c r="Z88" i="8"/>
  <c r="V88" i="8"/>
  <c r="EW87" i="8"/>
  <c r="ES87" i="8"/>
  <c r="EO87" i="8"/>
  <c r="EK87" i="8"/>
  <c r="EE87" i="8"/>
  <c r="EA87" i="8"/>
  <c r="DW87" i="8"/>
  <c r="DS87" i="8"/>
  <c r="DO87" i="8"/>
  <c r="DK87" i="8"/>
  <c r="DG87" i="8"/>
  <c r="DC87" i="8"/>
  <c r="CW87" i="8"/>
  <c r="CS87" i="8"/>
  <c r="CO87" i="8"/>
  <c r="CK87" i="8"/>
  <c r="CG87" i="8"/>
  <c r="CC87" i="8"/>
  <c r="BY87" i="8"/>
  <c r="BU87" i="8"/>
  <c r="BO87" i="8"/>
  <c r="BK87" i="8"/>
  <c r="BG87" i="8"/>
  <c r="BC87" i="8"/>
  <c r="AY87" i="8"/>
  <c r="AU87" i="8"/>
  <c r="AQ87" i="8"/>
  <c r="AM87" i="8"/>
  <c r="AG87" i="8"/>
  <c r="Y92" i="8"/>
  <c r="U92" i="8"/>
  <c r="EV91" i="8"/>
  <c r="ER91" i="8"/>
  <c r="EN91" i="8"/>
  <c r="EJ91" i="8"/>
  <c r="EF91" i="8"/>
  <c r="EB91" i="8"/>
  <c r="DX91" i="8"/>
  <c r="DT91" i="8"/>
  <c r="DN91" i="8"/>
  <c r="DJ91" i="8"/>
  <c r="DF91" i="8"/>
  <c r="DB91" i="8"/>
  <c r="CX91" i="8"/>
  <c r="CT91" i="8"/>
  <c r="CP91" i="8"/>
  <c r="CL91" i="8"/>
  <c r="CF91" i="8"/>
  <c r="CB91" i="8"/>
  <c r="BX91" i="8"/>
  <c r="BT91" i="8"/>
  <c r="BP91" i="8"/>
  <c r="BL91" i="8"/>
  <c r="BH91" i="8"/>
  <c r="BD91" i="8"/>
  <c r="AX91" i="8"/>
  <c r="AT91" i="8"/>
  <c r="AP91" i="8"/>
  <c r="AL91" i="8"/>
  <c r="AH91" i="8"/>
  <c r="AD91" i="8"/>
  <c r="Z91" i="8"/>
  <c r="V91" i="8"/>
  <c r="EW90" i="8"/>
  <c r="ES90" i="8"/>
  <c r="EO90" i="8"/>
  <c r="EK90" i="8"/>
  <c r="EE90" i="8"/>
  <c r="EA90" i="8"/>
  <c r="DW90" i="8"/>
  <c r="DS90" i="8"/>
  <c r="DO90" i="8"/>
  <c r="DK90" i="8"/>
  <c r="DG90" i="8"/>
  <c r="DC90" i="8"/>
  <c r="CW90" i="8"/>
  <c r="CS90" i="8"/>
  <c r="CO90" i="8"/>
  <c r="CK90" i="8"/>
  <c r="CG90" i="8"/>
  <c r="CC90" i="8"/>
  <c r="BY90" i="8"/>
  <c r="BU90" i="8"/>
  <c r="BO90" i="8"/>
  <c r="BK90" i="8"/>
  <c r="BG90" i="8"/>
  <c r="BC90" i="8"/>
  <c r="AY90" i="8"/>
  <c r="AU90" i="8"/>
  <c r="AQ90" i="8"/>
  <c r="AM90" i="8"/>
  <c r="AG90" i="8"/>
  <c r="AC90" i="8"/>
  <c r="Y90" i="8"/>
  <c r="U90" i="8"/>
  <c r="EV89" i="8"/>
  <c r="ER89" i="8"/>
  <c r="EN89" i="8"/>
  <c r="EJ89" i="8"/>
  <c r="EF89" i="8"/>
  <c r="EB89" i="8"/>
  <c r="DX89" i="8"/>
  <c r="DT89" i="8"/>
  <c r="DN89" i="8"/>
  <c r="DJ89" i="8"/>
  <c r="DF89" i="8"/>
  <c r="DB89" i="8"/>
  <c r="CX89" i="8"/>
  <c r="CT89" i="8"/>
  <c r="CP89" i="8"/>
  <c r="CL89" i="8"/>
  <c r="CF89" i="8"/>
  <c r="CB89" i="8"/>
  <c r="BX89" i="8"/>
  <c r="BT89" i="8"/>
  <c r="BP89" i="8"/>
  <c r="BL89" i="8"/>
  <c r="BH89" i="8"/>
  <c r="BD89" i="8"/>
  <c r="AX89" i="8"/>
  <c r="AT89" i="8"/>
  <c r="AP89" i="8"/>
  <c r="AL89" i="8"/>
  <c r="AH89" i="8"/>
  <c r="AD89" i="8"/>
  <c r="Z89" i="8"/>
  <c r="V89" i="8"/>
  <c r="EW88" i="8"/>
  <c r="ES88" i="8"/>
  <c r="EO88" i="8"/>
  <c r="EK88" i="8"/>
  <c r="EE88" i="8"/>
  <c r="EA88" i="8"/>
  <c r="DW88" i="8"/>
  <c r="DS88" i="8"/>
  <c r="DO88" i="8"/>
  <c r="DK88" i="8"/>
  <c r="DG88" i="8"/>
  <c r="DC88" i="8"/>
  <c r="CW88" i="8"/>
  <c r="CS88" i="8"/>
  <c r="CO88" i="8"/>
  <c r="CK88" i="8"/>
  <c r="CG88" i="8"/>
  <c r="CC88" i="8"/>
  <c r="BY88" i="8"/>
  <c r="BU88" i="8"/>
  <c r="BO88" i="8"/>
  <c r="BK88" i="8"/>
  <c r="BG88" i="8"/>
  <c r="BC88" i="8"/>
  <c r="AY88" i="8"/>
  <c r="AU88" i="8"/>
  <c r="AQ88" i="8"/>
  <c r="AM88" i="8"/>
  <c r="AG88" i="8"/>
  <c r="AC88" i="8"/>
  <c r="Y88" i="8"/>
  <c r="U88" i="8"/>
  <c r="EV87" i="8"/>
  <c r="ER87" i="8"/>
  <c r="EN87" i="8"/>
  <c r="EJ87" i="8"/>
  <c r="EF87" i="8"/>
  <c r="EB87" i="8"/>
  <c r="DX87" i="8"/>
  <c r="DT87" i="8"/>
  <c r="DN87" i="8"/>
  <c r="DJ87" i="8"/>
  <c r="DF87" i="8"/>
  <c r="DB87" i="8"/>
  <c r="CX87" i="8"/>
  <c r="CT87" i="8"/>
  <c r="CP87" i="8"/>
  <c r="CL87" i="8"/>
  <c r="CF87" i="8"/>
  <c r="CB87" i="8"/>
  <c r="BX87" i="8"/>
  <c r="BT87" i="8"/>
  <c r="BP87" i="8"/>
  <c r="BL87" i="8"/>
  <c r="BH87" i="8"/>
  <c r="BD87" i="8"/>
  <c r="AX87" i="8"/>
  <c r="AT87" i="8"/>
  <c r="AP87" i="8"/>
  <c r="AL87" i="8"/>
  <c r="AH87" i="8"/>
  <c r="AE87" i="8"/>
  <c r="AA87" i="8"/>
  <c r="W87" i="8"/>
  <c r="S87" i="8"/>
  <c r="ET86" i="8"/>
  <c r="EP86" i="8"/>
  <c r="EL86" i="8"/>
  <c r="EH86" i="8"/>
  <c r="ED86" i="8"/>
  <c r="DZ86" i="8"/>
  <c r="DV86" i="8"/>
  <c r="DR86" i="8"/>
  <c r="DL86" i="8"/>
  <c r="DH86" i="8"/>
  <c r="DD86" i="8"/>
  <c r="CZ86" i="8"/>
  <c r="CV86" i="8"/>
  <c r="CR86" i="8"/>
  <c r="CN86" i="8"/>
  <c r="CJ86" i="8"/>
  <c r="CD86" i="8"/>
  <c r="BZ86" i="8"/>
  <c r="BV86" i="8"/>
  <c r="BR86" i="8"/>
  <c r="BN86" i="8"/>
  <c r="BJ86" i="8"/>
  <c r="BF86" i="8"/>
  <c r="BB86" i="8"/>
  <c r="AV86" i="8"/>
  <c r="AR86" i="8"/>
  <c r="AN86" i="8"/>
  <c r="AJ86" i="8"/>
  <c r="AF86" i="8"/>
  <c r="AB86" i="8"/>
  <c r="X86" i="8"/>
  <c r="T86" i="8"/>
  <c r="EU85" i="8"/>
  <c r="EQ85" i="8"/>
  <c r="EM85" i="8"/>
  <c r="EI85" i="8"/>
  <c r="EC85" i="8"/>
  <c r="DY85" i="8"/>
  <c r="DU85" i="8"/>
  <c r="DQ85" i="8"/>
  <c r="DM85" i="8"/>
  <c r="DI85" i="8"/>
  <c r="DE85" i="8"/>
  <c r="DA85" i="8"/>
  <c r="CU85" i="8"/>
  <c r="CQ85" i="8"/>
  <c r="CM85" i="8"/>
  <c r="CI85" i="8"/>
  <c r="CE85" i="8"/>
  <c r="CA85" i="8"/>
  <c r="BW85" i="8"/>
  <c r="BS85" i="8"/>
  <c r="BM85" i="8"/>
  <c r="BI85" i="8"/>
  <c r="BE85" i="8"/>
  <c r="BA85" i="8"/>
  <c r="AW85" i="8"/>
  <c r="AS85" i="8"/>
  <c r="AO85" i="8"/>
  <c r="AK85" i="8"/>
  <c r="AE85" i="8"/>
  <c r="AA85" i="8"/>
  <c r="W85" i="8"/>
  <c r="S85" i="8"/>
  <c r="ET84" i="8"/>
  <c r="EP84" i="8"/>
  <c r="EL84" i="8"/>
  <c r="EH84" i="8"/>
  <c r="ED84" i="8"/>
  <c r="DZ84" i="8"/>
  <c r="DV84" i="8"/>
  <c r="DR84" i="8"/>
  <c r="DL84" i="8"/>
  <c r="DH84" i="8"/>
  <c r="DD84" i="8"/>
  <c r="CZ84" i="8"/>
  <c r="CV84" i="8"/>
  <c r="CR84" i="8"/>
  <c r="CN84" i="8"/>
  <c r="CJ84" i="8"/>
  <c r="CD84" i="8"/>
  <c r="BZ84" i="8"/>
  <c r="BV84" i="8"/>
  <c r="BR84" i="8"/>
  <c r="BN84" i="8"/>
  <c r="BJ84" i="8"/>
  <c r="BF84" i="8"/>
  <c r="BB84" i="8"/>
  <c r="AV84" i="8"/>
  <c r="AR84" i="8"/>
  <c r="AN84" i="8"/>
  <c r="AJ84" i="8"/>
  <c r="AF84" i="8"/>
  <c r="AB84" i="8"/>
  <c r="X84" i="8"/>
  <c r="T84" i="8"/>
  <c r="EU83" i="8"/>
  <c r="EQ83" i="8"/>
  <c r="EM83" i="8"/>
  <c r="EI83" i="8"/>
  <c r="EC83" i="8"/>
  <c r="DY83" i="8"/>
  <c r="DU83" i="8"/>
  <c r="DQ83" i="8"/>
  <c r="DM83" i="8"/>
  <c r="DI83" i="8"/>
  <c r="DE83" i="8"/>
  <c r="DA83" i="8"/>
  <c r="CU83" i="8"/>
  <c r="CQ83" i="8"/>
  <c r="CM83" i="8"/>
  <c r="CI83" i="8"/>
  <c r="CE83" i="8"/>
  <c r="CA83" i="8"/>
  <c r="BW83" i="8"/>
  <c r="BS83" i="8"/>
  <c r="BM83" i="8"/>
  <c r="BI83" i="8"/>
  <c r="BE83" i="8"/>
  <c r="BA83" i="8"/>
  <c r="AW83" i="8"/>
  <c r="AS83" i="8"/>
  <c r="AO83" i="8"/>
  <c r="AK83" i="8"/>
  <c r="AE83" i="8"/>
  <c r="AA83" i="8"/>
  <c r="W83" i="8"/>
  <c r="S83" i="8"/>
  <c r="ET82" i="8"/>
  <c r="EP82" i="8"/>
  <c r="EL82" i="8"/>
  <c r="EH82" i="8"/>
  <c r="ED82" i="8"/>
  <c r="DZ82" i="8"/>
  <c r="DV82" i="8"/>
  <c r="DR82" i="8"/>
  <c r="DL82" i="8"/>
  <c r="DH82" i="8"/>
  <c r="DD82" i="8"/>
  <c r="CZ82" i="8"/>
  <c r="CV82" i="8"/>
  <c r="CR82" i="8"/>
  <c r="CN82" i="8"/>
  <c r="CJ82" i="8"/>
  <c r="CD82" i="8"/>
  <c r="BZ82" i="8"/>
  <c r="BV82" i="8"/>
  <c r="BR82" i="8"/>
  <c r="BN82" i="8"/>
  <c r="BJ82" i="8"/>
  <c r="BF82" i="8"/>
  <c r="BB82" i="8"/>
  <c r="AV82" i="8"/>
  <c r="AR82" i="8"/>
  <c r="AN82" i="8"/>
  <c r="AJ82" i="8"/>
  <c r="AF82" i="8"/>
  <c r="AB87" i="8"/>
  <c r="X87" i="8"/>
  <c r="T87" i="8"/>
  <c r="EU86" i="8"/>
  <c r="EQ86" i="8"/>
  <c r="EM86" i="8"/>
  <c r="EI86" i="8"/>
  <c r="EC86" i="8"/>
  <c r="DY86" i="8"/>
  <c r="DU86" i="8"/>
  <c r="DQ86" i="8"/>
  <c r="DM86" i="8"/>
  <c r="DI86" i="8"/>
  <c r="DE86" i="8"/>
  <c r="DA86" i="8"/>
  <c r="CU86" i="8"/>
  <c r="CQ86" i="8"/>
  <c r="CM86" i="8"/>
  <c r="CI86" i="8"/>
  <c r="CE86" i="8"/>
  <c r="CA86" i="8"/>
  <c r="BW86" i="8"/>
  <c r="BS86" i="8"/>
  <c r="BM86" i="8"/>
  <c r="BI86" i="8"/>
  <c r="BE86" i="8"/>
  <c r="BA86" i="8"/>
  <c r="AW86" i="8"/>
  <c r="AS86" i="8"/>
  <c r="AO86" i="8"/>
  <c r="AK86" i="8"/>
  <c r="AE86" i="8"/>
  <c r="AA86" i="8"/>
  <c r="W86" i="8"/>
  <c r="S86" i="8"/>
  <c r="ET85" i="8"/>
  <c r="EP85" i="8"/>
  <c r="EL85" i="8"/>
  <c r="EH85" i="8"/>
  <c r="ED85" i="8"/>
  <c r="DZ85" i="8"/>
  <c r="DV85" i="8"/>
  <c r="DR85" i="8"/>
  <c r="DL85" i="8"/>
  <c r="DH85" i="8"/>
  <c r="DD85" i="8"/>
  <c r="CZ85" i="8"/>
  <c r="CV85" i="8"/>
  <c r="CR85" i="8"/>
  <c r="CN85" i="8"/>
  <c r="CJ85" i="8"/>
  <c r="CD85" i="8"/>
  <c r="BZ85" i="8"/>
  <c r="BV85" i="8"/>
  <c r="BR85" i="8"/>
  <c r="BN85" i="8"/>
  <c r="BJ85" i="8"/>
  <c r="BF85" i="8"/>
  <c r="BB85" i="8"/>
  <c r="AV85" i="8"/>
  <c r="AR85" i="8"/>
  <c r="AN85" i="8"/>
  <c r="AJ85" i="8"/>
  <c r="AF85" i="8"/>
  <c r="AB85" i="8"/>
  <c r="X85" i="8"/>
  <c r="T85" i="8"/>
  <c r="EU84" i="8"/>
  <c r="EQ84" i="8"/>
  <c r="EM84" i="8"/>
  <c r="EI84" i="8"/>
  <c r="EC84" i="8"/>
  <c r="DY84" i="8"/>
  <c r="DU84" i="8"/>
  <c r="DQ84" i="8"/>
  <c r="DM84" i="8"/>
  <c r="DI84" i="8"/>
  <c r="DE84" i="8"/>
  <c r="DA84" i="8"/>
  <c r="CU84" i="8"/>
  <c r="CQ84" i="8"/>
  <c r="CM84" i="8"/>
  <c r="CI84" i="8"/>
  <c r="CE84" i="8"/>
  <c r="CA84" i="8"/>
  <c r="BW84" i="8"/>
  <c r="BS84" i="8"/>
  <c r="BM84" i="8"/>
  <c r="BI84" i="8"/>
  <c r="BE84" i="8"/>
  <c r="BA84" i="8"/>
  <c r="AW84" i="8"/>
  <c r="AS84" i="8"/>
  <c r="AO84" i="8"/>
  <c r="AK84" i="8"/>
  <c r="AE84" i="8"/>
  <c r="AA84" i="8"/>
  <c r="W84" i="8"/>
  <c r="S84" i="8"/>
  <c r="ET83" i="8"/>
  <c r="EP83" i="8"/>
  <c r="EL83" i="8"/>
  <c r="EH83" i="8"/>
  <c r="ED83" i="8"/>
  <c r="DZ83" i="8"/>
  <c r="DV83" i="8"/>
  <c r="DR83" i="8"/>
  <c r="DL83" i="8"/>
  <c r="DH83" i="8"/>
  <c r="DD83" i="8"/>
  <c r="CZ83" i="8"/>
  <c r="CV83" i="8"/>
  <c r="CR83" i="8"/>
  <c r="CN83" i="8"/>
  <c r="CJ83" i="8"/>
  <c r="CD83" i="8"/>
  <c r="BZ83" i="8"/>
  <c r="BV83" i="8"/>
  <c r="BR83" i="8"/>
  <c r="BN83" i="8"/>
  <c r="BJ83" i="8"/>
  <c r="BF83" i="8"/>
  <c r="BB83" i="8"/>
  <c r="AV83" i="8"/>
  <c r="AR83" i="8"/>
  <c r="AN83" i="8"/>
  <c r="AJ83" i="8"/>
  <c r="AF83" i="8"/>
  <c r="AB83" i="8"/>
  <c r="X83" i="8"/>
  <c r="T83" i="8"/>
  <c r="EU82" i="8"/>
  <c r="EQ82" i="8"/>
  <c r="EM82" i="8"/>
  <c r="EI82" i="8"/>
  <c r="EC82" i="8"/>
  <c r="DY82" i="8"/>
  <c r="DU82" i="8"/>
  <c r="DQ82" i="8"/>
  <c r="DM82" i="8"/>
  <c r="DI82" i="8"/>
  <c r="DE82" i="8"/>
  <c r="DA82" i="8"/>
  <c r="CU82" i="8"/>
  <c r="CQ82" i="8"/>
  <c r="CM82" i="8"/>
  <c r="CI82" i="8"/>
  <c r="CE82" i="8"/>
  <c r="CA82" i="8"/>
  <c r="BW82" i="8"/>
  <c r="BS82" i="8"/>
  <c r="BM82" i="8"/>
  <c r="BI82" i="8"/>
  <c r="BE82" i="8"/>
  <c r="BA82" i="8"/>
  <c r="AW82" i="8"/>
  <c r="AS82" i="8"/>
  <c r="AO82" i="8"/>
  <c r="AK82" i="8"/>
  <c r="AD82" i="8"/>
  <c r="Z82" i="8"/>
  <c r="V82" i="8"/>
  <c r="EW81" i="8"/>
  <c r="ES81" i="8"/>
  <c r="EO81" i="8"/>
  <c r="EK81" i="8"/>
  <c r="EE81" i="8"/>
  <c r="EA81" i="8"/>
  <c r="DW81" i="8"/>
  <c r="DS81" i="8"/>
  <c r="DO81" i="8"/>
  <c r="DK81" i="8"/>
  <c r="DG81" i="8"/>
  <c r="DC81" i="8"/>
  <c r="CW81" i="8"/>
  <c r="CS81" i="8"/>
  <c r="CO81" i="8"/>
  <c r="CK81" i="8"/>
  <c r="CG81" i="8"/>
  <c r="CC81" i="8"/>
  <c r="BY81" i="8"/>
  <c r="BU81" i="8"/>
  <c r="BO81" i="8"/>
  <c r="BK81" i="8"/>
  <c r="BG81" i="8"/>
  <c r="BC81" i="8"/>
  <c r="AY81" i="8"/>
  <c r="AU81" i="8"/>
  <c r="AQ81" i="8"/>
  <c r="AM81" i="8"/>
  <c r="AG81" i="8"/>
  <c r="AC81" i="8"/>
  <c r="Y81" i="8"/>
  <c r="U81" i="8"/>
  <c r="EV80" i="8"/>
  <c r="ER80" i="8"/>
  <c r="EN80" i="8"/>
  <c r="EJ80" i="8"/>
  <c r="EF80" i="8"/>
  <c r="EB80" i="8"/>
  <c r="DX80" i="8"/>
  <c r="DT80" i="8"/>
  <c r="DN80" i="8"/>
  <c r="DJ80" i="8"/>
  <c r="DF80" i="8"/>
  <c r="DB80" i="8"/>
  <c r="CX80" i="8"/>
  <c r="CT80" i="8"/>
  <c r="CP80" i="8"/>
  <c r="CL80" i="8"/>
  <c r="CF80" i="8"/>
  <c r="CB80" i="8"/>
  <c r="BX80" i="8"/>
  <c r="BT80" i="8"/>
  <c r="BP80" i="8"/>
  <c r="BL80" i="8"/>
  <c r="BH80" i="8"/>
  <c r="BD80" i="8"/>
  <c r="AX80" i="8"/>
  <c r="AT80" i="8"/>
  <c r="AP80" i="8"/>
  <c r="AL80" i="8"/>
  <c r="AH80" i="8"/>
  <c r="AD80" i="8"/>
  <c r="Z80" i="8"/>
  <c r="V80" i="8"/>
  <c r="EW79" i="8"/>
  <c r="ES79" i="8"/>
  <c r="EO79" i="8"/>
  <c r="EK79" i="8"/>
  <c r="EE79" i="8"/>
  <c r="EA79" i="8"/>
  <c r="DW79" i="8"/>
  <c r="DS79" i="8"/>
  <c r="DO79" i="8"/>
  <c r="DK79" i="8"/>
  <c r="DG79" i="8"/>
  <c r="DC79" i="8"/>
  <c r="CW79" i="8"/>
  <c r="CS79" i="8"/>
  <c r="CO79" i="8"/>
  <c r="CK79" i="8"/>
  <c r="CG79" i="8"/>
  <c r="CC79" i="8"/>
  <c r="BY79" i="8"/>
  <c r="BU79" i="8"/>
  <c r="BO79" i="8"/>
  <c r="BK79" i="8"/>
  <c r="BG79" i="8"/>
  <c r="BC79" i="8"/>
  <c r="AY79" i="8"/>
  <c r="AU79" i="8"/>
  <c r="AQ79" i="8"/>
  <c r="AM79" i="8"/>
  <c r="AG79" i="8"/>
  <c r="AC79" i="8"/>
  <c r="Y79" i="8"/>
  <c r="U79" i="8"/>
  <c r="EV78" i="8"/>
  <c r="ER78" i="8"/>
  <c r="EN78" i="8"/>
  <c r="EJ78" i="8"/>
  <c r="EF78" i="8"/>
  <c r="EB78" i="8"/>
  <c r="DX78" i="8"/>
  <c r="DT78" i="8"/>
  <c r="DN78" i="8"/>
  <c r="DJ78" i="8"/>
  <c r="DF78" i="8"/>
  <c r="DB78" i="8"/>
  <c r="CX78" i="8"/>
  <c r="CT78" i="8"/>
  <c r="CP78" i="8"/>
  <c r="CL78" i="8"/>
  <c r="CF78" i="8"/>
  <c r="CB78" i="8"/>
  <c r="BX78" i="8"/>
  <c r="BT78" i="8"/>
  <c r="BP78" i="8"/>
  <c r="BL78" i="8"/>
  <c r="BH78" i="8"/>
  <c r="BD78" i="8"/>
  <c r="AX78" i="8"/>
  <c r="AT78" i="8"/>
  <c r="AP78" i="8"/>
  <c r="AL78" i="8"/>
  <c r="AH78" i="8"/>
  <c r="AD78" i="8"/>
  <c r="Z78" i="8"/>
  <c r="V78" i="8"/>
  <c r="EW77" i="8"/>
  <c r="ES77" i="8"/>
  <c r="EO77" i="8"/>
  <c r="EK77" i="8"/>
  <c r="EE77" i="8"/>
  <c r="EA77" i="8"/>
  <c r="DW77" i="8"/>
  <c r="DS77" i="8"/>
  <c r="DO77" i="8"/>
  <c r="DK77" i="8"/>
  <c r="DG77" i="8"/>
  <c r="DC77" i="8"/>
  <c r="CW77" i="8"/>
  <c r="CS77" i="8"/>
  <c r="CO77" i="8"/>
  <c r="CK77" i="8"/>
  <c r="CG77" i="8"/>
  <c r="CC77" i="8"/>
  <c r="BY77" i="8"/>
  <c r="BU77" i="8"/>
  <c r="BO77" i="8"/>
  <c r="BK77" i="8"/>
  <c r="BG77" i="8"/>
  <c r="BC77" i="8"/>
  <c r="AY77" i="8"/>
  <c r="AU77" i="8"/>
  <c r="AQ77" i="8"/>
  <c r="AM77" i="8"/>
  <c r="AG77" i="8"/>
  <c r="AC77" i="8"/>
  <c r="Y77" i="8"/>
  <c r="U77" i="8"/>
  <c r="EV76" i="8"/>
  <c r="ER76" i="8"/>
  <c r="EN76" i="8"/>
  <c r="EJ76" i="8"/>
  <c r="EF76" i="8"/>
  <c r="EB76" i="8"/>
  <c r="DX76" i="8"/>
  <c r="DT76" i="8"/>
  <c r="DN76" i="8"/>
  <c r="DJ76" i="8"/>
  <c r="DF76" i="8"/>
  <c r="DB76" i="8"/>
  <c r="CX76" i="8"/>
  <c r="CT76" i="8"/>
  <c r="CP76" i="8"/>
  <c r="CL76" i="8"/>
  <c r="CF76" i="8"/>
  <c r="CB76" i="8"/>
  <c r="BX76" i="8"/>
  <c r="BT76" i="8"/>
  <c r="BP76" i="8"/>
  <c r="BL76" i="8"/>
  <c r="BH76" i="8"/>
  <c r="BD76" i="8"/>
  <c r="AX76" i="8"/>
  <c r="AT76" i="8"/>
  <c r="AP76" i="8"/>
  <c r="AL76" i="8"/>
  <c r="AH76" i="8"/>
  <c r="AD76" i="8"/>
  <c r="Z76" i="8"/>
  <c r="V76" i="8"/>
  <c r="EW75" i="8"/>
  <c r="ES75" i="8"/>
  <c r="EO75" i="8"/>
  <c r="EK75" i="8"/>
  <c r="EE75" i="8"/>
  <c r="EA75" i="8"/>
  <c r="DW75" i="8"/>
  <c r="DS75" i="8"/>
  <c r="DO75" i="8"/>
  <c r="DK75" i="8"/>
  <c r="DG75" i="8"/>
  <c r="DC75" i="8"/>
  <c r="CW75" i="8"/>
  <c r="CS75" i="8"/>
  <c r="CO75" i="8"/>
  <c r="CK75" i="8"/>
  <c r="CG75" i="8"/>
  <c r="CC75" i="8"/>
  <c r="BY75" i="8"/>
  <c r="BU75" i="8"/>
  <c r="BO75" i="8"/>
  <c r="BK75" i="8"/>
  <c r="BG75" i="8"/>
  <c r="BC75" i="8"/>
  <c r="AY75" i="8"/>
  <c r="AU75" i="8"/>
  <c r="AQ75" i="8"/>
  <c r="AM75" i="8"/>
  <c r="AG75" i="8"/>
  <c r="AC75" i="8"/>
  <c r="Y75" i="8"/>
  <c r="U75" i="8"/>
  <c r="EV74" i="8"/>
  <c r="ER74" i="8"/>
  <c r="EN74" i="8"/>
  <c r="EJ74" i="8"/>
  <c r="EF74" i="8"/>
  <c r="EB74" i="8"/>
  <c r="DX74" i="8"/>
  <c r="DT74" i="8"/>
  <c r="DN74" i="8"/>
  <c r="DJ74" i="8"/>
  <c r="DF74" i="8"/>
  <c r="DB74" i="8"/>
  <c r="CX74" i="8"/>
  <c r="CT74" i="8"/>
  <c r="CP74" i="8"/>
  <c r="CL74" i="8"/>
  <c r="CF74" i="8"/>
  <c r="CB74" i="8"/>
  <c r="BX74" i="8"/>
  <c r="BT74" i="8"/>
  <c r="BP74" i="8"/>
  <c r="BL74" i="8"/>
  <c r="BH74" i="8"/>
  <c r="BD74" i="8"/>
  <c r="AX74" i="8"/>
  <c r="AT74" i="8"/>
  <c r="AP74" i="8"/>
  <c r="AL74" i="8"/>
  <c r="AH74" i="8"/>
  <c r="AD74" i="8"/>
  <c r="Z74" i="8"/>
  <c r="V74" i="8"/>
  <c r="EW73" i="8"/>
  <c r="ES73" i="8"/>
  <c r="EO73" i="8"/>
  <c r="EK73" i="8"/>
  <c r="EE73" i="8"/>
  <c r="EA73" i="8"/>
  <c r="DW73" i="8"/>
  <c r="DS73" i="8"/>
  <c r="DO73" i="8"/>
  <c r="DK73" i="8"/>
  <c r="DG73" i="8"/>
  <c r="DC73" i="8"/>
  <c r="CW73" i="8"/>
  <c r="CS73" i="8"/>
  <c r="CO73" i="8"/>
  <c r="CK73" i="8"/>
  <c r="CG73" i="8"/>
  <c r="CC73" i="8"/>
  <c r="BY73" i="8"/>
  <c r="BU73" i="8"/>
  <c r="BO73" i="8"/>
  <c r="BK73" i="8"/>
  <c r="BG73" i="8"/>
  <c r="BC73" i="8"/>
  <c r="AY73" i="8"/>
  <c r="AU73" i="8"/>
  <c r="AQ73" i="8"/>
  <c r="AM73" i="8"/>
  <c r="AG73" i="8"/>
  <c r="AC73" i="8"/>
  <c r="Y73" i="8"/>
  <c r="U73" i="8"/>
  <c r="EV72" i="8"/>
  <c r="ER72" i="8"/>
  <c r="EN72" i="8"/>
  <c r="EJ72" i="8"/>
  <c r="EF72" i="8"/>
  <c r="EB72" i="8"/>
  <c r="DX72" i="8"/>
  <c r="DT72" i="8"/>
  <c r="DN72" i="8"/>
  <c r="DJ72" i="8"/>
  <c r="DF72" i="8"/>
  <c r="DB72" i="8"/>
  <c r="CX72" i="8"/>
  <c r="CT72" i="8"/>
  <c r="CP72" i="8"/>
  <c r="CL72" i="8"/>
  <c r="CF72" i="8"/>
  <c r="CB72" i="8"/>
  <c r="BX72" i="8"/>
  <c r="BT72" i="8"/>
  <c r="BP72" i="8"/>
  <c r="BL72" i="8"/>
  <c r="BH72" i="8"/>
  <c r="BD72" i="8"/>
  <c r="AX72" i="8"/>
  <c r="AT72" i="8"/>
  <c r="AP72" i="8"/>
  <c r="AE82" i="8"/>
  <c r="AA82" i="8"/>
  <c r="W82" i="8"/>
  <c r="S82" i="8"/>
  <c r="ET81" i="8"/>
  <c r="EP81" i="8"/>
  <c r="EL81" i="8"/>
  <c r="EH81" i="8"/>
  <c r="ED81" i="8"/>
  <c r="DZ81" i="8"/>
  <c r="DV81" i="8"/>
  <c r="DR81" i="8"/>
  <c r="DL81" i="8"/>
  <c r="DH81" i="8"/>
  <c r="DD81" i="8"/>
  <c r="CZ81" i="8"/>
  <c r="CV81" i="8"/>
  <c r="CR81" i="8"/>
  <c r="CN81" i="8"/>
  <c r="CJ81" i="8"/>
  <c r="CD81" i="8"/>
  <c r="BZ81" i="8"/>
  <c r="BV81" i="8"/>
  <c r="BR81" i="8"/>
  <c r="BN81" i="8"/>
  <c r="BJ81" i="8"/>
  <c r="BF81" i="8"/>
  <c r="BB81" i="8"/>
  <c r="AV81" i="8"/>
  <c r="AR81" i="8"/>
  <c r="AN81" i="8"/>
  <c r="AJ81" i="8"/>
  <c r="AF81" i="8"/>
  <c r="AB81" i="8"/>
  <c r="X81" i="8"/>
  <c r="T81" i="8"/>
  <c r="EU80" i="8"/>
  <c r="EQ80" i="8"/>
  <c r="EM80" i="8"/>
  <c r="EI80" i="8"/>
  <c r="EC80" i="8"/>
  <c r="DY80" i="8"/>
  <c r="DU80" i="8"/>
  <c r="DQ80" i="8"/>
  <c r="DM80" i="8"/>
  <c r="DI80" i="8"/>
  <c r="DE80" i="8"/>
  <c r="DA80" i="8"/>
  <c r="CU80" i="8"/>
  <c r="CQ80" i="8"/>
  <c r="CM80" i="8"/>
  <c r="CI80" i="8"/>
  <c r="CE80" i="8"/>
  <c r="CA80" i="8"/>
  <c r="BW80" i="8"/>
  <c r="BS80" i="8"/>
  <c r="BM80" i="8"/>
  <c r="BI80" i="8"/>
  <c r="BE80" i="8"/>
  <c r="BA80" i="8"/>
  <c r="AW80" i="8"/>
  <c r="AS80" i="8"/>
  <c r="AO80" i="8"/>
  <c r="AK80" i="8"/>
  <c r="AE80" i="8"/>
  <c r="AA80" i="8"/>
  <c r="W80" i="8"/>
  <c r="S80" i="8"/>
  <c r="ET79" i="8"/>
  <c r="EP79" i="8"/>
  <c r="EL79" i="8"/>
  <c r="EH79" i="8"/>
  <c r="ED79" i="8"/>
  <c r="DZ79" i="8"/>
  <c r="DV79" i="8"/>
  <c r="DR79" i="8"/>
  <c r="DL79" i="8"/>
  <c r="DH79" i="8"/>
  <c r="DD79" i="8"/>
  <c r="CZ79" i="8"/>
  <c r="CV79" i="8"/>
  <c r="CR79" i="8"/>
  <c r="CN79" i="8"/>
  <c r="CJ79" i="8"/>
  <c r="CD79" i="8"/>
  <c r="BZ79" i="8"/>
  <c r="BV79" i="8"/>
  <c r="BR79" i="8"/>
  <c r="BN79" i="8"/>
  <c r="BJ79" i="8"/>
  <c r="BF79" i="8"/>
  <c r="BB79" i="8"/>
  <c r="AV79" i="8"/>
  <c r="AR79" i="8"/>
  <c r="AN79" i="8"/>
  <c r="AJ79" i="8"/>
  <c r="AF79" i="8"/>
  <c r="AB79" i="8"/>
  <c r="X79" i="8"/>
  <c r="T79" i="8"/>
  <c r="EU78" i="8"/>
  <c r="EQ78" i="8"/>
  <c r="EM78" i="8"/>
  <c r="EI78" i="8"/>
  <c r="EC78" i="8"/>
  <c r="DY78" i="8"/>
  <c r="DU78" i="8"/>
  <c r="DQ78" i="8"/>
  <c r="DM78" i="8"/>
  <c r="DI78" i="8"/>
  <c r="DE78" i="8"/>
  <c r="DA78" i="8"/>
  <c r="CU78" i="8"/>
  <c r="CQ78" i="8"/>
  <c r="CM78" i="8"/>
  <c r="CI78" i="8"/>
  <c r="CE78" i="8"/>
  <c r="CA78" i="8"/>
  <c r="BW78" i="8"/>
  <c r="BS78" i="8"/>
  <c r="BM78" i="8"/>
  <c r="BI78" i="8"/>
  <c r="BE78" i="8"/>
  <c r="BA78" i="8"/>
  <c r="AW78" i="8"/>
  <c r="AS78" i="8"/>
  <c r="AO78" i="8"/>
  <c r="AK78" i="8"/>
  <c r="AE78" i="8"/>
  <c r="AA78" i="8"/>
  <c r="W78" i="8"/>
  <c r="S78" i="8"/>
  <c r="ET77" i="8"/>
  <c r="EP77" i="8"/>
  <c r="EL77" i="8"/>
  <c r="EH77" i="8"/>
  <c r="ED77" i="8"/>
  <c r="DZ77" i="8"/>
  <c r="DV77" i="8"/>
  <c r="DR77" i="8"/>
  <c r="DL77" i="8"/>
  <c r="DH77" i="8"/>
  <c r="DD77" i="8"/>
  <c r="CZ77" i="8"/>
  <c r="CV77" i="8"/>
  <c r="CR77" i="8"/>
  <c r="CN77" i="8"/>
  <c r="CJ77" i="8"/>
  <c r="CD77" i="8"/>
  <c r="BZ77" i="8"/>
  <c r="BV77" i="8"/>
  <c r="BR77" i="8"/>
  <c r="BN77" i="8"/>
  <c r="BJ77" i="8"/>
  <c r="BF77" i="8"/>
  <c r="BB77" i="8"/>
  <c r="AV77" i="8"/>
  <c r="AR77" i="8"/>
  <c r="AN77" i="8"/>
  <c r="AJ77" i="8"/>
  <c r="AF77" i="8"/>
  <c r="AB77" i="8"/>
  <c r="X77" i="8"/>
  <c r="T77" i="8"/>
  <c r="EU76" i="8"/>
  <c r="EQ76" i="8"/>
  <c r="EM76" i="8"/>
  <c r="EI76" i="8"/>
  <c r="EC76" i="8"/>
  <c r="DY76" i="8"/>
  <c r="DU76" i="8"/>
  <c r="DQ76" i="8"/>
  <c r="DM76" i="8"/>
  <c r="DI76" i="8"/>
  <c r="DE76" i="8"/>
  <c r="DA76" i="8"/>
  <c r="CU76" i="8"/>
  <c r="CQ76" i="8"/>
  <c r="CM76" i="8"/>
  <c r="CI76" i="8"/>
  <c r="CE76" i="8"/>
  <c r="CA76" i="8"/>
  <c r="BW76" i="8"/>
  <c r="BS76" i="8"/>
  <c r="BM76" i="8"/>
  <c r="BI76" i="8"/>
  <c r="BE76" i="8"/>
  <c r="BA76" i="8"/>
  <c r="AW76" i="8"/>
  <c r="AS76" i="8"/>
  <c r="AO76" i="8"/>
  <c r="AK76" i="8"/>
  <c r="AE76" i="8"/>
  <c r="AA76" i="8"/>
  <c r="W76" i="8"/>
  <c r="S76" i="8"/>
  <c r="ET75" i="8"/>
  <c r="EP75" i="8"/>
  <c r="EL75" i="8"/>
  <c r="EH75" i="8"/>
  <c r="ED75" i="8"/>
  <c r="DZ75" i="8"/>
  <c r="DV75" i="8"/>
  <c r="DR75" i="8"/>
  <c r="DL75" i="8"/>
  <c r="DH75" i="8"/>
  <c r="DD75" i="8"/>
  <c r="CZ75" i="8"/>
  <c r="CV75" i="8"/>
  <c r="CR75" i="8"/>
  <c r="CN75" i="8"/>
  <c r="CJ75" i="8"/>
  <c r="CD75" i="8"/>
  <c r="BZ75" i="8"/>
  <c r="BV75" i="8"/>
  <c r="BR75" i="8"/>
  <c r="BN75" i="8"/>
  <c r="BJ75" i="8"/>
  <c r="BF75" i="8"/>
  <c r="BB75" i="8"/>
  <c r="AV75" i="8"/>
  <c r="AR75" i="8"/>
  <c r="AN75" i="8"/>
  <c r="AJ75" i="8"/>
  <c r="AF75" i="8"/>
  <c r="AB75" i="8"/>
  <c r="X75" i="8"/>
  <c r="T75" i="8"/>
  <c r="EU74" i="8"/>
  <c r="EQ74" i="8"/>
  <c r="EM74" i="8"/>
  <c r="EI74" i="8"/>
  <c r="EC74" i="8"/>
  <c r="DY74" i="8"/>
  <c r="DU74" i="8"/>
  <c r="DQ74" i="8"/>
  <c r="DM74" i="8"/>
  <c r="DI74" i="8"/>
  <c r="DE74" i="8"/>
  <c r="DA74" i="8"/>
  <c r="CU74" i="8"/>
  <c r="CQ74" i="8"/>
  <c r="CM74" i="8"/>
  <c r="CI74" i="8"/>
  <c r="CA74" i="8"/>
  <c r="BS74" i="8"/>
  <c r="BK74" i="8"/>
  <c r="BC74" i="8"/>
  <c r="AU74" i="8"/>
  <c r="AM74" i="8"/>
  <c r="AA74" i="8"/>
  <c r="S74" i="8"/>
  <c r="ER73" i="8"/>
  <c r="EJ73" i="8"/>
  <c r="EB73" i="8"/>
  <c r="DT73" i="8"/>
  <c r="DH73" i="8"/>
  <c r="CZ73" i="8"/>
  <c r="CR73" i="8"/>
  <c r="CJ73" i="8"/>
  <c r="CB73" i="8"/>
  <c r="BT73" i="8"/>
  <c r="BL73" i="8"/>
  <c r="BD73" i="8"/>
  <c r="AR73" i="8"/>
  <c r="AJ73" i="8"/>
  <c r="AB73" i="8"/>
  <c r="T73" i="8"/>
  <c r="ES72" i="8"/>
  <c r="EK72" i="8"/>
  <c r="DY72" i="8"/>
  <c r="DQ72" i="8"/>
  <c r="DI72" i="8"/>
  <c r="DA72" i="8"/>
  <c r="CS72" i="8"/>
  <c r="CK72" i="8"/>
  <c r="CC72" i="8"/>
  <c r="BU72" i="8"/>
  <c r="BI72" i="8"/>
  <c r="BA72" i="8"/>
  <c r="AS72" i="8"/>
  <c r="AL72" i="8"/>
  <c r="AH72" i="8"/>
  <c r="AD72" i="8"/>
  <c r="Z72" i="8"/>
  <c r="V72" i="8"/>
  <c r="EW71" i="8"/>
  <c r="ES71" i="8"/>
  <c r="EO71" i="8"/>
  <c r="EK71" i="8"/>
  <c r="EE71" i="8"/>
  <c r="EA71" i="8"/>
  <c r="DW71" i="8"/>
  <c r="DS71" i="8"/>
  <c r="DO71" i="8"/>
  <c r="DK71" i="8"/>
  <c r="DG71" i="8"/>
  <c r="DC71" i="8"/>
  <c r="CW71" i="8"/>
  <c r="CS71" i="8"/>
  <c r="CO71" i="8"/>
  <c r="CK71" i="8"/>
  <c r="CG71" i="8"/>
  <c r="CC71" i="8"/>
  <c r="BY71" i="8"/>
  <c r="BU71" i="8"/>
  <c r="BO71" i="8"/>
  <c r="BK71" i="8"/>
  <c r="BG71" i="8"/>
  <c r="BC71" i="8"/>
  <c r="AY71" i="8"/>
  <c r="AU71" i="8"/>
  <c r="AQ71" i="8"/>
  <c r="AM71" i="8"/>
  <c r="AG71" i="8"/>
  <c r="AC71" i="8"/>
  <c r="Y71" i="8"/>
  <c r="U71" i="8"/>
  <c r="EV70" i="8"/>
  <c r="ER70" i="8"/>
  <c r="EN70" i="8"/>
  <c r="EJ70" i="8"/>
  <c r="EF70" i="8"/>
  <c r="EB70" i="8"/>
  <c r="DX70" i="8"/>
  <c r="DT70" i="8"/>
  <c r="DN70" i="8"/>
  <c r="DJ70" i="8"/>
  <c r="DF70" i="8"/>
  <c r="DB70" i="8"/>
  <c r="CX70" i="8"/>
  <c r="CT70" i="8"/>
  <c r="CP70" i="8"/>
  <c r="CL70" i="8"/>
  <c r="CF70" i="8"/>
  <c r="CB70" i="8"/>
  <c r="BX70" i="8"/>
  <c r="BT70" i="8"/>
  <c r="BP70" i="8"/>
  <c r="BL70" i="8"/>
  <c r="BH70" i="8"/>
  <c r="BD70" i="8"/>
  <c r="AX70" i="8"/>
  <c r="AT70" i="8"/>
  <c r="AP70" i="8"/>
  <c r="AL70" i="8"/>
  <c r="AH70" i="8"/>
  <c r="AD70" i="8"/>
  <c r="Z70" i="8"/>
  <c r="V70" i="8"/>
  <c r="EW69" i="8"/>
  <c r="ES69" i="8"/>
  <c r="EO69" i="8"/>
  <c r="EK69" i="8"/>
  <c r="EE69" i="8"/>
  <c r="EA69" i="8"/>
  <c r="DW69" i="8"/>
  <c r="DS69" i="8"/>
  <c r="DO69" i="8"/>
  <c r="DK69" i="8"/>
  <c r="DG69" i="8"/>
  <c r="DC69" i="8"/>
  <c r="CW69" i="8"/>
  <c r="CS69" i="8"/>
  <c r="CO69" i="8"/>
  <c r="CK69" i="8"/>
  <c r="CG69" i="8"/>
  <c r="CC69" i="8"/>
  <c r="BY69" i="8"/>
  <c r="BU69" i="8"/>
  <c r="BO69" i="8"/>
  <c r="BK69" i="8"/>
  <c r="BG69" i="8"/>
  <c r="BC69" i="8"/>
  <c r="AY69" i="8"/>
  <c r="AU69" i="8"/>
  <c r="AQ69" i="8"/>
  <c r="AM69" i="8"/>
  <c r="AG69" i="8"/>
  <c r="AC69" i="8"/>
  <c r="Y69" i="8"/>
  <c r="U69" i="8"/>
  <c r="EV68" i="8"/>
  <c r="ER68" i="8"/>
  <c r="EN68" i="8"/>
  <c r="EJ68" i="8"/>
  <c r="EF68" i="8"/>
  <c r="EB68" i="8"/>
  <c r="DX68" i="8"/>
  <c r="DT68" i="8"/>
  <c r="DN68" i="8"/>
  <c r="DJ68" i="8"/>
  <c r="DF68" i="8"/>
  <c r="DB68" i="8"/>
  <c r="CX68" i="8"/>
  <c r="CT68" i="8"/>
  <c r="CP68" i="8"/>
  <c r="CL68" i="8"/>
  <c r="CF68" i="8"/>
  <c r="CB68" i="8"/>
  <c r="BX68" i="8"/>
  <c r="BT68" i="8"/>
  <c r="BP68" i="8"/>
  <c r="BL68" i="8"/>
  <c r="BH68" i="8"/>
  <c r="BD68" i="8"/>
  <c r="AX68" i="8"/>
  <c r="AT68" i="8"/>
  <c r="AP68" i="8"/>
  <c r="AL68" i="8"/>
  <c r="AH68" i="8"/>
  <c r="AD68" i="8"/>
  <c r="Z68" i="8"/>
  <c r="V68" i="8"/>
  <c r="EW67" i="8"/>
  <c r="ES67" i="8"/>
  <c r="EO67" i="8"/>
  <c r="EK67" i="8"/>
  <c r="EE67" i="8"/>
  <c r="EA67" i="8"/>
  <c r="DW67" i="8"/>
  <c r="DS67" i="8"/>
  <c r="DO67" i="8"/>
  <c r="DK67" i="8"/>
  <c r="DG67" i="8"/>
  <c r="DC67" i="8"/>
  <c r="CW67" i="8"/>
  <c r="CS67" i="8"/>
  <c r="CO67" i="8"/>
  <c r="CK67" i="8"/>
  <c r="CG67" i="8"/>
  <c r="CC67" i="8"/>
  <c r="BY67" i="8"/>
  <c r="BU67" i="8"/>
  <c r="BO67" i="8"/>
  <c r="BK67" i="8"/>
  <c r="BG67" i="8"/>
  <c r="BC67" i="8"/>
  <c r="AY67" i="8"/>
  <c r="AU67" i="8"/>
  <c r="AQ67" i="8"/>
  <c r="AM67" i="8"/>
  <c r="AG67" i="8"/>
  <c r="AC67" i="8"/>
  <c r="Y67" i="8"/>
  <c r="U67" i="8"/>
  <c r="EV66" i="8"/>
  <c r="ER66" i="8"/>
  <c r="EN66" i="8"/>
  <c r="EJ66" i="8"/>
  <c r="EF66" i="8"/>
  <c r="EB66" i="8"/>
  <c r="DX66" i="8"/>
  <c r="DT66" i="8"/>
  <c r="DN66" i="8"/>
  <c r="DJ66" i="8"/>
  <c r="DF66" i="8"/>
  <c r="DB66" i="8"/>
  <c r="CX66" i="8"/>
  <c r="CT66" i="8"/>
  <c r="CP66" i="8"/>
  <c r="CL66" i="8"/>
  <c r="CF66" i="8"/>
  <c r="CB66" i="8"/>
  <c r="BX66" i="8"/>
  <c r="BT66" i="8"/>
  <c r="BP66" i="8"/>
  <c r="BL66" i="8"/>
  <c r="BH66" i="8"/>
  <c r="BD66" i="8"/>
  <c r="AX66" i="8"/>
  <c r="AT66" i="8"/>
  <c r="AP66" i="8"/>
  <c r="AL66" i="8"/>
  <c r="AH66" i="8"/>
  <c r="AD66" i="8"/>
  <c r="Z66" i="8"/>
  <c r="V66" i="8"/>
  <c r="EW65" i="8"/>
  <c r="ES65" i="8"/>
  <c r="EO65" i="8"/>
  <c r="EK65" i="8"/>
  <c r="EE65" i="8"/>
  <c r="EA65" i="8"/>
  <c r="DW65" i="8"/>
  <c r="DS65" i="8"/>
  <c r="DO65" i="8"/>
  <c r="DK65" i="8"/>
  <c r="DG65" i="8"/>
  <c r="DC65" i="8"/>
  <c r="CW65" i="8"/>
  <c r="CS65" i="8"/>
  <c r="CO65" i="8"/>
  <c r="CK65" i="8"/>
  <c r="CG65" i="8"/>
  <c r="CC65" i="8"/>
  <c r="BY65" i="8"/>
  <c r="BU65" i="8"/>
  <c r="BO65" i="8"/>
  <c r="BK65" i="8"/>
  <c r="BG65" i="8"/>
  <c r="BC65" i="8"/>
  <c r="AY65" i="8"/>
  <c r="AU65" i="8"/>
  <c r="AQ65" i="8"/>
  <c r="AM65" i="8"/>
  <c r="AG65" i="8"/>
  <c r="AC65" i="8"/>
  <c r="Y65" i="8"/>
  <c r="U65" i="8"/>
  <c r="EV64" i="8"/>
  <c r="ER64" i="8"/>
  <c r="EN64" i="8"/>
  <c r="EJ64" i="8"/>
  <c r="EF64" i="8"/>
  <c r="EB64" i="8"/>
  <c r="DX64" i="8"/>
  <c r="DT64" i="8"/>
  <c r="DN64" i="8"/>
  <c r="DJ64" i="8"/>
  <c r="DF64" i="8"/>
  <c r="DB64" i="8"/>
  <c r="CX64" i="8"/>
  <c r="CT64" i="8"/>
  <c r="CP64" i="8"/>
  <c r="CL64" i="8"/>
  <c r="CF64" i="8"/>
  <c r="CB64" i="8"/>
  <c r="BX64" i="8"/>
  <c r="BT64" i="8"/>
  <c r="BP64" i="8"/>
  <c r="BL64" i="8"/>
  <c r="BH64" i="8"/>
  <c r="BD64" i="8"/>
  <c r="AX64" i="8"/>
  <c r="AT64" i="8"/>
  <c r="AP64" i="8"/>
  <c r="AL64" i="8"/>
  <c r="AH64" i="8"/>
  <c r="AD64" i="8"/>
  <c r="Z64" i="8"/>
  <c r="V64" i="8"/>
  <c r="EW63" i="8"/>
  <c r="ES63" i="8"/>
  <c r="EO63" i="8"/>
  <c r="EK63" i="8"/>
  <c r="EE63" i="8"/>
  <c r="EA63" i="8"/>
  <c r="DW63" i="8"/>
  <c r="DS63" i="8"/>
  <c r="DO63" i="8"/>
  <c r="DK63" i="8"/>
  <c r="DG63" i="8"/>
  <c r="DC63" i="8"/>
  <c r="CW63" i="8"/>
  <c r="CS63" i="8"/>
  <c r="CO63" i="8"/>
  <c r="CK63" i="8"/>
  <c r="CG63" i="8"/>
  <c r="CC63" i="8"/>
  <c r="BY63" i="8"/>
  <c r="BU63" i="8"/>
  <c r="BO63" i="8"/>
  <c r="BK63" i="8"/>
  <c r="BG63" i="8"/>
  <c r="BC63" i="8"/>
  <c r="AY63" i="8"/>
  <c r="AU63" i="8"/>
  <c r="AQ63" i="8"/>
  <c r="AM63" i="8"/>
  <c r="AG63" i="8"/>
  <c r="AC63" i="8"/>
  <c r="Y63" i="8"/>
  <c r="U63" i="8"/>
  <c r="EV62" i="8"/>
  <c r="ER62" i="8"/>
  <c r="EN62" i="8"/>
  <c r="EJ62" i="8"/>
  <c r="EF62" i="8"/>
  <c r="EB62" i="8"/>
  <c r="DX62" i="8"/>
  <c r="DT62" i="8"/>
  <c r="DN62" i="8"/>
  <c r="DJ62" i="8"/>
  <c r="DF62" i="8"/>
  <c r="DB62" i="8"/>
  <c r="CX62" i="8"/>
  <c r="CT62" i="8"/>
  <c r="CP62" i="8"/>
  <c r="CL62" i="8"/>
  <c r="CF62" i="8"/>
  <c r="CB62" i="8"/>
  <c r="BX62" i="8"/>
  <c r="BT62" i="8"/>
  <c r="BP62" i="8"/>
  <c r="BL62" i="8"/>
  <c r="BH62" i="8"/>
  <c r="BD62" i="8"/>
  <c r="AX62" i="8"/>
  <c r="AT62" i="8"/>
  <c r="AP62" i="8"/>
  <c r="AL62" i="8"/>
  <c r="AH62" i="8"/>
  <c r="AD62" i="8"/>
  <c r="Z62" i="8"/>
  <c r="V62" i="8"/>
  <c r="EW61" i="8"/>
  <c r="ES61" i="8"/>
  <c r="EO61" i="8"/>
  <c r="EK61" i="8"/>
  <c r="EE61" i="8"/>
  <c r="EA61" i="8"/>
  <c r="DW61" i="8"/>
  <c r="DS61" i="8"/>
  <c r="DO61" i="8"/>
  <c r="DK61" i="8"/>
  <c r="DG61" i="8"/>
  <c r="DC61" i="8"/>
  <c r="CW61" i="8"/>
  <c r="CS61" i="8"/>
  <c r="CO61" i="8"/>
  <c r="CK61" i="8"/>
  <c r="CG61" i="8"/>
  <c r="CC61" i="8"/>
  <c r="BY61" i="8"/>
  <c r="BU61" i="8"/>
  <c r="BO61" i="8"/>
  <c r="BK61" i="8"/>
  <c r="BG61" i="8"/>
  <c r="BC61" i="8"/>
  <c r="AY61" i="8"/>
  <c r="AU61" i="8"/>
  <c r="AQ61" i="8"/>
  <c r="AM61" i="8"/>
  <c r="AG61" i="8"/>
  <c r="AC61" i="8"/>
  <c r="Y61" i="8"/>
  <c r="U61" i="8"/>
  <c r="EV60" i="8"/>
  <c r="ER60" i="8"/>
  <c r="EN60" i="8"/>
  <c r="EJ60" i="8"/>
  <c r="EF60" i="8"/>
  <c r="EB60" i="8"/>
  <c r="DX60" i="8"/>
  <c r="DT60" i="8"/>
  <c r="DN60" i="8"/>
  <c r="DJ60" i="8"/>
  <c r="DF60" i="8"/>
  <c r="DB60" i="8"/>
  <c r="CX60" i="8"/>
  <c r="CT60" i="8"/>
  <c r="CP60" i="8"/>
  <c r="CL60" i="8"/>
  <c r="CF60" i="8"/>
  <c r="CB60" i="8"/>
  <c r="BX60" i="8"/>
  <c r="BT60" i="8"/>
  <c r="BP60" i="8"/>
  <c r="BL60" i="8"/>
  <c r="BH60" i="8"/>
  <c r="BD60" i="8"/>
  <c r="AX60" i="8"/>
  <c r="AT60" i="8"/>
  <c r="AP60" i="8"/>
  <c r="AL60" i="8"/>
  <c r="AH60" i="8"/>
  <c r="AD60" i="8"/>
  <c r="Z60" i="8"/>
  <c r="V60" i="8"/>
  <c r="EW59" i="8"/>
  <c r="ES59" i="8"/>
  <c r="EO59" i="8"/>
  <c r="EK59" i="8"/>
  <c r="EE59" i="8"/>
  <c r="EA59" i="8"/>
  <c r="DW59" i="8"/>
  <c r="DS59" i="8"/>
  <c r="DO59" i="8"/>
  <c r="DK59" i="8"/>
  <c r="DG59" i="8"/>
  <c r="DC59" i="8"/>
  <c r="CW59" i="8"/>
  <c r="CS59" i="8"/>
  <c r="CO59" i="8"/>
  <c r="CK59" i="8"/>
  <c r="CG59" i="8"/>
  <c r="CC59" i="8"/>
  <c r="BY59" i="8"/>
  <c r="BU59" i="8"/>
  <c r="BO59" i="8"/>
  <c r="BK59" i="8"/>
  <c r="BG59" i="8"/>
  <c r="CG74" i="8"/>
  <c r="BY74" i="8"/>
  <c r="BM74" i="8"/>
  <c r="BE74" i="8"/>
  <c r="AW74" i="8"/>
  <c r="AO74" i="8"/>
  <c r="AG74" i="8"/>
  <c r="Y74" i="8"/>
  <c r="ET73" i="8"/>
  <c r="EL73" i="8"/>
  <c r="ED73" i="8"/>
  <c r="DV73" i="8"/>
  <c r="DN73" i="8"/>
  <c r="DF73" i="8"/>
  <c r="CX73" i="8"/>
  <c r="CP73" i="8"/>
  <c r="CD73" i="8"/>
  <c r="BV73" i="8"/>
  <c r="BN73" i="8"/>
  <c r="BF73" i="8"/>
  <c r="AX73" i="8"/>
  <c r="AP73" i="8"/>
  <c r="AH73" i="8"/>
  <c r="Z73" i="8"/>
  <c r="EU72" i="8"/>
  <c r="EM72" i="8"/>
  <c r="EE72" i="8"/>
  <c r="DW72" i="8"/>
  <c r="DO72" i="8"/>
  <c r="DG72" i="8"/>
  <c r="CU72" i="8"/>
  <c r="CM72" i="8"/>
  <c r="CE72" i="8"/>
  <c r="BW72" i="8"/>
  <c r="BO72" i="8"/>
  <c r="BG72" i="8"/>
  <c r="AY72" i="8"/>
  <c r="AQ72" i="8"/>
  <c r="AK72" i="8"/>
  <c r="AE72" i="8"/>
  <c r="AA72" i="8"/>
  <c r="W72" i="8"/>
  <c r="S72" i="8"/>
  <c r="ET71" i="8"/>
  <c r="EP71" i="8"/>
  <c r="EL71" i="8"/>
  <c r="EH71" i="8"/>
  <c r="ED71" i="8"/>
  <c r="DZ71" i="8"/>
  <c r="DV71" i="8"/>
  <c r="DR71" i="8"/>
  <c r="DL71" i="8"/>
  <c r="DH71" i="8"/>
  <c r="DD71" i="8"/>
  <c r="CZ71" i="8"/>
  <c r="CV71" i="8"/>
  <c r="CR71" i="8"/>
  <c r="CN71" i="8"/>
  <c r="CJ71" i="8"/>
  <c r="CD71" i="8"/>
  <c r="BZ71" i="8"/>
  <c r="BV71" i="8"/>
  <c r="BR71" i="8"/>
  <c r="BN71" i="8"/>
  <c r="BJ71" i="8"/>
  <c r="BF71" i="8"/>
  <c r="BB71" i="8"/>
  <c r="AV71" i="8"/>
  <c r="AR71" i="8"/>
  <c r="AN71" i="8"/>
  <c r="AJ71" i="8"/>
  <c r="AF71" i="8"/>
  <c r="AB71" i="8"/>
  <c r="X71" i="8"/>
  <c r="T71" i="8"/>
  <c r="EU70" i="8"/>
  <c r="EQ70" i="8"/>
  <c r="EM70" i="8"/>
  <c r="EI70" i="8"/>
  <c r="EC70" i="8"/>
  <c r="DY70" i="8"/>
  <c r="DU70" i="8"/>
  <c r="DQ70" i="8"/>
  <c r="DM70" i="8"/>
  <c r="DI70" i="8"/>
  <c r="DE70" i="8"/>
  <c r="DA70" i="8"/>
  <c r="CU70" i="8"/>
  <c r="CQ70" i="8"/>
  <c r="CM70" i="8"/>
  <c r="CI70" i="8"/>
  <c r="CE70" i="8"/>
  <c r="CA70" i="8"/>
  <c r="BW70" i="8"/>
  <c r="BS70" i="8"/>
  <c r="BM70" i="8"/>
  <c r="BI70" i="8"/>
  <c r="BE70" i="8"/>
  <c r="BA70" i="8"/>
  <c r="AW70" i="8"/>
  <c r="AS70" i="8"/>
  <c r="AO70" i="8"/>
  <c r="AK70" i="8"/>
  <c r="AE70" i="8"/>
  <c r="AA70" i="8"/>
  <c r="W70" i="8"/>
  <c r="S70" i="8"/>
  <c r="ET69" i="8"/>
  <c r="EP69" i="8"/>
  <c r="EL69" i="8"/>
  <c r="EH69" i="8"/>
  <c r="ED69" i="8"/>
  <c r="DZ69" i="8"/>
  <c r="DV69" i="8"/>
  <c r="DR69" i="8"/>
  <c r="DL69" i="8"/>
  <c r="DH69" i="8"/>
  <c r="DD69" i="8"/>
  <c r="CZ69" i="8"/>
  <c r="CV69" i="8"/>
  <c r="CR69" i="8"/>
  <c r="CN69" i="8"/>
  <c r="CJ69" i="8"/>
  <c r="CD69" i="8"/>
  <c r="BZ69" i="8"/>
  <c r="BV69" i="8"/>
  <c r="BR69" i="8"/>
  <c r="BN69" i="8"/>
  <c r="BJ69" i="8"/>
  <c r="BF69" i="8"/>
  <c r="BB69" i="8"/>
  <c r="AV69" i="8"/>
  <c r="AR69" i="8"/>
  <c r="AN69" i="8"/>
  <c r="AJ69" i="8"/>
  <c r="AF69" i="8"/>
  <c r="AB69" i="8"/>
  <c r="X69" i="8"/>
  <c r="T69" i="8"/>
  <c r="EU68" i="8"/>
  <c r="EQ68" i="8"/>
  <c r="EM68" i="8"/>
  <c r="EI68" i="8"/>
  <c r="EC68" i="8"/>
  <c r="DY68" i="8"/>
  <c r="DU68" i="8"/>
  <c r="DQ68" i="8"/>
  <c r="DM68" i="8"/>
  <c r="DI68" i="8"/>
  <c r="DE68" i="8"/>
  <c r="DA68" i="8"/>
  <c r="CU68" i="8"/>
  <c r="CQ68" i="8"/>
  <c r="CM68" i="8"/>
  <c r="CI68" i="8"/>
  <c r="CE68" i="8"/>
  <c r="CA68" i="8"/>
  <c r="BW68" i="8"/>
  <c r="BS68" i="8"/>
  <c r="BM68" i="8"/>
  <c r="BI68" i="8"/>
  <c r="BE68" i="8"/>
  <c r="BA68" i="8"/>
  <c r="AW68" i="8"/>
  <c r="AS68" i="8"/>
  <c r="AO68" i="8"/>
  <c r="AK68" i="8"/>
  <c r="AE68" i="8"/>
  <c r="AA68" i="8"/>
  <c r="W68" i="8"/>
  <c r="S68" i="8"/>
  <c r="ET67" i="8"/>
  <c r="EP67" i="8"/>
  <c r="EL67" i="8"/>
  <c r="EH67" i="8"/>
  <c r="ED67" i="8"/>
  <c r="DZ67" i="8"/>
  <c r="DV67" i="8"/>
  <c r="DR67" i="8"/>
  <c r="DL67" i="8"/>
  <c r="DH67" i="8"/>
  <c r="DD67" i="8"/>
  <c r="CZ67" i="8"/>
  <c r="CV67" i="8"/>
  <c r="CR67" i="8"/>
  <c r="CN67" i="8"/>
  <c r="CJ67" i="8"/>
  <c r="CD67" i="8"/>
  <c r="BZ67" i="8"/>
  <c r="BV67" i="8"/>
  <c r="BR67" i="8"/>
  <c r="BN67" i="8"/>
  <c r="BJ67" i="8"/>
  <c r="BF67" i="8"/>
  <c r="BB67" i="8"/>
  <c r="AV67" i="8"/>
  <c r="AR67" i="8"/>
  <c r="AN67" i="8"/>
  <c r="AJ67" i="8"/>
  <c r="AF67" i="8"/>
  <c r="AB67" i="8"/>
  <c r="X67" i="8"/>
  <c r="T67" i="8"/>
  <c r="EU66" i="8"/>
  <c r="EQ66" i="8"/>
  <c r="EM66" i="8"/>
  <c r="EI66" i="8"/>
  <c r="EC66" i="8"/>
  <c r="DY66" i="8"/>
  <c r="DU66" i="8"/>
  <c r="DQ66" i="8"/>
  <c r="DM66" i="8"/>
  <c r="DI66" i="8"/>
  <c r="DE66" i="8"/>
  <c r="DA66" i="8"/>
  <c r="CU66" i="8"/>
  <c r="CQ66" i="8"/>
  <c r="CM66" i="8"/>
  <c r="CI66" i="8"/>
  <c r="CE66" i="8"/>
  <c r="CA66" i="8"/>
  <c r="BW66" i="8"/>
  <c r="BS66" i="8"/>
  <c r="BM66" i="8"/>
  <c r="BI66" i="8"/>
  <c r="BE66" i="8"/>
  <c r="BA66" i="8"/>
  <c r="AW66" i="8"/>
  <c r="AS66" i="8"/>
  <c r="AO66" i="8"/>
  <c r="AK66" i="8"/>
  <c r="AE66" i="8"/>
  <c r="AA66" i="8"/>
  <c r="W66" i="8"/>
  <c r="S66" i="8"/>
  <c r="ET65" i="8"/>
  <c r="EP65" i="8"/>
  <c r="EL65" i="8"/>
  <c r="EH65" i="8"/>
  <c r="ED65" i="8"/>
  <c r="DZ65" i="8"/>
  <c r="DV65" i="8"/>
  <c r="DR65" i="8"/>
  <c r="DL65" i="8"/>
  <c r="DH65" i="8"/>
  <c r="DD65" i="8"/>
  <c r="CZ65" i="8"/>
  <c r="CV65" i="8"/>
  <c r="CR65" i="8"/>
  <c r="CN65" i="8"/>
  <c r="CJ65" i="8"/>
  <c r="CD65" i="8"/>
  <c r="BZ65" i="8"/>
  <c r="BV65" i="8"/>
  <c r="BR65" i="8"/>
  <c r="BN65" i="8"/>
  <c r="BJ65" i="8"/>
  <c r="BF65" i="8"/>
  <c r="BB65" i="8"/>
  <c r="AV65" i="8"/>
  <c r="AR65" i="8"/>
  <c r="AN65" i="8"/>
  <c r="AJ65" i="8"/>
  <c r="AF65" i="8"/>
  <c r="AB65" i="8"/>
  <c r="X65" i="8"/>
  <c r="T65" i="8"/>
  <c r="EU64" i="8"/>
  <c r="EQ64" i="8"/>
  <c r="EM64" i="8"/>
  <c r="EI64" i="8"/>
  <c r="EC64" i="8"/>
  <c r="DY64" i="8"/>
  <c r="DU64" i="8"/>
  <c r="DQ64" i="8"/>
  <c r="DM64" i="8"/>
  <c r="DI64" i="8"/>
  <c r="DE64" i="8"/>
  <c r="DA64" i="8"/>
  <c r="CU64" i="8"/>
  <c r="CQ64" i="8"/>
  <c r="CM64" i="8"/>
  <c r="CI64" i="8"/>
  <c r="CE64" i="8"/>
  <c r="CA64" i="8"/>
  <c r="BW64" i="8"/>
  <c r="BS64" i="8"/>
  <c r="BM64" i="8"/>
  <c r="BI64" i="8"/>
  <c r="BE64" i="8"/>
  <c r="BA64" i="8"/>
  <c r="AW64" i="8"/>
  <c r="AS64" i="8"/>
  <c r="AO64" i="8"/>
  <c r="AK64" i="8"/>
  <c r="AE64" i="8"/>
  <c r="AA64" i="8"/>
  <c r="W64" i="8"/>
  <c r="S64" i="8"/>
  <c r="ET63" i="8"/>
  <c r="EP63" i="8"/>
  <c r="EL63" i="8"/>
  <c r="EH63" i="8"/>
  <c r="ED63" i="8"/>
  <c r="DZ63" i="8"/>
  <c r="DV63" i="8"/>
  <c r="DR63" i="8"/>
  <c r="DL63" i="8"/>
  <c r="DH63" i="8"/>
  <c r="DD63" i="8"/>
  <c r="CZ63" i="8"/>
  <c r="CV63" i="8"/>
  <c r="CR63" i="8"/>
  <c r="CN63" i="8"/>
  <c r="CJ63" i="8"/>
  <c r="CD63" i="8"/>
  <c r="BZ63" i="8"/>
  <c r="BV63" i="8"/>
  <c r="BR63" i="8"/>
  <c r="BL63" i="8"/>
  <c r="BD63" i="8"/>
  <c r="AR63" i="8"/>
  <c r="AJ63" i="8"/>
  <c r="AB63" i="8"/>
  <c r="T63" i="8"/>
  <c r="ES62" i="8"/>
  <c r="EK62" i="8"/>
  <c r="DY62" i="8"/>
  <c r="DQ62" i="8"/>
  <c r="DI62" i="8"/>
  <c r="DA62" i="8"/>
  <c r="CS62" i="8"/>
  <c r="CK62" i="8"/>
  <c r="CC62" i="8"/>
  <c r="BU62" i="8"/>
  <c r="BI62" i="8"/>
  <c r="BA62" i="8"/>
  <c r="AS62" i="8"/>
  <c r="AK62" i="8"/>
  <c r="AC62" i="8"/>
  <c r="U62" i="8"/>
  <c r="EP61" i="8"/>
  <c r="EH61" i="8"/>
  <c r="DZ61" i="8"/>
  <c r="DR61" i="8"/>
  <c r="DJ61" i="8"/>
  <c r="DB61" i="8"/>
  <c r="CT61" i="8"/>
  <c r="CL61" i="8"/>
  <c r="BZ61" i="8"/>
  <c r="BR61" i="8"/>
  <c r="BJ61" i="8"/>
  <c r="BB61" i="8"/>
  <c r="AT61" i="8"/>
  <c r="AL61" i="8"/>
  <c r="AD61" i="8"/>
  <c r="V61" i="8"/>
  <c r="EQ60" i="8"/>
  <c r="EI60" i="8"/>
  <c r="EA60" i="8"/>
  <c r="DS60" i="8"/>
  <c r="DK60" i="8"/>
  <c r="DC60" i="8"/>
  <c r="CQ60" i="8"/>
  <c r="CI60" i="8"/>
  <c r="CA60" i="8"/>
  <c r="BS60" i="8"/>
  <c r="BK60" i="8"/>
  <c r="BC60" i="8"/>
  <c r="AU60" i="8"/>
  <c r="AM60" i="8"/>
  <c r="AA60" i="8"/>
  <c r="S60" i="8"/>
  <c r="ER59" i="8"/>
  <c r="EJ59" i="8"/>
  <c r="EB59" i="8"/>
  <c r="DT59" i="8"/>
  <c r="DH59" i="8"/>
  <c r="CZ59" i="8"/>
  <c r="CR59" i="8"/>
  <c r="CJ59" i="8"/>
  <c r="CB59" i="8"/>
  <c r="BT59" i="8"/>
  <c r="BL59" i="8"/>
  <c r="BD59" i="8"/>
  <c r="AX59" i="8"/>
  <c r="AT59" i="8"/>
  <c r="AP59" i="8"/>
  <c r="AL59" i="8"/>
  <c r="AH59" i="8"/>
  <c r="AD59" i="8"/>
  <c r="Z59" i="8"/>
  <c r="V59" i="8"/>
  <c r="EW58" i="8"/>
  <c r="ES58" i="8"/>
  <c r="EO58" i="8"/>
  <c r="EK58" i="8"/>
  <c r="EE58" i="8"/>
  <c r="EA58" i="8"/>
  <c r="DW58" i="8"/>
  <c r="DS58" i="8"/>
  <c r="DO58" i="8"/>
  <c r="DK58" i="8"/>
  <c r="DG58" i="8"/>
  <c r="DC58" i="8"/>
  <c r="CW58" i="8"/>
  <c r="CS58" i="8"/>
  <c r="CO58" i="8"/>
  <c r="CK58" i="8"/>
  <c r="CG58" i="8"/>
  <c r="CC58" i="8"/>
  <c r="BY58" i="8"/>
  <c r="BU58" i="8"/>
  <c r="BO58" i="8"/>
  <c r="BK58" i="8"/>
  <c r="BG58" i="8"/>
  <c r="BC58" i="8"/>
  <c r="AY58" i="8"/>
  <c r="AU58" i="8"/>
  <c r="AQ58" i="8"/>
  <c r="AM58" i="8"/>
  <c r="AG58" i="8"/>
  <c r="AC58" i="8"/>
  <c r="Y58" i="8"/>
  <c r="U58" i="8"/>
  <c r="EV57" i="8"/>
  <c r="ER57" i="8"/>
  <c r="EN57" i="8"/>
  <c r="EJ57" i="8"/>
  <c r="EF57" i="8"/>
  <c r="EB57" i="8"/>
  <c r="DX57" i="8"/>
  <c r="DT57" i="8"/>
  <c r="DN57" i="8"/>
  <c r="DJ57" i="8"/>
  <c r="DF57" i="8"/>
  <c r="DB57" i="8"/>
  <c r="CX57" i="8"/>
  <c r="CT57" i="8"/>
  <c r="CP57" i="8"/>
  <c r="CL57" i="8"/>
  <c r="CF57" i="8"/>
  <c r="CB57" i="8"/>
  <c r="BX57" i="8"/>
  <c r="BT57" i="8"/>
  <c r="BP57" i="8"/>
  <c r="BL57" i="8"/>
  <c r="BH57" i="8"/>
  <c r="BD57" i="8"/>
  <c r="AX57" i="8"/>
  <c r="AT57" i="8"/>
  <c r="AP57" i="8"/>
  <c r="AL57" i="8"/>
  <c r="AH57" i="8"/>
  <c r="AD57" i="8"/>
  <c r="Z57" i="8"/>
  <c r="V57" i="8"/>
  <c r="EW56" i="8"/>
  <c r="ES56" i="8"/>
  <c r="EO56" i="8"/>
  <c r="EK56" i="8"/>
  <c r="EE56" i="8"/>
  <c r="EA56" i="8"/>
  <c r="DW56" i="8"/>
  <c r="DS56" i="8"/>
  <c r="DO56" i="8"/>
  <c r="DK56" i="8"/>
  <c r="DG56" i="8"/>
  <c r="DC56" i="8"/>
  <c r="CW56" i="8"/>
  <c r="CS56" i="8"/>
  <c r="CO56" i="8"/>
  <c r="CK56" i="8"/>
  <c r="CG56" i="8"/>
  <c r="CC56" i="8"/>
  <c r="BY56" i="8"/>
  <c r="BU56" i="8"/>
  <c r="BO56" i="8"/>
  <c r="BK56" i="8"/>
  <c r="BG56" i="8"/>
  <c r="BC56" i="8"/>
  <c r="AY56" i="8"/>
  <c r="AU56" i="8"/>
  <c r="AQ56" i="8"/>
  <c r="AM56" i="8"/>
  <c r="AG56" i="8"/>
  <c r="AC56" i="8"/>
  <c r="Y56" i="8"/>
  <c r="U56" i="8"/>
  <c r="EV55" i="8"/>
  <c r="ER55" i="8"/>
  <c r="EN55" i="8"/>
  <c r="EJ55" i="8"/>
  <c r="EF55" i="8"/>
  <c r="EB55" i="8"/>
  <c r="DX55" i="8"/>
  <c r="DT55" i="8"/>
  <c r="DN55" i="8"/>
  <c r="DJ55" i="8"/>
  <c r="DF55" i="8"/>
  <c r="DB55" i="8"/>
  <c r="CX55" i="8"/>
  <c r="CT55" i="8"/>
  <c r="CP55" i="8"/>
  <c r="CL55" i="8"/>
  <c r="CF55" i="8"/>
  <c r="CB55" i="8"/>
  <c r="BX55" i="8"/>
  <c r="BT55" i="8"/>
  <c r="BP55" i="8"/>
  <c r="BL55" i="8"/>
  <c r="BH55" i="8"/>
  <c r="BD55" i="8"/>
  <c r="AX55" i="8"/>
  <c r="AT55" i="8"/>
  <c r="AP55" i="8"/>
  <c r="AL55" i="8"/>
  <c r="AH55" i="8"/>
  <c r="AD55" i="8"/>
  <c r="Z55" i="8"/>
  <c r="V55" i="8"/>
  <c r="EW54" i="8"/>
  <c r="ES54" i="8"/>
  <c r="EO54" i="8"/>
  <c r="EK54" i="8"/>
  <c r="EE54" i="8"/>
  <c r="EA54" i="8"/>
  <c r="DW54" i="8"/>
  <c r="DS54" i="8"/>
  <c r="DO54" i="8"/>
  <c r="DK54" i="8"/>
  <c r="DG54" i="8"/>
  <c r="DC54" i="8"/>
  <c r="CW54" i="8"/>
  <c r="CS54" i="8"/>
  <c r="CO54" i="8"/>
  <c r="CK54" i="8"/>
  <c r="CG54" i="8"/>
  <c r="CC54" i="8"/>
  <c r="BY54" i="8"/>
  <c r="BU54" i="8"/>
  <c r="BO54" i="8"/>
  <c r="BK54" i="8"/>
  <c r="BG54" i="8"/>
  <c r="BC54" i="8"/>
  <c r="AY54" i="8"/>
  <c r="AU54" i="8"/>
  <c r="AQ54" i="8"/>
  <c r="AM54" i="8"/>
  <c r="AG54" i="8"/>
  <c r="AC54" i="8"/>
  <c r="Y54" i="8"/>
  <c r="U54" i="8"/>
  <c r="EV53" i="8"/>
  <c r="ER53" i="8"/>
  <c r="EN53" i="8"/>
  <c r="EJ53" i="8"/>
  <c r="EF53" i="8"/>
  <c r="EB53" i="8"/>
  <c r="DX53" i="8"/>
  <c r="DT53" i="8"/>
  <c r="DN53" i="8"/>
  <c r="DJ53" i="8"/>
  <c r="DF53" i="8"/>
  <c r="DB53" i="8"/>
  <c r="CX53" i="8"/>
  <c r="CT53" i="8"/>
  <c r="CP53" i="8"/>
  <c r="CL53" i="8"/>
  <c r="CF53" i="8"/>
  <c r="CB53" i="8"/>
  <c r="BX53" i="8"/>
  <c r="BT53" i="8"/>
  <c r="BP53" i="8"/>
  <c r="BL53" i="8"/>
  <c r="BH53" i="8"/>
  <c r="BD53" i="8"/>
  <c r="AX53" i="8"/>
  <c r="AT53" i="8"/>
  <c r="AP53" i="8"/>
  <c r="AL53" i="8"/>
  <c r="AH53" i="8"/>
  <c r="AD53" i="8"/>
  <c r="Z53" i="8"/>
  <c r="V53" i="8"/>
  <c r="EW52" i="8"/>
  <c r="ES52" i="8"/>
  <c r="EO52" i="8"/>
  <c r="EK52" i="8"/>
  <c r="EE52" i="8"/>
  <c r="EA52" i="8"/>
  <c r="DW52" i="8"/>
  <c r="DS52" i="8"/>
  <c r="DO52" i="8"/>
  <c r="DK52" i="8"/>
  <c r="DG52" i="8"/>
  <c r="DC52" i="8"/>
  <c r="CW52" i="8"/>
  <c r="CS52" i="8"/>
  <c r="CO52" i="8"/>
  <c r="CK52" i="8"/>
  <c r="CG52" i="8"/>
  <c r="CC52" i="8"/>
  <c r="BY52" i="8"/>
  <c r="BU52" i="8"/>
  <c r="BO52" i="8"/>
  <c r="BK52" i="8"/>
  <c r="BG52" i="8"/>
  <c r="BC52" i="8"/>
  <c r="AY52" i="8"/>
  <c r="AU52" i="8"/>
  <c r="AQ52" i="8"/>
  <c r="AM52" i="8"/>
  <c r="AG52" i="8"/>
  <c r="AC52" i="8"/>
  <c r="Y52" i="8"/>
  <c r="U52" i="8"/>
  <c r="EV51" i="8"/>
  <c r="ER51" i="8"/>
  <c r="EN51" i="8"/>
  <c r="EJ51" i="8"/>
  <c r="EF51" i="8"/>
  <c r="EB51" i="8"/>
  <c r="DX51" i="8"/>
  <c r="DT51" i="8"/>
  <c r="DN51" i="8"/>
  <c r="DJ51" i="8"/>
  <c r="DF51" i="8"/>
  <c r="DB51" i="8"/>
  <c r="CX51" i="8"/>
  <c r="CT51" i="8"/>
  <c r="CP51" i="8"/>
  <c r="CL51" i="8"/>
  <c r="CF51" i="8"/>
  <c r="CB51" i="8"/>
  <c r="BX51" i="8"/>
  <c r="BT51" i="8"/>
  <c r="BP51" i="8"/>
  <c r="BL51" i="8"/>
  <c r="BH51" i="8"/>
  <c r="BD51" i="8"/>
  <c r="AX51" i="8"/>
  <c r="AT51" i="8"/>
  <c r="AP51" i="8"/>
  <c r="AL51" i="8"/>
  <c r="AH51" i="8"/>
  <c r="AD51" i="8"/>
  <c r="Z51" i="8"/>
  <c r="V51" i="8"/>
  <c r="EW50" i="8"/>
  <c r="ES50" i="8"/>
  <c r="EO50" i="8"/>
  <c r="EK50" i="8"/>
  <c r="EE50" i="8"/>
  <c r="EA50" i="8"/>
  <c r="DW50" i="8"/>
  <c r="DS50" i="8"/>
  <c r="DO50" i="8"/>
  <c r="DK50" i="8"/>
  <c r="DG50" i="8"/>
  <c r="DC50" i="8"/>
  <c r="CW50" i="8"/>
  <c r="CS50" i="8"/>
  <c r="CO50" i="8"/>
  <c r="CK50" i="8"/>
  <c r="CG50" i="8"/>
  <c r="CC50" i="8"/>
  <c r="BY50" i="8"/>
  <c r="BU50" i="8"/>
  <c r="BO50" i="8"/>
  <c r="BK50" i="8"/>
  <c r="BG50" i="8"/>
  <c r="BC50" i="8"/>
  <c r="AY50" i="8"/>
  <c r="AU50" i="8"/>
  <c r="AQ50" i="8"/>
  <c r="AM50" i="8"/>
  <c r="AG50" i="8"/>
  <c r="AC50" i="8"/>
  <c r="Y50" i="8"/>
  <c r="U50" i="8"/>
  <c r="EV49" i="8"/>
  <c r="ER49" i="8"/>
  <c r="EN49" i="8"/>
  <c r="EJ49" i="8"/>
  <c r="EF49" i="8"/>
  <c r="EB49" i="8"/>
  <c r="DX49" i="8"/>
  <c r="DT49" i="8"/>
  <c r="DN49" i="8"/>
  <c r="DJ49" i="8"/>
  <c r="DF49" i="8"/>
  <c r="DB49" i="8"/>
  <c r="CX49" i="8"/>
  <c r="CT49" i="8"/>
  <c r="CP49" i="8"/>
  <c r="CL49" i="8"/>
  <c r="CF49" i="8"/>
  <c r="CB49" i="8"/>
  <c r="BX49" i="8"/>
  <c r="BT49" i="8"/>
  <c r="BP49" i="8"/>
  <c r="BL49" i="8"/>
  <c r="BH49" i="8"/>
  <c r="BD49" i="8"/>
  <c r="AX49" i="8"/>
  <c r="AT49" i="8"/>
  <c r="AP49" i="8"/>
  <c r="AL49" i="8"/>
  <c r="AH49" i="8"/>
  <c r="AD49" i="8"/>
  <c r="Z49" i="8"/>
  <c r="V49" i="8"/>
  <c r="EW48" i="8"/>
  <c r="ES48" i="8"/>
  <c r="EO48" i="8"/>
  <c r="EK48" i="8"/>
  <c r="EE48" i="8"/>
  <c r="EA48" i="8"/>
  <c r="DW48" i="8"/>
  <c r="DS48" i="8"/>
  <c r="DO48" i="8"/>
  <c r="DK48" i="8"/>
  <c r="DG48" i="8"/>
  <c r="DC48" i="8"/>
  <c r="CW48" i="8"/>
  <c r="CS48" i="8"/>
  <c r="CO48" i="8"/>
  <c r="CK48" i="8"/>
  <c r="CG48" i="8"/>
  <c r="CC48" i="8"/>
  <c r="BY48" i="8"/>
  <c r="BU48" i="8"/>
  <c r="BO48" i="8"/>
  <c r="BK48" i="8"/>
  <c r="BG48" i="8"/>
  <c r="BC48" i="8"/>
  <c r="AY48" i="8"/>
  <c r="AU48" i="8"/>
  <c r="AQ48" i="8"/>
  <c r="AM48" i="8"/>
  <c r="AG48" i="8"/>
  <c r="AC48" i="8"/>
  <c r="Y48" i="8"/>
  <c r="U48" i="8"/>
  <c r="EV47" i="8"/>
  <c r="ER47" i="8"/>
  <c r="EN47" i="8"/>
  <c r="EJ47" i="8"/>
  <c r="EF47" i="8"/>
  <c r="EB47" i="8"/>
  <c r="DX47" i="8"/>
  <c r="DT47" i="8"/>
  <c r="DN47" i="8"/>
  <c r="DJ47" i="8"/>
  <c r="DF47" i="8"/>
  <c r="DB47" i="8"/>
  <c r="CX47" i="8"/>
  <c r="CT47" i="8"/>
  <c r="CP47" i="8"/>
  <c r="CL47" i="8"/>
  <c r="CF47" i="8"/>
  <c r="CB47" i="8"/>
  <c r="BX47" i="8"/>
  <c r="BT47" i="8"/>
  <c r="BP47" i="8"/>
  <c r="BL47" i="8"/>
  <c r="BH47" i="8"/>
  <c r="BD47" i="8"/>
  <c r="AX47" i="8"/>
  <c r="AT47" i="8"/>
  <c r="AP47" i="8"/>
  <c r="AL47" i="8"/>
  <c r="AH47" i="8"/>
  <c r="AD47" i="8"/>
  <c r="Z47" i="8"/>
  <c r="V47" i="8"/>
  <c r="EW46" i="8"/>
  <c r="ES46" i="8"/>
  <c r="EO46" i="8"/>
  <c r="EK46" i="8"/>
  <c r="EE46" i="8"/>
  <c r="EA46" i="8"/>
  <c r="DW46" i="8"/>
  <c r="DS46" i="8"/>
  <c r="DO46" i="8"/>
  <c r="DK46" i="8"/>
  <c r="DG46" i="8"/>
  <c r="DC46" i="8"/>
  <c r="CW46" i="8"/>
  <c r="CS46" i="8"/>
  <c r="CO46" i="8"/>
  <c r="CK46" i="8"/>
  <c r="CG46" i="8"/>
  <c r="CC46" i="8"/>
  <c r="BY46" i="8"/>
  <c r="BU46" i="8"/>
  <c r="BO46" i="8"/>
  <c r="BK46" i="8"/>
  <c r="BG46" i="8"/>
  <c r="BC46" i="8"/>
  <c r="AY46" i="8"/>
  <c r="AU46" i="8"/>
  <c r="AQ46" i="8"/>
  <c r="AM46" i="8"/>
  <c r="AG46" i="8"/>
  <c r="AC46" i="8"/>
  <c r="Y46" i="8"/>
  <c r="U46" i="8"/>
  <c r="EV45" i="8"/>
  <c r="ER45" i="8"/>
  <c r="EN45" i="8"/>
  <c r="EJ45" i="8"/>
  <c r="EF45" i="8"/>
  <c r="EB45" i="8"/>
  <c r="DX45" i="8"/>
  <c r="DT45" i="8"/>
  <c r="DN45" i="8"/>
  <c r="DJ45" i="8"/>
  <c r="DF45" i="8"/>
  <c r="DB45" i="8"/>
  <c r="CX45" i="8"/>
  <c r="CT45" i="8"/>
  <c r="CP45" i="8"/>
  <c r="CL45" i="8"/>
  <c r="CF45" i="8"/>
  <c r="CB45" i="8"/>
  <c r="BX45" i="8"/>
  <c r="BT45" i="8"/>
  <c r="BP45" i="8"/>
  <c r="BL45" i="8"/>
  <c r="BH45" i="8"/>
  <c r="BD45" i="8"/>
  <c r="AX45" i="8"/>
  <c r="AT45" i="8"/>
  <c r="AP45" i="8"/>
  <c r="AL45" i="8"/>
  <c r="AH45" i="8"/>
  <c r="AD45" i="8"/>
  <c r="Z45" i="8"/>
  <c r="V45" i="8"/>
  <c r="EW44" i="8"/>
  <c r="ES44" i="8"/>
  <c r="EO44" i="8"/>
  <c r="EK44" i="8"/>
  <c r="EE44" i="8"/>
  <c r="EA44" i="8"/>
  <c r="DW44" i="8"/>
  <c r="DS44" i="8"/>
  <c r="DO44" i="8"/>
  <c r="DK44" i="8"/>
  <c r="DG44" i="8"/>
  <c r="DC44" i="8"/>
  <c r="CW44" i="8"/>
  <c r="CS44" i="8"/>
  <c r="CO44" i="8"/>
  <c r="CK44" i="8"/>
  <c r="CG44" i="8"/>
  <c r="CC44" i="8"/>
  <c r="BY44" i="8"/>
  <c r="BU44" i="8"/>
  <c r="BO44" i="8"/>
  <c r="BK44" i="8"/>
  <c r="BG44" i="8"/>
  <c r="BC44" i="8"/>
  <c r="AY44" i="8"/>
  <c r="AU44" i="8"/>
  <c r="AQ44" i="8"/>
  <c r="AM44" i="8"/>
  <c r="AG44" i="8"/>
  <c r="AC44" i="8"/>
  <c r="Y44" i="8"/>
  <c r="U44" i="8"/>
  <c r="EV43" i="8"/>
  <c r="ER43" i="8"/>
  <c r="EN43" i="8"/>
  <c r="EJ43" i="8"/>
  <c r="EF43" i="8"/>
  <c r="EB43" i="8"/>
  <c r="DX43" i="8"/>
  <c r="DT43" i="8"/>
  <c r="DN43" i="8"/>
  <c r="DJ43" i="8"/>
  <c r="DF43" i="8"/>
  <c r="DB43" i="8"/>
  <c r="CX43" i="8"/>
  <c r="CT43" i="8"/>
  <c r="CP43" i="8"/>
  <c r="CL43" i="8"/>
  <c r="CF43" i="8"/>
  <c r="CB43" i="8"/>
  <c r="BX43" i="8"/>
  <c r="BT43" i="8"/>
  <c r="BP43" i="8"/>
  <c r="BL43" i="8"/>
  <c r="BH43" i="8"/>
  <c r="BD43" i="8"/>
  <c r="AX43" i="8"/>
  <c r="AT43" i="8"/>
  <c r="AP43" i="8"/>
  <c r="AL43" i="8"/>
  <c r="AH43" i="8"/>
  <c r="AD43" i="8"/>
  <c r="Z43" i="8"/>
  <c r="V43" i="8"/>
  <c r="EW42" i="8"/>
  <c r="ES42" i="8"/>
  <c r="EO42" i="8"/>
  <c r="EK42" i="8"/>
  <c r="EE42" i="8"/>
  <c r="EA42" i="8"/>
  <c r="DW42" i="8"/>
  <c r="DS42" i="8"/>
  <c r="DO42" i="8"/>
  <c r="DK42" i="8"/>
  <c r="DG42" i="8"/>
  <c r="DC42" i="8"/>
  <c r="CW42" i="8"/>
  <c r="CS42" i="8"/>
  <c r="CO42" i="8"/>
  <c r="CK42" i="8"/>
  <c r="CG42" i="8"/>
  <c r="CC42" i="8"/>
  <c r="BY42" i="8"/>
  <c r="BU42" i="8"/>
  <c r="BO42" i="8"/>
  <c r="BK42" i="8"/>
  <c r="BG42" i="8"/>
  <c r="BC42" i="8"/>
  <c r="AY42" i="8"/>
  <c r="AU42" i="8"/>
  <c r="AQ42" i="8"/>
  <c r="AM42" i="8"/>
  <c r="AG42" i="8"/>
  <c r="AC42" i="8"/>
  <c r="Y42" i="8"/>
  <c r="U42" i="8"/>
  <c r="EV41" i="8"/>
  <c r="ER41" i="8"/>
  <c r="EN41" i="8"/>
  <c r="EJ41" i="8"/>
  <c r="EF41" i="8"/>
  <c r="EB41" i="8"/>
  <c r="DX41" i="8"/>
  <c r="DT41" i="8"/>
  <c r="DN41" i="8"/>
  <c r="DJ41" i="8"/>
  <c r="DF41" i="8"/>
  <c r="DB41" i="8"/>
  <c r="CX41" i="8"/>
  <c r="CT41" i="8"/>
  <c r="CP41" i="8"/>
  <c r="CL41" i="8"/>
  <c r="CF41" i="8"/>
  <c r="CB41" i="8"/>
  <c r="BX41" i="8"/>
  <c r="BN63" i="8"/>
  <c r="BF63" i="8"/>
  <c r="AX63" i="8"/>
  <c r="AP63" i="8"/>
  <c r="AH63" i="8"/>
  <c r="Z63" i="8"/>
  <c r="EU62" i="8"/>
  <c r="EM62" i="8"/>
  <c r="EE62" i="8"/>
  <c r="DW62" i="8"/>
  <c r="DO62" i="8"/>
  <c r="DG62" i="8"/>
  <c r="CU62" i="8"/>
  <c r="CM62" i="8"/>
  <c r="CE62" i="8"/>
  <c r="BW62" i="8"/>
  <c r="BO62" i="8"/>
  <c r="BG62" i="8"/>
  <c r="AY62" i="8"/>
  <c r="AQ62" i="8"/>
  <c r="AE62" i="8"/>
  <c r="W62" i="8"/>
  <c r="EV61" i="8"/>
  <c r="EN61" i="8"/>
  <c r="EF61" i="8"/>
  <c r="DX61" i="8"/>
  <c r="DL61" i="8"/>
  <c r="DD61" i="8"/>
  <c r="CV61" i="8"/>
  <c r="CN61" i="8"/>
  <c r="CF61" i="8"/>
  <c r="BX61" i="8"/>
  <c r="BP61" i="8"/>
  <c r="BH61" i="8"/>
  <c r="AV61" i="8"/>
  <c r="AN61" i="8"/>
  <c r="AF61" i="8"/>
  <c r="X61" i="8"/>
  <c r="EW60" i="8"/>
  <c r="EO60" i="8"/>
  <c r="EC60" i="8"/>
  <c r="DU60" i="8"/>
  <c r="DM60" i="8"/>
  <c r="DE60" i="8"/>
  <c r="CW60" i="8"/>
  <c r="CO60" i="8"/>
  <c r="CG60" i="8"/>
  <c r="BY60" i="8"/>
  <c r="BM60" i="8"/>
  <c r="BE60" i="8"/>
  <c r="AW60" i="8"/>
  <c r="AO60" i="8"/>
  <c r="AG60" i="8"/>
  <c r="Y60" i="8"/>
  <c r="ET59" i="8"/>
  <c r="EL59" i="8"/>
  <c r="ED59" i="8"/>
  <c r="DV59" i="8"/>
  <c r="DN59" i="8"/>
  <c r="DF59" i="8"/>
  <c r="CX59" i="8"/>
  <c r="CP59" i="8"/>
  <c r="CD59" i="8"/>
  <c r="BV59" i="8"/>
  <c r="BN59" i="8"/>
  <c r="BF59" i="8"/>
  <c r="BA59" i="8"/>
  <c r="AW59" i="8"/>
  <c r="AS59" i="8"/>
  <c r="AO59" i="8"/>
  <c r="AK59" i="8"/>
  <c r="AE59" i="8"/>
  <c r="AA59" i="8"/>
  <c r="W59" i="8"/>
  <c r="S59" i="8"/>
  <c r="ET58" i="8"/>
  <c r="EP58" i="8"/>
  <c r="EL58" i="8"/>
  <c r="EH58" i="8"/>
  <c r="ED58" i="8"/>
  <c r="DZ58" i="8"/>
  <c r="DV58" i="8"/>
  <c r="DR58" i="8"/>
  <c r="DL58" i="8"/>
  <c r="DH58" i="8"/>
  <c r="DD58" i="8"/>
  <c r="CZ58" i="8"/>
  <c r="CV58" i="8"/>
  <c r="CR58" i="8"/>
  <c r="CN58" i="8"/>
  <c r="CJ58" i="8"/>
  <c r="CD58" i="8"/>
  <c r="BZ58" i="8"/>
  <c r="BV58" i="8"/>
  <c r="BR58" i="8"/>
  <c r="BN58" i="8"/>
  <c r="BJ58" i="8"/>
  <c r="BF58" i="8"/>
  <c r="BB58" i="8"/>
  <c r="AV58" i="8"/>
  <c r="AR58" i="8"/>
  <c r="AN58" i="8"/>
  <c r="AJ58" i="8"/>
  <c r="AF58" i="8"/>
  <c r="AB58" i="8"/>
  <c r="X58" i="8"/>
  <c r="T58" i="8"/>
  <c r="EU57" i="8"/>
  <c r="EQ57" i="8"/>
  <c r="EM57" i="8"/>
  <c r="EI57" i="8"/>
  <c r="EC57" i="8"/>
  <c r="DY57" i="8"/>
  <c r="DU57" i="8"/>
  <c r="DQ57" i="8"/>
  <c r="DM57" i="8"/>
  <c r="DI57" i="8"/>
  <c r="DE57" i="8"/>
  <c r="DA57" i="8"/>
  <c r="CU57" i="8"/>
  <c r="CQ57" i="8"/>
  <c r="CM57" i="8"/>
  <c r="CI57" i="8"/>
  <c r="CE57" i="8"/>
  <c r="CA57" i="8"/>
  <c r="BW57" i="8"/>
  <c r="BS57" i="8"/>
  <c r="BM57" i="8"/>
  <c r="BI57" i="8"/>
  <c r="BE57" i="8"/>
  <c r="BA57" i="8"/>
  <c r="AW57" i="8"/>
  <c r="AS57" i="8"/>
  <c r="AO57" i="8"/>
  <c r="AK57" i="8"/>
  <c r="AE57" i="8"/>
  <c r="AA57" i="8"/>
  <c r="W57" i="8"/>
  <c r="S57" i="8"/>
  <c r="ET56" i="8"/>
  <c r="EP56" i="8"/>
  <c r="EL56" i="8"/>
  <c r="EH56" i="8"/>
  <c r="ED56" i="8"/>
  <c r="DZ56" i="8"/>
  <c r="DV56" i="8"/>
  <c r="DR56" i="8"/>
  <c r="DL56" i="8"/>
  <c r="DH56" i="8"/>
  <c r="DD56" i="8"/>
  <c r="CZ56" i="8"/>
  <c r="CV56" i="8"/>
  <c r="CR56" i="8"/>
  <c r="CN56" i="8"/>
  <c r="CJ56" i="8"/>
  <c r="CD56" i="8"/>
  <c r="BZ56" i="8"/>
  <c r="BV56" i="8"/>
  <c r="BR56" i="8"/>
  <c r="BN56" i="8"/>
  <c r="BJ56" i="8"/>
  <c r="BF56" i="8"/>
  <c r="BB56" i="8"/>
  <c r="AV56" i="8"/>
  <c r="AR56" i="8"/>
  <c r="AN56" i="8"/>
  <c r="AJ56" i="8"/>
  <c r="AF56" i="8"/>
  <c r="AB56" i="8"/>
  <c r="X56" i="8"/>
  <c r="T56" i="8"/>
  <c r="EU55" i="8"/>
  <c r="EQ55" i="8"/>
  <c r="EM55" i="8"/>
  <c r="EI55" i="8"/>
  <c r="EC55" i="8"/>
  <c r="DY55" i="8"/>
  <c r="DU55" i="8"/>
  <c r="DQ55" i="8"/>
  <c r="DM55" i="8"/>
  <c r="DI55" i="8"/>
  <c r="DE55" i="8"/>
  <c r="DA55" i="8"/>
  <c r="CU55" i="8"/>
  <c r="CQ55" i="8"/>
  <c r="CM55" i="8"/>
  <c r="CI55" i="8"/>
  <c r="CE55" i="8"/>
  <c r="CA55" i="8"/>
  <c r="BW55" i="8"/>
  <c r="BS55" i="8"/>
  <c r="BM55" i="8"/>
  <c r="BI55" i="8"/>
  <c r="BE55" i="8"/>
  <c r="BA55" i="8"/>
  <c r="AW55" i="8"/>
  <c r="AS55" i="8"/>
  <c r="AO55" i="8"/>
  <c r="AK55" i="8"/>
  <c r="AE55" i="8"/>
  <c r="AA55" i="8"/>
  <c r="W55" i="8"/>
  <c r="S55" i="8"/>
  <c r="ET54" i="8"/>
  <c r="EP54" i="8"/>
  <c r="EL54" i="8"/>
  <c r="EH54" i="8"/>
  <c r="ED54" i="8"/>
  <c r="DZ54" i="8"/>
  <c r="DV54" i="8"/>
  <c r="DR54" i="8"/>
  <c r="DL54" i="8"/>
  <c r="DH54" i="8"/>
  <c r="DD54" i="8"/>
  <c r="CZ54" i="8"/>
  <c r="CV54" i="8"/>
  <c r="CR54" i="8"/>
  <c r="CN54" i="8"/>
  <c r="CJ54" i="8"/>
  <c r="CD54" i="8"/>
  <c r="BZ54" i="8"/>
  <c r="BV54" i="8"/>
  <c r="BR54" i="8"/>
  <c r="BN54" i="8"/>
  <c r="BJ54" i="8"/>
  <c r="BF54" i="8"/>
  <c r="BB54" i="8"/>
  <c r="AV54" i="8"/>
  <c r="AR54" i="8"/>
  <c r="AN54" i="8"/>
  <c r="AJ54" i="8"/>
  <c r="AF54" i="8"/>
  <c r="AB54" i="8"/>
  <c r="X54" i="8"/>
  <c r="T54" i="8"/>
  <c r="EU53" i="8"/>
  <c r="EQ53" i="8"/>
  <c r="EM53" i="8"/>
  <c r="EI53" i="8"/>
  <c r="EC53" i="8"/>
  <c r="DY53" i="8"/>
  <c r="DU53" i="8"/>
  <c r="DQ53" i="8"/>
  <c r="DM53" i="8"/>
  <c r="DI53" i="8"/>
  <c r="DE53" i="8"/>
  <c r="DA53" i="8"/>
  <c r="CU53" i="8"/>
  <c r="CQ53" i="8"/>
  <c r="CM53" i="8"/>
  <c r="CI53" i="8"/>
  <c r="CE53" i="8"/>
  <c r="CA53" i="8"/>
  <c r="BW53" i="8"/>
  <c r="BS53" i="8"/>
  <c r="BM53" i="8"/>
  <c r="BI53" i="8"/>
  <c r="BE53" i="8"/>
  <c r="BA53" i="8"/>
  <c r="AW53" i="8"/>
  <c r="AS53" i="8"/>
  <c r="AO53" i="8"/>
  <c r="AK53" i="8"/>
  <c r="AE53" i="8"/>
  <c r="AA53" i="8"/>
  <c r="W53" i="8"/>
  <c r="S53" i="8"/>
  <c r="ET52" i="8"/>
  <c r="EP52" i="8"/>
  <c r="EL52" i="8"/>
  <c r="EH52" i="8"/>
  <c r="ED52" i="8"/>
  <c r="DZ52" i="8"/>
  <c r="DV52" i="8"/>
  <c r="DR52" i="8"/>
  <c r="DL52" i="8"/>
  <c r="DH52" i="8"/>
  <c r="DD52" i="8"/>
  <c r="CZ52" i="8"/>
  <c r="CV52" i="8"/>
  <c r="CR52" i="8"/>
  <c r="CN52" i="8"/>
  <c r="CJ52" i="8"/>
  <c r="CD52" i="8"/>
  <c r="BZ52" i="8"/>
  <c r="BV52" i="8"/>
  <c r="BR52" i="8"/>
  <c r="BN52" i="8"/>
  <c r="BJ52" i="8"/>
  <c r="BF52" i="8"/>
  <c r="BB52" i="8"/>
  <c r="AV52" i="8"/>
  <c r="AR52" i="8"/>
  <c r="AN52" i="8"/>
  <c r="AJ52" i="8"/>
  <c r="AF52" i="8"/>
  <c r="AB52" i="8"/>
  <c r="X52" i="8"/>
  <c r="T52" i="8"/>
  <c r="EU51" i="8"/>
  <c r="EQ51" i="8"/>
  <c r="EM51" i="8"/>
  <c r="EI51" i="8"/>
  <c r="EC51" i="8"/>
  <c r="DY51" i="8"/>
  <c r="DU51" i="8"/>
  <c r="DQ51" i="8"/>
  <c r="DM51" i="8"/>
  <c r="DI51" i="8"/>
  <c r="DE51" i="8"/>
  <c r="DA51" i="8"/>
  <c r="CU51" i="8"/>
  <c r="CQ51" i="8"/>
  <c r="CM51" i="8"/>
  <c r="CI51" i="8"/>
  <c r="CE51" i="8"/>
  <c r="CA51" i="8"/>
  <c r="BW51" i="8"/>
  <c r="BS51" i="8"/>
  <c r="BM51" i="8"/>
  <c r="BI51" i="8"/>
  <c r="BE51" i="8"/>
  <c r="BA51" i="8"/>
  <c r="AW51" i="8"/>
  <c r="AS51" i="8"/>
  <c r="AO51" i="8"/>
  <c r="AK51" i="8"/>
  <c r="AE51" i="8"/>
  <c r="AA51" i="8"/>
  <c r="W51" i="8"/>
  <c r="S51" i="8"/>
  <c r="ET50" i="8"/>
  <c r="EP50" i="8"/>
  <c r="EL50" i="8"/>
  <c r="EH50" i="8"/>
  <c r="ED50" i="8"/>
  <c r="DZ50" i="8"/>
  <c r="DV50" i="8"/>
  <c r="DR50" i="8"/>
  <c r="DL50" i="8"/>
  <c r="DH50" i="8"/>
  <c r="DD50" i="8"/>
  <c r="CZ50" i="8"/>
  <c r="CV50" i="8"/>
  <c r="CR50" i="8"/>
  <c r="CN50" i="8"/>
  <c r="CJ50" i="8"/>
  <c r="CD50" i="8"/>
  <c r="BZ50" i="8"/>
  <c r="BV50" i="8"/>
  <c r="BR50" i="8"/>
  <c r="BN50" i="8"/>
  <c r="BJ50" i="8"/>
  <c r="BF50" i="8"/>
  <c r="BB50" i="8"/>
  <c r="AV50" i="8"/>
  <c r="AR50" i="8"/>
  <c r="AN50" i="8"/>
  <c r="AJ50" i="8"/>
  <c r="AF50" i="8"/>
  <c r="AB50" i="8"/>
  <c r="X50" i="8"/>
  <c r="T50" i="8"/>
  <c r="EU49" i="8"/>
  <c r="EQ49" i="8"/>
  <c r="EM49" i="8"/>
  <c r="EI49" i="8"/>
  <c r="EC49" i="8"/>
  <c r="DY49" i="8"/>
  <c r="DU49" i="8"/>
  <c r="DQ49" i="8"/>
  <c r="DM49" i="8"/>
  <c r="DI49" i="8"/>
  <c r="DE49" i="8"/>
  <c r="DA49" i="8"/>
  <c r="CU49" i="8"/>
  <c r="CQ49" i="8"/>
  <c r="CM49" i="8"/>
  <c r="CI49" i="8"/>
  <c r="CE49" i="8"/>
  <c r="CA49" i="8"/>
  <c r="BW49" i="8"/>
  <c r="BS49" i="8"/>
  <c r="BM49" i="8"/>
  <c r="BI49" i="8"/>
  <c r="BE49" i="8"/>
  <c r="BA49" i="8"/>
  <c r="AW49" i="8"/>
  <c r="AS49" i="8"/>
  <c r="AO49" i="8"/>
  <c r="AK49" i="8"/>
  <c r="AE49" i="8"/>
  <c r="AA49" i="8"/>
  <c r="W49" i="8"/>
  <c r="S49" i="8"/>
  <c r="ET48" i="8"/>
  <c r="EP48" i="8"/>
  <c r="EL48" i="8"/>
  <c r="EH48" i="8"/>
  <c r="ED48" i="8"/>
  <c r="DZ48" i="8"/>
  <c r="DV48" i="8"/>
  <c r="DR48" i="8"/>
  <c r="DL48" i="8"/>
  <c r="DH48" i="8"/>
  <c r="DD48" i="8"/>
  <c r="CZ48" i="8"/>
  <c r="CV48" i="8"/>
  <c r="CR48" i="8"/>
  <c r="CN48" i="8"/>
  <c r="CJ48" i="8"/>
  <c r="CD48" i="8"/>
  <c r="BZ48" i="8"/>
  <c r="BV48" i="8"/>
  <c r="BR48" i="8"/>
  <c r="BN48" i="8"/>
  <c r="BJ48" i="8"/>
  <c r="BF48" i="8"/>
  <c r="BB48" i="8"/>
  <c r="AV48" i="8"/>
  <c r="AR48" i="8"/>
  <c r="AN48" i="8"/>
  <c r="AJ48" i="8"/>
  <c r="AF48" i="8"/>
  <c r="AB48" i="8"/>
  <c r="X48" i="8"/>
  <c r="T48" i="8"/>
  <c r="EU47" i="8"/>
  <c r="EQ47" i="8"/>
  <c r="EM47" i="8"/>
  <c r="EI47" i="8"/>
  <c r="EC47" i="8"/>
  <c r="DY47" i="8"/>
  <c r="DU47" i="8"/>
  <c r="DQ47" i="8"/>
  <c r="DM47" i="8"/>
  <c r="DI47" i="8"/>
  <c r="DE47" i="8"/>
  <c r="DA47" i="8"/>
  <c r="CU47" i="8"/>
  <c r="CQ47" i="8"/>
  <c r="CM47" i="8"/>
  <c r="CI47" i="8"/>
  <c r="CE47" i="8"/>
  <c r="CA47" i="8"/>
  <c r="BW47" i="8"/>
  <c r="BS47" i="8"/>
  <c r="BM47" i="8"/>
  <c r="BI47" i="8"/>
  <c r="BE47" i="8"/>
  <c r="BA47" i="8"/>
  <c r="AW47" i="8"/>
  <c r="AS47" i="8"/>
  <c r="AO47" i="8"/>
  <c r="AK47" i="8"/>
  <c r="AE47" i="8"/>
  <c r="AA47" i="8"/>
  <c r="W47" i="8"/>
  <c r="S47" i="8"/>
  <c r="ET46" i="8"/>
  <c r="EP46" i="8"/>
  <c r="EL46" i="8"/>
  <c r="EH46" i="8"/>
  <c r="EB46" i="8"/>
  <c r="DT46" i="8"/>
  <c r="DH46" i="8"/>
  <c r="CZ46" i="8"/>
  <c r="CR46" i="8"/>
  <c r="CJ46" i="8"/>
  <c r="CB46" i="8"/>
  <c r="BT46" i="8"/>
  <c r="BL46" i="8"/>
  <c r="BD46" i="8"/>
  <c r="AR46" i="8"/>
  <c r="AJ46" i="8"/>
  <c r="AB46" i="8"/>
  <c r="T46" i="8"/>
  <c r="ES45" i="8"/>
  <c r="EK45" i="8"/>
  <c r="DY45" i="8"/>
  <c r="DQ45" i="8"/>
  <c r="DI45" i="8"/>
  <c r="DA45" i="8"/>
  <c r="CS45" i="8"/>
  <c r="CK45" i="8"/>
  <c r="CC45" i="8"/>
  <c r="BU45" i="8"/>
  <c r="BI45" i="8"/>
  <c r="BA45" i="8"/>
  <c r="AS45" i="8"/>
  <c r="AK45" i="8"/>
  <c r="AC45" i="8"/>
  <c r="U45" i="8"/>
  <c r="EP44" i="8"/>
  <c r="EH44" i="8"/>
  <c r="DZ44" i="8"/>
  <c r="DR44" i="8"/>
  <c r="DJ44" i="8"/>
  <c r="DB44" i="8"/>
  <c r="CT44" i="8"/>
  <c r="CL44" i="8"/>
  <c r="BZ44" i="8"/>
  <c r="BR44" i="8"/>
  <c r="BJ44" i="8"/>
  <c r="BB44" i="8"/>
  <c r="AT44" i="8"/>
  <c r="AL44" i="8"/>
  <c r="AD44" i="8"/>
  <c r="V44" i="8"/>
  <c r="EQ43" i="8"/>
  <c r="EI43" i="8"/>
  <c r="EA43" i="8"/>
  <c r="DS43" i="8"/>
  <c r="DK43" i="8"/>
  <c r="DC43" i="8"/>
  <c r="CQ43" i="8"/>
  <c r="CI43" i="8"/>
  <c r="CA43" i="8"/>
  <c r="BS43" i="8"/>
  <c r="BK43" i="8"/>
  <c r="BC43" i="8"/>
  <c r="AU43" i="8"/>
  <c r="AM43" i="8"/>
  <c r="AA43" i="8"/>
  <c r="S43" i="8"/>
  <c r="ER42" i="8"/>
  <c r="EJ42" i="8"/>
  <c r="EB42" i="8"/>
  <c r="DT42" i="8"/>
  <c r="DH42" i="8"/>
  <c r="CZ42" i="8"/>
  <c r="CR42" i="8"/>
  <c r="CJ42" i="8"/>
  <c r="CB42" i="8"/>
  <c r="BT42" i="8"/>
  <c r="BL42" i="8"/>
  <c r="BD42" i="8"/>
  <c r="AR42" i="8"/>
  <c r="AJ42" i="8"/>
  <c r="AB42" i="8"/>
  <c r="T42" i="8"/>
  <c r="ES41" i="8"/>
  <c r="EK41" i="8"/>
  <c r="DY41" i="8"/>
  <c r="DQ41" i="8"/>
  <c r="DI41" i="8"/>
  <c r="DA41" i="8"/>
  <c r="CS41" i="8"/>
  <c r="CK41" i="8"/>
  <c r="CC41" i="8"/>
  <c r="BU41" i="8"/>
  <c r="BO41" i="8"/>
  <c r="BK41" i="8"/>
  <c r="BG41" i="8"/>
  <c r="BC41" i="8"/>
  <c r="AY41" i="8"/>
  <c r="AU41" i="8"/>
  <c r="AQ41" i="8"/>
  <c r="AM41" i="8"/>
  <c r="AG41" i="8"/>
  <c r="AC41" i="8"/>
  <c r="Y41" i="8"/>
  <c r="U41" i="8"/>
  <c r="EV40" i="8"/>
  <c r="ER40" i="8"/>
  <c r="EN40" i="8"/>
  <c r="EJ40" i="8"/>
  <c r="EF40" i="8"/>
  <c r="EB40" i="8"/>
  <c r="DX40" i="8"/>
  <c r="DT40" i="8"/>
  <c r="DN40" i="8"/>
  <c r="DJ40" i="8"/>
  <c r="DF40" i="8"/>
  <c r="DB40" i="8"/>
  <c r="CX40" i="8"/>
  <c r="CT40" i="8"/>
  <c r="CP40" i="8"/>
  <c r="CL40" i="8"/>
  <c r="CF40" i="8"/>
  <c r="CB40" i="8"/>
  <c r="BX40" i="8"/>
  <c r="BT40" i="8"/>
  <c r="BP40" i="8"/>
  <c r="BL40" i="8"/>
  <c r="BH40" i="8"/>
  <c r="BD40" i="8"/>
  <c r="AX40" i="8"/>
  <c r="AT40" i="8"/>
  <c r="AP40" i="8"/>
  <c r="AL40" i="8"/>
  <c r="AH40" i="8"/>
  <c r="AD40" i="8"/>
  <c r="Z40" i="8"/>
  <c r="V40" i="8"/>
  <c r="EW39" i="8"/>
  <c r="ES39" i="8"/>
  <c r="EO39" i="8"/>
  <c r="EK39" i="8"/>
  <c r="EE39" i="8"/>
  <c r="EA39" i="8"/>
  <c r="DW39" i="8"/>
  <c r="DS39" i="8"/>
  <c r="DO39" i="8"/>
  <c r="DK39" i="8"/>
  <c r="DG39" i="8"/>
  <c r="DC39" i="8"/>
  <c r="CW39" i="8"/>
  <c r="CS39" i="8"/>
  <c r="CO39" i="8"/>
  <c r="CK39" i="8"/>
  <c r="CG39" i="8"/>
  <c r="CC39" i="8"/>
  <c r="BY39" i="8"/>
  <c r="BU39" i="8"/>
  <c r="BO39" i="8"/>
  <c r="BK39" i="8"/>
  <c r="BG39" i="8"/>
  <c r="BC39" i="8"/>
  <c r="AY39" i="8"/>
  <c r="AU39" i="8"/>
  <c r="AQ39" i="8"/>
  <c r="AM39" i="8"/>
  <c r="AG39" i="8"/>
  <c r="AC39" i="8"/>
  <c r="Y39" i="8"/>
  <c r="U39" i="8"/>
  <c r="EV38" i="8"/>
  <c r="ER38" i="8"/>
  <c r="EN38" i="8"/>
  <c r="EJ38" i="8"/>
  <c r="EF38" i="8"/>
  <c r="EB38" i="8"/>
  <c r="DX38" i="8"/>
  <c r="DT38" i="8"/>
  <c r="DN38" i="8"/>
  <c r="DJ38" i="8"/>
  <c r="DF38" i="8"/>
  <c r="DB38" i="8"/>
  <c r="CX38" i="8"/>
  <c r="CT38" i="8"/>
  <c r="CP38" i="8"/>
  <c r="CL38" i="8"/>
  <c r="CF38" i="8"/>
  <c r="CB38" i="8"/>
  <c r="BX38" i="8"/>
  <c r="BT38" i="8"/>
  <c r="BP38" i="8"/>
  <c r="BL38" i="8"/>
  <c r="BH38" i="8"/>
  <c r="BD38" i="8"/>
  <c r="AX38" i="8"/>
  <c r="AT38" i="8"/>
  <c r="AP38" i="8"/>
  <c r="AL38" i="8"/>
  <c r="AH38" i="8"/>
  <c r="AD38" i="8"/>
  <c r="Z38" i="8"/>
  <c r="V38" i="8"/>
  <c r="EW37" i="8"/>
  <c r="ES37" i="8"/>
  <c r="EO37" i="8"/>
  <c r="EK37" i="8"/>
  <c r="EE37" i="8"/>
  <c r="EA37" i="8"/>
  <c r="DW37" i="8"/>
  <c r="DS37" i="8"/>
  <c r="DO37" i="8"/>
  <c r="DK37" i="8"/>
  <c r="DG37" i="8"/>
  <c r="DC37" i="8"/>
  <c r="CW37" i="8"/>
  <c r="CS37" i="8"/>
  <c r="CO37" i="8"/>
  <c r="CK37" i="8"/>
  <c r="CG37" i="8"/>
  <c r="CC37" i="8"/>
  <c r="BY37" i="8"/>
  <c r="BU37" i="8"/>
  <c r="BO37" i="8"/>
  <c r="BK37" i="8"/>
  <c r="BG37" i="8"/>
  <c r="BC37" i="8"/>
  <c r="AY37" i="8"/>
  <c r="AU37" i="8"/>
  <c r="AQ37" i="8"/>
  <c r="AM37" i="8"/>
  <c r="AG37" i="8"/>
  <c r="AC37" i="8"/>
  <c r="Y37" i="8"/>
  <c r="U37" i="8"/>
  <c r="EV36" i="8"/>
  <c r="ER36" i="8"/>
  <c r="EN36" i="8"/>
  <c r="EJ36" i="8"/>
  <c r="EF36" i="8"/>
  <c r="EB36" i="8"/>
  <c r="DX36" i="8"/>
  <c r="DT36" i="8"/>
  <c r="DN36" i="8"/>
  <c r="DJ36" i="8"/>
  <c r="DF36" i="8"/>
  <c r="DB36" i="8"/>
  <c r="CX36" i="8"/>
  <c r="CT36" i="8"/>
  <c r="CP36" i="8"/>
  <c r="CL36" i="8"/>
  <c r="CF36" i="8"/>
  <c r="CB36" i="8"/>
  <c r="BX36" i="8"/>
  <c r="BT36" i="8"/>
  <c r="BP36" i="8"/>
  <c r="BL36" i="8"/>
  <c r="BH36" i="8"/>
  <c r="BD36" i="8"/>
  <c r="AX36" i="8"/>
  <c r="AT36" i="8"/>
  <c r="AP36" i="8"/>
  <c r="AL36" i="8"/>
  <c r="AH36" i="8"/>
  <c r="AD36" i="8"/>
  <c r="Z36" i="8"/>
  <c r="V36" i="8"/>
  <c r="EW35" i="8"/>
  <c r="ES35" i="8"/>
  <c r="EO35" i="8"/>
  <c r="EK35" i="8"/>
  <c r="EE35" i="8"/>
  <c r="EA35" i="8"/>
  <c r="DW35" i="8"/>
  <c r="DS35" i="8"/>
  <c r="DO35" i="8"/>
  <c r="DK35" i="8"/>
  <c r="DG35" i="8"/>
  <c r="DC35" i="8"/>
  <c r="CW35" i="8"/>
  <c r="CS35" i="8"/>
  <c r="CO35" i="8"/>
  <c r="CK35" i="8"/>
  <c r="CG35" i="8"/>
  <c r="CC35" i="8"/>
  <c r="BY35" i="8"/>
  <c r="BU35" i="8"/>
  <c r="BO35" i="8"/>
  <c r="BK35" i="8"/>
  <c r="BG35" i="8"/>
  <c r="BC35" i="8"/>
  <c r="AY35" i="8"/>
  <c r="AU35" i="8"/>
  <c r="AQ35" i="8"/>
  <c r="AM35" i="8"/>
  <c r="AG35" i="8"/>
  <c r="AC35" i="8"/>
  <c r="Y35" i="8"/>
  <c r="U35" i="8"/>
  <c r="EV34" i="8"/>
  <c r="ER34" i="8"/>
  <c r="EN34" i="8"/>
  <c r="EJ34" i="8"/>
  <c r="EF34" i="8"/>
  <c r="EB34" i="8"/>
  <c r="DX34" i="8"/>
  <c r="DT34" i="8"/>
  <c r="DN34" i="8"/>
  <c r="DJ34" i="8"/>
  <c r="DF34" i="8"/>
  <c r="DB34" i="8"/>
  <c r="CX34" i="8"/>
  <c r="CT34" i="8"/>
  <c r="CP34" i="8"/>
  <c r="CL34" i="8"/>
  <c r="CF34" i="8"/>
  <c r="CB34" i="8"/>
  <c r="BX34" i="8"/>
  <c r="BT34" i="8"/>
  <c r="BP34" i="8"/>
  <c r="BL34" i="8"/>
  <c r="BH34" i="8"/>
  <c r="BD34" i="8"/>
  <c r="AX34" i="8"/>
  <c r="AT34" i="8"/>
  <c r="AP34" i="8"/>
  <c r="AL34" i="8"/>
  <c r="AH34" i="8"/>
  <c r="AD34" i="8"/>
  <c r="Z34" i="8"/>
  <c r="V34" i="8"/>
  <c r="EW33" i="8"/>
  <c r="ES33" i="8"/>
  <c r="EO33" i="8"/>
  <c r="EK33" i="8"/>
  <c r="EE33" i="8"/>
  <c r="EA33" i="8"/>
  <c r="DW33" i="8"/>
  <c r="DS33" i="8"/>
  <c r="DO33" i="8"/>
  <c r="DK33" i="8"/>
  <c r="DG33" i="8"/>
  <c r="DC33" i="8"/>
  <c r="CW33" i="8"/>
  <c r="CS33" i="8"/>
  <c r="CO33" i="8"/>
  <c r="CK33" i="8"/>
  <c r="CG33" i="8"/>
  <c r="CC33" i="8"/>
  <c r="BY33" i="8"/>
  <c r="BU33" i="8"/>
  <c r="BO33" i="8"/>
  <c r="BK33" i="8"/>
  <c r="BG33" i="8"/>
  <c r="BC33" i="8"/>
  <c r="AY33" i="8"/>
  <c r="AU33" i="8"/>
  <c r="AQ33" i="8"/>
  <c r="AM33" i="8"/>
  <c r="AG33" i="8"/>
  <c r="AC33" i="8"/>
  <c r="Y33" i="8"/>
  <c r="U33" i="8"/>
  <c r="EV32" i="8"/>
  <c r="ER32" i="8"/>
  <c r="EN32" i="8"/>
  <c r="EJ32" i="8"/>
  <c r="EF32" i="8"/>
  <c r="EB32" i="8"/>
  <c r="DX32" i="8"/>
  <c r="DT32" i="8"/>
  <c r="DN32" i="8"/>
  <c r="DJ32" i="8"/>
  <c r="DF32" i="8"/>
  <c r="DB32" i="8"/>
  <c r="CX32" i="8"/>
  <c r="CT32" i="8"/>
  <c r="CP32" i="8"/>
  <c r="CL32" i="8"/>
  <c r="CF32" i="8"/>
  <c r="CB32" i="8"/>
  <c r="BX32" i="8"/>
  <c r="BT32" i="8"/>
  <c r="BP32" i="8"/>
  <c r="BL32" i="8"/>
  <c r="BH32" i="8"/>
  <c r="BD32" i="8"/>
  <c r="AX32" i="8"/>
  <c r="AT32" i="8"/>
  <c r="AP32" i="8"/>
  <c r="AL32" i="8"/>
  <c r="AH32" i="8"/>
  <c r="AD32" i="8"/>
  <c r="Z32" i="8"/>
  <c r="V32" i="8"/>
  <c r="EW31" i="8"/>
  <c r="ES31" i="8"/>
  <c r="EO31" i="8"/>
  <c r="EK31" i="8"/>
  <c r="EE31" i="8"/>
  <c r="EA31" i="8"/>
  <c r="DW31" i="8"/>
  <c r="DS31" i="8"/>
  <c r="DO31" i="8"/>
  <c r="DK31" i="8"/>
  <c r="DG31" i="8"/>
  <c r="DC31" i="8"/>
  <c r="CW31" i="8"/>
  <c r="CS31" i="8"/>
  <c r="CO31" i="8"/>
  <c r="CK31" i="8"/>
  <c r="CG31" i="8"/>
  <c r="CC31" i="8"/>
  <c r="BY31" i="8"/>
  <c r="BU31" i="8"/>
  <c r="BO31" i="8"/>
  <c r="BK31" i="8"/>
  <c r="BG31" i="8"/>
  <c r="BC31" i="8"/>
  <c r="AY31" i="8"/>
  <c r="AU31" i="8"/>
  <c r="AQ31" i="8"/>
  <c r="AM31" i="8"/>
  <c r="AG31" i="8"/>
  <c r="AC31" i="8"/>
  <c r="Y31" i="8"/>
  <c r="U31" i="8"/>
  <c r="EW30" i="8"/>
  <c r="ES30" i="8"/>
  <c r="EO30" i="8"/>
  <c r="EK30" i="8"/>
  <c r="EE30" i="8"/>
  <c r="EA30" i="8"/>
  <c r="DW30" i="8"/>
  <c r="DS30" i="8"/>
  <c r="DO30" i="8"/>
  <c r="DK30" i="8"/>
  <c r="DG30" i="8"/>
  <c r="DC30" i="8"/>
  <c r="CW30" i="8"/>
  <c r="CS30" i="8"/>
  <c r="CO30" i="8"/>
  <c r="CK30" i="8"/>
  <c r="CG30" i="8"/>
  <c r="CC30" i="8"/>
  <c r="BY30" i="8"/>
  <c r="BU30" i="8"/>
  <c r="BO30" i="8"/>
  <c r="BK30" i="8"/>
  <c r="BG30" i="8"/>
  <c r="BC30" i="8"/>
  <c r="AY30" i="8"/>
  <c r="AU30" i="8"/>
  <c r="AQ30" i="8"/>
  <c r="AM30" i="8"/>
  <c r="AG30" i="8"/>
  <c r="AC30" i="8"/>
  <c r="Y30" i="8"/>
  <c r="U30" i="8"/>
  <c r="EW29" i="8"/>
  <c r="ES29" i="8"/>
  <c r="EO29" i="8"/>
  <c r="EK29" i="8"/>
  <c r="EE29" i="8"/>
  <c r="EA29" i="8"/>
  <c r="DW29" i="8"/>
  <c r="DS29" i="8"/>
  <c r="DO29" i="8"/>
  <c r="DK29" i="8"/>
  <c r="DG29" i="8"/>
  <c r="DC29" i="8"/>
  <c r="CW29" i="8"/>
  <c r="CS29" i="8"/>
  <c r="CO29" i="8"/>
  <c r="CK29" i="8"/>
  <c r="CG29" i="8"/>
  <c r="CC29" i="8"/>
  <c r="BY29" i="8"/>
  <c r="BU29" i="8"/>
  <c r="BO29" i="8"/>
  <c r="BK29" i="8"/>
  <c r="BG29" i="8"/>
  <c r="BC29" i="8"/>
  <c r="AY29" i="8"/>
  <c r="AU29" i="8"/>
  <c r="AQ29" i="8"/>
  <c r="AM29" i="8"/>
  <c r="AG29" i="8"/>
  <c r="AC29" i="8"/>
  <c r="Y29" i="8"/>
  <c r="U29" i="8"/>
  <c r="EW28" i="8"/>
  <c r="ES28" i="8"/>
  <c r="EO28" i="8"/>
  <c r="EK28" i="8"/>
  <c r="EE28" i="8"/>
  <c r="EA28" i="8"/>
  <c r="DW28" i="8"/>
  <c r="DS28" i="8"/>
  <c r="DO28" i="8"/>
  <c r="DK28" i="8"/>
  <c r="DG28" i="8"/>
  <c r="DC28" i="8"/>
  <c r="CW28" i="8"/>
  <c r="CS28" i="8"/>
  <c r="CO28" i="8"/>
  <c r="CK28" i="8"/>
  <c r="CG28" i="8"/>
  <c r="CC28" i="8"/>
  <c r="BY28" i="8"/>
  <c r="BU28" i="8"/>
  <c r="BO28" i="8"/>
  <c r="BK28" i="8"/>
  <c r="BG28" i="8"/>
  <c r="BC28" i="8"/>
  <c r="AY28" i="8"/>
  <c r="AU28" i="8"/>
  <c r="AQ28" i="8"/>
  <c r="AM28" i="8"/>
  <c r="AG28" i="8"/>
  <c r="AC28" i="8"/>
  <c r="Y28" i="8"/>
  <c r="U28" i="8"/>
  <c r="EW27" i="8"/>
  <c r="ES27" i="8"/>
  <c r="EO27" i="8"/>
  <c r="EK27" i="8"/>
  <c r="EE27" i="8"/>
  <c r="EA27" i="8"/>
  <c r="DW27" i="8"/>
  <c r="DS27" i="8"/>
  <c r="DO27" i="8"/>
  <c r="DK27" i="8"/>
  <c r="DG27" i="8"/>
  <c r="DC27" i="8"/>
  <c r="CW27" i="8"/>
  <c r="CS27" i="8"/>
  <c r="CO27" i="8"/>
  <c r="CK27" i="8"/>
  <c r="CG27" i="8"/>
  <c r="CC27" i="8"/>
  <c r="BY27" i="8"/>
  <c r="BU27" i="8"/>
  <c r="BO27" i="8"/>
  <c r="BK27" i="8"/>
  <c r="BG27" i="8"/>
  <c r="BC27" i="8"/>
  <c r="AY27" i="8"/>
  <c r="AU27" i="8"/>
  <c r="AQ27" i="8"/>
  <c r="AM27" i="8"/>
  <c r="AG27" i="8"/>
  <c r="AC27" i="8"/>
  <c r="Y27" i="8"/>
  <c r="U27" i="8"/>
  <c r="EV26" i="8"/>
  <c r="ER26" i="8"/>
  <c r="EN26" i="8"/>
  <c r="EJ26" i="8"/>
  <c r="EF26" i="8"/>
  <c r="EB26" i="8"/>
  <c r="DX26" i="8"/>
  <c r="DT26" i="8"/>
  <c r="DN26" i="8"/>
  <c r="DJ26" i="8"/>
  <c r="DF26" i="8"/>
  <c r="DB26" i="8"/>
  <c r="CX26" i="8"/>
  <c r="CT26" i="8"/>
  <c r="CP26" i="8"/>
  <c r="CL26" i="8"/>
  <c r="CF26" i="8"/>
  <c r="CB26" i="8"/>
  <c r="BX26" i="8"/>
  <c r="BT26" i="8"/>
  <c r="BP26" i="8"/>
  <c r="BL26" i="8"/>
  <c r="BH26" i="8"/>
  <c r="BD26" i="8"/>
  <c r="AX26" i="8"/>
  <c r="AT26" i="8"/>
  <c r="AP26" i="8"/>
  <c r="AL26" i="8"/>
  <c r="AH26" i="8"/>
  <c r="AD26" i="8"/>
  <c r="Z26" i="8"/>
  <c r="V26" i="8"/>
  <c r="EW25" i="8"/>
  <c r="ES25" i="8"/>
  <c r="EO25" i="8"/>
  <c r="EK25" i="8"/>
  <c r="EE25" i="8"/>
  <c r="EA25" i="8"/>
  <c r="DW25" i="8"/>
  <c r="DS25" i="8"/>
  <c r="DO25" i="8"/>
  <c r="DK25" i="8"/>
  <c r="DG25" i="8"/>
  <c r="DC25" i="8"/>
  <c r="CW25" i="8"/>
  <c r="CS25" i="8"/>
  <c r="CO25" i="8"/>
  <c r="CK25" i="8"/>
  <c r="CG25" i="8"/>
  <c r="CC25" i="8"/>
  <c r="BY25" i="8"/>
  <c r="BU25" i="8"/>
  <c r="BO25" i="8"/>
  <c r="BK25" i="8"/>
  <c r="BG25" i="8"/>
  <c r="BC25" i="8"/>
  <c r="AY25" i="8"/>
  <c r="AU25" i="8"/>
  <c r="AQ25" i="8"/>
  <c r="AM25" i="8"/>
  <c r="AG25" i="8"/>
  <c r="AC25" i="8"/>
  <c r="Y25" i="8"/>
  <c r="U25" i="8"/>
  <c r="EV24" i="8"/>
  <c r="ER24" i="8"/>
  <c r="EN24" i="8"/>
  <c r="EJ24" i="8"/>
  <c r="EF24" i="8"/>
  <c r="EB24" i="8"/>
  <c r="DX24" i="8"/>
  <c r="DT24" i="8"/>
  <c r="DN24" i="8"/>
  <c r="DJ24" i="8"/>
  <c r="DF24" i="8"/>
  <c r="DB24" i="8"/>
  <c r="CX24" i="8"/>
  <c r="CT24" i="8"/>
  <c r="CP24" i="8"/>
  <c r="CL24" i="8"/>
  <c r="CF24" i="8"/>
  <c r="CB24" i="8"/>
  <c r="BX24" i="8"/>
  <c r="BT24" i="8"/>
  <c r="BP24" i="8"/>
  <c r="BL24" i="8"/>
  <c r="BH24" i="8"/>
  <c r="BD24" i="8"/>
  <c r="AX24" i="8"/>
  <c r="AT24" i="8"/>
  <c r="AP24" i="8"/>
  <c r="AL24" i="8"/>
  <c r="AH24" i="8"/>
  <c r="AD24" i="8"/>
  <c r="Z24" i="8"/>
  <c r="V24" i="8"/>
  <c r="EW23" i="8"/>
  <c r="ES23" i="8"/>
  <c r="EO23" i="8"/>
  <c r="EK23" i="8"/>
  <c r="EE23" i="8"/>
  <c r="EA23" i="8"/>
  <c r="DW23" i="8"/>
  <c r="DS23" i="8"/>
  <c r="DO23" i="8"/>
  <c r="DK23" i="8"/>
  <c r="DG23" i="8"/>
  <c r="DC23" i="8"/>
  <c r="CW23" i="8"/>
  <c r="CS23" i="8"/>
  <c r="CO23" i="8"/>
  <c r="CK23" i="8"/>
  <c r="CG23" i="8"/>
  <c r="CC23" i="8"/>
  <c r="BY23" i="8"/>
  <c r="BU23" i="8"/>
  <c r="BO23" i="8"/>
  <c r="BK23" i="8"/>
  <c r="BG23" i="8"/>
  <c r="BC23" i="8"/>
  <c r="AY23" i="8"/>
  <c r="AU23" i="8"/>
  <c r="AQ23" i="8"/>
  <c r="AM23" i="8"/>
  <c r="AG23" i="8"/>
  <c r="AC23" i="8"/>
  <c r="Y23" i="8"/>
  <c r="U23" i="8"/>
  <c r="EV22" i="8"/>
  <c r="ER22" i="8"/>
  <c r="EN22" i="8"/>
  <c r="EJ22" i="8"/>
  <c r="EF22" i="8"/>
  <c r="EB22" i="8"/>
  <c r="DX22" i="8"/>
  <c r="DT22" i="8"/>
  <c r="DN22" i="8"/>
  <c r="DJ22" i="8"/>
  <c r="DF22" i="8"/>
  <c r="DB22" i="8"/>
  <c r="CX22" i="8"/>
  <c r="CT22" i="8"/>
  <c r="CP22" i="8"/>
  <c r="CL22" i="8"/>
  <c r="CF22" i="8"/>
  <c r="CB22" i="8"/>
  <c r="BX22" i="8"/>
  <c r="BT22" i="8"/>
  <c r="BP22" i="8"/>
  <c r="BL22" i="8"/>
  <c r="BH22" i="8"/>
  <c r="BD22" i="8"/>
  <c r="AX22" i="8"/>
  <c r="AT22" i="8"/>
  <c r="AP22" i="8"/>
  <c r="AL22" i="8"/>
  <c r="AH22" i="8"/>
  <c r="AD22" i="8"/>
  <c r="Z22" i="8"/>
  <c r="V22" i="8"/>
  <c r="EW21" i="8"/>
  <c r="ES21" i="8"/>
  <c r="EO21" i="8"/>
  <c r="EK21" i="8"/>
  <c r="EE21" i="8"/>
  <c r="EA21" i="8"/>
  <c r="DW21" i="8"/>
  <c r="DS21" i="8"/>
  <c r="DO21" i="8"/>
  <c r="DK21" i="8"/>
  <c r="DG21" i="8"/>
  <c r="DC21" i="8"/>
  <c r="CW21" i="8"/>
  <c r="CS21" i="8"/>
  <c r="CO21" i="8"/>
  <c r="CK21" i="8"/>
  <c r="CG21" i="8"/>
  <c r="CC21" i="8"/>
  <c r="BY21" i="8"/>
  <c r="BU21" i="8"/>
  <c r="BO21" i="8"/>
  <c r="BK21" i="8"/>
  <c r="BG21" i="8"/>
  <c r="BC21" i="8"/>
  <c r="AY21" i="8"/>
  <c r="AU21" i="8"/>
  <c r="AQ21" i="8"/>
  <c r="AM21" i="8"/>
  <c r="AG21" i="8"/>
  <c r="AC21" i="8"/>
  <c r="Y21" i="8"/>
  <c r="U21" i="8"/>
  <c r="EV20" i="8"/>
  <c r="ER20" i="8"/>
  <c r="EN20" i="8"/>
  <c r="EJ20" i="8"/>
  <c r="EF20" i="8"/>
  <c r="EB20" i="8"/>
  <c r="DX20" i="8"/>
  <c r="DT20" i="8"/>
  <c r="DN20" i="8"/>
  <c r="DJ20" i="8"/>
  <c r="DF20" i="8"/>
  <c r="DB20" i="8"/>
  <c r="CX20" i="8"/>
  <c r="CT20" i="8"/>
  <c r="CP20" i="8"/>
  <c r="CL20" i="8"/>
  <c r="CF20" i="8"/>
  <c r="CB20" i="8"/>
  <c r="BX20" i="8"/>
  <c r="BT20" i="8"/>
  <c r="BP20" i="8"/>
  <c r="BL20" i="8"/>
  <c r="BH20" i="8"/>
  <c r="BD20" i="8"/>
  <c r="AX20" i="8"/>
  <c r="AT20" i="8"/>
  <c r="AP20" i="8"/>
  <c r="AL20" i="8"/>
  <c r="AH20" i="8"/>
  <c r="AD20" i="8"/>
  <c r="Z20" i="8"/>
  <c r="V20" i="8"/>
  <c r="EW19" i="8"/>
  <c r="ES19" i="8"/>
  <c r="EO19" i="8"/>
  <c r="EK19" i="8"/>
  <c r="EE19" i="8"/>
  <c r="EA19" i="8"/>
  <c r="DW19" i="8"/>
  <c r="DS19" i="8"/>
  <c r="DO19" i="8"/>
  <c r="DK19" i="8"/>
  <c r="DG19" i="8"/>
  <c r="DC19" i="8"/>
  <c r="CW19" i="8"/>
  <c r="CS19" i="8"/>
  <c r="CO19" i="8"/>
  <c r="CK19" i="8"/>
  <c r="CG19" i="8"/>
  <c r="CC19" i="8"/>
  <c r="BY19" i="8"/>
  <c r="BU19" i="8"/>
  <c r="BO19" i="8"/>
  <c r="BK19" i="8"/>
  <c r="BG19" i="8"/>
  <c r="BC19" i="8"/>
  <c r="AY19" i="8"/>
  <c r="AU19" i="8"/>
  <c r="AQ19" i="8"/>
  <c r="AM19" i="8"/>
  <c r="AG19" i="8"/>
  <c r="AC19" i="8"/>
  <c r="Y19" i="8"/>
  <c r="U19" i="8"/>
  <c r="EV18" i="8"/>
  <c r="ER18" i="8"/>
  <c r="EN18" i="8"/>
  <c r="EJ18" i="8"/>
  <c r="EF18" i="8"/>
  <c r="EB18" i="8"/>
  <c r="DX18" i="8"/>
  <c r="DT18" i="8"/>
  <c r="DN18" i="8"/>
  <c r="DJ18" i="8"/>
  <c r="DF18" i="8"/>
  <c r="DB18" i="8"/>
  <c r="CX18" i="8"/>
  <c r="CT18" i="8"/>
  <c r="CP18" i="8"/>
  <c r="CL18" i="8"/>
  <c r="CF18" i="8"/>
  <c r="CB18" i="8"/>
  <c r="BX18" i="8"/>
  <c r="BT18" i="8"/>
  <c r="BP18" i="8"/>
  <c r="BL18" i="8"/>
  <c r="BH18" i="8"/>
  <c r="BD18" i="8"/>
  <c r="AX18" i="8"/>
  <c r="AT18" i="8"/>
  <c r="AP18" i="8"/>
  <c r="AL18" i="8"/>
  <c r="AH18" i="8"/>
  <c r="AD18" i="8"/>
  <c r="Z18" i="8"/>
  <c r="V18" i="8"/>
  <c r="EV17" i="8"/>
  <c r="ER17" i="8"/>
  <c r="EJ17" i="8"/>
  <c r="EF17" i="8"/>
  <c r="EB17" i="8"/>
  <c r="DX17" i="8"/>
  <c r="DT17" i="8"/>
  <c r="DN17" i="8"/>
  <c r="DJ17" i="8"/>
  <c r="DF17" i="8"/>
  <c r="DB17" i="8"/>
  <c r="CX17" i="8"/>
  <c r="CT17" i="8"/>
  <c r="CP17" i="8"/>
  <c r="CL17" i="8"/>
  <c r="CF17" i="8"/>
  <c r="CB17" i="8"/>
  <c r="BX17" i="8"/>
  <c r="BT17" i="8"/>
  <c r="BP17" i="8"/>
  <c r="BL17" i="8"/>
  <c r="BH17" i="8"/>
  <c r="AT17" i="8"/>
  <c r="AH17" i="8"/>
  <c r="V17" i="8"/>
  <c r="DR46" i="8"/>
  <c r="CT46" i="8"/>
  <c r="BZ46" i="8"/>
  <c r="BB46" i="8"/>
  <c r="AL46" i="8"/>
  <c r="EQ45" i="8"/>
  <c r="EA45" i="8"/>
  <c r="DC45" i="8"/>
  <c r="CI45" i="8"/>
  <c r="BK45" i="8"/>
  <c r="AM45" i="8"/>
  <c r="S45" i="8"/>
  <c r="EJ44" i="8"/>
  <c r="DH44" i="8"/>
  <c r="CJ44" i="8"/>
  <c r="BT44" i="8"/>
  <c r="AR44" i="8"/>
  <c r="T44" i="8"/>
  <c r="EK43" i="8"/>
  <c r="DQ43" i="8"/>
  <c r="CS43" i="8"/>
  <c r="CC43" i="8"/>
  <c r="BA43" i="8"/>
  <c r="AC43" i="8"/>
  <c r="EP42" i="8"/>
  <c r="DR42" i="8"/>
  <c r="DB42" i="8"/>
  <c r="BZ42" i="8"/>
  <c r="BB42" i="8"/>
  <c r="AL42" i="8"/>
  <c r="EQ41" i="8"/>
  <c r="EA41" i="8"/>
  <c r="DC41" i="8"/>
  <c r="CI41" i="8"/>
  <c r="BP41" i="8"/>
  <c r="BH41" i="8"/>
  <c r="AT41" i="8"/>
  <c r="AL41" i="8"/>
  <c r="Z41" i="8"/>
  <c r="ES40" i="8"/>
  <c r="EK40" i="8"/>
  <c r="DW40" i="8"/>
  <c r="DK40" i="8"/>
  <c r="CW40" i="8"/>
  <c r="CO40" i="8"/>
  <c r="CC40" i="8"/>
  <c r="BO40" i="8"/>
  <c r="BG40" i="8"/>
  <c r="AU40" i="8"/>
  <c r="AM40" i="8"/>
  <c r="Y40" i="8"/>
  <c r="ER39" i="8"/>
  <c r="EJ39" i="8"/>
  <c r="DX39" i="8"/>
  <c r="DJ39" i="8"/>
  <c r="DB39" i="8"/>
  <c r="CP39" i="8"/>
  <c r="CF39" i="8"/>
  <c r="BT39" i="8"/>
  <c r="BL39" i="8"/>
  <c r="AX39" i="8"/>
  <c r="AP39" i="8"/>
  <c r="AD39" i="8"/>
  <c r="V39" i="8"/>
  <c r="EO38" i="8"/>
  <c r="EA38" i="8"/>
  <c r="DS38" i="8"/>
  <c r="DG38" i="8"/>
  <c r="CW38" i="8"/>
  <c r="CK38" i="8"/>
  <c r="BY38" i="8"/>
  <c r="BO38" i="8"/>
  <c r="BC38" i="8"/>
  <c r="AQ38" i="8"/>
  <c r="AG38" i="8"/>
  <c r="U38" i="8"/>
  <c r="ER37" i="8"/>
  <c r="EF37" i="8"/>
  <c r="DX37" i="8"/>
  <c r="DJ37" i="8"/>
  <c r="CX37" i="8"/>
  <c r="CP37" i="8"/>
  <c r="CB37" i="8"/>
  <c r="BT37" i="8"/>
  <c r="BH37" i="8"/>
  <c r="AX37" i="8"/>
  <c r="AL37" i="8"/>
  <c r="Z37" i="8"/>
  <c r="EW36" i="8"/>
  <c r="EK36" i="8"/>
  <c r="DW36" i="8"/>
  <c r="DO36" i="8"/>
  <c r="DC36" i="8"/>
  <c r="CO36" i="8"/>
  <c r="CG36" i="8"/>
  <c r="BU36" i="8"/>
  <c r="BG36" i="8"/>
  <c r="AU36" i="8"/>
  <c r="AM36" i="8"/>
  <c r="Y36" i="8"/>
  <c r="ER35" i="8"/>
  <c r="EJ35" i="8"/>
  <c r="DX35" i="8"/>
  <c r="DN35" i="8"/>
  <c r="DB35" i="8"/>
  <c r="CT35" i="8"/>
  <c r="CF35" i="8"/>
  <c r="BT35" i="8"/>
  <c r="BL35" i="8"/>
  <c r="AX35" i="8"/>
  <c r="AP35" i="8"/>
  <c r="AD35" i="8"/>
  <c r="V35" i="8"/>
  <c r="EO34" i="8"/>
  <c r="EA34" i="8"/>
  <c r="DO34" i="8"/>
  <c r="DG34" i="8"/>
  <c r="CS34" i="8"/>
  <c r="CK34" i="8"/>
  <c r="BY34" i="8"/>
  <c r="BO34" i="8"/>
  <c r="BC34" i="8"/>
  <c r="AQ34" i="8"/>
  <c r="AG34" i="8"/>
  <c r="U34" i="8"/>
  <c r="DF33" i="8"/>
  <c r="CX33" i="8"/>
  <c r="CP33" i="8"/>
  <c r="CF33" i="8"/>
  <c r="BT33" i="8"/>
  <c r="BL33" i="8"/>
  <c r="BD33" i="8"/>
  <c r="AT33" i="8"/>
  <c r="AP33" i="8"/>
  <c r="AH33" i="8"/>
  <c r="Z33" i="8"/>
  <c r="EW32" i="8"/>
  <c r="EO32" i="8"/>
  <c r="EE32" i="8"/>
  <c r="DW32" i="8"/>
  <c r="DO32" i="8"/>
  <c r="DG32" i="8"/>
  <c r="CW32" i="8"/>
  <c r="CO32" i="8"/>
  <c r="CG32" i="8"/>
  <c r="BY32" i="8"/>
  <c r="BU32" i="8"/>
  <c r="BK32" i="8"/>
  <c r="BC32" i="8"/>
  <c r="AU32" i="8"/>
  <c r="AM32" i="8"/>
  <c r="AC32" i="8"/>
  <c r="U32" i="8"/>
  <c r="ER31" i="8"/>
  <c r="EJ31" i="8"/>
  <c r="EB31" i="8"/>
  <c r="DT31" i="8"/>
  <c r="DJ31" i="8"/>
  <c r="DB31" i="8"/>
  <c r="CT31" i="8"/>
  <c r="CL31" i="8"/>
  <c r="CB31" i="8"/>
  <c r="BT31" i="8"/>
  <c r="BL31" i="8"/>
  <c r="BD31" i="8"/>
  <c r="AT31" i="8"/>
  <c r="AL31" i="8"/>
  <c r="AD31" i="8"/>
  <c r="V31" i="8"/>
  <c r="ER30" i="8"/>
  <c r="EJ30" i="8"/>
  <c r="EB30" i="8"/>
  <c r="DT30" i="8"/>
  <c r="DJ30" i="8"/>
  <c r="DB30" i="8"/>
  <c r="CT30" i="8"/>
  <c r="CL30" i="8"/>
  <c r="BX30" i="8"/>
  <c r="BP30" i="8"/>
  <c r="BL30" i="8"/>
  <c r="BD30" i="8"/>
  <c r="AT30" i="8"/>
  <c r="AL30" i="8"/>
  <c r="AD30" i="8"/>
  <c r="V30" i="8"/>
  <c r="ER29" i="8"/>
  <c r="EJ29" i="8"/>
  <c r="DX29" i="8"/>
  <c r="DN29" i="8"/>
  <c r="DF29" i="8"/>
  <c r="DB29" i="8"/>
  <c r="CP29" i="8"/>
  <c r="CL29" i="8"/>
  <c r="CB29" i="8"/>
  <c r="BT29" i="8"/>
  <c r="BL29" i="8"/>
  <c r="BD29" i="8"/>
  <c r="AT29" i="8"/>
  <c r="AL29" i="8"/>
  <c r="Z29" i="8"/>
  <c r="V29" i="8"/>
  <c r="ER28" i="8"/>
  <c r="EJ28" i="8"/>
  <c r="EB28" i="8"/>
  <c r="DT28" i="8"/>
  <c r="DJ28" i="8"/>
  <c r="CX28" i="8"/>
  <c r="CP28" i="8"/>
  <c r="CF28" i="8"/>
  <c r="CB28" i="8"/>
  <c r="BT28" i="8"/>
  <c r="BL28" i="8"/>
  <c r="AX28" i="8"/>
  <c r="AP28" i="8"/>
  <c r="AH28" i="8"/>
  <c r="Z28" i="8"/>
  <c r="EV27" i="8"/>
  <c r="EN27" i="8"/>
  <c r="EF27" i="8"/>
  <c r="DX27" i="8"/>
  <c r="DN27" i="8"/>
  <c r="DF27" i="8"/>
  <c r="CX27" i="8"/>
  <c r="CP27" i="8"/>
  <c r="CL27" i="8"/>
  <c r="CB27" i="8"/>
  <c r="BP27" i="8"/>
  <c r="BL27" i="8"/>
  <c r="AX27" i="8"/>
  <c r="AP27" i="8"/>
  <c r="AH27" i="8"/>
  <c r="AD27" i="8"/>
  <c r="V27" i="8"/>
  <c r="ES26" i="8"/>
  <c r="EK26" i="8"/>
  <c r="DW26" i="8"/>
  <c r="DS26" i="8"/>
  <c r="DK26" i="8"/>
  <c r="DC26" i="8"/>
  <c r="CO26" i="8"/>
  <c r="CG26" i="8"/>
  <c r="CC26" i="8"/>
  <c r="BO26" i="8"/>
  <c r="BG26" i="8"/>
  <c r="AY26" i="8"/>
  <c r="AQ26" i="8"/>
  <c r="AM26" i="8"/>
  <c r="AC26" i="8"/>
  <c r="U26" i="8"/>
  <c r="ER25" i="8"/>
  <c r="EJ25" i="8"/>
  <c r="EB25" i="8"/>
  <c r="DT25" i="8"/>
  <c r="DJ25" i="8"/>
  <c r="DB25" i="8"/>
  <c r="CT25" i="8"/>
  <c r="CL25" i="8"/>
  <c r="CB25" i="8"/>
  <c r="BT25" i="8"/>
  <c r="BL25" i="8"/>
  <c r="BD25" i="8"/>
  <c r="AT25" i="8"/>
  <c r="AP25" i="8"/>
  <c r="AH25" i="8"/>
  <c r="V25" i="8"/>
  <c r="ES24" i="8"/>
  <c r="EK24" i="8"/>
  <c r="EA24" i="8"/>
  <c r="DS24" i="8"/>
  <c r="DK24" i="8"/>
  <c r="DC24" i="8"/>
  <c r="CS24" i="8"/>
  <c r="CK24" i="8"/>
  <c r="CG24" i="8"/>
  <c r="AD10" i="8"/>
  <c r="AH10" i="8"/>
  <c r="AP10" i="8"/>
  <c r="AX10" i="8"/>
  <c r="BH10" i="8"/>
  <c r="BL10" i="8"/>
  <c r="BT10" i="8"/>
  <c r="CB10" i="8"/>
  <c r="CL10" i="8"/>
  <c r="CT10" i="8"/>
  <c r="DB10" i="8"/>
  <c r="DJ10" i="8"/>
  <c r="DT10" i="8"/>
  <c r="EB10" i="8"/>
  <c r="EJ10" i="8"/>
  <c r="ER10" i="8"/>
  <c r="Y11" i="8"/>
  <c r="AG11" i="8"/>
  <c r="AM11" i="8"/>
  <c r="AU11" i="8"/>
  <c r="BC11" i="8"/>
  <c r="BK11" i="8"/>
  <c r="BU11" i="8"/>
  <c r="CC11" i="8"/>
  <c r="CK11" i="8"/>
  <c r="CS11" i="8"/>
  <c r="DC11" i="8"/>
  <c r="DK11" i="8"/>
  <c r="DS11" i="8"/>
  <c r="EA11" i="8"/>
  <c r="EK11" i="8"/>
  <c r="ES11" i="8"/>
  <c r="S12" i="8"/>
  <c r="AA12" i="8"/>
  <c r="AK12" i="8"/>
  <c r="AS12" i="8"/>
  <c r="BA12" i="8"/>
  <c r="BI12" i="8"/>
  <c r="BS12" i="8"/>
  <c r="CA12" i="8"/>
  <c r="CI12" i="8"/>
  <c r="CQ12" i="8"/>
  <c r="DA12" i="8"/>
  <c r="DI12" i="8"/>
  <c r="DQ12" i="8"/>
  <c r="DY12" i="8"/>
  <c r="EI12" i="8"/>
  <c r="EQ12" i="8"/>
  <c r="T13" i="8"/>
  <c r="AB13" i="8"/>
  <c r="AJ13" i="8"/>
  <c r="AR13" i="8"/>
  <c r="BB13" i="8"/>
  <c r="BJ13" i="8"/>
  <c r="BR13" i="8"/>
  <c r="BZ13" i="8"/>
  <c r="CD13" i="8"/>
  <c r="CN13" i="8"/>
  <c r="CV13" i="8"/>
  <c r="DD13" i="8"/>
  <c r="DL13" i="8"/>
  <c r="DV13" i="8"/>
  <c r="ED13" i="8"/>
  <c r="EL13" i="8"/>
  <c r="EP13" i="8"/>
  <c r="W14" i="8"/>
  <c r="AA14" i="8"/>
  <c r="AO14" i="8"/>
  <c r="AW14" i="8"/>
  <c r="BA14" i="8"/>
  <c r="BI14" i="8"/>
  <c r="BS14" i="8"/>
  <c r="CA14" i="8"/>
  <c r="CI14" i="8"/>
  <c r="CQ14" i="8"/>
  <c r="DA14" i="8"/>
  <c r="DE14" i="8"/>
  <c r="DM14" i="8"/>
  <c r="DU14" i="8"/>
  <c r="EC14" i="8"/>
  <c r="EM14" i="8"/>
  <c r="EU14" i="8"/>
  <c r="X15" i="8"/>
  <c r="AF15" i="8"/>
  <c r="AN15" i="8"/>
  <c r="AV15" i="8"/>
  <c r="BF15" i="8"/>
  <c r="BN15" i="8"/>
  <c r="BV15" i="8"/>
  <c r="CD15" i="8"/>
  <c r="CN15" i="8"/>
  <c r="CV15" i="8"/>
  <c r="DD15" i="8"/>
  <c r="DL15" i="8"/>
  <c r="DV15" i="8"/>
  <c r="ED15" i="8"/>
  <c r="EL15" i="8"/>
  <c r="ET15" i="8"/>
  <c r="W16" i="8"/>
  <c r="AA16" i="8"/>
  <c r="AK16" i="8"/>
  <c r="AS16" i="8"/>
  <c r="BA16" i="8"/>
  <c r="BI16" i="8"/>
  <c r="BS16" i="8"/>
  <c r="CA16" i="8"/>
  <c r="CI16" i="8"/>
  <c r="CQ16" i="8"/>
  <c r="DA16" i="8"/>
  <c r="DI16" i="8"/>
  <c r="DQ16" i="8"/>
  <c r="DY16" i="8"/>
  <c r="EC16" i="8"/>
  <c r="EQ16" i="8"/>
  <c r="S17" i="8"/>
  <c r="AG17" i="8"/>
  <c r="AO17" i="8"/>
  <c r="BE17" i="8"/>
  <c r="BY17" i="8"/>
  <c r="CO17" i="8"/>
  <c r="DE17" i="8"/>
  <c r="DM17" i="8"/>
  <c r="EC17" i="8"/>
  <c r="EW17" i="8"/>
  <c r="AG18" i="8"/>
  <c r="AW18" i="8"/>
  <c r="BM18" i="8"/>
  <c r="CG18" i="8"/>
  <c r="CW18" i="8"/>
  <c r="DM18" i="8"/>
  <c r="EC18" i="8"/>
  <c r="EW18" i="8"/>
  <c r="X19" i="8"/>
  <c r="AN19" i="8"/>
  <c r="BP19" i="8"/>
  <c r="BX19" i="8"/>
  <c r="CN19" i="8"/>
  <c r="DL19" i="8"/>
  <c r="EF19" i="8"/>
  <c r="EV19" i="8"/>
  <c r="AE20" i="8"/>
  <c r="AY20" i="8"/>
  <c r="BO20" i="8"/>
  <c r="CE20" i="8"/>
  <c r="CU20" i="8"/>
  <c r="DO20" i="8"/>
  <c r="EE20" i="8"/>
  <c r="EU20" i="8"/>
  <c r="Z21" i="8"/>
  <c r="AP21" i="8"/>
  <c r="BF21" i="8"/>
  <c r="BV21" i="8"/>
  <c r="CP21" i="8"/>
  <c r="CX21" i="8"/>
  <c r="DN21" i="8"/>
  <c r="ED21" i="8"/>
  <c r="ET21" i="8"/>
  <c r="AE22" i="8"/>
  <c r="AY22" i="8"/>
  <c r="BO22" i="8"/>
  <c r="CE22" i="8"/>
  <c r="CM22" i="8"/>
  <c r="DG22" i="8"/>
  <c r="DW22" i="8"/>
  <c r="EM22" i="8"/>
  <c r="X23" i="8"/>
  <c r="AN23" i="8"/>
  <c r="BH23" i="8"/>
  <c r="BX23" i="8"/>
  <c r="CF23" i="8"/>
  <c r="CV23" i="8"/>
  <c r="DL23" i="8"/>
  <c r="EF23" i="8"/>
  <c r="EV23" i="8"/>
  <c r="AG24" i="8"/>
  <c r="AW24" i="8"/>
  <c r="BY24" i="8"/>
  <c r="DV8" i="8"/>
  <c r="EH8" i="8"/>
  <c r="EP8" i="8"/>
  <c r="S9" i="8"/>
  <c r="AA9" i="8"/>
  <c r="AK9" i="8"/>
  <c r="AS9" i="8"/>
  <c r="BA9" i="8"/>
  <c r="BI9" i="8"/>
  <c r="BM9" i="8"/>
  <c r="BW9" i="8"/>
  <c r="CI9" i="8"/>
  <c r="CQ9" i="8"/>
  <c r="DA9" i="8"/>
  <c r="DI9" i="8"/>
  <c r="DM9" i="8"/>
  <c r="DU9" i="8"/>
  <c r="EI9" i="8"/>
  <c r="EM9" i="8"/>
  <c r="EU9" i="8"/>
  <c r="W10" i="8"/>
  <c r="AE10" i="8"/>
  <c r="AO10" i="8"/>
  <c r="AW10" i="8"/>
  <c r="BE10" i="8"/>
  <c r="BM10" i="8"/>
  <c r="BW10" i="8"/>
  <c r="CE10" i="8"/>
  <c r="CM10" i="8"/>
  <c r="CU10" i="8"/>
  <c r="DE10" i="8"/>
  <c r="DM10" i="8"/>
  <c r="DU10" i="8"/>
  <c r="EC10" i="8"/>
  <c r="EM10" i="8"/>
  <c r="EU10" i="8"/>
  <c r="X11" i="8"/>
  <c r="AF11" i="8"/>
  <c r="AN11" i="8"/>
  <c r="AR11" i="8"/>
  <c r="BB11" i="8"/>
  <c r="BJ11" i="8"/>
  <c r="BR11" i="8"/>
  <c r="BZ11" i="8"/>
  <c r="CJ11" i="8"/>
  <c r="CR11" i="8"/>
  <c r="CZ11" i="8"/>
  <c r="DH11" i="8"/>
  <c r="DR11" i="8"/>
  <c r="DZ11" i="8"/>
  <c r="EH11" i="8"/>
  <c r="EP11" i="8"/>
  <c r="BL12" i="8"/>
  <c r="BT12" i="8"/>
  <c r="CB12" i="8"/>
  <c r="CL12" i="8"/>
  <c r="CT12" i="8"/>
  <c r="DB12" i="8"/>
  <c r="DF12" i="8"/>
  <c r="DT12" i="8"/>
  <c r="EB12" i="8"/>
  <c r="EJ12" i="8"/>
  <c r="EN12" i="8"/>
  <c r="EV12" i="8"/>
  <c r="Y13" i="8"/>
  <c r="AG13" i="8"/>
  <c r="AQ13" i="8"/>
  <c r="AY13" i="8"/>
  <c r="BG13" i="8"/>
  <c r="BO13" i="8"/>
  <c r="BY13" i="8"/>
  <c r="CG13" i="8"/>
  <c r="CK13" i="8"/>
  <c r="CS13" i="8"/>
  <c r="DC13" i="8"/>
  <c r="DK13" i="8"/>
  <c r="DS13" i="8"/>
  <c r="EA13" i="8"/>
  <c r="EK13" i="8"/>
  <c r="ES13" i="8"/>
  <c r="V14" i="8"/>
  <c r="AD14" i="8"/>
  <c r="AH14" i="8"/>
  <c r="AT14" i="8"/>
  <c r="AX14" i="8"/>
  <c r="BH14" i="8"/>
  <c r="BP14" i="8"/>
  <c r="BX14" i="8"/>
  <c r="CF14" i="8"/>
  <c r="CP14" i="8"/>
  <c r="CX14" i="8"/>
  <c r="DF14" i="8"/>
  <c r="DN14" i="8"/>
  <c r="DX14" i="8"/>
  <c r="EF14" i="8"/>
  <c r="EJ14" i="8"/>
  <c r="ER14" i="8"/>
  <c r="CA102" i="8"/>
  <c r="BS102" i="8"/>
  <c r="BK102" i="8"/>
  <c r="BC102" i="8"/>
  <c r="AU102" i="8"/>
  <c r="AQ102" i="8"/>
  <c r="AI102" i="8"/>
  <c r="AA102" i="8"/>
  <c r="S102" i="8"/>
  <c r="BW101" i="8"/>
  <c r="BO101" i="8"/>
  <c r="BG101" i="8"/>
  <c r="AY101" i="8"/>
  <c r="AQ101" i="8"/>
  <c r="AI101" i="8"/>
  <c r="AA101" i="8"/>
  <c r="S101" i="8"/>
  <c r="BW100" i="8"/>
  <c r="BO100" i="8"/>
  <c r="BG100" i="8"/>
  <c r="BC100" i="8"/>
  <c r="AU100" i="8"/>
  <c r="CB102" i="8"/>
  <c r="BD102" i="8"/>
  <c r="AN102" i="8"/>
  <c r="X102" i="8"/>
  <c r="BT101" i="8"/>
  <c r="BD101" i="8"/>
  <c r="AV101" i="8"/>
  <c r="AF101" i="8"/>
  <c r="CB100" i="8"/>
  <c r="BL100" i="8"/>
  <c r="AV100" i="8"/>
  <c r="AJ100" i="8"/>
  <c r="AB100" i="8"/>
  <c r="T100" i="8"/>
  <c r="BX99" i="8"/>
  <c r="BP99" i="8"/>
  <c r="BH99" i="8"/>
  <c r="AZ99" i="8"/>
  <c r="AR99" i="8"/>
  <c r="AJ99" i="8"/>
  <c r="BZ102" i="8"/>
  <c r="BJ102" i="8"/>
  <c r="AT102" i="8"/>
  <c r="AD102" i="8"/>
  <c r="BZ101" i="8"/>
  <c r="BJ101" i="8"/>
  <c r="AT101" i="8"/>
  <c r="AD101" i="8"/>
  <c r="BZ100" i="8"/>
  <c r="BJ100" i="8"/>
  <c r="BB100" i="8"/>
  <c r="AM100" i="8"/>
  <c r="AE100" i="8"/>
  <c r="W100" i="8"/>
  <c r="CA99" i="8"/>
  <c r="BS99" i="8"/>
  <c r="BO99" i="8"/>
  <c r="BC99" i="8"/>
  <c r="AY99" i="8"/>
  <c r="AQ99" i="8"/>
  <c r="AE99" i="8"/>
  <c r="W99" i="8"/>
  <c r="S99" i="8"/>
  <c r="Z99" i="8"/>
  <c r="U15" i="8"/>
  <c r="AG15" i="8"/>
  <c r="AQ15" i="8"/>
  <c r="AY15" i="8"/>
  <c r="BG15" i="8"/>
  <c r="BO15" i="8"/>
  <c r="BY15" i="8"/>
  <c r="CG15" i="8"/>
  <c r="CO15" i="8"/>
  <c r="CW15" i="8"/>
  <c r="DG15" i="8"/>
  <c r="DO15" i="8"/>
  <c r="DW15" i="8"/>
  <c r="EE15" i="8"/>
  <c r="EO15" i="8"/>
  <c r="EW15" i="8"/>
  <c r="Z16" i="8"/>
  <c r="AD16" i="8"/>
  <c r="AP16" i="8"/>
  <c r="AT16" i="8"/>
  <c r="BH16" i="8"/>
  <c r="BP16" i="8"/>
  <c r="BX16" i="8"/>
  <c r="CF16" i="8"/>
  <c r="CP16" i="8"/>
  <c r="CX16" i="8"/>
  <c r="DF16" i="8"/>
  <c r="DN16" i="8"/>
  <c r="DX16" i="8"/>
  <c r="EF16" i="8"/>
  <c r="EJ16" i="8"/>
  <c r="ER16" i="8"/>
  <c r="W17" i="8"/>
  <c r="AQ17" i="8"/>
  <c r="BG17" i="8"/>
  <c r="BW17" i="8"/>
  <c r="CM17" i="8"/>
  <c r="DG17" i="8"/>
  <c r="DW17" i="8"/>
  <c r="EM17" i="8"/>
  <c r="W18" i="8"/>
  <c r="AQ18" i="8"/>
  <c r="BG18" i="8"/>
  <c r="BW18" i="8"/>
  <c r="CM18" i="8"/>
  <c r="DG18" i="8"/>
  <c r="DO18" i="8"/>
  <c r="EE18" i="8"/>
  <c r="EU18" i="8"/>
  <c r="AH19" i="8"/>
  <c r="AX19" i="8"/>
  <c r="BN19" i="8"/>
  <c r="CD19" i="8"/>
  <c r="CX19" i="8"/>
  <c r="DN19" i="8"/>
  <c r="ED19" i="8"/>
  <c r="ET19" i="8"/>
  <c r="AG20" i="8"/>
  <c r="AW20" i="8"/>
  <c r="BM20" i="8"/>
  <c r="CG20" i="8"/>
  <c r="CW20" i="8"/>
  <c r="DE20" i="8"/>
  <c r="EC20" i="8"/>
  <c r="EW20" i="8"/>
  <c r="AF21" i="8"/>
  <c r="AV21" i="8"/>
  <c r="BP21" i="8"/>
  <c r="CF21" i="8"/>
  <c r="CV21" i="8"/>
  <c r="DL21" i="8"/>
  <c r="EF21" i="8"/>
  <c r="EV21" i="8"/>
  <c r="Y22" i="8"/>
  <c r="AW22" i="8"/>
  <c r="BM22" i="8"/>
  <c r="BY22" i="8"/>
  <c r="CW22" i="8"/>
  <c r="DM22" i="8"/>
  <c r="EC22" i="8"/>
  <c r="EW22" i="8"/>
  <c r="AH23" i="8"/>
  <c r="AX23" i="8"/>
  <c r="BF23" i="8"/>
  <c r="BV23" i="8"/>
  <c r="CP23" i="8"/>
  <c r="DF23" i="8"/>
  <c r="DV23" i="8"/>
  <c r="EL23" i="8"/>
  <c r="W24" i="8"/>
  <c r="AQ24" i="8"/>
  <c r="BG24" i="8"/>
  <c r="BW24" i="8"/>
  <c r="J22" i="8" l="1"/>
  <c r="J28" i="8"/>
  <c r="J29" i="8"/>
  <c r="K23" i="8"/>
  <c r="K31" i="8"/>
  <c r="J24" i="8"/>
  <c r="J25" i="8"/>
  <c r="EG11" i="8"/>
  <c r="CY11" i="8"/>
  <c r="BQ11" i="8"/>
  <c r="EG9" i="8"/>
  <c r="CY9" i="8"/>
  <c r="CH9" i="8"/>
  <c r="AZ9" i="8"/>
  <c r="AI9" i="8"/>
  <c r="R9" i="8"/>
  <c r="EG8" i="8"/>
  <c r="R17" i="8"/>
  <c r="DP16" i="8"/>
  <c r="CH16" i="8"/>
  <c r="AZ16" i="8"/>
  <c r="CH14" i="8"/>
  <c r="AZ14" i="8"/>
  <c r="BQ13" i="8"/>
  <c r="AI13" i="8"/>
  <c r="DP12" i="8"/>
  <c r="CH12" i="8"/>
  <c r="AZ12" i="8"/>
  <c r="R12" i="8"/>
  <c r="CH41" i="8"/>
  <c r="AZ43" i="8"/>
  <c r="DP43" i="8"/>
  <c r="R45" i="8"/>
  <c r="CH45" i="8"/>
  <c r="DP41" i="8"/>
  <c r="AI42" i="8"/>
  <c r="CY42" i="8"/>
  <c r="R43" i="8"/>
  <c r="CH43" i="8"/>
  <c r="BQ44" i="8"/>
  <c r="EG44" i="8"/>
  <c r="AZ45" i="8"/>
  <c r="DP45" i="8"/>
  <c r="AI46" i="8"/>
  <c r="CY46" i="8"/>
  <c r="EG46" i="8"/>
  <c r="R47" i="8"/>
  <c r="AZ47" i="8"/>
  <c r="CH47" i="8"/>
  <c r="DP47" i="8"/>
  <c r="AI48" i="8"/>
  <c r="BQ48" i="8"/>
  <c r="CY48" i="8"/>
  <c r="EG48" i="8"/>
  <c r="R49" i="8"/>
  <c r="AZ49" i="8"/>
  <c r="CH49" i="8"/>
  <c r="DP49" i="8"/>
  <c r="AI50" i="8"/>
  <c r="BQ50" i="8"/>
  <c r="CY50" i="8"/>
  <c r="EG50" i="8"/>
  <c r="R51" i="8"/>
  <c r="AZ51" i="8"/>
  <c r="CH51" i="8"/>
  <c r="DP51" i="8"/>
  <c r="AI52" i="8"/>
  <c r="BQ52" i="8"/>
  <c r="CY52" i="8"/>
  <c r="EG52" i="8"/>
  <c r="R53" i="8"/>
  <c r="AZ53" i="8"/>
  <c r="CH53" i="8"/>
  <c r="DP53" i="8"/>
  <c r="AI54" i="8"/>
  <c r="BQ54" i="8"/>
  <c r="CY54" i="8"/>
  <c r="EG54" i="8"/>
  <c r="R55" i="8"/>
  <c r="AZ55" i="8"/>
  <c r="CH55" i="8"/>
  <c r="DP55" i="8"/>
  <c r="AI56" i="8"/>
  <c r="BQ56" i="8"/>
  <c r="CY56" i="8"/>
  <c r="EG56" i="8"/>
  <c r="R57" i="8"/>
  <c r="AZ57" i="8"/>
  <c r="CH57" i="8"/>
  <c r="DP57" i="8"/>
  <c r="AI58" i="8"/>
  <c r="BQ58" i="8"/>
  <c r="CY58" i="8"/>
  <c r="EG58" i="8"/>
  <c r="R59" i="8"/>
  <c r="AZ59" i="8"/>
  <c r="CY59" i="8"/>
  <c r="R60" i="8"/>
  <c r="CH60" i="8"/>
  <c r="BQ61" i="8"/>
  <c r="EG61" i="8"/>
  <c r="AZ62" i="8"/>
  <c r="DP62" i="8"/>
  <c r="AI63" i="8"/>
  <c r="BQ63" i="8"/>
  <c r="CY63" i="8"/>
  <c r="EG63" i="8"/>
  <c r="R64" i="8"/>
  <c r="AZ64" i="8"/>
  <c r="CH64" i="8"/>
  <c r="DP64" i="8"/>
  <c r="AI65" i="8"/>
  <c r="BQ65" i="8"/>
  <c r="CY65" i="8"/>
  <c r="EG65" i="8"/>
  <c r="R66" i="8"/>
  <c r="AZ66" i="8"/>
  <c r="CH66" i="8"/>
  <c r="DP66" i="8"/>
  <c r="AI67" i="8"/>
  <c r="BQ67" i="8"/>
  <c r="CY67" i="8"/>
  <c r="EG67" i="8"/>
  <c r="R68" i="8"/>
  <c r="AZ68" i="8"/>
  <c r="CH68" i="8"/>
  <c r="DP68" i="8"/>
  <c r="AI69" i="8"/>
  <c r="BQ69" i="8"/>
  <c r="CY69" i="8"/>
  <c r="EG69" i="8"/>
  <c r="R70" i="8"/>
  <c r="AZ70" i="8"/>
  <c r="CH70" i="8"/>
  <c r="DP70" i="8"/>
  <c r="AI71" i="8"/>
  <c r="BQ71" i="8"/>
  <c r="CY71" i="8"/>
  <c r="EG71" i="8"/>
  <c r="R72" i="8"/>
  <c r="AZ72" i="8"/>
  <c r="DP72" i="8"/>
  <c r="AI73" i="8"/>
  <c r="CY73" i="8"/>
  <c r="R74" i="8"/>
  <c r="CH74" i="8"/>
  <c r="DP74" i="8"/>
  <c r="AI75" i="8"/>
  <c r="BQ75" i="8"/>
  <c r="CY75" i="8"/>
  <c r="EG75" i="8"/>
  <c r="R76" i="8"/>
  <c r="AZ76" i="8"/>
  <c r="CH76" i="8"/>
  <c r="DP76" i="8"/>
  <c r="AI77" i="8"/>
  <c r="BQ77" i="8"/>
  <c r="CY77" i="8"/>
  <c r="EG77" i="8"/>
  <c r="R78" i="8"/>
  <c r="AZ78" i="8"/>
  <c r="CH78" i="8"/>
  <c r="DP78" i="8"/>
  <c r="AI79" i="8"/>
  <c r="BQ79" i="8"/>
  <c r="CY79" i="8"/>
  <c r="EG79" i="8"/>
  <c r="R80" i="8"/>
  <c r="AZ80" i="8"/>
  <c r="CH80" i="8"/>
  <c r="DP80" i="8"/>
  <c r="AI81" i="8"/>
  <c r="BQ81" i="8"/>
  <c r="CY81" i="8"/>
  <c r="EG81" i="8"/>
  <c r="R82" i="8"/>
  <c r="AZ82" i="8"/>
  <c r="CH82" i="8"/>
  <c r="DP82" i="8"/>
  <c r="AI83" i="8"/>
  <c r="BQ83" i="8"/>
  <c r="CY83" i="8"/>
  <c r="EG83" i="8"/>
  <c r="R84" i="8"/>
  <c r="AZ84" i="8"/>
  <c r="CH84" i="8"/>
  <c r="DP84" i="8"/>
  <c r="AI85" i="8"/>
  <c r="BQ85" i="8"/>
  <c r="CY85" i="8"/>
  <c r="EG85" i="8"/>
  <c r="R86" i="8"/>
  <c r="AZ86" i="8"/>
  <c r="CH86" i="8"/>
  <c r="DP86" i="8"/>
  <c r="AI82" i="8"/>
  <c r="BQ82" i="8"/>
  <c r="CY82" i="8"/>
  <c r="EG82" i="8"/>
  <c r="R83" i="8"/>
  <c r="AZ83" i="8"/>
  <c r="CH83" i="8"/>
  <c r="DP83" i="8"/>
  <c r="AI84" i="8"/>
  <c r="BQ84" i="8"/>
  <c r="CY84" i="8"/>
  <c r="EG84" i="8"/>
  <c r="R85" i="8"/>
  <c r="AZ85" i="8"/>
  <c r="CH85" i="8"/>
  <c r="DP85" i="8"/>
  <c r="AI86" i="8"/>
  <c r="BQ86" i="8"/>
  <c r="CY86" i="8"/>
  <c r="EG86" i="8"/>
  <c r="R87" i="8"/>
  <c r="CY94" i="8"/>
  <c r="EG94" i="8"/>
  <c r="R95" i="8"/>
  <c r="AZ95" i="8"/>
  <c r="CH95" i="8"/>
  <c r="DP95" i="8"/>
  <c r="AI96" i="8"/>
  <c r="BQ96" i="8"/>
  <c r="CY96" i="8"/>
  <c r="EG96" i="8"/>
  <c r="DP94" i="8"/>
  <c r="AI95" i="8"/>
  <c r="BQ95" i="8"/>
  <c r="CY95" i="8"/>
  <c r="EG95" i="8"/>
  <c r="R96" i="8"/>
  <c r="AZ96" i="8"/>
  <c r="CH96" i="8"/>
  <c r="DP96" i="8"/>
  <c r="I22" i="8"/>
  <c r="K28" i="8"/>
  <c r="J23" i="8"/>
  <c r="I30" i="8"/>
  <c r="I31" i="8"/>
  <c r="K29" i="8"/>
  <c r="K30" i="8"/>
  <c r="J30" i="8"/>
  <c r="J31" i="8"/>
  <c r="AI11" i="8"/>
  <c r="DP10" i="8"/>
  <c r="CH10" i="8"/>
  <c r="AZ10" i="8"/>
  <c r="R10" i="8"/>
  <c r="DP9" i="8"/>
  <c r="BQ9" i="8"/>
  <c r="DP8" i="8"/>
  <c r="R16" i="8"/>
  <c r="EG15" i="8"/>
  <c r="CY15" i="8"/>
  <c r="BQ15" i="8"/>
  <c r="AI15" i="8"/>
  <c r="DP14" i="8"/>
  <c r="R14" i="8"/>
  <c r="EG13" i="8"/>
  <c r="CY13" i="8"/>
  <c r="BQ42" i="8"/>
  <c r="EG42" i="8"/>
  <c r="AI44" i="8"/>
  <c r="CY44" i="8"/>
  <c r="BQ46" i="8"/>
  <c r="R24" i="8"/>
  <c r="EG23" i="8"/>
  <c r="BQ23" i="8"/>
  <c r="DP22" i="8"/>
  <c r="AZ22" i="8"/>
  <c r="CY21" i="8"/>
  <c r="AI21" i="8"/>
  <c r="DP20" i="8"/>
  <c r="AZ20" i="8"/>
  <c r="EG19" i="8"/>
  <c r="BQ19" i="8"/>
  <c r="CH18" i="8"/>
  <c r="R18" i="8"/>
  <c r="CH17" i="8"/>
  <c r="EG16" i="8"/>
  <c r="CY16" i="8"/>
  <c r="BQ16" i="8"/>
  <c r="AI16" i="8"/>
  <c r="DP15" i="8"/>
  <c r="CH15" i="8"/>
  <c r="AZ15" i="8"/>
  <c r="R15" i="8"/>
  <c r="I28" i="8"/>
  <c r="K22" i="8"/>
  <c r="L22" i="8"/>
  <c r="L28" i="8"/>
  <c r="L23" i="8"/>
  <c r="L29" i="8"/>
  <c r="I24" i="8"/>
  <c r="I25" i="8"/>
  <c r="I23" i="8"/>
  <c r="M23" i="8" s="1"/>
  <c r="I29" i="8"/>
  <c r="K24" i="8"/>
  <c r="K25" i="8"/>
  <c r="L24" i="8"/>
  <c r="L30" i="8"/>
  <c r="L25" i="8"/>
  <c r="L31" i="8"/>
  <c r="EG14" i="8"/>
  <c r="CY14" i="8"/>
  <c r="BQ14" i="8"/>
  <c r="AI14" i="8"/>
  <c r="DP13" i="8"/>
  <c r="CH13" i="8"/>
  <c r="AZ13" i="8"/>
  <c r="R13" i="8"/>
  <c r="EG12" i="8"/>
  <c r="CY12" i="8"/>
  <c r="BQ12" i="8"/>
  <c r="AI12" i="8"/>
  <c r="AZ24" i="8"/>
  <c r="CY23" i="8"/>
  <c r="AI23" i="8"/>
  <c r="CH22" i="8"/>
  <c r="R22" i="8"/>
  <c r="EG21" i="8"/>
  <c r="BQ21" i="8"/>
  <c r="CH20" i="8"/>
  <c r="R20" i="8"/>
  <c r="CY19" i="8"/>
  <c r="AI19" i="8"/>
  <c r="DP18" i="8"/>
  <c r="AZ18" i="8"/>
  <c r="DP17" i="8"/>
  <c r="AZ17" i="8"/>
  <c r="DP11" i="8"/>
  <c r="CH11" i="8"/>
  <c r="AZ11" i="8"/>
  <c r="R11" i="8"/>
  <c r="Q11" i="8" s="1"/>
  <c r="EG10" i="8"/>
  <c r="CY10" i="8"/>
  <c r="BQ10" i="8"/>
  <c r="AI10" i="8"/>
  <c r="CH24" i="8"/>
  <c r="DP24" i="8"/>
  <c r="AI25" i="8"/>
  <c r="BQ25" i="8"/>
  <c r="CY25" i="8"/>
  <c r="EG25" i="8"/>
  <c r="R26" i="8"/>
  <c r="AZ26" i="8"/>
  <c r="CH26" i="8"/>
  <c r="DP26" i="8"/>
  <c r="AI27" i="8"/>
  <c r="BQ27" i="8"/>
  <c r="CY27" i="8"/>
  <c r="EG27" i="8"/>
  <c r="AI28" i="8"/>
  <c r="BQ28" i="8"/>
  <c r="CY28" i="8"/>
  <c r="EG28" i="8"/>
  <c r="AI29" i="8"/>
  <c r="BQ29" i="8"/>
  <c r="CY29" i="8"/>
  <c r="EG29" i="8"/>
  <c r="AI30" i="8"/>
  <c r="BQ30" i="8"/>
  <c r="CY30" i="8"/>
  <c r="EG30" i="8"/>
  <c r="AI31" i="8"/>
  <c r="BQ31" i="8"/>
  <c r="CY31" i="8"/>
  <c r="EG31" i="8"/>
  <c r="R32" i="8"/>
  <c r="AZ32" i="8"/>
  <c r="CH32" i="8"/>
  <c r="DP32" i="8"/>
  <c r="AI33" i="8"/>
  <c r="BQ33" i="8"/>
  <c r="CY33" i="8"/>
  <c r="EG33" i="8"/>
  <c r="R34" i="8"/>
  <c r="AZ34" i="8"/>
  <c r="CH34" i="8"/>
  <c r="DP34" i="8"/>
  <c r="AI35" i="8"/>
  <c r="BQ35" i="8"/>
  <c r="CY35" i="8"/>
  <c r="EG35" i="8"/>
  <c r="R36" i="8"/>
  <c r="AZ36" i="8"/>
  <c r="CH36" i="8"/>
  <c r="DP36" i="8"/>
  <c r="AI37" i="8"/>
  <c r="BQ37" i="8"/>
  <c r="CY37" i="8"/>
  <c r="EG37" i="8"/>
  <c r="R38" i="8"/>
  <c r="AZ38" i="8"/>
  <c r="CH38" i="8"/>
  <c r="DP38" i="8"/>
  <c r="AI39" i="8"/>
  <c r="BQ39" i="8"/>
  <c r="CY39" i="8"/>
  <c r="EG39" i="8"/>
  <c r="R40" i="8"/>
  <c r="AZ40" i="8"/>
  <c r="CH40" i="8"/>
  <c r="DP40" i="8"/>
  <c r="AI41" i="8"/>
  <c r="BQ41" i="8"/>
  <c r="AI17" i="8"/>
  <c r="BQ17" i="8"/>
  <c r="CY17" i="8"/>
  <c r="EG17" i="8"/>
  <c r="AI18" i="8"/>
  <c r="BQ18" i="8"/>
  <c r="CY18" i="8"/>
  <c r="EG18" i="8"/>
  <c r="R19" i="8"/>
  <c r="AZ19" i="8"/>
  <c r="CH19" i="8"/>
  <c r="DP19" i="8"/>
  <c r="AI20" i="8"/>
  <c r="BQ20" i="8"/>
  <c r="CY20" i="8"/>
  <c r="EG20" i="8"/>
  <c r="R21" i="8"/>
  <c r="AZ21" i="8"/>
  <c r="CH21" i="8"/>
  <c r="DP21" i="8"/>
  <c r="AI22" i="8"/>
  <c r="BQ22" i="8"/>
  <c r="CY22" i="8"/>
  <c r="EG22" i="8"/>
  <c r="R23" i="8"/>
  <c r="AZ23" i="8"/>
  <c r="CH23" i="8"/>
  <c r="DP23" i="8"/>
  <c r="AI24" i="8"/>
  <c r="BQ24" i="8"/>
  <c r="CY24" i="8"/>
  <c r="EG24" i="8"/>
  <c r="R25" i="8"/>
  <c r="AZ25" i="8"/>
  <c r="CH25" i="8"/>
  <c r="DP25" i="8"/>
  <c r="AI26" i="8"/>
  <c r="BQ26" i="8"/>
  <c r="CY26" i="8"/>
  <c r="EG26" i="8"/>
  <c r="R27" i="8"/>
  <c r="AZ27" i="8"/>
  <c r="CH27" i="8"/>
  <c r="DP27" i="8"/>
  <c r="R28" i="8"/>
  <c r="AZ28" i="8"/>
  <c r="CH28" i="8"/>
  <c r="DP28" i="8"/>
  <c r="R29" i="8"/>
  <c r="AZ29" i="8"/>
  <c r="CH29" i="8"/>
  <c r="DP29" i="8"/>
  <c r="R30" i="8"/>
  <c r="AZ30" i="8"/>
  <c r="CH30" i="8"/>
  <c r="DP30" i="8"/>
  <c r="R31" i="8"/>
  <c r="AZ31" i="8"/>
  <c r="CH31" i="8"/>
  <c r="DP31" i="8"/>
  <c r="AI32" i="8"/>
  <c r="BQ32" i="8"/>
  <c r="CY32" i="8"/>
  <c r="EG32" i="8"/>
  <c r="R33" i="8"/>
  <c r="AZ33" i="8"/>
  <c r="CH33" i="8"/>
  <c r="DP33" i="8"/>
  <c r="AI34" i="8"/>
  <c r="BQ34" i="8"/>
  <c r="CY34" i="8"/>
  <c r="EG34" i="8"/>
  <c r="R35" i="8"/>
  <c r="AZ35" i="8"/>
  <c r="CH35" i="8"/>
  <c r="DP35" i="8"/>
  <c r="AI36" i="8"/>
  <c r="BQ36" i="8"/>
  <c r="CY36" i="8"/>
  <c r="EG36" i="8"/>
  <c r="R37" i="8"/>
  <c r="AZ37" i="8"/>
  <c r="CH37" i="8"/>
  <c r="DP37" i="8"/>
  <c r="AI38" i="8"/>
  <c r="BQ38" i="8"/>
  <c r="CY38" i="8"/>
  <c r="EG38" i="8"/>
  <c r="R39" i="8"/>
  <c r="AZ39" i="8"/>
  <c r="CH39" i="8"/>
  <c r="DP39" i="8"/>
  <c r="AI40" i="8"/>
  <c r="BQ40" i="8"/>
  <c r="CY40" i="8"/>
  <c r="EG40" i="8"/>
  <c r="R41" i="8"/>
  <c r="AZ41" i="8"/>
  <c r="BQ59" i="8"/>
  <c r="EG59" i="8"/>
  <c r="AZ60" i="8"/>
  <c r="DP60" i="8"/>
  <c r="AI61" i="8"/>
  <c r="CY61" i="8"/>
  <c r="R62" i="8"/>
  <c r="CH62" i="8"/>
  <c r="CY41" i="8"/>
  <c r="EG41" i="8"/>
  <c r="R42" i="8"/>
  <c r="AZ42" i="8"/>
  <c r="CH42" i="8"/>
  <c r="DP42" i="8"/>
  <c r="AI43" i="8"/>
  <c r="BQ43" i="8"/>
  <c r="CY43" i="8"/>
  <c r="EG43" i="8"/>
  <c r="R44" i="8"/>
  <c r="AZ44" i="8"/>
  <c r="CH44" i="8"/>
  <c r="DP44" i="8"/>
  <c r="AI45" i="8"/>
  <c r="BQ45" i="8"/>
  <c r="CY45" i="8"/>
  <c r="EG45" i="8"/>
  <c r="R46" i="8"/>
  <c r="AZ46" i="8"/>
  <c r="CH46" i="8"/>
  <c r="DP46" i="8"/>
  <c r="AI47" i="8"/>
  <c r="BQ47" i="8"/>
  <c r="CY47" i="8"/>
  <c r="EG47" i="8"/>
  <c r="R48" i="8"/>
  <c r="AZ48" i="8"/>
  <c r="CH48" i="8"/>
  <c r="DP48" i="8"/>
  <c r="AI49" i="8"/>
  <c r="BQ49" i="8"/>
  <c r="CY49" i="8"/>
  <c r="EG49" i="8"/>
  <c r="R50" i="8"/>
  <c r="AZ50" i="8"/>
  <c r="CH50" i="8"/>
  <c r="DP50" i="8"/>
  <c r="AI51" i="8"/>
  <c r="BQ51" i="8"/>
  <c r="CY51" i="8"/>
  <c r="EG51" i="8"/>
  <c r="R52" i="8"/>
  <c r="AZ52" i="8"/>
  <c r="CH52" i="8"/>
  <c r="DP52" i="8"/>
  <c r="AI53" i="8"/>
  <c r="BQ53" i="8"/>
  <c r="CY53" i="8"/>
  <c r="EG53" i="8"/>
  <c r="R54" i="8"/>
  <c r="AZ54" i="8"/>
  <c r="CH54" i="8"/>
  <c r="DP54" i="8"/>
  <c r="AI55" i="8"/>
  <c r="BQ55" i="8"/>
  <c r="CY55" i="8"/>
  <c r="EG55" i="8"/>
  <c r="R56" i="8"/>
  <c r="AZ56" i="8"/>
  <c r="CH56" i="8"/>
  <c r="DP56" i="8"/>
  <c r="AI57" i="8"/>
  <c r="BQ57" i="8"/>
  <c r="CY57" i="8"/>
  <c r="EG57" i="8"/>
  <c r="R58" i="8"/>
  <c r="AZ58" i="8"/>
  <c r="CH58" i="8"/>
  <c r="DP58" i="8"/>
  <c r="AI59" i="8"/>
  <c r="CH72" i="8"/>
  <c r="BQ73" i="8"/>
  <c r="EG73" i="8"/>
  <c r="AZ74" i="8"/>
  <c r="CH59" i="8"/>
  <c r="DP59" i="8"/>
  <c r="AI60" i="8"/>
  <c r="BQ60" i="8"/>
  <c r="CY60" i="8"/>
  <c r="EG60" i="8"/>
  <c r="R61" i="8"/>
  <c r="AZ61" i="8"/>
  <c r="CH61" i="8"/>
  <c r="DP61" i="8"/>
  <c r="AI62" i="8"/>
  <c r="BQ62" i="8"/>
  <c r="CY62" i="8"/>
  <c r="EG62" i="8"/>
  <c r="R63" i="8"/>
  <c r="AZ63" i="8"/>
  <c r="CH63" i="8"/>
  <c r="DP63" i="8"/>
  <c r="AI64" i="8"/>
  <c r="BQ64" i="8"/>
  <c r="CY64" i="8"/>
  <c r="EG64" i="8"/>
  <c r="R65" i="8"/>
  <c r="AZ65" i="8"/>
  <c r="CH65" i="8"/>
  <c r="DP65" i="8"/>
  <c r="AI66" i="8"/>
  <c r="BQ66" i="8"/>
  <c r="CY66" i="8"/>
  <c r="EG66" i="8"/>
  <c r="R67" i="8"/>
  <c r="AZ67" i="8"/>
  <c r="CH67" i="8"/>
  <c r="DP67" i="8"/>
  <c r="AI68" i="8"/>
  <c r="BQ68" i="8"/>
  <c r="CY68" i="8"/>
  <c r="EG68" i="8"/>
  <c r="R69" i="8"/>
  <c r="AZ69" i="8"/>
  <c r="CH69" i="8"/>
  <c r="DP69" i="8"/>
  <c r="AI70" i="8"/>
  <c r="BQ70" i="8"/>
  <c r="CY70" i="8"/>
  <c r="EG70" i="8"/>
  <c r="R71" i="8"/>
  <c r="AZ71" i="8"/>
  <c r="CH71" i="8"/>
  <c r="DP71" i="8"/>
  <c r="AI72" i="8"/>
  <c r="BQ72" i="8"/>
  <c r="CY72" i="8"/>
  <c r="EG72" i="8"/>
  <c r="R73" i="8"/>
  <c r="AZ73" i="8"/>
  <c r="CH73" i="8"/>
  <c r="DP73" i="8"/>
  <c r="AI74" i="8"/>
  <c r="BQ74" i="8"/>
  <c r="CY74" i="8"/>
  <c r="EG74" i="8"/>
  <c r="R75" i="8"/>
  <c r="AZ75" i="8"/>
  <c r="CH75" i="8"/>
  <c r="DP75" i="8"/>
  <c r="AI76" i="8"/>
  <c r="BQ76" i="8"/>
  <c r="CY76" i="8"/>
  <c r="EG76" i="8"/>
  <c r="R77" i="8"/>
  <c r="AZ77" i="8"/>
  <c r="CH77" i="8"/>
  <c r="DP77" i="8"/>
  <c r="AI78" i="8"/>
  <c r="BQ78" i="8"/>
  <c r="CY78" i="8"/>
  <c r="EG78" i="8"/>
  <c r="R79" i="8"/>
  <c r="AZ79" i="8"/>
  <c r="CH79" i="8"/>
  <c r="DP79" i="8"/>
  <c r="AI80" i="8"/>
  <c r="BQ80" i="8"/>
  <c r="CY80" i="8"/>
  <c r="EG80" i="8"/>
  <c r="R81" i="8"/>
  <c r="AZ81" i="8"/>
  <c r="CH81" i="8"/>
  <c r="DP81" i="8"/>
  <c r="AI87" i="8"/>
  <c r="BQ87" i="8"/>
  <c r="CY87" i="8"/>
  <c r="EG87" i="8"/>
  <c r="R88" i="8"/>
  <c r="AZ88" i="8"/>
  <c r="CH88" i="8"/>
  <c r="DP88" i="8"/>
  <c r="AI89" i="8"/>
  <c r="BQ89" i="8"/>
  <c r="CY89" i="8"/>
  <c r="EG89" i="8"/>
  <c r="R90" i="8"/>
  <c r="AZ90" i="8"/>
  <c r="CH90" i="8"/>
  <c r="DP90" i="8"/>
  <c r="AI91" i="8"/>
  <c r="BQ91" i="8"/>
  <c r="CY91" i="8"/>
  <c r="EG91" i="8"/>
  <c r="R92" i="8"/>
  <c r="AZ87" i="8"/>
  <c r="CH87" i="8"/>
  <c r="DP87" i="8"/>
  <c r="AI88" i="8"/>
  <c r="BQ88" i="8"/>
  <c r="CY88" i="8"/>
  <c r="EG88" i="8"/>
  <c r="R89" i="8"/>
  <c r="AZ89" i="8"/>
  <c r="CH89" i="8"/>
  <c r="DP89" i="8"/>
  <c r="AI90" i="8"/>
  <c r="BQ90" i="8"/>
  <c r="CY90" i="8"/>
  <c r="EG90" i="8"/>
  <c r="R91" i="8"/>
  <c r="AZ91" i="8"/>
  <c r="CH91" i="8"/>
  <c r="DP91" i="8"/>
  <c r="AI92" i="8"/>
  <c r="BQ92" i="8"/>
  <c r="CY92" i="8"/>
  <c r="EG92" i="8"/>
  <c r="R93" i="8"/>
  <c r="AZ93" i="8"/>
  <c r="CH93" i="8"/>
  <c r="DP93" i="8"/>
  <c r="AI94" i="8"/>
  <c r="BQ94" i="8"/>
  <c r="AZ92" i="8"/>
  <c r="CH92" i="8"/>
  <c r="DP92" i="8"/>
  <c r="AI93" i="8"/>
  <c r="BQ93" i="8"/>
  <c r="CY93" i="8"/>
  <c r="EG93" i="8"/>
  <c r="R94" i="8"/>
  <c r="AZ94" i="8"/>
  <c r="CH94" i="8"/>
  <c r="CZ46" i="7"/>
  <c r="CZ41" i="7"/>
  <c r="CZ36" i="7"/>
  <c r="CZ31" i="7"/>
  <c r="CZ26" i="7"/>
  <c r="CZ21" i="7"/>
  <c r="DD133" i="7"/>
  <c r="CZ16" i="7"/>
  <c r="CN133" i="7"/>
  <c r="CJ133" i="7"/>
  <c r="CZ131" i="6"/>
  <c r="CZ126" i="6"/>
  <c r="CZ121" i="6"/>
  <c r="CZ116" i="6"/>
  <c r="CZ111" i="6"/>
  <c r="CZ106" i="6"/>
  <c r="CZ101" i="6"/>
  <c r="CZ96" i="6"/>
  <c r="CZ91" i="6"/>
  <c r="CZ86" i="6"/>
  <c r="CZ81" i="6"/>
  <c r="CZ76" i="6"/>
  <c r="CZ71" i="6"/>
  <c r="CZ66" i="6"/>
  <c r="CZ61" i="6"/>
  <c r="CZ56" i="6"/>
  <c r="CZ51" i="6"/>
  <c r="CZ46" i="6"/>
  <c r="CZ41" i="6"/>
  <c r="CZ36" i="6"/>
  <c r="CZ31" i="6"/>
  <c r="CZ26" i="6"/>
  <c r="CZ21" i="6"/>
  <c r="DD133" i="6"/>
  <c r="CZ16" i="6"/>
  <c r="CZ133" i="6" s="1"/>
  <c r="CN133" i="6"/>
  <c r="CJ133" i="6"/>
  <c r="CZ131" i="5"/>
  <c r="CZ126" i="5"/>
  <c r="CG51" i="7"/>
  <c r="CO51" i="7" s="1"/>
  <c r="CO47" i="7"/>
  <c r="CY46" i="7"/>
  <c r="DG46" i="7" s="1"/>
  <c r="DG42" i="7"/>
  <c r="CG46" i="7"/>
  <c r="CO42" i="7"/>
  <c r="CY41" i="7"/>
  <c r="DG41" i="7" s="1"/>
  <c r="DG37" i="7"/>
  <c r="CG41" i="7"/>
  <c r="CO37" i="7"/>
  <c r="CY36" i="7"/>
  <c r="DG36" i="7" s="1"/>
  <c r="DG32" i="7"/>
  <c r="CG36" i="7"/>
  <c r="CO32" i="7"/>
  <c r="CY31" i="7"/>
  <c r="DG31" i="7" s="1"/>
  <c r="DG27" i="7"/>
  <c r="CG31" i="7"/>
  <c r="CO27" i="7"/>
  <c r="CY26" i="7"/>
  <c r="DG26" i="7" s="1"/>
  <c r="DG22" i="7"/>
  <c r="CG26" i="7"/>
  <c r="CO22" i="7"/>
  <c r="CY21" i="7"/>
  <c r="DG21" i="7" s="1"/>
  <c r="DG17" i="7"/>
  <c r="CG21" i="7"/>
  <c r="CO17" i="7"/>
  <c r="DC133" i="7"/>
  <c r="CY16" i="7"/>
  <c r="DG12" i="7"/>
  <c r="CK133" i="7"/>
  <c r="CG16" i="7"/>
  <c r="CO12" i="7"/>
  <c r="CY131" i="6"/>
  <c r="DG131" i="6" s="1"/>
  <c r="DG127" i="6"/>
  <c r="CG131" i="6"/>
  <c r="CO127" i="6"/>
  <c r="CY126" i="6"/>
  <c r="DG126" i="6" s="1"/>
  <c r="DG122" i="6"/>
  <c r="CG126" i="6"/>
  <c r="CO122" i="6"/>
  <c r="CY121" i="6"/>
  <c r="DG121" i="6" s="1"/>
  <c r="DG117" i="6"/>
  <c r="CG121" i="6"/>
  <c r="CO117" i="6"/>
  <c r="CY116" i="6"/>
  <c r="DG116" i="6" s="1"/>
  <c r="DG112" i="6"/>
  <c r="CG116" i="6"/>
  <c r="CO112" i="6"/>
  <c r="CY111" i="6"/>
  <c r="DG111" i="6" s="1"/>
  <c r="DG107" i="6"/>
  <c r="CG111" i="6"/>
  <c r="CO107" i="6"/>
  <c r="CY106" i="6"/>
  <c r="DG106" i="6" s="1"/>
  <c r="DG102" i="6"/>
  <c r="CG106" i="6"/>
  <c r="CO102" i="6"/>
  <c r="CY101" i="6"/>
  <c r="DG101" i="6" s="1"/>
  <c r="DG97" i="6"/>
  <c r="CG101" i="6"/>
  <c r="CO97" i="6"/>
  <c r="CY96" i="6"/>
  <c r="DG96" i="6" s="1"/>
  <c r="DG92" i="6"/>
  <c r="CG96" i="6"/>
  <c r="CO92" i="6"/>
  <c r="CY91" i="6"/>
  <c r="DG91" i="6" s="1"/>
  <c r="DG87" i="6"/>
  <c r="CG91" i="6"/>
  <c r="CO87" i="6"/>
  <c r="CY86" i="6"/>
  <c r="DG86" i="6" s="1"/>
  <c r="DG82" i="6"/>
  <c r="CG86" i="6"/>
  <c r="CO82" i="6"/>
  <c r="CY81" i="6"/>
  <c r="DG81" i="6" s="1"/>
  <c r="DG77" i="6"/>
  <c r="CG81" i="6"/>
  <c r="CO77" i="6"/>
  <c r="CY76" i="6"/>
  <c r="DG76" i="6" s="1"/>
  <c r="DG72" i="6"/>
  <c r="CG76" i="6"/>
  <c r="CO72" i="6"/>
  <c r="CY71" i="6"/>
  <c r="DG71" i="6" s="1"/>
  <c r="DG67" i="6"/>
  <c r="CG71" i="6"/>
  <c r="CO67" i="6"/>
  <c r="CY66" i="6"/>
  <c r="DG66" i="6" s="1"/>
  <c r="DG62" i="6"/>
  <c r="CG66" i="6"/>
  <c r="CO62" i="6"/>
  <c r="CY61" i="6"/>
  <c r="DG61" i="6" s="1"/>
  <c r="DG57" i="6"/>
  <c r="CG61" i="6"/>
  <c r="CO57" i="6"/>
  <c r="CY56" i="6"/>
  <c r="DG56" i="6" s="1"/>
  <c r="DG52" i="6"/>
  <c r="CG56" i="6"/>
  <c r="CO52" i="6"/>
  <c r="CY51" i="6"/>
  <c r="DG51" i="6" s="1"/>
  <c r="DG47" i="6"/>
  <c r="CG51" i="6"/>
  <c r="CO47" i="6"/>
  <c r="CY46" i="6"/>
  <c r="DG46" i="6" s="1"/>
  <c r="DG42" i="6"/>
  <c r="CG46" i="6"/>
  <c r="CO42" i="6"/>
  <c r="CY41" i="6"/>
  <c r="DG41" i="6" s="1"/>
  <c r="DG37" i="6"/>
  <c r="CG41" i="6"/>
  <c r="CO37" i="6"/>
  <c r="CY36" i="6"/>
  <c r="DG36" i="6" s="1"/>
  <c r="DG32" i="6"/>
  <c r="CG36" i="6"/>
  <c r="CO32" i="6"/>
  <c r="CY31" i="6"/>
  <c r="DG31" i="6" s="1"/>
  <c r="DG27" i="6"/>
  <c r="CG31" i="6"/>
  <c r="CO27" i="6"/>
  <c r="CY26" i="6"/>
  <c r="DG26" i="6" s="1"/>
  <c r="DG22" i="6"/>
  <c r="CG26" i="6"/>
  <c r="CO22" i="6"/>
  <c r="CY21" i="6"/>
  <c r="DG21" i="6" s="1"/>
  <c r="DG17" i="6"/>
  <c r="CG21" i="6"/>
  <c r="CO17" i="6"/>
  <c r="DC133" i="6"/>
  <c r="CY16" i="6"/>
  <c r="DG12" i="6"/>
  <c r="CK133" i="6"/>
  <c r="CG16" i="6"/>
  <c r="CO12" i="6"/>
  <c r="CY131" i="5"/>
  <c r="DG131" i="5" s="1"/>
  <c r="DG127" i="5"/>
  <c r="CG131" i="5"/>
  <c r="CO127" i="5"/>
  <c r="CY126" i="5"/>
  <c r="DG126" i="5" s="1"/>
  <c r="DG122" i="5"/>
  <c r="CG126" i="5"/>
  <c r="CO122" i="5"/>
  <c r="CY121" i="5"/>
  <c r="DG117" i="5"/>
  <c r="CG121" i="5"/>
  <c r="CO121" i="5" s="1"/>
  <c r="CO117" i="5"/>
  <c r="CY116" i="5"/>
  <c r="DG112" i="5"/>
  <c r="CG116" i="5"/>
  <c r="CO116" i="5" s="1"/>
  <c r="CO112" i="5"/>
  <c r="CY111" i="5"/>
  <c r="DG107" i="5"/>
  <c r="CG111" i="5"/>
  <c r="CO111" i="5" s="1"/>
  <c r="CO107" i="5"/>
  <c r="CY106" i="5"/>
  <c r="DG102" i="5"/>
  <c r="CG106" i="5"/>
  <c r="CO106" i="5" s="1"/>
  <c r="CO102" i="5"/>
  <c r="CY101" i="5"/>
  <c r="DG97" i="5"/>
  <c r="CG101" i="5"/>
  <c r="CO101" i="5" s="1"/>
  <c r="CO97" i="5"/>
  <c r="CY96" i="5"/>
  <c r="DG92" i="5"/>
  <c r="CG96" i="5"/>
  <c r="CO96" i="5" s="1"/>
  <c r="CO92" i="5"/>
  <c r="DG47" i="7"/>
  <c r="DH133" i="7"/>
  <c r="CP133" i="7"/>
  <c r="BC133" i="6"/>
  <c r="S133" i="6"/>
  <c r="CZ121" i="5"/>
  <c r="CZ116" i="5"/>
  <c r="CZ106" i="5"/>
  <c r="CZ96" i="5"/>
  <c r="CY91" i="5"/>
  <c r="DG87" i="5"/>
  <c r="CG91" i="5"/>
  <c r="CO87" i="5"/>
  <c r="DE133" i="5"/>
  <c r="DA133" i="5"/>
  <c r="CM133" i="5"/>
  <c r="CI133" i="5"/>
  <c r="DE133" i="4"/>
  <c r="DA133" i="4"/>
  <c r="CM133" i="4"/>
  <c r="CI133" i="4"/>
  <c r="CH91" i="5"/>
  <c r="CH86" i="5"/>
  <c r="CH81" i="5"/>
  <c r="CH76" i="5"/>
  <c r="CH71" i="5"/>
  <c r="CH66" i="5"/>
  <c r="CH61" i="5"/>
  <c r="CH56" i="5"/>
  <c r="CH51" i="5"/>
  <c r="CH46" i="5"/>
  <c r="CH41" i="5"/>
  <c r="CH36" i="5"/>
  <c r="CH31" i="5"/>
  <c r="CH26" i="5"/>
  <c r="CH21" i="5"/>
  <c r="DF133" i="5"/>
  <c r="DB133" i="5"/>
  <c r="CL133" i="5"/>
  <c r="CH16" i="5"/>
  <c r="CH131" i="4"/>
  <c r="CH126" i="4"/>
  <c r="CH121" i="4"/>
  <c r="CH116" i="4"/>
  <c r="CH111" i="4"/>
  <c r="CH106" i="4"/>
  <c r="CH101" i="4"/>
  <c r="CH96" i="4"/>
  <c r="CH91" i="4"/>
  <c r="CH86" i="4"/>
  <c r="CH81" i="4"/>
  <c r="CH76" i="4"/>
  <c r="CH71" i="4"/>
  <c r="CH66" i="4"/>
  <c r="CH61" i="4"/>
  <c r="CH56" i="4"/>
  <c r="CH51" i="4"/>
  <c r="CH46" i="4"/>
  <c r="CH41" i="4"/>
  <c r="CH36" i="4"/>
  <c r="CH31" i="4"/>
  <c r="CH26" i="4"/>
  <c r="CZ21" i="4"/>
  <c r="CZ16" i="4"/>
  <c r="CL133" i="4"/>
  <c r="DH16" i="4"/>
  <c r="DH133" i="4" s="1"/>
  <c r="CP16" i="4"/>
  <c r="CP133" i="4" s="1"/>
  <c r="BC133" i="4"/>
  <c r="S133" i="4"/>
  <c r="BU133" i="5"/>
  <c r="AK133" i="5"/>
  <c r="CY131" i="7"/>
  <c r="DG131" i="7" s="1"/>
  <c r="DG127" i="7"/>
  <c r="CG131" i="7"/>
  <c r="CO131" i="7" s="1"/>
  <c r="CO127" i="7"/>
  <c r="CY126" i="7"/>
  <c r="DG126" i="7" s="1"/>
  <c r="DG122" i="7"/>
  <c r="CG126" i="7"/>
  <c r="CO126" i="7" s="1"/>
  <c r="CO122" i="7"/>
  <c r="CY121" i="7"/>
  <c r="DG121" i="7" s="1"/>
  <c r="DG117" i="7"/>
  <c r="CG121" i="7"/>
  <c r="CO121" i="7" s="1"/>
  <c r="CO117" i="7"/>
  <c r="CY116" i="7"/>
  <c r="DG116" i="7" s="1"/>
  <c r="DG112" i="7"/>
  <c r="CG116" i="7"/>
  <c r="CO116" i="7" s="1"/>
  <c r="CO112" i="7"/>
  <c r="CY111" i="7"/>
  <c r="DG111" i="7" s="1"/>
  <c r="DG107" i="7"/>
  <c r="CG111" i="7"/>
  <c r="CO111" i="7" s="1"/>
  <c r="CO107" i="7"/>
  <c r="CY106" i="7"/>
  <c r="DG106" i="7" s="1"/>
  <c r="DG102" i="7"/>
  <c r="CG106" i="7"/>
  <c r="CO106" i="7" s="1"/>
  <c r="CO102" i="7"/>
  <c r="CY101" i="7"/>
  <c r="DG101" i="7" s="1"/>
  <c r="DG97" i="7"/>
  <c r="CG101" i="7"/>
  <c r="CO101" i="7" s="1"/>
  <c r="CO97" i="7"/>
  <c r="CY96" i="7"/>
  <c r="DG96" i="7" s="1"/>
  <c r="DG92" i="7"/>
  <c r="CG96" i="7"/>
  <c r="CO96" i="7" s="1"/>
  <c r="CO92" i="7"/>
  <c r="CY91" i="7"/>
  <c r="DG91" i="7" s="1"/>
  <c r="DG87" i="7"/>
  <c r="CG91" i="7"/>
  <c r="CO91" i="7" s="1"/>
  <c r="CO87" i="7"/>
  <c r="CY86" i="7"/>
  <c r="DG86" i="7" s="1"/>
  <c r="DG82" i="7"/>
  <c r="CG86" i="7"/>
  <c r="CO86" i="7" s="1"/>
  <c r="CO82" i="7"/>
  <c r="CY81" i="7"/>
  <c r="DG81" i="7" s="1"/>
  <c r="DG77" i="7"/>
  <c r="CG81" i="7"/>
  <c r="CO81" i="7" s="1"/>
  <c r="CO77" i="7"/>
  <c r="CY76" i="7"/>
  <c r="DG76" i="7" s="1"/>
  <c r="DG72" i="7"/>
  <c r="CG76" i="7"/>
  <c r="CO76" i="7" s="1"/>
  <c r="CO72" i="7"/>
  <c r="CY71" i="7"/>
  <c r="DG71" i="7" s="1"/>
  <c r="DG67" i="7"/>
  <c r="CG71" i="7"/>
  <c r="CO71" i="7" s="1"/>
  <c r="CO67" i="7"/>
  <c r="CY66" i="7"/>
  <c r="DG66" i="7" s="1"/>
  <c r="DG62" i="7"/>
  <c r="CG66" i="7"/>
  <c r="CO66" i="7" s="1"/>
  <c r="CO62" i="7"/>
  <c r="CY61" i="7"/>
  <c r="DG61" i="7" s="1"/>
  <c r="DG57" i="7"/>
  <c r="CG61" i="7"/>
  <c r="CO61" i="7" s="1"/>
  <c r="CO57" i="7"/>
  <c r="CY56" i="7"/>
  <c r="DG56" i="7" s="1"/>
  <c r="DG52" i="7"/>
  <c r="CG56" i="7"/>
  <c r="CO56" i="7" s="1"/>
  <c r="CO52" i="7"/>
  <c r="DG48" i="7"/>
  <c r="CH46" i="7"/>
  <c r="CH41" i="7"/>
  <c r="CH36" i="7"/>
  <c r="CH31" i="7"/>
  <c r="CH26" i="7"/>
  <c r="CH21" i="7"/>
  <c r="DF133" i="7"/>
  <c r="DB133" i="7"/>
  <c r="CL133" i="7"/>
  <c r="CH16" i="7"/>
  <c r="CH133" i="7" s="1"/>
  <c r="CH131" i="6"/>
  <c r="CH126" i="6"/>
  <c r="CH121" i="6"/>
  <c r="CH116" i="6"/>
  <c r="CH111" i="6"/>
  <c r="CH106" i="6"/>
  <c r="CH101" i="6"/>
  <c r="CH96" i="6"/>
  <c r="CH91" i="6"/>
  <c r="CH86" i="6"/>
  <c r="CH81" i="6"/>
  <c r="CH76" i="6"/>
  <c r="CH71" i="6"/>
  <c r="CH66" i="6"/>
  <c r="CH61" i="6"/>
  <c r="CH56" i="6"/>
  <c r="CH51" i="6"/>
  <c r="CH46" i="6"/>
  <c r="CH41" i="6"/>
  <c r="CH36" i="6"/>
  <c r="CH31" i="6"/>
  <c r="CH26" i="6"/>
  <c r="CH21" i="6"/>
  <c r="DF133" i="6"/>
  <c r="DB133" i="6"/>
  <c r="CL133" i="6"/>
  <c r="CH16" i="6"/>
  <c r="CH133" i="6" s="1"/>
  <c r="CH131" i="5"/>
  <c r="CH126" i="5"/>
  <c r="DE133" i="7"/>
  <c r="DA133" i="7"/>
  <c r="CM133" i="7"/>
  <c r="CI133" i="7"/>
  <c r="DE133" i="6"/>
  <c r="DA133" i="6"/>
  <c r="CM133" i="6"/>
  <c r="CI133" i="6"/>
  <c r="CY51" i="7"/>
  <c r="DG51" i="7" s="1"/>
  <c r="CQ133" i="7"/>
  <c r="BY133" i="7"/>
  <c r="DH133" i="6"/>
  <c r="CP133" i="6"/>
  <c r="CZ111" i="5"/>
  <c r="CZ101" i="5"/>
  <c r="CY86" i="5"/>
  <c r="DG82" i="5"/>
  <c r="CG86" i="5"/>
  <c r="CO86" i="5" s="1"/>
  <c r="CO82" i="5"/>
  <c r="CY81" i="5"/>
  <c r="DG77" i="5"/>
  <c r="CG81" i="5"/>
  <c r="CO81" i="5" s="1"/>
  <c r="CO77" i="5"/>
  <c r="CY76" i="5"/>
  <c r="DG72" i="5"/>
  <c r="CG76" i="5"/>
  <c r="CO76" i="5" s="1"/>
  <c r="CO72" i="5"/>
  <c r="CY71" i="5"/>
  <c r="DG67" i="5"/>
  <c r="CG71" i="5"/>
  <c r="CO71" i="5" s="1"/>
  <c r="CO67" i="5"/>
  <c r="CY66" i="5"/>
  <c r="DG62" i="5"/>
  <c r="CG66" i="5"/>
  <c r="CO66" i="5" s="1"/>
  <c r="CO62" i="5"/>
  <c r="CY61" i="5"/>
  <c r="DG57" i="5"/>
  <c r="CG61" i="5"/>
  <c r="CO61" i="5" s="1"/>
  <c r="CO57" i="5"/>
  <c r="CY56" i="5"/>
  <c r="DG52" i="5"/>
  <c r="CG56" i="5"/>
  <c r="CO56" i="5" s="1"/>
  <c r="CO52" i="5"/>
  <c r="CY51" i="5"/>
  <c r="DG47" i="5"/>
  <c r="CG51" i="5"/>
  <c r="CO51" i="5" s="1"/>
  <c r="CO47" i="5"/>
  <c r="CY46" i="5"/>
  <c r="DG42" i="5"/>
  <c r="CG46" i="5"/>
  <c r="CO46" i="5" s="1"/>
  <c r="CO42" i="5"/>
  <c r="CY41" i="5"/>
  <c r="DG37" i="5"/>
  <c r="CG41" i="5"/>
  <c r="CO41" i="5" s="1"/>
  <c r="CO37" i="5"/>
  <c r="CY36" i="5"/>
  <c r="DG32" i="5"/>
  <c r="CG36" i="5"/>
  <c r="CO36" i="5" s="1"/>
  <c r="CO32" i="5"/>
  <c r="CY31" i="5"/>
  <c r="DG27" i="5"/>
  <c r="CG31" i="5"/>
  <c r="CO31" i="5" s="1"/>
  <c r="CO27" i="5"/>
  <c r="CY26" i="5"/>
  <c r="DG22" i="5"/>
  <c r="CG26" i="5"/>
  <c r="CO26" i="5" s="1"/>
  <c r="CO22" i="5"/>
  <c r="CY21" i="5"/>
  <c r="DG17" i="5"/>
  <c r="CG21" i="5"/>
  <c r="CO21" i="5" s="1"/>
  <c r="CO17" i="5"/>
  <c r="DC133" i="5"/>
  <c r="CY16" i="5"/>
  <c r="DG12" i="5"/>
  <c r="CK133" i="5"/>
  <c r="CG16" i="5"/>
  <c r="CO12" i="5"/>
  <c r="CY131" i="4"/>
  <c r="DG127" i="4"/>
  <c r="CG131" i="4"/>
  <c r="CO131" i="4" s="1"/>
  <c r="CO127" i="4"/>
  <c r="CY126" i="4"/>
  <c r="DG122" i="4"/>
  <c r="CG126" i="4"/>
  <c r="CO126" i="4" s="1"/>
  <c r="CO122" i="4"/>
  <c r="CY121" i="4"/>
  <c r="DG117" i="4"/>
  <c r="CG121" i="4"/>
  <c r="CO121" i="4" s="1"/>
  <c r="CO117" i="4"/>
  <c r="CY116" i="4"/>
  <c r="DG112" i="4"/>
  <c r="CG116" i="4"/>
  <c r="CO116" i="4" s="1"/>
  <c r="CO112" i="4"/>
  <c r="CY111" i="4"/>
  <c r="DG107" i="4"/>
  <c r="CG111" i="4"/>
  <c r="CO111" i="4" s="1"/>
  <c r="CO107" i="4"/>
  <c r="CY106" i="4"/>
  <c r="DG102" i="4"/>
  <c r="CG106" i="4"/>
  <c r="CO106" i="4" s="1"/>
  <c r="CO102" i="4"/>
  <c r="CY101" i="4"/>
  <c r="DG97" i="4"/>
  <c r="CG101" i="4"/>
  <c r="CO101" i="4" s="1"/>
  <c r="CO97" i="4"/>
  <c r="CY96" i="4"/>
  <c r="DG92" i="4"/>
  <c r="CG96" i="4"/>
  <c r="CO96" i="4" s="1"/>
  <c r="CO92" i="4"/>
  <c r="CY91" i="4"/>
  <c r="DG87" i="4"/>
  <c r="CG91" i="4"/>
  <c r="CO91" i="4" s="1"/>
  <c r="CO87" i="4"/>
  <c r="CY86" i="4"/>
  <c r="DG82" i="4"/>
  <c r="CG86" i="4"/>
  <c r="CO86" i="4" s="1"/>
  <c r="CO82" i="4"/>
  <c r="CY81" i="4"/>
  <c r="DG77" i="4"/>
  <c r="CG81" i="4"/>
  <c r="CO81" i="4" s="1"/>
  <c r="CO77" i="4"/>
  <c r="CY76" i="4"/>
  <c r="DG72" i="4"/>
  <c r="CG76" i="4"/>
  <c r="CO76" i="4" s="1"/>
  <c r="CO72" i="4"/>
  <c r="CY71" i="4"/>
  <c r="DG67" i="4"/>
  <c r="CG71" i="4"/>
  <c r="CO71" i="4" s="1"/>
  <c r="CO67" i="4"/>
  <c r="CY66" i="4"/>
  <c r="DG62" i="4"/>
  <c r="CG66" i="4"/>
  <c r="CO66" i="4" s="1"/>
  <c r="CO62" i="4"/>
  <c r="CY61" i="4"/>
  <c r="DG57" i="4"/>
  <c r="CG61" i="4"/>
  <c r="CO61" i="4" s="1"/>
  <c r="CO57" i="4"/>
  <c r="CY56" i="4"/>
  <c r="DG52" i="4"/>
  <c r="CG56" i="4"/>
  <c r="CO56" i="4" s="1"/>
  <c r="CO52" i="4"/>
  <c r="CY51" i="4"/>
  <c r="DG47" i="4"/>
  <c r="CG51" i="4"/>
  <c r="CO51" i="4" s="1"/>
  <c r="CO47" i="4"/>
  <c r="CY46" i="4"/>
  <c r="DG42" i="4"/>
  <c r="CG46" i="4"/>
  <c r="CO46" i="4" s="1"/>
  <c r="CO42" i="4"/>
  <c r="CY41" i="4"/>
  <c r="DG37" i="4"/>
  <c r="CG41" i="4"/>
  <c r="CO41" i="4" s="1"/>
  <c r="CO37" i="4"/>
  <c r="CY36" i="4"/>
  <c r="DG32" i="4"/>
  <c r="CG36" i="4"/>
  <c r="CO36" i="4" s="1"/>
  <c r="CO32" i="4"/>
  <c r="CY31" i="4"/>
  <c r="DG27" i="4"/>
  <c r="CG31" i="4"/>
  <c r="CO31" i="4" s="1"/>
  <c r="CO27" i="4"/>
  <c r="CY26" i="4"/>
  <c r="DG22" i="4"/>
  <c r="CG26" i="4"/>
  <c r="CO26" i="4" s="1"/>
  <c r="CO22" i="4"/>
  <c r="CY21" i="4"/>
  <c r="DG21" i="4" s="1"/>
  <c r="DG17" i="4"/>
  <c r="CG21" i="4"/>
  <c r="CO17" i="4"/>
  <c r="DC133" i="4"/>
  <c r="CY16" i="4"/>
  <c r="DG12" i="4"/>
  <c r="CK133" i="4"/>
  <c r="CG16" i="4"/>
  <c r="CO12" i="4"/>
  <c r="BU133" i="7"/>
  <c r="AK133" i="7"/>
  <c r="BU133" i="6"/>
  <c r="AK133" i="6"/>
  <c r="CZ91" i="5"/>
  <c r="CZ86" i="5"/>
  <c r="CZ81" i="5"/>
  <c r="CZ76" i="5"/>
  <c r="CZ71" i="5"/>
  <c r="CZ66" i="5"/>
  <c r="CZ61" i="5"/>
  <c r="CZ56" i="5"/>
  <c r="CZ51" i="5"/>
  <c r="CZ46" i="5"/>
  <c r="CZ41" i="5"/>
  <c r="CZ36" i="5"/>
  <c r="CZ31" i="5"/>
  <c r="CZ26" i="5"/>
  <c r="CZ21" i="5"/>
  <c r="DD133" i="5"/>
  <c r="CZ16" i="5"/>
  <c r="CN133" i="5"/>
  <c r="CJ133" i="5"/>
  <c r="CZ131" i="4"/>
  <c r="CZ126" i="4"/>
  <c r="CZ121" i="4"/>
  <c r="CZ116" i="4"/>
  <c r="CZ111" i="4"/>
  <c r="CZ106" i="4"/>
  <c r="CZ101" i="4"/>
  <c r="CZ96" i="4"/>
  <c r="CZ91" i="4"/>
  <c r="CZ86" i="4"/>
  <c r="CZ81" i="4"/>
  <c r="CZ76" i="4"/>
  <c r="CZ71" i="4"/>
  <c r="CZ66" i="4"/>
  <c r="CZ61" i="4"/>
  <c r="CZ56" i="4"/>
  <c r="CZ51" i="4"/>
  <c r="CZ46" i="4"/>
  <c r="CZ41" i="4"/>
  <c r="CZ36" i="4"/>
  <c r="CZ31" i="4"/>
  <c r="CZ26" i="4"/>
  <c r="CH21" i="4"/>
  <c r="CH133" i="4" s="1"/>
  <c r="CN133" i="4"/>
  <c r="CJ133" i="4"/>
  <c r="DH133" i="5"/>
  <c r="CP133" i="5"/>
  <c r="BC133" i="5"/>
  <c r="S133" i="5"/>
  <c r="AK133" i="4"/>
  <c r="Q7" i="8"/>
  <c r="Q5" i="8"/>
  <c r="Q3" i="8"/>
  <c r="Q1" i="8"/>
  <c r="Q8" i="8"/>
  <c r="Q6" i="8"/>
  <c r="Q4" i="8"/>
  <c r="Q2" i="8"/>
  <c r="M29" i="8" l="1"/>
  <c r="CY133" i="4"/>
  <c r="DG16" i="4"/>
  <c r="CY133" i="5"/>
  <c r="DG16" i="5"/>
  <c r="CZ133" i="4"/>
  <c r="CH133" i="5"/>
  <c r="DG96" i="5"/>
  <c r="DG101" i="5"/>
  <c r="DG106" i="5"/>
  <c r="DG111" i="5"/>
  <c r="DG116" i="5"/>
  <c r="DG121" i="5"/>
  <c r="CO126" i="5"/>
  <c r="CO131" i="5"/>
  <c r="CG133" i="6"/>
  <c r="CO16" i="6"/>
  <c r="CO21" i="6"/>
  <c r="CO26" i="6"/>
  <c r="CO31" i="6"/>
  <c r="CO36" i="6"/>
  <c r="CO41" i="6"/>
  <c r="CO46" i="6"/>
  <c r="CO51" i="6"/>
  <c r="CO56" i="6"/>
  <c r="CO61" i="6"/>
  <c r="CO66" i="6"/>
  <c r="CO71" i="6"/>
  <c r="CO76" i="6"/>
  <c r="CO81" i="6"/>
  <c r="CO86" i="6"/>
  <c r="CO91" i="6"/>
  <c r="CO96" i="6"/>
  <c r="CO101" i="6"/>
  <c r="CO106" i="6"/>
  <c r="CO111" i="6"/>
  <c r="CO116" i="6"/>
  <c r="CO121" i="6"/>
  <c r="CO126" i="6"/>
  <c r="CO131" i="6"/>
  <c r="CG133" i="7"/>
  <c r="CO16" i="7"/>
  <c r="CO21" i="7"/>
  <c r="CO26" i="7"/>
  <c r="CO31" i="7"/>
  <c r="CO36" i="7"/>
  <c r="CO41" i="7"/>
  <c r="CO46" i="7"/>
  <c r="CZ133" i="7"/>
  <c r="Q94" i="8"/>
  <c r="Q58" i="8"/>
  <c r="Q56" i="8"/>
  <c r="Q54" i="8"/>
  <c r="Q52" i="8"/>
  <c r="Q50" i="8"/>
  <c r="Q48" i="8"/>
  <c r="Q46" i="8"/>
  <c r="Q44" i="8"/>
  <c r="Q42" i="8"/>
  <c r="Q62" i="8"/>
  <c r="Q41" i="8"/>
  <c r="Q39" i="8"/>
  <c r="Q37" i="8"/>
  <c r="Q35" i="8"/>
  <c r="Q33" i="8"/>
  <c r="Q31" i="8"/>
  <c r="Q30" i="8"/>
  <c r="Q29" i="8"/>
  <c r="Q28" i="8"/>
  <c r="Q27" i="8"/>
  <c r="Q25" i="8"/>
  <c r="Q23" i="8"/>
  <c r="Q21" i="8"/>
  <c r="Q19" i="8"/>
  <c r="Q40" i="8"/>
  <c r="Q38" i="8"/>
  <c r="Q36" i="8"/>
  <c r="Q34" i="8"/>
  <c r="Q32" i="8"/>
  <c r="Q26" i="8"/>
  <c r="Q13" i="8"/>
  <c r="N23" i="8"/>
  <c r="M25" i="8"/>
  <c r="L32" i="8"/>
  <c r="K26" i="8"/>
  <c r="Q15" i="8"/>
  <c r="M31" i="8"/>
  <c r="N25" i="8" s="1"/>
  <c r="I26" i="8"/>
  <c r="M22" i="8"/>
  <c r="Q96" i="8"/>
  <c r="Q87" i="8"/>
  <c r="Q85" i="8"/>
  <c r="Q83" i="8"/>
  <c r="Q86" i="8"/>
  <c r="Q84" i="8"/>
  <c r="Q82" i="8"/>
  <c r="Q80" i="8"/>
  <c r="Q78" i="8"/>
  <c r="Q76" i="8"/>
  <c r="Q72" i="8"/>
  <c r="Q70" i="8"/>
  <c r="Q68" i="8"/>
  <c r="Q66" i="8"/>
  <c r="Q64" i="8"/>
  <c r="Q60" i="8"/>
  <c r="Q43" i="8"/>
  <c r="Q17" i="8"/>
  <c r="Q9" i="8"/>
  <c r="J32" i="8"/>
  <c r="CZ133" i="5"/>
  <c r="CG133" i="4"/>
  <c r="CO16" i="4"/>
  <c r="CO133" i="4" s="1"/>
  <c r="CO21" i="4"/>
  <c r="DG26" i="4"/>
  <c r="DG31" i="4"/>
  <c r="DG36" i="4"/>
  <c r="DG41" i="4"/>
  <c r="DG46" i="4"/>
  <c r="DG51" i="4"/>
  <c r="DG56" i="4"/>
  <c r="DG61" i="4"/>
  <c r="DG66" i="4"/>
  <c r="DG71" i="4"/>
  <c r="DG76" i="4"/>
  <c r="DG81" i="4"/>
  <c r="DG86" i="4"/>
  <c r="DG91" i="4"/>
  <c r="DG96" i="4"/>
  <c r="DG101" i="4"/>
  <c r="DG106" i="4"/>
  <c r="DG111" i="4"/>
  <c r="DG116" i="4"/>
  <c r="DG121" i="4"/>
  <c r="DG126" i="4"/>
  <c r="DG131" i="4"/>
  <c r="CG133" i="5"/>
  <c r="CO16" i="5"/>
  <c r="DG21" i="5"/>
  <c r="DG26" i="5"/>
  <c r="DG31" i="5"/>
  <c r="DG36" i="5"/>
  <c r="DG41" i="5"/>
  <c r="DG46" i="5"/>
  <c r="DG51" i="5"/>
  <c r="DG56" i="5"/>
  <c r="DG61" i="5"/>
  <c r="DG66" i="5"/>
  <c r="DG71" i="5"/>
  <c r="DG76" i="5"/>
  <c r="DG81" i="5"/>
  <c r="DG86" i="5"/>
  <c r="CO91" i="5"/>
  <c r="DG91" i="5"/>
  <c r="CY133" i="6"/>
  <c r="DG16" i="6"/>
  <c r="DG133" i="6" s="1"/>
  <c r="CY133" i="7"/>
  <c r="DG16" i="7"/>
  <c r="DG133" i="7" s="1"/>
  <c r="Q93" i="8"/>
  <c r="Q91" i="8"/>
  <c r="Q89" i="8"/>
  <c r="Q92" i="8"/>
  <c r="Q90" i="8"/>
  <c r="Q88" i="8"/>
  <c r="Q81" i="8"/>
  <c r="Q79" i="8"/>
  <c r="Q77" i="8"/>
  <c r="Q75" i="8"/>
  <c r="Q73" i="8"/>
  <c r="Q71" i="8"/>
  <c r="Q69" i="8"/>
  <c r="Q67" i="8"/>
  <c r="Q65" i="8"/>
  <c r="Q63" i="8"/>
  <c r="Q61" i="8"/>
  <c r="Q20" i="8"/>
  <c r="Q22" i="8"/>
  <c r="M24" i="8"/>
  <c r="L26" i="8"/>
  <c r="I32" i="8"/>
  <c r="I27" i="8" s="1"/>
  <c r="M28" i="8"/>
  <c r="N22" i="8" s="1"/>
  <c r="Q18" i="8"/>
  <c r="Q24" i="8"/>
  <c r="Q14" i="8"/>
  <c r="Q16" i="8"/>
  <c r="Q10" i="8"/>
  <c r="M30" i="8"/>
  <c r="N24" i="8" s="1"/>
  <c r="K32" i="8"/>
  <c r="K27" i="8" s="1"/>
  <c r="Q95" i="8"/>
  <c r="Q74" i="8"/>
  <c r="Q59" i="8"/>
  <c r="Q57" i="8"/>
  <c r="Q55" i="8"/>
  <c r="Q53" i="8"/>
  <c r="Q51" i="8"/>
  <c r="Q49" i="8"/>
  <c r="Q47" i="8"/>
  <c r="Q45" i="8"/>
  <c r="Q12" i="8"/>
  <c r="J26" i="8"/>
  <c r="L17" i="8"/>
  <c r="CO133" i="5" l="1"/>
  <c r="J27" i="8"/>
  <c r="CO133" i="6"/>
  <c r="DG133" i="5"/>
  <c r="DG133" i="4"/>
  <c r="L27" i="8"/>
  <c r="CO133" i="7"/>
  <c r="J17" i="8"/>
  <c r="K17" i="8" l="1"/>
</calcChain>
</file>

<file path=xl/sharedStrings.xml><?xml version="1.0" encoding="utf-8"?>
<sst xmlns="http://schemas.openxmlformats.org/spreadsheetml/2006/main" count="1331" uniqueCount="167">
  <si>
    <t>Bishopthorpe Road, York: Queue Length Survey - Monday, 12 July 2021</t>
  </si>
  <si>
    <t>Produced by Streetwise Services Ltd.</t>
  </si>
  <si>
    <t>Junction:</t>
  </si>
  <si>
    <t>A - (North) Bishopthorpe Road / B - Butcher Terrace / C - (South) Bishopthorpe Road / D - South Bank Avenue</t>
  </si>
  <si>
    <t>SWSC Version:</t>
  </si>
  <si>
    <t>3.01b</t>
  </si>
  <si>
    <t>Project File:</t>
  </si>
  <si>
    <t>Z:\Projects\8790 - Bishopthorpe Road, York (BO - 07.06)\Count forms\Batch 2\SWSP - 8790.SWP</t>
  </si>
  <si>
    <t>Date Generated:</t>
  </si>
  <si>
    <t>Bishopthorpe Road, York - Manual Traffic Survey: Friday, 16 July 2021</t>
  </si>
  <si>
    <t>CLASSIFICATION</t>
  </si>
  <si>
    <t>PCU</t>
  </si>
  <si>
    <t>CAR</t>
  </si>
  <si>
    <t>LGV</t>
  </si>
  <si>
    <t>OGV1</t>
  </si>
  <si>
    <t>OGV2</t>
  </si>
  <si>
    <t>BUS</t>
  </si>
  <si>
    <t>P/CYCLE</t>
  </si>
  <si>
    <t>M/CYCLE</t>
  </si>
  <si>
    <t>CARAVAN</t>
  </si>
  <si>
    <t>Approach:</t>
  </si>
  <si>
    <t>A - (North) Bishopthorpe Road</t>
  </si>
  <si>
    <t>A to B</t>
  </si>
  <si>
    <t>A to C</t>
  </si>
  <si>
    <t>A to D</t>
  </si>
  <si>
    <t>A to A</t>
  </si>
  <si>
    <t>From A</t>
  </si>
  <si>
    <t>To A</t>
  </si>
  <si>
    <t>TIME</t>
  </si>
  <si>
    <t>TOTAL</t>
  </si>
  <si>
    <t xml:space="preserve"> 00:00 -  00:15</t>
  </si>
  <si>
    <t xml:space="preserve"> 00:15 -  00:30</t>
  </si>
  <si>
    <t xml:space="preserve"> 00:30 -  00:45</t>
  </si>
  <si>
    <t xml:space="preserve"> 00:45 -  01:00</t>
  </si>
  <si>
    <t>Hourly Total</t>
  </si>
  <si>
    <t xml:space="preserve"> 01:00 -  01:15</t>
  </si>
  <si>
    <t xml:space="preserve"> 01:15 -  01:30</t>
  </si>
  <si>
    <t xml:space="preserve"> 01:30 -  01:45</t>
  </si>
  <si>
    <t xml:space="preserve"> 01:45 -  02:00</t>
  </si>
  <si>
    <t xml:space="preserve"> 02:00 -  02:15</t>
  </si>
  <si>
    <t xml:space="preserve"> 02:15 -  02:30</t>
  </si>
  <si>
    <t xml:space="preserve"> 02:30 -  02:45</t>
  </si>
  <si>
    <t xml:space="preserve"> 02:45 -  03:00</t>
  </si>
  <si>
    <t xml:space="preserve"> 03:00 -  03:15</t>
  </si>
  <si>
    <t xml:space="preserve"> 03:15 -  03:30</t>
  </si>
  <si>
    <t xml:space="preserve"> 03:30 -  03:45</t>
  </si>
  <si>
    <t xml:space="preserve"> 03:45 -  04:00</t>
  </si>
  <si>
    <t xml:space="preserve"> 04:00 -  04:15</t>
  </si>
  <si>
    <t xml:space="preserve"> 04:15 -  04:30</t>
  </si>
  <si>
    <t xml:space="preserve"> 04:30 -  04:45</t>
  </si>
  <si>
    <t xml:space="preserve"> 04:45 -  05:00</t>
  </si>
  <si>
    <t xml:space="preserve"> 05:00 -  05:15</t>
  </si>
  <si>
    <t xml:space="preserve"> 05:15 -  05:30</t>
  </si>
  <si>
    <t xml:space="preserve"> 05:30 -  05:45</t>
  </si>
  <si>
    <t xml:space="preserve"> 05:45 -  06:00</t>
  </si>
  <si>
    <t xml:space="preserve"> 06:00 -  06:15</t>
  </si>
  <si>
    <t xml:space="preserve"> 06:15 -  06:30</t>
  </si>
  <si>
    <t xml:space="preserve"> 06:30 -  06:45</t>
  </si>
  <si>
    <t xml:space="preserve"> 06:45 -  07:00</t>
  </si>
  <si>
    <t xml:space="preserve"> 07:00 -  07:15</t>
  </si>
  <si>
    <t xml:space="preserve"> 07:15 -  07:30</t>
  </si>
  <si>
    <t xml:space="preserve"> 07:30 -  07:45</t>
  </si>
  <si>
    <t xml:space="preserve"> 07:45 -  08:00</t>
  </si>
  <si>
    <t xml:space="preserve"> 08:00 -  08:15</t>
  </si>
  <si>
    <t xml:space="preserve"> 08:15 -  08:30</t>
  </si>
  <si>
    <t xml:space="preserve"> 08:30 -  08:45</t>
  </si>
  <si>
    <t xml:space="preserve"> 08:45 -  09:00</t>
  </si>
  <si>
    <t xml:space="preserve"> 09:00 -  09:15</t>
  </si>
  <si>
    <t xml:space="preserve"> 09:15 -  09:30</t>
  </si>
  <si>
    <t xml:space="preserve"> 09:30 -  09:45</t>
  </si>
  <si>
    <t xml:space="preserve"> 09:45 -  10:00</t>
  </si>
  <si>
    <t xml:space="preserve"> 10:00 -  10:15</t>
  </si>
  <si>
    <t xml:space="preserve"> 10:15 -  10:30</t>
  </si>
  <si>
    <t xml:space="preserve"> 10:30 -  10:45</t>
  </si>
  <si>
    <t xml:space="preserve"> 10:45 -  11:00</t>
  </si>
  <si>
    <t xml:space="preserve"> 11:00 -  11:15</t>
  </si>
  <si>
    <t xml:space="preserve"> 11:15 -  11:30</t>
  </si>
  <si>
    <t xml:space="preserve"> 11:30 -  11:45</t>
  </si>
  <si>
    <t xml:space="preserve"> 11:45 -  12:00</t>
  </si>
  <si>
    <t xml:space="preserve"> 12:00 -  12:15</t>
  </si>
  <si>
    <t xml:space="preserve"> 12:15 -  12:30</t>
  </si>
  <si>
    <t xml:space="preserve"> 12:30 -  12:45</t>
  </si>
  <si>
    <t xml:space="preserve"> 12:45 -  13:00</t>
  </si>
  <si>
    <t xml:space="preserve"> 13:00 -  13:15</t>
  </si>
  <si>
    <t xml:space="preserve"> 13:15 -  13:30</t>
  </si>
  <si>
    <t xml:space="preserve"> 13:30 -  13:45</t>
  </si>
  <si>
    <t xml:space="preserve"> 13:45 -  14:00</t>
  </si>
  <si>
    <t xml:space="preserve"> 14:00 -  14:15</t>
  </si>
  <si>
    <t xml:space="preserve"> 14:15 -  14:30</t>
  </si>
  <si>
    <t xml:space="preserve"> 14:30 -  14:45</t>
  </si>
  <si>
    <t xml:space="preserve"> 14:45 -  15:00</t>
  </si>
  <si>
    <t xml:space="preserve"> 15:00 -  15:15</t>
  </si>
  <si>
    <t xml:space="preserve"> 15:15 -  15:30</t>
  </si>
  <si>
    <t xml:space="preserve"> 15:30 -  15:45</t>
  </si>
  <si>
    <t xml:space="preserve"> 15:45 -  16:00</t>
  </si>
  <si>
    <t xml:space="preserve"> 16:00 -  16:15</t>
  </si>
  <si>
    <t xml:space="preserve"> 16:15 -  16:30</t>
  </si>
  <si>
    <t xml:space="preserve"> 16:30 -  16:45</t>
  </si>
  <si>
    <t xml:space="preserve"> 16:45 -  17:00</t>
  </si>
  <si>
    <t xml:space="preserve"> 17:00 -  17:15</t>
  </si>
  <si>
    <t xml:space="preserve"> 17:15 -  17:30</t>
  </si>
  <si>
    <t xml:space="preserve"> 17:30 -  17:45</t>
  </si>
  <si>
    <t xml:space="preserve"> 17:45 -  18:00</t>
  </si>
  <si>
    <t xml:space="preserve"> 18:00 -  18:15</t>
  </si>
  <si>
    <t xml:space="preserve"> 18:15 -  18:30</t>
  </si>
  <si>
    <t xml:space="preserve"> 18:30 -  18:45</t>
  </si>
  <si>
    <t xml:space="preserve"> 18:45 -  19:00</t>
  </si>
  <si>
    <t xml:space="preserve"> 19:00 -  19:15</t>
  </si>
  <si>
    <t xml:space="preserve"> 19:15 -  19:30</t>
  </si>
  <si>
    <t xml:space="preserve"> 19:30 -  19:45</t>
  </si>
  <si>
    <t xml:space="preserve"> 19:45 -  20:00</t>
  </si>
  <si>
    <t xml:space="preserve"> 20:00 -  20:15</t>
  </si>
  <si>
    <t xml:space="preserve"> 20:15 -  20:30</t>
  </si>
  <si>
    <t xml:space="preserve"> 20:30 -  20:45</t>
  </si>
  <si>
    <t xml:space="preserve"> 20:45 -  21:00</t>
  </si>
  <si>
    <t xml:space="preserve"> 21:00 -  21:15</t>
  </si>
  <si>
    <t xml:space="preserve"> 21:15 -  21:30</t>
  </si>
  <si>
    <t xml:space="preserve"> 21:30 -  21:45</t>
  </si>
  <si>
    <t xml:space="preserve"> 21:45 -  22:00</t>
  </si>
  <si>
    <t xml:space="preserve"> 22:00 -  22:15</t>
  </si>
  <si>
    <t xml:space="preserve"> 22:15 -  22:30</t>
  </si>
  <si>
    <t xml:space="preserve"> 22:30 -  22:45</t>
  </si>
  <si>
    <t xml:space="preserve"> 22:45 -  23:00</t>
  </si>
  <si>
    <t xml:space="preserve"> 23:00 -  23:15</t>
  </si>
  <si>
    <t xml:space="preserve"> 23:15 -  23:30</t>
  </si>
  <si>
    <t xml:space="preserve"> 23:30 -  23:45</t>
  </si>
  <si>
    <t xml:space="preserve"> 23:45 -  00:00</t>
  </si>
  <si>
    <t>Session Total</t>
  </si>
  <si>
    <t>B - Butcher Terrace</t>
  </si>
  <si>
    <t>B to C</t>
  </si>
  <si>
    <t>B to D</t>
  </si>
  <si>
    <t>B to A</t>
  </si>
  <si>
    <t>B to B</t>
  </si>
  <si>
    <t>From B</t>
  </si>
  <si>
    <t>To B</t>
  </si>
  <si>
    <t>C - (South) Bishopthorpe Road</t>
  </si>
  <si>
    <t>C to D</t>
  </si>
  <si>
    <t>C to A</t>
  </si>
  <si>
    <t>C to B</t>
  </si>
  <si>
    <t>C to C</t>
  </si>
  <si>
    <t>From C</t>
  </si>
  <si>
    <t>To C</t>
  </si>
  <si>
    <t>D - South Bank Avenue</t>
  </si>
  <si>
    <t>D to A</t>
  </si>
  <si>
    <t>D to B</t>
  </si>
  <si>
    <t>D to C</t>
  </si>
  <si>
    <t>D to D</t>
  </si>
  <si>
    <t>From D</t>
  </si>
  <si>
    <t>To D</t>
  </si>
  <si>
    <t>Matrix Totals:</t>
  </si>
  <si>
    <t>Counts</t>
  </si>
  <si>
    <t>Show single Session:</t>
  </si>
  <si>
    <t>No</t>
  </si>
  <si>
    <t xml:space="preserve"> 00:00 to  23:59</t>
  </si>
  <si>
    <t>Custom Start / End:</t>
  </si>
  <si>
    <t>Show Peak Times:</t>
  </si>
  <si>
    <t>Arm Destination</t>
  </si>
  <si>
    <t>A</t>
  </si>
  <si>
    <t>B</t>
  </si>
  <si>
    <t>C</t>
  </si>
  <si>
    <t>D</t>
  </si>
  <si>
    <t>Total</t>
  </si>
  <si>
    <t>% Total</t>
  </si>
  <si>
    <t>Arm Origin</t>
  </si>
  <si>
    <t>Classifications</t>
  </si>
  <si>
    <t>Include</t>
  </si>
  <si>
    <t>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</si>
</sst>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6" formatCode="\ hh:mm"/>
    <numFmt numFmtId="167" formatCode="0.0"/>
    <numFmt numFmtId="170" formatCode="yyyy/mm/dd\ h:mm"/>
  </numFmts>
  <fonts count="13">
    <font>
      <sz val="11"/>
      <color theme="1"/>
      <name val="Calibri"/>
      <charset val="134"/>
      <scheme val="minor"/>
    </font>
    <font>
      <b/>
      <i/>
      <sz val="16"/>
      <color rgb="FF008000"/>
      <name val="Segoe UI"/>
      <charset val="134"/>
    </font>
    <font>
      <b/>
      <sz val="10"/>
      <color rgb="FF000000"/>
      <name val="Segoe UI"/>
      <charset val="134"/>
    </font>
    <font>
      <b/>
      <sz val="12"/>
      <color rgb="FF000000"/>
      <name val="Segoe UI"/>
      <charset val="134"/>
    </font>
    <font>
      <b/>
      <sz val="12"/>
      <color rgb="FF000066"/>
      <name val="Segoe UI"/>
      <charset val="134"/>
    </font>
    <font>
      <b/>
      <sz val="10"/>
      <color rgb="FF000000"/>
      <name val="Arial"/>
      <charset val="134"/>
    </font>
    <font>
      <b/>
      <sz val="14"/>
      <color rgb="FFFFFFFF"/>
      <name val="Arial"/>
      <charset val="134"/>
    </font>
    <font>
      <b/>
      <sz val="9"/>
      <color rgb="FFFFFFFF"/>
      <name val="Arial"/>
      <charset val="134"/>
    </font>
    <font>
      <b/>
      <sz val="12"/>
      <color rgb="FF000000"/>
      <name val="Arial"/>
      <charset val="134"/>
    </font>
    <font>
      <sz val="11"/>
      <color theme="0"/>
      <name val="Calibri"/>
      <charset val="134"/>
      <scheme val="minor"/>
    </font>
    <font>
      <b/>
      <i/>
      <sz val="12"/>
      <color rgb="FF000000"/>
      <name val="Arial"/>
      <charset val="134"/>
    </font>
    <font>
      <sz val="10"/>
      <color rgb="FF000000"/>
      <name val="Arial"/>
      <charset val="134"/>
    </font>
    <font>
      <b/>
      <sz val="12"/>
      <color rgb="FF980000"/>
      <name val="Segoe UI"/>
      <charset val="134"/>
    </font>
  </fonts>
  <fills count="11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EDFCF1"/>
        <bgColor indexed="64"/>
      </patternFill>
    </fill>
    <fill>
      <patternFill patternType="solid">
        <fgColor rgb="FF3300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</fills>
  <borders count="22"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1">
    <xf numFmtId="0" fontId="0" fillId="0" borderId="0" xfId="0"/>
    <xf numFmtId="166" fontId="0" fillId="0" borderId="0" xfId="0" applyNumberFormat="1" applyProtection="1">
      <protection locked="0"/>
    </xf>
    <xf numFmtId="14" fontId="0" fillId="0" borderId="0" xfId="0" applyNumberFormat="1"/>
    <xf numFmtId="170" fontId="0" fillId="0" borderId="0" xfId="0" applyNumberFormat="1"/>
    <xf numFmtId="0" fontId="1" fillId="0" borderId="0" xfId="0" applyFont="1" applyAlignment="1">
      <alignment horizontal="left" vertical="center" indent="6"/>
    </xf>
    <xf numFmtId="0" fontId="2" fillId="0" borderId="0" xfId="0" applyFont="1" applyAlignment="1">
      <alignment horizontal="left" vertical="center" indent="1"/>
    </xf>
    <xf numFmtId="0" fontId="3" fillId="0" borderId="0" xfId="0" applyFont="1" applyAlignment="1">
      <alignment horizontal="right" vertical="center"/>
    </xf>
    <xf numFmtId="0" fontId="4" fillId="0" borderId="0" xfId="0" applyFont="1" applyAlignment="1">
      <alignment horizontal="left" vertical="center" indent="1"/>
    </xf>
    <xf numFmtId="0" fontId="5" fillId="0" borderId="0" xfId="0" applyFont="1" applyBorder="1" applyAlignment="1">
      <alignment horizontal="right" vertical="center"/>
    </xf>
    <xf numFmtId="0" fontId="0" fillId="2" borderId="0" xfId="0" applyFill="1"/>
    <xf numFmtId="0" fontId="6" fillId="3" borderId="0" xfId="0" applyFont="1" applyFill="1" applyBorder="1" applyAlignment="1">
      <alignment horizontal="center" vertical="center" wrapText="1" shrinkToFit="1"/>
    </xf>
    <xf numFmtId="0" fontId="7" fillId="4" borderId="1" xfId="0" applyFont="1" applyFill="1" applyBorder="1" applyAlignment="1">
      <alignment horizontal="center" vertical="center" wrapText="1" shrinkToFit="1"/>
    </xf>
    <xf numFmtId="0" fontId="7" fillId="4" borderId="2" xfId="0" applyFont="1" applyFill="1" applyBorder="1" applyAlignment="1">
      <alignment horizontal="center" vertical="center" wrapText="1" shrinkToFit="1"/>
    </xf>
    <xf numFmtId="0" fontId="9" fillId="0" borderId="0" xfId="0" applyFont="1"/>
    <xf numFmtId="166" fontId="8" fillId="5" borderId="5" xfId="0" applyNumberFormat="1" applyFont="1" applyFill="1" applyBorder="1" applyAlignment="1" applyProtection="1">
      <alignment horizontal="left" vertical="center" indent="1"/>
      <protection locked="0"/>
    </xf>
    <xf numFmtId="166" fontId="8" fillId="5" borderId="3" xfId="0" applyNumberFormat="1" applyFont="1" applyFill="1" applyBorder="1" applyAlignment="1" applyProtection="1">
      <alignment horizontal="left" vertical="center" indent="1"/>
      <protection locked="0"/>
    </xf>
    <xf numFmtId="166" fontId="8" fillId="5" borderId="6" xfId="0" applyNumberFormat="1" applyFont="1" applyFill="1" applyBorder="1" applyAlignment="1" applyProtection="1">
      <alignment horizontal="left" vertical="center" indent="1"/>
      <protection locked="0"/>
    </xf>
    <xf numFmtId="0" fontId="6" fillId="6" borderId="0" xfId="0" applyFont="1" applyFill="1" applyBorder="1" applyAlignment="1">
      <alignment horizontal="center" vertical="center" wrapText="1" shrinkToFit="1"/>
    </xf>
    <xf numFmtId="0" fontId="7" fillId="4" borderId="7" xfId="0" applyFont="1" applyFill="1" applyBorder="1" applyAlignment="1">
      <alignment horizontal="center" vertical="center" wrapText="1" shrinkToFit="1"/>
    </xf>
    <xf numFmtId="0" fontId="7" fillId="4" borderId="8" xfId="0" applyFont="1" applyFill="1" applyBorder="1" applyAlignment="1">
      <alignment horizontal="center" vertical="center" wrapText="1" shrinkToFit="1"/>
    </xf>
    <xf numFmtId="1" fontId="11" fillId="7" borderId="9" xfId="0" applyNumberFormat="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1" fontId="5" fillId="8" borderId="10" xfId="0" applyNumberFormat="1" applyFont="1" applyFill="1" applyBorder="1" applyAlignment="1">
      <alignment horizontal="center" vertical="center"/>
    </xf>
    <xf numFmtId="10" fontId="5" fillId="9" borderId="11" xfId="0" applyNumberFormat="1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5" fillId="8" borderId="9" xfId="0" applyFont="1" applyFill="1" applyBorder="1" applyAlignment="1">
      <alignment horizontal="center" vertical="center"/>
    </xf>
    <xf numFmtId="10" fontId="5" fillId="9" borderId="12" xfId="0" applyNumberFormat="1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/>
    </xf>
    <xf numFmtId="10" fontId="5" fillId="9" borderId="14" xfId="0" applyNumberFormat="1" applyFont="1" applyFill="1" applyBorder="1" applyAlignment="1">
      <alignment horizontal="center" vertical="center"/>
    </xf>
    <xf numFmtId="1" fontId="5" fillId="8" borderId="15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10" fontId="5" fillId="9" borderId="16" xfId="0" applyNumberFormat="1" applyFont="1" applyFill="1" applyBorder="1" applyAlignment="1">
      <alignment horizontal="center" vertical="center"/>
    </xf>
    <xf numFmtId="10" fontId="5" fillId="9" borderId="13" xfId="0" applyNumberFormat="1" applyFont="1" applyFill="1" applyBorder="1" applyAlignment="1">
      <alignment horizontal="center" vertical="center"/>
    </xf>
    <xf numFmtId="1" fontId="11" fillId="7" borderId="10" xfId="0" applyNumberFormat="1" applyFont="1" applyFill="1" applyBorder="1" applyAlignment="1">
      <alignment horizontal="center" vertical="center"/>
    </xf>
    <xf numFmtId="1" fontId="5" fillId="8" borderId="12" xfId="0" applyNumberFormat="1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1" fontId="5" fillId="8" borderId="1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 indent="1" shrinkToFit="1"/>
    </xf>
    <xf numFmtId="0" fontId="11" fillId="0" borderId="9" xfId="0" applyFont="1" applyBorder="1" applyAlignment="1">
      <alignment horizontal="left" vertical="center" wrapText="1" indent="1" shrinkToFit="1"/>
    </xf>
    <xf numFmtId="0" fontId="8" fillId="5" borderId="5" xfId="0" applyFont="1" applyFill="1" applyBorder="1" applyAlignment="1" applyProtection="1">
      <alignment horizontal="left" vertical="center" wrapText="1" indent="1" shrinkToFit="1"/>
      <protection locked="0"/>
    </xf>
    <xf numFmtId="0" fontId="11" fillId="0" borderId="13" xfId="0" applyFont="1" applyBorder="1" applyAlignment="1">
      <alignment horizontal="left" vertical="center" wrapText="1" indent="1" shrinkToFit="1"/>
    </xf>
    <xf numFmtId="0" fontId="8" fillId="5" borderId="6" xfId="0" applyFont="1" applyFill="1" applyBorder="1" applyAlignment="1" applyProtection="1">
      <alignment horizontal="left" vertical="center" wrapText="1" indent="1" shrinkToFit="1"/>
      <protection locked="0"/>
    </xf>
    <xf numFmtId="1" fontId="0" fillId="0" borderId="0" xfId="0" applyNumberFormat="1"/>
    <xf numFmtId="0" fontId="12" fillId="0" borderId="0" xfId="0" applyFont="1" applyAlignment="1">
      <alignment horizontal="left" vertical="center" indent="1"/>
    </xf>
    <xf numFmtId="0" fontId="5" fillId="0" borderId="9" xfId="0" applyFont="1" applyBorder="1" applyAlignment="1">
      <alignment horizontal="center" vertical="center" wrapText="1" shrinkToFit="1"/>
    </xf>
    <xf numFmtId="0" fontId="5" fillId="0" borderId="12" xfId="0" applyFont="1" applyBorder="1" applyAlignment="1">
      <alignment horizontal="center" vertical="center" wrapText="1" shrinkToFit="1"/>
    </xf>
    <xf numFmtId="166" fontId="0" fillId="0" borderId="0" xfId="0" applyNumberFormat="1"/>
    <xf numFmtId="1" fontId="11" fillId="0" borderId="13" xfId="0" applyNumberFormat="1" applyFont="1" applyBorder="1" applyAlignment="1">
      <alignment horizontal="center" vertical="center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14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Border="1" applyAlignment="1">
      <alignment horizontal="center" vertical="center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5" fillId="8" borderId="14" xfId="0" applyNumberFormat="1" applyFont="1" applyFill="1" applyBorder="1" applyAlignment="1">
      <alignment horizontal="center" vertical="center"/>
    </xf>
    <xf numFmtId="1" fontId="11" fillId="0" borderId="17" xfId="0" applyNumberFormat="1" applyFont="1" applyBorder="1" applyAlignment="1">
      <alignment horizontal="center" vertical="center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2" xfId="0" applyNumberFormat="1" applyFont="1" applyFill="1" applyBorder="1" applyAlignment="1" applyProtection="1">
      <alignment horizontal="center" vertical="center"/>
      <protection locked="0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67" fontId="11" fillId="0" borderId="14" xfId="0" applyNumberFormat="1" applyFont="1" applyFill="1" applyBorder="1" applyAlignment="1" applyProtection="1">
      <alignment horizontal="center" vertical="center"/>
    </xf>
    <xf numFmtId="1" fontId="11" fillId="0" borderId="13" xfId="0" applyNumberFormat="1" applyFont="1" applyFill="1" applyBorder="1" applyAlignment="1" applyProtection="1">
      <alignment horizontal="center" vertical="center"/>
      <protection locked="0"/>
    </xf>
    <xf numFmtId="1" fontId="11" fillId="0" borderId="9" xfId="0" applyNumberFormat="1" applyFont="1" applyFill="1" applyBorder="1" applyAlignment="1" applyProtection="1">
      <alignment horizontal="center" vertical="center"/>
      <protection locked="0"/>
    </xf>
    <xf numFmtId="167" fontId="11" fillId="0" borderId="12" xfId="0" applyNumberFormat="1" applyFont="1" applyFill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167" fontId="11" fillId="0" borderId="18" xfId="0" applyNumberFormat="1" applyFont="1" applyFill="1" applyBorder="1" applyAlignment="1" applyProtection="1">
      <alignment horizontal="center" vertical="center"/>
    </xf>
    <xf numFmtId="167" fontId="5" fillId="10" borderId="9" xfId="0" applyNumberFormat="1" applyFont="1" applyFill="1" applyBorder="1" applyAlignment="1">
      <alignment horizontal="center" vertical="center"/>
    </xf>
    <xf numFmtId="1" fontId="5" fillId="8" borderId="9" xfId="0" applyNumberFormat="1" applyFont="1" applyFill="1" applyBorder="1" applyAlignment="1">
      <alignment horizontal="center" vertical="center"/>
    </xf>
    <xf numFmtId="167" fontId="11" fillId="0" borderId="13" xfId="0" applyNumberFormat="1" applyFont="1" applyFill="1" applyBorder="1" applyAlignment="1" applyProtection="1">
      <alignment horizontal="center" vertical="center"/>
    </xf>
    <xf numFmtId="167" fontId="5" fillId="10" borderId="13" xfId="0" applyNumberFormat="1" applyFont="1" applyFill="1" applyBorder="1" applyAlignment="1">
      <alignment horizontal="center" vertical="center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67" fontId="11" fillId="0" borderId="9" xfId="0" applyNumberFormat="1" applyFont="1" applyFill="1" applyBorder="1" applyAlignment="1" applyProtection="1">
      <alignment horizontal="center" vertical="center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67" fontId="11" fillId="0" borderId="17" xfId="0" applyNumberFormat="1" applyFont="1" applyFill="1" applyBorder="1" applyAlignment="1" applyProtection="1">
      <alignment horizontal="center" vertical="center"/>
    </xf>
    <xf numFmtId="167" fontId="5" fillId="10" borderId="17" xfId="0" applyNumberFormat="1" applyFont="1" applyFill="1" applyBorder="1" applyAlignment="1">
      <alignment horizontal="center" vertical="center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20" xfId="0" applyNumberFormat="1" applyFont="1" applyFill="1" applyBorder="1" applyAlignment="1" applyProtection="1">
      <alignment horizontal="center" vertical="center"/>
      <protection locked="0"/>
    </xf>
    <xf numFmtId="1" fontId="11" fillId="0" borderId="21" xfId="0" applyNumberFormat="1" applyFont="1" applyFill="1" applyBorder="1" applyAlignment="1" applyProtection="1">
      <alignment horizontal="center" vertical="center"/>
      <protection locked="0"/>
    </xf>
    <xf numFmtId="1" fontId="11" fillId="0" borderId="18" xfId="0" applyNumberFormat="1" applyFont="1" applyFill="1" applyBorder="1" applyAlignment="1" applyProtection="1">
      <alignment horizontal="center" vertical="center"/>
      <protection locked="0"/>
    </xf>
    <xf numFmtId="1" fontId="11" fillId="0" borderId="19" xfId="0" applyNumberFormat="1" applyFont="1" applyFill="1" applyBorder="1" applyAlignment="1" applyProtection="1">
      <alignment horizontal="center" vertical="center"/>
      <protection locked="0"/>
    </xf>
    <xf numFmtId="167" fontId="11" fillId="0" borderId="14" xfId="0" applyNumberFormat="1" applyFont="1" applyBorder="1" applyAlignment="1" applyProtection="1">
      <alignment horizontal="center" vertical="center"/>
    </xf>
    <xf numFmtId="167" fontId="11" fillId="0" borderId="13" xfId="0" applyNumberFormat="1" applyFont="1" applyBorder="1" applyAlignment="1" applyProtection="1">
      <alignment horizontal="center" vertical="center"/>
    </xf>
    <xf numFmtId="167" fontId="11" fillId="0" borderId="12" xfId="0" applyNumberFormat="1" applyFont="1" applyBorder="1" applyAlignment="1" applyProtection="1">
      <alignment horizontal="center" vertical="center"/>
    </xf>
    <xf numFmtId="167" fontId="11" fillId="0" borderId="9" xfId="0" applyNumberFormat="1" applyFont="1" applyBorder="1" applyAlignment="1" applyProtection="1">
      <alignment horizontal="center" vertical="center"/>
    </xf>
    <xf numFmtId="167" fontId="11" fillId="0" borderId="18" xfId="0" applyNumberFormat="1" applyFont="1" applyBorder="1" applyAlignment="1" applyProtection="1">
      <alignment horizontal="center" vertical="center"/>
    </xf>
    <xf numFmtId="167" fontId="11" fillId="0" borderId="17" xfId="0" applyNumberFormat="1" applyFont="1" applyBorder="1" applyAlignment="1" applyProtection="1">
      <alignment horizontal="center" vertical="center"/>
    </xf>
    <xf numFmtId="1" fontId="11" fillId="0" borderId="14" xfId="0" applyNumberFormat="1" applyFont="1" applyBorder="1" applyAlignment="1" applyProtection="1">
      <alignment horizontal="center" vertical="center"/>
    </xf>
    <xf numFmtId="1" fontId="11" fillId="0" borderId="12" xfId="0" applyNumberFormat="1" applyFont="1" applyBorder="1" applyAlignment="1" applyProtection="1">
      <alignment horizontal="center" vertical="center"/>
    </xf>
    <xf numFmtId="1" fontId="11" fillId="0" borderId="18" xfId="0" applyNumberFormat="1" applyFont="1" applyBorder="1" applyAlignment="1" applyProtection="1">
      <alignment horizontal="center" vertical="center"/>
    </xf>
    <xf numFmtId="1" fontId="11" fillId="0" borderId="13" xfId="0" applyNumberFormat="1" applyFont="1" applyBorder="1" applyAlignment="1" applyProtection="1">
      <alignment horizontal="center" vertical="center"/>
    </xf>
    <xf numFmtId="1" fontId="11" fillId="0" borderId="9" xfId="0" applyNumberFormat="1" applyFont="1" applyBorder="1" applyAlignment="1" applyProtection="1">
      <alignment horizontal="center" vertical="center"/>
    </xf>
    <xf numFmtId="1" fontId="11" fillId="0" borderId="17" xfId="0" applyNumberFormat="1" applyFont="1" applyBorder="1" applyAlignment="1" applyProtection="1">
      <alignment horizontal="center" vertical="center"/>
    </xf>
    <xf numFmtId="1" fontId="11" fillId="0" borderId="19" xfId="0" applyNumberFormat="1" applyFont="1" applyBorder="1" applyAlignment="1" applyProtection="1">
      <alignment horizontal="center" vertical="center"/>
    </xf>
    <xf numFmtId="1" fontId="11" fillId="0" borderId="20" xfId="0" applyNumberFormat="1" applyFont="1" applyBorder="1" applyAlignment="1" applyProtection="1">
      <alignment horizontal="center" vertical="center"/>
    </xf>
    <xf numFmtId="1" fontId="11" fillId="0" borderId="21" xfId="0" applyNumberFormat="1" applyFont="1" applyBorder="1" applyAlignment="1" applyProtection="1">
      <alignment horizontal="center" vertical="center"/>
    </xf>
    <xf numFmtId="1" fontId="11" fillId="0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12" xfId="0" applyFont="1" applyBorder="1" applyAlignment="1">
      <alignment horizontal="center" vertical="center"/>
    </xf>
    <xf numFmtId="167" fontId="11" fillId="0" borderId="9" xfId="0" applyNumberFormat="1" applyFont="1" applyBorder="1" applyAlignment="1">
      <alignment horizontal="center" vertical="center"/>
    </xf>
    <xf numFmtId="167" fontId="11" fillId="0" borderId="12" xfId="0" applyNumberFormat="1" applyFont="1" applyBorder="1" applyAlignment="1">
      <alignment horizontal="center" vertical="center"/>
    </xf>
    <xf numFmtId="167" fontId="11" fillId="0" borderId="13" xfId="0" applyNumberFormat="1" applyFont="1" applyBorder="1" applyAlignment="1">
      <alignment horizontal="center" vertical="center"/>
    </xf>
    <xf numFmtId="167" fontId="11" fillId="0" borderId="14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 indent="1"/>
    </xf>
    <xf numFmtId="14" fontId="12" fillId="0" borderId="0" xfId="0" applyNumberFormat="1" applyFont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8" fillId="5" borderId="3" xfId="0" applyFont="1" applyFill="1" applyBorder="1" applyAlignment="1" applyProtection="1">
      <alignment horizontal="left" vertical="center" indent="1"/>
      <protection locked="0"/>
    </xf>
    <xf numFmtId="0" fontId="8" fillId="5" borderId="4" xfId="0" applyFont="1" applyFill="1" applyBorder="1" applyAlignment="1" applyProtection="1">
      <alignment horizontal="left" vertical="center" indent="1"/>
      <protection locked="0"/>
    </xf>
    <xf numFmtId="166" fontId="10" fillId="5" borderId="3" xfId="0" applyNumberFormat="1" applyFont="1" applyFill="1" applyBorder="1" applyAlignment="1" applyProtection="1">
      <alignment horizontal="left" vertical="center" indent="2"/>
      <protection locked="0"/>
    </xf>
    <xf numFmtId="166" fontId="10" fillId="5" borderId="4" xfId="0" applyNumberFormat="1" applyFont="1" applyFill="1" applyBorder="1" applyAlignment="1" applyProtection="1">
      <alignment horizontal="left" vertical="center" indent="2"/>
      <protection locked="0"/>
    </xf>
    <xf numFmtId="0" fontId="10" fillId="5" borderId="3" xfId="0" applyFont="1" applyFill="1" applyBorder="1" applyAlignment="1">
      <alignment horizontal="left" vertical="center" indent="1"/>
    </xf>
    <xf numFmtId="0" fontId="10" fillId="5" borderId="4" xfId="0" applyFont="1" applyFill="1" applyBorder="1" applyAlignment="1">
      <alignment horizontal="left" vertical="center" indent="1"/>
    </xf>
    <xf numFmtId="0" fontId="5" fillId="0" borderId="0" xfId="0" applyFont="1" applyBorder="1" applyAlignment="1">
      <alignment horizontal="center" vertical="center" wrapText="1" shrinkToFit="1"/>
    </xf>
    <xf numFmtId="0" fontId="5" fillId="0" borderId="0" xfId="0" applyFont="1" applyBorder="1" applyAlignment="1">
      <alignment horizontal="right" vertical="center" textRotation="90" wrapText="1" shrinkToFit="1"/>
    </xf>
  </cellXfs>
  <cellStyles count="1">
    <cellStyle name="Normal" xfId="0" builtinId="0"/>
  </cellStyles>
  <dxfs count="4">
    <dxf>
      <fill>
        <patternFill patternType="solid">
          <bgColor rgb="FFFFFFB4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  <dxf>
      <fill>
        <patternFill patternType="solid">
          <bgColor rgb="FFFFFF6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ogle.com/maps/dir/53.9463766,-1.0858396/@53.9462357,-1.0880818,16.94z" TargetMode="External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444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</xdr:colOff>
      <xdr:row>1</xdr:row>
      <xdr:rowOff>0</xdr:rowOff>
    </xdr:from>
    <xdr:to>
      <xdr:col>6</xdr:col>
      <xdr:colOff>51339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7680" y="182880"/>
          <a:ext cx="3042920" cy="482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608012</xdr:colOff>
      <xdr:row>1</xdr:row>
      <xdr:rowOff>1587</xdr:rowOff>
    </xdr:from>
    <xdr:to>
      <xdr:col>4</xdr:col>
      <xdr:colOff>219965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695" y="184150"/>
          <a:ext cx="2964815" cy="48133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10</xdr:col>
      <xdr:colOff>218378</xdr:colOff>
      <xdr:row>2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940" y="182880"/>
          <a:ext cx="2972435" cy="482600"/>
        </a:xfrm>
        <a:prstGeom prst="rect">
          <a:avLst/>
        </a:prstGeom>
      </xdr:spPr>
    </xdr:pic>
    <xdr:clientData/>
  </xdr:twoCellAnchor>
  <xdr:twoCellAnchor editAs="oneCell">
    <xdr:from>
      <xdr:col>7</xdr:col>
      <xdr:colOff>127000</xdr:colOff>
      <xdr:row>7</xdr:row>
      <xdr:rowOff>127000</xdr:rowOff>
    </xdr:from>
    <xdr:to>
      <xdr:col>11</xdr:col>
      <xdr:colOff>82550</xdr:colOff>
      <xdr:row>7</xdr:row>
      <xdr:rowOff>3098800</xdr:rowOff>
    </xdr:to>
    <xdr:grpSp>
      <xdr:nvGrpSpPr>
        <xdr:cNvPr id="9" name="Group 8"/>
        <xdr:cNvGrpSpPr/>
      </xdr:nvGrpSpPr>
      <xdr:grpSpPr>
        <a:xfrm>
          <a:off x="1681480" y="2032000"/>
          <a:ext cx="3856990" cy="2971800"/>
          <a:chOff x="12700" y="12700"/>
          <a:chExt cx="3924300" cy="2971800"/>
        </a:xfrm>
      </xdr:grpSpPr>
      <xdr:sp macro="" textlink="">
        <xdr:nvSpPr>
          <xdr:cNvPr id="3" name="Rectangle 2"/>
          <xdr:cNvSpPr/>
        </xdr:nvSpPr>
        <xdr:spPr>
          <a:xfrm>
            <a:off x="12700" y="12700"/>
            <a:ext cx="3924300" cy="2971800"/>
          </a:xfrm>
          <a:prstGeom prst="rect">
            <a:avLst/>
          </a:prstGeom>
          <a:blipFill>
            <a:blip xmlns:r="http://schemas.openxmlformats.org/officeDocument/2006/relationships" r:embed="rId2"/>
            <a:stretch>
              <a:fillRect/>
            </a:stretch>
          </a:blip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GB" sz="1100"/>
          </a:p>
        </xdr:txBody>
      </xdr:sp>
      <xdr:sp macro="" textlink="">
        <xdr:nvSpPr>
          <xdr:cNvPr id="4" name="TextBox 3"/>
          <xdr:cNvSpPr txBox="1"/>
        </xdr:nvSpPr>
        <xdr:spPr>
          <a:xfrm>
            <a:off x="1849438" y="478908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A</a:t>
            </a:r>
          </a:p>
        </xdr:txBody>
      </xdr:sp>
      <xdr:sp macro="" textlink="">
        <xdr:nvSpPr>
          <xdr:cNvPr id="5" name="TextBox 4"/>
          <xdr:cNvSpPr txBox="1"/>
        </xdr:nvSpPr>
        <xdr:spPr>
          <a:xfrm>
            <a:off x="2468563" y="1645720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B</a:t>
            </a:r>
          </a:p>
        </xdr:txBody>
      </xdr:sp>
      <xdr:sp macro="" textlink="">
        <xdr:nvSpPr>
          <xdr:cNvPr id="6" name="TextBox 5"/>
          <xdr:cNvSpPr txBox="1"/>
        </xdr:nvSpPr>
        <xdr:spPr>
          <a:xfrm>
            <a:off x="1619250" y="216959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C</a:t>
            </a:r>
          </a:p>
        </xdr:txBody>
      </xdr:sp>
      <xdr:sp macro="" textlink="">
        <xdr:nvSpPr>
          <xdr:cNvPr id="7" name="TextBox 6"/>
          <xdr:cNvSpPr txBox="1"/>
        </xdr:nvSpPr>
        <xdr:spPr>
          <a:xfrm>
            <a:off x="277813" y="1312345"/>
            <a:ext cx="571500" cy="264560"/>
          </a:xfrm>
          <a:prstGeom prst="rect">
            <a:avLst/>
          </a:prstGeom>
          <a:solidFill>
            <a:srgbClr val="FFFFF4"/>
          </a:solidFill>
          <a:ln w="9525" cap="flat" cmpd="sng" algn="ctr">
            <a:solidFill>
              <a:srgbClr val="C00000"/>
            </a:solidFill>
            <a:prstDash val="solid"/>
            <a:round/>
            <a:headEnd type="none" w="med" len="med"/>
            <a:tailEnd type="none" w="med" len="med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ctr">
            <a:spAutoFit/>
          </a:bodyPr>
          <a:lstStyle/>
          <a:p>
            <a:pPr algn="ctr"/>
            <a:r>
              <a:rPr lang="en-GB" sz="1100"/>
              <a:t>Arm D</a:t>
            </a:r>
          </a:p>
        </xdr:txBody>
      </xdr:sp>
      <xdr:sp macro="" textlink="">
        <xdr:nvSpPr>
          <xdr:cNvPr id="8" name="LinkImage">
            <a:hlinkClick xmlns:r="http://schemas.openxmlformats.org/officeDocument/2006/relationships" r:id="rId3"/>
          </xdr:cNvPr>
          <xdr:cNvSpPr txBox="1"/>
        </xdr:nvSpPr>
        <xdr:spPr>
          <a:xfrm>
            <a:off x="95250" y="2571750"/>
            <a:ext cx="381000" cy="333375"/>
          </a:xfrm>
          <a:prstGeom prst="rect">
            <a:avLst/>
          </a:prstGeom>
          <a:blipFill>
            <a:blip xmlns:r="http://schemas.openxmlformats.org/officeDocument/2006/relationships" r:embed="rId4"/>
            <a:stretch>
              <a:fillRect/>
            </a:stretch>
          </a:blipFill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vert="horz" rtlCol="0" anchor="t">
            <a:spAutoFit/>
          </a:bodyPr>
          <a:lstStyle/>
          <a:p>
            <a:endParaRPr lang="en-GB" sz="1100"/>
          </a:p>
        </xdr:txBody>
      </xdr:sp>
    </xdr:grpSp>
    <xdr:clientData/>
  </xdr:twoCellAnchor>
  <xdr:twoCellAnchor editAs="absolute">
    <xdr:from>
      <xdr:col>10</xdr:col>
      <xdr:colOff>152400</xdr:colOff>
      <xdr:row>8</xdr:row>
      <xdr:rowOff>28575</xdr:rowOff>
    </xdr:from>
    <xdr:to>
      <xdr:col>13</xdr:col>
      <xdr:colOff>600075</xdr:colOff>
      <xdr:row>19</xdr:row>
      <xdr:rowOff>44450</xdr:rowOff>
    </xdr:to>
    <xdr:sp macro="" textlink="">
      <xdr:nvSpPr>
        <xdr:cNvPr id="10" name="HelpBoxA"/>
        <xdr:cNvSpPr txBox="1"/>
      </xdr:nvSpPr>
      <xdr:spPr>
        <a:xfrm>
          <a:off x="4458970" y="5161915"/>
          <a:ext cx="3345815" cy="219138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267DE6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Matrix Totals 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- shows either the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Counts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or </a:t>
          </a:r>
          <a:r>
            <a:rPr lang="en-GB" sz="1100" i="1">
              <a:solidFill>
                <a:srgbClr val="000000"/>
              </a:solidFill>
              <a:latin typeface="+mn-lt"/>
              <a:ea typeface="+mn-ea"/>
              <a:cs typeface="+mn-cs"/>
            </a:rPr>
            <a:t>PCU</a:t>
          </a:r>
          <a:r>
            <a:rPr lang="en-GB" sz="1100">
              <a:solidFill>
                <a:srgbClr val="000000"/>
              </a:solidFill>
              <a:latin typeface="+mn-lt"/>
              <a:ea typeface="+mn-ea"/>
              <a:cs typeface="+mn-cs"/>
            </a:rPr>
            <a:t> total (if applicable) in the matrix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Single Session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determines the time range for displaying totals in the matrix. Choose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survey session; select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use the selected custom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Start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and </a:t>
          </a:r>
          <a:r>
            <a:rPr lang="en-GB" sz="110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End </a:t>
          </a:r>
          <a:r>
            <a:rPr lang="en-GB" sz="110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times. The times used in the displayed matrix totals are highlighted in yellow.</a:t>
          </a:r>
        </a:p>
        <a:p>
          <a:pPr indent="0"/>
          <a:endParaRPr lang="en-GB" sz="1100">
            <a:solidFill>
              <a:srgbClr val="000000"/>
            </a:solidFill>
            <a:latin typeface="+mn-lt"/>
            <a:ea typeface="+mn-ea"/>
            <a:cs typeface="+mn-cs"/>
          </a:endParaRPr>
        </a:p>
        <a:p>
          <a:pPr indent="0"/>
          <a:r>
            <a:rPr lang="en-GB" sz="1100" b="1" baseline="0">
              <a:solidFill>
                <a:srgbClr val="000000"/>
              </a:solidFill>
              <a:latin typeface="+mn-lt"/>
              <a:ea typeface="+mn-ea"/>
              <a:cs typeface="+mn-cs"/>
            </a:rPr>
            <a:t>Peak Times</a:t>
          </a:r>
          <a:r>
            <a:rPr lang="en-GB" sz="1100" baseline="0">
              <a:solidFill>
                <a:srgbClr val="000000"/>
              </a:solidFill>
              <a:latin typeface="+mn-lt"/>
              <a:ea typeface="+mn-ea"/>
              <a:cs typeface="+mn-cs"/>
            </a:rPr>
            <a:t> - choose Yes to show the peak hour with a start time in the selected time range. The displayed totals in the matrix will be for the calculated peak hour</a:t>
          </a:r>
          <a:r>
            <a:rPr lang="en-GB" sz="1100"/>
            <a:t>.</a:t>
          </a:r>
        </a:p>
      </xdr:txBody>
    </xdr:sp>
    <xdr:clientData fPrintsWithSheet="0"/>
  </xdr:twoCellAnchor>
  <xdr:twoCellAnchor editAs="absolute">
    <xdr:from>
      <xdr:col>10</xdr:col>
      <xdr:colOff>152400</xdr:colOff>
      <xdr:row>34</xdr:row>
      <xdr:rowOff>38100</xdr:rowOff>
    </xdr:from>
    <xdr:to>
      <xdr:col>13</xdr:col>
      <xdr:colOff>600075</xdr:colOff>
      <xdr:row>35</xdr:row>
      <xdr:rowOff>208153</xdr:rowOff>
    </xdr:to>
    <xdr:sp macro="" textlink="">
      <xdr:nvSpPr>
        <xdr:cNvPr id="11" name="HelpBoxB"/>
        <xdr:cNvSpPr txBox="1"/>
      </xdr:nvSpPr>
      <xdr:spPr>
        <a:xfrm>
          <a:off x="4458970" y="9768205"/>
          <a:ext cx="3345815" cy="436245"/>
        </a:xfrm>
        <a:prstGeom prst="rect">
          <a:avLst/>
        </a:prstGeom>
        <a:solidFill>
          <a:srgbClr val="FFFFF0"/>
        </a:solidFill>
        <a:ln w="9525" cap="flat" cmpd="sng" algn="ctr">
          <a:solidFill>
            <a:srgbClr val="10253F"/>
          </a:solidFill>
          <a:prstDash val="solid"/>
          <a:round/>
          <a:headEnd type="none" w="med" len="med"/>
          <a:tailEnd type="none" w="med" len="med"/>
        </a:ln>
        <a:effectLst>
          <a:glow rad="25400">
            <a:srgbClr val="1364F4"/>
          </a:glo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pPr indent="0"/>
          <a:r>
            <a:rPr lang="en-GB" sz="1100" b="1">
              <a:solidFill>
                <a:srgbClr val="000000"/>
              </a:solidFill>
              <a:latin typeface="+mn-lt"/>
              <a:ea typeface="+mn-ea"/>
              <a:cs typeface="+mn-cs"/>
            </a:rPr>
            <a:t>Include</a:t>
          </a:r>
          <a:r>
            <a:rPr lang="en-GB" sz="1100" b="0">
              <a:solidFill>
                <a:srgbClr val="000000"/>
              </a:solidFill>
              <a:latin typeface="+mn-lt"/>
              <a:ea typeface="+mn-ea"/>
              <a:cs typeface="+mn-cs"/>
            </a:rPr>
            <a:t> - select</a:t>
          </a:r>
          <a:r>
            <a:rPr lang="en-GB" sz="1100" b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Yes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for each classification to be included in the Matrix totals; select </a:t>
          </a:r>
          <a:r>
            <a:rPr lang="en-GB" sz="1100" b="0" i="1" baseline="0">
              <a:solidFill>
                <a:srgbClr val="000000"/>
              </a:solidFill>
              <a:latin typeface="+mn-lt"/>
              <a:ea typeface="+mn-ea"/>
              <a:cs typeface="+mn-cs"/>
            </a:rPr>
            <a:t>No</a:t>
          </a:r>
          <a:r>
            <a:rPr lang="en-GB" sz="1100" b="0" i="0" baseline="0">
              <a:solidFill>
                <a:srgbClr val="000000"/>
              </a:solidFill>
              <a:latin typeface="+mn-lt"/>
              <a:ea typeface="+mn-ea"/>
              <a:cs typeface="+mn-cs"/>
            </a:rPr>
            <a:t> to exclude.</a:t>
          </a:r>
        </a:p>
      </xdr:txBody>
    </xdr:sp>
    <xdr:clientData fPrint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0"/>
  <sheetViews>
    <sheetView showGridLines="0" showRowColHeaders="0" zoomScale="80" zoomScaleNormal="80" workbookViewId="0">
      <selection activeCell="C2" sqref="C2"/>
    </sheetView>
  </sheetViews>
  <sheetFormatPr defaultColWidth="9" defaultRowHeight="14.4"/>
  <cols>
    <col min="3" max="3" width="16.6640625" customWidth="1"/>
  </cols>
  <sheetData>
    <row r="2" spans="2:3" ht="37.950000000000003" customHeight="1"/>
    <row r="3" spans="2:3" ht="33" customHeight="1">
      <c r="B3" s="98" t="s">
        <v>0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6" t="s">
        <v>4</v>
      </c>
      <c r="C8" s="43" t="s">
        <v>5</v>
      </c>
    </row>
    <row r="9" spans="2:3" ht="21" customHeight="1">
      <c r="B9" s="6" t="s">
        <v>6</v>
      </c>
      <c r="C9" s="43" t="s">
        <v>7</v>
      </c>
    </row>
    <row r="10" spans="2:3" ht="21" customHeight="1">
      <c r="B10" s="6" t="s">
        <v>8</v>
      </c>
      <c r="C10" s="99">
        <v>44292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6"/>
  <sheetViews>
    <sheetView showGridLines="0" showRowColHeaders="0" zoomScale="80" zoomScaleNormal="80" workbookViewId="0">
      <pane xSplit="1" ySplit="8" topLeftCell="B9" activePane="bottomRight" state="frozen"/>
      <selection pane="topRight"/>
      <selection pane="bottomLeft"/>
      <selection pane="bottomRight" activeCell="I12" sqref="I12"/>
    </sheetView>
  </sheetViews>
  <sheetFormatPr defaultColWidth="9" defaultRowHeight="14.4"/>
  <cols>
    <col min="2" max="3" width="16.6640625" customWidth="1"/>
  </cols>
  <sheetData>
    <row r="2" spans="2:3" ht="37.950000000000003" customHeight="1"/>
    <row r="3" spans="2:3" ht="33" customHeight="1">
      <c r="B3" s="4" t="s">
        <v>9</v>
      </c>
    </row>
    <row r="4" spans="2:3" ht="15" customHeight="1">
      <c r="B4" s="5" t="s">
        <v>1</v>
      </c>
    </row>
    <row r="6" spans="2:3" ht="21" customHeight="1">
      <c r="B6" s="6" t="s">
        <v>2</v>
      </c>
      <c r="C6" s="7" t="s">
        <v>3</v>
      </c>
    </row>
    <row r="8" spans="2:3" ht="21" customHeight="1">
      <c r="B8" s="24" t="s">
        <v>10</v>
      </c>
      <c r="C8" s="93" t="s">
        <v>11</v>
      </c>
    </row>
    <row r="9" spans="2:3" ht="21" customHeight="1">
      <c r="B9" s="94" t="s">
        <v>12</v>
      </c>
      <c r="C9" s="95">
        <v>1</v>
      </c>
    </row>
    <row r="10" spans="2:3" ht="21" customHeight="1">
      <c r="B10" s="94" t="s">
        <v>13</v>
      </c>
      <c r="C10" s="95">
        <v>1</v>
      </c>
    </row>
    <row r="11" spans="2:3" ht="21" customHeight="1">
      <c r="B11" s="94" t="s">
        <v>14</v>
      </c>
      <c r="C11" s="95">
        <v>1.5</v>
      </c>
    </row>
    <row r="12" spans="2:3" ht="21" customHeight="1">
      <c r="B12" s="94" t="s">
        <v>15</v>
      </c>
      <c r="C12" s="95">
        <v>2.2999999999999998</v>
      </c>
    </row>
    <row r="13" spans="2:3" ht="21" customHeight="1">
      <c r="B13" s="94" t="s">
        <v>16</v>
      </c>
      <c r="C13" s="95">
        <v>2</v>
      </c>
    </row>
    <row r="14" spans="2:3" ht="21" customHeight="1">
      <c r="B14" s="94" t="s">
        <v>17</v>
      </c>
      <c r="C14" s="95">
        <v>0.2</v>
      </c>
    </row>
    <row r="15" spans="2:3" ht="21" customHeight="1">
      <c r="B15" s="94" t="s">
        <v>18</v>
      </c>
      <c r="C15" s="95">
        <v>0.4</v>
      </c>
    </row>
    <row r="16" spans="2:3" ht="21" customHeight="1">
      <c r="B16" s="96" t="s">
        <v>19</v>
      </c>
      <c r="C16" s="97">
        <v>1.5</v>
      </c>
    </row>
  </sheetData>
  <sheetProtection sheet="1" objects="1" scenarios="1" selectLockedCells="1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tabSelected="1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21</v>
      </c>
    </row>
    <row r="9" spans="1:112" ht="15.75" customHeight="1"/>
    <row r="10" spans="1:112" ht="21" customHeight="1">
      <c r="C10" s="100" t="s">
        <v>22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23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24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25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26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27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3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3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3</v>
      </c>
      <c r="AL12" s="52">
        <f>SUM($U$12,$V$12,$W$12,$X$12,$Y$12,$Z$12,$AA$12,$AB$12)</f>
        <v>3</v>
      </c>
      <c r="AM12" s="67">
        <v>1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1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1</v>
      </c>
      <c r="BD12" s="52">
        <f>SUM($AM$12,$AN$12,$AO$12,$AP$12,$AQ$12,$AR$12,$AS$12,$AT$12)</f>
        <v>1</v>
      </c>
      <c r="BE12" s="67">
        <v>1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1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1</v>
      </c>
      <c r="BV12" s="52">
        <f>SUM($BE$12,$BF$12,$BG$12,$BH$12,$BI$12,$BJ$12,$BK$12,$BL$12)</f>
        <v>1</v>
      </c>
      <c r="BX12" s="47" t="s">
        <v>30</v>
      </c>
      <c r="BY12" s="83">
        <f>SUM($C$12,$U$12,$AM$12,$BE$12)</f>
        <v>5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5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5</v>
      </c>
      <c r="CP12" s="52">
        <f>SUM($BY$12,$BZ$12,$CA$12,$CB$12,$CC$12,$CD$12,$CE$12,$CF$12)</f>
        <v>5</v>
      </c>
      <c r="CQ12" s="89">
        <f>SUM('J1 A - (North) Bishopthorpe Roa'!$BE$12,'J1 B - Butcher Terrace'!$AM$12,'J1 C - (South) Bishopthorpe Roa'!$U$12,'J1 D - South Bank Avenue'!$C$12)</f>
        <v>7</v>
      </c>
      <c r="CR12" s="83">
        <f>SUM('J1 A - (North) Bishopthorpe Roa'!$BF$12,'J1 B - Butcher Terrace'!$AN$12,'J1 C - (South) Bishopthorpe Roa'!$V$12,'J1 D - South Bank Avenue'!$D$12)</f>
        <v>0</v>
      </c>
      <c r="CS12" s="83">
        <f>SUM('J1 A - (North) Bishopthorpe Roa'!$BG$12,'J1 B - Butcher Terrace'!$AO$12,'J1 C - (South) Bishopthorpe Roa'!$W$12,'J1 D - South Bank Avenue'!$E$12)</f>
        <v>0</v>
      </c>
      <c r="CT12" s="83">
        <f>SUM('J1 A - (North) Bishopthorpe Roa'!$BH$12,'J1 B - Butcher Terrace'!$AP$12,'J1 C - (South) Bishopthorpe Roa'!$X$12,'J1 D - South Bank Avenue'!$F$12)</f>
        <v>0</v>
      </c>
      <c r="CU12" s="83">
        <f>SUM('J1 A - (North) Bishopthorpe Roa'!$BI$12,'J1 B - Butcher Terrace'!$AQ$12,'J1 C - (South) Bishopthorpe Roa'!$Y$12,'J1 D - South Bank Avenue'!$G$12)</f>
        <v>0</v>
      </c>
      <c r="CV12" s="83">
        <f>SUM('J1 A - (North) Bishopthorpe Roa'!$BJ$12,'J1 B - Butcher Terrace'!$AR$12,'J1 C - (South) Bishopthorpe Roa'!$Z$12,'J1 D - South Bank Avenue'!$H$12)</f>
        <v>0</v>
      </c>
      <c r="CW12" s="83">
        <f>SUM('J1 A - (North) Bishopthorpe Roa'!$BK$12,'J1 B - Butcher Terrace'!$AS$12,'J1 C - (South) Bishopthorpe Roa'!$AA$12,'J1 D - South Bank Avenue'!$I$12)</f>
        <v>0</v>
      </c>
      <c r="CX12" s="86">
        <f>SUM('J1 A - (North) Bishopthorpe Roa'!$BL$12,'J1 B - Butcher Terrace'!$AT$12,'J1 C - (South) Bishopthorpe Roa'!$AB$12,'J1 D - South Bank Avenue'!$J$12)</f>
        <v>0</v>
      </c>
      <c r="CY12" s="77">
        <f>$CQ$12*VLOOKUP($CQ$11,'PCU Values'!$B$9:$C$16,2,FALSE)</f>
        <v>7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7</v>
      </c>
      <c r="DH12" s="52">
        <f>SUM($CQ$12,$CR$12,$CS$12,$CT$12,$CU$12,$CV$12,$CW$12,$CX$12)</f>
        <v>7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1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1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1</v>
      </c>
      <c r="AL13" s="52">
        <f>SUM($U$13,$V$13,$W$13,$X$13,$Y$13,$Z$13,$AA$13,$AB$13)</f>
        <v>1</v>
      </c>
      <c r="AM13" s="76">
        <v>1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1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1</v>
      </c>
      <c r="BD13" s="52">
        <f>SUM($AM$13,$AN$13,$AO$13,$AP$13,$AQ$13,$AR$13,$AS$13,$AT$13)</f>
        <v>1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2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2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2</v>
      </c>
      <c r="CP13" s="52">
        <f>SUM($BY$13,$BZ$13,$CA$13,$CB$13,$CC$13,$CD$13,$CE$13,$CF$13)</f>
        <v>2</v>
      </c>
      <c r="CQ13" s="89">
        <f>SUM('J1 A - (North) Bishopthorpe Roa'!$BE$13,'J1 B - Butcher Terrace'!$AM$13,'J1 C - (South) Bishopthorpe Roa'!$U$13,'J1 D - South Bank Avenue'!$C$13)</f>
        <v>3</v>
      </c>
      <c r="CR13" s="83">
        <f>SUM('J1 A - (North) Bishopthorpe Roa'!$BF$13,'J1 B - Butcher Terrace'!$AN$13,'J1 C - (South) Bishopthorpe Roa'!$V$13,'J1 D - South Bank Avenue'!$D$13)</f>
        <v>0</v>
      </c>
      <c r="CS13" s="83">
        <f>SUM('J1 A - (North) Bishopthorpe Roa'!$BG$13,'J1 B - Butcher Terrace'!$AO$13,'J1 C - (South) Bishopthorpe Roa'!$W$13,'J1 D - South Bank Avenue'!$E$13)</f>
        <v>0</v>
      </c>
      <c r="CT13" s="83">
        <f>SUM('J1 A - (North) Bishopthorpe Roa'!$BH$13,'J1 B - Butcher Terrace'!$AP$13,'J1 C - (South) Bishopthorpe Roa'!$X$13,'J1 D - South Bank Avenue'!$F$13)</f>
        <v>0</v>
      </c>
      <c r="CU13" s="83">
        <f>SUM('J1 A - (North) Bishopthorpe Roa'!$BI$13,'J1 B - Butcher Terrace'!$AQ$13,'J1 C - (South) Bishopthorpe Roa'!$Y$13,'J1 D - South Bank Avenue'!$G$13)</f>
        <v>0</v>
      </c>
      <c r="CV13" s="83">
        <f>SUM('J1 A - (North) Bishopthorpe Roa'!$BJ$13,'J1 B - Butcher Terrace'!$AR$13,'J1 C - (South) Bishopthorpe Roa'!$Z$13,'J1 D - South Bank Avenue'!$H$13)</f>
        <v>0</v>
      </c>
      <c r="CW13" s="83">
        <f>SUM('J1 A - (North) Bishopthorpe Roa'!$BK$13,'J1 B - Butcher Terrace'!$AS$13,'J1 C - (South) Bishopthorpe Roa'!$AA$13,'J1 D - South Bank Avenue'!$I$13)</f>
        <v>0</v>
      </c>
      <c r="CX13" s="86">
        <f>SUM('J1 A - (North) Bishopthorpe Roa'!$BL$13,'J1 B - Butcher Terrace'!$AT$13,'J1 C - (South) Bishopthorpe Roa'!$AB$13,'J1 D - South Bank Avenue'!$J$13)</f>
        <v>0</v>
      </c>
      <c r="CY13" s="77">
        <f>$CQ$13*VLOOKUP($CQ$11,'PCU Values'!$B$9:$C$16,2,FALSE)</f>
        <v>3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3</v>
      </c>
      <c r="DH13" s="52">
        <f>SUM($CQ$13,$CR$13,$CS$13,$CT$13,$CU$13,$CV$13,$CW$13,$CX$13)</f>
        <v>3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6</v>
      </c>
      <c r="V14" s="49">
        <v>1</v>
      </c>
      <c r="W14" s="49">
        <v>0</v>
      </c>
      <c r="X14" s="49">
        <v>0</v>
      </c>
      <c r="Y14" s="49">
        <v>0</v>
      </c>
      <c r="Z14" s="49">
        <v>2</v>
      </c>
      <c r="AA14" s="49">
        <v>1</v>
      </c>
      <c r="AB14" s="58">
        <v>0</v>
      </c>
      <c r="AC14" s="57">
        <f>$U$14*VLOOKUP($U$11,'PCU Values'!$B$9:$C$16,2,FALSE)</f>
        <v>6</v>
      </c>
      <c r="AD14" s="57">
        <f>$V$14*VLOOKUP($V$11,'PCU Values'!$B$9:$C$16,2,FALSE)</f>
        <v>1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0.4</v>
      </c>
      <c r="AI14" s="57">
        <f>$AA$14*VLOOKUP($AA$11,'PCU Values'!$B$9:$C$16,2,FALSE)</f>
        <v>0.4</v>
      </c>
      <c r="AJ14" s="65">
        <f>$AB$14*VLOOKUP($AB$11,'PCU Values'!$B$9:$C$16,2,FALSE)</f>
        <v>0</v>
      </c>
      <c r="AK14" s="66">
        <f>SUM($AC$14,$AD$14,$AE$14,$AF$14,$AG$14,$AH$14,$AI$14,$AJ$14)</f>
        <v>7.8</v>
      </c>
      <c r="AL14" s="52">
        <f>SUM($U$14,$V$14,$W$14,$X$14,$Y$14,$Z$14,$AA$14,$AB$14)</f>
        <v>10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2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0.4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0.4</v>
      </c>
      <c r="BD14" s="52">
        <f>SUM($AM$14,$AN$14,$AO$14,$AP$14,$AQ$14,$AR$14,$AS$14,$AT$14)</f>
        <v>2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6</v>
      </c>
      <c r="BZ14" s="83">
        <f>SUM($D$14,$V$14,$AN$14,$BF$14)</f>
        <v>1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4</v>
      </c>
      <c r="CE14" s="83">
        <f>SUM($I$14,$AA$14,$AS$14,$BK$14)</f>
        <v>1</v>
      </c>
      <c r="CF14" s="86">
        <f>SUM($J$14,$AB$14,$AT$14,$BL$14)</f>
        <v>0</v>
      </c>
      <c r="CG14" s="77">
        <f>$BY$14*VLOOKUP($BY$11,'PCU Values'!$B$9:$C$16,2,FALSE)</f>
        <v>6</v>
      </c>
      <c r="CH14" s="77">
        <f>$BZ$14*VLOOKUP($BZ$11,'PCU Values'!$B$9:$C$16,2,FALSE)</f>
        <v>1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0.8</v>
      </c>
      <c r="CM14" s="77">
        <f>$CE$14*VLOOKUP($CE$11,'PCU Values'!$B$9:$C$16,2,FALSE)</f>
        <v>0.4</v>
      </c>
      <c r="CN14" s="78">
        <f>$CF$14*VLOOKUP($CF$11,'PCU Values'!$B$9:$C$16,2,FALSE)</f>
        <v>0</v>
      </c>
      <c r="CO14" s="66">
        <f>SUM($CG$14,$CH$14,$CI$14,$CJ$14,$CK$14,$CL$14,$CM$14,$CN$14)</f>
        <v>8.1999999999999993</v>
      </c>
      <c r="CP14" s="52">
        <f>SUM($BY$14,$BZ$14,$CA$14,$CB$14,$CC$14,$CD$14,$CE$14,$CF$14)</f>
        <v>12</v>
      </c>
      <c r="CQ14" s="89">
        <f>SUM('J1 A - (North) Bishopthorpe Roa'!$BE$14,'J1 B - Butcher Terrace'!$AM$14,'J1 C - (South) Bishopthorpe Roa'!$U$14,'J1 D - South Bank Avenue'!$C$14)</f>
        <v>0</v>
      </c>
      <c r="CR14" s="83">
        <f>SUM('J1 A - (North) Bishopthorpe Roa'!$BF$14,'J1 B - Butcher Terrace'!$AN$14,'J1 C - (South) Bishopthorpe Roa'!$V$14,'J1 D - South Bank Avenue'!$D$14)</f>
        <v>0</v>
      </c>
      <c r="CS14" s="83">
        <f>SUM('J1 A - (North) Bishopthorpe Roa'!$BG$14,'J1 B - Butcher Terrace'!$AO$14,'J1 C - (South) Bishopthorpe Roa'!$W$14,'J1 D - South Bank Avenue'!$E$14)</f>
        <v>0</v>
      </c>
      <c r="CT14" s="83">
        <f>SUM('J1 A - (North) Bishopthorpe Roa'!$BH$14,'J1 B - Butcher Terrace'!$AP$14,'J1 C - (South) Bishopthorpe Roa'!$X$14,'J1 D - South Bank Avenue'!$F$14)</f>
        <v>0</v>
      </c>
      <c r="CU14" s="83">
        <f>SUM('J1 A - (North) Bishopthorpe Roa'!$BI$14,'J1 B - Butcher Terrace'!$AQ$14,'J1 C - (South) Bishopthorpe Roa'!$Y$14,'J1 D - South Bank Avenue'!$G$14)</f>
        <v>0</v>
      </c>
      <c r="CV14" s="83">
        <f>SUM('J1 A - (North) Bishopthorpe Roa'!$BJ$14,'J1 B - Butcher Terrace'!$AR$14,'J1 C - (South) Bishopthorpe Roa'!$Z$14,'J1 D - South Bank Avenue'!$H$14)</f>
        <v>0</v>
      </c>
      <c r="CW14" s="83">
        <f>SUM('J1 A - (North) Bishopthorpe Roa'!$BK$14,'J1 B - Butcher Terrace'!$AS$14,'J1 C - (South) Bishopthorpe Roa'!$AA$14,'J1 D - South Bank Avenue'!$I$14)</f>
        <v>0</v>
      </c>
      <c r="CX14" s="86">
        <f>SUM('J1 A - (North) Bishopthorpe Roa'!$BL$14,'J1 B - Butcher Terrace'!$AT$14,'J1 C - (South) Bishopthorpe Roa'!$AB$14,'J1 D - South Bank Avenue'!$J$14)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</v>
      </c>
      <c r="DH14" s="52">
        <f>SUM($CQ$14,$CR$14,$CS$14,$CT$14,$CU$14,$CV$14,$CW$14,$CX$14)</f>
        <v>0</v>
      </c>
    </row>
    <row r="15" spans="1:112" ht="21" customHeight="1">
      <c r="A15" s="46">
        <v>44395.03125</v>
      </c>
      <c r="B15" s="50" t="s">
        <v>33</v>
      </c>
      <c r="C15" s="51">
        <v>1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1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1</v>
      </c>
      <c r="T15" s="52">
        <f>SUM($C$15,$D$15,$E$15,$F$15,$G$15,$H$15,$I$15,$J$15)</f>
        <v>1</v>
      </c>
      <c r="U15" s="69">
        <v>4</v>
      </c>
      <c r="V15" s="51">
        <v>0</v>
      </c>
      <c r="W15" s="51">
        <v>0</v>
      </c>
      <c r="X15" s="51">
        <v>0</v>
      </c>
      <c r="Y15" s="51">
        <v>0</v>
      </c>
      <c r="Z15" s="51">
        <v>1</v>
      </c>
      <c r="AA15" s="51">
        <v>0</v>
      </c>
      <c r="AB15" s="59">
        <v>0</v>
      </c>
      <c r="AC15" s="60">
        <f>$U$15*VLOOKUP($U$11,'PCU Values'!$B$9:$C$16,2,FALSE)</f>
        <v>4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0.2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4.2</v>
      </c>
      <c r="AL15" s="52">
        <f>SUM($U$15,$V$15,$W$15,$X$15,$Y$15,$Z$15,$AA$15,$AB$15)</f>
        <v>5</v>
      </c>
      <c r="AM15" s="73">
        <v>1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1</v>
      </c>
      <c r="BD15" s="52">
        <f>SUM($AM$15,$AN$15,$AO$15,$AP$15,$AQ$15,$AR$15,$AS$15,$AT$15)</f>
        <v>1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6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1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6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0.2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6.2</v>
      </c>
      <c r="CP15" s="52">
        <f>SUM($BY$15,$BZ$15,$CA$15,$CB$15,$CC$15,$CD$15,$CE$15,$CF$15)</f>
        <v>7</v>
      </c>
      <c r="CQ15" s="90">
        <f>SUM('J1 A - (North) Bishopthorpe Roa'!$BE$15,'J1 B - Butcher Terrace'!$AM$15,'J1 C - (South) Bishopthorpe Roa'!$U$15,'J1 D - South Bank Avenue'!$C$15)</f>
        <v>8</v>
      </c>
      <c r="CR15" s="84">
        <f>SUM('J1 A - (North) Bishopthorpe Roa'!$BF$15,'J1 B - Butcher Terrace'!$AN$15,'J1 C - (South) Bishopthorpe Roa'!$V$15,'J1 D - South Bank Avenue'!$D$15)</f>
        <v>0</v>
      </c>
      <c r="CS15" s="84">
        <f>SUM('J1 A - (North) Bishopthorpe Roa'!$BG$15,'J1 B - Butcher Terrace'!$AO$15,'J1 C - (South) Bishopthorpe Roa'!$W$15,'J1 D - South Bank Avenue'!$E$15)</f>
        <v>0</v>
      </c>
      <c r="CT15" s="84">
        <f>SUM('J1 A - (North) Bishopthorpe Roa'!$BH$15,'J1 B - Butcher Terrace'!$AP$15,'J1 C - (South) Bishopthorpe Roa'!$X$15,'J1 D - South Bank Avenue'!$F$15)</f>
        <v>0</v>
      </c>
      <c r="CU15" s="84">
        <f>SUM('J1 A - (North) Bishopthorpe Roa'!$BI$15,'J1 B - Butcher Terrace'!$AQ$15,'J1 C - (South) Bishopthorpe Roa'!$Y$15,'J1 D - South Bank Avenue'!$G$15)</f>
        <v>0</v>
      </c>
      <c r="CV15" s="84">
        <f>SUM('J1 A - (North) Bishopthorpe Roa'!$BJ$15,'J1 B - Butcher Terrace'!$AR$15,'J1 C - (South) Bishopthorpe Roa'!$Z$15,'J1 D - South Bank Avenue'!$H$15)</f>
        <v>0</v>
      </c>
      <c r="CW15" s="84">
        <f>SUM('J1 A - (North) Bishopthorpe Roa'!$BK$15,'J1 B - Butcher Terrace'!$AS$15,'J1 C - (South) Bishopthorpe Roa'!$AA$15,'J1 D - South Bank Avenue'!$I$15)</f>
        <v>0</v>
      </c>
      <c r="CX15" s="87">
        <f>SUM('J1 A - (North) Bishopthorpe Roa'!$BL$15,'J1 B - Butcher Terrace'!$AT$15,'J1 C - (South) Bishopthorpe Roa'!$AB$15,'J1 D - South Bank Avenue'!$J$15)</f>
        <v>0</v>
      </c>
      <c r="CY15" s="79">
        <f>$CQ$15*VLOOKUP($CQ$11,'PCU Values'!$B$9:$C$16,2,FALSE)</f>
        <v>8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8</v>
      </c>
      <c r="DH15" s="52">
        <f>SUM($CQ$15,$CR$15,$CS$15,$CT$15,$CU$15,$CV$15,$CW$15,$CX$15)</f>
        <v>8</v>
      </c>
    </row>
    <row r="16" spans="1:112">
      <c r="B16" s="52" t="s">
        <v>34</v>
      </c>
      <c r="C16" s="52">
        <f>SUM($C$12:$C$15)</f>
        <v>1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1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1</v>
      </c>
      <c r="T16" s="52">
        <f>SUM($C$16,$D$16,$E$16,$F$16,$G$16,$H$16,$I$16,$J$16)</f>
        <v>1</v>
      </c>
      <c r="U16" s="52">
        <f>SUM($U$12:$U$15)</f>
        <v>14</v>
      </c>
      <c r="V16" s="52">
        <f>SUM($V$12:$V$15)</f>
        <v>1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3</v>
      </c>
      <c r="AA16" s="52">
        <f>SUM($AA$12:$AA$15)</f>
        <v>1</v>
      </c>
      <c r="AB16" s="52">
        <f>SUM($AB$12:$AB$15)</f>
        <v>0</v>
      </c>
      <c r="AC16" s="52">
        <f>SUM($AC$12:$AC$15)</f>
        <v>14</v>
      </c>
      <c r="AD16" s="52">
        <f>SUM($AD$12:$AD$15)</f>
        <v>1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1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16</v>
      </c>
      <c r="AL16" s="52">
        <f>SUM($U$16,$V$16,$W$16,$X$16,$Y$16,$Z$16,$AA$16,$AB$16)</f>
        <v>19</v>
      </c>
      <c r="AM16" s="52">
        <f>SUM($AM$12:$AM$15)</f>
        <v>3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2</v>
      </c>
      <c r="AS16" s="52">
        <f>SUM($AS$12:$AS$15)</f>
        <v>0</v>
      </c>
      <c r="AT16" s="52">
        <f>SUM($AT$12:$AT$15)</f>
        <v>0</v>
      </c>
      <c r="AU16" s="52">
        <f>SUM($AU$12:$AU$15)</f>
        <v>3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3</v>
      </c>
      <c r="BD16" s="52">
        <f>SUM($AM$16,$AN$16,$AO$16,$AP$16,$AQ$16,$AR$16,$AS$16,$AT$16)</f>
        <v>5</v>
      </c>
      <c r="BE16" s="52">
        <f>SUM($BE$12:$BE$15)</f>
        <v>1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1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1</v>
      </c>
      <c r="BV16" s="52">
        <f>SUM($BE$16,$BF$16,$BG$16,$BH$16,$BI$16,$BJ$16,$BK$16,$BL$16)</f>
        <v>1</v>
      </c>
      <c r="BX16" s="52" t="s">
        <v>34</v>
      </c>
      <c r="BY16" s="52">
        <f>SUM($BY$12:$BY$15)</f>
        <v>19</v>
      </c>
      <c r="BZ16" s="52">
        <f>SUM($BZ$12:$BZ$15)</f>
        <v>1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5</v>
      </c>
      <c r="CE16" s="52">
        <f>SUM($CE$12:$CE$15)</f>
        <v>1</v>
      </c>
      <c r="CF16" s="52">
        <f>SUM($CF$12:$CF$15)</f>
        <v>0</v>
      </c>
      <c r="CG16" s="52">
        <f>SUM($CG$12:$CG$15)</f>
        <v>19</v>
      </c>
      <c r="CH16" s="52">
        <f>SUM($CH$12:$CH$15)</f>
        <v>1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1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21</v>
      </c>
      <c r="CP16" s="52">
        <f>SUM($BY$16,$BZ$16,$CA$16,$CB$16,$CC$16,$CD$16,$CE$16,$CF$16)</f>
        <v>26</v>
      </c>
      <c r="CQ16" s="52">
        <f>SUM($CQ$12:$CQ$15)</f>
        <v>18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0</v>
      </c>
      <c r="CW16" s="52">
        <f>SUM($CW$12:$CW$15)</f>
        <v>0</v>
      </c>
      <c r="CX16" s="52">
        <f>SUM($CX$12:$CX$15)</f>
        <v>0</v>
      </c>
      <c r="CY16" s="52">
        <f>SUM($CY$12:$CY$15)</f>
        <v>18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18</v>
      </c>
      <c r="DH16" s="52">
        <f>SUM($CQ$16,$CR$16,$CS$16,$CT$16,$CU$16,$CV$16,$CW$16,$CX$16)</f>
        <v>18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3</v>
      </c>
      <c r="V17" s="54">
        <v>0</v>
      </c>
      <c r="W17" s="54">
        <v>0</v>
      </c>
      <c r="X17" s="54">
        <v>0</v>
      </c>
      <c r="Y17" s="54">
        <v>0</v>
      </c>
      <c r="Z17" s="54">
        <v>2</v>
      </c>
      <c r="AA17" s="54">
        <v>0</v>
      </c>
      <c r="AB17" s="61">
        <v>0</v>
      </c>
      <c r="AC17" s="62">
        <f>$U$17*VLOOKUP($U$11,'PCU Values'!$B$9:$C$16,2,FALSE)</f>
        <v>3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0.4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3.4</v>
      </c>
      <c r="AL17" s="52">
        <f>SUM($U$17,$V$17,$W$17,$X$17,$Y$17,$Z$17,$AA$17,$AB$17)</f>
        <v>5</v>
      </c>
      <c r="AM17" s="72">
        <v>1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1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1</v>
      </c>
      <c r="BD17" s="52">
        <f>SUM($AM$17,$AN$17,$AO$17,$AP$17,$AQ$17,$AR$17,$AS$17,$AT$17)</f>
        <v>1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4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2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4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0.4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4.4000000000000004</v>
      </c>
      <c r="CP17" s="52">
        <f>SUM($BY$17,$BZ$17,$CA$17,$CB$17,$CC$17,$CD$17,$CE$17,$CF$17)</f>
        <v>6</v>
      </c>
      <c r="CQ17" s="91">
        <f>SUM('J1 A - (North) Bishopthorpe Roa'!$BE$17,'J1 B - Butcher Terrace'!$AM$17,'J1 C - (South) Bishopthorpe Roa'!$U$17,'J1 D - South Bank Avenue'!$C$17)</f>
        <v>2</v>
      </c>
      <c r="CR17" s="85">
        <f>SUM('J1 A - (North) Bishopthorpe Roa'!$BF$17,'J1 B - Butcher Terrace'!$AN$17,'J1 C - (South) Bishopthorpe Roa'!$V$17,'J1 D - South Bank Avenue'!$D$17)</f>
        <v>0</v>
      </c>
      <c r="CS17" s="85">
        <f>SUM('J1 A - (North) Bishopthorpe Roa'!$BG$17,'J1 B - Butcher Terrace'!$AO$17,'J1 C - (South) Bishopthorpe Roa'!$W$17,'J1 D - South Bank Avenue'!$E$17)</f>
        <v>0</v>
      </c>
      <c r="CT17" s="85">
        <f>SUM('J1 A - (North) Bishopthorpe Roa'!$BH$17,'J1 B - Butcher Terrace'!$AP$17,'J1 C - (South) Bishopthorpe Roa'!$X$17,'J1 D - South Bank Avenue'!$F$17)</f>
        <v>0</v>
      </c>
      <c r="CU17" s="85">
        <f>SUM('J1 A - (North) Bishopthorpe Roa'!$BI$17,'J1 B - Butcher Terrace'!$AQ$17,'J1 C - (South) Bishopthorpe Roa'!$Y$17,'J1 D - South Bank Avenue'!$G$17)</f>
        <v>0</v>
      </c>
      <c r="CV17" s="85">
        <f>SUM('J1 A - (North) Bishopthorpe Roa'!$BJ$17,'J1 B - Butcher Terrace'!$AR$17,'J1 C - (South) Bishopthorpe Roa'!$Z$17,'J1 D - South Bank Avenue'!$H$17)</f>
        <v>0</v>
      </c>
      <c r="CW17" s="85">
        <f>SUM('J1 A - (North) Bishopthorpe Roa'!$BK$17,'J1 B - Butcher Terrace'!$AS$17,'J1 C - (South) Bishopthorpe Roa'!$AA$17,'J1 D - South Bank Avenue'!$I$17)</f>
        <v>0</v>
      </c>
      <c r="CX17" s="88">
        <f>SUM('J1 A - (North) Bishopthorpe Roa'!$BL$17,'J1 B - Butcher Terrace'!$AT$17,'J1 C - (South) Bishopthorpe Roa'!$AB$17,'J1 D - South Bank Avenue'!$J$17)</f>
        <v>0</v>
      </c>
      <c r="CY17" s="81">
        <f>$CQ$17*VLOOKUP($CQ$11,'PCU Values'!$B$9:$C$16,2,FALSE)</f>
        <v>2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2</v>
      </c>
      <c r="DH17" s="52">
        <f>SUM($CQ$17,$CR$17,$CS$17,$CT$17,$CU$17,$CV$17,$CW$17,$CX$17)</f>
        <v>2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Roa'!$BE$18,'J1 B - Butcher Terrace'!$AM$18,'J1 C - (South) Bishopthorpe Roa'!$U$18,'J1 D - South Bank Avenue'!$C$18)</f>
        <v>0</v>
      </c>
      <c r="CR18" s="83">
        <f>SUM('J1 A - (North) Bishopthorpe Roa'!$BF$18,'J1 B - Butcher Terrace'!$AN$18,'J1 C - (South) Bishopthorpe Roa'!$V$18,'J1 D - South Bank Avenue'!$D$18)</f>
        <v>0</v>
      </c>
      <c r="CS18" s="83">
        <f>SUM('J1 A - (North) Bishopthorpe Roa'!$BG$18,'J1 B - Butcher Terrace'!$AO$18,'J1 C - (South) Bishopthorpe Roa'!$W$18,'J1 D - South Bank Avenue'!$E$18)</f>
        <v>0</v>
      </c>
      <c r="CT18" s="83">
        <f>SUM('J1 A - (North) Bishopthorpe Roa'!$BH$18,'J1 B - Butcher Terrace'!$AP$18,'J1 C - (South) Bishopthorpe Roa'!$X$18,'J1 D - South Bank Avenue'!$F$18)</f>
        <v>0</v>
      </c>
      <c r="CU18" s="83">
        <f>SUM('J1 A - (North) Bishopthorpe Roa'!$BI$18,'J1 B - Butcher Terrace'!$AQ$18,'J1 C - (South) Bishopthorpe Roa'!$Y$18,'J1 D - South Bank Avenue'!$G$18)</f>
        <v>0</v>
      </c>
      <c r="CV18" s="83">
        <f>SUM('J1 A - (North) Bishopthorpe Roa'!$BJ$18,'J1 B - Butcher Terrace'!$AR$18,'J1 C - (South) Bishopthorpe Roa'!$Z$18,'J1 D - South Bank Avenue'!$H$18)</f>
        <v>0</v>
      </c>
      <c r="CW18" s="83">
        <f>SUM('J1 A - (North) Bishopthorpe Roa'!$BK$18,'J1 B - Butcher Terrace'!$AS$18,'J1 C - (South) Bishopthorpe Roa'!$AA$18,'J1 D - South Bank Avenue'!$I$18)</f>
        <v>0</v>
      </c>
      <c r="CX18" s="86">
        <f>SUM('J1 A - (North) Bishopthorpe Roa'!$BL$18,'J1 B - Butcher Terrace'!$AT$18,'J1 C - (South) Bishopthorpe Roa'!$AB$18,'J1 D - South Bank Avenue'!$J$18)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1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1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1</v>
      </c>
      <c r="AL19" s="52">
        <f>SUM($U$19,$V$19,$W$19,$X$19,$Y$19,$Z$19,$AA$19,$AB$19)</f>
        <v>1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1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1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1</v>
      </c>
      <c r="CP19" s="52">
        <f>SUM($BY$19,$BZ$19,$CA$19,$CB$19,$CC$19,$CD$19,$CE$19,$CF$19)</f>
        <v>1</v>
      </c>
      <c r="CQ19" s="89">
        <f>SUM('J1 A - (North) Bishopthorpe Roa'!$BE$19,'J1 B - Butcher Terrace'!$AM$19,'J1 C - (South) Bishopthorpe Roa'!$U$19,'J1 D - South Bank Avenue'!$C$19)</f>
        <v>1</v>
      </c>
      <c r="CR19" s="83">
        <f>SUM('J1 A - (North) Bishopthorpe Roa'!$BF$19,'J1 B - Butcher Terrace'!$AN$19,'J1 C - (South) Bishopthorpe Roa'!$V$19,'J1 D - South Bank Avenue'!$D$19)</f>
        <v>0</v>
      </c>
      <c r="CS19" s="83">
        <f>SUM('J1 A - (North) Bishopthorpe Roa'!$BG$19,'J1 B - Butcher Terrace'!$AO$19,'J1 C - (South) Bishopthorpe Roa'!$W$19,'J1 D - South Bank Avenue'!$E$19)</f>
        <v>0</v>
      </c>
      <c r="CT19" s="83">
        <f>SUM('J1 A - (North) Bishopthorpe Roa'!$BH$19,'J1 B - Butcher Terrace'!$AP$19,'J1 C - (South) Bishopthorpe Roa'!$X$19,'J1 D - South Bank Avenue'!$F$19)</f>
        <v>0</v>
      </c>
      <c r="CU19" s="83">
        <f>SUM('J1 A - (North) Bishopthorpe Roa'!$BI$19,'J1 B - Butcher Terrace'!$AQ$19,'J1 C - (South) Bishopthorpe Roa'!$Y$19,'J1 D - South Bank Avenue'!$G$19)</f>
        <v>0</v>
      </c>
      <c r="CV19" s="83">
        <f>SUM('J1 A - (North) Bishopthorpe Roa'!$BJ$19,'J1 B - Butcher Terrace'!$AR$19,'J1 C - (South) Bishopthorpe Roa'!$Z$19,'J1 D - South Bank Avenue'!$H$19)</f>
        <v>0</v>
      </c>
      <c r="CW19" s="83">
        <f>SUM('J1 A - (North) Bishopthorpe Roa'!$BK$19,'J1 B - Butcher Terrace'!$AS$19,'J1 C - (South) Bishopthorpe Roa'!$AA$19,'J1 D - South Bank Avenue'!$I$19)</f>
        <v>0</v>
      </c>
      <c r="CX19" s="86">
        <f>SUM('J1 A - (North) Bishopthorpe Roa'!$BL$19,'J1 B - Butcher Terrace'!$AT$19,'J1 C - (South) Bishopthorpe Roa'!$AB$19,'J1 D - South Bank Avenue'!$J$19)</f>
        <v>0</v>
      </c>
      <c r="CY19" s="77">
        <f>$CQ$19*VLOOKUP($CQ$11,'PCU Values'!$B$9:$C$16,2,FALSE)</f>
        <v>1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1</v>
      </c>
      <c r="DH19" s="52">
        <f>SUM($CQ$19,$CR$19,$CS$19,$CT$19,$CU$19,$CV$19,$CW$19,$CX$19)</f>
        <v>1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2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2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2</v>
      </c>
      <c r="AL20" s="52">
        <f>SUM($U$20,$V$20,$W$20,$X$20,$Y$20,$Z$20,$AA$20,$AB$20)</f>
        <v>2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2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2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2</v>
      </c>
      <c r="CP20" s="52">
        <f>SUM($BY$20,$BZ$20,$CA$20,$CB$20,$CC$20,$CD$20,$CE$20,$CF$20)</f>
        <v>2</v>
      </c>
      <c r="CQ20" s="90">
        <f>SUM('J1 A - (North) Bishopthorpe Roa'!$BE$20,'J1 B - Butcher Terrace'!$AM$20,'J1 C - (South) Bishopthorpe Roa'!$U$20,'J1 D - South Bank Avenue'!$C$20)</f>
        <v>1</v>
      </c>
      <c r="CR20" s="84">
        <f>SUM('J1 A - (North) Bishopthorpe Roa'!$BF$20,'J1 B - Butcher Terrace'!$AN$20,'J1 C - (South) Bishopthorpe Roa'!$V$20,'J1 D - South Bank Avenue'!$D$20)</f>
        <v>0</v>
      </c>
      <c r="CS20" s="84">
        <f>SUM('J1 A - (North) Bishopthorpe Roa'!$BG$20,'J1 B - Butcher Terrace'!$AO$20,'J1 C - (South) Bishopthorpe Roa'!$W$20,'J1 D - South Bank Avenue'!$E$20)</f>
        <v>0</v>
      </c>
      <c r="CT20" s="84">
        <f>SUM('J1 A - (North) Bishopthorpe Roa'!$BH$20,'J1 B - Butcher Terrace'!$AP$20,'J1 C - (South) Bishopthorpe Roa'!$X$20,'J1 D - South Bank Avenue'!$F$20)</f>
        <v>0</v>
      </c>
      <c r="CU20" s="84">
        <f>SUM('J1 A - (North) Bishopthorpe Roa'!$BI$20,'J1 B - Butcher Terrace'!$AQ$20,'J1 C - (South) Bishopthorpe Roa'!$Y$20,'J1 D - South Bank Avenue'!$G$20)</f>
        <v>0</v>
      </c>
      <c r="CV20" s="84">
        <f>SUM('J1 A - (North) Bishopthorpe Roa'!$BJ$20,'J1 B - Butcher Terrace'!$AR$20,'J1 C - (South) Bishopthorpe Roa'!$Z$20,'J1 D - South Bank Avenue'!$H$20)</f>
        <v>0</v>
      </c>
      <c r="CW20" s="84">
        <f>SUM('J1 A - (North) Bishopthorpe Roa'!$BK$20,'J1 B - Butcher Terrace'!$AS$20,'J1 C - (South) Bishopthorpe Roa'!$AA$20,'J1 D - South Bank Avenue'!$I$20)</f>
        <v>0</v>
      </c>
      <c r="CX20" s="87">
        <f>SUM('J1 A - (North) Bishopthorpe Roa'!$BL$20,'J1 B - Butcher Terrace'!$AT$20,'J1 C - (South) Bishopthorpe Roa'!$AB$20,'J1 D - South Bank Avenue'!$J$20)</f>
        <v>0</v>
      </c>
      <c r="CY20" s="79">
        <f>$CQ$20*VLOOKUP($CQ$11,'PCU Values'!$B$9:$C$16,2,FALSE)</f>
        <v>1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1</v>
      </c>
      <c r="DH20" s="52">
        <f>SUM($CQ$20,$CR$20,$CS$20,$CT$20,$CU$20,$CV$20,$CW$20,$CX$20)</f>
        <v>1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6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2</v>
      </c>
      <c r="AA21" s="52">
        <f>SUM($AA$17:$AA$20)</f>
        <v>0</v>
      </c>
      <c r="AB21" s="52">
        <f>SUM($AB$17:$AB$20)</f>
        <v>0</v>
      </c>
      <c r="AC21" s="52">
        <f>SUM($AC$17:$AC$20)</f>
        <v>6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6</v>
      </c>
      <c r="AL21" s="52">
        <f>SUM($U$21,$V$21,$W$21,$X$21,$Y$21,$Z$21,$AA$21,$AB$21)</f>
        <v>8</v>
      </c>
      <c r="AM21" s="52">
        <f>SUM($AM$17:$AM$20)</f>
        <v>1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1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1</v>
      </c>
      <c r="BD21" s="52">
        <f>SUM($AM$21,$AN$21,$AO$21,$AP$21,$AQ$21,$AR$21,$AS$21,$AT$21)</f>
        <v>1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7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2</v>
      </c>
      <c r="CE21" s="52">
        <f>SUM($CE$17:$CE$20)</f>
        <v>0</v>
      </c>
      <c r="CF21" s="52">
        <f>SUM($CF$17:$CF$20)</f>
        <v>0</v>
      </c>
      <c r="CG21" s="52">
        <f>SUM($CG$17:$CG$20)</f>
        <v>7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7</v>
      </c>
      <c r="CP21" s="52">
        <f>SUM($BY$21,$BZ$21,$CA$21,$CB$21,$CC$21,$CD$21,$CE$21,$CF$21)</f>
        <v>9</v>
      </c>
      <c r="CQ21" s="52">
        <f>SUM($CQ$17:$CQ$20)</f>
        <v>4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0</v>
      </c>
      <c r="CW21" s="52">
        <f>SUM($CW$17:$CW$20)</f>
        <v>0</v>
      </c>
      <c r="CX21" s="52">
        <f>SUM($CX$17:$CX$20)</f>
        <v>0</v>
      </c>
      <c r="CY21" s="52">
        <f>SUM($CY$17:$CY$20)</f>
        <v>4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4</v>
      </c>
      <c r="DH21" s="52">
        <f>SUM($CQ$21,$CR$21,$CS$21,$CT$21,$CU$21,$CV$21,$CW$21,$CX$21)</f>
        <v>4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1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1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1</v>
      </c>
      <c r="AL22" s="52">
        <f>SUM($U$22,$V$22,$W$22,$X$22,$Y$22,$Z$22,$AA$22,$AB$22)</f>
        <v>1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1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1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1</v>
      </c>
      <c r="CP22" s="52">
        <f>SUM($BY$22,$BZ$22,$CA$22,$CB$22,$CC$22,$CD$22,$CE$22,$CF$22)</f>
        <v>1</v>
      </c>
      <c r="CQ22" s="91">
        <f>SUM('J1 A - (North) Bishopthorpe Roa'!$BE$22,'J1 B - Butcher Terrace'!$AM$22,'J1 C - (South) Bishopthorpe Roa'!$U$22,'J1 D - South Bank Avenue'!$C$22)</f>
        <v>2</v>
      </c>
      <c r="CR22" s="85">
        <f>SUM('J1 A - (North) Bishopthorpe Roa'!$BF$22,'J1 B - Butcher Terrace'!$AN$22,'J1 C - (South) Bishopthorpe Roa'!$V$22,'J1 D - South Bank Avenue'!$D$22)</f>
        <v>0</v>
      </c>
      <c r="CS22" s="85">
        <f>SUM('J1 A - (North) Bishopthorpe Roa'!$BG$22,'J1 B - Butcher Terrace'!$AO$22,'J1 C - (South) Bishopthorpe Roa'!$W$22,'J1 D - South Bank Avenue'!$E$22)</f>
        <v>0</v>
      </c>
      <c r="CT22" s="85">
        <f>SUM('J1 A - (North) Bishopthorpe Roa'!$BH$22,'J1 B - Butcher Terrace'!$AP$22,'J1 C - (South) Bishopthorpe Roa'!$X$22,'J1 D - South Bank Avenue'!$F$22)</f>
        <v>0</v>
      </c>
      <c r="CU22" s="85">
        <f>SUM('J1 A - (North) Bishopthorpe Roa'!$BI$22,'J1 B - Butcher Terrace'!$AQ$22,'J1 C - (South) Bishopthorpe Roa'!$Y$22,'J1 D - South Bank Avenue'!$G$22)</f>
        <v>0</v>
      </c>
      <c r="CV22" s="85">
        <f>SUM('J1 A - (North) Bishopthorpe Roa'!$BJ$22,'J1 B - Butcher Terrace'!$AR$22,'J1 C - (South) Bishopthorpe Roa'!$Z$22,'J1 D - South Bank Avenue'!$H$22)</f>
        <v>0</v>
      </c>
      <c r="CW22" s="85">
        <f>SUM('J1 A - (North) Bishopthorpe Roa'!$BK$22,'J1 B - Butcher Terrace'!$AS$22,'J1 C - (South) Bishopthorpe Roa'!$AA$22,'J1 D - South Bank Avenue'!$I$22)</f>
        <v>0</v>
      </c>
      <c r="CX22" s="88">
        <f>SUM('J1 A - (North) Bishopthorpe Roa'!$BL$22,'J1 B - Butcher Terrace'!$AT$22,'J1 C - (South) Bishopthorpe Roa'!$AB$22,'J1 D - South Bank Avenue'!$J$22)</f>
        <v>0</v>
      </c>
      <c r="CY22" s="81">
        <f>$CQ$22*VLOOKUP($CQ$11,'PCU Values'!$B$9:$C$16,2,FALSE)</f>
        <v>2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2</v>
      </c>
      <c r="DH22" s="52">
        <f>SUM($CQ$22,$CR$22,$CS$22,$CT$22,$CU$22,$CV$22,$CW$22,$CX$22)</f>
        <v>2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4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4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4</v>
      </c>
      <c r="AL23" s="52">
        <f>SUM($U$23,$V$23,$W$23,$X$23,$Y$23,$Z$23,$AA$23,$AB$23)</f>
        <v>4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4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4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4</v>
      </c>
      <c r="CP23" s="52">
        <f>SUM($BY$23,$BZ$23,$CA$23,$CB$23,$CC$23,$CD$23,$CE$23,$CF$23)</f>
        <v>4</v>
      </c>
      <c r="CQ23" s="89">
        <f>SUM('J1 A - (North) Bishopthorpe Roa'!$BE$23,'J1 B - Butcher Terrace'!$AM$23,'J1 C - (South) Bishopthorpe Roa'!$U$23,'J1 D - South Bank Avenue'!$C$23)</f>
        <v>2</v>
      </c>
      <c r="CR23" s="83">
        <f>SUM('J1 A - (North) Bishopthorpe Roa'!$BF$23,'J1 B - Butcher Terrace'!$AN$23,'J1 C - (South) Bishopthorpe Roa'!$V$23,'J1 D - South Bank Avenue'!$D$23)</f>
        <v>0</v>
      </c>
      <c r="CS23" s="83">
        <f>SUM('J1 A - (North) Bishopthorpe Roa'!$BG$23,'J1 B - Butcher Terrace'!$AO$23,'J1 C - (South) Bishopthorpe Roa'!$W$23,'J1 D - South Bank Avenue'!$E$23)</f>
        <v>0</v>
      </c>
      <c r="CT23" s="83">
        <f>SUM('J1 A - (North) Bishopthorpe Roa'!$BH$23,'J1 B - Butcher Terrace'!$AP$23,'J1 C - (South) Bishopthorpe Roa'!$X$23,'J1 D - South Bank Avenue'!$F$23)</f>
        <v>0</v>
      </c>
      <c r="CU23" s="83">
        <f>SUM('J1 A - (North) Bishopthorpe Roa'!$BI$23,'J1 B - Butcher Terrace'!$AQ$23,'J1 C - (South) Bishopthorpe Roa'!$Y$23,'J1 D - South Bank Avenue'!$G$23)</f>
        <v>0</v>
      </c>
      <c r="CV23" s="83">
        <f>SUM('J1 A - (North) Bishopthorpe Roa'!$BJ$23,'J1 B - Butcher Terrace'!$AR$23,'J1 C - (South) Bishopthorpe Roa'!$Z$23,'J1 D - South Bank Avenue'!$H$23)</f>
        <v>0</v>
      </c>
      <c r="CW23" s="83">
        <f>SUM('J1 A - (North) Bishopthorpe Roa'!$BK$23,'J1 B - Butcher Terrace'!$AS$23,'J1 C - (South) Bishopthorpe Roa'!$AA$23,'J1 D - South Bank Avenue'!$I$23)</f>
        <v>0</v>
      </c>
      <c r="CX23" s="86">
        <f>SUM('J1 A - (North) Bishopthorpe Roa'!$BL$23,'J1 B - Butcher Terrace'!$AT$23,'J1 C - (South) Bishopthorpe Roa'!$AB$23,'J1 D - South Bank Avenue'!$J$23)</f>
        <v>0</v>
      </c>
      <c r="CY23" s="77">
        <f>$CQ$23*VLOOKUP($CQ$11,'PCU Values'!$B$9:$C$16,2,FALSE)</f>
        <v>2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2</v>
      </c>
      <c r="DH23" s="52">
        <f>SUM($CQ$23,$CR$23,$CS$23,$CT$23,$CU$23,$CV$23,$CW$23,$CX$23)</f>
        <v>2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Roa'!$BE$24,'J1 B - Butcher Terrace'!$AM$24,'J1 C - (South) Bishopthorpe Roa'!$U$24,'J1 D - South Bank Avenue'!$C$24)</f>
        <v>0</v>
      </c>
      <c r="CR24" s="83">
        <f>SUM('J1 A - (North) Bishopthorpe Roa'!$BF$24,'J1 B - Butcher Terrace'!$AN$24,'J1 C - (South) Bishopthorpe Roa'!$V$24,'J1 D - South Bank Avenue'!$D$24)</f>
        <v>0</v>
      </c>
      <c r="CS24" s="83">
        <f>SUM('J1 A - (North) Bishopthorpe Roa'!$BG$24,'J1 B - Butcher Terrace'!$AO$24,'J1 C - (South) Bishopthorpe Roa'!$W$24,'J1 D - South Bank Avenue'!$E$24)</f>
        <v>0</v>
      </c>
      <c r="CT24" s="83">
        <f>SUM('J1 A - (North) Bishopthorpe Roa'!$BH$24,'J1 B - Butcher Terrace'!$AP$24,'J1 C - (South) Bishopthorpe Roa'!$X$24,'J1 D - South Bank Avenue'!$F$24)</f>
        <v>0</v>
      </c>
      <c r="CU24" s="83">
        <f>SUM('J1 A - (North) Bishopthorpe Roa'!$BI$24,'J1 B - Butcher Terrace'!$AQ$24,'J1 C - (South) Bishopthorpe Roa'!$Y$24,'J1 D - South Bank Avenue'!$G$24)</f>
        <v>0</v>
      </c>
      <c r="CV24" s="83">
        <f>SUM('J1 A - (North) Bishopthorpe Roa'!$BJ$24,'J1 B - Butcher Terrace'!$AR$24,'J1 C - (South) Bishopthorpe Roa'!$Z$24,'J1 D - South Bank Avenue'!$H$24)</f>
        <v>0</v>
      </c>
      <c r="CW24" s="83">
        <f>SUM('J1 A - (North) Bishopthorpe Roa'!$BK$24,'J1 B - Butcher Terrace'!$AS$24,'J1 C - (South) Bishopthorpe Roa'!$AA$24,'J1 D - South Bank Avenue'!$I$24)</f>
        <v>0</v>
      </c>
      <c r="CX24" s="86">
        <f>SUM('J1 A - (North) Bishopthorpe Roa'!$BL$24,'J1 B - Butcher Terrace'!$AT$24,'J1 C - (South) Bishopthorpe Roa'!$AB$24,'J1 D - South Bank Avenue'!$J$24)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Roa'!$BE$25,'J1 B - Butcher Terrace'!$AM$25,'J1 C - (South) Bishopthorpe Roa'!$U$25,'J1 D - South Bank Avenue'!$C$25)</f>
        <v>0</v>
      </c>
      <c r="CR25" s="84">
        <f>SUM('J1 A - (North) Bishopthorpe Roa'!$BF$25,'J1 B - Butcher Terrace'!$AN$25,'J1 C - (South) Bishopthorpe Roa'!$V$25,'J1 D - South Bank Avenue'!$D$25)</f>
        <v>0</v>
      </c>
      <c r="CS25" s="84">
        <f>SUM('J1 A - (North) Bishopthorpe Roa'!$BG$25,'J1 B - Butcher Terrace'!$AO$25,'J1 C - (South) Bishopthorpe Roa'!$W$25,'J1 D - South Bank Avenue'!$E$25)</f>
        <v>0</v>
      </c>
      <c r="CT25" s="84">
        <f>SUM('J1 A - (North) Bishopthorpe Roa'!$BH$25,'J1 B - Butcher Terrace'!$AP$25,'J1 C - (South) Bishopthorpe Roa'!$X$25,'J1 D - South Bank Avenue'!$F$25)</f>
        <v>0</v>
      </c>
      <c r="CU25" s="84">
        <f>SUM('J1 A - (North) Bishopthorpe Roa'!$BI$25,'J1 B - Butcher Terrace'!$AQ$25,'J1 C - (South) Bishopthorpe Roa'!$Y$25,'J1 D - South Bank Avenue'!$G$25)</f>
        <v>0</v>
      </c>
      <c r="CV25" s="84">
        <f>SUM('J1 A - (North) Bishopthorpe Roa'!$BJ$25,'J1 B - Butcher Terrace'!$AR$25,'J1 C - (South) Bishopthorpe Roa'!$Z$25,'J1 D - South Bank Avenue'!$H$25)</f>
        <v>0</v>
      </c>
      <c r="CW25" s="84">
        <f>SUM('J1 A - (North) Bishopthorpe Roa'!$BK$25,'J1 B - Butcher Terrace'!$AS$25,'J1 C - (South) Bishopthorpe Roa'!$AA$25,'J1 D - South Bank Avenue'!$I$25)</f>
        <v>0</v>
      </c>
      <c r="CX25" s="87">
        <f>SUM('J1 A - (North) Bishopthorpe Roa'!$BL$25,'J1 B - Butcher Terrace'!$AT$25,'J1 C - (South) Bishopthorpe Roa'!$AB$25,'J1 D - South Bank Avenue'!$J$25)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5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5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5</v>
      </c>
      <c r="AL26" s="52">
        <f>SUM($U$26,$V$26,$W$26,$X$26,$Y$26,$Z$26,$AA$26,$AB$26)</f>
        <v>5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5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5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5</v>
      </c>
      <c r="CP26" s="52">
        <f>SUM($BY$26,$BZ$26,$CA$26,$CB$26,$CC$26,$CD$26,$CE$26,$CF$26)</f>
        <v>5</v>
      </c>
      <c r="CQ26" s="52">
        <f>SUM($CQ$22:$CQ$25)</f>
        <v>4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4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4</v>
      </c>
      <c r="DH26" s="52">
        <f>SUM($CQ$26,$CR$26,$CS$26,$CT$26,$CU$26,$CV$26,$CW$26,$CX$26)</f>
        <v>4</v>
      </c>
    </row>
    <row r="27" spans="1:112" ht="21" customHeight="1">
      <c r="A27" s="46">
        <v>44395.125</v>
      </c>
      <c r="B27" s="53" t="s">
        <v>43</v>
      </c>
      <c r="C27" s="54">
        <v>1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1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1</v>
      </c>
      <c r="T27" s="52">
        <f>SUM($C$27,$D$27,$E$27,$F$27,$G$27,$H$27,$I$27,$J$27)</f>
        <v>1</v>
      </c>
      <c r="U27" s="72">
        <v>2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2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2</v>
      </c>
      <c r="AL27" s="52">
        <f>SUM($U$27,$V$27,$W$27,$X$27,$Y$27,$Z$27,$AA$27,$AB$27)</f>
        <v>2</v>
      </c>
      <c r="AM27" s="72">
        <v>1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1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1</v>
      </c>
      <c r="BD27" s="52">
        <f>SUM($AM$27,$AN$27,$AO$27,$AP$27,$AQ$27,$AR$27,$AS$27,$AT$27)</f>
        <v>1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4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4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4</v>
      </c>
      <c r="CP27" s="52">
        <f>SUM($BY$27,$BZ$27,$CA$27,$CB$27,$CC$27,$CD$27,$CE$27,$CF$27)</f>
        <v>4</v>
      </c>
      <c r="CQ27" s="91">
        <f>SUM('J1 A - (North) Bishopthorpe Roa'!$BE$27,'J1 B - Butcher Terrace'!$AM$27,'J1 C - (South) Bishopthorpe Roa'!$U$27,'J1 D - South Bank Avenue'!$C$27)</f>
        <v>1</v>
      </c>
      <c r="CR27" s="85">
        <f>SUM('J1 A - (North) Bishopthorpe Roa'!$BF$27,'J1 B - Butcher Terrace'!$AN$27,'J1 C - (South) Bishopthorpe Roa'!$V$27,'J1 D - South Bank Avenue'!$D$27)</f>
        <v>0</v>
      </c>
      <c r="CS27" s="85">
        <f>SUM('J1 A - (North) Bishopthorpe Roa'!$BG$27,'J1 B - Butcher Terrace'!$AO$27,'J1 C - (South) Bishopthorpe Roa'!$W$27,'J1 D - South Bank Avenue'!$E$27)</f>
        <v>0</v>
      </c>
      <c r="CT27" s="85">
        <f>SUM('J1 A - (North) Bishopthorpe Roa'!$BH$27,'J1 B - Butcher Terrace'!$AP$27,'J1 C - (South) Bishopthorpe Roa'!$X$27,'J1 D - South Bank Avenue'!$F$27)</f>
        <v>0</v>
      </c>
      <c r="CU27" s="85">
        <f>SUM('J1 A - (North) Bishopthorpe Roa'!$BI$27,'J1 B - Butcher Terrace'!$AQ$27,'J1 C - (South) Bishopthorpe Roa'!$Y$27,'J1 D - South Bank Avenue'!$G$27)</f>
        <v>0</v>
      </c>
      <c r="CV27" s="85">
        <f>SUM('J1 A - (North) Bishopthorpe Roa'!$BJ$27,'J1 B - Butcher Terrace'!$AR$27,'J1 C - (South) Bishopthorpe Roa'!$Z$27,'J1 D - South Bank Avenue'!$H$27)</f>
        <v>0</v>
      </c>
      <c r="CW27" s="85">
        <f>SUM('J1 A - (North) Bishopthorpe Roa'!$BK$27,'J1 B - Butcher Terrace'!$AS$27,'J1 C - (South) Bishopthorpe Roa'!$AA$27,'J1 D - South Bank Avenue'!$I$27)</f>
        <v>0</v>
      </c>
      <c r="CX27" s="88">
        <f>SUM('J1 A - (North) Bishopthorpe Roa'!$BL$27,'J1 B - Butcher Terrace'!$AT$27,'J1 C - (South) Bishopthorpe Roa'!$AB$27,'J1 D - South Bank Avenue'!$J$27)</f>
        <v>0</v>
      </c>
      <c r="CY27" s="81">
        <f>$CQ$27*VLOOKUP($CQ$11,'PCU Values'!$B$9:$C$16,2,FALSE)</f>
        <v>1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1</v>
      </c>
      <c r="DH27" s="52">
        <f>SUM($CQ$27,$CR$27,$CS$27,$CT$27,$CU$27,$CV$27,$CW$27,$CX$27)</f>
        <v>1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1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1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1</v>
      </c>
      <c r="AL28" s="52">
        <f>SUM($U$28,$V$28,$W$28,$X$28,$Y$28,$Z$28,$AA$28,$AB$28)</f>
        <v>1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1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1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1</v>
      </c>
      <c r="CP28" s="52">
        <f>SUM($BY$28,$BZ$28,$CA$28,$CB$28,$CC$28,$CD$28,$CE$28,$CF$28)</f>
        <v>1</v>
      </c>
      <c r="CQ28" s="89">
        <f>SUM('J1 A - (North) Bishopthorpe Roa'!$BE$28,'J1 B - Butcher Terrace'!$AM$28,'J1 C - (South) Bishopthorpe Roa'!$U$28,'J1 D - South Bank Avenue'!$C$28)</f>
        <v>1</v>
      </c>
      <c r="CR28" s="83">
        <f>SUM('J1 A - (North) Bishopthorpe Roa'!$BF$28,'J1 B - Butcher Terrace'!$AN$28,'J1 C - (South) Bishopthorpe Roa'!$V$28,'J1 D - South Bank Avenue'!$D$28)</f>
        <v>0</v>
      </c>
      <c r="CS28" s="83">
        <f>SUM('J1 A - (North) Bishopthorpe Roa'!$BG$28,'J1 B - Butcher Terrace'!$AO$28,'J1 C - (South) Bishopthorpe Roa'!$W$28,'J1 D - South Bank Avenue'!$E$28)</f>
        <v>0</v>
      </c>
      <c r="CT28" s="83">
        <f>SUM('J1 A - (North) Bishopthorpe Roa'!$BH$28,'J1 B - Butcher Terrace'!$AP$28,'J1 C - (South) Bishopthorpe Roa'!$X$28,'J1 D - South Bank Avenue'!$F$28)</f>
        <v>0</v>
      </c>
      <c r="CU28" s="83">
        <f>SUM('J1 A - (North) Bishopthorpe Roa'!$BI$28,'J1 B - Butcher Terrace'!$AQ$28,'J1 C - (South) Bishopthorpe Roa'!$Y$28,'J1 D - South Bank Avenue'!$G$28)</f>
        <v>0</v>
      </c>
      <c r="CV28" s="83">
        <f>SUM('J1 A - (North) Bishopthorpe Roa'!$BJ$28,'J1 B - Butcher Terrace'!$AR$28,'J1 C - (South) Bishopthorpe Roa'!$Z$28,'J1 D - South Bank Avenue'!$H$28)</f>
        <v>0</v>
      </c>
      <c r="CW28" s="83">
        <f>SUM('J1 A - (North) Bishopthorpe Roa'!$BK$28,'J1 B - Butcher Terrace'!$AS$28,'J1 C - (South) Bishopthorpe Roa'!$AA$28,'J1 D - South Bank Avenue'!$I$28)</f>
        <v>0</v>
      </c>
      <c r="CX28" s="86">
        <f>SUM('J1 A - (North) Bishopthorpe Roa'!$BL$28,'J1 B - Butcher Terrace'!$AT$28,'J1 C - (South) Bishopthorpe Roa'!$AB$28,'J1 D - South Bank Avenue'!$J$28)</f>
        <v>0</v>
      </c>
      <c r="CY28" s="77">
        <f>$CQ$28*VLOOKUP($CQ$11,'PCU Values'!$B$9:$C$16,2,FALSE)</f>
        <v>1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1</v>
      </c>
      <c r="DH28" s="52">
        <f>SUM($CQ$28,$CR$28,$CS$28,$CT$28,$CU$28,$CV$28,$CW$28,$CX$28)</f>
        <v>1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1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1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1</v>
      </c>
      <c r="AL29" s="52">
        <f>SUM($U$29,$V$29,$W$29,$X$29,$Y$29,$Z$29,$AA$29,$AB$29)</f>
        <v>1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1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1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1</v>
      </c>
      <c r="CP29" s="52">
        <f>SUM($BY$29,$BZ$29,$CA$29,$CB$29,$CC$29,$CD$29,$CE$29,$CF$29)</f>
        <v>1</v>
      </c>
      <c r="CQ29" s="89">
        <f>SUM('J1 A - (North) Bishopthorpe Roa'!$BE$29,'J1 B - Butcher Terrace'!$AM$29,'J1 C - (South) Bishopthorpe Roa'!$U$29,'J1 D - South Bank Avenue'!$C$29)</f>
        <v>0</v>
      </c>
      <c r="CR29" s="83">
        <f>SUM('J1 A - (North) Bishopthorpe Roa'!$BF$29,'J1 B - Butcher Terrace'!$AN$29,'J1 C - (South) Bishopthorpe Roa'!$V$29,'J1 D - South Bank Avenue'!$D$29)</f>
        <v>0</v>
      </c>
      <c r="CS29" s="83">
        <f>SUM('J1 A - (North) Bishopthorpe Roa'!$BG$29,'J1 B - Butcher Terrace'!$AO$29,'J1 C - (South) Bishopthorpe Roa'!$W$29,'J1 D - South Bank Avenue'!$E$29)</f>
        <v>0</v>
      </c>
      <c r="CT29" s="83">
        <f>SUM('J1 A - (North) Bishopthorpe Roa'!$BH$29,'J1 B - Butcher Terrace'!$AP$29,'J1 C - (South) Bishopthorpe Roa'!$X$29,'J1 D - South Bank Avenue'!$F$29)</f>
        <v>0</v>
      </c>
      <c r="CU29" s="83">
        <f>SUM('J1 A - (North) Bishopthorpe Roa'!$BI$29,'J1 B - Butcher Terrace'!$AQ$29,'J1 C - (South) Bishopthorpe Roa'!$Y$29,'J1 D - South Bank Avenue'!$G$29)</f>
        <v>0</v>
      </c>
      <c r="CV29" s="83">
        <f>SUM('J1 A - (North) Bishopthorpe Roa'!$BJ$29,'J1 B - Butcher Terrace'!$AR$29,'J1 C - (South) Bishopthorpe Roa'!$Z$29,'J1 D - South Bank Avenue'!$H$29)</f>
        <v>0</v>
      </c>
      <c r="CW29" s="83">
        <f>SUM('J1 A - (North) Bishopthorpe Roa'!$BK$29,'J1 B - Butcher Terrace'!$AS$29,'J1 C - (South) Bishopthorpe Roa'!$AA$29,'J1 D - South Bank Avenue'!$I$29)</f>
        <v>0</v>
      </c>
      <c r="CX29" s="86">
        <f>SUM('J1 A - (North) Bishopthorpe Roa'!$BL$29,'J1 B - Butcher Terrace'!$AT$29,'J1 C - (South) Bishopthorpe Roa'!$AB$29,'J1 D - South Bank Avenue'!$J$29)</f>
        <v>0</v>
      </c>
      <c r="CY29" s="77">
        <f>$CQ$29*VLOOKUP($CQ$11,'PCU Values'!$B$9:$C$16,2,FALSE)</f>
        <v>0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0</v>
      </c>
      <c r="DH29" s="52">
        <f>SUM($CQ$29,$CR$29,$CS$29,$CT$29,$CU$29,$CV$29,$CW$29,$CX$29)</f>
        <v>0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1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1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1</v>
      </c>
      <c r="AL30" s="52">
        <f>SUM($U$30,$V$30,$W$30,$X$30,$Y$30,$Z$30,$AA$30,$AB$30)</f>
        <v>1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1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1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1</v>
      </c>
      <c r="CP30" s="52">
        <f>SUM($BY$30,$BZ$30,$CA$30,$CB$30,$CC$30,$CD$30,$CE$30,$CF$30)</f>
        <v>1</v>
      </c>
      <c r="CQ30" s="90">
        <f>SUM('J1 A - (North) Bishopthorpe Roa'!$BE$30,'J1 B - Butcher Terrace'!$AM$30,'J1 C - (South) Bishopthorpe Roa'!$U$30,'J1 D - South Bank Avenue'!$C$30)</f>
        <v>2</v>
      </c>
      <c r="CR30" s="84">
        <f>SUM('J1 A - (North) Bishopthorpe Roa'!$BF$30,'J1 B - Butcher Terrace'!$AN$30,'J1 C - (South) Bishopthorpe Roa'!$V$30,'J1 D - South Bank Avenue'!$D$30)</f>
        <v>0</v>
      </c>
      <c r="CS30" s="84">
        <f>SUM('J1 A - (North) Bishopthorpe Roa'!$BG$30,'J1 B - Butcher Terrace'!$AO$30,'J1 C - (South) Bishopthorpe Roa'!$W$30,'J1 D - South Bank Avenue'!$E$30)</f>
        <v>0</v>
      </c>
      <c r="CT30" s="84">
        <f>SUM('J1 A - (North) Bishopthorpe Roa'!$BH$30,'J1 B - Butcher Terrace'!$AP$30,'J1 C - (South) Bishopthorpe Roa'!$X$30,'J1 D - South Bank Avenue'!$F$30)</f>
        <v>0</v>
      </c>
      <c r="CU30" s="84">
        <f>SUM('J1 A - (North) Bishopthorpe Roa'!$BI$30,'J1 B - Butcher Terrace'!$AQ$30,'J1 C - (South) Bishopthorpe Roa'!$Y$30,'J1 D - South Bank Avenue'!$G$30)</f>
        <v>0</v>
      </c>
      <c r="CV30" s="84">
        <f>SUM('J1 A - (North) Bishopthorpe Roa'!$BJ$30,'J1 B - Butcher Terrace'!$AR$30,'J1 C - (South) Bishopthorpe Roa'!$Z$30,'J1 D - South Bank Avenue'!$H$30)</f>
        <v>0</v>
      </c>
      <c r="CW30" s="84">
        <f>SUM('J1 A - (North) Bishopthorpe Roa'!$BK$30,'J1 B - Butcher Terrace'!$AS$30,'J1 C - (South) Bishopthorpe Roa'!$AA$30,'J1 D - South Bank Avenue'!$I$30)</f>
        <v>0</v>
      </c>
      <c r="CX30" s="87">
        <f>SUM('J1 A - (North) Bishopthorpe Roa'!$BL$30,'J1 B - Butcher Terrace'!$AT$30,'J1 C - (South) Bishopthorpe Roa'!$AB$30,'J1 D - South Bank Avenue'!$J$30)</f>
        <v>0</v>
      </c>
      <c r="CY30" s="79">
        <f>$CQ$30*VLOOKUP($CQ$11,'PCU Values'!$B$9:$C$16,2,FALSE)</f>
        <v>2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2</v>
      </c>
      <c r="DH30" s="52">
        <f>SUM($CQ$30,$CR$30,$CS$30,$CT$30,$CU$30,$CV$30,$CW$30,$CX$30)</f>
        <v>2</v>
      </c>
    </row>
    <row r="31" spans="1:112">
      <c r="B31" s="52" t="s">
        <v>34</v>
      </c>
      <c r="C31" s="52">
        <f>SUM($C$27:$C$30)</f>
        <v>1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1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1</v>
      </c>
      <c r="T31" s="52">
        <f>SUM($C$31,$D$31,$E$31,$F$31,$G$31,$H$31,$I$31,$J$31)</f>
        <v>1</v>
      </c>
      <c r="U31" s="52">
        <f>SUM($U$27:$U$30)</f>
        <v>4</v>
      </c>
      <c r="V31" s="52">
        <f>SUM($V$27:$V$30)</f>
        <v>1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4</v>
      </c>
      <c r="AD31" s="52">
        <f>SUM($AD$27:$AD$30)</f>
        <v>1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5</v>
      </c>
      <c r="AL31" s="52">
        <f>SUM($U$31,$V$31,$W$31,$X$31,$Y$31,$Z$31,$AA$31,$AB$31)</f>
        <v>5</v>
      </c>
      <c r="AM31" s="52">
        <f>SUM($AM$27:$AM$30)</f>
        <v>1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1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1</v>
      </c>
      <c r="BD31" s="52">
        <f>SUM($AM$31,$AN$31,$AO$31,$AP$31,$AQ$31,$AR$31,$AS$31,$AT$31)</f>
        <v>1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6</v>
      </c>
      <c r="BZ31" s="52">
        <f>SUM($BZ$27:$BZ$30)</f>
        <v>1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6</v>
      </c>
      <c r="CH31" s="52">
        <f>SUM($CH$27:$CH$30)</f>
        <v>1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7</v>
      </c>
      <c r="CP31" s="52">
        <f>SUM($BY$31,$BZ$31,$CA$31,$CB$31,$CC$31,$CD$31,$CE$31,$CF$31)</f>
        <v>7</v>
      </c>
      <c r="CQ31" s="52">
        <f>SUM($CQ$27:$CQ$30)</f>
        <v>4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4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4</v>
      </c>
      <c r="DH31" s="52">
        <f>SUM($CQ$31,$CR$31,$CS$31,$CT$31,$CU$31,$CV$31,$CW$31,$CX$31)</f>
        <v>4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2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2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2</v>
      </c>
      <c r="AL32" s="52">
        <f>SUM($U$32,$V$32,$W$32,$X$32,$Y$32,$Z$32,$AA$32,$AB$32)</f>
        <v>2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2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2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2</v>
      </c>
      <c r="CP32" s="52">
        <f>SUM($BY$32,$BZ$32,$CA$32,$CB$32,$CC$32,$CD$32,$CE$32,$CF$32)</f>
        <v>2</v>
      </c>
      <c r="CQ32" s="91">
        <f>SUM('J1 A - (North) Bishopthorpe Roa'!$BE$32,'J1 B - Butcher Terrace'!$AM$32,'J1 C - (South) Bishopthorpe Roa'!$U$32,'J1 D - South Bank Avenue'!$C$32)</f>
        <v>0</v>
      </c>
      <c r="CR32" s="85">
        <f>SUM('J1 A - (North) Bishopthorpe Roa'!$BF$32,'J1 B - Butcher Terrace'!$AN$32,'J1 C - (South) Bishopthorpe Roa'!$V$32,'J1 D - South Bank Avenue'!$D$32)</f>
        <v>0</v>
      </c>
      <c r="CS32" s="85">
        <f>SUM('J1 A - (North) Bishopthorpe Roa'!$BG$32,'J1 B - Butcher Terrace'!$AO$32,'J1 C - (South) Bishopthorpe Roa'!$W$32,'J1 D - South Bank Avenue'!$E$32)</f>
        <v>0</v>
      </c>
      <c r="CT32" s="85">
        <f>SUM('J1 A - (North) Bishopthorpe Roa'!$BH$32,'J1 B - Butcher Terrace'!$AP$32,'J1 C - (South) Bishopthorpe Roa'!$X$32,'J1 D - South Bank Avenue'!$F$32)</f>
        <v>0</v>
      </c>
      <c r="CU32" s="85">
        <f>SUM('J1 A - (North) Bishopthorpe Roa'!$BI$32,'J1 B - Butcher Terrace'!$AQ$32,'J1 C - (South) Bishopthorpe Roa'!$Y$32,'J1 D - South Bank Avenue'!$G$32)</f>
        <v>0</v>
      </c>
      <c r="CV32" s="85">
        <f>SUM('J1 A - (North) Bishopthorpe Roa'!$BJ$32,'J1 B - Butcher Terrace'!$AR$32,'J1 C - (South) Bishopthorpe Roa'!$Z$32,'J1 D - South Bank Avenue'!$H$32)</f>
        <v>0</v>
      </c>
      <c r="CW32" s="85">
        <f>SUM('J1 A - (North) Bishopthorpe Roa'!$BK$32,'J1 B - Butcher Terrace'!$AS$32,'J1 C - (South) Bishopthorpe Roa'!$AA$32,'J1 D - South Bank Avenue'!$I$32)</f>
        <v>0</v>
      </c>
      <c r="CX32" s="88">
        <f>SUM('J1 A - (North) Bishopthorpe Roa'!$BL$32,'J1 B - Butcher Terrace'!$AT$32,'J1 C - (South) Bishopthorpe Roa'!$AB$32,'J1 D - South Bank Avenue'!$J$32)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1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1.5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1.5</v>
      </c>
      <c r="AL33" s="52">
        <f>SUM($U$33,$V$33,$W$33,$X$33,$Y$33,$Z$33,$AA$33,$AB$33)</f>
        <v>1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1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1.5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1.5</v>
      </c>
      <c r="CP33" s="52">
        <f>SUM($BY$33,$BZ$33,$CA$33,$CB$33,$CC$33,$CD$33,$CE$33,$CF$33)</f>
        <v>1</v>
      </c>
      <c r="CQ33" s="89">
        <f>SUM('J1 A - (North) Bishopthorpe Roa'!$BE$33,'J1 B - Butcher Terrace'!$AM$33,'J1 C - (South) Bishopthorpe Roa'!$U$33,'J1 D - South Bank Avenue'!$C$33)</f>
        <v>0</v>
      </c>
      <c r="CR33" s="83">
        <f>SUM('J1 A - (North) Bishopthorpe Roa'!$BF$33,'J1 B - Butcher Terrace'!$AN$33,'J1 C - (South) Bishopthorpe Roa'!$V$33,'J1 D - South Bank Avenue'!$D$33)</f>
        <v>0</v>
      </c>
      <c r="CS33" s="83">
        <f>SUM('J1 A - (North) Bishopthorpe Roa'!$BG$33,'J1 B - Butcher Terrace'!$AO$33,'J1 C - (South) Bishopthorpe Roa'!$W$33,'J1 D - South Bank Avenue'!$E$33)</f>
        <v>0</v>
      </c>
      <c r="CT33" s="83">
        <f>SUM('J1 A - (North) Bishopthorpe Roa'!$BH$33,'J1 B - Butcher Terrace'!$AP$33,'J1 C - (South) Bishopthorpe Roa'!$X$33,'J1 D - South Bank Avenue'!$F$33)</f>
        <v>0</v>
      </c>
      <c r="CU33" s="83">
        <f>SUM('J1 A - (North) Bishopthorpe Roa'!$BI$33,'J1 B - Butcher Terrace'!$AQ$33,'J1 C - (South) Bishopthorpe Roa'!$Y$33,'J1 D - South Bank Avenue'!$G$33)</f>
        <v>0</v>
      </c>
      <c r="CV33" s="83">
        <f>SUM('J1 A - (North) Bishopthorpe Roa'!$BJ$33,'J1 B - Butcher Terrace'!$AR$33,'J1 C - (South) Bishopthorpe Roa'!$Z$33,'J1 D - South Bank Avenue'!$H$33)</f>
        <v>0</v>
      </c>
      <c r="CW33" s="83">
        <f>SUM('J1 A - (North) Bishopthorpe Roa'!$BK$33,'J1 B - Butcher Terrace'!$AS$33,'J1 C - (South) Bishopthorpe Roa'!$AA$33,'J1 D - South Bank Avenue'!$I$33)</f>
        <v>0</v>
      </c>
      <c r="CX33" s="86">
        <f>SUM('J1 A - (North) Bishopthorpe Roa'!$BL$33,'J1 B - Butcher Terrace'!$AT$33,'J1 C - (South) Bishopthorpe Roa'!$AB$33,'J1 D - South Bank Avenue'!$J$33)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3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3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3</v>
      </c>
      <c r="AL34" s="52">
        <f>SUM($U$34,$V$34,$W$34,$X$34,$Y$34,$Z$34,$AA$34,$AB$34)</f>
        <v>3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3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3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3</v>
      </c>
      <c r="CP34" s="52">
        <f>SUM($BY$34,$BZ$34,$CA$34,$CB$34,$CC$34,$CD$34,$CE$34,$CF$34)</f>
        <v>3</v>
      </c>
      <c r="CQ34" s="89">
        <f>SUM('J1 A - (North) Bishopthorpe Roa'!$BE$34,'J1 B - Butcher Terrace'!$AM$34,'J1 C - (South) Bishopthorpe Roa'!$U$34,'J1 D - South Bank Avenue'!$C$34)</f>
        <v>2</v>
      </c>
      <c r="CR34" s="83">
        <f>SUM('J1 A - (North) Bishopthorpe Roa'!$BF$34,'J1 B - Butcher Terrace'!$AN$34,'J1 C - (South) Bishopthorpe Roa'!$V$34,'J1 D - South Bank Avenue'!$D$34)</f>
        <v>1</v>
      </c>
      <c r="CS34" s="83">
        <f>SUM('J1 A - (North) Bishopthorpe Roa'!$BG$34,'J1 B - Butcher Terrace'!$AO$34,'J1 C - (South) Bishopthorpe Roa'!$W$34,'J1 D - South Bank Avenue'!$E$34)</f>
        <v>1</v>
      </c>
      <c r="CT34" s="83">
        <f>SUM('J1 A - (North) Bishopthorpe Roa'!$BH$34,'J1 B - Butcher Terrace'!$AP$34,'J1 C - (South) Bishopthorpe Roa'!$X$34,'J1 D - South Bank Avenue'!$F$34)</f>
        <v>0</v>
      </c>
      <c r="CU34" s="83">
        <f>SUM('J1 A - (North) Bishopthorpe Roa'!$BI$34,'J1 B - Butcher Terrace'!$AQ$34,'J1 C - (South) Bishopthorpe Roa'!$Y$34,'J1 D - South Bank Avenue'!$G$34)</f>
        <v>0</v>
      </c>
      <c r="CV34" s="83">
        <f>SUM('J1 A - (North) Bishopthorpe Roa'!$BJ$34,'J1 B - Butcher Terrace'!$AR$34,'J1 C - (South) Bishopthorpe Roa'!$Z$34,'J1 D - South Bank Avenue'!$H$34)</f>
        <v>2</v>
      </c>
      <c r="CW34" s="83">
        <f>SUM('J1 A - (North) Bishopthorpe Roa'!$BK$34,'J1 B - Butcher Terrace'!$AS$34,'J1 C - (South) Bishopthorpe Roa'!$AA$34,'J1 D - South Bank Avenue'!$I$34)</f>
        <v>0</v>
      </c>
      <c r="CX34" s="86">
        <f>SUM('J1 A - (North) Bishopthorpe Roa'!$BL$34,'J1 B - Butcher Terrace'!$AT$34,'J1 C - (South) Bishopthorpe Roa'!$AB$34,'J1 D - South Bank Avenue'!$J$34)</f>
        <v>0</v>
      </c>
      <c r="CY34" s="77">
        <f>$CQ$34*VLOOKUP($CQ$11,'PCU Values'!$B$9:$C$16,2,FALSE)</f>
        <v>2</v>
      </c>
      <c r="CZ34" s="77">
        <f>$CR$34*VLOOKUP($CR$11,'PCU Values'!$B$9:$C$16,2,FALSE)</f>
        <v>1</v>
      </c>
      <c r="DA34" s="77">
        <f>$CS$34*VLOOKUP($CS$11,'PCU Values'!$B$9:$C$16,2,FALSE)</f>
        <v>1.5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0.4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4.9000000000000004</v>
      </c>
      <c r="DH34" s="52">
        <f>SUM($CQ$34,$CR$34,$CS$34,$CT$34,$CU$34,$CV$34,$CW$34,$CX$34)</f>
        <v>6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2</v>
      </c>
      <c r="V35" s="51">
        <v>1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2</v>
      </c>
      <c r="AD35" s="60">
        <f>$V$35*VLOOKUP($V$11,'PCU Values'!$B$9:$C$16,2,FALSE)</f>
        <v>1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3</v>
      </c>
      <c r="AL35" s="52">
        <f>SUM($U$35,$V$35,$W$35,$X$35,$Y$35,$Z$35,$AA$35,$AB$35)</f>
        <v>3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2</v>
      </c>
      <c r="BZ35" s="84">
        <f>SUM($D$35,$V$35,$AN$35,$BF$35)</f>
        <v>1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2</v>
      </c>
      <c r="CH35" s="79">
        <f>$BZ$35*VLOOKUP($BZ$11,'PCU Values'!$B$9:$C$16,2,FALSE)</f>
        <v>1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3</v>
      </c>
      <c r="CP35" s="52">
        <f>SUM($BY$35,$BZ$35,$CA$35,$CB$35,$CC$35,$CD$35,$CE$35,$CF$35)</f>
        <v>3</v>
      </c>
      <c r="CQ35" s="90">
        <f>SUM('J1 A - (North) Bishopthorpe Roa'!$BE$35,'J1 B - Butcher Terrace'!$AM$35,'J1 C - (South) Bishopthorpe Roa'!$U$35,'J1 D - South Bank Avenue'!$C$35)</f>
        <v>2</v>
      </c>
      <c r="CR35" s="84">
        <f>SUM('J1 A - (North) Bishopthorpe Roa'!$BF$35,'J1 B - Butcher Terrace'!$AN$35,'J1 C - (South) Bishopthorpe Roa'!$V$35,'J1 D - South Bank Avenue'!$D$35)</f>
        <v>0</v>
      </c>
      <c r="CS35" s="84">
        <f>SUM('J1 A - (North) Bishopthorpe Roa'!$BG$35,'J1 B - Butcher Terrace'!$AO$35,'J1 C - (South) Bishopthorpe Roa'!$W$35,'J1 D - South Bank Avenue'!$E$35)</f>
        <v>0</v>
      </c>
      <c r="CT35" s="84">
        <f>SUM('J1 A - (North) Bishopthorpe Roa'!$BH$35,'J1 B - Butcher Terrace'!$AP$35,'J1 C - (South) Bishopthorpe Roa'!$X$35,'J1 D - South Bank Avenue'!$F$35)</f>
        <v>0</v>
      </c>
      <c r="CU35" s="84">
        <f>SUM('J1 A - (North) Bishopthorpe Roa'!$BI$35,'J1 B - Butcher Terrace'!$AQ$35,'J1 C - (South) Bishopthorpe Roa'!$Y$35,'J1 D - South Bank Avenue'!$G$35)</f>
        <v>0</v>
      </c>
      <c r="CV35" s="84">
        <f>SUM('J1 A - (North) Bishopthorpe Roa'!$BJ$35,'J1 B - Butcher Terrace'!$AR$35,'J1 C - (South) Bishopthorpe Roa'!$Z$35,'J1 D - South Bank Avenue'!$H$35)</f>
        <v>0</v>
      </c>
      <c r="CW35" s="84">
        <f>SUM('J1 A - (North) Bishopthorpe Roa'!$BK$35,'J1 B - Butcher Terrace'!$AS$35,'J1 C - (South) Bishopthorpe Roa'!$AA$35,'J1 D - South Bank Avenue'!$I$35)</f>
        <v>0</v>
      </c>
      <c r="CX35" s="87">
        <f>SUM('J1 A - (North) Bishopthorpe Roa'!$BL$35,'J1 B - Butcher Terrace'!$AT$35,'J1 C - (South) Bishopthorpe Roa'!$AB$35,'J1 D - South Bank Avenue'!$J$35)</f>
        <v>0</v>
      </c>
      <c r="CY35" s="79">
        <f>$CQ$35*VLOOKUP($CQ$11,'PCU Values'!$B$9:$C$16,2,FALSE)</f>
        <v>2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2</v>
      </c>
      <c r="DH35" s="52">
        <f>SUM($CQ$35,$CR$35,$CS$35,$CT$35,$CU$35,$CV$35,$CW$35,$CX$35)</f>
        <v>2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7</v>
      </c>
      <c r="V36" s="52">
        <f>SUM($V$32:$V$35)</f>
        <v>1</v>
      </c>
      <c r="W36" s="52">
        <f>SUM($W$32:$W$35)</f>
        <v>1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7</v>
      </c>
      <c r="AD36" s="52">
        <f>SUM($AD$32:$AD$35)</f>
        <v>1</v>
      </c>
      <c r="AE36" s="52">
        <f>SUM($AE$32:$AE$35)</f>
        <v>2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10</v>
      </c>
      <c r="AL36" s="52">
        <f>SUM($U$36,$V$36,$W$36,$X$36,$Y$36,$Z$36,$AA$36,$AB$36)</f>
        <v>9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7</v>
      </c>
      <c r="BZ36" s="52">
        <f>SUM($BZ$32:$BZ$35)</f>
        <v>1</v>
      </c>
      <c r="CA36" s="52">
        <f>SUM($CA$32:$CA$35)</f>
        <v>1</v>
      </c>
      <c r="CB36" s="52">
        <f>SUM($CB$32:$CB$35)</f>
        <v>0</v>
      </c>
      <c r="CC36" s="52">
        <f>SUM($CC$32:$CC$35)</f>
        <v>0</v>
      </c>
      <c r="CD36" s="52">
        <f>SUM($CD$32:$CD$35)</f>
        <v>0</v>
      </c>
      <c r="CE36" s="52">
        <f>SUM($CE$32:$CE$35)</f>
        <v>0</v>
      </c>
      <c r="CF36" s="52">
        <f>SUM($CF$32:$CF$35)</f>
        <v>0</v>
      </c>
      <c r="CG36" s="52">
        <f>SUM($CG$32:$CG$35)</f>
        <v>7</v>
      </c>
      <c r="CH36" s="52">
        <f>SUM($CH$32:$CH$35)</f>
        <v>1</v>
      </c>
      <c r="CI36" s="52">
        <f>SUM($CI$32:$CI$35)</f>
        <v>2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10</v>
      </c>
      <c r="CP36" s="52">
        <f>SUM($BY$36,$BZ$36,$CA$36,$CB$36,$CC$36,$CD$36,$CE$36,$CF$36)</f>
        <v>9</v>
      </c>
      <c r="CQ36" s="52">
        <f>SUM($CQ$32:$CQ$35)</f>
        <v>4</v>
      </c>
      <c r="CR36" s="52">
        <f>SUM($CR$32:$CR$35)</f>
        <v>1</v>
      </c>
      <c r="CS36" s="52">
        <f>SUM($CS$32:$CS$35)</f>
        <v>1</v>
      </c>
      <c r="CT36" s="52">
        <f>SUM($CT$32:$CT$35)</f>
        <v>0</v>
      </c>
      <c r="CU36" s="52">
        <f>SUM($CU$32:$CU$35)</f>
        <v>0</v>
      </c>
      <c r="CV36" s="52">
        <f>SUM($CV$32:$CV$35)</f>
        <v>2</v>
      </c>
      <c r="CW36" s="52">
        <f>SUM($CW$32:$CW$35)</f>
        <v>0</v>
      </c>
      <c r="CX36" s="52">
        <f>SUM($CX$32:$CX$35)</f>
        <v>0</v>
      </c>
      <c r="CY36" s="52">
        <f>SUM($CY$32:$CY$35)</f>
        <v>4</v>
      </c>
      <c r="CZ36" s="52">
        <f>SUM($CZ$32:$CZ$35)</f>
        <v>1</v>
      </c>
      <c r="DA36" s="52">
        <f>SUM($DA$32:$DA$35)</f>
        <v>2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7</v>
      </c>
      <c r="DH36" s="52">
        <f>SUM($CQ$36,$CR$36,$CS$36,$CT$36,$CU$36,$CV$36,$CW$36,$CX$36)</f>
        <v>8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1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1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1</v>
      </c>
      <c r="AL37" s="52">
        <f>SUM($U$37,$V$37,$W$37,$X$37,$Y$37,$Z$37,$AA$37,$AB$37)</f>
        <v>1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1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1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1</v>
      </c>
      <c r="CP37" s="52">
        <f>SUM($BY$37,$BZ$37,$CA$37,$CB$37,$CC$37,$CD$37,$CE$37,$CF$37)</f>
        <v>1</v>
      </c>
      <c r="CQ37" s="91">
        <f>SUM('J1 A - (North) Bishopthorpe Roa'!$BE$37,'J1 B - Butcher Terrace'!$AM$37,'J1 C - (South) Bishopthorpe Roa'!$U$37,'J1 D - South Bank Avenue'!$C$37)</f>
        <v>2</v>
      </c>
      <c r="CR37" s="85">
        <f>SUM('J1 A - (North) Bishopthorpe Roa'!$BF$37,'J1 B - Butcher Terrace'!$AN$37,'J1 C - (South) Bishopthorpe Roa'!$V$37,'J1 D - South Bank Avenue'!$D$37)</f>
        <v>0</v>
      </c>
      <c r="CS37" s="85">
        <f>SUM('J1 A - (North) Bishopthorpe Roa'!$BG$37,'J1 B - Butcher Terrace'!$AO$37,'J1 C - (South) Bishopthorpe Roa'!$W$37,'J1 D - South Bank Avenue'!$E$37)</f>
        <v>0</v>
      </c>
      <c r="CT37" s="85">
        <f>SUM('J1 A - (North) Bishopthorpe Roa'!$BH$37,'J1 B - Butcher Terrace'!$AP$37,'J1 C - (South) Bishopthorpe Roa'!$X$37,'J1 D - South Bank Avenue'!$F$37)</f>
        <v>0</v>
      </c>
      <c r="CU37" s="85">
        <f>SUM('J1 A - (North) Bishopthorpe Roa'!$BI$37,'J1 B - Butcher Terrace'!$AQ$37,'J1 C - (South) Bishopthorpe Roa'!$Y$37,'J1 D - South Bank Avenue'!$G$37)</f>
        <v>0</v>
      </c>
      <c r="CV37" s="85">
        <f>SUM('J1 A - (North) Bishopthorpe Roa'!$BJ$37,'J1 B - Butcher Terrace'!$AR$37,'J1 C - (South) Bishopthorpe Roa'!$Z$37,'J1 D - South Bank Avenue'!$H$37)</f>
        <v>1</v>
      </c>
      <c r="CW37" s="85">
        <f>SUM('J1 A - (North) Bishopthorpe Roa'!$BK$37,'J1 B - Butcher Terrace'!$AS$37,'J1 C - (South) Bishopthorpe Roa'!$AA$37,'J1 D - South Bank Avenue'!$I$37)</f>
        <v>0</v>
      </c>
      <c r="CX37" s="88">
        <f>SUM('J1 A - (North) Bishopthorpe Roa'!$BL$37,'J1 B - Butcher Terrace'!$AT$37,'J1 C - (South) Bishopthorpe Roa'!$AB$37,'J1 D - South Bank Avenue'!$J$37)</f>
        <v>0</v>
      </c>
      <c r="CY37" s="81">
        <f>$CQ$37*VLOOKUP($CQ$11,'PCU Values'!$B$9:$C$16,2,FALSE)</f>
        <v>2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0.2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2.2000000000000002</v>
      </c>
      <c r="DH37" s="52">
        <f>SUM($CQ$37,$CR$37,$CS$37,$CT$37,$CU$37,$CV$37,$CW$37,$CX$37)</f>
        <v>3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4</v>
      </c>
      <c r="V38" s="48">
        <v>0</v>
      </c>
      <c r="W38" s="48">
        <v>0</v>
      </c>
      <c r="X38" s="48">
        <v>0</v>
      </c>
      <c r="Y38" s="48">
        <v>0</v>
      </c>
      <c r="Z38" s="48">
        <v>1</v>
      </c>
      <c r="AA38" s="48">
        <v>0</v>
      </c>
      <c r="AB38" s="56">
        <v>0</v>
      </c>
      <c r="AC38" s="57">
        <f>$U$38*VLOOKUP($U$11,'PCU Values'!$B$9:$C$16,2,FALSE)</f>
        <v>4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0.2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4.2</v>
      </c>
      <c r="AL38" s="52">
        <f>SUM($U$38,$V$38,$W$38,$X$38,$Y$38,$Z$38,$AA$38,$AB$38)</f>
        <v>5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4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1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4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0.2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4.2</v>
      </c>
      <c r="CP38" s="52">
        <f>SUM($BY$38,$BZ$38,$CA$38,$CB$38,$CC$38,$CD$38,$CE$38,$CF$38)</f>
        <v>5</v>
      </c>
      <c r="CQ38" s="89">
        <f>SUM('J1 A - (North) Bishopthorpe Roa'!$BE$38,'J1 B - Butcher Terrace'!$AM$38,'J1 C - (South) Bishopthorpe Roa'!$U$38,'J1 D - South Bank Avenue'!$C$38)</f>
        <v>5</v>
      </c>
      <c r="CR38" s="83">
        <f>SUM('J1 A - (North) Bishopthorpe Roa'!$BF$38,'J1 B - Butcher Terrace'!$AN$38,'J1 C - (South) Bishopthorpe Roa'!$V$38,'J1 D - South Bank Avenue'!$D$38)</f>
        <v>0</v>
      </c>
      <c r="CS38" s="83">
        <f>SUM('J1 A - (North) Bishopthorpe Roa'!$BG$38,'J1 B - Butcher Terrace'!$AO$38,'J1 C - (South) Bishopthorpe Roa'!$W$38,'J1 D - South Bank Avenue'!$E$38)</f>
        <v>0</v>
      </c>
      <c r="CT38" s="83">
        <f>SUM('J1 A - (North) Bishopthorpe Roa'!$BH$38,'J1 B - Butcher Terrace'!$AP$38,'J1 C - (South) Bishopthorpe Roa'!$X$38,'J1 D - South Bank Avenue'!$F$38)</f>
        <v>0</v>
      </c>
      <c r="CU38" s="83">
        <f>SUM('J1 A - (North) Bishopthorpe Roa'!$BI$38,'J1 B - Butcher Terrace'!$AQ$38,'J1 C - (South) Bishopthorpe Roa'!$Y$38,'J1 D - South Bank Avenue'!$G$38)</f>
        <v>0</v>
      </c>
      <c r="CV38" s="83">
        <f>SUM('J1 A - (North) Bishopthorpe Roa'!$BJ$38,'J1 B - Butcher Terrace'!$AR$38,'J1 C - (South) Bishopthorpe Roa'!$Z$38,'J1 D - South Bank Avenue'!$H$38)</f>
        <v>1</v>
      </c>
      <c r="CW38" s="83">
        <f>SUM('J1 A - (North) Bishopthorpe Roa'!$BK$38,'J1 B - Butcher Terrace'!$AS$38,'J1 C - (South) Bishopthorpe Roa'!$AA$38,'J1 D - South Bank Avenue'!$I$38)</f>
        <v>0</v>
      </c>
      <c r="CX38" s="86">
        <f>SUM('J1 A - (North) Bishopthorpe Roa'!$BL$38,'J1 B - Butcher Terrace'!$AT$38,'J1 C - (South) Bishopthorpe Roa'!$AB$38,'J1 D - South Bank Avenue'!$J$38)</f>
        <v>0</v>
      </c>
      <c r="CY38" s="77">
        <f>$CQ$38*VLOOKUP($CQ$11,'PCU Values'!$B$9:$C$16,2,FALSE)</f>
        <v>5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0.2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5.2</v>
      </c>
      <c r="DH38" s="52">
        <f>SUM($CQ$38,$CR$38,$CS$38,$CT$38,$CU$38,$CV$38,$CW$38,$CX$38)</f>
        <v>6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2">
        <f>SUM($C$39,$D$39,$E$39,$F$39,$G$39,$H$39,$I$39,$J$39)</f>
        <v>0</v>
      </c>
      <c r="U39" s="67">
        <v>1</v>
      </c>
      <c r="V39" s="48">
        <v>1</v>
      </c>
      <c r="W39" s="48">
        <v>0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1</v>
      </c>
      <c r="AD39" s="57">
        <f>$V$39*VLOOKUP($V$11,'PCU Values'!$B$9:$C$16,2,FALSE)</f>
        <v>1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2.2000000000000002</v>
      </c>
      <c r="AL39" s="52">
        <f>SUM($U$39,$V$39,$W$39,$X$39,$Y$39,$Z$39,$AA$39,$AB$39)</f>
        <v>3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</v>
      </c>
      <c r="BZ39" s="83">
        <f>SUM($D$39,$V$39,$AN$39,$BF$39)</f>
        <v>1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</v>
      </c>
      <c r="CH39" s="77">
        <f>$BZ$39*VLOOKUP($BZ$11,'PCU Values'!$B$9:$C$16,2,FALSE)</f>
        <v>1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2.2000000000000002</v>
      </c>
      <c r="CP39" s="52">
        <f>SUM($BY$39,$BZ$39,$CA$39,$CB$39,$CC$39,$CD$39,$CE$39,$CF$39)</f>
        <v>3</v>
      </c>
      <c r="CQ39" s="89">
        <f>SUM('J1 A - (North) Bishopthorpe Roa'!$BE$39,'J1 B - Butcher Terrace'!$AM$39,'J1 C - (South) Bishopthorpe Roa'!$U$39,'J1 D - South Bank Avenue'!$C$39)</f>
        <v>7</v>
      </c>
      <c r="CR39" s="83">
        <f>SUM('J1 A - (North) Bishopthorpe Roa'!$BF$39,'J1 B - Butcher Terrace'!$AN$39,'J1 C - (South) Bishopthorpe Roa'!$V$39,'J1 D - South Bank Avenue'!$D$39)</f>
        <v>1</v>
      </c>
      <c r="CS39" s="83">
        <f>SUM('J1 A - (North) Bishopthorpe Roa'!$BG$39,'J1 B - Butcher Terrace'!$AO$39,'J1 C - (South) Bishopthorpe Roa'!$W$39,'J1 D - South Bank Avenue'!$E$39)</f>
        <v>0</v>
      </c>
      <c r="CT39" s="83">
        <f>SUM('J1 A - (North) Bishopthorpe Roa'!$BH$39,'J1 B - Butcher Terrace'!$AP$39,'J1 C - (South) Bishopthorpe Roa'!$X$39,'J1 D - South Bank Avenue'!$F$39)</f>
        <v>0</v>
      </c>
      <c r="CU39" s="83">
        <f>SUM('J1 A - (North) Bishopthorpe Roa'!$BI$39,'J1 B - Butcher Terrace'!$AQ$39,'J1 C - (South) Bishopthorpe Roa'!$Y$39,'J1 D - South Bank Avenue'!$G$39)</f>
        <v>0</v>
      </c>
      <c r="CV39" s="83">
        <f>SUM('J1 A - (North) Bishopthorpe Roa'!$BJ$39,'J1 B - Butcher Terrace'!$AR$39,'J1 C - (South) Bishopthorpe Roa'!$Z$39,'J1 D - South Bank Avenue'!$H$39)</f>
        <v>1</v>
      </c>
      <c r="CW39" s="83">
        <f>SUM('J1 A - (North) Bishopthorpe Roa'!$BK$39,'J1 B - Butcher Terrace'!$AS$39,'J1 C - (South) Bishopthorpe Roa'!$AA$39,'J1 D - South Bank Avenue'!$I$39)</f>
        <v>0</v>
      </c>
      <c r="CX39" s="86">
        <f>SUM('J1 A - (North) Bishopthorpe Roa'!$BL$39,'J1 B - Butcher Terrace'!$AT$39,'J1 C - (South) Bishopthorpe Roa'!$AB$39,'J1 D - South Bank Avenue'!$J$39)</f>
        <v>0</v>
      </c>
      <c r="CY39" s="77">
        <f>$CQ$39*VLOOKUP($CQ$11,'PCU Values'!$B$9:$C$16,2,FALSE)</f>
        <v>7</v>
      </c>
      <c r="CZ39" s="77">
        <f>$CR$39*VLOOKUP($CR$11,'PCU Values'!$B$9:$C$16,2,FALSE)</f>
        <v>1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0.2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8.1999999999999993</v>
      </c>
      <c r="DH39" s="52">
        <f>SUM($CQ$39,$CR$39,$CS$39,$CT$39,$CU$39,$CV$39,$CW$39,$CX$39)</f>
        <v>9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2</v>
      </c>
      <c r="V40" s="51">
        <v>1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2</v>
      </c>
      <c r="AD40" s="60">
        <f>$V$40*VLOOKUP($V$11,'PCU Values'!$B$9:$C$16,2,FALSE)</f>
        <v>1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3</v>
      </c>
      <c r="AL40" s="52">
        <f>SUM($U$40,$V$40,$W$40,$X$40,$Y$40,$Z$40,$AA$40,$AB$40)</f>
        <v>3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1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1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1</v>
      </c>
      <c r="BV40" s="52">
        <f>SUM($BE$40,$BF$40,$BG$40,$BH$40,$BI$40,$BJ$40,$BK$40,$BL$40)</f>
        <v>1</v>
      </c>
      <c r="BX40" s="50" t="s">
        <v>54</v>
      </c>
      <c r="BY40" s="84">
        <f>SUM($C$40,$U$40,$AM$40,$BE$40)</f>
        <v>3</v>
      </c>
      <c r="BZ40" s="84">
        <f>SUM($D$40,$V$40,$AN$40,$BF$40)</f>
        <v>1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3</v>
      </c>
      <c r="CH40" s="79">
        <f>$BZ$40*VLOOKUP($BZ$11,'PCU Values'!$B$9:$C$16,2,FALSE)</f>
        <v>1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4</v>
      </c>
      <c r="CP40" s="52">
        <f>SUM($BY$40,$BZ$40,$CA$40,$CB$40,$CC$40,$CD$40,$CE$40,$CF$40)</f>
        <v>4</v>
      </c>
      <c r="CQ40" s="90">
        <f>SUM('J1 A - (North) Bishopthorpe Roa'!$BE$40,'J1 B - Butcher Terrace'!$AM$40,'J1 C - (South) Bishopthorpe Roa'!$U$40,'J1 D - South Bank Avenue'!$C$40)</f>
        <v>15</v>
      </c>
      <c r="CR40" s="84">
        <f>SUM('J1 A - (North) Bishopthorpe Roa'!$BF$40,'J1 B - Butcher Terrace'!$AN$40,'J1 C - (South) Bishopthorpe Roa'!$V$40,'J1 D - South Bank Avenue'!$D$40)</f>
        <v>0</v>
      </c>
      <c r="CS40" s="84">
        <f>SUM('J1 A - (North) Bishopthorpe Roa'!$BG$40,'J1 B - Butcher Terrace'!$AO$40,'J1 C - (South) Bishopthorpe Roa'!$W$40,'J1 D - South Bank Avenue'!$E$40)</f>
        <v>0</v>
      </c>
      <c r="CT40" s="84">
        <f>SUM('J1 A - (North) Bishopthorpe Roa'!$BH$40,'J1 B - Butcher Terrace'!$AP$40,'J1 C - (South) Bishopthorpe Roa'!$X$40,'J1 D - South Bank Avenue'!$F$40)</f>
        <v>0</v>
      </c>
      <c r="CU40" s="84">
        <f>SUM('J1 A - (North) Bishopthorpe Roa'!$BI$40,'J1 B - Butcher Terrace'!$AQ$40,'J1 C - (South) Bishopthorpe Roa'!$Y$40,'J1 D - South Bank Avenue'!$G$40)</f>
        <v>0</v>
      </c>
      <c r="CV40" s="84">
        <f>SUM('J1 A - (North) Bishopthorpe Roa'!$BJ$40,'J1 B - Butcher Terrace'!$AR$40,'J1 C - (South) Bishopthorpe Roa'!$Z$40,'J1 D - South Bank Avenue'!$H$40)</f>
        <v>0</v>
      </c>
      <c r="CW40" s="84">
        <f>SUM('J1 A - (North) Bishopthorpe Roa'!$BK$40,'J1 B - Butcher Terrace'!$AS$40,'J1 C - (South) Bishopthorpe Roa'!$AA$40,'J1 D - South Bank Avenue'!$I$40)</f>
        <v>0</v>
      </c>
      <c r="CX40" s="87">
        <f>SUM('J1 A - (North) Bishopthorpe Roa'!$BL$40,'J1 B - Butcher Terrace'!$AT$40,'J1 C - (South) Bishopthorpe Roa'!$AB$40,'J1 D - South Bank Avenue'!$J$40)</f>
        <v>0</v>
      </c>
      <c r="CY40" s="79">
        <f>$CQ$40*VLOOKUP($CQ$11,'PCU Values'!$B$9:$C$16,2,FALSE)</f>
        <v>15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15</v>
      </c>
      <c r="DH40" s="52">
        <f>SUM($CQ$40,$CR$40,$CS$40,$CT$40,$CU$40,$CV$40,$CW$40,$CX$40)</f>
        <v>15</v>
      </c>
    </row>
    <row r="41" spans="1:112">
      <c r="B41" s="52" t="s">
        <v>34</v>
      </c>
      <c r="C41" s="52">
        <f>SUM($C$37:$C$40)</f>
        <v>0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0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0</v>
      </c>
      <c r="T41" s="52">
        <f>SUM($C$41,$D$41,$E$41,$F$41,$G$41,$H$41,$I$41,$J$41)</f>
        <v>0</v>
      </c>
      <c r="U41" s="52">
        <f>SUM($U$37:$U$40)</f>
        <v>8</v>
      </c>
      <c r="V41" s="52">
        <f>SUM($V$37:$V$40)</f>
        <v>2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2</v>
      </c>
      <c r="AA41" s="52">
        <f>SUM($AA$37:$AA$40)</f>
        <v>0</v>
      </c>
      <c r="AB41" s="52">
        <f>SUM($AB$37:$AB$40)</f>
        <v>0</v>
      </c>
      <c r="AC41" s="52">
        <f>SUM($AC$37:$AC$40)</f>
        <v>8</v>
      </c>
      <c r="AD41" s="52">
        <f>SUM($AD$37:$AD$40)</f>
        <v>2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10</v>
      </c>
      <c r="AL41" s="52">
        <f>SUM($U$41,$V$41,$W$41,$X$41,$Y$41,$Z$41,$AA$41,$AB$41)</f>
        <v>12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1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1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1</v>
      </c>
      <c r="BV41" s="52">
        <f>SUM($BE$41,$BF$41,$BG$41,$BH$41,$BI$41,$BJ$41,$BK$41,$BL$41)</f>
        <v>1</v>
      </c>
      <c r="BX41" s="52" t="s">
        <v>34</v>
      </c>
      <c r="BY41" s="52">
        <f>SUM($BY$37:$BY$40)</f>
        <v>9</v>
      </c>
      <c r="BZ41" s="52">
        <f>SUM($BZ$37:$BZ$40)</f>
        <v>2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2</v>
      </c>
      <c r="CE41" s="52">
        <f>SUM($CE$37:$CE$40)</f>
        <v>0</v>
      </c>
      <c r="CF41" s="52">
        <f>SUM($CF$37:$CF$40)</f>
        <v>0</v>
      </c>
      <c r="CG41" s="52">
        <f>SUM($CG$37:$CG$40)</f>
        <v>9</v>
      </c>
      <c r="CH41" s="52">
        <f>SUM($CH$37:$CH$40)</f>
        <v>2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11</v>
      </c>
      <c r="CP41" s="52">
        <f>SUM($BY$41,$BZ$41,$CA$41,$CB$41,$CC$41,$CD$41,$CE$41,$CF$41)</f>
        <v>13</v>
      </c>
      <c r="CQ41" s="52">
        <f>SUM($CQ$37:$CQ$40)</f>
        <v>29</v>
      </c>
      <c r="CR41" s="52">
        <f>SUM($CR$37:$CR$40)</f>
        <v>1</v>
      </c>
      <c r="CS41" s="52">
        <f>SUM($CS$37:$CS$40)</f>
        <v>0</v>
      </c>
      <c r="CT41" s="52">
        <f>SUM($CT$37:$CT$40)</f>
        <v>0</v>
      </c>
      <c r="CU41" s="52">
        <f>SUM($CU$37:$CU$40)</f>
        <v>0</v>
      </c>
      <c r="CV41" s="52">
        <f>SUM($CV$37:$CV$40)</f>
        <v>3</v>
      </c>
      <c r="CW41" s="52">
        <f>SUM($CW$37:$CW$40)</f>
        <v>0</v>
      </c>
      <c r="CX41" s="52">
        <f>SUM($CX$37:$CX$40)</f>
        <v>0</v>
      </c>
      <c r="CY41" s="52">
        <f>SUM($CY$37:$CY$40)</f>
        <v>29</v>
      </c>
      <c r="CZ41" s="52">
        <f>SUM($CZ$37:$CZ$40)</f>
        <v>1</v>
      </c>
      <c r="DA41" s="52">
        <f>SUM($DA$37:$DA$40)</f>
        <v>0</v>
      </c>
      <c r="DB41" s="52">
        <f>SUM($DB$37:$DB$40)</f>
        <v>0</v>
      </c>
      <c r="DC41" s="52">
        <f>SUM($DC$37:$DC$40)</f>
        <v>0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31</v>
      </c>
      <c r="DH41" s="52">
        <f>SUM($CQ$41,$CR$41,$CS$41,$CT$41,$CU$41,$CV$41,$CW$41,$CX$41)</f>
        <v>33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2</v>
      </c>
      <c r="V42" s="54">
        <v>0</v>
      </c>
      <c r="W42" s="54">
        <v>0</v>
      </c>
      <c r="X42" s="54">
        <v>0</v>
      </c>
      <c r="Y42" s="54">
        <v>1</v>
      </c>
      <c r="Z42" s="54">
        <v>0</v>
      </c>
      <c r="AA42" s="54">
        <v>0</v>
      </c>
      <c r="AB42" s="61">
        <v>0</v>
      </c>
      <c r="AC42" s="62">
        <f>$U$42*VLOOKUP($U$11,'PCU Values'!$B$9:$C$16,2,FALSE)</f>
        <v>2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2</v>
      </c>
      <c r="AH42" s="62">
        <f>$Z$42*VLOOKUP($Z$11,'PCU Values'!$B$9:$C$16,2,FALSE)</f>
        <v>0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4</v>
      </c>
      <c r="AL42" s="52">
        <f>SUM($U$42,$V$42,$W$42,$X$42,$Y$42,$Z$42,$AA$42,$AB$42)</f>
        <v>3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2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1</v>
      </c>
      <c r="CD42" s="85">
        <f>SUM($H$42,$Z$42,$AR$42,$BJ$42)</f>
        <v>0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2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2</v>
      </c>
      <c r="CL42" s="81">
        <f>$CD$42*VLOOKUP($CD$11,'PCU Values'!$B$9:$C$16,2,FALSE)</f>
        <v>0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4</v>
      </c>
      <c r="CP42" s="52">
        <f>SUM($BY$42,$BZ$42,$CA$42,$CB$42,$CC$42,$CD$42,$CE$42,$CF$42)</f>
        <v>3</v>
      </c>
      <c r="CQ42" s="91">
        <f>SUM('J1 A - (North) Bishopthorpe Roa'!$BE$42,'J1 B - Butcher Terrace'!$AM$42,'J1 C - (South) Bishopthorpe Roa'!$U$42,'J1 D - South Bank Avenue'!$C$42)</f>
        <v>8</v>
      </c>
      <c r="CR42" s="85">
        <f>SUM('J1 A - (North) Bishopthorpe Roa'!$BF$42,'J1 B - Butcher Terrace'!$AN$42,'J1 C - (South) Bishopthorpe Roa'!$V$42,'J1 D - South Bank Avenue'!$D$42)</f>
        <v>0</v>
      </c>
      <c r="CS42" s="85">
        <f>SUM('J1 A - (North) Bishopthorpe Roa'!$BG$42,'J1 B - Butcher Terrace'!$AO$42,'J1 C - (South) Bishopthorpe Roa'!$W$42,'J1 D - South Bank Avenue'!$E$42)</f>
        <v>0</v>
      </c>
      <c r="CT42" s="85">
        <f>SUM('J1 A - (North) Bishopthorpe Roa'!$BH$42,'J1 B - Butcher Terrace'!$AP$42,'J1 C - (South) Bishopthorpe Roa'!$X$42,'J1 D - South Bank Avenue'!$F$42)</f>
        <v>0</v>
      </c>
      <c r="CU42" s="85">
        <f>SUM('J1 A - (North) Bishopthorpe Roa'!$BI$42,'J1 B - Butcher Terrace'!$AQ$42,'J1 C - (South) Bishopthorpe Roa'!$Y$42,'J1 D - South Bank Avenue'!$G$42)</f>
        <v>0</v>
      </c>
      <c r="CV42" s="85">
        <f>SUM('J1 A - (North) Bishopthorpe Roa'!$BJ$42,'J1 B - Butcher Terrace'!$AR$42,'J1 C - (South) Bishopthorpe Roa'!$Z$42,'J1 D - South Bank Avenue'!$H$42)</f>
        <v>1</v>
      </c>
      <c r="CW42" s="85">
        <f>SUM('J1 A - (North) Bishopthorpe Roa'!$BK$42,'J1 B - Butcher Terrace'!$AS$42,'J1 C - (South) Bishopthorpe Roa'!$AA$42,'J1 D - South Bank Avenue'!$I$42)</f>
        <v>0</v>
      </c>
      <c r="CX42" s="88">
        <f>SUM('J1 A - (North) Bishopthorpe Roa'!$BL$42,'J1 B - Butcher Terrace'!$AT$42,'J1 C - (South) Bishopthorpe Roa'!$AB$42,'J1 D - South Bank Avenue'!$J$42)</f>
        <v>0</v>
      </c>
      <c r="CY42" s="81">
        <f>$CQ$42*VLOOKUP($CQ$11,'PCU Values'!$B$9:$C$16,2,FALSE)</f>
        <v>8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8.1999999999999993</v>
      </c>
      <c r="DH42" s="52">
        <f>SUM($CQ$42,$CR$42,$CS$42,$CT$42,$CU$42,$CV$42,$CW$42,$CX$42)</f>
        <v>9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1</v>
      </c>
      <c r="G43" s="48">
        <v>0</v>
      </c>
      <c r="H43" s="48">
        <v>2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2.2999999999999998</v>
      </c>
      <c r="O43" s="57">
        <f>$G$43*VLOOKUP($G$11,'PCU Values'!$B$9:$C$16,2,FALSE)</f>
        <v>0</v>
      </c>
      <c r="P43" s="57">
        <f>$H$43*VLOOKUP($H$11,'PCU Values'!$B$9:$C$16,2,FALSE)</f>
        <v>0.4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2.7</v>
      </c>
      <c r="T43" s="52">
        <f>SUM($C$43,$D$43,$E$43,$F$43,$G$43,$H$43,$I$43,$J$43)</f>
        <v>3</v>
      </c>
      <c r="U43" s="67">
        <v>4</v>
      </c>
      <c r="V43" s="48">
        <v>0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4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4.2</v>
      </c>
      <c r="AL43" s="52">
        <f>SUM($U$43,$V$43,$W$43,$X$43,$Y$43,$Z$43,$AA$43,$AB$43)</f>
        <v>5</v>
      </c>
      <c r="AM43" s="67">
        <v>1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1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1</v>
      </c>
      <c r="BD43" s="52">
        <f>SUM($AM$43,$AN$43,$AO$43,$AP$43,$AQ$43,$AR$43,$AS$43,$AT$43)</f>
        <v>1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5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1</v>
      </c>
      <c r="CC43" s="83">
        <f>SUM($G$43,$Y$43,$AQ$43,$BI$43)</f>
        <v>0</v>
      </c>
      <c r="CD43" s="83">
        <f>SUM($H$43,$Z$43,$AR$43,$BJ$43)</f>
        <v>3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5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2.2999999999999998</v>
      </c>
      <c r="CK43" s="77">
        <f>$CC$43*VLOOKUP($CC$11,'PCU Values'!$B$9:$C$16,2,FALSE)</f>
        <v>0</v>
      </c>
      <c r="CL43" s="77">
        <f>$CD$43*VLOOKUP($CD$11,'PCU Values'!$B$9:$C$16,2,FALSE)</f>
        <v>0.6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7.9</v>
      </c>
      <c r="CP43" s="52">
        <f>SUM($BY$43,$BZ$43,$CA$43,$CB$43,$CC$43,$CD$43,$CE$43,$CF$43)</f>
        <v>9</v>
      </c>
      <c r="CQ43" s="89">
        <f>SUM('J1 A - (North) Bishopthorpe Roa'!$BE$43,'J1 B - Butcher Terrace'!$AM$43,'J1 C - (South) Bishopthorpe Roa'!$U$43,'J1 D - South Bank Avenue'!$C$43)</f>
        <v>7</v>
      </c>
      <c r="CR43" s="83">
        <f>SUM('J1 A - (North) Bishopthorpe Roa'!$BF$43,'J1 B - Butcher Terrace'!$AN$43,'J1 C - (South) Bishopthorpe Roa'!$V$43,'J1 D - South Bank Avenue'!$D$43)</f>
        <v>2</v>
      </c>
      <c r="CS43" s="83">
        <f>SUM('J1 A - (North) Bishopthorpe Roa'!$BG$43,'J1 B - Butcher Terrace'!$AO$43,'J1 C - (South) Bishopthorpe Roa'!$W$43,'J1 D - South Bank Avenue'!$E$43)</f>
        <v>0</v>
      </c>
      <c r="CT43" s="83">
        <f>SUM('J1 A - (North) Bishopthorpe Roa'!$BH$43,'J1 B - Butcher Terrace'!$AP$43,'J1 C - (South) Bishopthorpe Roa'!$X$43,'J1 D - South Bank Avenue'!$F$43)</f>
        <v>0</v>
      </c>
      <c r="CU43" s="83">
        <f>SUM('J1 A - (North) Bishopthorpe Roa'!$BI$43,'J1 B - Butcher Terrace'!$AQ$43,'J1 C - (South) Bishopthorpe Roa'!$Y$43,'J1 D - South Bank Avenue'!$G$43)</f>
        <v>0</v>
      </c>
      <c r="CV43" s="83">
        <f>SUM('J1 A - (North) Bishopthorpe Roa'!$BJ$43,'J1 B - Butcher Terrace'!$AR$43,'J1 C - (South) Bishopthorpe Roa'!$Z$43,'J1 D - South Bank Avenue'!$H$43)</f>
        <v>1</v>
      </c>
      <c r="CW43" s="83">
        <f>SUM('J1 A - (North) Bishopthorpe Roa'!$BK$43,'J1 B - Butcher Terrace'!$AS$43,'J1 C - (South) Bishopthorpe Roa'!$AA$43,'J1 D - South Bank Avenue'!$I$43)</f>
        <v>0</v>
      </c>
      <c r="CX43" s="86">
        <f>SUM('J1 A - (North) Bishopthorpe Roa'!$BL$43,'J1 B - Butcher Terrace'!$AT$43,'J1 C - (South) Bishopthorpe Roa'!$AB$43,'J1 D - South Bank Avenue'!$J$43)</f>
        <v>0</v>
      </c>
      <c r="CY43" s="77">
        <f>$CQ$43*VLOOKUP($CQ$11,'PCU Values'!$B$9:$C$16,2,FALSE)</f>
        <v>7</v>
      </c>
      <c r="CZ43" s="77">
        <f>$CR$43*VLOOKUP($CR$11,'PCU Values'!$B$9:$C$16,2,FALSE)</f>
        <v>2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9.1999999999999993</v>
      </c>
      <c r="DH43" s="52">
        <f>SUM($CQ$43,$CR$43,$CS$43,$CT$43,$CU$43,$CV$43,$CW$43,$CX$43)</f>
        <v>10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1</v>
      </c>
      <c r="E44" s="49">
        <v>0</v>
      </c>
      <c r="F44" s="49">
        <v>0</v>
      </c>
      <c r="G44" s="49">
        <v>0</v>
      </c>
      <c r="H44" s="49">
        <v>1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1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0.2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1.2</v>
      </c>
      <c r="T44" s="52">
        <f>SUM($C$44,$D$44,$E$44,$F$44,$G$44,$H$44,$I$44,$J$44)</f>
        <v>2</v>
      </c>
      <c r="U44" s="49">
        <v>7</v>
      </c>
      <c r="V44" s="49">
        <v>2</v>
      </c>
      <c r="W44" s="49">
        <v>0</v>
      </c>
      <c r="X44" s="49">
        <v>0</v>
      </c>
      <c r="Y44" s="49">
        <v>1</v>
      </c>
      <c r="Z44" s="49">
        <v>0</v>
      </c>
      <c r="AA44" s="49">
        <v>0</v>
      </c>
      <c r="AB44" s="58">
        <v>0</v>
      </c>
      <c r="AC44" s="57">
        <f>$U$44*VLOOKUP($U$11,'PCU Values'!$B$9:$C$16,2,FALSE)</f>
        <v>7</v>
      </c>
      <c r="AD44" s="57">
        <f>$V$44*VLOOKUP($V$11,'PCU Values'!$B$9:$C$16,2,FALSE)</f>
        <v>2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2</v>
      </c>
      <c r="AH44" s="57">
        <f>$Z$44*VLOOKUP($Z$11,'PCU Values'!$B$9:$C$16,2,FALSE)</f>
        <v>0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11</v>
      </c>
      <c r="AL44" s="52">
        <f>SUM($U$44,$V$44,$W$44,$X$44,$Y$44,$Z$44,$AA$44,$AB$44)</f>
        <v>10</v>
      </c>
      <c r="AM44" s="49">
        <v>0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0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0</v>
      </c>
      <c r="BD44" s="52">
        <f>SUM($AM$44,$AN$44,$AO$44,$AP$44,$AQ$44,$AR$44,$AS$44,$AT$44)</f>
        <v>0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7</v>
      </c>
      <c r="BZ44" s="83">
        <f>SUM($D$44,$V$44,$AN$44,$BF$44)</f>
        <v>3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1</v>
      </c>
      <c r="CD44" s="83">
        <f>SUM($H$44,$Z$44,$AR$44,$BJ$44)</f>
        <v>1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7</v>
      </c>
      <c r="CH44" s="77">
        <f>$BZ$44*VLOOKUP($BZ$11,'PCU Values'!$B$9:$C$16,2,FALSE)</f>
        <v>3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2</v>
      </c>
      <c r="CL44" s="77">
        <f>$CD$44*VLOOKUP($CD$11,'PCU Values'!$B$9:$C$16,2,FALSE)</f>
        <v>0.2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12.2</v>
      </c>
      <c r="CP44" s="52">
        <f>SUM($BY$44,$BZ$44,$CA$44,$CB$44,$CC$44,$CD$44,$CE$44,$CF$44)</f>
        <v>12</v>
      </c>
      <c r="CQ44" s="89">
        <f>SUM('J1 A - (North) Bishopthorpe Roa'!$BE$44,'J1 B - Butcher Terrace'!$AM$44,'J1 C - (South) Bishopthorpe Roa'!$U$44,'J1 D - South Bank Avenue'!$C$44)</f>
        <v>22</v>
      </c>
      <c r="CR44" s="83">
        <f>SUM('J1 A - (North) Bishopthorpe Roa'!$BF$44,'J1 B - Butcher Terrace'!$AN$44,'J1 C - (South) Bishopthorpe Roa'!$V$44,'J1 D - South Bank Avenue'!$D$44)</f>
        <v>0</v>
      </c>
      <c r="CS44" s="83">
        <f>SUM('J1 A - (North) Bishopthorpe Roa'!$BG$44,'J1 B - Butcher Terrace'!$AO$44,'J1 C - (South) Bishopthorpe Roa'!$W$44,'J1 D - South Bank Avenue'!$E$44)</f>
        <v>0</v>
      </c>
      <c r="CT44" s="83">
        <f>SUM('J1 A - (North) Bishopthorpe Roa'!$BH$44,'J1 B - Butcher Terrace'!$AP$44,'J1 C - (South) Bishopthorpe Roa'!$X$44,'J1 D - South Bank Avenue'!$F$44)</f>
        <v>1</v>
      </c>
      <c r="CU44" s="83">
        <f>SUM('J1 A - (North) Bishopthorpe Roa'!$BI$44,'J1 B - Butcher Terrace'!$AQ$44,'J1 C - (South) Bishopthorpe Roa'!$Y$44,'J1 D - South Bank Avenue'!$G$44)</f>
        <v>1</v>
      </c>
      <c r="CV44" s="83">
        <f>SUM('J1 A - (North) Bishopthorpe Roa'!$BJ$44,'J1 B - Butcher Terrace'!$AR$44,'J1 C - (South) Bishopthorpe Roa'!$Z$44,'J1 D - South Bank Avenue'!$H$44)</f>
        <v>2</v>
      </c>
      <c r="CW44" s="83">
        <f>SUM('J1 A - (North) Bishopthorpe Roa'!$BK$44,'J1 B - Butcher Terrace'!$AS$44,'J1 C - (South) Bishopthorpe Roa'!$AA$44,'J1 D - South Bank Avenue'!$I$44)</f>
        <v>0</v>
      </c>
      <c r="CX44" s="86">
        <f>SUM('J1 A - (North) Bishopthorpe Roa'!$BL$44,'J1 B - Butcher Terrace'!$AT$44,'J1 C - (South) Bishopthorpe Roa'!$AB$44,'J1 D - South Bank Avenue'!$J$44)</f>
        <v>0</v>
      </c>
      <c r="CY44" s="77">
        <f>$CQ$44*VLOOKUP($CQ$11,'PCU Values'!$B$9:$C$16,2,FALSE)</f>
        <v>22</v>
      </c>
      <c r="CZ44" s="77">
        <f>$CR$44*VLOOKUP($CR$11,'PCU Values'!$B$9:$C$16,2,FALSE)</f>
        <v>0</v>
      </c>
      <c r="DA44" s="77">
        <f>$CS$44*VLOOKUP($CS$11,'PCU Values'!$B$9:$C$16,2,FALSE)</f>
        <v>0</v>
      </c>
      <c r="DB44" s="77">
        <f>$CT$44*VLOOKUP($CT$11,'PCU Values'!$B$9:$C$16,2,FALSE)</f>
        <v>2.2999999999999998</v>
      </c>
      <c r="DC44" s="77">
        <f>$CU$44*VLOOKUP($CU$11,'PCU Values'!$B$9:$C$16,2,FALSE)</f>
        <v>2</v>
      </c>
      <c r="DD44" s="77">
        <f>$CV$44*VLOOKUP($CV$11,'PCU Values'!$B$9:$C$16,2,FALSE)</f>
        <v>0.4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26.7</v>
      </c>
      <c r="DH44" s="52">
        <f>SUM($CQ$44,$CR$44,$CS$44,$CT$44,$CU$44,$CV$44,$CW$44,$CX$44)</f>
        <v>26</v>
      </c>
    </row>
    <row r="45" spans="1:112" ht="21" customHeight="1">
      <c r="A45" s="46">
        <v>44395.28125</v>
      </c>
      <c r="B45" s="50" t="s">
        <v>58</v>
      </c>
      <c r="C45" s="51">
        <v>1</v>
      </c>
      <c r="D45" s="51">
        <v>0</v>
      </c>
      <c r="E45" s="51">
        <v>1</v>
      </c>
      <c r="F45" s="51">
        <v>0</v>
      </c>
      <c r="G45" s="51">
        <v>0</v>
      </c>
      <c r="H45" s="51">
        <v>1</v>
      </c>
      <c r="I45" s="51">
        <v>0</v>
      </c>
      <c r="J45" s="59">
        <v>0</v>
      </c>
      <c r="K45" s="60">
        <f>$C$45*VLOOKUP($C$11,'PCU Values'!$B$9:$C$16,2,FALSE)</f>
        <v>1</v>
      </c>
      <c r="L45" s="60">
        <f>$D$45*VLOOKUP($D$11,'PCU Values'!$B$9:$C$16,2,FALSE)</f>
        <v>0</v>
      </c>
      <c r="M45" s="60">
        <f>$E$45*VLOOKUP($E$11,'PCU Values'!$B$9:$C$16,2,FALSE)</f>
        <v>1.5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0.2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2.7</v>
      </c>
      <c r="T45" s="52">
        <f>SUM($C$45,$D$45,$E$45,$F$45,$G$45,$H$45,$I$45,$J$45)</f>
        <v>3</v>
      </c>
      <c r="U45" s="73">
        <v>16</v>
      </c>
      <c r="V45" s="51">
        <v>1</v>
      </c>
      <c r="W45" s="51">
        <v>0</v>
      </c>
      <c r="X45" s="51">
        <v>0</v>
      </c>
      <c r="Y45" s="51">
        <v>0</v>
      </c>
      <c r="Z45" s="51">
        <v>1</v>
      </c>
      <c r="AA45" s="51">
        <v>0</v>
      </c>
      <c r="AB45" s="59">
        <v>0</v>
      </c>
      <c r="AC45" s="60">
        <f>$U$45*VLOOKUP($U$11,'PCU Values'!$B$9:$C$16,2,FALSE)</f>
        <v>16</v>
      </c>
      <c r="AD45" s="60">
        <f>$V$45*VLOOKUP($V$11,'PCU Values'!$B$9:$C$16,2,FALSE)</f>
        <v>1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17.2</v>
      </c>
      <c r="AL45" s="52">
        <f>SUM($U$45,$V$45,$W$45,$X$45,$Y$45,$Z$45,$AA$45,$AB$45)</f>
        <v>18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17</v>
      </c>
      <c r="BZ45" s="84">
        <f>SUM($D$45,$V$45,$AN$45,$BF$45)</f>
        <v>1</v>
      </c>
      <c r="CA45" s="84">
        <f>SUM($E$45,$W$45,$AO$45,$BG$45)</f>
        <v>1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2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17</v>
      </c>
      <c r="CH45" s="79">
        <f>$BZ$45*VLOOKUP($BZ$11,'PCU Values'!$B$9:$C$16,2,FALSE)</f>
        <v>1</v>
      </c>
      <c r="CI45" s="79">
        <f>$CA$45*VLOOKUP($CA$11,'PCU Values'!$B$9:$C$16,2,FALSE)</f>
        <v>1.5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0.4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19.899999999999999</v>
      </c>
      <c r="CP45" s="52">
        <f>SUM($BY$45,$BZ$45,$CA$45,$CB$45,$CC$45,$CD$45,$CE$45,$CF$45)</f>
        <v>21</v>
      </c>
      <c r="CQ45" s="90">
        <f>SUM('J1 A - (North) Bishopthorpe Roa'!$BE$45,'J1 B - Butcher Terrace'!$AM$45,'J1 C - (South) Bishopthorpe Roa'!$U$45,'J1 D - South Bank Avenue'!$C$45)</f>
        <v>20</v>
      </c>
      <c r="CR45" s="84">
        <f>SUM('J1 A - (North) Bishopthorpe Roa'!$BF$45,'J1 B - Butcher Terrace'!$AN$45,'J1 C - (South) Bishopthorpe Roa'!$V$45,'J1 D - South Bank Avenue'!$D$45)</f>
        <v>4</v>
      </c>
      <c r="CS45" s="84">
        <f>SUM('J1 A - (North) Bishopthorpe Roa'!$BG$45,'J1 B - Butcher Terrace'!$AO$45,'J1 C - (South) Bishopthorpe Roa'!$W$45,'J1 D - South Bank Avenue'!$E$45)</f>
        <v>1</v>
      </c>
      <c r="CT45" s="84">
        <f>SUM('J1 A - (North) Bishopthorpe Roa'!$BH$45,'J1 B - Butcher Terrace'!$AP$45,'J1 C - (South) Bishopthorpe Roa'!$X$45,'J1 D - South Bank Avenue'!$F$45)</f>
        <v>0</v>
      </c>
      <c r="CU45" s="84">
        <f>SUM('J1 A - (North) Bishopthorpe Roa'!$BI$45,'J1 B - Butcher Terrace'!$AQ$45,'J1 C - (South) Bishopthorpe Roa'!$Y$45,'J1 D - South Bank Avenue'!$G$45)</f>
        <v>0</v>
      </c>
      <c r="CV45" s="84">
        <f>SUM('J1 A - (North) Bishopthorpe Roa'!$BJ$45,'J1 B - Butcher Terrace'!$AR$45,'J1 C - (South) Bishopthorpe Roa'!$Z$45,'J1 D - South Bank Avenue'!$H$45)</f>
        <v>3</v>
      </c>
      <c r="CW45" s="84">
        <f>SUM('J1 A - (North) Bishopthorpe Roa'!$BK$45,'J1 B - Butcher Terrace'!$AS$45,'J1 C - (South) Bishopthorpe Roa'!$AA$45,'J1 D - South Bank Avenue'!$I$45)</f>
        <v>0</v>
      </c>
      <c r="CX45" s="87">
        <f>SUM('J1 A - (North) Bishopthorpe Roa'!$BL$45,'J1 B - Butcher Terrace'!$AT$45,'J1 C - (South) Bishopthorpe Roa'!$AB$45,'J1 D - South Bank Avenue'!$J$45)</f>
        <v>0</v>
      </c>
      <c r="CY45" s="79">
        <f>$CQ$45*VLOOKUP($CQ$11,'PCU Values'!$B$9:$C$16,2,FALSE)</f>
        <v>20</v>
      </c>
      <c r="CZ45" s="79">
        <f>$CR$45*VLOOKUP($CR$11,'PCU Values'!$B$9:$C$16,2,FALSE)</f>
        <v>4</v>
      </c>
      <c r="DA45" s="79">
        <f>$CS$45*VLOOKUP($CS$11,'PCU Values'!$B$9:$C$16,2,FALSE)</f>
        <v>1.5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0.6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26.1</v>
      </c>
      <c r="DH45" s="52">
        <f>SUM($CQ$45,$CR$45,$CS$45,$CT$45,$CU$45,$CV$45,$CW$45,$CX$45)</f>
        <v>28</v>
      </c>
    </row>
    <row r="46" spans="1:112">
      <c r="B46" s="52" t="s">
        <v>34</v>
      </c>
      <c r="C46" s="52">
        <f>SUM($C$42:$C$45)</f>
        <v>1</v>
      </c>
      <c r="D46" s="52">
        <f>SUM($D$42:$D$45)</f>
        <v>1</v>
      </c>
      <c r="E46" s="52">
        <f>SUM($E$42:$E$45)</f>
        <v>1</v>
      </c>
      <c r="F46" s="52">
        <f>SUM($F$42:$F$45)</f>
        <v>1</v>
      </c>
      <c r="G46" s="52">
        <f>SUM($G$42:$G$45)</f>
        <v>0</v>
      </c>
      <c r="H46" s="52">
        <f>SUM($H$42:$H$45)</f>
        <v>4</v>
      </c>
      <c r="I46" s="52">
        <f>SUM($I$42:$I$45)</f>
        <v>0</v>
      </c>
      <c r="J46" s="52">
        <f>SUM($J$42:$J$45)</f>
        <v>0</v>
      </c>
      <c r="K46" s="52">
        <f>SUM($K$42:$K$45)</f>
        <v>1</v>
      </c>
      <c r="L46" s="52">
        <f>SUM($L$42:$L$45)</f>
        <v>1</v>
      </c>
      <c r="M46" s="52">
        <f>SUM($M$42:$M$45)</f>
        <v>2</v>
      </c>
      <c r="N46" s="52">
        <f>SUM($N$42:$N$45)</f>
        <v>2</v>
      </c>
      <c r="O46" s="52">
        <f>SUM($O$42:$O$45)</f>
        <v>0</v>
      </c>
      <c r="P46" s="52">
        <f>SUM($P$42:$P$45)</f>
        <v>1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7</v>
      </c>
      <c r="T46" s="52">
        <f>SUM($C$46,$D$46,$E$46,$F$46,$G$46,$H$46,$I$46,$J$46)</f>
        <v>8</v>
      </c>
      <c r="U46" s="52">
        <f>SUM($U$42:$U$45)</f>
        <v>29</v>
      </c>
      <c r="V46" s="52">
        <f>SUM($V$42:$V$45)</f>
        <v>3</v>
      </c>
      <c r="W46" s="52">
        <f>SUM($W$42:$W$45)</f>
        <v>0</v>
      </c>
      <c r="X46" s="52">
        <f>SUM($X$42:$X$45)</f>
        <v>0</v>
      </c>
      <c r="Y46" s="52">
        <f>SUM($Y$42:$Y$45)</f>
        <v>2</v>
      </c>
      <c r="Z46" s="52">
        <f>SUM($Z$42:$Z$45)</f>
        <v>2</v>
      </c>
      <c r="AA46" s="52">
        <f>SUM($AA$42:$AA$45)</f>
        <v>0</v>
      </c>
      <c r="AB46" s="52">
        <f>SUM($AB$42:$AB$45)</f>
        <v>0</v>
      </c>
      <c r="AC46" s="52">
        <f>SUM($AC$42:$AC$45)</f>
        <v>29</v>
      </c>
      <c r="AD46" s="52">
        <f>SUM($AD$42:$AD$45)</f>
        <v>3</v>
      </c>
      <c r="AE46" s="52">
        <f>SUM($AE$42:$AE$45)</f>
        <v>0</v>
      </c>
      <c r="AF46" s="52">
        <f>SUM($AF$42:$AF$45)</f>
        <v>0</v>
      </c>
      <c r="AG46" s="52">
        <f>SUM($AG$42:$AG$45)</f>
        <v>4</v>
      </c>
      <c r="AH46" s="52">
        <f>SUM($AH$42:$AH$45)</f>
        <v>0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36</v>
      </c>
      <c r="AL46" s="52">
        <f>SUM($U$46,$V$46,$W$46,$X$46,$Y$46,$Z$46,$AA$46,$AB$46)</f>
        <v>36</v>
      </c>
      <c r="AM46" s="52">
        <f>SUM($AM$42:$AM$45)</f>
        <v>1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1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1</v>
      </c>
      <c r="BD46" s="52">
        <f>SUM($AM$46,$AN$46,$AO$46,$AP$46,$AQ$46,$AR$46,$AS$46,$AT$46)</f>
        <v>1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31</v>
      </c>
      <c r="BZ46" s="52">
        <f>SUM($BZ$42:$BZ$45)</f>
        <v>4</v>
      </c>
      <c r="CA46" s="52">
        <f>SUM($CA$42:$CA$45)</f>
        <v>1</v>
      </c>
      <c r="CB46" s="52">
        <f>SUM($CB$42:$CB$45)</f>
        <v>1</v>
      </c>
      <c r="CC46" s="52">
        <f>SUM($CC$42:$CC$45)</f>
        <v>2</v>
      </c>
      <c r="CD46" s="52">
        <f>SUM($CD$42:$CD$45)</f>
        <v>6</v>
      </c>
      <c r="CE46" s="52">
        <f>SUM($CE$42:$CE$45)</f>
        <v>0</v>
      </c>
      <c r="CF46" s="52">
        <f>SUM($CF$42:$CF$45)</f>
        <v>0</v>
      </c>
      <c r="CG46" s="52">
        <f>SUM($CG$42:$CG$45)</f>
        <v>31</v>
      </c>
      <c r="CH46" s="52">
        <f>SUM($CH$42:$CH$45)</f>
        <v>4</v>
      </c>
      <c r="CI46" s="52">
        <f>SUM($CI$42:$CI$45)</f>
        <v>2</v>
      </c>
      <c r="CJ46" s="52">
        <f>SUM($CJ$42:$CJ$45)</f>
        <v>2</v>
      </c>
      <c r="CK46" s="52">
        <f>SUM($CK$42:$CK$45)</f>
        <v>4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44</v>
      </c>
      <c r="CP46" s="52">
        <f>SUM($BY$46,$BZ$46,$CA$46,$CB$46,$CC$46,$CD$46,$CE$46,$CF$46)</f>
        <v>45</v>
      </c>
      <c r="CQ46" s="52">
        <f>SUM($CQ$42:$CQ$45)</f>
        <v>57</v>
      </c>
      <c r="CR46" s="52">
        <f>SUM($CR$42:$CR$45)</f>
        <v>6</v>
      </c>
      <c r="CS46" s="52">
        <f>SUM($CS$42:$CS$45)</f>
        <v>1</v>
      </c>
      <c r="CT46" s="52">
        <f>SUM($CT$42:$CT$45)</f>
        <v>1</v>
      </c>
      <c r="CU46" s="52">
        <f>SUM($CU$42:$CU$45)</f>
        <v>1</v>
      </c>
      <c r="CV46" s="52">
        <f>SUM($CV$42:$CV$45)</f>
        <v>7</v>
      </c>
      <c r="CW46" s="52">
        <f>SUM($CW$42:$CW$45)</f>
        <v>0</v>
      </c>
      <c r="CX46" s="52">
        <f>SUM($CX$42:$CX$45)</f>
        <v>0</v>
      </c>
      <c r="CY46" s="52">
        <f>SUM($CY$42:$CY$45)</f>
        <v>57</v>
      </c>
      <c r="CZ46" s="52">
        <f>SUM($CZ$42:$CZ$45)</f>
        <v>6</v>
      </c>
      <c r="DA46" s="52">
        <f>SUM($DA$42:$DA$45)</f>
        <v>2</v>
      </c>
      <c r="DB46" s="52">
        <f>SUM($DB$42:$DB$45)</f>
        <v>2</v>
      </c>
      <c r="DC46" s="52">
        <f>SUM($DC$42:$DC$45)</f>
        <v>2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70</v>
      </c>
      <c r="DH46" s="52">
        <f>SUM($CQ$46,$CR$46,$CS$46,$CT$46,$CU$46,$CV$46,$CW$46,$CX$46)</f>
        <v>73</v>
      </c>
    </row>
    <row r="47" spans="1:112" ht="21" customHeight="1">
      <c r="A47" s="46">
        <v>44395.291666666701</v>
      </c>
      <c r="B47" s="53" t="s">
        <v>59</v>
      </c>
      <c r="C47" s="54">
        <v>1</v>
      </c>
      <c r="D47" s="54">
        <v>0</v>
      </c>
      <c r="E47" s="54">
        <v>0</v>
      </c>
      <c r="F47" s="54">
        <v>0</v>
      </c>
      <c r="G47" s="54">
        <v>0</v>
      </c>
      <c r="H47" s="54">
        <v>1</v>
      </c>
      <c r="I47" s="54">
        <v>0</v>
      </c>
      <c r="J47" s="61">
        <v>0</v>
      </c>
      <c r="K47" s="62">
        <f>$C$47*VLOOKUP($C$11,'PCU Values'!$B$9:$C$16,2,FALSE)</f>
        <v>1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1.2</v>
      </c>
      <c r="T47" s="52">
        <f>SUM($C$47,$D$47,$E$47,$F$47,$G$47,$H$47,$I$47,$J$47)</f>
        <v>2</v>
      </c>
      <c r="U47" s="72">
        <v>16</v>
      </c>
      <c r="V47" s="54">
        <v>5</v>
      </c>
      <c r="W47" s="54">
        <v>0</v>
      </c>
      <c r="X47" s="54">
        <v>0</v>
      </c>
      <c r="Y47" s="54">
        <v>1</v>
      </c>
      <c r="Z47" s="54">
        <v>2</v>
      </c>
      <c r="AA47" s="54">
        <v>0</v>
      </c>
      <c r="AB47" s="61">
        <v>0</v>
      </c>
      <c r="AC47" s="62">
        <f>$U$47*VLOOKUP($U$11,'PCU Values'!$B$9:$C$16,2,FALSE)</f>
        <v>16</v>
      </c>
      <c r="AD47" s="62">
        <f>$V$47*VLOOKUP($V$11,'PCU Values'!$B$9:$C$16,2,FALSE)</f>
        <v>5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0.4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23.4</v>
      </c>
      <c r="AL47" s="52">
        <f>SUM($U$47,$V$47,$W$47,$X$47,$Y$47,$Z$47,$AA$47,$AB$47)</f>
        <v>24</v>
      </c>
      <c r="AM47" s="72">
        <v>0</v>
      </c>
      <c r="AN47" s="54">
        <v>0</v>
      </c>
      <c r="AO47" s="54">
        <v>0</v>
      </c>
      <c r="AP47" s="54">
        <v>0</v>
      </c>
      <c r="AQ47" s="54">
        <v>0</v>
      </c>
      <c r="AR47" s="54">
        <v>0</v>
      </c>
      <c r="AS47" s="54">
        <v>0</v>
      </c>
      <c r="AT47" s="61">
        <v>0</v>
      </c>
      <c r="AU47" s="62">
        <f>$AM$47*VLOOKUP($AM$11,'PCU Values'!$B$9:$C$16,2,FALSE)</f>
        <v>0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0</v>
      </c>
      <c r="BD47" s="52">
        <f>SUM($AM$47,$AN$47,$AO$47,$AP$47,$AQ$47,$AR$47,$AS$47,$AT$47)</f>
        <v>0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17</v>
      </c>
      <c r="BZ47" s="85">
        <f>SUM($D$47,$V$47,$AN$47,$BF$47)</f>
        <v>5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1</v>
      </c>
      <c r="CD47" s="85">
        <f>SUM($H$47,$Z$47,$AR$47,$BJ$47)</f>
        <v>3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17</v>
      </c>
      <c r="CH47" s="81">
        <f>$BZ$47*VLOOKUP($BZ$11,'PCU Values'!$B$9:$C$16,2,FALSE)</f>
        <v>5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2</v>
      </c>
      <c r="CL47" s="81">
        <f>$CD$47*VLOOKUP($CD$11,'PCU Values'!$B$9:$C$16,2,FALSE)</f>
        <v>0.6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24.6</v>
      </c>
      <c r="CP47" s="52">
        <f>SUM($BY$47,$BZ$47,$CA$47,$CB$47,$CC$47,$CD$47,$CE$47,$CF$47)</f>
        <v>26</v>
      </c>
      <c r="CQ47" s="91">
        <f>SUM('J1 A - (North) Bishopthorpe Roa'!$BE$47,'J1 B - Butcher Terrace'!$AM$47,'J1 C - (South) Bishopthorpe Roa'!$U$47,'J1 D - South Bank Avenue'!$C$47)</f>
        <v>30</v>
      </c>
      <c r="CR47" s="85">
        <f>SUM('J1 A - (North) Bishopthorpe Roa'!$BF$47,'J1 B - Butcher Terrace'!$AN$47,'J1 C - (South) Bishopthorpe Roa'!$V$47,'J1 D - South Bank Avenue'!$D$47)</f>
        <v>6</v>
      </c>
      <c r="CS47" s="85">
        <f>SUM('J1 A - (North) Bishopthorpe Roa'!$BG$47,'J1 B - Butcher Terrace'!$AO$47,'J1 C - (South) Bishopthorpe Roa'!$W$47,'J1 D - South Bank Avenue'!$E$47)</f>
        <v>2</v>
      </c>
      <c r="CT47" s="85">
        <f>SUM('J1 A - (North) Bishopthorpe Roa'!$BH$47,'J1 B - Butcher Terrace'!$AP$47,'J1 C - (South) Bishopthorpe Roa'!$X$47,'J1 D - South Bank Avenue'!$F$47)</f>
        <v>0</v>
      </c>
      <c r="CU47" s="85">
        <f>SUM('J1 A - (North) Bishopthorpe Roa'!$BI$47,'J1 B - Butcher Terrace'!$AQ$47,'J1 C - (South) Bishopthorpe Roa'!$Y$47,'J1 D - South Bank Avenue'!$G$47)</f>
        <v>1</v>
      </c>
      <c r="CV47" s="85">
        <f>SUM('J1 A - (North) Bishopthorpe Roa'!$BJ$47,'J1 B - Butcher Terrace'!$AR$47,'J1 C - (South) Bishopthorpe Roa'!$Z$47,'J1 D - South Bank Avenue'!$H$47)</f>
        <v>6</v>
      </c>
      <c r="CW47" s="85">
        <f>SUM('J1 A - (North) Bishopthorpe Roa'!$BK$47,'J1 B - Butcher Terrace'!$AS$47,'J1 C - (South) Bishopthorpe Roa'!$AA$47,'J1 D - South Bank Avenue'!$I$47)</f>
        <v>1</v>
      </c>
      <c r="CX47" s="88">
        <f>SUM('J1 A - (North) Bishopthorpe Roa'!$BL$47,'J1 B - Butcher Terrace'!$AT$47,'J1 C - (South) Bishopthorpe Roa'!$AB$47,'J1 D - South Bank Avenue'!$J$47)</f>
        <v>0</v>
      </c>
      <c r="CY47" s="81">
        <f>$CQ$47*VLOOKUP($CQ$11,'PCU Values'!$B$9:$C$16,2,FALSE)</f>
        <v>30</v>
      </c>
      <c r="CZ47" s="81">
        <f>$CR$47*VLOOKUP($CR$11,'PCU Values'!$B$9:$C$16,2,FALSE)</f>
        <v>6</v>
      </c>
      <c r="DA47" s="81">
        <f>$CS$47*VLOOKUP($CS$11,'PCU Values'!$B$9:$C$16,2,FALSE)</f>
        <v>3</v>
      </c>
      <c r="DB47" s="81">
        <f>$CT$47*VLOOKUP($CT$11,'PCU Values'!$B$9:$C$16,2,FALSE)</f>
        <v>0</v>
      </c>
      <c r="DC47" s="81">
        <f>$CU$47*VLOOKUP($CU$11,'PCU Values'!$B$9:$C$16,2,FALSE)</f>
        <v>2</v>
      </c>
      <c r="DD47" s="81">
        <f>$CV$47*VLOOKUP($CV$11,'PCU Values'!$B$9:$C$16,2,FALSE)</f>
        <v>1.2</v>
      </c>
      <c r="DE47" s="81">
        <f>$CW$47*VLOOKUP($CW$11,'PCU Values'!$B$9:$C$16,2,FALSE)</f>
        <v>0.4</v>
      </c>
      <c r="DF47" s="82">
        <f>$CX$47*VLOOKUP($CX$11,'PCU Values'!$B$9:$C$16,2,FALSE)</f>
        <v>0</v>
      </c>
      <c r="DG47" s="71">
        <f>SUM($CY$47,$CZ$47,$DA$47,$DB$47,$DC$47,$DD$47,$DE$47,$DF$47)</f>
        <v>42.6</v>
      </c>
      <c r="DH47" s="52">
        <f>SUM($CQ$47,$CR$47,$CS$47,$CT$47,$CU$47,$CV$47,$CW$47,$CX$47)</f>
        <v>46</v>
      </c>
    </row>
    <row r="48" spans="1:112" ht="21" customHeight="1">
      <c r="A48" s="46">
        <v>44395.302083333299</v>
      </c>
      <c r="B48" s="47" t="s">
        <v>60</v>
      </c>
      <c r="C48" s="48">
        <v>1</v>
      </c>
      <c r="D48" s="48">
        <v>3</v>
      </c>
      <c r="E48" s="48">
        <v>0</v>
      </c>
      <c r="F48" s="48">
        <v>0</v>
      </c>
      <c r="G48" s="48">
        <v>0</v>
      </c>
      <c r="H48" s="48">
        <v>1</v>
      </c>
      <c r="I48" s="48">
        <v>0</v>
      </c>
      <c r="J48" s="56">
        <v>0</v>
      </c>
      <c r="K48" s="57">
        <f>$C$48*VLOOKUP($C$11,'PCU Values'!$B$9:$C$16,2,FALSE)</f>
        <v>1</v>
      </c>
      <c r="L48" s="57">
        <f>$D$48*VLOOKUP($D$11,'PCU Values'!$B$9:$C$16,2,FALSE)</f>
        <v>3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0.2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4.2</v>
      </c>
      <c r="T48" s="52">
        <f>SUM($C$48,$D$48,$E$48,$F$48,$G$48,$H$48,$I$48,$J$48)</f>
        <v>5</v>
      </c>
      <c r="U48" s="67">
        <v>29</v>
      </c>
      <c r="V48" s="48">
        <v>7</v>
      </c>
      <c r="W48" s="48">
        <v>1</v>
      </c>
      <c r="X48" s="48">
        <v>0</v>
      </c>
      <c r="Y48" s="48">
        <v>0</v>
      </c>
      <c r="Z48" s="48">
        <v>1</v>
      </c>
      <c r="AA48" s="48">
        <v>0</v>
      </c>
      <c r="AB48" s="56">
        <v>0</v>
      </c>
      <c r="AC48" s="57">
        <f>$U$48*VLOOKUP($U$11,'PCU Values'!$B$9:$C$16,2,FALSE)</f>
        <v>29</v>
      </c>
      <c r="AD48" s="57">
        <f>$V$48*VLOOKUP($V$11,'PCU Values'!$B$9:$C$16,2,FALSE)</f>
        <v>7</v>
      </c>
      <c r="AE48" s="57">
        <f>$W$48*VLOOKUP($W$11,'PCU Values'!$B$9:$C$16,2,FALSE)</f>
        <v>1.5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0.2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37.700000000000003</v>
      </c>
      <c r="AL48" s="52">
        <f>SUM($U$48,$V$48,$W$48,$X$48,$Y$48,$Z$48,$AA$48,$AB$48)</f>
        <v>38</v>
      </c>
      <c r="AM48" s="67">
        <v>1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1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1</v>
      </c>
      <c r="BD48" s="52">
        <f>SUM($AM$48,$AN$48,$AO$48,$AP$48,$AQ$48,$AR$48,$AS$48,$AT$48)</f>
        <v>1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31</v>
      </c>
      <c r="BZ48" s="83">
        <f>SUM($D$48,$V$48,$AN$48,$BF$48)</f>
        <v>10</v>
      </c>
      <c r="CA48" s="83">
        <f>SUM($E$48,$W$48,$AO$48,$BG$48)</f>
        <v>1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2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31</v>
      </c>
      <c r="CH48" s="77">
        <f>$BZ$48*VLOOKUP($BZ$11,'PCU Values'!$B$9:$C$16,2,FALSE)</f>
        <v>10</v>
      </c>
      <c r="CI48" s="77">
        <f>$CA$48*VLOOKUP($CA$11,'PCU Values'!$B$9:$C$16,2,FALSE)</f>
        <v>1.5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0.4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42.9</v>
      </c>
      <c r="CP48" s="52">
        <f>SUM($BY$48,$BZ$48,$CA$48,$CB$48,$CC$48,$CD$48,$CE$48,$CF$48)</f>
        <v>44</v>
      </c>
      <c r="CQ48" s="89">
        <f>SUM('J1 A - (North) Bishopthorpe Roa'!$BE$48,'J1 B - Butcher Terrace'!$AM$48,'J1 C - (South) Bishopthorpe Roa'!$U$48,'J1 D - South Bank Avenue'!$C$48)</f>
        <v>42</v>
      </c>
      <c r="CR48" s="83">
        <f>SUM('J1 A - (North) Bishopthorpe Roa'!$BF$48,'J1 B - Butcher Terrace'!$AN$48,'J1 C - (South) Bishopthorpe Roa'!$V$48,'J1 D - South Bank Avenue'!$D$48)</f>
        <v>4</v>
      </c>
      <c r="CS48" s="83">
        <f>SUM('J1 A - (North) Bishopthorpe Roa'!$BG$48,'J1 B - Butcher Terrace'!$AO$48,'J1 C - (South) Bishopthorpe Roa'!$W$48,'J1 D - South Bank Avenue'!$E$48)</f>
        <v>0</v>
      </c>
      <c r="CT48" s="83">
        <f>SUM('J1 A - (North) Bishopthorpe Roa'!$BH$48,'J1 B - Butcher Terrace'!$AP$48,'J1 C - (South) Bishopthorpe Roa'!$X$48,'J1 D - South Bank Avenue'!$F$48)</f>
        <v>0</v>
      </c>
      <c r="CU48" s="83">
        <f>SUM('J1 A - (North) Bishopthorpe Roa'!$BI$48,'J1 B - Butcher Terrace'!$AQ$48,'J1 C - (South) Bishopthorpe Roa'!$Y$48,'J1 D - South Bank Avenue'!$G$48)</f>
        <v>0</v>
      </c>
      <c r="CV48" s="83">
        <f>SUM('J1 A - (North) Bishopthorpe Roa'!$BJ$48,'J1 B - Butcher Terrace'!$AR$48,'J1 C - (South) Bishopthorpe Roa'!$Z$48,'J1 D - South Bank Avenue'!$H$48)</f>
        <v>6</v>
      </c>
      <c r="CW48" s="83">
        <f>SUM('J1 A - (North) Bishopthorpe Roa'!$BK$48,'J1 B - Butcher Terrace'!$AS$48,'J1 C - (South) Bishopthorpe Roa'!$AA$48,'J1 D - South Bank Avenue'!$I$48)</f>
        <v>2</v>
      </c>
      <c r="CX48" s="86">
        <f>SUM('J1 A - (North) Bishopthorpe Roa'!$BL$48,'J1 B - Butcher Terrace'!$AT$48,'J1 C - (South) Bishopthorpe Roa'!$AB$48,'J1 D - South Bank Avenue'!$J$48)</f>
        <v>0</v>
      </c>
      <c r="CY48" s="77">
        <f>$CQ$48*VLOOKUP($CQ$11,'PCU Values'!$B$9:$C$16,2,FALSE)</f>
        <v>42</v>
      </c>
      <c r="CZ48" s="77">
        <f>$CR$48*VLOOKUP($CR$11,'PCU Values'!$B$9:$C$16,2,FALSE)</f>
        <v>4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1.2</v>
      </c>
      <c r="DE48" s="77">
        <f>$CW$48*VLOOKUP($CW$11,'PCU Values'!$B$9:$C$16,2,FALSE)</f>
        <v>0.8</v>
      </c>
      <c r="DF48" s="78">
        <f>$CX$48*VLOOKUP($CX$11,'PCU Values'!$B$9:$C$16,2,FALSE)</f>
        <v>0</v>
      </c>
      <c r="DG48" s="66">
        <f>SUM($CY$48,$CZ$48,$DA$48,$DB$48,$DC$48,$DD$48,$DE$48,$DF$48)</f>
        <v>48</v>
      </c>
      <c r="DH48" s="52">
        <f>SUM($CQ$48,$CR$48,$CS$48,$CT$48,$CU$48,$CV$48,$CW$48,$CX$48)</f>
        <v>54</v>
      </c>
    </row>
    <row r="49" spans="1:112" ht="21" customHeight="1">
      <c r="A49" s="46">
        <v>44395.3125</v>
      </c>
      <c r="B49" s="47" t="s">
        <v>61</v>
      </c>
      <c r="C49" s="48">
        <v>2</v>
      </c>
      <c r="D49" s="48">
        <v>1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2</v>
      </c>
      <c r="L49" s="57">
        <f>$D$49*VLOOKUP($D$11,'PCU Values'!$B$9:$C$16,2,FALSE)</f>
        <v>1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3</v>
      </c>
      <c r="T49" s="52">
        <f>SUM($C$49,$D$49,$E$49,$F$49,$G$49,$H$49,$I$49,$J$49)</f>
        <v>3</v>
      </c>
      <c r="U49" s="67">
        <v>24</v>
      </c>
      <c r="V49" s="48">
        <v>6</v>
      </c>
      <c r="W49" s="48">
        <v>4</v>
      </c>
      <c r="X49" s="48">
        <v>0</v>
      </c>
      <c r="Y49" s="48">
        <v>0</v>
      </c>
      <c r="Z49" s="48">
        <v>3</v>
      </c>
      <c r="AA49" s="48">
        <v>0</v>
      </c>
      <c r="AB49" s="56">
        <v>0</v>
      </c>
      <c r="AC49" s="57">
        <f>$U$49*VLOOKUP($U$11,'PCU Values'!$B$9:$C$16,2,FALSE)</f>
        <v>24</v>
      </c>
      <c r="AD49" s="57">
        <f>$V$49*VLOOKUP($V$11,'PCU Values'!$B$9:$C$16,2,FALSE)</f>
        <v>6</v>
      </c>
      <c r="AE49" s="57">
        <f>$W$49*VLOOKUP($W$11,'PCU Values'!$B$9:$C$16,2,FALSE)</f>
        <v>6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0.6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36.6</v>
      </c>
      <c r="AL49" s="52">
        <f>SUM($U$49,$V$49,$W$49,$X$49,$Y$49,$Z$49,$AA$49,$AB$49)</f>
        <v>37</v>
      </c>
      <c r="AM49" s="67">
        <v>3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3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3</v>
      </c>
      <c r="BD49" s="52">
        <f>SUM($AM$49,$AN$49,$AO$49,$AP$49,$AQ$49,$AR$49,$AS$49,$AT$49)</f>
        <v>3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29</v>
      </c>
      <c r="BZ49" s="83">
        <f>SUM($D$49,$V$49,$AN$49,$BF$49)</f>
        <v>7</v>
      </c>
      <c r="CA49" s="83">
        <f>SUM($E$49,$W$49,$AO$49,$BG$49)</f>
        <v>4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3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29</v>
      </c>
      <c r="CH49" s="77">
        <f>$BZ$49*VLOOKUP($BZ$11,'PCU Values'!$B$9:$C$16,2,FALSE)</f>
        <v>7</v>
      </c>
      <c r="CI49" s="77">
        <f>$CA$49*VLOOKUP($CA$11,'PCU Values'!$B$9:$C$16,2,FALSE)</f>
        <v>6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0.6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42.6</v>
      </c>
      <c r="CP49" s="52">
        <f>SUM($BY$49,$BZ$49,$CA$49,$CB$49,$CC$49,$CD$49,$CE$49,$CF$49)</f>
        <v>43</v>
      </c>
      <c r="CQ49" s="89">
        <f>SUM('J1 A - (North) Bishopthorpe Roa'!$BE$49,'J1 B - Butcher Terrace'!$AM$49,'J1 C - (South) Bishopthorpe Roa'!$U$49,'J1 D - South Bank Avenue'!$C$49)</f>
        <v>40</v>
      </c>
      <c r="CR49" s="83">
        <f>SUM('J1 A - (North) Bishopthorpe Roa'!$BF$49,'J1 B - Butcher Terrace'!$AN$49,'J1 C - (South) Bishopthorpe Roa'!$V$49,'J1 D - South Bank Avenue'!$D$49)</f>
        <v>6</v>
      </c>
      <c r="CS49" s="83">
        <f>SUM('J1 A - (North) Bishopthorpe Roa'!$BG$49,'J1 B - Butcher Terrace'!$AO$49,'J1 C - (South) Bishopthorpe Roa'!$W$49,'J1 D - South Bank Avenue'!$E$49)</f>
        <v>1</v>
      </c>
      <c r="CT49" s="83">
        <f>SUM('J1 A - (North) Bishopthorpe Roa'!$BH$49,'J1 B - Butcher Terrace'!$AP$49,'J1 C - (South) Bishopthorpe Roa'!$X$49,'J1 D - South Bank Avenue'!$F$49)</f>
        <v>0</v>
      </c>
      <c r="CU49" s="83">
        <f>SUM('J1 A - (North) Bishopthorpe Roa'!$BI$49,'J1 B - Butcher Terrace'!$AQ$49,'J1 C - (South) Bishopthorpe Roa'!$Y$49,'J1 D - South Bank Avenue'!$G$49)</f>
        <v>1</v>
      </c>
      <c r="CV49" s="83">
        <f>SUM('J1 A - (North) Bishopthorpe Roa'!$BJ$49,'J1 B - Butcher Terrace'!$AR$49,'J1 C - (South) Bishopthorpe Roa'!$Z$49,'J1 D - South Bank Avenue'!$H$49)</f>
        <v>7</v>
      </c>
      <c r="CW49" s="83">
        <f>SUM('J1 A - (North) Bishopthorpe Roa'!$BK$49,'J1 B - Butcher Terrace'!$AS$49,'J1 C - (South) Bishopthorpe Roa'!$AA$49,'J1 D - South Bank Avenue'!$I$49)</f>
        <v>0</v>
      </c>
      <c r="CX49" s="86">
        <f>SUM('J1 A - (North) Bishopthorpe Roa'!$BL$49,'J1 B - Butcher Terrace'!$AT$49,'J1 C - (South) Bishopthorpe Roa'!$AB$49,'J1 D - South Bank Avenue'!$J$49)</f>
        <v>0</v>
      </c>
      <c r="CY49" s="77">
        <f>$CQ$49*VLOOKUP($CQ$11,'PCU Values'!$B$9:$C$16,2,FALSE)</f>
        <v>40</v>
      </c>
      <c r="CZ49" s="77">
        <f>$CR$49*VLOOKUP($CR$11,'PCU Values'!$B$9:$C$16,2,FALSE)</f>
        <v>6</v>
      </c>
      <c r="DA49" s="77">
        <f>$CS$49*VLOOKUP($CS$11,'PCU Values'!$B$9:$C$16,2,FALSE)</f>
        <v>1.5</v>
      </c>
      <c r="DB49" s="77">
        <f>$CT$49*VLOOKUP($CT$11,'PCU Values'!$B$9:$C$16,2,FALSE)</f>
        <v>0</v>
      </c>
      <c r="DC49" s="77">
        <f>$CU$49*VLOOKUP($CU$11,'PCU Values'!$B$9:$C$16,2,FALSE)</f>
        <v>2</v>
      </c>
      <c r="DD49" s="77">
        <f>$CV$49*VLOOKUP($CV$11,'PCU Values'!$B$9:$C$16,2,FALSE)</f>
        <v>1.4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50.9</v>
      </c>
      <c r="DH49" s="52">
        <f>SUM($CQ$49,$CR$49,$CS$49,$CT$49,$CU$49,$CV$49,$CW$49,$CX$49)</f>
        <v>55</v>
      </c>
    </row>
    <row r="50" spans="1:112" ht="21" customHeight="1">
      <c r="A50" s="46">
        <v>44395.322916666701</v>
      </c>
      <c r="B50" s="50" t="s">
        <v>62</v>
      </c>
      <c r="C50" s="51">
        <v>1</v>
      </c>
      <c r="D50" s="51">
        <v>1</v>
      </c>
      <c r="E50" s="51">
        <v>0</v>
      </c>
      <c r="F50" s="51">
        <v>0</v>
      </c>
      <c r="G50" s="51">
        <v>0</v>
      </c>
      <c r="H50" s="51">
        <v>3</v>
      </c>
      <c r="I50" s="51">
        <v>0</v>
      </c>
      <c r="J50" s="59">
        <v>0</v>
      </c>
      <c r="K50" s="60">
        <f>$C$50*VLOOKUP($C$11,'PCU Values'!$B$9:$C$16,2,FALSE)</f>
        <v>1</v>
      </c>
      <c r="L50" s="60">
        <f>$D$50*VLOOKUP($D$11,'PCU Values'!$B$9:$C$16,2,FALSE)</f>
        <v>1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0.6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2.6</v>
      </c>
      <c r="T50" s="52">
        <f>SUM($C$50,$D$50,$E$50,$F$50,$G$50,$H$50,$I$50,$J$50)</f>
        <v>5</v>
      </c>
      <c r="U50" s="73">
        <v>34</v>
      </c>
      <c r="V50" s="51">
        <v>9</v>
      </c>
      <c r="W50" s="51">
        <v>2</v>
      </c>
      <c r="X50" s="51">
        <v>0</v>
      </c>
      <c r="Y50" s="51">
        <v>1</v>
      </c>
      <c r="Z50" s="51">
        <v>0</v>
      </c>
      <c r="AA50" s="51">
        <v>0</v>
      </c>
      <c r="AB50" s="59">
        <v>0</v>
      </c>
      <c r="AC50" s="60">
        <f>$U$50*VLOOKUP($U$11,'PCU Values'!$B$9:$C$16,2,FALSE)</f>
        <v>34</v>
      </c>
      <c r="AD50" s="60">
        <f>$V$50*VLOOKUP($V$11,'PCU Values'!$B$9:$C$16,2,FALSE)</f>
        <v>9</v>
      </c>
      <c r="AE50" s="60">
        <f>$W$50*VLOOKUP($W$11,'PCU Values'!$B$9:$C$16,2,FALSE)</f>
        <v>3</v>
      </c>
      <c r="AF50" s="60">
        <f>$X$50*VLOOKUP($X$11,'PCU Values'!$B$9:$C$16,2,FALSE)</f>
        <v>0</v>
      </c>
      <c r="AG50" s="60">
        <f>$Y$50*VLOOKUP($Y$11,'PCU Values'!$B$9:$C$16,2,FALSE)</f>
        <v>2</v>
      </c>
      <c r="AH50" s="60">
        <f>$Z$50*VLOOKUP($Z$11,'PCU Values'!$B$9:$C$16,2,FALSE)</f>
        <v>0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48</v>
      </c>
      <c r="AL50" s="52">
        <f>SUM($U$50,$V$50,$W$50,$X$50,$Y$50,$Z$50,$AA$50,$AB$50)</f>
        <v>46</v>
      </c>
      <c r="AM50" s="73">
        <v>1</v>
      </c>
      <c r="AN50" s="51">
        <v>1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1</v>
      </c>
      <c r="AV50" s="60">
        <f>$AN$50*VLOOKUP($AN$11,'PCU Values'!$B$9:$C$16,2,FALSE)</f>
        <v>1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2</v>
      </c>
      <c r="BD50" s="52">
        <f>SUM($AM$50,$AN$50,$AO$50,$AP$50,$AQ$50,$AR$50,$AS$50,$AT$50)</f>
        <v>2</v>
      </c>
      <c r="BE50" s="73">
        <v>1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1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1</v>
      </c>
      <c r="BV50" s="52">
        <f>SUM($BE$50,$BF$50,$BG$50,$BH$50,$BI$50,$BJ$50,$BK$50,$BL$50)</f>
        <v>1</v>
      </c>
      <c r="BX50" s="50" t="s">
        <v>62</v>
      </c>
      <c r="BY50" s="84">
        <f>SUM($C$50,$U$50,$AM$50,$BE$50)</f>
        <v>37</v>
      </c>
      <c r="BZ50" s="84">
        <f>SUM($D$50,$V$50,$AN$50,$BF$50)</f>
        <v>11</v>
      </c>
      <c r="CA50" s="84">
        <f>SUM($E$50,$W$50,$AO$50,$BG$50)</f>
        <v>2</v>
      </c>
      <c r="CB50" s="84">
        <f>SUM($F$50,$X$50,$AP$50,$BH$50)</f>
        <v>0</v>
      </c>
      <c r="CC50" s="84">
        <f>SUM($G$50,$Y$50,$AQ$50,$BI$50)</f>
        <v>1</v>
      </c>
      <c r="CD50" s="84">
        <f>SUM($H$50,$Z$50,$AR$50,$BJ$50)</f>
        <v>3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37</v>
      </c>
      <c r="CH50" s="79">
        <f>$BZ$50*VLOOKUP($BZ$11,'PCU Values'!$B$9:$C$16,2,FALSE)</f>
        <v>11</v>
      </c>
      <c r="CI50" s="79">
        <f>$CA$50*VLOOKUP($CA$11,'PCU Values'!$B$9:$C$16,2,FALSE)</f>
        <v>3</v>
      </c>
      <c r="CJ50" s="79">
        <f>$CB$50*VLOOKUP($CB$11,'PCU Values'!$B$9:$C$16,2,FALSE)</f>
        <v>0</v>
      </c>
      <c r="CK50" s="79">
        <f>$CC$50*VLOOKUP($CC$11,'PCU Values'!$B$9:$C$16,2,FALSE)</f>
        <v>2</v>
      </c>
      <c r="CL50" s="79">
        <f>$CD$50*VLOOKUP($CD$11,'PCU Values'!$B$9:$C$16,2,FALSE)</f>
        <v>0.6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53.6</v>
      </c>
      <c r="CP50" s="52">
        <f>SUM($BY$50,$BZ$50,$CA$50,$CB$50,$CC$50,$CD$50,$CE$50,$CF$50)</f>
        <v>54</v>
      </c>
      <c r="CQ50" s="90">
        <f>SUM('J1 A - (North) Bishopthorpe Roa'!$BE$50,'J1 B - Butcher Terrace'!$AM$50,'J1 C - (South) Bishopthorpe Roa'!$U$50,'J1 D - South Bank Avenue'!$C$50)</f>
        <v>70</v>
      </c>
      <c r="CR50" s="84">
        <f>SUM('J1 A - (North) Bishopthorpe Roa'!$BF$50,'J1 B - Butcher Terrace'!$AN$50,'J1 C - (South) Bishopthorpe Roa'!$V$50,'J1 D - South Bank Avenue'!$D$50)</f>
        <v>15</v>
      </c>
      <c r="CS50" s="84">
        <f>SUM('J1 A - (North) Bishopthorpe Roa'!$BG$50,'J1 B - Butcher Terrace'!$AO$50,'J1 C - (South) Bishopthorpe Roa'!$W$50,'J1 D - South Bank Avenue'!$E$50)</f>
        <v>0</v>
      </c>
      <c r="CT50" s="84">
        <f>SUM('J1 A - (North) Bishopthorpe Roa'!$BH$50,'J1 B - Butcher Terrace'!$AP$50,'J1 C - (South) Bishopthorpe Roa'!$X$50,'J1 D - South Bank Avenue'!$F$50)</f>
        <v>0</v>
      </c>
      <c r="CU50" s="84">
        <f>SUM('J1 A - (North) Bishopthorpe Roa'!$BI$50,'J1 B - Butcher Terrace'!$AQ$50,'J1 C - (South) Bishopthorpe Roa'!$Y$50,'J1 D - South Bank Avenue'!$G$50)</f>
        <v>0</v>
      </c>
      <c r="CV50" s="84">
        <f>SUM('J1 A - (North) Bishopthorpe Roa'!$BJ$50,'J1 B - Butcher Terrace'!$AR$50,'J1 C - (South) Bishopthorpe Roa'!$Z$50,'J1 D - South Bank Avenue'!$H$50)</f>
        <v>11</v>
      </c>
      <c r="CW50" s="84">
        <f>SUM('J1 A - (North) Bishopthorpe Roa'!$BK$50,'J1 B - Butcher Terrace'!$AS$50,'J1 C - (South) Bishopthorpe Roa'!$AA$50,'J1 D - South Bank Avenue'!$I$50)</f>
        <v>0</v>
      </c>
      <c r="CX50" s="87">
        <f>SUM('J1 A - (North) Bishopthorpe Roa'!$BL$50,'J1 B - Butcher Terrace'!$AT$50,'J1 C - (South) Bishopthorpe Roa'!$AB$50,'J1 D - South Bank Avenue'!$J$50)</f>
        <v>2</v>
      </c>
      <c r="CY50" s="79">
        <f>$CQ$50*VLOOKUP($CQ$11,'PCU Values'!$B$9:$C$16,2,FALSE)</f>
        <v>70</v>
      </c>
      <c r="CZ50" s="79">
        <f>$CR$50*VLOOKUP($CR$11,'PCU Values'!$B$9:$C$16,2,FALSE)</f>
        <v>15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2.2000000000000002</v>
      </c>
      <c r="DE50" s="79">
        <f>$CW$50*VLOOKUP($CW$11,'PCU Values'!$B$9:$C$16,2,FALSE)</f>
        <v>0</v>
      </c>
      <c r="DF50" s="80">
        <f>$CX$50*VLOOKUP($CX$11,'PCU Values'!$B$9:$C$16,2,FALSE)</f>
        <v>3</v>
      </c>
      <c r="DG50" s="63">
        <f>SUM($CY$50,$CZ$50,$DA$50,$DB$50,$DC$50,$DD$50,$DE$50,$DF$50)</f>
        <v>90.2</v>
      </c>
      <c r="DH50" s="52">
        <f>SUM($CQ$50,$CR$50,$CS$50,$CT$50,$CU$50,$CV$50,$CW$50,$CX$50)</f>
        <v>98</v>
      </c>
    </row>
    <row r="51" spans="1:112">
      <c r="B51" s="52" t="s">
        <v>34</v>
      </c>
      <c r="C51" s="52">
        <f>SUM($C$47:$C$50)</f>
        <v>5</v>
      </c>
      <c r="D51" s="52">
        <f>SUM($D$47:$D$50)</f>
        <v>5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5</v>
      </c>
      <c r="I51" s="52">
        <f>SUM($I$47:$I$50)</f>
        <v>0</v>
      </c>
      <c r="J51" s="52">
        <f>SUM($J$47:$J$50)</f>
        <v>0</v>
      </c>
      <c r="K51" s="52">
        <f>SUM($K$47:$K$50)</f>
        <v>5</v>
      </c>
      <c r="L51" s="52">
        <f>SUM($L$47:$L$50)</f>
        <v>5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1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11</v>
      </c>
      <c r="T51" s="52">
        <f>SUM($C$51,$D$51,$E$51,$F$51,$G$51,$H$51,$I$51,$J$51)</f>
        <v>15</v>
      </c>
      <c r="U51" s="52">
        <f>SUM($U$47:$U$50)</f>
        <v>103</v>
      </c>
      <c r="V51" s="52">
        <f>SUM($V$47:$V$50)</f>
        <v>27</v>
      </c>
      <c r="W51" s="52">
        <f>SUM($W$47:$W$50)</f>
        <v>7</v>
      </c>
      <c r="X51" s="52">
        <f>SUM($X$47:$X$50)</f>
        <v>0</v>
      </c>
      <c r="Y51" s="52">
        <f>SUM($Y$47:$Y$50)</f>
        <v>2</v>
      </c>
      <c r="Z51" s="52">
        <f>SUM($Z$47:$Z$50)</f>
        <v>6</v>
      </c>
      <c r="AA51" s="52">
        <f>SUM($AA$47:$AA$50)</f>
        <v>0</v>
      </c>
      <c r="AB51" s="52">
        <f>SUM($AB$47:$AB$50)</f>
        <v>0</v>
      </c>
      <c r="AC51" s="52">
        <f>SUM($AC$47:$AC$50)</f>
        <v>103</v>
      </c>
      <c r="AD51" s="52">
        <f>SUM($AD$47:$AD$50)</f>
        <v>27</v>
      </c>
      <c r="AE51" s="52">
        <f>SUM($AE$47:$AE$50)</f>
        <v>11</v>
      </c>
      <c r="AF51" s="52">
        <f>SUM($AF$47:$AF$50)</f>
        <v>0</v>
      </c>
      <c r="AG51" s="52">
        <f>SUM($AG$47:$AG$50)</f>
        <v>4</v>
      </c>
      <c r="AH51" s="52">
        <f>SUM($AH$47:$AH$50)</f>
        <v>1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146</v>
      </c>
      <c r="AL51" s="52">
        <f>SUM($U$51,$V$51,$W$51,$X$51,$Y$51,$Z$51,$AA$51,$AB$51)</f>
        <v>145</v>
      </c>
      <c r="AM51" s="52">
        <f>SUM($AM$47:$AM$50)</f>
        <v>5</v>
      </c>
      <c r="AN51" s="52">
        <f>SUM($AN$47:$AN$50)</f>
        <v>1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0</v>
      </c>
      <c r="AS51" s="52">
        <f>SUM($AS$47:$AS$50)</f>
        <v>0</v>
      </c>
      <c r="AT51" s="52">
        <f>SUM($AT$47:$AT$50)</f>
        <v>0</v>
      </c>
      <c r="AU51" s="52">
        <f>SUM($AU$47:$AU$50)</f>
        <v>5</v>
      </c>
      <c r="AV51" s="52">
        <f>SUM($AV$47:$AV$50)</f>
        <v>1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6</v>
      </c>
      <c r="BD51" s="52">
        <f>SUM($AM$51,$AN$51,$AO$51,$AP$51,$AQ$51,$AR$51,$AS$51,$AT$51)</f>
        <v>6</v>
      </c>
      <c r="BE51" s="52">
        <f>SUM($BE$47:$BE$50)</f>
        <v>1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1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1</v>
      </c>
      <c r="BV51" s="52">
        <f>SUM($BE$51,$BF$51,$BG$51,$BH$51,$BI$51,$BJ$51,$BK$51,$BL$51)</f>
        <v>1</v>
      </c>
      <c r="BX51" s="52" t="s">
        <v>34</v>
      </c>
      <c r="BY51" s="52">
        <f>SUM($BY$47:$BY$50)</f>
        <v>114</v>
      </c>
      <c r="BZ51" s="52">
        <f>SUM($BZ$47:$BZ$50)</f>
        <v>33</v>
      </c>
      <c r="CA51" s="52">
        <f>SUM($CA$47:$CA$50)</f>
        <v>7</v>
      </c>
      <c r="CB51" s="52">
        <f>SUM($CB$47:$CB$50)</f>
        <v>0</v>
      </c>
      <c r="CC51" s="52">
        <f>SUM($CC$47:$CC$50)</f>
        <v>2</v>
      </c>
      <c r="CD51" s="52">
        <f>SUM($CD$47:$CD$50)</f>
        <v>11</v>
      </c>
      <c r="CE51" s="52">
        <f>SUM($CE$47:$CE$50)</f>
        <v>0</v>
      </c>
      <c r="CF51" s="52">
        <f>SUM($CF$47:$CF$50)</f>
        <v>0</v>
      </c>
      <c r="CG51" s="52">
        <f>SUM($CG$47:$CG$50)</f>
        <v>114</v>
      </c>
      <c r="CH51" s="52">
        <f>SUM($CH$47:$CH$50)</f>
        <v>33</v>
      </c>
      <c r="CI51" s="52">
        <f>SUM($CI$47:$CI$50)</f>
        <v>11</v>
      </c>
      <c r="CJ51" s="52">
        <f>SUM($CJ$47:$CJ$50)</f>
        <v>0</v>
      </c>
      <c r="CK51" s="52">
        <f>SUM($CK$47:$CK$50)</f>
        <v>4</v>
      </c>
      <c r="CL51" s="52">
        <f>SUM($CL$47:$CL$50)</f>
        <v>2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164</v>
      </c>
      <c r="CP51" s="52">
        <f>SUM($BY$51,$BZ$51,$CA$51,$CB$51,$CC$51,$CD$51,$CE$51,$CF$51)</f>
        <v>167</v>
      </c>
      <c r="CQ51" s="52">
        <f>SUM($CQ$47:$CQ$50)</f>
        <v>182</v>
      </c>
      <c r="CR51" s="52">
        <f>SUM($CR$47:$CR$50)</f>
        <v>31</v>
      </c>
      <c r="CS51" s="52">
        <f>SUM($CS$47:$CS$50)</f>
        <v>3</v>
      </c>
      <c r="CT51" s="52">
        <f>SUM($CT$47:$CT$50)</f>
        <v>0</v>
      </c>
      <c r="CU51" s="52">
        <f>SUM($CU$47:$CU$50)</f>
        <v>2</v>
      </c>
      <c r="CV51" s="52">
        <f>SUM($CV$47:$CV$50)</f>
        <v>30</v>
      </c>
      <c r="CW51" s="52">
        <f>SUM($CW$47:$CW$50)</f>
        <v>3</v>
      </c>
      <c r="CX51" s="52">
        <f>SUM($CX$47:$CX$50)</f>
        <v>2</v>
      </c>
      <c r="CY51" s="52">
        <f>SUM($CY$47:$CY$50)</f>
        <v>182</v>
      </c>
      <c r="CZ51" s="52">
        <f>SUM($CZ$47:$CZ$50)</f>
        <v>31</v>
      </c>
      <c r="DA51" s="52">
        <f>SUM($DA$47:$DA$50)</f>
        <v>5</v>
      </c>
      <c r="DB51" s="52">
        <f>SUM($DB$47:$DB$50)</f>
        <v>0</v>
      </c>
      <c r="DC51" s="52">
        <f>SUM($DC$47:$DC$50)</f>
        <v>4</v>
      </c>
      <c r="DD51" s="52">
        <f>SUM($DD$47:$DD$50)</f>
        <v>6</v>
      </c>
      <c r="DE51" s="52">
        <f>SUM($DE$47:$DE$50)</f>
        <v>1</v>
      </c>
      <c r="DF51" s="52">
        <f>SUM($DF$47:$DF$50)</f>
        <v>3</v>
      </c>
      <c r="DG51" s="52">
        <f>SUM($CY$51,$CZ$51,$DA$51,$DB$51,$DC$51,$DD$51,$DE$51,$DF$51)</f>
        <v>232</v>
      </c>
      <c r="DH51" s="52">
        <f>SUM($CQ$51,$CR$51,$CS$51,$CT$51,$CU$51,$CV$51,$CW$51,$CX$51)</f>
        <v>253</v>
      </c>
    </row>
    <row r="52" spans="1:112" ht="21" customHeight="1">
      <c r="A52" s="46">
        <v>44395.333333333299</v>
      </c>
      <c r="B52" s="53" t="s">
        <v>63</v>
      </c>
      <c r="C52" s="54">
        <v>2</v>
      </c>
      <c r="D52" s="54">
        <v>0</v>
      </c>
      <c r="E52" s="54">
        <v>0</v>
      </c>
      <c r="F52" s="54">
        <v>0</v>
      </c>
      <c r="G52" s="54">
        <v>0</v>
      </c>
      <c r="H52" s="54">
        <v>2</v>
      </c>
      <c r="I52" s="54">
        <v>0</v>
      </c>
      <c r="J52" s="61">
        <v>0</v>
      </c>
      <c r="K52" s="62">
        <f>$C$52*VLOOKUP($C$11,'PCU Values'!$B$9:$C$16,2,FALSE)</f>
        <v>2</v>
      </c>
      <c r="L52" s="62">
        <f>$D$52*VLOOKUP($D$11,'PCU Values'!$B$9:$C$16,2,FALSE)</f>
        <v>0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0.4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2.4</v>
      </c>
      <c r="T52" s="52">
        <f>SUM($C$52,$D$52,$E$52,$F$52,$G$52,$H$52,$I$52,$J$52)</f>
        <v>4</v>
      </c>
      <c r="U52" s="74">
        <v>39</v>
      </c>
      <c r="V52" s="75">
        <v>8</v>
      </c>
      <c r="W52" s="54">
        <v>1</v>
      </c>
      <c r="X52" s="54">
        <v>0</v>
      </c>
      <c r="Y52" s="75">
        <v>1</v>
      </c>
      <c r="Z52" s="75">
        <v>0</v>
      </c>
      <c r="AA52" s="54">
        <v>0</v>
      </c>
      <c r="AB52" s="61">
        <v>0</v>
      </c>
      <c r="AC52" s="62">
        <f>$U$52*VLOOKUP($U$11,'PCU Values'!$B$9:$C$16,2,FALSE)</f>
        <v>39</v>
      </c>
      <c r="AD52" s="62">
        <f>$V$52*VLOOKUP($V$11,'PCU Values'!$B$9:$C$16,2,FALSE)</f>
        <v>8</v>
      </c>
      <c r="AE52" s="62">
        <f>$W$52*VLOOKUP($W$11,'PCU Values'!$B$9:$C$16,2,FALSE)</f>
        <v>1.5</v>
      </c>
      <c r="AF52" s="62">
        <f>$X$52*VLOOKUP($X$11,'PCU Values'!$B$9:$C$16,2,FALSE)</f>
        <v>0</v>
      </c>
      <c r="AG52" s="62">
        <f>$Y$52*VLOOKUP($Y$11,'PCU Values'!$B$9:$C$16,2,FALSE)</f>
        <v>2</v>
      </c>
      <c r="AH52" s="62">
        <f>$Z$52*VLOOKUP($Z$11,'PCU Values'!$B$9:$C$16,2,FALSE)</f>
        <v>0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50.5</v>
      </c>
      <c r="AL52" s="52">
        <f>SUM($U$52,$V$52,$W$52,$X$52,$Y$52,$Z$52,$AA$52,$AB$52)</f>
        <v>49</v>
      </c>
      <c r="AM52" s="72">
        <v>3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3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3</v>
      </c>
      <c r="BD52" s="52">
        <f>SUM($AM$52,$AN$52,$AO$52,$AP$52,$AQ$52,$AR$52,$AS$52,$AT$52)</f>
        <v>3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44</v>
      </c>
      <c r="BZ52" s="85">
        <f>SUM($D$52,$V$52,$AN$52,$BF$52)</f>
        <v>8</v>
      </c>
      <c r="CA52" s="85">
        <f>SUM($E$52,$W$52,$AO$52,$BG$52)</f>
        <v>1</v>
      </c>
      <c r="CB52" s="85">
        <f>SUM($F$52,$X$52,$AP$52,$BH$52)</f>
        <v>0</v>
      </c>
      <c r="CC52" s="85">
        <f>SUM($G$52,$Y$52,$AQ$52,$BI$52)</f>
        <v>1</v>
      </c>
      <c r="CD52" s="85">
        <f>SUM($H$52,$Z$52,$AR$52,$BJ$52)</f>
        <v>2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44</v>
      </c>
      <c r="CH52" s="81">
        <f>$BZ$52*VLOOKUP($BZ$11,'PCU Values'!$B$9:$C$16,2,FALSE)</f>
        <v>8</v>
      </c>
      <c r="CI52" s="81">
        <f>$CA$52*VLOOKUP($CA$11,'PCU Values'!$B$9:$C$16,2,FALSE)</f>
        <v>1.5</v>
      </c>
      <c r="CJ52" s="81">
        <f>$CB$52*VLOOKUP($CB$11,'PCU Values'!$B$9:$C$16,2,FALSE)</f>
        <v>0</v>
      </c>
      <c r="CK52" s="81">
        <f>$CC$52*VLOOKUP($CC$11,'PCU Values'!$B$9:$C$16,2,FALSE)</f>
        <v>2</v>
      </c>
      <c r="CL52" s="81">
        <f>$CD$52*VLOOKUP($CD$11,'PCU Values'!$B$9:$C$16,2,FALSE)</f>
        <v>0.4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55.9</v>
      </c>
      <c r="CP52" s="52">
        <f>SUM($BY$52,$BZ$52,$CA$52,$CB$52,$CC$52,$CD$52,$CE$52,$CF$52)</f>
        <v>56</v>
      </c>
      <c r="CQ52" s="91">
        <f>SUM('J1 A - (North) Bishopthorpe Roa'!$BE$52,'J1 B - Butcher Terrace'!$AM$52,'J1 C - (South) Bishopthorpe Roa'!$U$52,'J1 D - South Bank Avenue'!$C$52)</f>
        <v>66</v>
      </c>
      <c r="CR52" s="85">
        <f>SUM('J1 A - (North) Bishopthorpe Roa'!$BF$52,'J1 B - Butcher Terrace'!$AN$52,'J1 C - (South) Bishopthorpe Roa'!$V$52,'J1 D - South Bank Avenue'!$D$52)</f>
        <v>12</v>
      </c>
      <c r="CS52" s="85">
        <f>SUM('J1 A - (North) Bishopthorpe Roa'!$BG$52,'J1 B - Butcher Terrace'!$AO$52,'J1 C - (South) Bishopthorpe Roa'!$W$52,'J1 D - South Bank Avenue'!$E$52)</f>
        <v>1</v>
      </c>
      <c r="CT52" s="85">
        <f>SUM('J1 A - (North) Bishopthorpe Roa'!$BH$52,'J1 B - Butcher Terrace'!$AP$52,'J1 C - (South) Bishopthorpe Roa'!$X$52,'J1 D - South Bank Avenue'!$F$52)</f>
        <v>0</v>
      </c>
      <c r="CU52" s="85">
        <f>SUM('J1 A - (North) Bishopthorpe Roa'!$BI$52,'J1 B - Butcher Terrace'!$AQ$52,'J1 C - (South) Bishopthorpe Roa'!$Y$52,'J1 D - South Bank Avenue'!$G$52)</f>
        <v>1</v>
      </c>
      <c r="CV52" s="85">
        <f>SUM('J1 A - (North) Bishopthorpe Roa'!$BJ$52,'J1 B - Butcher Terrace'!$AR$52,'J1 C - (South) Bishopthorpe Roa'!$Z$52,'J1 D - South Bank Avenue'!$H$52)</f>
        <v>9</v>
      </c>
      <c r="CW52" s="85">
        <f>SUM('J1 A - (North) Bishopthorpe Roa'!$BK$52,'J1 B - Butcher Terrace'!$AS$52,'J1 C - (South) Bishopthorpe Roa'!$AA$52,'J1 D - South Bank Avenue'!$I$52)</f>
        <v>0</v>
      </c>
      <c r="CX52" s="88">
        <f>SUM('J1 A - (North) Bishopthorpe Roa'!$BL$52,'J1 B - Butcher Terrace'!$AT$52,'J1 C - (South) Bishopthorpe Roa'!$AB$52,'J1 D - South Bank Avenue'!$J$52)</f>
        <v>0</v>
      </c>
      <c r="CY52" s="81">
        <f>$CQ$52*VLOOKUP($CQ$11,'PCU Values'!$B$9:$C$16,2,FALSE)</f>
        <v>66</v>
      </c>
      <c r="CZ52" s="81">
        <f>$CR$52*VLOOKUP($CR$11,'PCU Values'!$B$9:$C$16,2,FALSE)</f>
        <v>12</v>
      </c>
      <c r="DA52" s="81">
        <f>$CS$52*VLOOKUP($CS$11,'PCU Values'!$B$9:$C$16,2,FALSE)</f>
        <v>1.5</v>
      </c>
      <c r="DB52" s="81">
        <f>$CT$52*VLOOKUP($CT$11,'PCU Values'!$B$9:$C$16,2,FALSE)</f>
        <v>0</v>
      </c>
      <c r="DC52" s="81">
        <f>$CU$52*VLOOKUP($CU$11,'PCU Values'!$B$9:$C$16,2,FALSE)</f>
        <v>2</v>
      </c>
      <c r="DD52" s="81">
        <f>$CV$52*VLOOKUP($CV$11,'PCU Values'!$B$9:$C$16,2,FALSE)</f>
        <v>1.8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83.3</v>
      </c>
      <c r="DH52" s="52">
        <f>SUM($CQ$52,$CR$52,$CS$52,$CT$52,$CU$52,$CV$52,$CW$52,$CX$52)</f>
        <v>89</v>
      </c>
    </row>
    <row r="53" spans="1:112" ht="21" customHeight="1">
      <c r="A53" s="46">
        <v>44395.34375</v>
      </c>
      <c r="B53" s="47" t="s">
        <v>64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3</v>
      </c>
      <c r="I53" s="48">
        <v>0</v>
      </c>
      <c r="J53" s="56">
        <v>0</v>
      </c>
      <c r="K53" s="57">
        <f>$C$53*VLOOKUP($C$11,'PCU Values'!$B$9:$C$16,2,FALSE)</f>
        <v>0</v>
      </c>
      <c r="L53" s="57">
        <f>$D$53*VLOOKUP($D$11,'PCU Values'!$B$9:$C$16,2,FALSE)</f>
        <v>0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0.6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0.6</v>
      </c>
      <c r="T53" s="52">
        <f>SUM($C$53,$D$53,$E$53,$F$53,$G$53,$H$53,$I$53,$J$53)</f>
        <v>3</v>
      </c>
      <c r="U53" s="67">
        <v>39</v>
      </c>
      <c r="V53" s="49">
        <v>3</v>
      </c>
      <c r="W53" s="48">
        <v>2</v>
      </c>
      <c r="X53" s="48">
        <v>0</v>
      </c>
      <c r="Y53" s="49">
        <v>0</v>
      </c>
      <c r="Z53" s="49">
        <v>2</v>
      </c>
      <c r="AA53" s="48">
        <v>0</v>
      </c>
      <c r="AB53" s="56">
        <v>0</v>
      </c>
      <c r="AC53" s="57">
        <f>$U$53*VLOOKUP($U$11,'PCU Values'!$B$9:$C$16,2,FALSE)</f>
        <v>39</v>
      </c>
      <c r="AD53" s="57">
        <f>$V$53*VLOOKUP($V$11,'PCU Values'!$B$9:$C$16,2,FALSE)</f>
        <v>3</v>
      </c>
      <c r="AE53" s="57">
        <f>$W$53*VLOOKUP($W$11,'PCU Values'!$B$9:$C$16,2,FALSE)</f>
        <v>3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0.4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45.4</v>
      </c>
      <c r="AL53" s="52">
        <f>SUM($U$53,$V$53,$W$53,$X$53,$Y$53,$Z$53,$AA$53,$AB$53)</f>
        <v>46</v>
      </c>
      <c r="AM53" s="67">
        <v>2</v>
      </c>
      <c r="AN53" s="48">
        <v>1</v>
      </c>
      <c r="AO53" s="48">
        <v>0</v>
      </c>
      <c r="AP53" s="48">
        <v>0</v>
      </c>
      <c r="AQ53" s="48">
        <v>0</v>
      </c>
      <c r="AR53" s="48">
        <v>0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1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3</v>
      </c>
      <c r="BD53" s="52">
        <f>SUM($AM$53,$AN$53,$AO$53,$AP$53,$AQ$53,$AR$53,$AS$53,$AT$53)</f>
        <v>3</v>
      </c>
      <c r="BE53" s="76">
        <v>1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1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1</v>
      </c>
      <c r="BV53" s="52">
        <f>SUM($BE$53,$BF$53,$BG$53,$BH$53,$BI$53,$BJ$53,$BK$53,$BL$53)</f>
        <v>1</v>
      </c>
      <c r="BX53" s="47" t="s">
        <v>64</v>
      </c>
      <c r="BY53" s="83">
        <f>SUM($C$53,$U$53,$AM$53,$BE$53)</f>
        <v>42</v>
      </c>
      <c r="BZ53" s="83">
        <f>SUM($D$53,$V$53,$AN$53,$BF$53)</f>
        <v>4</v>
      </c>
      <c r="CA53" s="83">
        <f>SUM($E$53,$W$53,$AO$53,$BG$53)</f>
        <v>2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5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42</v>
      </c>
      <c r="CH53" s="77">
        <f>$BZ$53*VLOOKUP($BZ$11,'PCU Values'!$B$9:$C$16,2,FALSE)</f>
        <v>4</v>
      </c>
      <c r="CI53" s="77">
        <f>$CA$53*VLOOKUP($CA$11,'PCU Values'!$B$9:$C$16,2,FALSE)</f>
        <v>3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1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50</v>
      </c>
      <c r="CP53" s="52">
        <f>SUM($BY$53,$BZ$53,$CA$53,$CB$53,$CC$53,$CD$53,$CE$53,$CF$53)</f>
        <v>53</v>
      </c>
      <c r="CQ53" s="89">
        <f>SUM('J1 A - (North) Bishopthorpe Roa'!$BE$53,'J1 B - Butcher Terrace'!$AM$53,'J1 C - (South) Bishopthorpe Roa'!$U$53,'J1 D - South Bank Avenue'!$C$53)</f>
        <v>80</v>
      </c>
      <c r="CR53" s="83">
        <f>SUM('J1 A - (North) Bishopthorpe Roa'!$BF$53,'J1 B - Butcher Terrace'!$AN$53,'J1 C - (South) Bishopthorpe Roa'!$V$53,'J1 D - South Bank Avenue'!$D$53)</f>
        <v>8</v>
      </c>
      <c r="CS53" s="83">
        <f>SUM('J1 A - (North) Bishopthorpe Roa'!$BG$53,'J1 B - Butcher Terrace'!$AO$53,'J1 C - (South) Bishopthorpe Roa'!$W$53,'J1 D - South Bank Avenue'!$E$53)</f>
        <v>0</v>
      </c>
      <c r="CT53" s="83">
        <f>SUM('J1 A - (North) Bishopthorpe Roa'!$BH$53,'J1 B - Butcher Terrace'!$AP$53,'J1 C - (South) Bishopthorpe Roa'!$X$53,'J1 D - South Bank Avenue'!$F$53)</f>
        <v>0</v>
      </c>
      <c r="CU53" s="83">
        <f>SUM('J1 A - (North) Bishopthorpe Roa'!$BI$53,'J1 B - Butcher Terrace'!$AQ$53,'J1 C - (South) Bishopthorpe Roa'!$Y$53,'J1 D - South Bank Avenue'!$G$53)</f>
        <v>1</v>
      </c>
      <c r="CV53" s="83">
        <f>SUM('J1 A - (North) Bishopthorpe Roa'!$BJ$53,'J1 B - Butcher Terrace'!$AR$53,'J1 C - (South) Bishopthorpe Roa'!$Z$53,'J1 D - South Bank Avenue'!$H$53)</f>
        <v>7</v>
      </c>
      <c r="CW53" s="83">
        <f>SUM('J1 A - (North) Bishopthorpe Roa'!$BK$53,'J1 B - Butcher Terrace'!$AS$53,'J1 C - (South) Bishopthorpe Roa'!$AA$53,'J1 D - South Bank Avenue'!$I$53)</f>
        <v>1</v>
      </c>
      <c r="CX53" s="86">
        <f>SUM('J1 A - (North) Bishopthorpe Roa'!$BL$53,'J1 B - Butcher Terrace'!$AT$53,'J1 C - (South) Bishopthorpe Roa'!$AB$53,'J1 D - South Bank Avenue'!$J$53)</f>
        <v>0</v>
      </c>
      <c r="CY53" s="77">
        <f>$CQ$53*VLOOKUP($CQ$11,'PCU Values'!$B$9:$C$16,2,FALSE)</f>
        <v>80</v>
      </c>
      <c r="CZ53" s="77">
        <f>$CR$53*VLOOKUP($CR$11,'PCU Values'!$B$9:$C$16,2,FALSE)</f>
        <v>8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2</v>
      </c>
      <c r="DD53" s="77">
        <f>$CV$53*VLOOKUP($CV$11,'PCU Values'!$B$9:$C$16,2,FALSE)</f>
        <v>1.4</v>
      </c>
      <c r="DE53" s="77">
        <f>$CW$53*VLOOKUP($CW$11,'PCU Values'!$B$9:$C$16,2,FALSE)</f>
        <v>0.4</v>
      </c>
      <c r="DF53" s="78">
        <f>$CX$53*VLOOKUP($CX$11,'PCU Values'!$B$9:$C$16,2,FALSE)</f>
        <v>0</v>
      </c>
      <c r="DG53" s="66">
        <f>SUM($CY$53,$CZ$53,$DA$53,$DB$53,$DC$53,$DD$53,$DE$53,$DF$53)</f>
        <v>91.8</v>
      </c>
      <c r="DH53" s="52">
        <f>SUM($CQ$53,$CR$53,$CS$53,$CT$53,$CU$53,$CV$53,$CW$53,$CX$53)</f>
        <v>97</v>
      </c>
    </row>
    <row r="54" spans="1:112" ht="21" customHeight="1">
      <c r="A54" s="46">
        <v>44395.354166666701</v>
      </c>
      <c r="B54" s="47" t="s">
        <v>65</v>
      </c>
      <c r="C54" s="48">
        <v>0</v>
      </c>
      <c r="D54" s="48">
        <v>0</v>
      </c>
      <c r="E54" s="48">
        <v>1</v>
      </c>
      <c r="F54" s="48">
        <v>0</v>
      </c>
      <c r="G54" s="48">
        <v>0</v>
      </c>
      <c r="H54" s="48">
        <v>4</v>
      </c>
      <c r="I54" s="48">
        <v>0</v>
      </c>
      <c r="J54" s="56">
        <v>0</v>
      </c>
      <c r="K54" s="57">
        <f>$C$54*VLOOKUP($C$11,'PCU Values'!$B$9:$C$16,2,FALSE)</f>
        <v>0</v>
      </c>
      <c r="L54" s="57">
        <f>$D$54*VLOOKUP($D$11,'PCU Values'!$B$9:$C$16,2,FALSE)</f>
        <v>0</v>
      </c>
      <c r="M54" s="57">
        <f>$E$54*VLOOKUP($E$11,'PCU Values'!$B$9:$C$16,2,FALSE)</f>
        <v>1.5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0.8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2.2999999999999998</v>
      </c>
      <c r="T54" s="52">
        <f>SUM($C$54,$D$54,$E$54,$F$54,$G$54,$H$54,$I$54,$J$54)</f>
        <v>5</v>
      </c>
      <c r="U54" s="67">
        <v>48</v>
      </c>
      <c r="V54" s="48">
        <v>7</v>
      </c>
      <c r="W54" s="48">
        <v>1</v>
      </c>
      <c r="X54" s="48">
        <v>0</v>
      </c>
      <c r="Y54" s="48">
        <v>2</v>
      </c>
      <c r="Z54" s="48">
        <v>1</v>
      </c>
      <c r="AA54" s="48">
        <v>1</v>
      </c>
      <c r="AB54" s="56">
        <v>0</v>
      </c>
      <c r="AC54" s="57">
        <f>$U$54*VLOOKUP($U$11,'PCU Values'!$B$9:$C$16,2,FALSE)</f>
        <v>48</v>
      </c>
      <c r="AD54" s="57">
        <f>$V$54*VLOOKUP($V$11,'PCU Values'!$B$9:$C$16,2,FALSE)</f>
        <v>7</v>
      </c>
      <c r="AE54" s="57">
        <f>$W$54*VLOOKUP($W$11,'PCU Values'!$B$9:$C$16,2,FALSE)</f>
        <v>1.5</v>
      </c>
      <c r="AF54" s="57">
        <f>$X$54*VLOOKUP($X$11,'PCU Values'!$B$9:$C$16,2,FALSE)</f>
        <v>0</v>
      </c>
      <c r="AG54" s="57">
        <f>$Y$54*VLOOKUP($Y$11,'PCU Values'!$B$9:$C$16,2,FALSE)</f>
        <v>4</v>
      </c>
      <c r="AH54" s="57">
        <f>$Z$54*VLOOKUP($Z$11,'PCU Values'!$B$9:$C$16,2,FALSE)</f>
        <v>0.2</v>
      </c>
      <c r="AI54" s="57">
        <f>$AA$54*VLOOKUP($AA$11,'PCU Values'!$B$9:$C$16,2,FALSE)</f>
        <v>0.4</v>
      </c>
      <c r="AJ54" s="65">
        <f>$AB$54*VLOOKUP($AB$11,'PCU Values'!$B$9:$C$16,2,FALSE)</f>
        <v>0</v>
      </c>
      <c r="AK54" s="66">
        <f>SUM($AC$54,$AD$54,$AE$54,$AF$54,$AG$54,$AH$54,$AI$54,$AJ$54)</f>
        <v>61.1</v>
      </c>
      <c r="AL54" s="52">
        <f>SUM($U$54,$V$54,$W$54,$X$54,$Y$54,$Z$54,$AA$54,$AB$54)</f>
        <v>60</v>
      </c>
      <c r="AM54" s="76">
        <v>3</v>
      </c>
      <c r="AN54" s="49">
        <v>1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3</v>
      </c>
      <c r="AV54" s="57">
        <f>$AN$54*VLOOKUP($AN$11,'PCU Values'!$B$9:$C$16,2,FALSE)</f>
        <v>1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4</v>
      </c>
      <c r="BD54" s="52">
        <f>SUM($AM$54,$AN$54,$AO$54,$AP$54,$AQ$54,$AR$54,$AS$54,$AT$54)</f>
        <v>4</v>
      </c>
      <c r="BE54" s="67">
        <v>1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1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1</v>
      </c>
      <c r="BV54" s="52">
        <f>SUM($BE$54,$BF$54,$BG$54,$BH$54,$BI$54,$BJ$54,$BK$54,$BL$54)</f>
        <v>1</v>
      </c>
      <c r="BX54" s="47" t="s">
        <v>65</v>
      </c>
      <c r="BY54" s="83">
        <f>SUM($C$54,$U$54,$AM$54,$BE$54)</f>
        <v>52</v>
      </c>
      <c r="BZ54" s="83">
        <f>SUM($D$54,$V$54,$AN$54,$BF$54)</f>
        <v>8</v>
      </c>
      <c r="CA54" s="83">
        <f>SUM($E$54,$W$54,$AO$54,$BG$54)</f>
        <v>2</v>
      </c>
      <c r="CB54" s="83">
        <f>SUM($F$54,$X$54,$AP$54,$BH$54)</f>
        <v>0</v>
      </c>
      <c r="CC54" s="83">
        <f>SUM($G$54,$Y$54,$AQ$54,$BI$54)</f>
        <v>2</v>
      </c>
      <c r="CD54" s="83">
        <f>SUM($H$54,$Z$54,$AR$54,$BJ$54)</f>
        <v>5</v>
      </c>
      <c r="CE54" s="83">
        <f>SUM($I$54,$AA$54,$AS$54,$BK$54)</f>
        <v>1</v>
      </c>
      <c r="CF54" s="86">
        <f>SUM($J$54,$AB$54,$AT$54,$BL$54)</f>
        <v>0</v>
      </c>
      <c r="CG54" s="77">
        <f>$BY$54*VLOOKUP($BY$11,'PCU Values'!$B$9:$C$16,2,FALSE)</f>
        <v>52</v>
      </c>
      <c r="CH54" s="77">
        <f>$BZ$54*VLOOKUP($BZ$11,'PCU Values'!$B$9:$C$16,2,FALSE)</f>
        <v>8</v>
      </c>
      <c r="CI54" s="77">
        <f>$CA$54*VLOOKUP($CA$11,'PCU Values'!$B$9:$C$16,2,FALSE)</f>
        <v>3</v>
      </c>
      <c r="CJ54" s="77">
        <f>$CB$54*VLOOKUP($CB$11,'PCU Values'!$B$9:$C$16,2,FALSE)</f>
        <v>0</v>
      </c>
      <c r="CK54" s="77">
        <f>$CC$54*VLOOKUP($CC$11,'PCU Values'!$B$9:$C$16,2,FALSE)</f>
        <v>4</v>
      </c>
      <c r="CL54" s="77">
        <f>$CD$54*VLOOKUP($CD$11,'PCU Values'!$B$9:$C$16,2,FALSE)</f>
        <v>1</v>
      </c>
      <c r="CM54" s="77">
        <f>$CE$54*VLOOKUP($CE$11,'PCU Values'!$B$9:$C$16,2,FALSE)</f>
        <v>0.4</v>
      </c>
      <c r="CN54" s="78">
        <f>$CF$54*VLOOKUP($CF$11,'PCU Values'!$B$9:$C$16,2,FALSE)</f>
        <v>0</v>
      </c>
      <c r="CO54" s="66">
        <f>SUM($CG$54,$CH$54,$CI$54,$CJ$54,$CK$54,$CL$54,$CM$54,$CN$54)</f>
        <v>68.400000000000006</v>
      </c>
      <c r="CP54" s="52">
        <f>SUM($BY$54,$BZ$54,$CA$54,$CB$54,$CC$54,$CD$54,$CE$54,$CF$54)</f>
        <v>70</v>
      </c>
      <c r="CQ54" s="89">
        <f>SUM('J1 A - (North) Bishopthorpe Roa'!$BE$54,'J1 B - Butcher Terrace'!$AM$54,'J1 C - (South) Bishopthorpe Roa'!$U$54,'J1 D - South Bank Avenue'!$C$54)</f>
        <v>74</v>
      </c>
      <c r="CR54" s="83">
        <f>SUM('J1 A - (North) Bishopthorpe Roa'!$BF$54,'J1 B - Butcher Terrace'!$AN$54,'J1 C - (South) Bishopthorpe Roa'!$V$54,'J1 D - South Bank Avenue'!$D$54)</f>
        <v>10</v>
      </c>
      <c r="CS54" s="83">
        <f>SUM('J1 A - (North) Bishopthorpe Roa'!$BG$54,'J1 B - Butcher Terrace'!$AO$54,'J1 C - (South) Bishopthorpe Roa'!$W$54,'J1 D - South Bank Avenue'!$E$54)</f>
        <v>2</v>
      </c>
      <c r="CT54" s="83">
        <f>SUM('J1 A - (North) Bishopthorpe Roa'!$BH$54,'J1 B - Butcher Terrace'!$AP$54,'J1 C - (South) Bishopthorpe Roa'!$X$54,'J1 D - South Bank Avenue'!$F$54)</f>
        <v>0</v>
      </c>
      <c r="CU54" s="83">
        <f>SUM('J1 A - (North) Bishopthorpe Roa'!$BI$54,'J1 B - Butcher Terrace'!$AQ$54,'J1 C - (South) Bishopthorpe Roa'!$Y$54,'J1 D - South Bank Avenue'!$G$54)</f>
        <v>2</v>
      </c>
      <c r="CV54" s="83">
        <f>SUM('J1 A - (North) Bishopthorpe Roa'!$BJ$54,'J1 B - Butcher Terrace'!$AR$54,'J1 C - (South) Bishopthorpe Roa'!$Z$54,'J1 D - South Bank Avenue'!$H$54)</f>
        <v>4</v>
      </c>
      <c r="CW54" s="83">
        <f>SUM('J1 A - (North) Bishopthorpe Roa'!$BK$54,'J1 B - Butcher Terrace'!$AS$54,'J1 C - (South) Bishopthorpe Roa'!$AA$54,'J1 D - South Bank Avenue'!$I$54)</f>
        <v>0</v>
      </c>
      <c r="CX54" s="86">
        <f>SUM('J1 A - (North) Bishopthorpe Roa'!$BL$54,'J1 B - Butcher Terrace'!$AT$54,'J1 C - (South) Bishopthorpe Roa'!$AB$54,'J1 D - South Bank Avenue'!$J$54)</f>
        <v>2</v>
      </c>
      <c r="CY54" s="77">
        <f>$CQ$54*VLOOKUP($CQ$11,'PCU Values'!$B$9:$C$16,2,FALSE)</f>
        <v>74</v>
      </c>
      <c r="CZ54" s="77">
        <f>$CR$54*VLOOKUP($CR$11,'PCU Values'!$B$9:$C$16,2,FALSE)</f>
        <v>10</v>
      </c>
      <c r="DA54" s="77">
        <f>$CS$54*VLOOKUP($CS$11,'PCU Values'!$B$9:$C$16,2,FALSE)</f>
        <v>3</v>
      </c>
      <c r="DB54" s="77">
        <f>$CT$54*VLOOKUP($CT$11,'PCU Values'!$B$9:$C$16,2,FALSE)</f>
        <v>0</v>
      </c>
      <c r="DC54" s="77">
        <f>$CU$54*VLOOKUP($CU$11,'PCU Values'!$B$9:$C$16,2,FALSE)</f>
        <v>4</v>
      </c>
      <c r="DD54" s="77">
        <f>$CV$54*VLOOKUP($CV$11,'PCU Values'!$B$9:$C$16,2,FALSE)</f>
        <v>0.8</v>
      </c>
      <c r="DE54" s="77">
        <f>$CW$54*VLOOKUP($CW$11,'PCU Values'!$B$9:$C$16,2,FALSE)</f>
        <v>0</v>
      </c>
      <c r="DF54" s="78">
        <f>$CX$54*VLOOKUP($CX$11,'PCU Values'!$B$9:$C$16,2,FALSE)</f>
        <v>3</v>
      </c>
      <c r="DG54" s="66">
        <f>SUM($CY$54,$CZ$54,$DA$54,$DB$54,$DC$54,$DD$54,$DE$54,$DF$54)</f>
        <v>94.8</v>
      </c>
      <c r="DH54" s="52">
        <f>SUM($CQ$54,$CR$54,$CS$54,$CT$54,$CU$54,$CV$54,$CW$54,$CX$54)</f>
        <v>94</v>
      </c>
    </row>
    <row r="55" spans="1:112" ht="21" customHeight="1">
      <c r="A55" s="46">
        <v>44395.364583333299</v>
      </c>
      <c r="B55" s="50" t="s">
        <v>66</v>
      </c>
      <c r="C55" s="55">
        <v>1</v>
      </c>
      <c r="D55" s="55">
        <v>0</v>
      </c>
      <c r="E55" s="51">
        <v>0</v>
      </c>
      <c r="F55" s="51">
        <v>0</v>
      </c>
      <c r="G55" s="51">
        <v>0</v>
      </c>
      <c r="H55" s="55">
        <v>4</v>
      </c>
      <c r="I55" s="51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0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0.8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1.8</v>
      </c>
      <c r="T55" s="52">
        <f>SUM($C$55,$D$55,$E$55,$F$55,$G$55,$H$55,$I$55,$J$55)</f>
        <v>5</v>
      </c>
      <c r="U55" s="73">
        <v>47</v>
      </c>
      <c r="V55" s="51">
        <v>12</v>
      </c>
      <c r="W55" s="51">
        <v>1</v>
      </c>
      <c r="X55" s="51">
        <v>0</v>
      </c>
      <c r="Y55" s="51">
        <v>0</v>
      </c>
      <c r="Z55" s="51">
        <v>3</v>
      </c>
      <c r="AA55" s="51">
        <v>0</v>
      </c>
      <c r="AB55" s="59">
        <v>0</v>
      </c>
      <c r="AC55" s="60">
        <f>$U$55*VLOOKUP($U$11,'PCU Values'!$B$9:$C$16,2,FALSE)</f>
        <v>47</v>
      </c>
      <c r="AD55" s="60">
        <f>$V$55*VLOOKUP($V$11,'PCU Values'!$B$9:$C$16,2,FALSE)</f>
        <v>12</v>
      </c>
      <c r="AE55" s="60">
        <f>$W$55*VLOOKUP($W$11,'PCU Values'!$B$9:$C$16,2,FALSE)</f>
        <v>1.5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0.6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61.1</v>
      </c>
      <c r="AL55" s="52">
        <f>SUM($U$55,$V$55,$W$55,$X$55,$Y$55,$Z$55,$AA$55,$AB$55)</f>
        <v>63</v>
      </c>
      <c r="AM55" s="73">
        <v>4</v>
      </c>
      <c r="AN55" s="51">
        <v>0</v>
      </c>
      <c r="AO55" s="51">
        <v>0</v>
      </c>
      <c r="AP55" s="51">
        <v>0</v>
      </c>
      <c r="AQ55" s="51">
        <v>0</v>
      </c>
      <c r="AR55" s="51">
        <v>1</v>
      </c>
      <c r="AS55" s="51">
        <v>0</v>
      </c>
      <c r="AT55" s="59">
        <v>0</v>
      </c>
      <c r="AU55" s="60">
        <f>$AM$55*VLOOKUP($AM$11,'PCU Values'!$B$9:$C$16,2,FALSE)</f>
        <v>4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0.2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4.2</v>
      </c>
      <c r="BD55" s="52">
        <f>SUM($AM$55,$AN$55,$AO$55,$AP$55,$AQ$55,$AR$55,$AS$55,$AT$55)</f>
        <v>5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52</v>
      </c>
      <c r="BZ55" s="84">
        <f>SUM($D$55,$V$55,$AN$55,$BF$55)</f>
        <v>12</v>
      </c>
      <c r="CA55" s="84">
        <f>SUM($E$55,$W$55,$AO$55,$BG$55)</f>
        <v>1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8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52</v>
      </c>
      <c r="CH55" s="79">
        <f>$BZ$55*VLOOKUP($BZ$11,'PCU Values'!$B$9:$C$16,2,FALSE)</f>
        <v>12</v>
      </c>
      <c r="CI55" s="79">
        <f>$CA$55*VLOOKUP($CA$11,'PCU Values'!$B$9:$C$16,2,FALSE)</f>
        <v>1.5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1.6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67.099999999999994</v>
      </c>
      <c r="CP55" s="52">
        <f>SUM($BY$55,$BZ$55,$CA$55,$CB$55,$CC$55,$CD$55,$CE$55,$CF$55)</f>
        <v>73</v>
      </c>
      <c r="CQ55" s="90">
        <f>SUM('J1 A - (North) Bishopthorpe Roa'!$BE$55,'J1 B - Butcher Terrace'!$AM$55,'J1 C - (South) Bishopthorpe Roa'!$U$55,'J1 D - South Bank Avenue'!$C$55)</f>
        <v>76</v>
      </c>
      <c r="CR55" s="84">
        <f>SUM('J1 A - (North) Bishopthorpe Roa'!$BF$55,'J1 B - Butcher Terrace'!$AN$55,'J1 C - (South) Bishopthorpe Roa'!$V$55,'J1 D - South Bank Avenue'!$D$55)</f>
        <v>16</v>
      </c>
      <c r="CS55" s="84">
        <f>SUM('J1 A - (North) Bishopthorpe Roa'!$BG$55,'J1 B - Butcher Terrace'!$AO$55,'J1 C - (South) Bishopthorpe Roa'!$W$55,'J1 D - South Bank Avenue'!$E$55)</f>
        <v>1</v>
      </c>
      <c r="CT55" s="84">
        <f>SUM('J1 A - (North) Bishopthorpe Roa'!$BH$55,'J1 B - Butcher Terrace'!$AP$55,'J1 C - (South) Bishopthorpe Roa'!$X$55,'J1 D - South Bank Avenue'!$F$55)</f>
        <v>0</v>
      </c>
      <c r="CU55" s="84">
        <f>SUM('J1 A - (North) Bishopthorpe Roa'!$BI$55,'J1 B - Butcher Terrace'!$AQ$55,'J1 C - (South) Bishopthorpe Roa'!$Y$55,'J1 D - South Bank Avenue'!$G$55)</f>
        <v>1</v>
      </c>
      <c r="CV55" s="84">
        <f>SUM('J1 A - (North) Bishopthorpe Roa'!$BJ$55,'J1 B - Butcher Terrace'!$AR$55,'J1 C - (South) Bishopthorpe Roa'!$Z$55,'J1 D - South Bank Avenue'!$H$55)</f>
        <v>10</v>
      </c>
      <c r="CW55" s="84">
        <f>SUM('J1 A - (North) Bishopthorpe Roa'!$BK$55,'J1 B - Butcher Terrace'!$AS$55,'J1 C - (South) Bishopthorpe Roa'!$AA$55,'J1 D - South Bank Avenue'!$I$55)</f>
        <v>0</v>
      </c>
      <c r="CX55" s="87">
        <f>SUM('J1 A - (North) Bishopthorpe Roa'!$BL$55,'J1 B - Butcher Terrace'!$AT$55,'J1 C - (South) Bishopthorpe Roa'!$AB$55,'J1 D - South Bank Avenue'!$J$55)</f>
        <v>0</v>
      </c>
      <c r="CY55" s="79">
        <f>$CQ$55*VLOOKUP($CQ$11,'PCU Values'!$B$9:$C$16,2,FALSE)</f>
        <v>76</v>
      </c>
      <c r="CZ55" s="79">
        <f>$CR$55*VLOOKUP($CR$11,'PCU Values'!$B$9:$C$16,2,FALSE)</f>
        <v>16</v>
      </c>
      <c r="DA55" s="79">
        <f>$CS$55*VLOOKUP($CS$11,'PCU Values'!$B$9:$C$16,2,FALSE)</f>
        <v>1.5</v>
      </c>
      <c r="DB55" s="79">
        <f>$CT$55*VLOOKUP($CT$11,'PCU Values'!$B$9:$C$16,2,FALSE)</f>
        <v>0</v>
      </c>
      <c r="DC55" s="79">
        <f>$CU$55*VLOOKUP($CU$11,'PCU Values'!$B$9:$C$16,2,FALSE)</f>
        <v>2</v>
      </c>
      <c r="DD55" s="79">
        <f>$CV$55*VLOOKUP($CV$11,'PCU Values'!$B$9:$C$16,2,FALSE)</f>
        <v>2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97.5</v>
      </c>
      <c r="DH55" s="52">
        <f>SUM($CQ$55,$CR$55,$CS$55,$CT$55,$CU$55,$CV$55,$CW$55,$CX$55)</f>
        <v>104</v>
      </c>
    </row>
    <row r="56" spans="1:112">
      <c r="B56" s="52" t="s">
        <v>34</v>
      </c>
      <c r="C56" s="52">
        <f>SUM($C$52:$C$55)</f>
        <v>3</v>
      </c>
      <c r="D56" s="52">
        <f>SUM($D$52:$D$55)</f>
        <v>0</v>
      </c>
      <c r="E56" s="52">
        <f>SUM($E$52:$E$55)</f>
        <v>1</v>
      </c>
      <c r="F56" s="52">
        <f>SUM($F$52:$F$55)</f>
        <v>0</v>
      </c>
      <c r="G56" s="52">
        <f>SUM($G$52:$G$55)</f>
        <v>0</v>
      </c>
      <c r="H56" s="52">
        <f>SUM($H$52:$H$55)</f>
        <v>13</v>
      </c>
      <c r="I56" s="52">
        <f>SUM($I$52:$I$55)</f>
        <v>0</v>
      </c>
      <c r="J56" s="52">
        <f>SUM($J$52:$J$55)</f>
        <v>0</v>
      </c>
      <c r="K56" s="52">
        <f>SUM($K$52:$K$55)</f>
        <v>3</v>
      </c>
      <c r="L56" s="52">
        <f>SUM($L$52:$L$55)</f>
        <v>0</v>
      </c>
      <c r="M56" s="52">
        <f>SUM($M$52:$M$55)</f>
        <v>2</v>
      </c>
      <c r="N56" s="52">
        <f>SUM($N$52:$N$55)</f>
        <v>0</v>
      </c>
      <c r="O56" s="52">
        <f>SUM($O$52:$O$55)</f>
        <v>0</v>
      </c>
      <c r="P56" s="52">
        <f>SUM($P$52:$P$55)</f>
        <v>3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8</v>
      </c>
      <c r="T56" s="52">
        <f>SUM($C$56,$D$56,$E$56,$F$56,$G$56,$H$56,$I$56,$J$56)</f>
        <v>17</v>
      </c>
      <c r="U56" s="52">
        <f>SUM($U$52:$U$55)</f>
        <v>173</v>
      </c>
      <c r="V56" s="52">
        <f>SUM($V$52:$V$55)</f>
        <v>30</v>
      </c>
      <c r="W56" s="52">
        <f>SUM($W$52:$W$55)</f>
        <v>5</v>
      </c>
      <c r="X56" s="52">
        <f>SUM($X$52:$X$55)</f>
        <v>0</v>
      </c>
      <c r="Y56" s="52">
        <f>SUM($Y$52:$Y$55)</f>
        <v>3</v>
      </c>
      <c r="Z56" s="52">
        <f>SUM($Z$52:$Z$55)</f>
        <v>6</v>
      </c>
      <c r="AA56" s="52">
        <f>SUM($AA$52:$AA$55)</f>
        <v>1</v>
      </c>
      <c r="AB56" s="52">
        <f>SUM($AB$52:$AB$55)</f>
        <v>0</v>
      </c>
      <c r="AC56" s="52">
        <f>SUM($AC$52:$AC$55)</f>
        <v>173</v>
      </c>
      <c r="AD56" s="52">
        <f>SUM($AD$52:$AD$55)</f>
        <v>30</v>
      </c>
      <c r="AE56" s="52">
        <f>SUM($AE$52:$AE$55)</f>
        <v>8</v>
      </c>
      <c r="AF56" s="52">
        <f>SUM($AF$52:$AF$55)</f>
        <v>0</v>
      </c>
      <c r="AG56" s="52">
        <f>SUM($AG$52:$AG$55)</f>
        <v>6</v>
      </c>
      <c r="AH56" s="52">
        <f>SUM($AH$52:$AH$55)</f>
        <v>1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218</v>
      </c>
      <c r="AL56" s="52">
        <f>SUM($U$56,$V$56,$W$56,$X$56,$Y$56,$Z$56,$AA$56,$AB$56)</f>
        <v>218</v>
      </c>
      <c r="AM56" s="52">
        <f>SUM($AM$52:$AM$55)</f>
        <v>12</v>
      </c>
      <c r="AN56" s="52">
        <f>SUM($AN$52:$AN$55)</f>
        <v>2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1</v>
      </c>
      <c r="AS56" s="52">
        <f>SUM($AS$52:$AS$55)</f>
        <v>0</v>
      </c>
      <c r="AT56" s="52">
        <f>SUM($AT$52:$AT$55)</f>
        <v>0</v>
      </c>
      <c r="AU56" s="52">
        <f>SUM($AU$52:$AU$55)</f>
        <v>12</v>
      </c>
      <c r="AV56" s="52">
        <f>SUM($AV$52:$AV$55)</f>
        <v>2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14</v>
      </c>
      <c r="BD56" s="52">
        <f>SUM($AM$56,$AN$56,$AO$56,$AP$56,$AQ$56,$AR$56,$AS$56,$AT$56)</f>
        <v>15</v>
      </c>
      <c r="BE56" s="52">
        <f>SUM($BE$52:$BE$55)</f>
        <v>2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2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2</v>
      </c>
      <c r="BV56" s="52">
        <f>SUM($BE$56,$BF$56,$BG$56,$BH$56,$BI$56,$BJ$56,$BK$56,$BL$56)</f>
        <v>2</v>
      </c>
      <c r="BX56" s="52" t="s">
        <v>34</v>
      </c>
      <c r="BY56" s="52">
        <f>SUM($BY$52:$BY$55)</f>
        <v>190</v>
      </c>
      <c r="BZ56" s="52">
        <f>SUM($BZ$52:$BZ$55)</f>
        <v>32</v>
      </c>
      <c r="CA56" s="52">
        <f>SUM($CA$52:$CA$55)</f>
        <v>6</v>
      </c>
      <c r="CB56" s="52">
        <f>SUM($CB$52:$CB$55)</f>
        <v>0</v>
      </c>
      <c r="CC56" s="52">
        <f>SUM($CC$52:$CC$55)</f>
        <v>3</v>
      </c>
      <c r="CD56" s="52">
        <f>SUM($CD$52:$CD$55)</f>
        <v>20</v>
      </c>
      <c r="CE56" s="52">
        <f>SUM($CE$52:$CE$55)</f>
        <v>1</v>
      </c>
      <c r="CF56" s="52">
        <f>SUM($CF$52:$CF$55)</f>
        <v>0</v>
      </c>
      <c r="CG56" s="52">
        <f>SUM($CG$52:$CG$55)</f>
        <v>190</v>
      </c>
      <c r="CH56" s="52">
        <f>SUM($CH$52:$CH$55)</f>
        <v>32</v>
      </c>
      <c r="CI56" s="52">
        <f>SUM($CI$52:$CI$55)</f>
        <v>9</v>
      </c>
      <c r="CJ56" s="52">
        <f>SUM($CJ$52:$CJ$55)</f>
        <v>0</v>
      </c>
      <c r="CK56" s="52">
        <f>SUM($CK$52:$CK$55)</f>
        <v>6</v>
      </c>
      <c r="CL56" s="52">
        <f>SUM($CL$52:$CL$55)</f>
        <v>4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241</v>
      </c>
      <c r="CP56" s="52">
        <f>SUM($BY$56,$BZ$56,$CA$56,$CB$56,$CC$56,$CD$56,$CE$56,$CF$56)</f>
        <v>252</v>
      </c>
      <c r="CQ56" s="52">
        <f>SUM($CQ$52:$CQ$55)</f>
        <v>296</v>
      </c>
      <c r="CR56" s="52">
        <f>SUM($CR$52:$CR$55)</f>
        <v>46</v>
      </c>
      <c r="CS56" s="52">
        <f>SUM($CS$52:$CS$55)</f>
        <v>4</v>
      </c>
      <c r="CT56" s="52">
        <f>SUM($CT$52:$CT$55)</f>
        <v>0</v>
      </c>
      <c r="CU56" s="52">
        <f>SUM($CU$52:$CU$55)</f>
        <v>5</v>
      </c>
      <c r="CV56" s="52">
        <f>SUM($CV$52:$CV$55)</f>
        <v>30</v>
      </c>
      <c r="CW56" s="52">
        <f>SUM($CW$52:$CW$55)</f>
        <v>1</v>
      </c>
      <c r="CX56" s="52">
        <f>SUM($CX$52:$CX$55)</f>
        <v>2</v>
      </c>
      <c r="CY56" s="52">
        <f>SUM($CY$52:$CY$55)</f>
        <v>296</v>
      </c>
      <c r="CZ56" s="52">
        <f>SUM($CZ$52:$CZ$55)</f>
        <v>46</v>
      </c>
      <c r="DA56" s="52">
        <f>SUM($DA$52:$DA$55)</f>
        <v>6</v>
      </c>
      <c r="DB56" s="52">
        <f>SUM($DB$52:$DB$55)</f>
        <v>0</v>
      </c>
      <c r="DC56" s="52">
        <f>SUM($DC$52:$DC$55)</f>
        <v>10</v>
      </c>
      <c r="DD56" s="52">
        <f>SUM($DD$52:$DD$55)</f>
        <v>6</v>
      </c>
      <c r="DE56" s="52">
        <f>SUM($DE$52:$DE$55)</f>
        <v>0</v>
      </c>
      <c r="DF56" s="52">
        <f>SUM($DF$52:$DF$55)</f>
        <v>3</v>
      </c>
      <c r="DG56" s="52">
        <f>SUM($CY$56,$CZ$56,$DA$56,$DB$56,$DC$56,$DD$56,$DE$56,$DF$56)</f>
        <v>367</v>
      </c>
      <c r="DH56" s="52">
        <f>SUM($CQ$56,$CR$56,$CS$56,$CT$56,$CU$56,$CV$56,$CW$56,$CX$56)</f>
        <v>384</v>
      </c>
    </row>
    <row r="57" spans="1:112" ht="21" customHeight="1">
      <c r="A57" s="46">
        <v>44395.375</v>
      </c>
      <c r="B57" s="53" t="s">
        <v>67</v>
      </c>
      <c r="C57" s="54">
        <v>0</v>
      </c>
      <c r="D57" s="54">
        <v>3</v>
      </c>
      <c r="E57" s="54">
        <v>0</v>
      </c>
      <c r="F57" s="54">
        <v>0</v>
      </c>
      <c r="G57" s="54">
        <v>0</v>
      </c>
      <c r="H57" s="54">
        <v>7</v>
      </c>
      <c r="I57" s="54">
        <v>0</v>
      </c>
      <c r="J57" s="61">
        <v>0</v>
      </c>
      <c r="K57" s="62">
        <f>$C$57*VLOOKUP($C$11,'PCU Values'!$B$9:$C$16,2,FALSE)</f>
        <v>0</v>
      </c>
      <c r="L57" s="62">
        <f>$D$57*VLOOKUP($D$11,'PCU Values'!$B$9:$C$16,2,FALSE)</f>
        <v>3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1.4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4.4000000000000004</v>
      </c>
      <c r="T57" s="52">
        <f>SUM($C$57,$D$57,$E$57,$F$57,$G$57,$H$57,$I$57,$J$57)</f>
        <v>10</v>
      </c>
      <c r="U57" s="72">
        <v>43</v>
      </c>
      <c r="V57" s="54">
        <v>10</v>
      </c>
      <c r="W57" s="54">
        <v>1</v>
      </c>
      <c r="X57" s="54">
        <v>0</v>
      </c>
      <c r="Y57" s="54">
        <v>1</v>
      </c>
      <c r="Z57" s="54">
        <v>4</v>
      </c>
      <c r="AA57" s="54">
        <v>0</v>
      </c>
      <c r="AB57" s="61">
        <v>0</v>
      </c>
      <c r="AC57" s="62">
        <f>$U$57*VLOOKUP($U$11,'PCU Values'!$B$9:$C$16,2,FALSE)</f>
        <v>43</v>
      </c>
      <c r="AD57" s="62">
        <f>$V$57*VLOOKUP($V$11,'PCU Values'!$B$9:$C$16,2,FALSE)</f>
        <v>10</v>
      </c>
      <c r="AE57" s="62">
        <f>$W$57*VLOOKUP($W$11,'PCU Values'!$B$9:$C$16,2,FALSE)</f>
        <v>1.5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0.8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57.3</v>
      </c>
      <c r="AL57" s="52">
        <f>SUM($U$57,$V$57,$W$57,$X$57,$Y$57,$Z$57,$AA$57,$AB$57)</f>
        <v>59</v>
      </c>
      <c r="AM57" s="72">
        <v>3</v>
      </c>
      <c r="AN57" s="54">
        <v>1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0</v>
      </c>
      <c r="AU57" s="62">
        <f>$AM$57*VLOOKUP($AM$11,'PCU Values'!$B$9:$C$16,2,FALSE)</f>
        <v>3</v>
      </c>
      <c r="AV57" s="62">
        <f>$AN$57*VLOOKUP($AN$11,'PCU Values'!$B$9:$C$16,2,FALSE)</f>
        <v>1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4</v>
      </c>
      <c r="BD57" s="52">
        <f>SUM($AM$57,$AN$57,$AO$57,$AP$57,$AQ$57,$AR$57,$AS$57,$AT$57)</f>
        <v>4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46</v>
      </c>
      <c r="BZ57" s="85">
        <f>SUM($D$57,$V$57,$AN$57,$BF$57)</f>
        <v>14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1</v>
      </c>
      <c r="CD57" s="85">
        <f>SUM($H$57,$Z$57,$AR$57,$BJ$57)</f>
        <v>11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46</v>
      </c>
      <c r="CH57" s="81">
        <f>$BZ$57*VLOOKUP($BZ$11,'PCU Values'!$B$9:$C$16,2,FALSE)</f>
        <v>14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2</v>
      </c>
      <c r="CL57" s="81">
        <f>$CD$57*VLOOKUP($CD$11,'PCU Values'!$B$9:$C$16,2,FALSE)</f>
        <v>2.2000000000000002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65.7</v>
      </c>
      <c r="CP57" s="52">
        <f>SUM($BY$57,$BZ$57,$CA$57,$CB$57,$CC$57,$CD$57,$CE$57,$CF$57)</f>
        <v>73</v>
      </c>
      <c r="CQ57" s="91">
        <f>SUM('J1 A - (North) Bishopthorpe Roa'!$BE$57,'J1 B - Butcher Terrace'!$AM$57,'J1 C - (South) Bishopthorpe Roa'!$U$57,'J1 D - South Bank Avenue'!$C$57)</f>
        <v>67</v>
      </c>
      <c r="CR57" s="85">
        <f>SUM('J1 A - (North) Bishopthorpe Roa'!$BF$57,'J1 B - Butcher Terrace'!$AN$57,'J1 C - (South) Bishopthorpe Roa'!$V$57,'J1 D - South Bank Avenue'!$D$57)</f>
        <v>7</v>
      </c>
      <c r="CS57" s="85">
        <f>SUM('J1 A - (North) Bishopthorpe Roa'!$BG$57,'J1 B - Butcher Terrace'!$AO$57,'J1 C - (South) Bishopthorpe Roa'!$W$57,'J1 D - South Bank Avenue'!$E$57)</f>
        <v>1</v>
      </c>
      <c r="CT57" s="85">
        <f>SUM('J1 A - (North) Bishopthorpe Roa'!$BH$57,'J1 B - Butcher Terrace'!$AP$57,'J1 C - (South) Bishopthorpe Roa'!$X$57,'J1 D - South Bank Avenue'!$F$57)</f>
        <v>0</v>
      </c>
      <c r="CU57" s="85">
        <f>SUM('J1 A - (North) Bishopthorpe Roa'!$BI$57,'J1 B - Butcher Terrace'!$AQ$57,'J1 C - (South) Bishopthorpe Roa'!$Y$57,'J1 D - South Bank Avenue'!$G$57)</f>
        <v>1</v>
      </c>
      <c r="CV57" s="85">
        <f>SUM('J1 A - (North) Bishopthorpe Roa'!$BJ$57,'J1 B - Butcher Terrace'!$AR$57,'J1 C - (South) Bishopthorpe Roa'!$Z$57,'J1 D - South Bank Avenue'!$H$57)</f>
        <v>3</v>
      </c>
      <c r="CW57" s="85">
        <f>SUM('J1 A - (North) Bishopthorpe Roa'!$BK$57,'J1 B - Butcher Terrace'!$AS$57,'J1 C - (South) Bishopthorpe Roa'!$AA$57,'J1 D - South Bank Avenue'!$I$57)</f>
        <v>0</v>
      </c>
      <c r="CX57" s="88">
        <f>SUM('J1 A - (North) Bishopthorpe Roa'!$BL$57,'J1 B - Butcher Terrace'!$AT$57,'J1 C - (South) Bishopthorpe Roa'!$AB$57,'J1 D - South Bank Avenue'!$J$57)</f>
        <v>1</v>
      </c>
      <c r="CY57" s="81">
        <f>$CQ$57*VLOOKUP($CQ$11,'PCU Values'!$B$9:$C$16,2,FALSE)</f>
        <v>67</v>
      </c>
      <c r="CZ57" s="81">
        <f>$CR$57*VLOOKUP($CR$11,'PCU Values'!$B$9:$C$16,2,FALSE)</f>
        <v>7</v>
      </c>
      <c r="DA57" s="81">
        <f>$CS$57*VLOOKUP($CS$11,'PCU Values'!$B$9:$C$16,2,FALSE)</f>
        <v>1.5</v>
      </c>
      <c r="DB57" s="81">
        <f>$CT$57*VLOOKUP($CT$11,'PCU Values'!$B$9:$C$16,2,FALSE)</f>
        <v>0</v>
      </c>
      <c r="DC57" s="81">
        <f>$CU$57*VLOOKUP($CU$11,'PCU Values'!$B$9:$C$16,2,FALSE)</f>
        <v>2</v>
      </c>
      <c r="DD57" s="81">
        <f>$CV$57*VLOOKUP($CV$11,'PCU Values'!$B$9:$C$16,2,FALSE)</f>
        <v>0.6</v>
      </c>
      <c r="DE57" s="81">
        <f>$CW$57*VLOOKUP($CW$11,'PCU Values'!$B$9:$C$16,2,FALSE)</f>
        <v>0</v>
      </c>
      <c r="DF57" s="82">
        <f>$CX$57*VLOOKUP($CX$11,'PCU Values'!$B$9:$C$16,2,FALSE)</f>
        <v>1.5</v>
      </c>
      <c r="DG57" s="71">
        <f>SUM($CY$57,$CZ$57,$DA$57,$DB$57,$DC$57,$DD$57,$DE$57,$DF$57)</f>
        <v>79.599999999999994</v>
      </c>
      <c r="DH57" s="52">
        <f>SUM($CQ$57,$CR$57,$CS$57,$CT$57,$CU$57,$CV$57,$CW$57,$CX$57)</f>
        <v>80</v>
      </c>
    </row>
    <row r="58" spans="1:112" ht="21" customHeight="1">
      <c r="A58" s="46">
        <v>44395.385416666701</v>
      </c>
      <c r="B58" s="47" t="s">
        <v>68</v>
      </c>
      <c r="C58" s="48">
        <v>1</v>
      </c>
      <c r="D58" s="48">
        <v>0</v>
      </c>
      <c r="E58" s="48">
        <v>0</v>
      </c>
      <c r="F58" s="48">
        <v>0</v>
      </c>
      <c r="G58" s="48">
        <v>0</v>
      </c>
      <c r="H58" s="48">
        <v>1</v>
      </c>
      <c r="I58" s="48">
        <v>0</v>
      </c>
      <c r="J58" s="56">
        <v>0</v>
      </c>
      <c r="K58" s="57">
        <f>$C$58*VLOOKUP($C$11,'PCU Values'!$B$9:$C$16,2,FALSE)</f>
        <v>1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0.2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1.2</v>
      </c>
      <c r="T58" s="52">
        <f>SUM($C$58,$D$58,$E$58,$F$58,$G$58,$H$58,$I$58,$J$58)</f>
        <v>2</v>
      </c>
      <c r="U58" s="67">
        <v>39</v>
      </c>
      <c r="V58" s="48">
        <v>7</v>
      </c>
      <c r="W58" s="48">
        <v>0</v>
      </c>
      <c r="X58" s="48">
        <v>1</v>
      </c>
      <c r="Y58" s="48">
        <v>1</v>
      </c>
      <c r="Z58" s="48">
        <v>2</v>
      </c>
      <c r="AA58" s="48">
        <v>0</v>
      </c>
      <c r="AB58" s="56">
        <v>0</v>
      </c>
      <c r="AC58" s="57">
        <f>$U$58*VLOOKUP($U$11,'PCU Values'!$B$9:$C$16,2,FALSE)</f>
        <v>39</v>
      </c>
      <c r="AD58" s="57">
        <f>$V$58*VLOOKUP($V$11,'PCU Values'!$B$9:$C$16,2,FALSE)</f>
        <v>7</v>
      </c>
      <c r="AE58" s="57">
        <f>$W$58*VLOOKUP($W$11,'PCU Values'!$B$9:$C$16,2,FALSE)</f>
        <v>0</v>
      </c>
      <c r="AF58" s="57">
        <f>$X$58*VLOOKUP($X$11,'PCU Values'!$B$9:$C$16,2,FALSE)</f>
        <v>2.2999999999999998</v>
      </c>
      <c r="AG58" s="57">
        <f>$Y$58*VLOOKUP($Y$11,'PCU Values'!$B$9:$C$16,2,FALSE)</f>
        <v>2</v>
      </c>
      <c r="AH58" s="57">
        <f>$Z$58*VLOOKUP($Z$11,'PCU Values'!$B$9:$C$16,2,FALSE)</f>
        <v>0.4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50.7</v>
      </c>
      <c r="AL58" s="52">
        <f>SUM($U$58,$V$58,$W$58,$X$58,$Y$58,$Z$58,$AA$58,$AB$58)</f>
        <v>50</v>
      </c>
      <c r="AM58" s="67">
        <v>2</v>
      </c>
      <c r="AN58" s="48">
        <v>1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2</v>
      </c>
      <c r="AV58" s="57">
        <f>$AN$58*VLOOKUP($AN$11,'PCU Values'!$B$9:$C$16,2,FALSE)</f>
        <v>1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3</v>
      </c>
      <c r="BD58" s="52">
        <f>SUM($AM$58,$AN$58,$AO$58,$AP$58,$AQ$58,$AR$58,$AS$58,$AT$58)</f>
        <v>3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42</v>
      </c>
      <c r="BZ58" s="83">
        <f>SUM($D$58,$V$58,$AN$58,$BF$58)</f>
        <v>8</v>
      </c>
      <c r="CA58" s="83">
        <f>SUM($E$58,$W$58,$AO$58,$BG$58)</f>
        <v>0</v>
      </c>
      <c r="CB58" s="83">
        <f>SUM($F$58,$X$58,$AP$58,$BH$58)</f>
        <v>1</v>
      </c>
      <c r="CC58" s="83">
        <f>SUM($G$58,$Y$58,$AQ$58,$BI$58)</f>
        <v>1</v>
      </c>
      <c r="CD58" s="83">
        <f>SUM($H$58,$Z$58,$AR$58,$BJ$58)</f>
        <v>3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42</v>
      </c>
      <c r="CH58" s="77">
        <f>$BZ$58*VLOOKUP($BZ$11,'PCU Values'!$B$9:$C$16,2,FALSE)</f>
        <v>8</v>
      </c>
      <c r="CI58" s="77">
        <f>$CA$58*VLOOKUP($CA$11,'PCU Values'!$B$9:$C$16,2,FALSE)</f>
        <v>0</v>
      </c>
      <c r="CJ58" s="77">
        <f>$CB$58*VLOOKUP($CB$11,'PCU Values'!$B$9:$C$16,2,FALSE)</f>
        <v>2.2999999999999998</v>
      </c>
      <c r="CK58" s="77">
        <f>$CC$58*VLOOKUP($CC$11,'PCU Values'!$B$9:$C$16,2,FALSE)</f>
        <v>2</v>
      </c>
      <c r="CL58" s="77">
        <f>$CD$58*VLOOKUP($CD$11,'PCU Values'!$B$9:$C$16,2,FALSE)</f>
        <v>0.6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54.9</v>
      </c>
      <c r="CP58" s="52">
        <f>SUM($BY$58,$BZ$58,$CA$58,$CB$58,$CC$58,$CD$58,$CE$58,$CF$58)</f>
        <v>55</v>
      </c>
      <c r="CQ58" s="89">
        <f>SUM('J1 A - (North) Bishopthorpe Roa'!$BE$58,'J1 B - Butcher Terrace'!$AM$58,'J1 C - (South) Bishopthorpe Roa'!$U$58,'J1 D - South Bank Avenue'!$C$58)</f>
        <v>65</v>
      </c>
      <c r="CR58" s="83">
        <f>SUM('J1 A - (North) Bishopthorpe Roa'!$BF$58,'J1 B - Butcher Terrace'!$AN$58,'J1 C - (South) Bishopthorpe Roa'!$V$58,'J1 D - South Bank Avenue'!$D$58)</f>
        <v>3</v>
      </c>
      <c r="CS58" s="83">
        <f>SUM('J1 A - (North) Bishopthorpe Roa'!$BG$58,'J1 B - Butcher Terrace'!$AO$58,'J1 C - (South) Bishopthorpe Roa'!$W$58,'J1 D - South Bank Avenue'!$E$58)</f>
        <v>3</v>
      </c>
      <c r="CT58" s="83">
        <f>SUM('J1 A - (North) Bishopthorpe Roa'!$BH$58,'J1 B - Butcher Terrace'!$AP$58,'J1 C - (South) Bishopthorpe Roa'!$X$58,'J1 D - South Bank Avenue'!$F$58)</f>
        <v>1</v>
      </c>
      <c r="CU58" s="83">
        <f>SUM('J1 A - (North) Bishopthorpe Roa'!$BI$58,'J1 B - Butcher Terrace'!$AQ$58,'J1 C - (South) Bishopthorpe Roa'!$Y$58,'J1 D - South Bank Avenue'!$G$58)</f>
        <v>0</v>
      </c>
      <c r="CV58" s="83">
        <f>SUM('J1 A - (North) Bishopthorpe Roa'!$BJ$58,'J1 B - Butcher Terrace'!$AR$58,'J1 C - (South) Bishopthorpe Roa'!$Z$58,'J1 D - South Bank Avenue'!$H$58)</f>
        <v>11</v>
      </c>
      <c r="CW58" s="83">
        <f>SUM('J1 A - (North) Bishopthorpe Roa'!$BK$58,'J1 B - Butcher Terrace'!$AS$58,'J1 C - (South) Bishopthorpe Roa'!$AA$58,'J1 D - South Bank Avenue'!$I$58)</f>
        <v>0</v>
      </c>
      <c r="CX58" s="86">
        <f>SUM('J1 A - (North) Bishopthorpe Roa'!$BL$58,'J1 B - Butcher Terrace'!$AT$58,'J1 C - (South) Bishopthorpe Roa'!$AB$58,'J1 D - South Bank Avenue'!$J$58)</f>
        <v>1</v>
      </c>
      <c r="CY58" s="77">
        <f>$CQ$58*VLOOKUP($CQ$11,'PCU Values'!$B$9:$C$16,2,FALSE)</f>
        <v>65</v>
      </c>
      <c r="CZ58" s="77">
        <f>$CR$58*VLOOKUP($CR$11,'PCU Values'!$B$9:$C$16,2,FALSE)</f>
        <v>3</v>
      </c>
      <c r="DA58" s="77">
        <f>$CS$58*VLOOKUP($CS$11,'PCU Values'!$B$9:$C$16,2,FALSE)</f>
        <v>4.5</v>
      </c>
      <c r="DB58" s="77">
        <f>$CT$58*VLOOKUP($CT$11,'PCU Values'!$B$9:$C$16,2,FALSE)</f>
        <v>2.2999999999999998</v>
      </c>
      <c r="DC58" s="77">
        <f>$CU$58*VLOOKUP($CU$11,'PCU Values'!$B$9:$C$16,2,FALSE)</f>
        <v>0</v>
      </c>
      <c r="DD58" s="77">
        <f>$CV$58*VLOOKUP($CV$11,'PCU Values'!$B$9:$C$16,2,FALSE)</f>
        <v>2.2000000000000002</v>
      </c>
      <c r="DE58" s="77">
        <f>$CW$58*VLOOKUP($CW$11,'PCU Values'!$B$9:$C$16,2,FALSE)</f>
        <v>0</v>
      </c>
      <c r="DF58" s="78">
        <f>$CX$58*VLOOKUP($CX$11,'PCU Values'!$B$9:$C$16,2,FALSE)</f>
        <v>1.5</v>
      </c>
      <c r="DG58" s="66">
        <f>SUM($CY$58,$CZ$58,$DA$58,$DB$58,$DC$58,$DD$58,$DE$58,$DF$58)</f>
        <v>78.5</v>
      </c>
      <c r="DH58" s="52">
        <f>SUM($CQ$58,$CR$58,$CS$58,$CT$58,$CU$58,$CV$58,$CW$58,$CX$58)</f>
        <v>84</v>
      </c>
    </row>
    <row r="59" spans="1:112" ht="21" customHeight="1">
      <c r="A59" s="46">
        <v>44395.395833333299</v>
      </c>
      <c r="B59" s="47" t="s">
        <v>69</v>
      </c>
      <c r="C59" s="49">
        <v>3</v>
      </c>
      <c r="D59" s="49">
        <v>1</v>
      </c>
      <c r="E59" s="49">
        <v>1</v>
      </c>
      <c r="F59" s="49">
        <v>0</v>
      </c>
      <c r="G59" s="49">
        <v>0</v>
      </c>
      <c r="H59" s="49">
        <v>3</v>
      </c>
      <c r="I59" s="49">
        <v>0</v>
      </c>
      <c r="J59" s="58">
        <v>0</v>
      </c>
      <c r="K59" s="57">
        <f>$C$59*VLOOKUP($C$11,'PCU Values'!$B$9:$C$16,2,FALSE)</f>
        <v>3</v>
      </c>
      <c r="L59" s="57">
        <f>$D$59*VLOOKUP($D$11,'PCU Values'!$B$9:$C$16,2,FALSE)</f>
        <v>1</v>
      </c>
      <c r="M59" s="57">
        <f>$E$59*VLOOKUP($E$11,'PCU Values'!$B$9:$C$16,2,FALSE)</f>
        <v>1.5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0.6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6.1</v>
      </c>
      <c r="T59" s="52">
        <f>SUM($C$59,$D$59,$E$59,$F$59,$G$59,$H$59,$I$59,$J$59)</f>
        <v>8</v>
      </c>
      <c r="U59" s="49">
        <v>58</v>
      </c>
      <c r="V59" s="49">
        <v>8</v>
      </c>
      <c r="W59" s="49">
        <v>0</v>
      </c>
      <c r="X59" s="49">
        <v>0</v>
      </c>
      <c r="Y59" s="49">
        <v>2</v>
      </c>
      <c r="Z59" s="49">
        <v>1</v>
      </c>
      <c r="AA59" s="49">
        <v>0</v>
      </c>
      <c r="AB59" s="58">
        <v>0</v>
      </c>
      <c r="AC59" s="57">
        <f>$U$59*VLOOKUP($U$11,'PCU Values'!$B$9:$C$16,2,FALSE)</f>
        <v>58</v>
      </c>
      <c r="AD59" s="57">
        <f>$V$59*VLOOKUP($V$11,'PCU Values'!$B$9:$C$16,2,FALSE)</f>
        <v>8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4</v>
      </c>
      <c r="AH59" s="57">
        <f>$Z$59*VLOOKUP($Z$11,'PCU Values'!$B$9:$C$16,2,FALSE)</f>
        <v>0.2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70.2</v>
      </c>
      <c r="AL59" s="52">
        <f>SUM($U$59,$V$59,$W$59,$X$59,$Y$59,$Z$59,$AA$59,$AB$59)</f>
        <v>69</v>
      </c>
      <c r="AM59" s="49">
        <v>6</v>
      </c>
      <c r="AN59" s="49">
        <v>0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8">
        <v>0</v>
      </c>
      <c r="AU59" s="57">
        <f>$AM$59*VLOOKUP($AM$11,'PCU Values'!$B$9:$C$16,2,FALSE)</f>
        <v>6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6</v>
      </c>
      <c r="BD59" s="52">
        <f>SUM($AM$59,$AN$59,$AO$59,$AP$59,$AQ$59,$AR$59,$AS$59,$AT$59)</f>
        <v>6</v>
      </c>
      <c r="BE59" s="49">
        <v>1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1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1</v>
      </c>
      <c r="BV59" s="52">
        <f>SUM($BE$59,$BF$59,$BG$59,$BH$59,$BI$59,$BJ$59,$BK$59,$BL$59)</f>
        <v>1</v>
      </c>
      <c r="BX59" s="47" t="s">
        <v>69</v>
      </c>
      <c r="BY59" s="83">
        <f>SUM($C$59,$U$59,$AM$59,$BE$59)</f>
        <v>68</v>
      </c>
      <c r="BZ59" s="83">
        <f>SUM($D$59,$V$59,$AN$59,$BF$59)</f>
        <v>9</v>
      </c>
      <c r="CA59" s="83">
        <f>SUM($E$59,$W$59,$AO$59,$BG$59)</f>
        <v>1</v>
      </c>
      <c r="CB59" s="83">
        <f>SUM($F$59,$X$59,$AP$59,$BH$59)</f>
        <v>0</v>
      </c>
      <c r="CC59" s="83">
        <f>SUM($G$59,$Y$59,$AQ$59,$BI$59)</f>
        <v>2</v>
      </c>
      <c r="CD59" s="83">
        <f>SUM($H$59,$Z$59,$AR$59,$BJ$59)</f>
        <v>4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68</v>
      </c>
      <c r="CH59" s="77">
        <f>$BZ$59*VLOOKUP($BZ$11,'PCU Values'!$B$9:$C$16,2,FALSE)</f>
        <v>9</v>
      </c>
      <c r="CI59" s="77">
        <f>$CA$59*VLOOKUP($CA$11,'PCU Values'!$B$9:$C$16,2,FALSE)</f>
        <v>1.5</v>
      </c>
      <c r="CJ59" s="77">
        <f>$CB$59*VLOOKUP($CB$11,'PCU Values'!$B$9:$C$16,2,FALSE)</f>
        <v>0</v>
      </c>
      <c r="CK59" s="77">
        <f>$CC$59*VLOOKUP($CC$11,'PCU Values'!$B$9:$C$16,2,FALSE)</f>
        <v>4</v>
      </c>
      <c r="CL59" s="77">
        <f>$CD$59*VLOOKUP($CD$11,'PCU Values'!$B$9:$C$16,2,FALSE)</f>
        <v>0.8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83.3</v>
      </c>
      <c r="CP59" s="52">
        <f>SUM($BY$59,$BZ$59,$CA$59,$CB$59,$CC$59,$CD$59,$CE$59,$CF$59)</f>
        <v>84</v>
      </c>
      <c r="CQ59" s="89">
        <f>SUM('J1 A - (North) Bishopthorpe Roa'!$BE$59,'J1 B - Butcher Terrace'!$AM$59,'J1 C - (South) Bishopthorpe Roa'!$U$59,'J1 D - South Bank Avenue'!$C$59)</f>
        <v>66</v>
      </c>
      <c r="CR59" s="83">
        <f>SUM('J1 A - (North) Bishopthorpe Roa'!$BF$59,'J1 B - Butcher Terrace'!$AN$59,'J1 C - (South) Bishopthorpe Roa'!$V$59,'J1 D - South Bank Avenue'!$D$59)</f>
        <v>7</v>
      </c>
      <c r="CS59" s="83">
        <f>SUM('J1 A - (North) Bishopthorpe Roa'!$BG$59,'J1 B - Butcher Terrace'!$AO$59,'J1 C - (South) Bishopthorpe Roa'!$W$59,'J1 D - South Bank Avenue'!$E$59)</f>
        <v>1</v>
      </c>
      <c r="CT59" s="83">
        <f>SUM('J1 A - (North) Bishopthorpe Roa'!$BH$59,'J1 B - Butcher Terrace'!$AP$59,'J1 C - (South) Bishopthorpe Roa'!$X$59,'J1 D - South Bank Avenue'!$F$59)</f>
        <v>0</v>
      </c>
      <c r="CU59" s="83">
        <f>SUM('J1 A - (North) Bishopthorpe Roa'!$BI$59,'J1 B - Butcher Terrace'!$AQ$59,'J1 C - (South) Bishopthorpe Roa'!$Y$59,'J1 D - South Bank Avenue'!$G$59)</f>
        <v>2</v>
      </c>
      <c r="CV59" s="83">
        <f>SUM('J1 A - (North) Bishopthorpe Roa'!$BJ$59,'J1 B - Butcher Terrace'!$AR$59,'J1 C - (South) Bishopthorpe Roa'!$Z$59,'J1 D - South Bank Avenue'!$H$59)</f>
        <v>5</v>
      </c>
      <c r="CW59" s="83">
        <f>SUM('J1 A - (North) Bishopthorpe Roa'!$BK$59,'J1 B - Butcher Terrace'!$AS$59,'J1 C - (South) Bishopthorpe Roa'!$AA$59,'J1 D - South Bank Avenue'!$I$59)</f>
        <v>1</v>
      </c>
      <c r="CX59" s="86">
        <f>SUM('J1 A - (North) Bishopthorpe Roa'!$BL$59,'J1 B - Butcher Terrace'!$AT$59,'J1 C - (South) Bishopthorpe Roa'!$AB$59,'J1 D - South Bank Avenue'!$J$59)</f>
        <v>1</v>
      </c>
      <c r="CY59" s="77">
        <f>$CQ$59*VLOOKUP($CQ$11,'PCU Values'!$B$9:$C$16,2,FALSE)</f>
        <v>66</v>
      </c>
      <c r="CZ59" s="77">
        <f>$CR$59*VLOOKUP($CR$11,'PCU Values'!$B$9:$C$16,2,FALSE)</f>
        <v>7</v>
      </c>
      <c r="DA59" s="77">
        <f>$CS$59*VLOOKUP($CS$11,'PCU Values'!$B$9:$C$16,2,FALSE)</f>
        <v>1.5</v>
      </c>
      <c r="DB59" s="77">
        <f>$CT$59*VLOOKUP($CT$11,'PCU Values'!$B$9:$C$16,2,FALSE)</f>
        <v>0</v>
      </c>
      <c r="DC59" s="77">
        <f>$CU$59*VLOOKUP($CU$11,'PCU Values'!$B$9:$C$16,2,FALSE)</f>
        <v>4</v>
      </c>
      <c r="DD59" s="77">
        <f>$CV$59*VLOOKUP($CV$11,'PCU Values'!$B$9:$C$16,2,FALSE)</f>
        <v>1</v>
      </c>
      <c r="DE59" s="77">
        <f>$CW$59*VLOOKUP($CW$11,'PCU Values'!$B$9:$C$16,2,FALSE)</f>
        <v>0.4</v>
      </c>
      <c r="DF59" s="78">
        <f>$CX$59*VLOOKUP($CX$11,'PCU Values'!$B$9:$C$16,2,FALSE)</f>
        <v>1.5</v>
      </c>
      <c r="DG59" s="66">
        <f>SUM($CY$59,$CZ$59,$DA$59,$DB$59,$DC$59,$DD$59,$DE$59,$DF$59)</f>
        <v>81.400000000000006</v>
      </c>
      <c r="DH59" s="52">
        <f>SUM($CQ$59,$CR$59,$CS$59,$CT$59,$CU$59,$CV$59,$CW$59,$CX$59)</f>
        <v>83</v>
      </c>
    </row>
    <row r="60" spans="1:112" ht="21" customHeight="1">
      <c r="A60" s="46">
        <v>44395.40625</v>
      </c>
      <c r="B60" s="50" t="s">
        <v>70</v>
      </c>
      <c r="C60" s="51">
        <v>2</v>
      </c>
      <c r="D60" s="51">
        <v>1</v>
      </c>
      <c r="E60" s="51">
        <v>1</v>
      </c>
      <c r="F60" s="51">
        <v>0</v>
      </c>
      <c r="G60" s="51">
        <v>0</v>
      </c>
      <c r="H60" s="51">
        <v>3</v>
      </c>
      <c r="I60" s="51">
        <v>0</v>
      </c>
      <c r="J60" s="59">
        <v>0</v>
      </c>
      <c r="K60" s="60">
        <f>$C$60*VLOOKUP($C$11,'PCU Values'!$B$9:$C$16,2,FALSE)</f>
        <v>2</v>
      </c>
      <c r="L60" s="60">
        <f>$D$60*VLOOKUP($D$11,'PCU Values'!$B$9:$C$16,2,FALSE)</f>
        <v>1</v>
      </c>
      <c r="M60" s="60">
        <f>$E$60*VLOOKUP($E$11,'PCU Values'!$B$9:$C$16,2,FALSE)</f>
        <v>1.5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0.6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5.0999999999999996</v>
      </c>
      <c r="T60" s="52">
        <f>SUM($C$60,$D$60,$E$60,$F$60,$G$60,$H$60,$I$60,$J$60)</f>
        <v>7</v>
      </c>
      <c r="U60" s="73">
        <v>48</v>
      </c>
      <c r="V60" s="51">
        <v>8</v>
      </c>
      <c r="W60" s="51">
        <v>2</v>
      </c>
      <c r="X60" s="51">
        <v>0</v>
      </c>
      <c r="Y60" s="51">
        <v>0</v>
      </c>
      <c r="Z60" s="51">
        <v>2</v>
      </c>
      <c r="AA60" s="51">
        <v>0</v>
      </c>
      <c r="AB60" s="59">
        <v>0</v>
      </c>
      <c r="AC60" s="60">
        <f>$U$60*VLOOKUP($U$11,'PCU Values'!$B$9:$C$16,2,FALSE)</f>
        <v>48</v>
      </c>
      <c r="AD60" s="60">
        <f>$V$60*VLOOKUP($V$11,'PCU Values'!$B$9:$C$16,2,FALSE)</f>
        <v>8</v>
      </c>
      <c r="AE60" s="60">
        <f>$W$60*VLOOKUP($W$11,'PCU Values'!$B$9:$C$16,2,FALSE)</f>
        <v>3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0.4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59.4</v>
      </c>
      <c r="AL60" s="52">
        <f>SUM($U$60,$V$60,$W$60,$X$60,$Y$60,$Z$60,$AA$60,$AB$60)</f>
        <v>60</v>
      </c>
      <c r="AM60" s="73">
        <v>3</v>
      </c>
      <c r="AN60" s="51">
        <v>1</v>
      </c>
      <c r="AO60" s="51">
        <v>0</v>
      </c>
      <c r="AP60" s="51">
        <v>0</v>
      </c>
      <c r="AQ60" s="51">
        <v>0</v>
      </c>
      <c r="AR60" s="51">
        <v>0</v>
      </c>
      <c r="AS60" s="51">
        <v>0</v>
      </c>
      <c r="AT60" s="59">
        <v>0</v>
      </c>
      <c r="AU60" s="60">
        <f>$AM$60*VLOOKUP($AM$11,'PCU Values'!$B$9:$C$16,2,FALSE)</f>
        <v>3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4</v>
      </c>
      <c r="BD60" s="52">
        <f>SUM($AM$60,$AN$60,$AO$60,$AP$60,$AQ$60,$AR$60,$AS$60,$AT$60)</f>
        <v>4</v>
      </c>
      <c r="BE60" s="73">
        <v>1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1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1</v>
      </c>
      <c r="BV60" s="52">
        <f>SUM($BE$60,$BF$60,$BG$60,$BH$60,$BI$60,$BJ$60,$BK$60,$BL$60)</f>
        <v>1</v>
      </c>
      <c r="BX60" s="50" t="s">
        <v>70</v>
      </c>
      <c r="BY60" s="84">
        <f>SUM($C$60,$U$60,$AM$60,$BE$60)</f>
        <v>54</v>
      </c>
      <c r="BZ60" s="84">
        <f>SUM($D$60,$V$60,$AN$60,$BF$60)</f>
        <v>10</v>
      </c>
      <c r="CA60" s="84">
        <f>SUM($E$60,$W$60,$AO$60,$BG$60)</f>
        <v>3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5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54</v>
      </c>
      <c r="CH60" s="79">
        <f>$BZ$60*VLOOKUP($BZ$11,'PCU Values'!$B$9:$C$16,2,FALSE)</f>
        <v>10</v>
      </c>
      <c r="CI60" s="79">
        <f>$CA$60*VLOOKUP($CA$11,'PCU Values'!$B$9:$C$16,2,FALSE)</f>
        <v>4.5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69.5</v>
      </c>
      <c r="CP60" s="52">
        <f>SUM($BY$60,$BZ$60,$CA$60,$CB$60,$CC$60,$CD$60,$CE$60,$CF$60)</f>
        <v>72</v>
      </c>
      <c r="CQ60" s="90">
        <f>SUM('J1 A - (North) Bishopthorpe Roa'!$BE$60,'J1 B - Butcher Terrace'!$AM$60,'J1 C - (South) Bishopthorpe Roa'!$U$60,'J1 D - South Bank Avenue'!$C$60)</f>
        <v>58</v>
      </c>
      <c r="CR60" s="84">
        <f>SUM('J1 A - (North) Bishopthorpe Roa'!$BF$60,'J1 B - Butcher Terrace'!$AN$60,'J1 C - (South) Bishopthorpe Roa'!$V$60,'J1 D - South Bank Avenue'!$D$60)</f>
        <v>6</v>
      </c>
      <c r="CS60" s="84">
        <f>SUM('J1 A - (North) Bishopthorpe Roa'!$BG$60,'J1 B - Butcher Terrace'!$AO$60,'J1 C - (South) Bishopthorpe Roa'!$W$60,'J1 D - South Bank Avenue'!$E$60)</f>
        <v>1</v>
      </c>
      <c r="CT60" s="84">
        <f>SUM('J1 A - (North) Bishopthorpe Roa'!$BH$60,'J1 B - Butcher Terrace'!$AP$60,'J1 C - (South) Bishopthorpe Roa'!$X$60,'J1 D - South Bank Avenue'!$F$60)</f>
        <v>0</v>
      </c>
      <c r="CU60" s="84">
        <f>SUM('J1 A - (North) Bishopthorpe Roa'!$BI$60,'J1 B - Butcher Terrace'!$AQ$60,'J1 C - (South) Bishopthorpe Roa'!$Y$60,'J1 D - South Bank Avenue'!$G$60)</f>
        <v>0</v>
      </c>
      <c r="CV60" s="84">
        <f>SUM('J1 A - (North) Bishopthorpe Roa'!$BJ$60,'J1 B - Butcher Terrace'!$AR$60,'J1 C - (South) Bishopthorpe Roa'!$Z$60,'J1 D - South Bank Avenue'!$H$60)</f>
        <v>4</v>
      </c>
      <c r="CW60" s="84">
        <f>SUM('J1 A - (North) Bishopthorpe Roa'!$BK$60,'J1 B - Butcher Terrace'!$AS$60,'J1 C - (South) Bishopthorpe Roa'!$AA$60,'J1 D - South Bank Avenue'!$I$60)</f>
        <v>2</v>
      </c>
      <c r="CX60" s="87">
        <f>SUM('J1 A - (North) Bishopthorpe Roa'!$BL$60,'J1 B - Butcher Terrace'!$AT$60,'J1 C - (South) Bishopthorpe Roa'!$AB$60,'J1 D - South Bank Avenue'!$J$60)</f>
        <v>0</v>
      </c>
      <c r="CY60" s="79">
        <f>$CQ$60*VLOOKUP($CQ$11,'PCU Values'!$B$9:$C$16,2,FALSE)</f>
        <v>58</v>
      </c>
      <c r="CZ60" s="79">
        <f>$CR$60*VLOOKUP($CR$11,'PCU Values'!$B$9:$C$16,2,FALSE)</f>
        <v>6</v>
      </c>
      <c r="DA60" s="79">
        <f>$CS$60*VLOOKUP($CS$11,'PCU Values'!$B$9:$C$16,2,FALSE)</f>
        <v>1.5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0.8</v>
      </c>
      <c r="DE60" s="79">
        <f>$CW$60*VLOOKUP($CW$11,'PCU Values'!$B$9:$C$16,2,FALSE)</f>
        <v>0.8</v>
      </c>
      <c r="DF60" s="80">
        <f>$CX$60*VLOOKUP($CX$11,'PCU Values'!$B$9:$C$16,2,FALSE)</f>
        <v>0</v>
      </c>
      <c r="DG60" s="63">
        <f>SUM($CY$60,$CZ$60,$DA$60,$DB$60,$DC$60,$DD$60,$DE$60,$DF$60)</f>
        <v>67.099999999999994</v>
      </c>
      <c r="DH60" s="52">
        <f>SUM($CQ$60,$CR$60,$CS$60,$CT$60,$CU$60,$CV$60,$CW$60,$CX$60)</f>
        <v>71</v>
      </c>
    </row>
    <row r="61" spans="1:112">
      <c r="B61" s="52" t="s">
        <v>34</v>
      </c>
      <c r="C61" s="52">
        <f>SUM($C$57:$C$60)</f>
        <v>6</v>
      </c>
      <c r="D61" s="52">
        <f>SUM($D$57:$D$60)</f>
        <v>5</v>
      </c>
      <c r="E61" s="52">
        <f>SUM($E$57:$E$60)</f>
        <v>2</v>
      </c>
      <c r="F61" s="52">
        <f>SUM($F$57:$F$60)</f>
        <v>0</v>
      </c>
      <c r="G61" s="52">
        <f>SUM($G$57:$G$60)</f>
        <v>0</v>
      </c>
      <c r="H61" s="52">
        <f>SUM($H$57:$H$60)</f>
        <v>14</v>
      </c>
      <c r="I61" s="52">
        <f>SUM($I$57:$I$60)</f>
        <v>0</v>
      </c>
      <c r="J61" s="52">
        <f>SUM($J$57:$J$60)</f>
        <v>0</v>
      </c>
      <c r="K61" s="52">
        <f>SUM($K$57:$K$60)</f>
        <v>6</v>
      </c>
      <c r="L61" s="52">
        <f>SUM($L$57:$L$60)</f>
        <v>5</v>
      </c>
      <c r="M61" s="52">
        <f>SUM($M$57:$M$60)</f>
        <v>3</v>
      </c>
      <c r="N61" s="52">
        <f>SUM($N$57:$N$60)</f>
        <v>0</v>
      </c>
      <c r="O61" s="52">
        <f>SUM($O$57:$O$60)</f>
        <v>0</v>
      </c>
      <c r="P61" s="52">
        <f>SUM($P$57:$P$60)</f>
        <v>3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17</v>
      </c>
      <c r="T61" s="52">
        <f>SUM($C$61,$D$61,$E$61,$F$61,$G$61,$H$61,$I$61,$J$61)</f>
        <v>27</v>
      </c>
      <c r="U61" s="52">
        <f>SUM($U$57:$U$60)</f>
        <v>188</v>
      </c>
      <c r="V61" s="52">
        <f>SUM($V$57:$V$60)</f>
        <v>33</v>
      </c>
      <c r="W61" s="52">
        <f>SUM($W$57:$W$60)</f>
        <v>3</v>
      </c>
      <c r="X61" s="52">
        <f>SUM($X$57:$X$60)</f>
        <v>1</v>
      </c>
      <c r="Y61" s="52">
        <f>SUM($Y$57:$Y$60)</f>
        <v>4</v>
      </c>
      <c r="Z61" s="52">
        <f>SUM($Z$57:$Z$60)</f>
        <v>9</v>
      </c>
      <c r="AA61" s="52">
        <f>SUM($AA$57:$AA$60)</f>
        <v>0</v>
      </c>
      <c r="AB61" s="52">
        <f>SUM($AB$57:$AB$60)</f>
        <v>0</v>
      </c>
      <c r="AC61" s="52">
        <f>SUM($AC$57:$AC$60)</f>
        <v>188</v>
      </c>
      <c r="AD61" s="52">
        <f>SUM($AD$57:$AD$60)</f>
        <v>33</v>
      </c>
      <c r="AE61" s="52">
        <f>SUM($AE$57:$AE$60)</f>
        <v>5</v>
      </c>
      <c r="AF61" s="52">
        <f>SUM($AF$57:$AF$60)</f>
        <v>2</v>
      </c>
      <c r="AG61" s="52">
        <f>SUM($AG$57:$AG$60)</f>
        <v>8</v>
      </c>
      <c r="AH61" s="52">
        <f>SUM($AH$57:$AH$60)</f>
        <v>2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238</v>
      </c>
      <c r="AL61" s="52">
        <f>SUM($U$61,$V$61,$W$61,$X$61,$Y$61,$Z$61,$AA$61,$AB$61)</f>
        <v>238</v>
      </c>
      <c r="AM61" s="52">
        <f>SUM($AM$57:$AM$60)</f>
        <v>14</v>
      </c>
      <c r="AN61" s="52">
        <f>SUM($AN$57:$AN$60)</f>
        <v>3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0</v>
      </c>
      <c r="AS61" s="52">
        <f>SUM($AS$57:$AS$60)</f>
        <v>0</v>
      </c>
      <c r="AT61" s="52">
        <f>SUM($AT$57:$AT$60)</f>
        <v>0</v>
      </c>
      <c r="AU61" s="52">
        <f>SUM($AU$57:$AU$60)</f>
        <v>14</v>
      </c>
      <c r="AV61" s="52">
        <f>SUM($AV$57:$AV$60)</f>
        <v>3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17</v>
      </c>
      <c r="BD61" s="52">
        <f>SUM($AM$61,$AN$61,$AO$61,$AP$61,$AQ$61,$AR$61,$AS$61,$AT$61)</f>
        <v>17</v>
      </c>
      <c r="BE61" s="52">
        <f>SUM($BE$57:$BE$60)</f>
        <v>2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2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2</v>
      </c>
      <c r="BV61" s="52">
        <f>SUM($BE$61,$BF$61,$BG$61,$BH$61,$BI$61,$BJ$61,$BK$61,$BL$61)</f>
        <v>2</v>
      </c>
      <c r="BX61" s="52" t="s">
        <v>34</v>
      </c>
      <c r="BY61" s="52">
        <f>SUM($BY$57:$BY$60)</f>
        <v>210</v>
      </c>
      <c r="BZ61" s="52">
        <f>SUM($BZ$57:$BZ$60)</f>
        <v>41</v>
      </c>
      <c r="CA61" s="52">
        <f>SUM($CA$57:$CA$60)</f>
        <v>5</v>
      </c>
      <c r="CB61" s="52">
        <f>SUM($CB$57:$CB$60)</f>
        <v>1</v>
      </c>
      <c r="CC61" s="52">
        <f>SUM($CC$57:$CC$60)</f>
        <v>4</v>
      </c>
      <c r="CD61" s="52">
        <f>SUM($CD$57:$CD$60)</f>
        <v>23</v>
      </c>
      <c r="CE61" s="52">
        <f>SUM($CE$57:$CE$60)</f>
        <v>0</v>
      </c>
      <c r="CF61" s="52">
        <f>SUM($CF$57:$CF$60)</f>
        <v>0</v>
      </c>
      <c r="CG61" s="52">
        <f>SUM($CG$57:$CG$60)</f>
        <v>210</v>
      </c>
      <c r="CH61" s="52">
        <f>SUM($CH$57:$CH$60)</f>
        <v>41</v>
      </c>
      <c r="CI61" s="52">
        <f>SUM($CI$57:$CI$60)</f>
        <v>8</v>
      </c>
      <c r="CJ61" s="52">
        <f>SUM($CJ$57:$CJ$60)</f>
        <v>2</v>
      </c>
      <c r="CK61" s="52">
        <f>SUM($CK$57:$CK$60)</f>
        <v>8</v>
      </c>
      <c r="CL61" s="52">
        <f>SUM($CL$57:$CL$60)</f>
        <v>5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274</v>
      </c>
      <c r="CP61" s="52">
        <f>SUM($BY$61,$BZ$61,$CA$61,$CB$61,$CC$61,$CD$61,$CE$61,$CF$61)</f>
        <v>284</v>
      </c>
      <c r="CQ61" s="52">
        <f>SUM($CQ$57:$CQ$60)</f>
        <v>256</v>
      </c>
      <c r="CR61" s="52">
        <f>SUM($CR$57:$CR$60)</f>
        <v>23</v>
      </c>
      <c r="CS61" s="52">
        <f>SUM($CS$57:$CS$60)</f>
        <v>6</v>
      </c>
      <c r="CT61" s="52">
        <f>SUM($CT$57:$CT$60)</f>
        <v>1</v>
      </c>
      <c r="CU61" s="52">
        <f>SUM($CU$57:$CU$60)</f>
        <v>3</v>
      </c>
      <c r="CV61" s="52">
        <f>SUM($CV$57:$CV$60)</f>
        <v>23</v>
      </c>
      <c r="CW61" s="52">
        <f>SUM($CW$57:$CW$60)</f>
        <v>3</v>
      </c>
      <c r="CX61" s="52">
        <f>SUM($CX$57:$CX$60)</f>
        <v>3</v>
      </c>
      <c r="CY61" s="52">
        <f>SUM($CY$57:$CY$60)</f>
        <v>256</v>
      </c>
      <c r="CZ61" s="52">
        <f>SUM($CZ$57:$CZ$60)</f>
        <v>23</v>
      </c>
      <c r="DA61" s="52">
        <f>SUM($DA$57:$DA$60)</f>
        <v>9</v>
      </c>
      <c r="DB61" s="52">
        <f>SUM($DB$57:$DB$60)</f>
        <v>2</v>
      </c>
      <c r="DC61" s="52">
        <f>SUM($DC$57:$DC$60)</f>
        <v>6</v>
      </c>
      <c r="DD61" s="52">
        <f>SUM($DD$57:$DD$60)</f>
        <v>5</v>
      </c>
      <c r="DE61" s="52">
        <f>SUM($DE$57:$DE$60)</f>
        <v>1</v>
      </c>
      <c r="DF61" s="52">
        <f>SUM($DF$57:$DF$60)</f>
        <v>5</v>
      </c>
      <c r="DG61" s="52">
        <f>SUM($CY$61,$CZ$61,$DA$61,$DB$61,$DC$61,$DD$61,$DE$61,$DF$61)</f>
        <v>307</v>
      </c>
      <c r="DH61" s="52">
        <f>SUM($CQ$61,$CR$61,$CS$61,$CT$61,$CU$61,$CV$61,$CW$61,$CX$61)</f>
        <v>318</v>
      </c>
    </row>
    <row r="62" spans="1:112" ht="21" customHeight="1">
      <c r="A62" s="46">
        <v>44395.416666666701</v>
      </c>
      <c r="B62" s="53" t="s">
        <v>71</v>
      </c>
      <c r="C62" s="54">
        <v>4</v>
      </c>
      <c r="D62" s="54">
        <v>0</v>
      </c>
      <c r="E62" s="54">
        <v>0</v>
      </c>
      <c r="F62" s="54">
        <v>0</v>
      </c>
      <c r="G62" s="54">
        <v>0</v>
      </c>
      <c r="H62" s="54">
        <v>4</v>
      </c>
      <c r="I62" s="54">
        <v>0</v>
      </c>
      <c r="J62" s="61">
        <v>0</v>
      </c>
      <c r="K62" s="62">
        <f>$C$62*VLOOKUP($C$11,'PCU Values'!$B$9:$C$16,2,FALSE)</f>
        <v>4</v>
      </c>
      <c r="L62" s="62">
        <f>$D$62*VLOOKUP($D$11,'PCU Values'!$B$9:$C$16,2,FALSE)</f>
        <v>0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0.8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4.8</v>
      </c>
      <c r="T62" s="52">
        <f>SUM($C$62,$D$62,$E$62,$F$62,$G$62,$H$62,$I$62,$J$62)</f>
        <v>8</v>
      </c>
      <c r="U62" s="72">
        <v>44</v>
      </c>
      <c r="V62" s="54">
        <v>8</v>
      </c>
      <c r="W62" s="54">
        <v>0</v>
      </c>
      <c r="X62" s="54">
        <v>0</v>
      </c>
      <c r="Y62" s="54">
        <v>1</v>
      </c>
      <c r="Z62" s="54">
        <v>1</v>
      </c>
      <c r="AA62" s="54">
        <v>0</v>
      </c>
      <c r="AB62" s="61">
        <v>0</v>
      </c>
      <c r="AC62" s="62">
        <f>$U$62*VLOOKUP($U$11,'PCU Values'!$B$9:$C$16,2,FALSE)</f>
        <v>44</v>
      </c>
      <c r="AD62" s="62">
        <f>$V$62*VLOOKUP($V$11,'PCU Values'!$B$9:$C$16,2,FALSE)</f>
        <v>8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0.2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54.2</v>
      </c>
      <c r="AL62" s="52">
        <f>SUM($U$62,$V$62,$W$62,$X$62,$Y$62,$Z$62,$AA$62,$AB$62)</f>
        <v>54</v>
      </c>
      <c r="AM62" s="72">
        <v>5</v>
      </c>
      <c r="AN62" s="54">
        <v>0</v>
      </c>
      <c r="AO62" s="54">
        <v>0</v>
      </c>
      <c r="AP62" s="54">
        <v>0</v>
      </c>
      <c r="AQ62" s="54">
        <v>0</v>
      </c>
      <c r="AR62" s="54">
        <v>1</v>
      </c>
      <c r="AS62" s="54">
        <v>0</v>
      </c>
      <c r="AT62" s="61">
        <v>0</v>
      </c>
      <c r="AU62" s="62">
        <f>$AM$62*VLOOKUP($AM$11,'PCU Values'!$B$9:$C$16,2,FALSE)</f>
        <v>5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0.2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5.2</v>
      </c>
      <c r="BD62" s="52">
        <f>SUM($AM$62,$AN$62,$AO$62,$AP$62,$AQ$62,$AR$62,$AS$62,$AT$62)</f>
        <v>6</v>
      </c>
      <c r="BE62" s="72">
        <v>1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1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1</v>
      </c>
      <c r="BV62" s="52">
        <f>SUM($BE$62,$BF$62,$BG$62,$BH$62,$BI$62,$BJ$62,$BK$62,$BL$62)</f>
        <v>1</v>
      </c>
      <c r="BX62" s="53" t="s">
        <v>71</v>
      </c>
      <c r="BY62" s="85">
        <f>SUM($C$62,$U$62,$AM$62,$BE$62)</f>
        <v>54</v>
      </c>
      <c r="BZ62" s="85">
        <f>SUM($D$62,$V$62,$AN$62,$BF$62)</f>
        <v>8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1</v>
      </c>
      <c r="CD62" s="85">
        <f>SUM($H$62,$Z$62,$AR$62,$BJ$62)</f>
        <v>6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54</v>
      </c>
      <c r="CH62" s="81">
        <f>$BZ$62*VLOOKUP($BZ$11,'PCU Values'!$B$9:$C$16,2,FALSE)</f>
        <v>8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2</v>
      </c>
      <c r="CL62" s="81">
        <f>$CD$62*VLOOKUP($CD$11,'PCU Values'!$B$9:$C$16,2,FALSE)</f>
        <v>1.2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65.2</v>
      </c>
      <c r="CP62" s="52">
        <f>SUM($BY$62,$BZ$62,$CA$62,$CB$62,$CC$62,$CD$62,$CE$62,$CF$62)</f>
        <v>69</v>
      </c>
      <c r="CQ62" s="91">
        <f>SUM('J1 A - (North) Bishopthorpe Roa'!$BE$62,'J1 B - Butcher Terrace'!$AM$62,'J1 C - (South) Bishopthorpe Roa'!$U$62,'J1 D - South Bank Avenue'!$C$62)</f>
        <v>61</v>
      </c>
      <c r="CR62" s="85">
        <f>SUM('J1 A - (North) Bishopthorpe Roa'!$BF$62,'J1 B - Butcher Terrace'!$AN$62,'J1 C - (South) Bishopthorpe Roa'!$V$62,'J1 D - South Bank Avenue'!$D$62)</f>
        <v>14</v>
      </c>
      <c r="CS62" s="85">
        <f>SUM('J1 A - (North) Bishopthorpe Roa'!$BG$62,'J1 B - Butcher Terrace'!$AO$62,'J1 C - (South) Bishopthorpe Roa'!$W$62,'J1 D - South Bank Avenue'!$E$62)</f>
        <v>1</v>
      </c>
      <c r="CT62" s="85">
        <f>SUM('J1 A - (North) Bishopthorpe Roa'!$BH$62,'J1 B - Butcher Terrace'!$AP$62,'J1 C - (South) Bishopthorpe Roa'!$X$62,'J1 D - South Bank Avenue'!$F$62)</f>
        <v>0</v>
      </c>
      <c r="CU62" s="85">
        <f>SUM('J1 A - (North) Bishopthorpe Roa'!$BI$62,'J1 B - Butcher Terrace'!$AQ$62,'J1 C - (South) Bishopthorpe Roa'!$Y$62,'J1 D - South Bank Avenue'!$G$62)</f>
        <v>1</v>
      </c>
      <c r="CV62" s="85">
        <f>SUM('J1 A - (North) Bishopthorpe Roa'!$BJ$62,'J1 B - Butcher Terrace'!$AR$62,'J1 C - (South) Bishopthorpe Roa'!$Z$62,'J1 D - South Bank Avenue'!$H$62)</f>
        <v>5</v>
      </c>
      <c r="CW62" s="85">
        <f>SUM('J1 A - (North) Bishopthorpe Roa'!$BK$62,'J1 B - Butcher Terrace'!$AS$62,'J1 C - (South) Bishopthorpe Roa'!$AA$62,'J1 D - South Bank Avenue'!$I$62)</f>
        <v>0</v>
      </c>
      <c r="CX62" s="88">
        <f>SUM('J1 A - (North) Bishopthorpe Roa'!$BL$62,'J1 B - Butcher Terrace'!$AT$62,'J1 C - (South) Bishopthorpe Roa'!$AB$62,'J1 D - South Bank Avenue'!$J$62)</f>
        <v>1</v>
      </c>
      <c r="CY62" s="81">
        <f>$CQ$62*VLOOKUP($CQ$11,'PCU Values'!$B$9:$C$16,2,FALSE)</f>
        <v>61</v>
      </c>
      <c r="CZ62" s="81">
        <f>$CR$62*VLOOKUP($CR$11,'PCU Values'!$B$9:$C$16,2,FALSE)</f>
        <v>14</v>
      </c>
      <c r="DA62" s="81">
        <f>$CS$62*VLOOKUP($CS$11,'PCU Values'!$B$9:$C$16,2,FALSE)</f>
        <v>1.5</v>
      </c>
      <c r="DB62" s="81">
        <f>$CT$62*VLOOKUP($CT$11,'PCU Values'!$B$9:$C$16,2,FALSE)</f>
        <v>0</v>
      </c>
      <c r="DC62" s="81">
        <f>$CU$62*VLOOKUP($CU$11,'PCU Values'!$B$9:$C$16,2,FALSE)</f>
        <v>2</v>
      </c>
      <c r="DD62" s="81">
        <f>$CV$62*VLOOKUP($CV$11,'PCU Values'!$B$9:$C$16,2,FALSE)</f>
        <v>1</v>
      </c>
      <c r="DE62" s="81">
        <f>$CW$62*VLOOKUP($CW$11,'PCU Values'!$B$9:$C$16,2,FALSE)</f>
        <v>0</v>
      </c>
      <c r="DF62" s="82">
        <f>$CX$62*VLOOKUP($CX$11,'PCU Values'!$B$9:$C$16,2,FALSE)</f>
        <v>1.5</v>
      </c>
      <c r="DG62" s="71">
        <f>SUM($CY$62,$CZ$62,$DA$62,$DB$62,$DC$62,$DD$62,$DE$62,$DF$62)</f>
        <v>81</v>
      </c>
      <c r="DH62" s="52">
        <f>SUM($CQ$62,$CR$62,$CS$62,$CT$62,$CU$62,$CV$62,$CW$62,$CX$62)</f>
        <v>83</v>
      </c>
    </row>
    <row r="63" spans="1:112" ht="21" customHeight="1">
      <c r="A63" s="46">
        <v>44395.427083333299</v>
      </c>
      <c r="B63" s="47" t="s">
        <v>72</v>
      </c>
      <c r="C63" s="48">
        <v>7</v>
      </c>
      <c r="D63" s="48">
        <v>1</v>
      </c>
      <c r="E63" s="48">
        <v>0</v>
      </c>
      <c r="F63" s="48">
        <v>0</v>
      </c>
      <c r="G63" s="48">
        <v>0</v>
      </c>
      <c r="H63" s="48">
        <v>3</v>
      </c>
      <c r="I63" s="48">
        <v>0</v>
      </c>
      <c r="J63" s="56">
        <v>0</v>
      </c>
      <c r="K63" s="57">
        <f>$C$63*VLOOKUP($C$11,'PCU Values'!$B$9:$C$16,2,FALSE)</f>
        <v>7</v>
      </c>
      <c r="L63" s="57">
        <f>$D$63*VLOOKUP($D$11,'PCU Values'!$B$9:$C$16,2,FALSE)</f>
        <v>1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0.6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8.6</v>
      </c>
      <c r="T63" s="52">
        <f>SUM($C$63,$D$63,$E$63,$F$63,$G$63,$H$63,$I$63,$J$63)</f>
        <v>11</v>
      </c>
      <c r="U63" s="67">
        <v>44</v>
      </c>
      <c r="V63" s="48">
        <v>8</v>
      </c>
      <c r="W63" s="48">
        <v>4</v>
      </c>
      <c r="X63" s="48">
        <v>0</v>
      </c>
      <c r="Y63" s="48">
        <v>0</v>
      </c>
      <c r="Z63" s="48">
        <v>7</v>
      </c>
      <c r="AA63" s="48">
        <v>0</v>
      </c>
      <c r="AB63" s="56">
        <v>0</v>
      </c>
      <c r="AC63" s="57">
        <f>$U$63*VLOOKUP($U$11,'PCU Values'!$B$9:$C$16,2,FALSE)</f>
        <v>44</v>
      </c>
      <c r="AD63" s="57">
        <f>$V$63*VLOOKUP($V$11,'PCU Values'!$B$9:$C$16,2,FALSE)</f>
        <v>8</v>
      </c>
      <c r="AE63" s="57">
        <f>$W$63*VLOOKUP($W$11,'PCU Values'!$B$9:$C$16,2,FALSE)</f>
        <v>6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1.4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59.4</v>
      </c>
      <c r="AL63" s="52">
        <f>SUM($U$63,$V$63,$W$63,$X$63,$Y$63,$Z$63,$AA$63,$AB$63)</f>
        <v>63</v>
      </c>
      <c r="AM63" s="67">
        <v>5</v>
      </c>
      <c r="AN63" s="48">
        <v>3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5</v>
      </c>
      <c r="AV63" s="57">
        <f>$AN$63*VLOOKUP($AN$11,'PCU Values'!$B$9:$C$16,2,FALSE)</f>
        <v>3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8</v>
      </c>
      <c r="BD63" s="52">
        <f>SUM($AM$63,$AN$63,$AO$63,$AP$63,$AQ$63,$AR$63,$AS$63,$AT$63)</f>
        <v>8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56</v>
      </c>
      <c r="BZ63" s="83">
        <f>SUM($D$63,$V$63,$AN$63,$BF$63)</f>
        <v>12</v>
      </c>
      <c r="CA63" s="83">
        <f>SUM($E$63,$W$63,$AO$63,$BG$63)</f>
        <v>4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10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56</v>
      </c>
      <c r="CH63" s="77">
        <f>$BZ$63*VLOOKUP($BZ$11,'PCU Values'!$B$9:$C$16,2,FALSE)</f>
        <v>12</v>
      </c>
      <c r="CI63" s="77">
        <f>$CA$63*VLOOKUP($CA$11,'PCU Values'!$B$9:$C$16,2,FALSE)</f>
        <v>6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2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76</v>
      </c>
      <c r="CP63" s="52">
        <f>SUM($BY$63,$BZ$63,$CA$63,$CB$63,$CC$63,$CD$63,$CE$63,$CF$63)</f>
        <v>82</v>
      </c>
      <c r="CQ63" s="89">
        <f>SUM('J1 A - (North) Bishopthorpe Roa'!$BE$63,'J1 B - Butcher Terrace'!$AM$63,'J1 C - (South) Bishopthorpe Roa'!$U$63,'J1 D - South Bank Avenue'!$C$63)</f>
        <v>55</v>
      </c>
      <c r="CR63" s="83">
        <f>SUM('J1 A - (North) Bishopthorpe Roa'!$BF$63,'J1 B - Butcher Terrace'!$AN$63,'J1 C - (South) Bishopthorpe Roa'!$V$63,'J1 D - South Bank Avenue'!$D$63)</f>
        <v>13</v>
      </c>
      <c r="CS63" s="83">
        <f>SUM('J1 A - (North) Bishopthorpe Roa'!$BG$63,'J1 B - Butcher Terrace'!$AO$63,'J1 C - (South) Bishopthorpe Roa'!$W$63,'J1 D - South Bank Avenue'!$E$63)</f>
        <v>3</v>
      </c>
      <c r="CT63" s="83">
        <f>SUM('J1 A - (North) Bishopthorpe Roa'!$BH$63,'J1 B - Butcher Terrace'!$AP$63,'J1 C - (South) Bishopthorpe Roa'!$X$63,'J1 D - South Bank Avenue'!$F$63)</f>
        <v>0</v>
      </c>
      <c r="CU63" s="83">
        <f>SUM('J1 A - (North) Bishopthorpe Roa'!$BI$63,'J1 B - Butcher Terrace'!$AQ$63,'J1 C - (South) Bishopthorpe Roa'!$Y$63,'J1 D - South Bank Avenue'!$G$63)</f>
        <v>0</v>
      </c>
      <c r="CV63" s="83">
        <f>SUM('J1 A - (North) Bishopthorpe Roa'!$BJ$63,'J1 B - Butcher Terrace'!$AR$63,'J1 C - (South) Bishopthorpe Roa'!$Z$63,'J1 D - South Bank Avenue'!$H$63)</f>
        <v>4</v>
      </c>
      <c r="CW63" s="83">
        <f>SUM('J1 A - (North) Bishopthorpe Roa'!$BK$63,'J1 B - Butcher Terrace'!$AS$63,'J1 C - (South) Bishopthorpe Roa'!$AA$63,'J1 D - South Bank Avenue'!$I$63)</f>
        <v>0</v>
      </c>
      <c r="CX63" s="86">
        <f>SUM('J1 A - (North) Bishopthorpe Roa'!$BL$63,'J1 B - Butcher Terrace'!$AT$63,'J1 C - (South) Bishopthorpe Roa'!$AB$63,'J1 D - South Bank Avenue'!$J$63)</f>
        <v>0</v>
      </c>
      <c r="CY63" s="77">
        <f>$CQ$63*VLOOKUP($CQ$11,'PCU Values'!$B$9:$C$16,2,FALSE)</f>
        <v>55</v>
      </c>
      <c r="CZ63" s="77">
        <f>$CR$63*VLOOKUP($CR$11,'PCU Values'!$B$9:$C$16,2,FALSE)</f>
        <v>13</v>
      </c>
      <c r="DA63" s="77">
        <f>$CS$63*VLOOKUP($CS$11,'PCU Values'!$B$9:$C$16,2,FALSE)</f>
        <v>4.5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0.8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73.3</v>
      </c>
      <c r="DH63" s="52">
        <f>SUM($CQ$63,$CR$63,$CS$63,$CT$63,$CU$63,$CV$63,$CW$63,$CX$63)</f>
        <v>75</v>
      </c>
    </row>
    <row r="64" spans="1:112" ht="21" customHeight="1">
      <c r="A64" s="46">
        <v>44395.4375</v>
      </c>
      <c r="B64" s="47" t="s">
        <v>73</v>
      </c>
      <c r="C64" s="48">
        <v>5</v>
      </c>
      <c r="D64" s="48">
        <v>0</v>
      </c>
      <c r="E64" s="48">
        <v>0</v>
      </c>
      <c r="F64" s="48">
        <v>0</v>
      </c>
      <c r="G64" s="48">
        <v>0</v>
      </c>
      <c r="H64" s="48">
        <v>2</v>
      </c>
      <c r="I64" s="48">
        <v>0</v>
      </c>
      <c r="J64" s="56">
        <v>0</v>
      </c>
      <c r="K64" s="57">
        <f>$C$64*VLOOKUP($C$11,'PCU Values'!$B$9:$C$16,2,FALSE)</f>
        <v>5</v>
      </c>
      <c r="L64" s="57">
        <f>$D$64*VLOOKUP($D$11,'PCU Values'!$B$9:$C$16,2,FALSE)</f>
        <v>0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0.4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5.4</v>
      </c>
      <c r="T64" s="52">
        <f>SUM($C$64,$D$64,$E$64,$F$64,$G$64,$H$64,$I$64,$J$64)</f>
        <v>7</v>
      </c>
      <c r="U64" s="67">
        <v>42</v>
      </c>
      <c r="V64" s="48">
        <v>9</v>
      </c>
      <c r="W64" s="48">
        <v>2</v>
      </c>
      <c r="X64" s="48">
        <v>0</v>
      </c>
      <c r="Y64" s="48">
        <v>2</v>
      </c>
      <c r="Z64" s="48">
        <v>1</v>
      </c>
      <c r="AA64" s="48">
        <v>1</v>
      </c>
      <c r="AB64" s="56">
        <v>0</v>
      </c>
      <c r="AC64" s="57">
        <f>$U$64*VLOOKUP($U$11,'PCU Values'!$B$9:$C$16,2,FALSE)</f>
        <v>42</v>
      </c>
      <c r="AD64" s="57">
        <f>$V$64*VLOOKUP($V$11,'PCU Values'!$B$9:$C$16,2,FALSE)</f>
        <v>9</v>
      </c>
      <c r="AE64" s="57">
        <f>$W$64*VLOOKUP($W$11,'PCU Values'!$B$9:$C$16,2,FALSE)</f>
        <v>3</v>
      </c>
      <c r="AF64" s="57">
        <f>$X$64*VLOOKUP($X$11,'PCU Values'!$B$9:$C$16,2,FALSE)</f>
        <v>0</v>
      </c>
      <c r="AG64" s="57">
        <f>$Y$64*VLOOKUP($Y$11,'PCU Values'!$B$9:$C$16,2,FALSE)</f>
        <v>4</v>
      </c>
      <c r="AH64" s="57">
        <f>$Z$64*VLOOKUP($Z$11,'PCU Values'!$B$9:$C$16,2,FALSE)</f>
        <v>0.2</v>
      </c>
      <c r="AI64" s="57">
        <f>$AA$64*VLOOKUP($AA$11,'PCU Values'!$B$9:$C$16,2,FALSE)</f>
        <v>0.4</v>
      </c>
      <c r="AJ64" s="65">
        <f>$AB$64*VLOOKUP($AB$11,'PCU Values'!$B$9:$C$16,2,FALSE)</f>
        <v>0</v>
      </c>
      <c r="AK64" s="66">
        <f>SUM($AC$64,$AD$64,$AE$64,$AF$64,$AG$64,$AH$64,$AI$64,$AJ$64)</f>
        <v>58.6</v>
      </c>
      <c r="AL64" s="52">
        <f>SUM($U$64,$V$64,$W$64,$X$64,$Y$64,$Z$64,$AA$64,$AB$64)</f>
        <v>57</v>
      </c>
      <c r="AM64" s="67">
        <v>4</v>
      </c>
      <c r="AN64" s="48">
        <v>0</v>
      </c>
      <c r="AO64" s="48">
        <v>0</v>
      </c>
      <c r="AP64" s="48">
        <v>0</v>
      </c>
      <c r="AQ64" s="48">
        <v>0</v>
      </c>
      <c r="AR64" s="48">
        <v>1</v>
      </c>
      <c r="AS64" s="48">
        <v>0</v>
      </c>
      <c r="AT64" s="56">
        <v>0</v>
      </c>
      <c r="AU64" s="57">
        <f>$AM$64*VLOOKUP($AM$11,'PCU Values'!$B$9:$C$16,2,FALSE)</f>
        <v>4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0.2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4.2</v>
      </c>
      <c r="BD64" s="52">
        <f>SUM($AM$64,$AN$64,$AO$64,$AP$64,$AQ$64,$AR$64,$AS$64,$AT$64)</f>
        <v>5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51</v>
      </c>
      <c r="BZ64" s="83">
        <f>SUM($D$64,$V$64,$AN$64,$BF$64)</f>
        <v>9</v>
      </c>
      <c r="CA64" s="83">
        <f>SUM($E$64,$W$64,$AO$64,$BG$64)</f>
        <v>2</v>
      </c>
      <c r="CB64" s="83">
        <f>SUM($F$64,$X$64,$AP$64,$BH$64)</f>
        <v>0</v>
      </c>
      <c r="CC64" s="83">
        <f>SUM($G$64,$Y$64,$AQ$64,$BI$64)</f>
        <v>2</v>
      </c>
      <c r="CD64" s="83">
        <f>SUM($H$64,$Z$64,$AR$64,$BJ$64)</f>
        <v>4</v>
      </c>
      <c r="CE64" s="83">
        <f>SUM($I$64,$AA$64,$AS$64,$BK$64)</f>
        <v>1</v>
      </c>
      <c r="CF64" s="86">
        <f>SUM($J$64,$AB$64,$AT$64,$BL$64)</f>
        <v>0</v>
      </c>
      <c r="CG64" s="77">
        <f>$BY$64*VLOOKUP($BY$11,'PCU Values'!$B$9:$C$16,2,FALSE)</f>
        <v>51</v>
      </c>
      <c r="CH64" s="77">
        <f>$BZ$64*VLOOKUP($BZ$11,'PCU Values'!$B$9:$C$16,2,FALSE)</f>
        <v>9</v>
      </c>
      <c r="CI64" s="77">
        <f>$CA$64*VLOOKUP($CA$11,'PCU Values'!$B$9:$C$16,2,FALSE)</f>
        <v>3</v>
      </c>
      <c r="CJ64" s="77">
        <f>$CB$64*VLOOKUP($CB$11,'PCU Values'!$B$9:$C$16,2,FALSE)</f>
        <v>0</v>
      </c>
      <c r="CK64" s="77">
        <f>$CC$64*VLOOKUP($CC$11,'PCU Values'!$B$9:$C$16,2,FALSE)</f>
        <v>4</v>
      </c>
      <c r="CL64" s="77">
        <f>$CD$64*VLOOKUP($CD$11,'PCU Values'!$B$9:$C$16,2,FALSE)</f>
        <v>0.8</v>
      </c>
      <c r="CM64" s="77">
        <f>$CE$64*VLOOKUP($CE$11,'PCU Values'!$B$9:$C$16,2,FALSE)</f>
        <v>0.4</v>
      </c>
      <c r="CN64" s="78">
        <f>$CF$64*VLOOKUP($CF$11,'PCU Values'!$B$9:$C$16,2,FALSE)</f>
        <v>0</v>
      </c>
      <c r="CO64" s="66">
        <f>SUM($CG$64,$CH$64,$CI$64,$CJ$64,$CK$64,$CL$64,$CM$64,$CN$64)</f>
        <v>68.2</v>
      </c>
      <c r="CP64" s="52">
        <f>SUM($BY$64,$BZ$64,$CA$64,$CB$64,$CC$64,$CD$64,$CE$64,$CF$64)</f>
        <v>69</v>
      </c>
      <c r="CQ64" s="89">
        <f>SUM('J1 A - (North) Bishopthorpe Roa'!$BE$64,'J1 B - Butcher Terrace'!$AM$64,'J1 C - (South) Bishopthorpe Roa'!$U$64,'J1 D - South Bank Avenue'!$C$64)</f>
        <v>61</v>
      </c>
      <c r="CR64" s="83">
        <f>SUM('J1 A - (North) Bishopthorpe Roa'!$BF$64,'J1 B - Butcher Terrace'!$AN$64,'J1 C - (South) Bishopthorpe Roa'!$V$64,'J1 D - South Bank Avenue'!$D$64)</f>
        <v>11</v>
      </c>
      <c r="CS64" s="83">
        <f>SUM('J1 A - (North) Bishopthorpe Roa'!$BG$64,'J1 B - Butcher Terrace'!$AO$64,'J1 C - (South) Bishopthorpe Roa'!$W$64,'J1 D - South Bank Avenue'!$E$64)</f>
        <v>1</v>
      </c>
      <c r="CT64" s="83">
        <f>SUM('J1 A - (North) Bishopthorpe Roa'!$BH$64,'J1 B - Butcher Terrace'!$AP$64,'J1 C - (South) Bishopthorpe Roa'!$X$64,'J1 D - South Bank Avenue'!$F$64)</f>
        <v>0</v>
      </c>
      <c r="CU64" s="83">
        <f>SUM('J1 A - (North) Bishopthorpe Roa'!$BI$64,'J1 B - Butcher Terrace'!$AQ$64,'J1 C - (South) Bishopthorpe Roa'!$Y$64,'J1 D - South Bank Avenue'!$G$64)</f>
        <v>1</v>
      </c>
      <c r="CV64" s="83">
        <f>SUM('J1 A - (North) Bishopthorpe Roa'!$BJ$64,'J1 B - Butcher Terrace'!$AR$64,'J1 C - (South) Bishopthorpe Roa'!$Z$64,'J1 D - South Bank Avenue'!$H$64)</f>
        <v>7</v>
      </c>
      <c r="CW64" s="83">
        <f>SUM('J1 A - (North) Bishopthorpe Roa'!$BK$64,'J1 B - Butcher Terrace'!$AS$64,'J1 C - (South) Bishopthorpe Roa'!$AA$64,'J1 D - South Bank Avenue'!$I$64)</f>
        <v>1</v>
      </c>
      <c r="CX64" s="86">
        <f>SUM('J1 A - (North) Bishopthorpe Roa'!$BL$64,'J1 B - Butcher Terrace'!$AT$64,'J1 C - (South) Bishopthorpe Roa'!$AB$64,'J1 D - South Bank Avenue'!$J$64)</f>
        <v>2</v>
      </c>
      <c r="CY64" s="77">
        <f>$CQ$64*VLOOKUP($CQ$11,'PCU Values'!$B$9:$C$16,2,FALSE)</f>
        <v>61</v>
      </c>
      <c r="CZ64" s="77">
        <f>$CR$64*VLOOKUP($CR$11,'PCU Values'!$B$9:$C$16,2,FALSE)</f>
        <v>11</v>
      </c>
      <c r="DA64" s="77">
        <f>$CS$64*VLOOKUP($CS$11,'PCU Values'!$B$9:$C$16,2,FALSE)</f>
        <v>1.5</v>
      </c>
      <c r="DB64" s="77">
        <f>$CT$64*VLOOKUP($CT$11,'PCU Values'!$B$9:$C$16,2,FALSE)</f>
        <v>0</v>
      </c>
      <c r="DC64" s="77">
        <f>$CU$64*VLOOKUP($CU$11,'PCU Values'!$B$9:$C$16,2,FALSE)</f>
        <v>2</v>
      </c>
      <c r="DD64" s="77">
        <f>$CV$64*VLOOKUP($CV$11,'PCU Values'!$B$9:$C$16,2,FALSE)</f>
        <v>1.4</v>
      </c>
      <c r="DE64" s="77">
        <f>$CW$64*VLOOKUP($CW$11,'PCU Values'!$B$9:$C$16,2,FALSE)</f>
        <v>0.4</v>
      </c>
      <c r="DF64" s="78">
        <f>$CX$64*VLOOKUP($CX$11,'PCU Values'!$B$9:$C$16,2,FALSE)</f>
        <v>3</v>
      </c>
      <c r="DG64" s="66">
        <f>SUM($CY$64,$CZ$64,$DA$64,$DB$64,$DC$64,$DD$64,$DE$64,$DF$64)</f>
        <v>80.3</v>
      </c>
      <c r="DH64" s="52">
        <f>SUM($CQ$64,$CR$64,$CS$64,$CT$64,$CU$64,$CV$64,$CW$64,$CX$64)</f>
        <v>84</v>
      </c>
    </row>
    <row r="65" spans="1:112" ht="21" customHeight="1">
      <c r="A65" s="46">
        <v>44395.447916666701</v>
      </c>
      <c r="B65" s="50" t="s">
        <v>74</v>
      </c>
      <c r="C65" s="51">
        <v>1</v>
      </c>
      <c r="D65" s="51">
        <v>1</v>
      </c>
      <c r="E65" s="51">
        <v>3</v>
      </c>
      <c r="F65" s="51">
        <v>0</v>
      </c>
      <c r="G65" s="51">
        <v>0</v>
      </c>
      <c r="H65" s="51">
        <v>2</v>
      </c>
      <c r="I65" s="51">
        <v>0</v>
      </c>
      <c r="J65" s="59">
        <v>0</v>
      </c>
      <c r="K65" s="60">
        <f>$C$65*VLOOKUP($C$11,'PCU Values'!$B$9:$C$16,2,FALSE)</f>
        <v>1</v>
      </c>
      <c r="L65" s="60">
        <f>$D$65*VLOOKUP($D$11,'PCU Values'!$B$9:$C$16,2,FALSE)</f>
        <v>1</v>
      </c>
      <c r="M65" s="60">
        <f>$E$65*VLOOKUP($E$11,'PCU Values'!$B$9:$C$16,2,FALSE)</f>
        <v>4.5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0.4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6.9</v>
      </c>
      <c r="T65" s="52">
        <f>SUM($C$65,$D$65,$E$65,$F$65,$G$65,$H$65,$I$65,$J$65)</f>
        <v>7</v>
      </c>
      <c r="U65" s="73">
        <v>48</v>
      </c>
      <c r="V65" s="51">
        <v>8</v>
      </c>
      <c r="W65" s="51">
        <v>1</v>
      </c>
      <c r="X65" s="51">
        <v>0</v>
      </c>
      <c r="Y65" s="51">
        <v>0</v>
      </c>
      <c r="Z65" s="51">
        <v>2</v>
      </c>
      <c r="AA65" s="51">
        <v>2</v>
      </c>
      <c r="AB65" s="59">
        <v>0</v>
      </c>
      <c r="AC65" s="60">
        <f>$U$65*VLOOKUP($U$11,'PCU Values'!$B$9:$C$16,2,FALSE)</f>
        <v>48</v>
      </c>
      <c r="AD65" s="60">
        <f>$V$65*VLOOKUP($V$11,'PCU Values'!$B$9:$C$16,2,FALSE)</f>
        <v>8</v>
      </c>
      <c r="AE65" s="60">
        <f>$W$65*VLOOKUP($W$11,'PCU Values'!$B$9:$C$16,2,FALSE)</f>
        <v>1.5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0.4</v>
      </c>
      <c r="AI65" s="60">
        <f>$AA$65*VLOOKUP($AA$11,'PCU Values'!$B$9:$C$16,2,FALSE)</f>
        <v>0.8</v>
      </c>
      <c r="AJ65" s="68">
        <f>$AB$65*VLOOKUP($AB$11,'PCU Values'!$B$9:$C$16,2,FALSE)</f>
        <v>0</v>
      </c>
      <c r="AK65" s="63">
        <f>SUM($AC$65,$AD$65,$AE$65,$AF$65,$AG$65,$AH$65,$AI$65,$AJ$65)</f>
        <v>58.7</v>
      </c>
      <c r="AL65" s="52">
        <f>SUM($U$65,$V$65,$W$65,$X$65,$Y$65,$Z$65,$AA$65,$AB$65)</f>
        <v>61</v>
      </c>
      <c r="AM65" s="73">
        <v>6</v>
      </c>
      <c r="AN65" s="51">
        <v>2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9">
        <v>0</v>
      </c>
      <c r="AU65" s="60">
        <f>$AM$65*VLOOKUP($AM$11,'PCU Values'!$B$9:$C$16,2,FALSE)</f>
        <v>6</v>
      </c>
      <c r="AV65" s="60">
        <f>$AN$65*VLOOKUP($AN$11,'PCU Values'!$B$9:$C$16,2,FALSE)</f>
        <v>2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8</v>
      </c>
      <c r="BD65" s="52">
        <f>SUM($AM$65,$AN$65,$AO$65,$AP$65,$AQ$65,$AR$65,$AS$65,$AT$65)</f>
        <v>8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55</v>
      </c>
      <c r="BZ65" s="84">
        <f>SUM($D$65,$V$65,$AN$65,$BF$65)</f>
        <v>11</v>
      </c>
      <c r="CA65" s="84">
        <f>SUM($E$65,$W$65,$AO$65,$BG$65)</f>
        <v>4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4</v>
      </c>
      <c r="CE65" s="84">
        <f>SUM($I$65,$AA$65,$AS$65,$BK$65)</f>
        <v>2</v>
      </c>
      <c r="CF65" s="87">
        <f>SUM($J$65,$AB$65,$AT$65,$BL$65)</f>
        <v>0</v>
      </c>
      <c r="CG65" s="79">
        <f>$BY$65*VLOOKUP($BY$11,'PCU Values'!$B$9:$C$16,2,FALSE)</f>
        <v>55</v>
      </c>
      <c r="CH65" s="79">
        <f>$BZ$65*VLOOKUP($BZ$11,'PCU Values'!$B$9:$C$16,2,FALSE)</f>
        <v>11</v>
      </c>
      <c r="CI65" s="79">
        <f>$CA$65*VLOOKUP($CA$11,'PCU Values'!$B$9:$C$16,2,FALSE)</f>
        <v>6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0.8</v>
      </c>
      <c r="CM65" s="79">
        <f>$CE$65*VLOOKUP($CE$11,'PCU Values'!$B$9:$C$16,2,FALSE)</f>
        <v>0.8</v>
      </c>
      <c r="CN65" s="80">
        <f>$CF$65*VLOOKUP($CF$11,'PCU Values'!$B$9:$C$16,2,FALSE)</f>
        <v>0</v>
      </c>
      <c r="CO65" s="63">
        <f>SUM($CG$65,$CH$65,$CI$65,$CJ$65,$CK$65,$CL$65,$CM$65,$CN$65)</f>
        <v>73.599999999999994</v>
      </c>
      <c r="CP65" s="52">
        <f>SUM($BY$65,$BZ$65,$CA$65,$CB$65,$CC$65,$CD$65,$CE$65,$CF$65)</f>
        <v>76</v>
      </c>
      <c r="CQ65" s="90">
        <f>SUM('J1 A - (North) Bishopthorpe Roa'!$BE$65,'J1 B - Butcher Terrace'!$AM$65,'J1 C - (South) Bishopthorpe Roa'!$U$65,'J1 D - South Bank Avenue'!$C$65)</f>
        <v>53</v>
      </c>
      <c r="CR65" s="84">
        <f>SUM('J1 A - (North) Bishopthorpe Roa'!$BF$65,'J1 B - Butcher Terrace'!$AN$65,'J1 C - (South) Bishopthorpe Roa'!$V$65,'J1 D - South Bank Avenue'!$D$65)</f>
        <v>9</v>
      </c>
      <c r="CS65" s="84">
        <f>SUM('J1 A - (North) Bishopthorpe Roa'!$BG$65,'J1 B - Butcher Terrace'!$AO$65,'J1 C - (South) Bishopthorpe Roa'!$W$65,'J1 D - South Bank Avenue'!$E$65)</f>
        <v>3</v>
      </c>
      <c r="CT65" s="84">
        <f>SUM('J1 A - (North) Bishopthorpe Roa'!$BH$65,'J1 B - Butcher Terrace'!$AP$65,'J1 C - (South) Bishopthorpe Roa'!$X$65,'J1 D - South Bank Avenue'!$F$65)</f>
        <v>2</v>
      </c>
      <c r="CU65" s="84">
        <f>SUM('J1 A - (North) Bishopthorpe Roa'!$BI$65,'J1 B - Butcher Terrace'!$AQ$65,'J1 C - (South) Bishopthorpe Roa'!$Y$65,'J1 D - South Bank Avenue'!$G$65)</f>
        <v>2</v>
      </c>
      <c r="CV65" s="84">
        <f>SUM('J1 A - (North) Bishopthorpe Roa'!$BJ$65,'J1 B - Butcher Terrace'!$AR$65,'J1 C - (South) Bishopthorpe Roa'!$Z$65,'J1 D - South Bank Avenue'!$H$65)</f>
        <v>4</v>
      </c>
      <c r="CW65" s="84">
        <f>SUM('J1 A - (North) Bishopthorpe Roa'!$BK$65,'J1 B - Butcher Terrace'!$AS$65,'J1 C - (South) Bishopthorpe Roa'!$AA$65,'J1 D - South Bank Avenue'!$I$65)</f>
        <v>0</v>
      </c>
      <c r="CX65" s="87">
        <f>SUM('J1 A - (North) Bishopthorpe Roa'!$BL$65,'J1 B - Butcher Terrace'!$AT$65,'J1 C - (South) Bishopthorpe Roa'!$AB$65,'J1 D - South Bank Avenue'!$J$65)</f>
        <v>0</v>
      </c>
      <c r="CY65" s="79">
        <f>$CQ$65*VLOOKUP($CQ$11,'PCU Values'!$B$9:$C$16,2,FALSE)</f>
        <v>53</v>
      </c>
      <c r="CZ65" s="79">
        <f>$CR$65*VLOOKUP($CR$11,'PCU Values'!$B$9:$C$16,2,FALSE)</f>
        <v>9</v>
      </c>
      <c r="DA65" s="79">
        <f>$CS$65*VLOOKUP($CS$11,'PCU Values'!$B$9:$C$16,2,FALSE)</f>
        <v>4.5</v>
      </c>
      <c r="DB65" s="79">
        <f>$CT$65*VLOOKUP($CT$11,'PCU Values'!$B$9:$C$16,2,FALSE)</f>
        <v>4.5999999999999996</v>
      </c>
      <c r="DC65" s="79">
        <f>$CU$65*VLOOKUP($CU$11,'PCU Values'!$B$9:$C$16,2,FALSE)</f>
        <v>4</v>
      </c>
      <c r="DD65" s="79">
        <f>$CV$65*VLOOKUP($CV$11,'PCU Values'!$B$9:$C$16,2,FALSE)</f>
        <v>0.8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75.900000000000006</v>
      </c>
      <c r="DH65" s="52">
        <f>SUM($CQ$65,$CR$65,$CS$65,$CT$65,$CU$65,$CV$65,$CW$65,$CX$65)</f>
        <v>73</v>
      </c>
    </row>
    <row r="66" spans="1:112">
      <c r="B66" s="52" t="s">
        <v>34</v>
      </c>
      <c r="C66" s="52">
        <f>SUM($C$62:$C$65)</f>
        <v>17</v>
      </c>
      <c r="D66" s="52">
        <f>SUM($D$62:$D$65)</f>
        <v>2</v>
      </c>
      <c r="E66" s="52">
        <f>SUM($E$62:$E$65)</f>
        <v>3</v>
      </c>
      <c r="F66" s="52">
        <f>SUM($F$62:$F$65)</f>
        <v>0</v>
      </c>
      <c r="G66" s="52">
        <f>SUM($G$62:$G$65)</f>
        <v>0</v>
      </c>
      <c r="H66" s="52">
        <f>SUM($H$62:$H$65)</f>
        <v>11</v>
      </c>
      <c r="I66" s="52">
        <f>SUM($I$62:$I$65)</f>
        <v>0</v>
      </c>
      <c r="J66" s="52">
        <f>SUM($J$62:$J$65)</f>
        <v>0</v>
      </c>
      <c r="K66" s="52">
        <f>SUM($K$62:$K$65)</f>
        <v>17</v>
      </c>
      <c r="L66" s="52">
        <f>SUM($L$62:$L$65)</f>
        <v>2</v>
      </c>
      <c r="M66" s="52">
        <f>SUM($M$62:$M$65)</f>
        <v>5</v>
      </c>
      <c r="N66" s="52">
        <f>SUM($N$62:$N$65)</f>
        <v>0</v>
      </c>
      <c r="O66" s="52">
        <f>SUM($O$62:$O$65)</f>
        <v>0</v>
      </c>
      <c r="P66" s="52">
        <f>SUM($P$62:$P$65)</f>
        <v>2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26</v>
      </c>
      <c r="T66" s="52">
        <f>SUM($C$66,$D$66,$E$66,$F$66,$G$66,$H$66,$I$66,$J$66)</f>
        <v>33</v>
      </c>
      <c r="U66" s="52">
        <f>SUM($U$62:$U$65)</f>
        <v>178</v>
      </c>
      <c r="V66" s="52">
        <f>SUM($V$62:$V$65)</f>
        <v>33</v>
      </c>
      <c r="W66" s="52">
        <f>SUM($W$62:$W$65)</f>
        <v>7</v>
      </c>
      <c r="X66" s="52">
        <f>SUM($X$62:$X$65)</f>
        <v>0</v>
      </c>
      <c r="Y66" s="52">
        <f>SUM($Y$62:$Y$65)</f>
        <v>3</v>
      </c>
      <c r="Z66" s="52">
        <f>SUM($Z$62:$Z$65)</f>
        <v>11</v>
      </c>
      <c r="AA66" s="52">
        <f>SUM($AA$62:$AA$65)</f>
        <v>3</v>
      </c>
      <c r="AB66" s="52">
        <f>SUM($AB$62:$AB$65)</f>
        <v>0</v>
      </c>
      <c r="AC66" s="52">
        <f>SUM($AC$62:$AC$65)</f>
        <v>178</v>
      </c>
      <c r="AD66" s="52">
        <f>SUM($AD$62:$AD$65)</f>
        <v>33</v>
      </c>
      <c r="AE66" s="52">
        <f>SUM($AE$62:$AE$65)</f>
        <v>11</v>
      </c>
      <c r="AF66" s="52">
        <f>SUM($AF$62:$AF$65)</f>
        <v>0</v>
      </c>
      <c r="AG66" s="52">
        <f>SUM($AG$62:$AG$65)</f>
        <v>6</v>
      </c>
      <c r="AH66" s="52">
        <f>SUM($AH$62:$AH$65)</f>
        <v>2</v>
      </c>
      <c r="AI66" s="52">
        <f>SUM($AI$62:$AI$65)</f>
        <v>1</v>
      </c>
      <c r="AJ66" s="52">
        <f>SUM($AJ$62:$AJ$65)</f>
        <v>0</v>
      </c>
      <c r="AK66" s="52">
        <f>SUM($AC$66,$AD$66,$AE$66,$AF$66,$AG$66,$AH$66,$AI$66,$AJ$66)</f>
        <v>231</v>
      </c>
      <c r="AL66" s="52">
        <f>SUM($U$66,$V$66,$W$66,$X$66,$Y$66,$Z$66,$AA$66,$AB$66)</f>
        <v>235</v>
      </c>
      <c r="AM66" s="52">
        <f>SUM($AM$62:$AM$65)</f>
        <v>20</v>
      </c>
      <c r="AN66" s="52">
        <f>SUM($AN$62:$AN$65)</f>
        <v>5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2</v>
      </c>
      <c r="AS66" s="52">
        <f>SUM($AS$62:$AS$65)</f>
        <v>0</v>
      </c>
      <c r="AT66" s="52">
        <f>SUM($AT$62:$AT$65)</f>
        <v>0</v>
      </c>
      <c r="AU66" s="52">
        <f>SUM($AU$62:$AU$65)</f>
        <v>20</v>
      </c>
      <c r="AV66" s="52">
        <f>SUM($AV$62:$AV$65)</f>
        <v>5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25</v>
      </c>
      <c r="BD66" s="52">
        <f>SUM($AM$66,$AN$66,$AO$66,$AP$66,$AQ$66,$AR$66,$AS$66,$AT$66)</f>
        <v>27</v>
      </c>
      <c r="BE66" s="52">
        <f>SUM($BE$62:$BE$65)</f>
        <v>1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1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1</v>
      </c>
      <c r="BV66" s="52">
        <f>SUM($BE$66,$BF$66,$BG$66,$BH$66,$BI$66,$BJ$66,$BK$66,$BL$66)</f>
        <v>1</v>
      </c>
      <c r="BX66" s="52" t="s">
        <v>34</v>
      </c>
      <c r="BY66" s="52">
        <f>SUM($BY$62:$BY$65)</f>
        <v>216</v>
      </c>
      <c r="BZ66" s="52">
        <f>SUM($BZ$62:$BZ$65)</f>
        <v>40</v>
      </c>
      <c r="CA66" s="52">
        <f>SUM($CA$62:$CA$65)</f>
        <v>10</v>
      </c>
      <c r="CB66" s="52">
        <f>SUM($CB$62:$CB$65)</f>
        <v>0</v>
      </c>
      <c r="CC66" s="52">
        <f>SUM($CC$62:$CC$65)</f>
        <v>3</v>
      </c>
      <c r="CD66" s="52">
        <f>SUM($CD$62:$CD$65)</f>
        <v>24</v>
      </c>
      <c r="CE66" s="52">
        <f>SUM($CE$62:$CE$65)</f>
        <v>3</v>
      </c>
      <c r="CF66" s="52">
        <f>SUM($CF$62:$CF$65)</f>
        <v>0</v>
      </c>
      <c r="CG66" s="52">
        <f>SUM($CG$62:$CG$65)</f>
        <v>216</v>
      </c>
      <c r="CH66" s="52">
        <f>SUM($CH$62:$CH$65)</f>
        <v>40</v>
      </c>
      <c r="CI66" s="52">
        <f>SUM($CI$62:$CI$65)</f>
        <v>15</v>
      </c>
      <c r="CJ66" s="52">
        <f>SUM($CJ$62:$CJ$65)</f>
        <v>0</v>
      </c>
      <c r="CK66" s="52">
        <f>SUM($CK$62:$CK$65)</f>
        <v>6</v>
      </c>
      <c r="CL66" s="52">
        <f>SUM($CL$62:$CL$65)</f>
        <v>5</v>
      </c>
      <c r="CM66" s="52">
        <f>SUM($CM$62:$CM$65)</f>
        <v>1</v>
      </c>
      <c r="CN66" s="52">
        <f>SUM($CN$62:$CN$65)</f>
        <v>0</v>
      </c>
      <c r="CO66" s="52">
        <f>SUM($CG$66,$CH$66,$CI$66,$CJ$66,$CK$66,$CL$66,$CM$66,$CN$66)</f>
        <v>283</v>
      </c>
      <c r="CP66" s="52">
        <f>SUM($BY$66,$BZ$66,$CA$66,$CB$66,$CC$66,$CD$66,$CE$66,$CF$66)</f>
        <v>296</v>
      </c>
      <c r="CQ66" s="52">
        <f>SUM($CQ$62:$CQ$65)</f>
        <v>230</v>
      </c>
      <c r="CR66" s="52">
        <f>SUM($CR$62:$CR$65)</f>
        <v>47</v>
      </c>
      <c r="CS66" s="52">
        <f>SUM($CS$62:$CS$65)</f>
        <v>8</v>
      </c>
      <c r="CT66" s="52">
        <f>SUM($CT$62:$CT$65)</f>
        <v>2</v>
      </c>
      <c r="CU66" s="52">
        <f>SUM($CU$62:$CU$65)</f>
        <v>4</v>
      </c>
      <c r="CV66" s="52">
        <f>SUM($CV$62:$CV$65)</f>
        <v>20</v>
      </c>
      <c r="CW66" s="52">
        <f>SUM($CW$62:$CW$65)</f>
        <v>1</v>
      </c>
      <c r="CX66" s="52">
        <f>SUM($CX$62:$CX$65)</f>
        <v>3</v>
      </c>
      <c r="CY66" s="52">
        <f>SUM($CY$62:$CY$65)</f>
        <v>230</v>
      </c>
      <c r="CZ66" s="52">
        <f>SUM($CZ$62:$CZ$65)</f>
        <v>47</v>
      </c>
      <c r="DA66" s="52">
        <f>SUM($DA$62:$DA$65)</f>
        <v>12</v>
      </c>
      <c r="DB66" s="52">
        <f>SUM($DB$62:$DB$65)</f>
        <v>5</v>
      </c>
      <c r="DC66" s="52">
        <f>SUM($DC$62:$DC$65)</f>
        <v>8</v>
      </c>
      <c r="DD66" s="52">
        <f>SUM($DD$62:$DD$65)</f>
        <v>4</v>
      </c>
      <c r="DE66" s="52">
        <f>SUM($DE$62:$DE$65)</f>
        <v>0</v>
      </c>
      <c r="DF66" s="52">
        <f>SUM($DF$62:$DF$65)</f>
        <v>5</v>
      </c>
      <c r="DG66" s="52">
        <f>SUM($CY$66,$CZ$66,$DA$66,$DB$66,$DC$66,$DD$66,$DE$66,$DF$66)</f>
        <v>311</v>
      </c>
      <c r="DH66" s="52">
        <f>SUM($CQ$66,$CR$66,$CS$66,$CT$66,$CU$66,$CV$66,$CW$66,$CX$66)</f>
        <v>315</v>
      </c>
    </row>
    <row r="67" spans="1:112" ht="21" customHeight="1">
      <c r="A67" s="46">
        <v>44395.458333333299</v>
      </c>
      <c r="B67" s="53" t="s">
        <v>75</v>
      </c>
      <c r="C67" s="54">
        <v>4</v>
      </c>
      <c r="D67" s="54">
        <v>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4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5</v>
      </c>
      <c r="T67" s="52">
        <f>SUM($C$67,$D$67,$E$67,$F$67,$G$67,$H$67,$I$67,$J$67)</f>
        <v>5</v>
      </c>
      <c r="U67" s="72">
        <v>40</v>
      </c>
      <c r="V67" s="54">
        <v>5</v>
      </c>
      <c r="W67" s="54">
        <v>1</v>
      </c>
      <c r="X67" s="54">
        <v>0</v>
      </c>
      <c r="Y67" s="54">
        <v>1</v>
      </c>
      <c r="Z67" s="54">
        <v>2</v>
      </c>
      <c r="AA67" s="54">
        <v>0</v>
      </c>
      <c r="AB67" s="61">
        <v>0</v>
      </c>
      <c r="AC67" s="62">
        <f>$U$67*VLOOKUP($U$11,'PCU Values'!$B$9:$C$16,2,FALSE)</f>
        <v>40</v>
      </c>
      <c r="AD67" s="62">
        <f>$V$67*VLOOKUP($V$11,'PCU Values'!$B$9:$C$16,2,FALSE)</f>
        <v>5</v>
      </c>
      <c r="AE67" s="62">
        <f>$W$67*VLOOKUP($W$11,'PCU Values'!$B$9:$C$16,2,FALSE)</f>
        <v>1.5</v>
      </c>
      <c r="AF67" s="62">
        <f>$X$67*VLOOKUP($X$11,'PCU Values'!$B$9:$C$16,2,FALSE)</f>
        <v>0</v>
      </c>
      <c r="AG67" s="62">
        <f>$Y$67*VLOOKUP($Y$11,'PCU Values'!$B$9:$C$16,2,FALSE)</f>
        <v>2</v>
      </c>
      <c r="AH67" s="62">
        <f>$Z$67*VLOOKUP($Z$11,'PCU Values'!$B$9:$C$16,2,FALSE)</f>
        <v>0.4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48.9</v>
      </c>
      <c r="AL67" s="52">
        <f>SUM($U$67,$V$67,$W$67,$X$67,$Y$67,$Z$67,$AA$67,$AB$67)</f>
        <v>49</v>
      </c>
      <c r="AM67" s="72">
        <v>4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0</v>
      </c>
      <c r="AU67" s="62">
        <f>$AM$67*VLOOKUP($AM$11,'PCU Values'!$B$9:$C$16,2,FALSE)</f>
        <v>4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4</v>
      </c>
      <c r="BD67" s="52">
        <f>SUM($AM$67,$AN$67,$AO$67,$AP$67,$AQ$67,$AR$67,$AS$67,$AT$67)</f>
        <v>4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48</v>
      </c>
      <c r="BZ67" s="85">
        <f>SUM($D$67,$V$67,$AN$67,$BF$67)</f>
        <v>6</v>
      </c>
      <c r="CA67" s="85">
        <f>SUM($E$67,$W$67,$AO$67,$BG$67)</f>
        <v>1</v>
      </c>
      <c r="CB67" s="85">
        <f>SUM($F$67,$X$67,$AP$67,$BH$67)</f>
        <v>0</v>
      </c>
      <c r="CC67" s="85">
        <f>SUM($G$67,$Y$67,$AQ$67,$BI$67)</f>
        <v>1</v>
      </c>
      <c r="CD67" s="85">
        <f>SUM($H$67,$Z$67,$AR$67,$BJ$67)</f>
        <v>2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48</v>
      </c>
      <c r="CH67" s="81">
        <f>$BZ$67*VLOOKUP($BZ$11,'PCU Values'!$B$9:$C$16,2,FALSE)</f>
        <v>6</v>
      </c>
      <c r="CI67" s="81">
        <f>$CA$67*VLOOKUP($CA$11,'PCU Values'!$B$9:$C$16,2,FALSE)</f>
        <v>1.5</v>
      </c>
      <c r="CJ67" s="81">
        <f>$CB$67*VLOOKUP($CB$11,'PCU Values'!$B$9:$C$16,2,FALSE)</f>
        <v>0</v>
      </c>
      <c r="CK67" s="81">
        <f>$CC$67*VLOOKUP($CC$11,'PCU Values'!$B$9:$C$16,2,FALSE)</f>
        <v>2</v>
      </c>
      <c r="CL67" s="81">
        <f>$CD$67*VLOOKUP($CD$11,'PCU Values'!$B$9:$C$16,2,FALSE)</f>
        <v>0.4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57.9</v>
      </c>
      <c r="CP67" s="52">
        <f>SUM($BY$67,$BZ$67,$CA$67,$CB$67,$CC$67,$CD$67,$CE$67,$CF$67)</f>
        <v>58</v>
      </c>
      <c r="CQ67" s="91">
        <f>SUM('J1 A - (North) Bishopthorpe Roa'!$BE$67,'J1 B - Butcher Terrace'!$AM$67,'J1 C - (South) Bishopthorpe Roa'!$U$67,'J1 D - South Bank Avenue'!$C$67)</f>
        <v>41</v>
      </c>
      <c r="CR67" s="85">
        <f>SUM('J1 A - (North) Bishopthorpe Roa'!$BF$67,'J1 B - Butcher Terrace'!$AN$67,'J1 C - (South) Bishopthorpe Roa'!$V$67,'J1 D - South Bank Avenue'!$D$67)</f>
        <v>8</v>
      </c>
      <c r="CS67" s="85">
        <f>SUM('J1 A - (North) Bishopthorpe Roa'!$BG$67,'J1 B - Butcher Terrace'!$AO$67,'J1 C - (South) Bishopthorpe Roa'!$W$67,'J1 D - South Bank Avenue'!$E$67)</f>
        <v>4</v>
      </c>
      <c r="CT67" s="85">
        <f>SUM('J1 A - (North) Bishopthorpe Roa'!$BH$67,'J1 B - Butcher Terrace'!$AP$67,'J1 C - (South) Bishopthorpe Roa'!$X$67,'J1 D - South Bank Avenue'!$F$67)</f>
        <v>0</v>
      </c>
      <c r="CU67" s="85">
        <f>SUM('J1 A - (North) Bishopthorpe Roa'!$BI$67,'J1 B - Butcher Terrace'!$AQ$67,'J1 C - (South) Bishopthorpe Roa'!$Y$67,'J1 D - South Bank Avenue'!$G$67)</f>
        <v>1</v>
      </c>
      <c r="CV67" s="85">
        <f>SUM('J1 A - (North) Bishopthorpe Roa'!$BJ$67,'J1 B - Butcher Terrace'!$AR$67,'J1 C - (South) Bishopthorpe Roa'!$Z$67,'J1 D - South Bank Avenue'!$H$67)</f>
        <v>1</v>
      </c>
      <c r="CW67" s="85">
        <f>SUM('J1 A - (North) Bishopthorpe Roa'!$BK$67,'J1 B - Butcher Terrace'!$AS$67,'J1 C - (South) Bishopthorpe Roa'!$AA$67,'J1 D - South Bank Avenue'!$I$67)</f>
        <v>0</v>
      </c>
      <c r="CX67" s="88">
        <f>SUM('J1 A - (North) Bishopthorpe Roa'!$BL$67,'J1 B - Butcher Terrace'!$AT$67,'J1 C - (South) Bishopthorpe Roa'!$AB$67,'J1 D - South Bank Avenue'!$J$67)</f>
        <v>1</v>
      </c>
      <c r="CY67" s="81">
        <f>$CQ$67*VLOOKUP($CQ$11,'PCU Values'!$B$9:$C$16,2,FALSE)</f>
        <v>41</v>
      </c>
      <c r="CZ67" s="81">
        <f>$CR$67*VLOOKUP($CR$11,'PCU Values'!$B$9:$C$16,2,FALSE)</f>
        <v>8</v>
      </c>
      <c r="DA67" s="81">
        <f>$CS$67*VLOOKUP($CS$11,'PCU Values'!$B$9:$C$16,2,FALSE)</f>
        <v>6</v>
      </c>
      <c r="DB67" s="81">
        <f>$CT$67*VLOOKUP($CT$11,'PCU Values'!$B$9:$C$16,2,FALSE)</f>
        <v>0</v>
      </c>
      <c r="DC67" s="81">
        <f>$CU$67*VLOOKUP($CU$11,'PCU Values'!$B$9:$C$16,2,FALSE)</f>
        <v>2</v>
      </c>
      <c r="DD67" s="81">
        <f>$CV$67*VLOOKUP($CV$11,'PCU Values'!$B$9:$C$16,2,FALSE)</f>
        <v>0.2</v>
      </c>
      <c r="DE67" s="81">
        <f>$CW$67*VLOOKUP($CW$11,'PCU Values'!$B$9:$C$16,2,FALSE)</f>
        <v>0</v>
      </c>
      <c r="DF67" s="82">
        <f>$CX$67*VLOOKUP($CX$11,'PCU Values'!$B$9:$C$16,2,FALSE)</f>
        <v>1.5</v>
      </c>
      <c r="DG67" s="71">
        <f>SUM($CY$67,$CZ$67,$DA$67,$DB$67,$DC$67,$DD$67,$DE$67,$DF$67)</f>
        <v>58.7</v>
      </c>
      <c r="DH67" s="52">
        <f>SUM($CQ$67,$CR$67,$CS$67,$CT$67,$CU$67,$CV$67,$CW$67,$CX$67)</f>
        <v>56</v>
      </c>
    </row>
    <row r="68" spans="1:112" ht="21" customHeight="1">
      <c r="A68" s="46">
        <v>44395.46875</v>
      </c>
      <c r="B68" s="47" t="s">
        <v>76</v>
      </c>
      <c r="C68" s="48">
        <v>1</v>
      </c>
      <c r="D68" s="48">
        <v>0</v>
      </c>
      <c r="E68" s="48">
        <v>0</v>
      </c>
      <c r="F68" s="48">
        <v>0</v>
      </c>
      <c r="G68" s="48">
        <v>0</v>
      </c>
      <c r="H68" s="48">
        <v>2</v>
      </c>
      <c r="I68" s="48">
        <v>0</v>
      </c>
      <c r="J68" s="56">
        <v>0</v>
      </c>
      <c r="K68" s="57">
        <f>$C$68*VLOOKUP($C$11,'PCU Values'!$B$9:$C$16,2,FALSE)</f>
        <v>1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0.4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1.4</v>
      </c>
      <c r="T68" s="52">
        <f>SUM($C$68,$D$68,$E$68,$F$68,$G$68,$H$68,$I$68,$J$68)</f>
        <v>3</v>
      </c>
      <c r="U68" s="67">
        <v>44</v>
      </c>
      <c r="V68" s="48">
        <v>5</v>
      </c>
      <c r="W68" s="48">
        <v>0</v>
      </c>
      <c r="X68" s="48">
        <v>0</v>
      </c>
      <c r="Y68" s="48">
        <v>1</v>
      </c>
      <c r="Z68" s="48">
        <v>5</v>
      </c>
      <c r="AA68" s="48">
        <v>0</v>
      </c>
      <c r="AB68" s="56">
        <v>0</v>
      </c>
      <c r="AC68" s="57">
        <f>$U$68*VLOOKUP($U$11,'PCU Values'!$B$9:$C$16,2,FALSE)</f>
        <v>44</v>
      </c>
      <c r="AD68" s="57">
        <f>$V$68*VLOOKUP($V$11,'PCU Values'!$B$9:$C$16,2,FALSE)</f>
        <v>5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2</v>
      </c>
      <c r="AH68" s="57">
        <f>$Z$68*VLOOKUP($Z$11,'PCU Values'!$B$9:$C$16,2,FALSE)</f>
        <v>1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52</v>
      </c>
      <c r="AL68" s="52">
        <f>SUM($U$68,$V$68,$W$68,$X$68,$Y$68,$Z$68,$AA$68,$AB$68)</f>
        <v>55</v>
      </c>
      <c r="AM68" s="67">
        <v>5</v>
      </c>
      <c r="AN68" s="48">
        <v>1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5</v>
      </c>
      <c r="AV68" s="57">
        <f>$AN$68*VLOOKUP($AN$11,'PCU Values'!$B$9:$C$16,2,FALSE)</f>
        <v>1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6</v>
      </c>
      <c r="BD68" s="52">
        <f>SUM($AM$68,$AN$68,$AO$68,$AP$68,$AQ$68,$AR$68,$AS$68,$AT$68)</f>
        <v>6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50</v>
      </c>
      <c r="BZ68" s="83">
        <f>SUM($D$68,$V$68,$AN$68,$BF$68)</f>
        <v>6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1</v>
      </c>
      <c r="CD68" s="83">
        <f>SUM($H$68,$Z$68,$AR$68,$BJ$68)</f>
        <v>7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50</v>
      </c>
      <c r="CH68" s="77">
        <f>$BZ$68*VLOOKUP($BZ$11,'PCU Values'!$B$9:$C$16,2,FALSE)</f>
        <v>6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2</v>
      </c>
      <c r="CL68" s="77">
        <f>$CD$68*VLOOKUP($CD$11,'PCU Values'!$B$9:$C$16,2,FALSE)</f>
        <v>1.4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59.4</v>
      </c>
      <c r="CP68" s="52">
        <f>SUM($BY$68,$BZ$68,$CA$68,$CB$68,$CC$68,$CD$68,$CE$68,$CF$68)</f>
        <v>64</v>
      </c>
      <c r="CQ68" s="89">
        <f>SUM('J1 A - (North) Bishopthorpe Roa'!$BE$68,'J1 B - Butcher Terrace'!$AM$68,'J1 C - (South) Bishopthorpe Roa'!$U$68,'J1 D - South Bank Avenue'!$C$68)</f>
        <v>53</v>
      </c>
      <c r="CR68" s="83">
        <f>SUM('J1 A - (North) Bishopthorpe Roa'!$BF$68,'J1 B - Butcher Terrace'!$AN$68,'J1 C - (South) Bishopthorpe Roa'!$V$68,'J1 D - South Bank Avenue'!$D$68)</f>
        <v>4</v>
      </c>
      <c r="CS68" s="83">
        <f>SUM('J1 A - (North) Bishopthorpe Roa'!$BG$68,'J1 B - Butcher Terrace'!$AO$68,'J1 C - (South) Bishopthorpe Roa'!$W$68,'J1 D - South Bank Avenue'!$E$68)</f>
        <v>1</v>
      </c>
      <c r="CT68" s="83">
        <f>SUM('J1 A - (North) Bishopthorpe Roa'!$BH$68,'J1 B - Butcher Terrace'!$AP$68,'J1 C - (South) Bishopthorpe Roa'!$X$68,'J1 D - South Bank Avenue'!$F$68)</f>
        <v>0</v>
      </c>
      <c r="CU68" s="83">
        <f>SUM('J1 A - (North) Bishopthorpe Roa'!$BI$68,'J1 B - Butcher Terrace'!$AQ$68,'J1 C - (South) Bishopthorpe Roa'!$Y$68,'J1 D - South Bank Avenue'!$G$68)</f>
        <v>0</v>
      </c>
      <c r="CV68" s="83">
        <f>SUM('J1 A - (North) Bishopthorpe Roa'!$BJ$68,'J1 B - Butcher Terrace'!$AR$68,'J1 C - (South) Bishopthorpe Roa'!$Z$68,'J1 D - South Bank Avenue'!$H$68)</f>
        <v>1</v>
      </c>
      <c r="CW68" s="83">
        <f>SUM('J1 A - (North) Bishopthorpe Roa'!$BK$68,'J1 B - Butcher Terrace'!$AS$68,'J1 C - (South) Bishopthorpe Roa'!$AA$68,'J1 D - South Bank Avenue'!$I$68)</f>
        <v>0</v>
      </c>
      <c r="CX68" s="86">
        <f>SUM('J1 A - (North) Bishopthorpe Roa'!$BL$68,'J1 B - Butcher Terrace'!$AT$68,'J1 C - (South) Bishopthorpe Roa'!$AB$68,'J1 D - South Bank Avenue'!$J$68)</f>
        <v>0</v>
      </c>
      <c r="CY68" s="77">
        <f>$CQ$68*VLOOKUP($CQ$11,'PCU Values'!$B$9:$C$16,2,FALSE)</f>
        <v>53</v>
      </c>
      <c r="CZ68" s="77">
        <f>$CR$68*VLOOKUP($CR$11,'PCU Values'!$B$9:$C$16,2,FALSE)</f>
        <v>4</v>
      </c>
      <c r="DA68" s="77">
        <f>$CS$68*VLOOKUP($CS$11,'PCU Values'!$B$9:$C$16,2,FALSE)</f>
        <v>1.5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0.2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58.7</v>
      </c>
      <c r="DH68" s="52">
        <f>SUM($CQ$68,$CR$68,$CS$68,$CT$68,$CU$68,$CV$68,$CW$68,$CX$68)</f>
        <v>59</v>
      </c>
    </row>
    <row r="69" spans="1:112" ht="21" customHeight="1">
      <c r="A69" s="46">
        <v>44395.479166666701</v>
      </c>
      <c r="B69" s="47" t="s">
        <v>77</v>
      </c>
      <c r="C69" s="48">
        <v>6</v>
      </c>
      <c r="D69" s="48">
        <v>2</v>
      </c>
      <c r="E69" s="48">
        <v>0</v>
      </c>
      <c r="F69" s="48">
        <v>0</v>
      </c>
      <c r="G69" s="48">
        <v>0</v>
      </c>
      <c r="H69" s="48">
        <v>7</v>
      </c>
      <c r="I69" s="48">
        <v>0</v>
      </c>
      <c r="J69" s="56">
        <v>0</v>
      </c>
      <c r="K69" s="57">
        <f>$C$69*VLOOKUP($C$11,'PCU Values'!$B$9:$C$16,2,FALSE)</f>
        <v>6</v>
      </c>
      <c r="L69" s="57">
        <f>$D$69*VLOOKUP($D$11,'PCU Values'!$B$9:$C$16,2,FALSE)</f>
        <v>2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1.4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9.4</v>
      </c>
      <c r="T69" s="52">
        <f>SUM($C$69,$D$69,$E$69,$F$69,$G$69,$H$69,$I$69,$J$69)</f>
        <v>15</v>
      </c>
      <c r="U69" s="67">
        <v>42</v>
      </c>
      <c r="V69" s="48">
        <v>5</v>
      </c>
      <c r="W69" s="48">
        <v>2</v>
      </c>
      <c r="X69" s="48">
        <v>0</v>
      </c>
      <c r="Y69" s="48">
        <v>2</v>
      </c>
      <c r="Z69" s="48">
        <v>3</v>
      </c>
      <c r="AA69" s="48">
        <v>1</v>
      </c>
      <c r="AB69" s="56">
        <v>1</v>
      </c>
      <c r="AC69" s="57">
        <f>$U$69*VLOOKUP($U$11,'PCU Values'!$B$9:$C$16,2,FALSE)</f>
        <v>42</v>
      </c>
      <c r="AD69" s="57">
        <f>$V$69*VLOOKUP($V$11,'PCU Values'!$B$9:$C$16,2,FALSE)</f>
        <v>5</v>
      </c>
      <c r="AE69" s="57">
        <f>$W$69*VLOOKUP($W$11,'PCU Values'!$B$9:$C$16,2,FALSE)</f>
        <v>3</v>
      </c>
      <c r="AF69" s="57">
        <f>$X$69*VLOOKUP($X$11,'PCU Values'!$B$9:$C$16,2,FALSE)</f>
        <v>0</v>
      </c>
      <c r="AG69" s="57">
        <f>$Y$69*VLOOKUP($Y$11,'PCU Values'!$B$9:$C$16,2,FALSE)</f>
        <v>4</v>
      </c>
      <c r="AH69" s="57">
        <f>$Z$69*VLOOKUP($Z$11,'PCU Values'!$B$9:$C$16,2,FALSE)</f>
        <v>0.6</v>
      </c>
      <c r="AI69" s="57">
        <f>$AA$69*VLOOKUP($AA$11,'PCU Values'!$B$9:$C$16,2,FALSE)</f>
        <v>0.4</v>
      </c>
      <c r="AJ69" s="65">
        <f>$AB$69*VLOOKUP($AB$11,'PCU Values'!$B$9:$C$16,2,FALSE)</f>
        <v>1.5</v>
      </c>
      <c r="AK69" s="66">
        <f>SUM($AC$69,$AD$69,$AE$69,$AF$69,$AG$69,$AH$69,$AI$69,$AJ$69)</f>
        <v>56.5</v>
      </c>
      <c r="AL69" s="52">
        <f>SUM($U$69,$V$69,$W$69,$X$69,$Y$69,$Z$69,$AA$69,$AB$69)</f>
        <v>56</v>
      </c>
      <c r="AM69" s="76">
        <v>5</v>
      </c>
      <c r="AN69" s="48">
        <v>2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5</v>
      </c>
      <c r="AV69" s="57">
        <f>$AN$69*VLOOKUP($AN$11,'PCU Values'!$B$9:$C$16,2,FALSE)</f>
        <v>2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7</v>
      </c>
      <c r="BD69" s="52">
        <f>SUM($AM$69,$AN$69,$AO$69,$AP$69,$AQ$69,$AR$69,$AS$69,$AT$69)</f>
        <v>7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53</v>
      </c>
      <c r="BZ69" s="83">
        <f>SUM($D$69,$V$69,$AN$69,$BF$69)</f>
        <v>9</v>
      </c>
      <c r="CA69" s="83">
        <f>SUM($E$69,$W$69,$AO$69,$BG$69)</f>
        <v>2</v>
      </c>
      <c r="CB69" s="83">
        <f>SUM($F$69,$X$69,$AP$69,$BH$69)</f>
        <v>0</v>
      </c>
      <c r="CC69" s="83">
        <f>SUM($G$69,$Y$69,$AQ$69,$BI$69)</f>
        <v>2</v>
      </c>
      <c r="CD69" s="83">
        <f>SUM($H$69,$Z$69,$AR$69,$BJ$69)</f>
        <v>10</v>
      </c>
      <c r="CE69" s="83">
        <f>SUM($I$69,$AA$69,$AS$69,$BK$69)</f>
        <v>1</v>
      </c>
      <c r="CF69" s="86">
        <f>SUM($J$69,$AB$69,$AT$69,$BL$69)</f>
        <v>1</v>
      </c>
      <c r="CG69" s="77">
        <f>$BY$69*VLOOKUP($BY$11,'PCU Values'!$B$9:$C$16,2,FALSE)</f>
        <v>53</v>
      </c>
      <c r="CH69" s="77">
        <f>$BZ$69*VLOOKUP($BZ$11,'PCU Values'!$B$9:$C$16,2,FALSE)</f>
        <v>9</v>
      </c>
      <c r="CI69" s="77">
        <f>$CA$69*VLOOKUP($CA$11,'PCU Values'!$B$9:$C$16,2,FALSE)</f>
        <v>3</v>
      </c>
      <c r="CJ69" s="77">
        <f>$CB$69*VLOOKUP($CB$11,'PCU Values'!$B$9:$C$16,2,FALSE)</f>
        <v>0</v>
      </c>
      <c r="CK69" s="77">
        <f>$CC$69*VLOOKUP($CC$11,'PCU Values'!$B$9:$C$16,2,FALSE)</f>
        <v>4</v>
      </c>
      <c r="CL69" s="77">
        <f>$CD$69*VLOOKUP($CD$11,'PCU Values'!$B$9:$C$16,2,FALSE)</f>
        <v>2</v>
      </c>
      <c r="CM69" s="77">
        <f>$CE$69*VLOOKUP($CE$11,'PCU Values'!$B$9:$C$16,2,FALSE)</f>
        <v>0.4</v>
      </c>
      <c r="CN69" s="78">
        <f>$CF$69*VLOOKUP($CF$11,'PCU Values'!$B$9:$C$16,2,FALSE)</f>
        <v>1.5</v>
      </c>
      <c r="CO69" s="66">
        <f>SUM($CG$69,$CH$69,$CI$69,$CJ$69,$CK$69,$CL$69,$CM$69,$CN$69)</f>
        <v>72.900000000000006</v>
      </c>
      <c r="CP69" s="52">
        <f>SUM($BY$69,$BZ$69,$CA$69,$CB$69,$CC$69,$CD$69,$CE$69,$CF$69)</f>
        <v>78</v>
      </c>
      <c r="CQ69" s="89">
        <f>SUM('J1 A - (North) Bishopthorpe Roa'!$BE$69,'J1 B - Butcher Terrace'!$AM$69,'J1 C - (South) Bishopthorpe Roa'!$U$69,'J1 D - South Bank Avenue'!$C$69)</f>
        <v>47</v>
      </c>
      <c r="CR69" s="83">
        <f>SUM('J1 A - (North) Bishopthorpe Roa'!$BF$69,'J1 B - Butcher Terrace'!$AN$69,'J1 C - (South) Bishopthorpe Roa'!$V$69,'J1 D - South Bank Avenue'!$D$69)</f>
        <v>7</v>
      </c>
      <c r="CS69" s="83">
        <f>SUM('J1 A - (North) Bishopthorpe Roa'!$BG$69,'J1 B - Butcher Terrace'!$AO$69,'J1 C - (South) Bishopthorpe Roa'!$W$69,'J1 D - South Bank Avenue'!$E$69)</f>
        <v>1</v>
      </c>
      <c r="CT69" s="83">
        <f>SUM('J1 A - (North) Bishopthorpe Roa'!$BH$69,'J1 B - Butcher Terrace'!$AP$69,'J1 C - (South) Bishopthorpe Roa'!$X$69,'J1 D - South Bank Avenue'!$F$69)</f>
        <v>0</v>
      </c>
      <c r="CU69" s="83">
        <f>SUM('J1 A - (North) Bishopthorpe Roa'!$BI$69,'J1 B - Butcher Terrace'!$AQ$69,'J1 C - (South) Bishopthorpe Roa'!$Y$69,'J1 D - South Bank Avenue'!$G$69)</f>
        <v>1</v>
      </c>
      <c r="CV69" s="83">
        <f>SUM('J1 A - (North) Bishopthorpe Roa'!$BJ$69,'J1 B - Butcher Terrace'!$AR$69,'J1 C - (South) Bishopthorpe Roa'!$Z$69,'J1 D - South Bank Avenue'!$H$69)</f>
        <v>10</v>
      </c>
      <c r="CW69" s="83">
        <f>SUM('J1 A - (North) Bishopthorpe Roa'!$BK$69,'J1 B - Butcher Terrace'!$AS$69,'J1 C - (South) Bishopthorpe Roa'!$AA$69,'J1 D - South Bank Avenue'!$I$69)</f>
        <v>1</v>
      </c>
      <c r="CX69" s="86">
        <f>SUM('J1 A - (North) Bishopthorpe Roa'!$BL$69,'J1 B - Butcher Terrace'!$AT$69,'J1 C - (South) Bishopthorpe Roa'!$AB$69,'J1 D - South Bank Avenue'!$J$69)</f>
        <v>0</v>
      </c>
      <c r="CY69" s="77">
        <f>$CQ$69*VLOOKUP($CQ$11,'PCU Values'!$B$9:$C$16,2,FALSE)</f>
        <v>47</v>
      </c>
      <c r="CZ69" s="77">
        <f>$CR$69*VLOOKUP($CR$11,'PCU Values'!$B$9:$C$16,2,FALSE)</f>
        <v>7</v>
      </c>
      <c r="DA69" s="77">
        <f>$CS$69*VLOOKUP($CS$11,'PCU Values'!$B$9:$C$16,2,FALSE)</f>
        <v>1.5</v>
      </c>
      <c r="DB69" s="77">
        <f>$CT$69*VLOOKUP($CT$11,'PCU Values'!$B$9:$C$16,2,FALSE)</f>
        <v>0</v>
      </c>
      <c r="DC69" s="77">
        <f>$CU$69*VLOOKUP($CU$11,'PCU Values'!$B$9:$C$16,2,FALSE)</f>
        <v>2</v>
      </c>
      <c r="DD69" s="77">
        <f>$CV$69*VLOOKUP($CV$11,'PCU Values'!$B$9:$C$16,2,FALSE)</f>
        <v>2</v>
      </c>
      <c r="DE69" s="77">
        <f>$CW$69*VLOOKUP($CW$11,'PCU Values'!$B$9:$C$16,2,FALSE)</f>
        <v>0.4</v>
      </c>
      <c r="DF69" s="78">
        <f>$CX$69*VLOOKUP($CX$11,'PCU Values'!$B$9:$C$16,2,FALSE)</f>
        <v>0</v>
      </c>
      <c r="DG69" s="66">
        <f>SUM($CY$69,$CZ$69,$DA$69,$DB$69,$DC$69,$DD$69,$DE$69,$DF$69)</f>
        <v>59.9</v>
      </c>
      <c r="DH69" s="52">
        <f>SUM($CQ$69,$CR$69,$CS$69,$CT$69,$CU$69,$CV$69,$CW$69,$CX$69)</f>
        <v>67</v>
      </c>
    </row>
    <row r="70" spans="1:112" ht="21" customHeight="1">
      <c r="A70" s="46">
        <v>44395.489583333299</v>
      </c>
      <c r="B70" s="50" t="s">
        <v>78</v>
      </c>
      <c r="C70" s="51">
        <v>4</v>
      </c>
      <c r="D70" s="51">
        <v>0</v>
      </c>
      <c r="E70" s="51">
        <v>0</v>
      </c>
      <c r="F70" s="51">
        <v>0</v>
      </c>
      <c r="G70" s="51">
        <v>0</v>
      </c>
      <c r="H70" s="51">
        <v>3</v>
      </c>
      <c r="I70" s="51">
        <v>0</v>
      </c>
      <c r="J70" s="59">
        <v>1</v>
      </c>
      <c r="K70" s="60">
        <f>$C$70*VLOOKUP($C$11,'PCU Values'!$B$9:$C$16,2,FALSE)</f>
        <v>4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0.6</v>
      </c>
      <c r="Q70" s="60">
        <f>$I$70*VLOOKUP($I$11,'PCU Values'!$B$9:$C$16,2,FALSE)</f>
        <v>0</v>
      </c>
      <c r="R70" s="68">
        <f>$J$70*VLOOKUP($J$11,'PCU Values'!$B$9:$C$16,2,FALSE)</f>
        <v>1.5</v>
      </c>
      <c r="S70" s="63">
        <f>SUM($K$70,$L$70,$M$70,$N$70,$O$70,$P$70,$Q$70,$R$70)</f>
        <v>6.1</v>
      </c>
      <c r="T70" s="52">
        <f>SUM($C$70,$D$70,$E$70,$F$70,$G$70,$H$70,$I$70,$J$70)</f>
        <v>8</v>
      </c>
      <c r="U70" s="73">
        <v>56</v>
      </c>
      <c r="V70" s="51">
        <v>4</v>
      </c>
      <c r="W70" s="51">
        <v>0</v>
      </c>
      <c r="X70" s="51">
        <v>0</v>
      </c>
      <c r="Y70" s="51">
        <v>0</v>
      </c>
      <c r="Z70" s="51">
        <v>1</v>
      </c>
      <c r="AA70" s="51">
        <v>0</v>
      </c>
      <c r="AB70" s="59">
        <v>0</v>
      </c>
      <c r="AC70" s="60">
        <f>$U$70*VLOOKUP($U$11,'PCU Values'!$B$9:$C$16,2,FALSE)</f>
        <v>56</v>
      </c>
      <c r="AD70" s="60">
        <f>$V$70*VLOOKUP($V$11,'PCU Values'!$B$9:$C$16,2,FALSE)</f>
        <v>4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0.2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60.2</v>
      </c>
      <c r="AL70" s="52">
        <f>SUM($U$70,$V$70,$W$70,$X$70,$Y$70,$Z$70,$AA$70,$AB$70)</f>
        <v>61</v>
      </c>
      <c r="AM70" s="69">
        <v>6</v>
      </c>
      <c r="AN70" s="51">
        <v>1</v>
      </c>
      <c r="AO70" s="51">
        <v>0</v>
      </c>
      <c r="AP70" s="51">
        <v>0</v>
      </c>
      <c r="AQ70" s="51">
        <v>0</v>
      </c>
      <c r="AR70" s="55">
        <v>2</v>
      </c>
      <c r="AS70" s="51">
        <v>0</v>
      </c>
      <c r="AT70" s="59">
        <v>0</v>
      </c>
      <c r="AU70" s="60">
        <f>$AM$70*VLOOKUP($AM$11,'PCU Values'!$B$9:$C$16,2,FALSE)</f>
        <v>6</v>
      </c>
      <c r="AV70" s="60">
        <f>$AN$70*VLOOKUP($AN$11,'PCU Values'!$B$9:$C$16,2,FALSE)</f>
        <v>1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0.4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7.4</v>
      </c>
      <c r="BD70" s="52">
        <f>SUM($AM$70,$AN$70,$AO$70,$AP$70,$AQ$70,$AR$70,$AS$70,$AT$70)</f>
        <v>9</v>
      </c>
      <c r="BE70" s="73">
        <v>3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3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3</v>
      </c>
      <c r="BV70" s="52">
        <f>SUM($BE$70,$BF$70,$BG$70,$BH$70,$BI$70,$BJ$70,$BK$70,$BL$70)</f>
        <v>3</v>
      </c>
      <c r="BX70" s="50" t="s">
        <v>78</v>
      </c>
      <c r="BY70" s="84">
        <f>SUM($C$70,$U$70,$AM$70,$BE$70)</f>
        <v>69</v>
      </c>
      <c r="BZ70" s="84">
        <f>SUM($D$70,$V$70,$AN$70,$BF$70)</f>
        <v>5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6</v>
      </c>
      <c r="CE70" s="84">
        <f>SUM($I$70,$AA$70,$AS$70,$BK$70)</f>
        <v>0</v>
      </c>
      <c r="CF70" s="87">
        <f>SUM($J$70,$AB$70,$AT$70,$BL$70)</f>
        <v>1</v>
      </c>
      <c r="CG70" s="79">
        <f>$BY$70*VLOOKUP($BY$11,'PCU Values'!$B$9:$C$16,2,FALSE)</f>
        <v>69</v>
      </c>
      <c r="CH70" s="79">
        <f>$BZ$70*VLOOKUP($BZ$11,'PCU Values'!$B$9:$C$16,2,FALSE)</f>
        <v>5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1.2</v>
      </c>
      <c r="CM70" s="79">
        <f>$CE$70*VLOOKUP($CE$11,'PCU Values'!$B$9:$C$16,2,FALSE)</f>
        <v>0</v>
      </c>
      <c r="CN70" s="80">
        <f>$CF$70*VLOOKUP($CF$11,'PCU Values'!$B$9:$C$16,2,FALSE)</f>
        <v>1.5</v>
      </c>
      <c r="CO70" s="63">
        <f>SUM($CG$70,$CH$70,$CI$70,$CJ$70,$CK$70,$CL$70,$CM$70,$CN$70)</f>
        <v>76.7</v>
      </c>
      <c r="CP70" s="52">
        <f>SUM($BY$70,$BZ$70,$CA$70,$CB$70,$CC$70,$CD$70,$CE$70,$CF$70)</f>
        <v>81</v>
      </c>
      <c r="CQ70" s="90">
        <f>SUM('J1 A - (North) Bishopthorpe Roa'!$BE$70,'J1 B - Butcher Terrace'!$AM$70,'J1 C - (South) Bishopthorpe Roa'!$U$70,'J1 D - South Bank Avenue'!$C$70)</f>
        <v>59</v>
      </c>
      <c r="CR70" s="84">
        <f>SUM('J1 A - (North) Bishopthorpe Roa'!$BF$70,'J1 B - Butcher Terrace'!$AN$70,'J1 C - (South) Bishopthorpe Roa'!$V$70,'J1 D - South Bank Avenue'!$D$70)</f>
        <v>3</v>
      </c>
      <c r="CS70" s="84">
        <f>SUM('J1 A - (North) Bishopthorpe Roa'!$BG$70,'J1 B - Butcher Terrace'!$AO$70,'J1 C - (South) Bishopthorpe Roa'!$W$70,'J1 D - South Bank Avenue'!$E$70)</f>
        <v>3</v>
      </c>
      <c r="CT70" s="84">
        <f>SUM('J1 A - (North) Bishopthorpe Roa'!$BH$70,'J1 B - Butcher Terrace'!$AP$70,'J1 C - (South) Bishopthorpe Roa'!$X$70,'J1 D - South Bank Avenue'!$F$70)</f>
        <v>0</v>
      </c>
      <c r="CU70" s="84">
        <f>SUM('J1 A - (North) Bishopthorpe Roa'!$BI$70,'J1 B - Butcher Terrace'!$AQ$70,'J1 C - (South) Bishopthorpe Roa'!$Y$70,'J1 D - South Bank Avenue'!$G$70)</f>
        <v>1</v>
      </c>
      <c r="CV70" s="84">
        <f>SUM('J1 A - (North) Bishopthorpe Roa'!$BJ$70,'J1 B - Butcher Terrace'!$AR$70,'J1 C - (South) Bishopthorpe Roa'!$Z$70,'J1 D - South Bank Avenue'!$H$70)</f>
        <v>5</v>
      </c>
      <c r="CW70" s="84">
        <f>SUM('J1 A - (North) Bishopthorpe Roa'!$BK$70,'J1 B - Butcher Terrace'!$AS$70,'J1 C - (South) Bishopthorpe Roa'!$AA$70,'J1 D - South Bank Avenue'!$I$70)</f>
        <v>0</v>
      </c>
      <c r="CX70" s="87">
        <f>SUM('J1 A - (North) Bishopthorpe Roa'!$BL$70,'J1 B - Butcher Terrace'!$AT$70,'J1 C - (South) Bishopthorpe Roa'!$AB$70,'J1 D - South Bank Avenue'!$J$70)</f>
        <v>0</v>
      </c>
      <c r="CY70" s="79">
        <f>$CQ$70*VLOOKUP($CQ$11,'PCU Values'!$B$9:$C$16,2,FALSE)</f>
        <v>59</v>
      </c>
      <c r="CZ70" s="79">
        <f>$CR$70*VLOOKUP($CR$11,'PCU Values'!$B$9:$C$16,2,FALSE)</f>
        <v>3</v>
      </c>
      <c r="DA70" s="79">
        <f>$CS$70*VLOOKUP($CS$11,'PCU Values'!$B$9:$C$16,2,FALSE)</f>
        <v>4.5</v>
      </c>
      <c r="DB70" s="79">
        <f>$CT$70*VLOOKUP($CT$11,'PCU Values'!$B$9:$C$16,2,FALSE)</f>
        <v>0</v>
      </c>
      <c r="DC70" s="79">
        <f>$CU$70*VLOOKUP($CU$11,'PCU Values'!$B$9:$C$16,2,FALSE)</f>
        <v>2</v>
      </c>
      <c r="DD70" s="79">
        <f>$CV$70*VLOOKUP($CV$11,'PCU Values'!$B$9:$C$16,2,FALSE)</f>
        <v>1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69.5</v>
      </c>
      <c r="DH70" s="52">
        <f>SUM($CQ$70,$CR$70,$CS$70,$CT$70,$CU$70,$CV$70,$CW$70,$CX$70)</f>
        <v>71</v>
      </c>
    </row>
    <row r="71" spans="1:112">
      <c r="B71" s="52" t="s">
        <v>34</v>
      </c>
      <c r="C71" s="52">
        <f>SUM($C$67:$C$70)</f>
        <v>15</v>
      </c>
      <c r="D71" s="52">
        <f>SUM($D$67:$D$70)</f>
        <v>3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12</v>
      </c>
      <c r="I71" s="52">
        <f>SUM($I$67:$I$70)</f>
        <v>0</v>
      </c>
      <c r="J71" s="52">
        <f>SUM($J$67:$J$70)</f>
        <v>1</v>
      </c>
      <c r="K71" s="52">
        <f>SUM($K$67:$K$70)</f>
        <v>15</v>
      </c>
      <c r="L71" s="52">
        <f>SUM($L$67:$L$70)</f>
        <v>3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2</v>
      </c>
      <c r="Q71" s="52">
        <f>SUM($Q$67:$Q$70)</f>
        <v>0</v>
      </c>
      <c r="R71" s="52">
        <f>SUM($R$67:$R$70)</f>
        <v>2</v>
      </c>
      <c r="S71" s="52">
        <f>SUM($K$71,$L$71,$M$71,$N$71,$O$71,$P$71,$Q$71,$R$71)</f>
        <v>22</v>
      </c>
      <c r="T71" s="52">
        <f>SUM($C$71,$D$71,$E$71,$F$71,$G$71,$H$71,$I$71,$J$71)</f>
        <v>31</v>
      </c>
      <c r="U71" s="52">
        <f>SUM($U$67:$U$70)</f>
        <v>182</v>
      </c>
      <c r="V71" s="52">
        <f>SUM($V$67:$V$70)</f>
        <v>19</v>
      </c>
      <c r="W71" s="52">
        <f>SUM($W$67:$W$70)</f>
        <v>3</v>
      </c>
      <c r="X71" s="52">
        <f>SUM($X$67:$X$70)</f>
        <v>0</v>
      </c>
      <c r="Y71" s="52">
        <f>SUM($Y$67:$Y$70)</f>
        <v>4</v>
      </c>
      <c r="Z71" s="52">
        <f>SUM($Z$67:$Z$70)</f>
        <v>11</v>
      </c>
      <c r="AA71" s="52">
        <f>SUM($AA$67:$AA$70)</f>
        <v>1</v>
      </c>
      <c r="AB71" s="52">
        <f>SUM($AB$67:$AB$70)</f>
        <v>1</v>
      </c>
      <c r="AC71" s="52">
        <f>SUM($AC$67:$AC$70)</f>
        <v>182</v>
      </c>
      <c r="AD71" s="52">
        <f>SUM($AD$67:$AD$70)</f>
        <v>19</v>
      </c>
      <c r="AE71" s="52">
        <f>SUM($AE$67:$AE$70)</f>
        <v>5</v>
      </c>
      <c r="AF71" s="52">
        <f>SUM($AF$67:$AF$70)</f>
        <v>0</v>
      </c>
      <c r="AG71" s="52">
        <f>SUM($AG$67:$AG$70)</f>
        <v>8</v>
      </c>
      <c r="AH71" s="52">
        <f>SUM($AH$67:$AH$70)</f>
        <v>2</v>
      </c>
      <c r="AI71" s="52">
        <f>SUM($AI$67:$AI$70)</f>
        <v>0</v>
      </c>
      <c r="AJ71" s="52">
        <f>SUM($AJ$67:$AJ$70)</f>
        <v>2</v>
      </c>
      <c r="AK71" s="52">
        <f>SUM($AC$71,$AD$71,$AE$71,$AF$71,$AG$71,$AH$71,$AI$71,$AJ$71)</f>
        <v>218</v>
      </c>
      <c r="AL71" s="52">
        <f>SUM($U$71,$V$71,$W$71,$X$71,$Y$71,$Z$71,$AA$71,$AB$71)</f>
        <v>221</v>
      </c>
      <c r="AM71" s="52">
        <f>SUM($AM$67:$AM$70)</f>
        <v>20</v>
      </c>
      <c r="AN71" s="52">
        <f>SUM($AN$67:$AN$70)</f>
        <v>4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2</v>
      </c>
      <c r="AS71" s="52">
        <f>SUM($AS$67:$AS$70)</f>
        <v>0</v>
      </c>
      <c r="AT71" s="52">
        <f>SUM($AT$67:$AT$70)</f>
        <v>0</v>
      </c>
      <c r="AU71" s="52">
        <f>SUM($AU$67:$AU$70)</f>
        <v>20</v>
      </c>
      <c r="AV71" s="52">
        <f>SUM($AV$67:$AV$70)</f>
        <v>4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24</v>
      </c>
      <c r="BD71" s="52">
        <f>SUM($AM$71,$AN$71,$AO$71,$AP$71,$AQ$71,$AR$71,$AS$71,$AT$71)</f>
        <v>26</v>
      </c>
      <c r="BE71" s="52">
        <f>SUM($BE$67:$BE$70)</f>
        <v>3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3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3</v>
      </c>
      <c r="BV71" s="52">
        <f>SUM($BE$71,$BF$71,$BG$71,$BH$71,$BI$71,$BJ$71,$BK$71,$BL$71)</f>
        <v>3</v>
      </c>
      <c r="BX71" s="52" t="s">
        <v>34</v>
      </c>
      <c r="BY71" s="52">
        <f>SUM($BY$67:$BY$70)</f>
        <v>220</v>
      </c>
      <c r="BZ71" s="52">
        <f>SUM($BZ$67:$BZ$70)</f>
        <v>26</v>
      </c>
      <c r="CA71" s="52">
        <f>SUM($CA$67:$CA$70)</f>
        <v>3</v>
      </c>
      <c r="CB71" s="52">
        <f>SUM($CB$67:$CB$70)</f>
        <v>0</v>
      </c>
      <c r="CC71" s="52">
        <f>SUM($CC$67:$CC$70)</f>
        <v>4</v>
      </c>
      <c r="CD71" s="52">
        <f>SUM($CD$67:$CD$70)</f>
        <v>25</v>
      </c>
      <c r="CE71" s="52">
        <f>SUM($CE$67:$CE$70)</f>
        <v>1</v>
      </c>
      <c r="CF71" s="52">
        <f>SUM($CF$67:$CF$70)</f>
        <v>2</v>
      </c>
      <c r="CG71" s="52">
        <f>SUM($CG$67:$CG$70)</f>
        <v>220</v>
      </c>
      <c r="CH71" s="52">
        <f>SUM($CH$67:$CH$70)</f>
        <v>26</v>
      </c>
      <c r="CI71" s="52">
        <f>SUM($CI$67:$CI$70)</f>
        <v>5</v>
      </c>
      <c r="CJ71" s="52">
        <f>SUM($CJ$67:$CJ$70)</f>
        <v>0</v>
      </c>
      <c r="CK71" s="52">
        <f>SUM($CK$67:$CK$70)</f>
        <v>8</v>
      </c>
      <c r="CL71" s="52">
        <f>SUM($CL$67:$CL$70)</f>
        <v>5</v>
      </c>
      <c r="CM71" s="52">
        <f>SUM($CM$67:$CM$70)</f>
        <v>0</v>
      </c>
      <c r="CN71" s="52">
        <f>SUM($CN$67:$CN$70)</f>
        <v>3</v>
      </c>
      <c r="CO71" s="52">
        <f>SUM($CG$71,$CH$71,$CI$71,$CJ$71,$CK$71,$CL$71,$CM$71,$CN$71)</f>
        <v>267</v>
      </c>
      <c r="CP71" s="52">
        <f>SUM($BY$71,$BZ$71,$CA$71,$CB$71,$CC$71,$CD$71,$CE$71,$CF$71)</f>
        <v>281</v>
      </c>
      <c r="CQ71" s="52">
        <f>SUM($CQ$67:$CQ$70)</f>
        <v>200</v>
      </c>
      <c r="CR71" s="52">
        <f>SUM($CR$67:$CR$70)</f>
        <v>22</v>
      </c>
      <c r="CS71" s="52">
        <f>SUM($CS$67:$CS$70)</f>
        <v>9</v>
      </c>
      <c r="CT71" s="52">
        <f>SUM($CT$67:$CT$70)</f>
        <v>0</v>
      </c>
      <c r="CU71" s="52">
        <f>SUM($CU$67:$CU$70)</f>
        <v>3</v>
      </c>
      <c r="CV71" s="52">
        <f>SUM($CV$67:$CV$70)</f>
        <v>17</v>
      </c>
      <c r="CW71" s="52">
        <f>SUM($CW$67:$CW$70)</f>
        <v>1</v>
      </c>
      <c r="CX71" s="52">
        <f>SUM($CX$67:$CX$70)</f>
        <v>1</v>
      </c>
      <c r="CY71" s="52">
        <f>SUM($CY$67:$CY$70)</f>
        <v>200</v>
      </c>
      <c r="CZ71" s="52">
        <f>SUM($CZ$67:$CZ$70)</f>
        <v>22</v>
      </c>
      <c r="DA71" s="52">
        <f>SUM($DA$67:$DA$70)</f>
        <v>14</v>
      </c>
      <c r="DB71" s="52">
        <f>SUM($DB$67:$DB$70)</f>
        <v>0</v>
      </c>
      <c r="DC71" s="52">
        <f>SUM($DC$67:$DC$70)</f>
        <v>6</v>
      </c>
      <c r="DD71" s="52">
        <f>SUM($DD$67:$DD$70)</f>
        <v>3</v>
      </c>
      <c r="DE71" s="52">
        <f>SUM($DE$67:$DE$70)</f>
        <v>0</v>
      </c>
      <c r="DF71" s="52">
        <f>SUM($DF$67:$DF$70)</f>
        <v>2</v>
      </c>
      <c r="DG71" s="52">
        <f>SUM($CY$71,$CZ$71,$DA$71,$DB$71,$DC$71,$DD$71,$DE$71,$DF$71)</f>
        <v>247</v>
      </c>
      <c r="DH71" s="52">
        <f>SUM($CQ$71,$CR$71,$CS$71,$CT$71,$CU$71,$CV$71,$CW$71,$CX$71)</f>
        <v>253</v>
      </c>
    </row>
    <row r="72" spans="1:112" ht="21" customHeight="1">
      <c r="A72" s="46">
        <v>44395.5</v>
      </c>
      <c r="B72" s="53" t="s">
        <v>79</v>
      </c>
      <c r="C72" s="54">
        <v>2</v>
      </c>
      <c r="D72" s="54">
        <v>1</v>
      </c>
      <c r="E72" s="54">
        <v>1</v>
      </c>
      <c r="F72" s="54">
        <v>0</v>
      </c>
      <c r="G72" s="54">
        <v>0</v>
      </c>
      <c r="H72" s="54">
        <v>4</v>
      </c>
      <c r="I72" s="54">
        <v>0</v>
      </c>
      <c r="J72" s="61">
        <v>0</v>
      </c>
      <c r="K72" s="62">
        <f>$C$72*VLOOKUP($C$11,'PCU Values'!$B$9:$C$16,2,FALSE)</f>
        <v>2</v>
      </c>
      <c r="L72" s="62">
        <f>$D$72*VLOOKUP($D$11,'PCU Values'!$B$9:$C$16,2,FALSE)</f>
        <v>1</v>
      </c>
      <c r="M72" s="62">
        <f>$E$72*VLOOKUP($E$11,'PCU Values'!$B$9:$C$16,2,FALSE)</f>
        <v>1.5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0.8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5.3</v>
      </c>
      <c r="T72" s="52">
        <f>SUM($C$72,$D$72,$E$72,$F$72,$G$72,$H$72,$I$72,$J$72)</f>
        <v>8</v>
      </c>
      <c r="U72" s="72">
        <v>45</v>
      </c>
      <c r="V72" s="75">
        <v>10</v>
      </c>
      <c r="W72" s="75">
        <v>1</v>
      </c>
      <c r="X72" s="75">
        <v>0</v>
      </c>
      <c r="Y72" s="75">
        <v>1</v>
      </c>
      <c r="Z72" s="75">
        <v>2</v>
      </c>
      <c r="AA72" s="54">
        <v>0</v>
      </c>
      <c r="AB72" s="61">
        <v>0</v>
      </c>
      <c r="AC72" s="62">
        <f>$U$72*VLOOKUP($U$11,'PCU Values'!$B$9:$C$16,2,FALSE)</f>
        <v>45</v>
      </c>
      <c r="AD72" s="62">
        <f>$V$72*VLOOKUP($V$11,'PCU Values'!$B$9:$C$16,2,FALSE)</f>
        <v>10</v>
      </c>
      <c r="AE72" s="62">
        <f>$W$72*VLOOKUP($W$11,'PCU Values'!$B$9:$C$16,2,FALSE)</f>
        <v>1.5</v>
      </c>
      <c r="AF72" s="62">
        <f>$X$72*VLOOKUP($X$11,'PCU Values'!$B$9:$C$16,2,FALSE)</f>
        <v>0</v>
      </c>
      <c r="AG72" s="62">
        <f>$Y$72*VLOOKUP($Y$11,'PCU Values'!$B$9:$C$16,2,FALSE)</f>
        <v>2</v>
      </c>
      <c r="AH72" s="62">
        <f>$Z$72*VLOOKUP($Z$11,'PCU Values'!$B$9:$C$16,2,FALSE)</f>
        <v>0.4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58.9</v>
      </c>
      <c r="AL72" s="52">
        <f>SUM($U$72,$V$72,$W$72,$X$72,$Y$72,$Z$72,$AA$72,$AB$72)</f>
        <v>59</v>
      </c>
      <c r="AM72" s="72">
        <v>8</v>
      </c>
      <c r="AN72" s="54">
        <v>0</v>
      </c>
      <c r="AO72" s="54">
        <v>0</v>
      </c>
      <c r="AP72" s="54">
        <v>0</v>
      </c>
      <c r="AQ72" s="54">
        <v>0</v>
      </c>
      <c r="AR72" s="54">
        <v>1</v>
      </c>
      <c r="AS72" s="54">
        <v>0</v>
      </c>
      <c r="AT72" s="61">
        <v>0</v>
      </c>
      <c r="AU72" s="62">
        <f>$AM$72*VLOOKUP($AM$11,'PCU Values'!$B$9:$C$16,2,FALSE)</f>
        <v>8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8.1999999999999993</v>
      </c>
      <c r="BD72" s="52">
        <f>SUM($AM$72,$AN$72,$AO$72,$AP$72,$AQ$72,$AR$72,$AS$72,$AT$72)</f>
        <v>9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55</v>
      </c>
      <c r="BZ72" s="85">
        <f>SUM($D$72,$V$72,$AN$72,$BF$72)</f>
        <v>11</v>
      </c>
      <c r="CA72" s="85">
        <f>SUM($E$72,$W$72,$AO$72,$BG$72)</f>
        <v>2</v>
      </c>
      <c r="CB72" s="85">
        <f>SUM($F$72,$X$72,$AP$72,$BH$72)</f>
        <v>0</v>
      </c>
      <c r="CC72" s="85">
        <f>SUM($G$72,$Y$72,$AQ$72,$BI$72)</f>
        <v>1</v>
      </c>
      <c r="CD72" s="85">
        <f>SUM($H$72,$Z$72,$AR$72,$BJ$72)</f>
        <v>7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55</v>
      </c>
      <c r="CH72" s="81">
        <f>$BZ$72*VLOOKUP($BZ$11,'PCU Values'!$B$9:$C$16,2,FALSE)</f>
        <v>11</v>
      </c>
      <c r="CI72" s="81">
        <f>$CA$72*VLOOKUP($CA$11,'PCU Values'!$B$9:$C$16,2,FALSE)</f>
        <v>3</v>
      </c>
      <c r="CJ72" s="81">
        <f>$CB$72*VLOOKUP($CB$11,'PCU Values'!$B$9:$C$16,2,FALSE)</f>
        <v>0</v>
      </c>
      <c r="CK72" s="81">
        <f>$CC$72*VLOOKUP($CC$11,'PCU Values'!$B$9:$C$16,2,FALSE)</f>
        <v>2</v>
      </c>
      <c r="CL72" s="81">
        <f>$CD$72*VLOOKUP($CD$11,'PCU Values'!$B$9:$C$16,2,FALSE)</f>
        <v>1.4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72.400000000000006</v>
      </c>
      <c r="CP72" s="52">
        <f>SUM($BY$72,$BZ$72,$CA$72,$CB$72,$CC$72,$CD$72,$CE$72,$CF$72)</f>
        <v>76</v>
      </c>
      <c r="CQ72" s="91">
        <f>SUM('J1 A - (North) Bishopthorpe Roa'!$BE$72,'J1 B - Butcher Terrace'!$AM$72,'J1 C - (South) Bishopthorpe Roa'!$U$72,'J1 D - South Bank Avenue'!$C$72)</f>
        <v>74</v>
      </c>
      <c r="CR72" s="85">
        <f>SUM('J1 A - (North) Bishopthorpe Roa'!$BF$72,'J1 B - Butcher Terrace'!$AN$72,'J1 C - (South) Bishopthorpe Roa'!$V$72,'J1 D - South Bank Avenue'!$D$72)</f>
        <v>9</v>
      </c>
      <c r="CS72" s="85">
        <f>SUM('J1 A - (North) Bishopthorpe Roa'!$BG$72,'J1 B - Butcher Terrace'!$AO$72,'J1 C - (South) Bishopthorpe Roa'!$W$72,'J1 D - South Bank Avenue'!$E$72)</f>
        <v>0</v>
      </c>
      <c r="CT72" s="85">
        <f>SUM('J1 A - (North) Bishopthorpe Roa'!$BH$72,'J1 B - Butcher Terrace'!$AP$72,'J1 C - (South) Bishopthorpe Roa'!$X$72,'J1 D - South Bank Avenue'!$F$72)</f>
        <v>0</v>
      </c>
      <c r="CU72" s="85">
        <f>SUM('J1 A - (North) Bishopthorpe Roa'!$BI$72,'J1 B - Butcher Terrace'!$AQ$72,'J1 C - (South) Bishopthorpe Roa'!$Y$72,'J1 D - South Bank Avenue'!$G$72)</f>
        <v>2</v>
      </c>
      <c r="CV72" s="85">
        <f>SUM('J1 A - (North) Bishopthorpe Roa'!$BJ$72,'J1 B - Butcher Terrace'!$AR$72,'J1 C - (South) Bishopthorpe Roa'!$Z$72,'J1 D - South Bank Avenue'!$H$72)</f>
        <v>9</v>
      </c>
      <c r="CW72" s="85">
        <f>SUM('J1 A - (North) Bishopthorpe Roa'!$BK$72,'J1 B - Butcher Terrace'!$AS$72,'J1 C - (South) Bishopthorpe Roa'!$AA$72,'J1 D - South Bank Avenue'!$I$72)</f>
        <v>0</v>
      </c>
      <c r="CX72" s="88">
        <f>SUM('J1 A - (North) Bishopthorpe Roa'!$BL$72,'J1 B - Butcher Terrace'!$AT$72,'J1 C - (South) Bishopthorpe Roa'!$AB$72,'J1 D - South Bank Avenue'!$J$72)</f>
        <v>0</v>
      </c>
      <c r="CY72" s="81">
        <f>$CQ$72*VLOOKUP($CQ$11,'PCU Values'!$B$9:$C$16,2,FALSE)</f>
        <v>74</v>
      </c>
      <c r="CZ72" s="81">
        <f>$CR$72*VLOOKUP($CR$11,'PCU Values'!$B$9:$C$16,2,FALSE)</f>
        <v>9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4</v>
      </c>
      <c r="DD72" s="81">
        <f>$CV$72*VLOOKUP($CV$11,'PCU Values'!$B$9:$C$16,2,FALSE)</f>
        <v>1.8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88.8</v>
      </c>
      <c r="DH72" s="52">
        <f>SUM($CQ$72,$CR$72,$CS$72,$CT$72,$CU$72,$CV$72,$CW$72,$CX$72)</f>
        <v>94</v>
      </c>
    </row>
    <row r="73" spans="1:112" ht="21" customHeight="1">
      <c r="A73" s="46">
        <v>44395.510416666701</v>
      </c>
      <c r="B73" s="47" t="s">
        <v>80</v>
      </c>
      <c r="C73" s="48">
        <v>4</v>
      </c>
      <c r="D73" s="48">
        <v>3</v>
      </c>
      <c r="E73" s="48">
        <v>0</v>
      </c>
      <c r="F73" s="48">
        <v>0</v>
      </c>
      <c r="G73" s="48">
        <v>0</v>
      </c>
      <c r="H73" s="48">
        <v>3</v>
      </c>
      <c r="I73" s="48">
        <v>0</v>
      </c>
      <c r="J73" s="56">
        <v>0</v>
      </c>
      <c r="K73" s="57">
        <f>$C$73*VLOOKUP($C$11,'PCU Values'!$B$9:$C$16,2,FALSE)</f>
        <v>4</v>
      </c>
      <c r="L73" s="57">
        <f>$D$73*VLOOKUP($D$11,'PCU Values'!$B$9:$C$16,2,FALSE)</f>
        <v>3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0.6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7.6</v>
      </c>
      <c r="T73" s="52">
        <f>SUM($C$73,$D$73,$E$73,$F$73,$G$73,$H$73,$I$73,$J$73)</f>
        <v>10</v>
      </c>
      <c r="U73" s="67">
        <v>59</v>
      </c>
      <c r="V73" s="48">
        <v>6</v>
      </c>
      <c r="W73" s="48">
        <v>0</v>
      </c>
      <c r="X73" s="48">
        <v>0</v>
      </c>
      <c r="Y73" s="48">
        <v>0</v>
      </c>
      <c r="Z73" s="48">
        <v>8</v>
      </c>
      <c r="AA73" s="48">
        <v>2</v>
      </c>
      <c r="AB73" s="56">
        <v>0</v>
      </c>
      <c r="AC73" s="57">
        <f>$U$73*VLOOKUP($U$11,'PCU Values'!$B$9:$C$16,2,FALSE)</f>
        <v>59</v>
      </c>
      <c r="AD73" s="57">
        <f>$V$73*VLOOKUP($V$11,'PCU Values'!$B$9:$C$16,2,FALSE)</f>
        <v>6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1.6</v>
      </c>
      <c r="AI73" s="57">
        <f>$AA$73*VLOOKUP($AA$11,'PCU Values'!$B$9:$C$16,2,FALSE)</f>
        <v>0.8</v>
      </c>
      <c r="AJ73" s="65">
        <f>$AB$73*VLOOKUP($AB$11,'PCU Values'!$B$9:$C$16,2,FALSE)</f>
        <v>0</v>
      </c>
      <c r="AK73" s="66">
        <f>SUM($AC$73,$AD$73,$AE$73,$AF$73,$AG$73,$AH$73,$AI$73,$AJ$73)</f>
        <v>67.400000000000006</v>
      </c>
      <c r="AL73" s="52">
        <f>SUM($U$73,$V$73,$W$73,$X$73,$Y$73,$Z$73,$AA$73,$AB$73)</f>
        <v>75</v>
      </c>
      <c r="AM73" s="67">
        <v>8</v>
      </c>
      <c r="AN73" s="48">
        <v>1</v>
      </c>
      <c r="AO73" s="48">
        <v>0</v>
      </c>
      <c r="AP73" s="48">
        <v>0</v>
      </c>
      <c r="AQ73" s="48">
        <v>0</v>
      </c>
      <c r="AR73" s="48">
        <v>1</v>
      </c>
      <c r="AS73" s="48">
        <v>0</v>
      </c>
      <c r="AT73" s="56">
        <v>0</v>
      </c>
      <c r="AU73" s="57">
        <f>$AM$73*VLOOKUP($AM$11,'PCU Values'!$B$9:$C$16,2,FALSE)</f>
        <v>8</v>
      </c>
      <c r="AV73" s="57">
        <f>$AN$73*VLOOKUP($AN$11,'PCU Values'!$B$9:$C$16,2,FALSE)</f>
        <v>1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0.2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9.1999999999999993</v>
      </c>
      <c r="BD73" s="52">
        <f>SUM($AM$73,$AN$73,$AO$73,$AP$73,$AQ$73,$AR$73,$AS$73,$AT$73)</f>
        <v>10</v>
      </c>
      <c r="BE73" s="67">
        <v>1</v>
      </c>
      <c r="BF73" s="48">
        <v>1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1</v>
      </c>
      <c r="BN73" s="77">
        <f>$BF$73*VLOOKUP($BF$11,'PCU Values'!$B$9:$C$16,2,FALSE)</f>
        <v>1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2</v>
      </c>
      <c r="BV73" s="52">
        <f>SUM($BE$73,$BF$73,$BG$73,$BH$73,$BI$73,$BJ$73,$BK$73,$BL$73)</f>
        <v>2</v>
      </c>
      <c r="BX73" s="47" t="s">
        <v>80</v>
      </c>
      <c r="BY73" s="83">
        <f>SUM($C$73,$U$73,$AM$73,$BE$73)</f>
        <v>72</v>
      </c>
      <c r="BZ73" s="83">
        <f>SUM($D$73,$V$73,$AN$73,$BF$73)</f>
        <v>11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12</v>
      </c>
      <c r="CE73" s="83">
        <f>SUM($I$73,$AA$73,$AS$73,$BK$73)</f>
        <v>2</v>
      </c>
      <c r="CF73" s="86">
        <f>SUM($J$73,$AB$73,$AT$73,$BL$73)</f>
        <v>0</v>
      </c>
      <c r="CG73" s="77">
        <f>$BY$73*VLOOKUP($BY$11,'PCU Values'!$B$9:$C$16,2,FALSE)</f>
        <v>72</v>
      </c>
      <c r="CH73" s="77">
        <f>$BZ$73*VLOOKUP($BZ$11,'PCU Values'!$B$9:$C$16,2,FALSE)</f>
        <v>11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2.4</v>
      </c>
      <c r="CM73" s="77">
        <f>$CE$73*VLOOKUP($CE$11,'PCU Values'!$B$9:$C$16,2,FALSE)</f>
        <v>0.8</v>
      </c>
      <c r="CN73" s="78">
        <f>$CF$73*VLOOKUP($CF$11,'PCU Values'!$B$9:$C$16,2,FALSE)</f>
        <v>0</v>
      </c>
      <c r="CO73" s="66">
        <f>SUM($CG$73,$CH$73,$CI$73,$CJ$73,$CK$73,$CL$73,$CM$73,$CN$73)</f>
        <v>86.2</v>
      </c>
      <c r="CP73" s="52">
        <f>SUM($BY$73,$BZ$73,$CA$73,$CB$73,$CC$73,$CD$73,$CE$73,$CF$73)</f>
        <v>97</v>
      </c>
      <c r="CQ73" s="89">
        <f>SUM('J1 A - (North) Bishopthorpe Roa'!$BE$73,'J1 B - Butcher Terrace'!$AM$73,'J1 C - (South) Bishopthorpe Roa'!$U$73,'J1 D - South Bank Avenue'!$C$73)</f>
        <v>49</v>
      </c>
      <c r="CR73" s="83">
        <f>SUM('J1 A - (North) Bishopthorpe Roa'!$BF$73,'J1 B - Butcher Terrace'!$AN$73,'J1 C - (South) Bishopthorpe Roa'!$V$73,'J1 D - South Bank Avenue'!$D$73)</f>
        <v>8</v>
      </c>
      <c r="CS73" s="83">
        <f>SUM('J1 A - (North) Bishopthorpe Roa'!$BG$73,'J1 B - Butcher Terrace'!$AO$73,'J1 C - (South) Bishopthorpe Roa'!$W$73,'J1 D - South Bank Avenue'!$E$73)</f>
        <v>1</v>
      </c>
      <c r="CT73" s="83">
        <f>SUM('J1 A - (North) Bishopthorpe Roa'!$BH$73,'J1 B - Butcher Terrace'!$AP$73,'J1 C - (South) Bishopthorpe Roa'!$X$73,'J1 D - South Bank Avenue'!$F$73)</f>
        <v>0</v>
      </c>
      <c r="CU73" s="83">
        <f>SUM('J1 A - (North) Bishopthorpe Roa'!$BI$73,'J1 B - Butcher Terrace'!$AQ$73,'J1 C - (South) Bishopthorpe Roa'!$Y$73,'J1 D - South Bank Avenue'!$G$73)</f>
        <v>0</v>
      </c>
      <c r="CV73" s="83">
        <f>SUM('J1 A - (North) Bishopthorpe Roa'!$BJ$73,'J1 B - Butcher Terrace'!$AR$73,'J1 C - (South) Bishopthorpe Roa'!$Z$73,'J1 D - South Bank Avenue'!$H$73)</f>
        <v>4</v>
      </c>
      <c r="CW73" s="83">
        <f>SUM('J1 A - (North) Bishopthorpe Roa'!$BK$73,'J1 B - Butcher Terrace'!$AS$73,'J1 C - (South) Bishopthorpe Roa'!$AA$73,'J1 D - South Bank Avenue'!$I$73)</f>
        <v>0</v>
      </c>
      <c r="CX73" s="86">
        <f>SUM('J1 A - (North) Bishopthorpe Roa'!$BL$73,'J1 B - Butcher Terrace'!$AT$73,'J1 C - (South) Bishopthorpe Roa'!$AB$73,'J1 D - South Bank Avenue'!$J$73)</f>
        <v>0</v>
      </c>
      <c r="CY73" s="77">
        <f>$CQ$73*VLOOKUP($CQ$11,'PCU Values'!$B$9:$C$16,2,FALSE)</f>
        <v>49</v>
      </c>
      <c r="CZ73" s="77">
        <f>$CR$73*VLOOKUP($CR$11,'PCU Values'!$B$9:$C$16,2,FALSE)</f>
        <v>8</v>
      </c>
      <c r="DA73" s="77">
        <f>$CS$73*VLOOKUP($CS$11,'PCU Values'!$B$9:$C$16,2,FALSE)</f>
        <v>1.5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0.8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59.3</v>
      </c>
      <c r="DH73" s="52">
        <f>SUM($CQ$73,$CR$73,$CS$73,$CT$73,$CU$73,$CV$73,$CW$73,$CX$73)</f>
        <v>62</v>
      </c>
    </row>
    <row r="74" spans="1:112" ht="21" customHeight="1">
      <c r="A74" s="46">
        <v>44395.520833333299</v>
      </c>
      <c r="B74" s="47" t="s">
        <v>81</v>
      </c>
      <c r="C74" s="49">
        <v>6</v>
      </c>
      <c r="D74" s="49">
        <v>1</v>
      </c>
      <c r="E74" s="49">
        <v>0</v>
      </c>
      <c r="F74" s="49">
        <v>0</v>
      </c>
      <c r="G74" s="49">
        <v>0</v>
      </c>
      <c r="H74" s="49">
        <v>1</v>
      </c>
      <c r="I74" s="49">
        <v>0</v>
      </c>
      <c r="J74" s="58">
        <v>3</v>
      </c>
      <c r="K74" s="57">
        <f>$C$74*VLOOKUP($C$11,'PCU Values'!$B$9:$C$16,2,FALSE)</f>
        <v>6</v>
      </c>
      <c r="L74" s="57">
        <f>$D$74*VLOOKUP($D$11,'PCU Values'!$B$9:$C$16,2,FALSE)</f>
        <v>1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0.2</v>
      </c>
      <c r="Q74" s="57">
        <f>$I$74*VLOOKUP($I$11,'PCU Values'!$B$9:$C$16,2,FALSE)</f>
        <v>0</v>
      </c>
      <c r="R74" s="65">
        <f>$J$74*VLOOKUP($J$11,'PCU Values'!$B$9:$C$16,2,FALSE)</f>
        <v>4.5</v>
      </c>
      <c r="S74" s="66">
        <f>SUM($K$74,$L$74,$M$74,$N$74,$O$74,$P$74,$Q$74,$R$74)</f>
        <v>11.7</v>
      </c>
      <c r="T74" s="52">
        <f>SUM($C$74,$D$74,$E$74,$F$74,$G$74,$H$74,$I$74,$J$74)</f>
        <v>11</v>
      </c>
      <c r="U74" s="49">
        <v>58</v>
      </c>
      <c r="V74" s="49">
        <v>11</v>
      </c>
      <c r="W74" s="49">
        <v>0</v>
      </c>
      <c r="X74" s="49">
        <v>0</v>
      </c>
      <c r="Y74" s="49">
        <v>2</v>
      </c>
      <c r="Z74" s="49">
        <v>2</v>
      </c>
      <c r="AA74" s="49">
        <v>1</v>
      </c>
      <c r="AB74" s="58">
        <v>0</v>
      </c>
      <c r="AC74" s="57">
        <f>$U$74*VLOOKUP($U$11,'PCU Values'!$B$9:$C$16,2,FALSE)</f>
        <v>58</v>
      </c>
      <c r="AD74" s="57">
        <f>$V$74*VLOOKUP($V$11,'PCU Values'!$B$9:$C$16,2,FALSE)</f>
        <v>11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4</v>
      </c>
      <c r="AH74" s="57">
        <f>$Z$74*VLOOKUP($Z$11,'PCU Values'!$B$9:$C$16,2,FALSE)</f>
        <v>0.4</v>
      </c>
      <c r="AI74" s="57">
        <f>$AA$74*VLOOKUP($AA$11,'PCU Values'!$B$9:$C$16,2,FALSE)</f>
        <v>0.4</v>
      </c>
      <c r="AJ74" s="65">
        <f>$AB$74*VLOOKUP($AB$11,'PCU Values'!$B$9:$C$16,2,FALSE)</f>
        <v>0</v>
      </c>
      <c r="AK74" s="66">
        <f>SUM($AC$74,$AD$74,$AE$74,$AF$74,$AG$74,$AH$74,$AI$74,$AJ$74)</f>
        <v>73.8</v>
      </c>
      <c r="AL74" s="52">
        <f>SUM($U$74,$V$74,$W$74,$X$74,$Y$74,$Z$74,$AA$74,$AB$74)</f>
        <v>74</v>
      </c>
      <c r="AM74" s="49">
        <v>5</v>
      </c>
      <c r="AN74" s="49">
        <v>1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5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6</v>
      </c>
      <c r="BD74" s="52">
        <f>SUM($AM$74,$AN$74,$AO$74,$AP$74,$AQ$74,$AR$74,$AS$74,$AT$74)</f>
        <v>6</v>
      </c>
      <c r="BE74" s="49">
        <v>1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1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1</v>
      </c>
      <c r="BV74" s="52">
        <f>SUM($BE$74,$BF$74,$BG$74,$BH$74,$BI$74,$BJ$74,$BK$74,$BL$74)</f>
        <v>1</v>
      </c>
      <c r="BX74" s="47" t="s">
        <v>81</v>
      </c>
      <c r="BY74" s="83">
        <f>SUM($C$74,$U$74,$AM$74,$BE$74)</f>
        <v>70</v>
      </c>
      <c r="BZ74" s="83">
        <f>SUM($D$74,$V$74,$AN$74,$BF$74)</f>
        <v>13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2</v>
      </c>
      <c r="CD74" s="83">
        <f>SUM($H$74,$Z$74,$AR$74,$BJ$74)</f>
        <v>3</v>
      </c>
      <c r="CE74" s="83">
        <f>SUM($I$74,$AA$74,$AS$74,$BK$74)</f>
        <v>1</v>
      </c>
      <c r="CF74" s="86">
        <f>SUM($J$74,$AB$74,$AT$74,$BL$74)</f>
        <v>3</v>
      </c>
      <c r="CG74" s="77">
        <f>$BY$74*VLOOKUP($BY$11,'PCU Values'!$B$9:$C$16,2,FALSE)</f>
        <v>70</v>
      </c>
      <c r="CH74" s="77">
        <f>$BZ$74*VLOOKUP($BZ$11,'PCU Values'!$B$9:$C$16,2,FALSE)</f>
        <v>13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4</v>
      </c>
      <c r="CL74" s="77">
        <f>$CD$74*VLOOKUP($CD$11,'PCU Values'!$B$9:$C$16,2,FALSE)</f>
        <v>0.6</v>
      </c>
      <c r="CM74" s="77">
        <f>$CE$74*VLOOKUP($CE$11,'PCU Values'!$B$9:$C$16,2,FALSE)</f>
        <v>0.4</v>
      </c>
      <c r="CN74" s="78">
        <f>$CF$74*VLOOKUP($CF$11,'PCU Values'!$B$9:$C$16,2,FALSE)</f>
        <v>4.5</v>
      </c>
      <c r="CO74" s="66">
        <f>SUM($CG$74,$CH$74,$CI$74,$CJ$74,$CK$74,$CL$74,$CM$74,$CN$74)</f>
        <v>92.5</v>
      </c>
      <c r="CP74" s="52">
        <f>SUM($BY$74,$BZ$74,$CA$74,$CB$74,$CC$74,$CD$74,$CE$74,$CF$74)</f>
        <v>92</v>
      </c>
      <c r="CQ74" s="89">
        <f>SUM('J1 A - (North) Bishopthorpe Roa'!$BE$74,'J1 B - Butcher Terrace'!$AM$74,'J1 C - (South) Bishopthorpe Roa'!$U$74,'J1 D - South Bank Avenue'!$C$74)</f>
        <v>62</v>
      </c>
      <c r="CR74" s="83">
        <f>SUM('J1 A - (North) Bishopthorpe Roa'!$BF$74,'J1 B - Butcher Terrace'!$AN$74,'J1 C - (South) Bishopthorpe Roa'!$V$74,'J1 D - South Bank Avenue'!$D$74)</f>
        <v>12</v>
      </c>
      <c r="CS74" s="83">
        <f>SUM('J1 A - (North) Bishopthorpe Roa'!$BG$74,'J1 B - Butcher Terrace'!$AO$74,'J1 C - (South) Bishopthorpe Roa'!$W$74,'J1 D - South Bank Avenue'!$E$74)</f>
        <v>0</v>
      </c>
      <c r="CT74" s="83">
        <f>SUM('J1 A - (North) Bishopthorpe Roa'!$BH$74,'J1 B - Butcher Terrace'!$AP$74,'J1 C - (South) Bishopthorpe Roa'!$X$74,'J1 D - South Bank Avenue'!$F$74)</f>
        <v>0</v>
      </c>
      <c r="CU74" s="83">
        <f>SUM('J1 A - (North) Bishopthorpe Roa'!$BI$74,'J1 B - Butcher Terrace'!$AQ$74,'J1 C - (South) Bishopthorpe Roa'!$Y$74,'J1 D - South Bank Avenue'!$G$74)</f>
        <v>1</v>
      </c>
      <c r="CV74" s="83">
        <f>SUM('J1 A - (North) Bishopthorpe Roa'!$BJ$74,'J1 B - Butcher Terrace'!$AR$74,'J1 C - (South) Bishopthorpe Roa'!$Z$74,'J1 D - South Bank Avenue'!$H$74)</f>
        <v>5</v>
      </c>
      <c r="CW74" s="83">
        <f>SUM('J1 A - (North) Bishopthorpe Roa'!$BK$74,'J1 B - Butcher Terrace'!$AS$74,'J1 C - (South) Bishopthorpe Roa'!$AA$74,'J1 D - South Bank Avenue'!$I$74)</f>
        <v>0</v>
      </c>
      <c r="CX74" s="86">
        <f>SUM('J1 A - (North) Bishopthorpe Roa'!$BL$74,'J1 B - Butcher Terrace'!$AT$74,'J1 C - (South) Bishopthorpe Roa'!$AB$74,'J1 D - South Bank Avenue'!$J$74)</f>
        <v>0</v>
      </c>
      <c r="CY74" s="77">
        <f>$CQ$74*VLOOKUP($CQ$11,'PCU Values'!$B$9:$C$16,2,FALSE)</f>
        <v>62</v>
      </c>
      <c r="CZ74" s="77">
        <f>$CR$74*VLOOKUP($CR$11,'PCU Values'!$B$9:$C$16,2,FALSE)</f>
        <v>12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2</v>
      </c>
      <c r="DD74" s="77">
        <f>$CV$74*VLOOKUP($CV$11,'PCU Values'!$B$9:$C$16,2,FALSE)</f>
        <v>1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77</v>
      </c>
      <c r="DH74" s="52">
        <f>SUM($CQ$74,$CR$74,$CS$74,$CT$74,$CU$74,$CV$74,$CW$74,$CX$74)</f>
        <v>80</v>
      </c>
    </row>
    <row r="75" spans="1:112" ht="21" customHeight="1">
      <c r="A75" s="46">
        <v>44395.53125</v>
      </c>
      <c r="B75" s="50" t="s">
        <v>82</v>
      </c>
      <c r="C75" s="51">
        <v>4</v>
      </c>
      <c r="D75" s="51">
        <v>1</v>
      </c>
      <c r="E75" s="51">
        <v>0</v>
      </c>
      <c r="F75" s="51">
        <v>0</v>
      </c>
      <c r="G75" s="51">
        <v>0</v>
      </c>
      <c r="H75" s="51">
        <v>3</v>
      </c>
      <c r="I75" s="51">
        <v>0</v>
      </c>
      <c r="J75" s="59">
        <v>2</v>
      </c>
      <c r="K75" s="60">
        <f>$C$75*VLOOKUP($C$11,'PCU Values'!$B$9:$C$16,2,FALSE)</f>
        <v>4</v>
      </c>
      <c r="L75" s="60">
        <f>$D$75*VLOOKUP($D$11,'PCU Values'!$B$9:$C$16,2,FALSE)</f>
        <v>1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0.6</v>
      </c>
      <c r="Q75" s="60">
        <f>$I$75*VLOOKUP($I$11,'PCU Values'!$B$9:$C$16,2,FALSE)</f>
        <v>0</v>
      </c>
      <c r="R75" s="68">
        <f>$J$75*VLOOKUP($J$11,'PCU Values'!$B$9:$C$16,2,FALSE)</f>
        <v>3</v>
      </c>
      <c r="S75" s="63">
        <f>SUM($K$75,$L$75,$M$75,$N$75,$O$75,$P$75,$Q$75,$R$75)</f>
        <v>8.6</v>
      </c>
      <c r="T75" s="52">
        <f>SUM($C$75,$D$75,$E$75,$F$75,$G$75,$H$75,$I$75,$J$75)</f>
        <v>10</v>
      </c>
      <c r="U75" s="73">
        <v>48</v>
      </c>
      <c r="V75" s="51">
        <v>3</v>
      </c>
      <c r="W75" s="51">
        <v>0</v>
      </c>
      <c r="X75" s="51">
        <v>0</v>
      </c>
      <c r="Y75" s="51">
        <v>0</v>
      </c>
      <c r="Z75" s="51">
        <v>5</v>
      </c>
      <c r="AA75" s="51">
        <v>0</v>
      </c>
      <c r="AB75" s="59">
        <v>0</v>
      </c>
      <c r="AC75" s="60">
        <f>$U$75*VLOOKUP($U$11,'PCU Values'!$B$9:$C$16,2,FALSE)</f>
        <v>48</v>
      </c>
      <c r="AD75" s="60">
        <f>$V$75*VLOOKUP($V$11,'PCU Values'!$B$9:$C$16,2,FALSE)</f>
        <v>3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1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52</v>
      </c>
      <c r="AL75" s="52">
        <f>SUM($U$75,$V$75,$W$75,$X$75,$Y$75,$Z$75,$AA$75,$AB$75)</f>
        <v>56</v>
      </c>
      <c r="AM75" s="73">
        <v>2</v>
      </c>
      <c r="AN75" s="51">
        <v>1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9">
        <v>0</v>
      </c>
      <c r="AU75" s="60">
        <f>$AM$75*VLOOKUP($AM$11,'PCU Values'!$B$9:$C$16,2,FALSE)</f>
        <v>2</v>
      </c>
      <c r="AV75" s="60">
        <f>$AN$75*VLOOKUP($AN$11,'PCU Values'!$B$9:$C$16,2,FALSE)</f>
        <v>1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3</v>
      </c>
      <c r="BD75" s="52">
        <f>SUM($AM$75,$AN$75,$AO$75,$AP$75,$AQ$75,$AR$75,$AS$75,$AT$75)</f>
        <v>3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54</v>
      </c>
      <c r="BZ75" s="84">
        <f>SUM($D$75,$V$75,$AN$75,$BF$75)</f>
        <v>5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8</v>
      </c>
      <c r="CE75" s="84">
        <f>SUM($I$75,$AA$75,$AS$75,$BK$75)</f>
        <v>0</v>
      </c>
      <c r="CF75" s="87">
        <f>SUM($J$75,$AB$75,$AT$75,$BL$75)</f>
        <v>2</v>
      </c>
      <c r="CG75" s="79">
        <f>$BY$75*VLOOKUP($BY$11,'PCU Values'!$B$9:$C$16,2,FALSE)</f>
        <v>54</v>
      </c>
      <c r="CH75" s="79">
        <f>$BZ$75*VLOOKUP($BZ$11,'PCU Values'!$B$9:$C$16,2,FALSE)</f>
        <v>5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1.6</v>
      </c>
      <c r="CM75" s="79">
        <f>$CE$75*VLOOKUP($CE$11,'PCU Values'!$B$9:$C$16,2,FALSE)</f>
        <v>0</v>
      </c>
      <c r="CN75" s="80">
        <f>$CF$75*VLOOKUP($CF$11,'PCU Values'!$B$9:$C$16,2,FALSE)</f>
        <v>3</v>
      </c>
      <c r="CO75" s="63">
        <f>SUM($CG$75,$CH$75,$CI$75,$CJ$75,$CK$75,$CL$75,$CM$75,$CN$75)</f>
        <v>63.6</v>
      </c>
      <c r="CP75" s="52">
        <f>SUM($BY$75,$BZ$75,$CA$75,$CB$75,$CC$75,$CD$75,$CE$75,$CF$75)</f>
        <v>69</v>
      </c>
      <c r="CQ75" s="90">
        <f>SUM('J1 A - (North) Bishopthorpe Roa'!$BE$75,'J1 B - Butcher Terrace'!$AM$75,'J1 C - (South) Bishopthorpe Roa'!$U$75,'J1 D - South Bank Avenue'!$C$75)</f>
        <v>65</v>
      </c>
      <c r="CR75" s="84">
        <f>SUM('J1 A - (North) Bishopthorpe Roa'!$BF$75,'J1 B - Butcher Terrace'!$AN$75,'J1 C - (South) Bishopthorpe Roa'!$V$75,'J1 D - South Bank Avenue'!$D$75)</f>
        <v>11</v>
      </c>
      <c r="CS75" s="84">
        <f>SUM('J1 A - (North) Bishopthorpe Roa'!$BG$75,'J1 B - Butcher Terrace'!$AO$75,'J1 C - (South) Bishopthorpe Roa'!$W$75,'J1 D - South Bank Avenue'!$E$75)</f>
        <v>1</v>
      </c>
      <c r="CT75" s="84">
        <f>SUM('J1 A - (North) Bishopthorpe Roa'!$BH$75,'J1 B - Butcher Terrace'!$AP$75,'J1 C - (South) Bishopthorpe Roa'!$X$75,'J1 D - South Bank Avenue'!$F$75)</f>
        <v>0</v>
      </c>
      <c r="CU75" s="84">
        <f>SUM('J1 A - (North) Bishopthorpe Roa'!$BI$75,'J1 B - Butcher Terrace'!$AQ$75,'J1 C - (South) Bishopthorpe Roa'!$Y$75,'J1 D - South Bank Avenue'!$G$75)</f>
        <v>2</v>
      </c>
      <c r="CV75" s="84">
        <f>SUM('J1 A - (North) Bishopthorpe Roa'!$BJ$75,'J1 B - Butcher Terrace'!$AR$75,'J1 C - (South) Bishopthorpe Roa'!$Z$75,'J1 D - South Bank Avenue'!$H$75)</f>
        <v>6</v>
      </c>
      <c r="CW75" s="84">
        <f>SUM('J1 A - (North) Bishopthorpe Roa'!$BK$75,'J1 B - Butcher Terrace'!$AS$75,'J1 C - (South) Bishopthorpe Roa'!$AA$75,'J1 D - South Bank Avenue'!$I$75)</f>
        <v>1</v>
      </c>
      <c r="CX75" s="87">
        <f>SUM('J1 A - (North) Bishopthorpe Roa'!$BL$75,'J1 B - Butcher Terrace'!$AT$75,'J1 C - (South) Bishopthorpe Roa'!$AB$75,'J1 D - South Bank Avenue'!$J$75)</f>
        <v>0</v>
      </c>
      <c r="CY75" s="79">
        <f>$CQ$75*VLOOKUP($CQ$11,'PCU Values'!$B$9:$C$16,2,FALSE)</f>
        <v>65</v>
      </c>
      <c r="CZ75" s="79">
        <f>$CR$75*VLOOKUP($CR$11,'PCU Values'!$B$9:$C$16,2,FALSE)</f>
        <v>11</v>
      </c>
      <c r="DA75" s="79">
        <f>$CS$75*VLOOKUP($CS$11,'PCU Values'!$B$9:$C$16,2,FALSE)</f>
        <v>1.5</v>
      </c>
      <c r="DB75" s="79">
        <f>$CT$75*VLOOKUP($CT$11,'PCU Values'!$B$9:$C$16,2,FALSE)</f>
        <v>0</v>
      </c>
      <c r="DC75" s="79">
        <f>$CU$75*VLOOKUP($CU$11,'PCU Values'!$B$9:$C$16,2,FALSE)</f>
        <v>4</v>
      </c>
      <c r="DD75" s="79">
        <f>$CV$75*VLOOKUP($CV$11,'PCU Values'!$B$9:$C$16,2,FALSE)</f>
        <v>1.2</v>
      </c>
      <c r="DE75" s="79">
        <f>$CW$75*VLOOKUP($CW$11,'PCU Values'!$B$9:$C$16,2,FALSE)</f>
        <v>0.4</v>
      </c>
      <c r="DF75" s="80">
        <f>$CX$75*VLOOKUP($CX$11,'PCU Values'!$B$9:$C$16,2,FALSE)</f>
        <v>0</v>
      </c>
      <c r="DG75" s="63">
        <f>SUM($CY$75,$CZ$75,$DA$75,$DB$75,$DC$75,$DD$75,$DE$75,$DF$75)</f>
        <v>83.1</v>
      </c>
      <c r="DH75" s="52">
        <f>SUM($CQ$75,$CR$75,$CS$75,$CT$75,$CU$75,$CV$75,$CW$75,$CX$75)</f>
        <v>86</v>
      </c>
    </row>
    <row r="76" spans="1:112">
      <c r="B76" s="52" t="s">
        <v>34</v>
      </c>
      <c r="C76" s="52">
        <f>SUM($C$72:$C$75)</f>
        <v>16</v>
      </c>
      <c r="D76" s="52">
        <f>SUM($D$72:$D$75)</f>
        <v>6</v>
      </c>
      <c r="E76" s="52">
        <f>SUM($E$72:$E$75)</f>
        <v>1</v>
      </c>
      <c r="F76" s="52">
        <f>SUM($F$72:$F$75)</f>
        <v>0</v>
      </c>
      <c r="G76" s="52">
        <f>SUM($G$72:$G$75)</f>
        <v>0</v>
      </c>
      <c r="H76" s="52">
        <f>SUM($H$72:$H$75)</f>
        <v>11</v>
      </c>
      <c r="I76" s="52">
        <f>SUM($I$72:$I$75)</f>
        <v>0</v>
      </c>
      <c r="J76" s="52">
        <f>SUM($J$72:$J$75)</f>
        <v>5</v>
      </c>
      <c r="K76" s="52">
        <f>SUM($K$72:$K$75)</f>
        <v>16</v>
      </c>
      <c r="L76" s="52">
        <f>SUM($L$72:$L$75)</f>
        <v>6</v>
      </c>
      <c r="M76" s="52">
        <f>SUM($M$72:$M$75)</f>
        <v>2</v>
      </c>
      <c r="N76" s="52">
        <f>SUM($N$72:$N$75)</f>
        <v>0</v>
      </c>
      <c r="O76" s="52">
        <f>SUM($O$72:$O$75)</f>
        <v>0</v>
      </c>
      <c r="P76" s="52">
        <f>SUM($P$72:$P$75)</f>
        <v>2</v>
      </c>
      <c r="Q76" s="52">
        <f>SUM($Q$72:$Q$75)</f>
        <v>0</v>
      </c>
      <c r="R76" s="52">
        <f>SUM($R$72:$R$75)</f>
        <v>8</v>
      </c>
      <c r="S76" s="52">
        <f>SUM($K$76,$L$76,$M$76,$N$76,$O$76,$P$76,$Q$76,$R$76)</f>
        <v>34</v>
      </c>
      <c r="T76" s="52">
        <f>SUM($C$76,$D$76,$E$76,$F$76,$G$76,$H$76,$I$76,$J$76)</f>
        <v>39</v>
      </c>
      <c r="U76" s="52">
        <f>SUM($U$72:$U$75)</f>
        <v>210</v>
      </c>
      <c r="V76" s="52">
        <f>SUM($V$72:$V$75)</f>
        <v>30</v>
      </c>
      <c r="W76" s="52">
        <f>SUM($W$72:$W$75)</f>
        <v>1</v>
      </c>
      <c r="X76" s="52">
        <f>SUM($X$72:$X$75)</f>
        <v>0</v>
      </c>
      <c r="Y76" s="52">
        <f>SUM($Y$72:$Y$75)</f>
        <v>3</v>
      </c>
      <c r="Z76" s="52">
        <f>SUM($Z$72:$Z$75)</f>
        <v>17</v>
      </c>
      <c r="AA76" s="52">
        <f>SUM($AA$72:$AA$75)</f>
        <v>3</v>
      </c>
      <c r="AB76" s="52">
        <f>SUM($AB$72:$AB$75)</f>
        <v>0</v>
      </c>
      <c r="AC76" s="52">
        <f>SUM($AC$72:$AC$75)</f>
        <v>210</v>
      </c>
      <c r="AD76" s="52">
        <f>SUM($AD$72:$AD$75)</f>
        <v>30</v>
      </c>
      <c r="AE76" s="52">
        <f>SUM($AE$72:$AE$75)</f>
        <v>2</v>
      </c>
      <c r="AF76" s="52">
        <f>SUM($AF$72:$AF$75)</f>
        <v>0</v>
      </c>
      <c r="AG76" s="52">
        <f>SUM($AG$72:$AG$75)</f>
        <v>6</v>
      </c>
      <c r="AH76" s="52">
        <f>SUM($AH$72:$AH$75)</f>
        <v>3</v>
      </c>
      <c r="AI76" s="52">
        <f>SUM($AI$72:$AI$75)</f>
        <v>1</v>
      </c>
      <c r="AJ76" s="52">
        <f>SUM($AJ$72:$AJ$75)</f>
        <v>0</v>
      </c>
      <c r="AK76" s="52">
        <f>SUM($AC$76,$AD$76,$AE$76,$AF$76,$AG$76,$AH$76,$AI$76,$AJ$76)</f>
        <v>252</v>
      </c>
      <c r="AL76" s="52">
        <f>SUM($U$76,$V$76,$W$76,$X$76,$Y$76,$Z$76,$AA$76,$AB$76)</f>
        <v>264</v>
      </c>
      <c r="AM76" s="52">
        <f>SUM($AM$72:$AM$75)</f>
        <v>23</v>
      </c>
      <c r="AN76" s="52">
        <f>SUM($AN$72:$AN$75)</f>
        <v>3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2</v>
      </c>
      <c r="AS76" s="52">
        <f>SUM($AS$72:$AS$75)</f>
        <v>0</v>
      </c>
      <c r="AT76" s="52">
        <f>SUM($AT$72:$AT$75)</f>
        <v>0</v>
      </c>
      <c r="AU76" s="52">
        <f>SUM($AU$72:$AU$75)</f>
        <v>23</v>
      </c>
      <c r="AV76" s="52">
        <f>SUM($AV$72:$AV$75)</f>
        <v>3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0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26</v>
      </c>
      <c r="BD76" s="52">
        <f>SUM($AM$76,$AN$76,$AO$76,$AP$76,$AQ$76,$AR$76,$AS$76,$AT$76)</f>
        <v>28</v>
      </c>
      <c r="BE76" s="52">
        <f>SUM($BE$72:$BE$75)</f>
        <v>2</v>
      </c>
      <c r="BF76" s="52">
        <f>SUM($BF$72:$BF$75)</f>
        <v>1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2</v>
      </c>
      <c r="BN76" s="52">
        <f>SUM($BN$72:$BN$75)</f>
        <v>1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3</v>
      </c>
      <c r="BV76" s="52">
        <f>SUM($BE$76,$BF$76,$BG$76,$BH$76,$BI$76,$BJ$76,$BK$76,$BL$76)</f>
        <v>3</v>
      </c>
      <c r="BX76" s="52" t="s">
        <v>34</v>
      </c>
      <c r="BY76" s="52">
        <f>SUM($BY$72:$BY$75)</f>
        <v>251</v>
      </c>
      <c r="BZ76" s="52">
        <f>SUM($BZ$72:$BZ$75)</f>
        <v>40</v>
      </c>
      <c r="CA76" s="52">
        <f>SUM($CA$72:$CA$75)</f>
        <v>2</v>
      </c>
      <c r="CB76" s="52">
        <f>SUM($CB$72:$CB$75)</f>
        <v>0</v>
      </c>
      <c r="CC76" s="52">
        <f>SUM($CC$72:$CC$75)</f>
        <v>3</v>
      </c>
      <c r="CD76" s="52">
        <f>SUM($CD$72:$CD$75)</f>
        <v>30</v>
      </c>
      <c r="CE76" s="52">
        <f>SUM($CE$72:$CE$75)</f>
        <v>3</v>
      </c>
      <c r="CF76" s="52">
        <f>SUM($CF$72:$CF$75)</f>
        <v>5</v>
      </c>
      <c r="CG76" s="52">
        <f>SUM($CG$72:$CG$75)</f>
        <v>251</v>
      </c>
      <c r="CH76" s="52">
        <f>SUM($CH$72:$CH$75)</f>
        <v>40</v>
      </c>
      <c r="CI76" s="52">
        <f>SUM($CI$72:$CI$75)</f>
        <v>3</v>
      </c>
      <c r="CJ76" s="52">
        <f>SUM($CJ$72:$CJ$75)</f>
        <v>0</v>
      </c>
      <c r="CK76" s="52">
        <f>SUM($CK$72:$CK$75)</f>
        <v>6</v>
      </c>
      <c r="CL76" s="52">
        <f>SUM($CL$72:$CL$75)</f>
        <v>6</v>
      </c>
      <c r="CM76" s="52">
        <f>SUM($CM$72:$CM$75)</f>
        <v>1</v>
      </c>
      <c r="CN76" s="52">
        <f>SUM($CN$72:$CN$75)</f>
        <v>8</v>
      </c>
      <c r="CO76" s="52">
        <f>SUM($CG$76,$CH$76,$CI$76,$CJ$76,$CK$76,$CL$76,$CM$76,$CN$76)</f>
        <v>315</v>
      </c>
      <c r="CP76" s="52">
        <f>SUM($BY$76,$BZ$76,$CA$76,$CB$76,$CC$76,$CD$76,$CE$76,$CF$76)</f>
        <v>334</v>
      </c>
      <c r="CQ76" s="52">
        <f>SUM($CQ$72:$CQ$75)</f>
        <v>250</v>
      </c>
      <c r="CR76" s="52">
        <f>SUM($CR$72:$CR$75)</f>
        <v>40</v>
      </c>
      <c r="CS76" s="52">
        <f>SUM($CS$72:$CS$75)</f>
        <v>2</v>
      </c>
      <c r="CT76" s="52">
        <f>SUM($CT$72:$CT$75)</f>
        <v>0</v>
      </c>
      <c r="CU76" s="52">
        <f>SUM($CU$72:$CU$75)</f>
        <v>5</v>
      </c>
      <c r="CV76" s="52">
        <f>SUM($CV$72:$CV$75)</f>
        <v>24</v>
      </c>
      <c r="CW76" s="52">
        <f>SUM($CW$72:$CW$75)</f>
        <v>1</v>
      </c>
      <c r="CX76" s="52">
        <f>SUM($CX$72:$CX$75)</f>
        <v>0</v>
      </c>
      <c r="CY76" s="52">
        <f>SUM($CY$72:$CY$75)</f>
        <v>250</v>
      </c>
      <c r="CZ76" s="52">
        <f>SUM($CZ$72:$CZ$75)</f>
        <v>40</v>
      </c>
      <c r="DA76" s="52">
        <f>SUM($DA$72:$DA$75)</f>
        <v>3</v>
      </c>
      <c r="DB76" s="52">
        <f>SUM($DB$72:$DB$75)</f>
        <v>0</v>
      </c>
      <c r="DC76" s="52">
        <f>SUM($DC$72:$DC$75)</f>
        <v>10</v>
      </c>
      <c r="DD76" s="52">
        <f>SUM($DD$72:$DD$75)</f>
        <v>5</v>
      </c>
      <c r="DE76" s="52">
        <f>SUM($DE$72:$DE$75)</f>
        <v>0</v>
      </c>
      <c r="DF76" s="52">
        <f>SUM($DF$72:$DF$75)</f>
        <v>0</v>
      </c>
      <c r="DG76" s="52">
        <f>SUM($CY$76,$CZ$76,$DA$76,$DB$76,$DC$76,$DD$76,$DE$76,$DF$76)</f>
        <v>308</v>
      </c>
      <c r="DH76" s="52">
        <f>SUM($CQ$76,$CR$76,$CS$76,$CT$76,$CU$76,$CV$76,$CW$76,$CX$76)</f>
        <v>322</v>
      </c>
    </row>
    <row r="77" spans="1:112" ht="21" customHeight="1">
      <c r="A77" s="46">
        <v>44395.541666666701</v>
      </c>
      <c r="B77" s="53" t="s">
        <v>83</v>
      </c>
      <c r="C77" s="75">
        <v>3</v>
      </c>
      <c r="D77" s="75">
        <v>2</v>
      </c>
      <c r="E77" s="54">
        <v>0</v>
      </c>
      <c r="F77" s="54">
        <v>0</v>
      </c>
      <c r="G77" s="54">
        <v>0</v>
      </c>
      <c r="H77" s="75">
        <v>4</v>
      </c>
      <c r="I77" s="75">
        <v>0</v>
      </c>
      <c r="J77" s="92">
        <v>0</v>
      </c>
      <c r="K77" s="62">
        <f>$C$77*VLOOKUP($C$11,'PCU Values'!$B$9:$C$16,2,FALSE)</f>
        <v>3</v>
      </c>
      <c r="L77" s="62">
        <f>$D$77*VLOOKUP($D$11,'PCU Values'!$B$9:$C$16,2,FALSE)</f>
        <v>2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0.8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5.8</v>
      </c>
      <c r="T77" s="52">
        <f>SUM($C$77,$D$77,$E$77,$F$77,$G$77,$H$77,$I$77,$J$77)</f>
        <v>9</v>
      </c>
      <c r="U77" s="72">
        <v>44</v>
      </c>
      <c r="V77" s="54">
        <v>6</v>
      </c>
      <c r="W77" s="54">
        <v>2</v>
      </c>
      <c r="X77" s="54">
        <v>0</v>
      </c>
      <c r="Y77" s="54">
        <v>1</v>
      </c>
      <c r="Z77" s="54">
        <v>1</v>
      </c>
      <c r="AA77" s="54">
        <v>2</v>
      </c>
      <c r="AB77" s="61">
        <v>0</v>
      </c>
      <c r="AC77" s="62">
        <f>$U$77*VLOOKUP($U$11,'PCU Values'!$B$9:$C$16,2,FALSE)</f>
        <v>44</v>
      </c>
      <c r="AD77" s="62">
        <f>$V$77*VLOOKUP($V$11,'PCU Values'!$B$9:$C$16,2,FALSE)</f>
        <v>6</v>
      </c>
      <c r="AE77" s="62">
        <f>$W$77*VLOOKUP($W$11,'PCU Values'!$B$9:$C$16,2,FALSE)</f>
        <v>3</v>
      </c>
      <c r="AF77" s="62">
        <f>$X$77*VLOOKUP($X$11,'PCU Values'!$B$9:$C$16,2,FALSE)</f>
        <v>0</v>
      </c>
      <c r="AG77" s="62">
        <f>$Y$77*VLOOKUP($Y$11,'PCU Values'!$B$9:$C$16,2,FALSE)</f>
        <v>2</v>
      </c>
      <c r="AH77" s="62">
        <f>$Z$77*VLOOKUP($Z$11,'PCU Values'!$B$9:$C$16,2,FALSE)</f>
        <v>0.2</v>
      </c>
      <c r="AI77" s="62">
        <f>$AA$77*VLOOKUP($AA$11,'PCU Values'!$B$9:$C$16,2,FALSE)</f>
        <v>0.8</v>
      </c>
      <c r="AJ77" s="70">
        <f>$AB$77*VLOOKUP($AB$11,'PCU Values'!$B$9:$C$16,2,FALSE)</f>
        <v>0</v>
      </c>
      <c r="AK77" s="71">
        <f>SUM($AC$77,$AD$77,$AE$77,$AF$77,$AG$77,$AH$77,$AI$77,$AJ$77)</f>
        <v>56</v>
      </c>
      <c r="AL77" s="52">
        <f>SUM($U$77,$V$77,$W$77,$X$77,$Y$77,$Z$77,$AA$77,$AB$77)</f>
        <v>56</v>
      </c>
      <c r="AM77" s="72">
        <v>8</v>
      </c>
      <c r="AN77" s="54">
        <v>3</v>
      </c>
      <c r="AO77" s="54">
        <v>0</v>
      </c>
      <c r="AP77" s="54">
        <v>0</v>
      </c>
      <c r="AQ77" s="54">
        <v>0</v>
      </c>
      <c r="AR77" s="54">
        <v>0</v>
      </c>
      <c r="AS77" s="54">
        <v>1</v>
      </c>
      <c r="AT77" s="61">
        <v>0</v>
      </c>
      <c r="AU77" s="62">
        <f>$AM$77*VLOOKUP($AM$11,'PCU Values'!$B$9:$C$16,2,FALSE)</f>
        <v>8</v>
      </c>
      <c r="AV77" s="62">
        <f>$AN$77*VLOOKUP($AN$11,'PCU Values'!$B$9:$C$16,2,FALSE)</f>
        <v>3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0.4</v>
      </c>
      <c r="BB77" s="70">
        <f>$AT$77*VLOOKUP($AT$11,'PCU Values'!$B$9:$C$16,2,FALSE)</f>
        <v>0</v>
      </c>
      <c r="BC77" s="71">
        <f>SUM($AU$77,$AV$77,$AW$77,$AX$77,$AY$77,$AZ$77,$BA$77,$BB$77)</f>
        <v>11.4</v>
      </c>
      <c r="BD77" s="52">
        <f>SUM($AM$77,$AN$77,$AO$77,$AP$77,$AQ$77,$AR$77,$AS$77,$AT$77)</f>
        <v>12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55</v>
      </c>
      <c r="BZ77" s="85">
        <f>SUM($D$77,$V$77,$AN$77,$BF$77)</f>
        <v>11</v>
      </c>
      <c r="CA77" s="85">
        <f>SUM($E$77,$W$77,$AO$77,$BG$77)</f>
        <v>2</v>
      </c>
      <c r="CB77" s="85">
        <f>SUM($F$77,$X$77,$AP$77,$BH$77)</f>
        <v>0</v>
      </c>
      <c r="CC77" s="85">
        <f>SUM($G$77,$Y$77,$AQ$77,$BI$77)</f>
        <v>1</v>
      </c>
      <c r="CD77" s="85">
        <f>SUM($H$77,$Z$77,$AR$77,$BJ$77)</f>
        <v>5</v>
      </c>
      <c r="CE77" s="85">
        <f>SUM($I$77,$AA$77,$AS$77,$BK$77)</f>
        <v>3</v>
      </c>
      <c r="CF77" s="88">
        <f>SUM($J$77,$AB$77,$AT$77,$BL$77)</f>
        <v>0</v>
      </c>
      <c r="CG77" s="81">
        <f>$BY$77*VLOOKUP($BY$11,'PCU Values'!$B$9:$C$16,2,FALSE)</f>
        <v>55</v>
      </c>
      <c r="CH77" s="81">
        <f>$BZ$77*VLOOKUP($BZ$11,'PCU Values'!$B$9:$C$16,2,FALSE)</f>
        <v>11</v>
      </c>
      <c r="CI77" s="81">
        <f>$CA$77*VLOOKUP($CA$11,'PCU Values'!$B$9:$C$16,2,FALSE)</f>
        <v>3</v>
      </c>
      <c r="CJ77" s="81">
        <f>$CB$77*VLOOKUP($CB$11,'PCU Values'!$B$9:$C$16,2,FALSE)</f>
        <v>0</v>
      </c>
      <c r="CK77" s="81">
        <f>$CC$77*VLOOKUP($CC$11,'PCU Values'!$B$9:$C$16,2,FALSE)</f>
        <v>2</v>
      </c>
      <c r="CL77" s="81">
        <f>$CD$77*VLOOKUP($CD$11,'PCU Values'!$B$9:$C$16,2,FALSE)</f>
        <v>1</v>
      </c>
      <c r="CM77" s="81">
        <f>$CE$77*VLOOKUP($CE$11,'PCU Values'!$B$9:$C$16,2,FALSE)</f>
        <v>1.2</v>
      </c>
      <c r="CN77" s="82">
        <f>$CF$77*VLOOKUP($CF$11,'PCU Values'!$B$9:$C$16,2,FALSE)</f>
        <v>0</v>
      </c>
      <c r="CO77" s="71">
        <f>SUM($CG$77,$CH$77,$CI$77,$CJ$77,$CK$77,$CL$77,$CM$77,$CN$77)</f>
        <v>73.2</v>
      </c>
      <c r="CP77" s="52">
        <f>SUM($BY$77,$BZ$77,$CA$77,$CB$77,$CC$77,$CD$77,$CE$77,$CF$77)</f>
        <v>77</v>
      </c>
      <c r="CQ77" s="91">
        <f>SUM('J1 A - (North) Bishopthorpe Roa'!$BE$77,'J1 B - Butcher Terrace'!$AM$77,'J1 C - (South) Bishopthorpe Roa'!$U$77,'J1 D - South Bank Avenue'!$C$77)</f>
        <v>72</v>
      </c>
      <c r="CR77" s="85">
        <f>SUM('J1 A - (North) Bishopthorpe Roa'!$BF$77,'J1 B - Butcher Terrace'!$AN$77,'J1 C - (South) Bishopthorpe Roa'!$V$77,'J1 D - South Bank Avenue'!$D$77)</f>
        <v>6</v>
      </c>
      <c r="CS77" s="85">
        <f>SUM('J1 A - (North) Bishopthorpe Roa'!$BG$77,'J1 B - Butcher Terrace'!$AO$77,'J1 C - (South) Bishopthorpe Roa'!$W$77,'J1 D - South Bank Avenue'!$E$77)</f>
        <v>2</v>
      </c>
      <c r="CT77" s="85">
        <f>SUM('J1 A - (North) Bishopthorpe Roa'!$BH$77,'J1 B - Butcher Terrace'!$AP$77,'J1 C - (South) Bishopthorpe Roa'!$X$77,'J1 D - South Bank Avenue'!$F$77)</f>
        <v>1</v>
      </c>
      <c r="CU77" s="85">
        <f>SUM('J1 A - (North) Bishopthorpe Roa'!$BI$77,'J1 B - Butcher Terrace'!$AQ$77,'J1 C - (South) Bishopthorpe Roa'!$Y$77,'J1 D - South Bank Avenue'!$G$77)</f>
        <v>1</v>
      </c>
      <c r="CV77" s="85">
        <f>SUM('J1 A - (North) Bishopthorpe Roa'!$BJ$77,'J1 B - Butcher Terrace'!$AR$77,'J1 C - (South) Bishopthorpe Roa'!$Z$77,'J1 D - South Bank Avenue'!$H$77)</f>
        <v>7</v>
      </c>
      <c r="CW77" s="85">
        <f>SUM('J1 A - (North) Bishopthorpe Roa'!$BK$77,'J1 B - Butcher Terrace'!$AS$77,'J1 C - (South) Bishopthorpe Roa'!$AA$77,'J1 D - South Bank Avenue'!$I$77)</f>
        <v>2</v>
      </c>
      <c r="CX77" s="88">
        <f>SUM('J1 A - (North) Bishopthorpe Roa'!$BL$77,'J1 B - Butcher Terrace'!$AT$77,'J1 C - (South) Bishopthorpe Roa'!$AB$77,'J1 D - South Bank Avenue'!$J$77)</f>
        <v>0</v>
      </c>
      <c r="CY77" s="81">
        <f>$CQ$77*VLOOKUP($CQ$11,'PCU Values'!$B$9:$C$16,2,FALSE)</f>
        <v>72</v>
      </c>
      <c r="CZ77" s="81">
        <f>$CR$77*VLOOKUP($CR$11,'PCU Values'!$B$9:$C$16,2,FALSE)</f>
        <v>6</v>
      </c>
      <c r="DA77" s="81">
        <f>$CS$77*VLOOKUP($CS$11,'PCU Values'!$B$9:$C$16,2,FALSE)</f>
        <v>3</v>
      </c>
      <c r="DB77" s="81">
        <f>$CT$77*VLOOKUP($CT$11,'PCU Values'!$B$9:$C$16,2,FALSE)</f>
        <v>2.2999999999999998</v>
      </c>
      <c r="DC77" s="81">
        <f>$CU$77*VLOOKUP($CU$11,'PCU Values'!$B$9:$C$16,2,FALSE)</f>
        <v>2</v>
      </c>
      <c r="DD77" s="81">
        <f>$CV$77*VLOOKUP($CV$11,'PCU Values'!$B$9:$C$16,2,FALSE)</f>
        <v>1.4</v>
      </c>
      <c r="DE77" s="81">
        <f>$CW$77*VLOOKUP($CW$11,'PCU Values'!$B$9:$C$16,2,FALSE)</f>
        <v>0.8</v>
      </c>
      <c r="DF77" s="82">
        <f>$CX$77*VLOOKUP($CX$11,'PCU Values'!$B$9:$C$16,2,FALSE)</f>
        <v>0</v>
      </c>
      <c r="DG77" s="71">
        <f>SUM($CY$77,$CZ$77,$DA$77,$DB$77,$DC$77,$DD$77,$DE$77,$DF$77)</f>
        <v>87.5</v>
      </c>
      <c r="DH77" s="52">
        <f>SUM($CQ$77,$CR$77,$CS$77,$CT$77,$CU$77,$CV$77,$CW$77,$CX$77)</f>
        <v>91</v>
      </c>
    </row>
    <row r="78" spans="1:112" ht="21" customHeight="1">
      <c r="A78" s="46">
        <v>44395.552083333299</v>
      </c>
      <c r="B78" s="47" t="s">
        <v>84</v>
      </c>
      <c r="C78" s="48">
        <v>4</v>
      </c>
      <c r="D78" s="48">
        <v>2</v>
      </c>
      <c r="E78" s="48">
        <v>0</v>
      </c>
      <c r="F78" s="48">
        <v>0</v>
      </c>
      <c r="G78" s="48">
        <v>0</v>
      </c>
      <c r="H78" s="48">
        <v>8</v>
      </c>
      <c r="I78" s="48">
        <v>0</v>
      </c>
      <c r="J78" s="56">
        <v>0</v>
      </c>
      <c r="K78" s="57">
        <f>$C$78*VLOOKUP($C$11,'PCU Values'!$B$9:$C$16,2,FALSE)</f>
        <v>4</v>
      </c>
      <c r="L78" s="57">
        <f>$D$78*VLOOKUP($D$11,'PCU Values'!$B$9:$C$16,2,FALSE)</f>
        <v>2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1.6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7.6</v>
      </c>
      <c r="T78" s="52">
        <f>SUM($C$78,$D$78,$E$78,$F$78,$G$78,$H$78,$I$78,$J$78)</f>
        <v>14</v>
      </c>
      <c r="U78" s="67">
        <v>58</v>
      </c>
      <c r="V78" s="48">
        <v>4</v>
      </c>
      <c r="W78" s="48">
        <v>0</v>
      </c>
      <c r="X78" s="48">
        <v>0</v>
      </c>
      <c r="Y78" s="48">
        <v>1</v>
      </c>
      <c r="Z78" s="48">
        <v>1</v>
      </c>
      <c r="AA78" s="48">
        <v>0</v>
      </c>
      <c r="AB78" s="56">
        <v>0</v>
      </c>
      <c r="AC78" s="57">
        <f>$U$78*VLOOKUP($U$11,'PCU Values'!$B$9:$C$16,2,FALSE)</f>
        <v>58</v>
      </c>
      <c r="AD78" s="57">
        <f>$V$78*VLOOKUP($V$11,'PCU Values'!$B$9:$C$16,2,FALSE)</f>
        <v>4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2</v>
      </c>
      <c r="AH78" s="57">
        <f>$Z$78*VLOOKUP($Z$11,'PCU Values'!$B$9:$C$16,2,FALSE)</f>
        <v>0.2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64.2</v>
      </c>
      <c r="AL78" s="52">
        <f>SUM($U$78,$V$78,$W$78,$X$78,$Y$78,$Z$78,$AA$78,$AB$78)</f>
        <v>64</v>
      </c>
      <c r="AM78" s="67">
        <v>4</v>
      </c>
      <c r="AN78" s="48">
        <v>1</v>
      </c>
      <c r="AO78" s="48">
        <v>0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4</v>
      </c>
      <c r="AV78" s="57">
        <f>$AN$78*VLOOKUP($AN$11,'PCU Values'!$B$9:$C$16,2,FALSE)</f>
        <v>1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5</v>
      </c>
      <c r="BD78" s="52">
        <f>SUM($AM$78,$AN$78,$AO$78,$AP$78,$AQ$78,$AR$78,$AS$78,$AT$78)</f>
        <v>5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66</v>
      </c>
      <c r="BZ78" s="83">
        <f>SUM($D$78,$V$78,$AN$78,$BF$78)</f>
        <v>7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1</v>
      </c>
      <c r="CD78" s="83">
        <f>SUM($H$78,$Z$78,$AR$78,$BJ$78)</f>
        <v>9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66</v>
      </c>
      <c r="CH78" s="77">
        <f>$BZ$78*VLOOKUP($BZ$11,'PCU Values'!$B$9:$C$16,2,FALSE)</f>
        <v>7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2</v>
      </c>
      <c r="CL78" s="77">
        <f>$CD$78*VLOOKUP($CD$11,'PCU Values'!$B$9:$C$16,2,FALSE)</f>
        <v>1.8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76.8</v>
      </c>
      <c r="CP78" s="52">
        <f>SUM($BY$78,$BZ$78,$CA$78,$CB$78,$CC$78,$CD$78,$CE$78,$CF$78)</f>
        <v>83</v>
      </c>
      <c r="CQ78" s="89">
        <f>SUM('J1 A - (North) Bishopthorpe Roa'!$BE$78,'J1 B - Butcher Terrace'!$AM$78,'J1 C - (South) Bishopthorpe Roa'!$U$78,'J1 D - South Bank Avenue'!$C$78)</f>
        <v>63</v>
      </c>
      <c r="CR78" s="83">
        <f>SUM('J1 A - (North) Bishopthorpe Roa'!$BF$78,'J1 B - Butcher Terrace'!$AN$78,'J1 C - (South) Bishopthorpe Roa'!$V$78,'J1 D - South Bank Avenue'!$D$78)</f>
        <v>11</v>
      </c>
      <c r="CS78" s="83">
        <f>SUM('J1 A - (North) Bishopthorpe Roa'!$BG$78,'J1 B - Butcher Terrace'!$AO$78,'J1 C - (South) Bishopthorpe Roa'!$W$78,'J1 D - South Bank Avenue'!$E$78)</f>
        <v>1</v>
      </c>
      <c r="CT78" s="83">
        <f>SUM('J1 A - (North) Bishopthorpe Roa'!$BH$78,'J1 B - Butcher Terrace'!$AP$78,'J1 C - (South) Bishopthorpe Roa'!$X$78,'J1 D - South Bank Avenue'!$F$78)</f>
        <v>0</v>
      </c>
      <c r="CU78" s="83">
        <f>SUM('J1 A - (North) Bishopthorpe Roa'!$BI$78,'J1 B - Butcher Terrace'!$AQ$78,'J1 C - (South) Bishopthorpe Roa'!$Y$78,'J1 D - South Bank Avenue'!$G$78)</f>
        <v>0</v>
      </c>
      <c r="CV78" s="83">
        <f>SUM('J1 A - (North) Bishopthorpe Roa'!$BJ$78,'J1 B - Butcher Terrace'!$AR$78,'J1 C - (South) Bishopthorpe Roa'!$Z$78,'J1 D - South Bank Avenue'!$H$78)</f>
        <v>7</v>
      </c>
      <c r="CW78" s="83">
        <f>SUM('J1 A - (North) Bishopthorpe Roa'!$BK$78,'J1 B - Butcher Terrace'!$AS$78,'J1 C - (South) Bishopthorpe Roa'!$AA$78,'J1 D - South Bank Avenue'!$I$78)</f>
        <v>0</v>
      </c>
      <c r="CX78" s="86">
        <f>SUM('J1 A - (North) Bishopthorpe Roa'!$BL$78,'J1 B - Butcher Terrace'!$AT$78,'J1 C - (South) Bishopthorpe Roa'!$AB$78,'J1 D - South Bank Avenue'!$J$78)</f>
        <v>0</v>
      </c>
      <c r="CY78" s="77">
        <f>$CQ$78*VLOOKUP($CQ$11,'PCU Values'!$B$9:$C$16,2,FALSE)</f>
        <v>63</v>
      </c>
      <c r="CZ78" s="77">
        <f>$CR$78*VLOOKUP($CR$11,'PCU Values'!$B$9:$C$16,2,FALSE)</f>
        <v>11</v>
      </c>
      <c r="DA78" s="77">
        <f>$CS$78*VLOOKUP($CS$11,'PCU Values'!$B$9:$C$16,2,FALSE)</f>
        <v>1.5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1.4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76.900000000000006</v>
      </c>
      <c r="DH78" s="52">
        <f>SUM($CQ$78,$CR$78,$CS$78,$CT$78,$CU$78,$CV$78,$CW$78,$CX$78)</f>
        <v>82</v>
      </c>
    </row>
    <row r="79" spans="1:112" ht="21" customHeight="1">
      <c r="A79" s="46">
        <v>44395.5625</v>
      </c>
      <c r="B79" s="47" t="s">
        <v>85</v>
      </c>
      <c r="C79" s="48">
        <v>6</v>
      </c>
      <c r="D79" s="48">
        <v>1</v>
      </c>
      <c r="E79" s="48">
        <v>0</v>
      </c>
      <c r="F79" s="48">
        <v>0</v>
      </c>
      <c r="G79" s="48">
        <v>0</v>
      </c>
      <c r="H79" s="48">
        <v>5</v>
      </c>
      <c r="I79" s="48">
        <v>1</v>
      </c>
      <c r="J79" s="56">
        <v>0</v>
      </c>
      <c r="K79" s="57">
        <f>$C$79*VLOOKUP($C$11,'PCU Values'!$B$9:$C$16,2,FALSE)</f>
        <v>6</v>
      </c>
      <c r="L79" s="57">
        <f>$D$79*VLOOKUP($D$11,'PCU Values'!$B$9:$C$16,2,FALSE)</f>
        <v>1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1</v>
      </c>
      <c r="Q79" s="57">
        <f>$I$79*VLOOKUP($I$11,'PCU Values'!$B$9:$C$16,2,FALSE)</f>
        <v>0.4</v>
      </c>
      <c r="R79" s="65">
        <f>$J$79*VLOOKUP($J$11,'PCU Values'!$B$9:$C$16,2,FALSE)</f>
        <v>0</v>
      </c>
      <c r="S79" s="66">
        <f>SUM($K$79,$L$79,$M$79,$N$79,$O$79,$P$79,$Q$79,$R$79)</f>
        <v>8.4</v>
      </c>
      <c r="T79" s="52">
        <f>SUM($C$79,$D$79,$E$79,$F$79,$G$79,$H$79,$I$79,$J$79)</f>
        <v>13</v>
      </c>
      <c r="U79" s="67">
        <v>32</v>
      </c>
      <c r="V79" s="48">
        <v>5</v>
      </c>
      <c r="W79" s="48">
        <v>0</v>
      </c>
      <c r="X79" s="48">
        <v>0</v>
      </c>
      <c r="Y79" s="48">
        <v>2</v>
      </c>
      <c r="Z79" s="48">
        <v>4</v>
      </c>
      <c r="AA79" s="48">
        <v>0</v>
      </c>
      <c r="AB79" s="56">
        <v>0</v>
      </c>
      <c r="AC79" s="57">
        <f>$U$79*VLOOKUP($U$11,'PCU Values'!$B$9:$C$16,2,FALSE)</f>
        <v>32</v>
      </c>
      <c r="AD79" s="57">
        <f>$V$79*VLOOKUP($V$11,'PCU Values'!$B$9:$C$16,2,FALSE)</f>
        <v>5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4</v>
      </c>
      <c r="AH79" s="57">
        <f>$Z$79*VLOOKUP($Z$11,'PCU Values'!$B$9:$C$16,2,FALSE)</f>
        <v>0.8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41.8</v>
      </c>
      <c r="AL79" s="52">
        <f>SUM($U$79,$V$79,$W$79,$X$79,$Y$79,$Z$79,$AA$79,$AB$79)</f>
        <v>43</v>
      </c>
      <c r="AM79" s="67">
        <v>2</v>
      </c>
      <c r="AN79" s="48">
        <v>0</v>
      </c>
      <c r="AO79" s="48">
        <v>1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2</v>
      </c>
      <c r="AV79" s="57">
        <f>$AN$79*VLOOKUP($AN$11,'PCU Values'!$B$9:$C$16,2,FALSE)</f>
        <v>0</v>
      </c>
      <c r="AW79" s="57">
        <f>$AO$79*VLOOKUP($AO$11,'PCU Values'!$B$9:$C$16,2,FALSE)</f>
        <v>1.5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3.7</v>
      </c>
      <c r="BD79" s="52">
        <f>SUM($AM$79,$AN$79,$AO$79,$AP$79,$AQ$79,$AR$79,$AS$79,$AT$79)</f>
        <v>4</v>
      </c>
      <c r="BE79" s="67">
        <v>1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1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1</v>
      </c>
      <c r="BV79" s="52">
        <f>SUM($BE$79,$BF$79,$BG$79,$BH$79,$BI$79,$BJ$79,$BK$79,$BL$79)</f>
        <v>1</v>
      </c>
      <c r="BX79" s="47" t="s">
        <v>85</v>
      </c>
      <c r="BY79" s="83">
        <f>SUM($C$79,$U$79,$AM$79,$BE$79)</f>
        <v>41</v>
      </c>
      <c r="BZ79" s="83">
        <f>SUM($D$79,$V$79,$AN$79,$BF$79)</f>
        <v>6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2</v>
      </c>
      <c r="CD79" s="83">
        <f>SUM($H$79,$Z$79,$AR$79,$BJ$79)</f>
        <v>10</v>
      </c>
      <c r="CE79" s="83">
        <f>SUM($I$79,$AA$79,$AS$79,$BK$79)</f>
        <v>1</v>
      </c>
      <c r="CF79" s="86">
        <f>SUM($J$79,$AB$79,$AT$79,$BL$79)</f>
        <v>0</v>
      </c>
      <c r="CG79" s="77">
        <f>$BY$79*VLOOKUP($BY$11,'PCU Values'!$B$9:$C$16,2,FALSE)</f>
        <v>41</v>
      </c>
      <c r="CH79" s="77">
        <f>$BZ$79*VLOOKUP($BZ$11,'PCU Values'!$B$9:$C$16,2,FALSE)</f>
        <v>6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4</v>
      </c>
      <c r="CL79" s="77">
        <f>$CD$79*VLOOKUP($CD$11,'PCU Values'!$B$9:$C$16,2,FALSE)</f>
        <v>2</v>
      </c>
      <c r="CM79" s="77">
        <f>$CE$79*VLOOKUP($CE$11,'PCU Values'!$B$9:$C$16,2,FALSE)</f>
        <v>0.4</v>
      </c>
      <c r="CN79" s="78">
        <f>$CF$79*VLOOKUP($CF$11,'PCU Values'!$B$9:$C$16,2,FALSE)</f>
        <v>0</v>
      </c>
      <c r="CO79" s="66">
        <f>SUM($CG$79,$CH$79,$CI$79,$CJ$79,$CK$79,$CL$79,$CM$79,$CN$79)</f>
        <v>54.9</v>
      </c>
      <c r="CP79" s="52">
        <f>SUM($BY$79,$BZ$79,$CA$79,$CB$79,$CC$79,$CD$79,$CE$79,$CF$79)</f>
        <v>61</v>
      </c>
      <c r="CQ79" s="89">
        <f>SUM('J1 A - (North) Bishopthorpe Roa'!$BE$79,'J1 B - Butcher Terrace'!$AM$79,'J1 C - (South) Bishopthorpe Roa'!$U$79,'J1 D - South Bank Avenue'!$C$79)</f>
        <v>61</v>
      </c>
      <c r="CR79" s="83">
        <f>SUM('J1 A - (North) Bishopthorpe Roa'!$BF$79,'J1 B - Butcher Terrace'!$AN$79,'J1 C - (South) Bishopthorpe Roa'!$V$79,'J1 D - South Bank Avenue'!$D$79)</f>
        <v>10</v>
      </c>
      <c r="CS79" s="83">
        <f>SUM('J1 A - (North) Bishopthorpe Roa'!$BG$79,'J1 B - Butcher Terrace'!$AO$79,'J1 C - (South) Bishopthorpe Roa'!$W$79,'J1 D - South Bank Avenue'!$E$79)</f>
        <v>1</v>
      </c>
      <c r="CT79" s="83">
        <f>SUM('J1 A - (North) Bishopthorpe Roa'!$BH$79,'J1 B - Butcher Terrace'!$AP$79,'J1 C - (South) Bishopthorpe Roa'!$X$79,'J1 D - South Bank Avenue'!$F$79)</f>
        <v>0</v>
      </c>
      <c r="CU79" s="83">
        <f>SUM('J1 A - (North) Bishopthorpe Roa'!$BI$79,'J1 B - Butcher Terrace'!$AQ$79,'J1 C - (South) Bishopthorpe Roa'!$Y$79,'J1 D - South Bank Avenue'!$G$79)</f>
        <v>2</v>
      </c>
      <c r="CV79" s="83">
        <f>SUM('J1 A - (North) Bishopthorpe Roa'!$BJ$79,'J1 B - Butcher Terrace'!$AR$79,'J1 C - (South) Bishopthorpe Roa'!$Z$79,'J1 D - South Bank Avenue'!$H$79)</f>
        <v>5</v>
      </c>
      <c r="CW79" s="83">
        <f>SUM('J1 A - (North) Bishopthorpe Roa'!$BK$79,'J1 B - Butcher Terrace'!$AS$79,'J1 C - (South) Bishopthorpe Roa'!$AA$79,'J1 D - South Bank Avenue'!$I$79)</f>
        <v>1</v>
      </c>
      <c r="CX79" s="86">
        <f>SUM('J1 A - (North) Bishopthorpe Roa'!$BL$79,'J1 B - Butcher Terrace'!$AT$79,'J1 C - (South) Bishopthorpe Roa'!$AB$79,'J1 D - South Bank Avenue'!$J$79)</f>
        <v>0</v>
      </c>
      <c r="CY79" s="77">
        <f>$CQ$79*VLOOKUP($CQ$11,'PCU Values'!$B$9:$C$16,2,FALSE)</f>
        <v>61</v>
      </c>
      <c r="CZ79" s="77">
        <f>$CR$79*VLOOKUP($CR$11,'PCU Values'!$B$9:$C$16,2,FALSE)</f>
        <v>10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4</v>
      </c>
      <c r="DD79" s="77">
        <f>$CV$79*VLOOKUP($CV$11,'PCU Values'!$B$9:$C$16,2,FALSE)</f>
        <v>1</v>
      </c>
      <c r="DE79" s="77">
        <f>$CW$79*VLOOKUP($CW$11,'PCU Values'!$B$9:$C$16,2,FALSE)</f>
        <v>0.4</v>
      </c>
      <c r="DF79" s="78">
        <f>$CX$79*VLOOKUP($CX$11,'PCU Values'!$B$9:$C$16,2,FALSE)</f>
        <v>0</v>
      </c>
      <c r="DG79" s="66">
        <f>SUM($CY$79,$CZ$79,$DA$79,$DB$79,$DC$79,$DD$79,$DE$79,$DF$79)</f>
        <v>77.900000000000006</v>
      </c>
      <c r="DH79" s="52">
        <f>SUM($CQ$79,$CR$79,$CS$79,$CT$79,$CU$79,$CV$79,$CW$79,$CX$79)</f>
        <v>80</v>
      </c>
    </row>
    <row r="80" spans="1:112" ht="21" customHeight="1">
      <c r="A80" s="46">
        <v>44395.572916666701</v>
      </c>
      <c r="B80" s="50" t="s">
        <v>86</v>
      </c>
      <c r="C80" s="51">
        <v>8</v>
      </c>
      <c r="D80" s="51">
        <v>0</v>
      </c>
      <c r="E80" s="51">
        <v>0</v>
      </c>
      <c r="F80" s="51">
        <v>0</v>
      </c>
      <c r="G80" s="51">
        <v>0</v>
      </c>
      <c r="H80" s="51">
        <v>2</v>
      </c>
      <c r="I80" s="51">
        <v>0</v>
      </c>
      <c r="J80" s="59">
        <v>1</v>
      </c>
      <c r="K80" s="60">
        <f>$C$80*VLOOKUP($C$11,'PCU Values'!$B$9:$C$16,2,FALSE)</f>
        <v>8</v>
      </c>
      <c r="L80" s="60">
        <f>$D$80*VLOOKUP($D$11,'PCU Values'!$B$9:$C$16,2,FALSE)</f>
        <v>0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0.4</v>
      </c>
      <c r="Q80" s="60">
        <f>$I$80*VLOOKUP($I$11,'PCU Values'!$B$9:$C$16,2,FALSE)</f>
        <v>0</v>
      </c>
      <c r="R80" s="68">
        <f>$J$80*VLOOKUP($J$11,'PCU Values'!$B$9:$C$16,2,FALSE)</f>
        <v>1.5</v>
      </c>
      <c r="S80" s="63">
        <f>SUM($K$80,$L$80,$M$80,$N$80,$O$80,$P$80,$Q$80,$R$80)</f>
        <v>9.9</v>
      </c>
      <c r="T80" s="52">
        <f>SUM($C$80,$D$80,$E$80,$F$80,$G$80,$H$80,$I$80,$J$80)</f>
        <v>11</v>
      </c>
      <c r="U80" s="73">
        <v>65</v>
      </c>
      <c r="V80" s="51">
        <v>7</v>
      </c>
      <c r="W80" s="51">
        <v>0</v>
      </c>
      <c r="X80" s="51">
        <v>0</v>
      </c>
      <c r="Y80" s="51">
        <v>0</v>
      </c>
      <c r="Z80" s="51">
        <v>3</v>
      </c>
      <c r="AA80" s="51">
        <v>3</v>
      </c>
      <c r="AB80" s="59">
        <v>0</v>
      </c>
      <c r="AC80" s="60">
        <f>$U$80*VLOOKUP($U$11,'PCU Values'!$B$9:$C$16,2,FALSE)</f>
        <v>65</v>
      </c>
      <c r="AD80" s="60">
        <f>$V$80*VLOOKUP($V$11,'PCU Values'!$B$9:$C$16,2,FALSE)</f>
        <v>7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0.6</v>
      </c>
      <c r="AI80" s="60">
        <f>$AA$80*VLOOKUP($AA$11,'PCU Values'!$B$9:$C$16,2,FALSE)</f>
        <v>1.2</v>
      </c>
      <c r="AJ80" s="68">
        <f>$AB$80*VLOOKUP($AB$11,'PCU Values'!$B$9:$C$16,2,FALSE)</f>
        <v>0</v>
      </c>
      <c r="AK80" s="63">
        <f>SUM($AC$80,$AD$80,$AE$80,$AF$80,$AG$80,$AH$80,$AI$80,$AJ$80)</f>
        <v>73.8</v>
      </c>
      <c r="AL80" s="52">
        <f>SUM($U$80,$V$80,$W$80,$X$80,$Y$80,$Z$80,$AA$80,$AB$80)</f>
        <v>78</v>
      </c>
      <c r="AM80" s="73">
        <v>6</v>
      </c>
      <c r="AN80" s="51">
        <v>0</v>
      </c>
      <c r="AO80" s="51">
        <v>0</v>
      </c>
      <c r="AP80" s="51">
        <v>0</v>
      </c>
      <c r="AQ80" s="51">
        <v>0</v>
      </c>
      <c r="AR80" s="51">
        <v>1</v>
      </c>
      <c r="AS80" s="51">
        <v>0</v>
      </c>
      <c r="AT80" s="59">
        <v>0</v>
      </c>
      <c r="AU80" s="60">
        <f>$AM$80*VLOOKUP($AM$11,'PCU Values'!$B$9:$C$16,2,FALSE)</f>
        <v>6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0.2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6.2</v>
      </c>
      <c r="BD80" s="52">
        <f>SUM($AM$80,$AN$80,$AO$80,$AP$80,$AQ$80,$AR$80,$AS$80,$AT$80)</f>
        <v>7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79</v>
      </c>
      <c r="BZ80" s="84">
        <f>SUM($D$80,$V$80,$AN$80,$BF$80)</f>
        <v>7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6</v>
      </c>
      <c r="CE80" s="84">
        <f>SUM($I$80,$AA$80,$AS$80,$BK$80)</f>
        <v>3</v>
      </c>
      <c r="CF80" s="87">
        <f>SUM($J$80,$AB$80,$AT$80,$BL$80)</f>
        <v>1</v>
      </c>
      <c r="CG80" s="79">
        <f>$BY$80*VLOOKUP($BY$11,'PCU Values'!$B$9:$C$16,2,FALSE)</f>
        <v>79</v>
      </c>
      <c r="CH80" s="79">
        <f>$BZ$80*VLOOKUP($BZ$11,'PCU Values'!$B$9:$C$16,2,FALSE)</f>
        <v>7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1.2</v>
      </c>
      <c r="CM80" s="79">
        <f>$CE$80*VLOOKUP($CE$11,'PCU Values'!$B$9:$C$16,2,FALSE)</f>
        <v>1.2</v>
      </c>
      <c r="CN80" s="80">
        <f>$CF$80*VLOOKUP($CF$11,'PCU Values'!$B$9:$C$16,2,FALSE)</f>
        <v>1.5</v>
      </c>
      <c r="CO80" s="63">
        <f>SUM($CG$80,$CH$80,$CI$80,$CJ$80,$CK$80,$CL$80,$CM$80,$CN$80)</f>
        <v>89.9</v>
      </c>
      <c r="CP80" s="52">
        <f>SUM($BY$80,$BZ$80,$CA$80,$CB$80,$CC$80,$CD$80,$CE$80,$CF$80)</f>
        <v>96</v>
      </c>
      <c r="CQ80" s="90">
        <f>SUM('J1 A - (North) Bishopthorpe Roa'!$BE$80,'J1 B - Butcher Terrace'!$AM$80,'J1 C - (South) Bishopthorpe Roa'!$U$80,'J1 D - South Bank Avenue'!$C$80)</f>
        <v>61</v>
      </c>
      <c r="CR80" s="84">
        <f>SUM('J1 A - (North) Bishopthorpe Roa'!$BF$80,'J1 B - Butcher Terrace'!$AN$80,'J1 C - (South) Bishopthorpe Roa'!$V$80,'J1 D - South Bank Avenue'!$D$80)</f>
        <v>7</v>
      </c>
      <c r="CS80" s="84">
        <f>SUM('J1 A - (North) Bishopthorpe Roa'!$BG$80,'J1 B - Butcher Terrace'!$AO$80,'J1 C - (South) Bishopthorpe Roa'!$W$80,'J1 D - South Bank Avenue'!$E$80)</f>
        <v>0</v>
      </c>
      <c r="CT80" s="84">
        <f>SUM('J1 A - (North) Bishopthorpe Roa'!$BH$80,'J1 B - Butcher Terrace'!$AP$80,'J1 C - (South) Bishopthorpe Roa'!$X$80,'J1 D - South Bank Avenue'!$F$80)</f>
        <v>0</v>
      </c>
      <c r="CU80" s="84">
        <f>SUM('J1 A - (North) Bishopthorpe Roa'!$BI$80,'J1 B - Butcher Terrace'!$AQ$80,'J1 C - (South) Bishopthorpe Roa'!$Y$80,'J1 D - South Bank Avenue'!$G$80)</f>
        <v>0</v>
      </c>
      <c r="CV80" s="84">
        <f>SUM('J1 A - (North) Bishopthorpe Roa'!$BJ$80,'J1 B - Butcher Terrace'!$AR$80,'J1 C - (South) Bishopthorpe Roa'!$Z$80,'J1 D - South Bank Avenue'!$H$80)</f>
        <v>4</v>
      </c>
      <c r="CW80" s="84">
        <f>SUM('J1 A - (North) Bishopthorpe Roa'!$BK$80,'J1 B - Butcher Terrace'!$AS$80,'J1 C - (South) Bishopthorpe Roa'!$AA$80,'J1 D - South Bank Avenue'!$I$80)</f>
        <v>0</v>
      </c>
      <c r="CX80" s="87">
        <f>SUM('J1 A - (North) Bishopthorpe Roa'!$BL$80,'J1 B - Butcher Terrace'!$AT$80,'J1 C - (South) Bishopthorpe Roa'!$AB$80,'J1 D - South Bank Avenue'!$J$80)</f>
        <v>0</v>
      </c>
      <c r="CY80" s="79">
        <f>$CQ$80*VLOOKUP($CQ$11,'PCU Values'!$B$9:$C$16,2,FALSE)</f>
        <v>61</v>
      </c>
      <c r="CZ80" s="79">
        <f>$CR$80*VLOOKUP($CR$11,'PCU Values'!$B$9:$C$16,2,FALSE)</f>
        <v>7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0.8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68.8</v>
      </c>
      <c r="DH80" s="52">
        <f>SUM($CQ$80,$CR$80,$CS$80,$CT$80,$CU$80,$CV$80,$CW$80,$CX$80)</f>
        <v>72</v>
      </c>
    </row>
    <row r="81" spans="1:112">
      <c r="B81" s="52" t="s">
        <v>34</v>
      </c>
      <c r="C81" s="52">
        <f>SUM($C$77:$C$80)</f>
        <v>21</v>
      </c>
      <c r="D81" s="52">
        <f>SUM($D$77:$D$80)</f>
        <v>5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19</v>
      </c>
      <c r="I81" s="52">
        <f>SUM($I$77:$I$80)</f>
        <v>1</v>
      </c>
      <c r="J81" s="52">
        <f>SUM($J$77:$J$80)</f>
        <v>1</v>
      </c>
      <c r="K81" s="52">
        <f>SUM($K$77:$K$80)</f>
        <v>21</v>
      </c>
      <c r="L81" s="52">
        <f>SUM($L$77:$L$80)</f>
        <v>5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4</v>
      </c>
      <c r="Q81" s="52">
        <f>SUM($Q$77:$Q$80)</f>
        <v>0</v>
      </c>
      <c r="R81" s="52">
        <f>SUM($R$77:$R$80)</f>
        <v>2</v>
      </c>
      <c r="S81" s="52">
        <f>SUM($K$81,$L$81,$M$81,$N$81,$O$81,$P$81,$Q$81,$R$81)</f>
        <v>32</v>
      </c>
      <c r="T81" s="52">
        <f>SUM($C$81,$D$81,$E$81,$F$81,$G$81,$H$81,$I$81,$J$81)</f>
        <v>47</v>
      </c>
      <c r="U81" s="52">
        <f>SUM($U$77:$U$80)</f>
        <v>199</v>
      </c>
      <c r="V81" s="52">
        <f>SUM($V$77:$V$80)</f>
        <v>22</v>
      </c>
      <c r="W81" s="52">
        <f>SUM($W$77:$W$80)</f>
        <v>2</v>
      </c>
      <c r="X81" s="52">
        <f>SUM($X$77:$X$80)</f>
        <v>0</v>
      </c>
      <c r="Y81" s="52">
        <f>SUM($Y$77:$Y$80)</f>
        <v>4</v>
      </c>
      <c r="Z81" s="52">
        <f>SUM($Z$77:$Z$80)</f>
        <v>9</v>
      </c>
      <c r="AA81" s="52">
        <f>SUM($AA$77:$AA$80)</f>
        <v>5</v>
      </c>
      <c r="AB81" s="52">
        <f>SUM($AB$77:$AB$80)</f>
        <v>0</v>
      </c>
      <c r="AC81" s="52">
        <f>SUM($AC$77:$AC$80)</f>
        <v>199</v>
      </c>
      <c r="AD81" s="52">
        <f>SUM($AD$77:$AD$80)</f>
        <v>22</v>
      </c>
      <c r="AE81" s="52">
        <f>SUM($AE$77:$AE$80)</f>
        <v>3</v>
      </c>
      <c r="AF81" s="52">
        <f>SUM($AF$77:$AF$80)</f>
        <v>0</v>
      </c>
      <c r="AG81" s="52">
        <f>SUM($AG$77:$AG$80)</f>
        <v>8</v>
      </c>
      <c r="AH81" s="52">
        <f>SUM($AH$77:$AH$80)</f>
        <v>2</v>
      </c>
      <c r="AI81" s="52">
        <f>SUM($AI$77:$AI$80)</f>
        <v>2</v>
      </c>
      <c r="AJ81" s="52">
        <f>SUM($AJ$77:$AJ$80)</f>
        <v>0</v>
      </c>
      <c r="AK81" s="52">
        <f>SUM($AC$81,$AD$81,$AE$81,$AF$81,$AG$81,$AH$81,$AI$81,$AJ$81)</f>
        <v>236</v>
      </c>
      <c r="AL81" s="52">
        <f>SUM($U$81,$V$81,$W$81,$X$81,$Y$81,$Z$81,$AA$81,$AB$81)</f>
        <v>241</v>
      </c>
      <c r="AM81" s="52">
        <f>SUM($AM$77:$AM$80)</f>
        <v>20</v>
      </c>
      <c r="AN81" s="52">
        <f>SUM($AN$77:$AN$80)</f>
        <v>4</v>
      </c>
      <c r="AO81" s="52">
        <f>SUM($AO$77:$AO$80)</f>
        <v>1</v>
      </c>
      <c r="AP81" s="52">
        <f>SUM($AP$77:$AP$80)</f>
        <v>0</v>
      </c>
      <c r="AQ81" s="52">
        <f>SUM($AQ$77:$AQ$80)</f>
        <v>0</v>
      </c>
      <c r="AR81" s="52">
        <f>SUM($AR$77:$AR$80)</f>
        <v>2</v>
      </c>
      <c r="AS81" s="52">
        <f>SUM($AS$77:$AS$80)</f>
        <v>1</v>
      </c>
      <c r="AT81" s="52">
        <f>SUM($AT$77:$AT$80)</f>
        <v>0</v>
      </c>
      <c r="AU81" s="52">
        <f>SUM($AU$77:$AU$80)</f>
        <v>20</v>
      </c>
      <c r="AV81" s="52">
        <f>SUM($AV$77:$AV$80)</f>
        <v>4</v>
      </c>
      <c r="AW81" s="52">
        <f>SUM($AW$77:$AW$80)</f>
        <v>2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26</v>
      </c>
      <c r="BD81" s="52">
        <f>SUM($AM$81,$AN$81,$AO$81,$AP$81,$AQ$81,$AR$81,$AS$81,$AT$81)</f>
        <v>28</v>
      </c>
      <c r="BE81" s="52">
        <f>SUM($BE$77:$BE$80)</f>
        <v>1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1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1</v>
      </c>
      <c r="BV81" s="52">
        <f>SUM($BE$81,$BF$81,$BG$81,$BH$81,$BI$81,$BJ$81,$BK$81,$BL$81)</f>
        <v>1</v>
      </c>
      <c r="BX81" s="52" t="s">
        <v>34</v>
      </c>
      <c r="BY81" s="52">
        <f>SUM($BY$77:$BY$80)</f>
        <v>241</v>
      </c>
      <c r="BZ81" s="52">
        <f>SUM($BZ$77:$BZ$80)</f>
        <v>31</v>
      </c>
      <c r="CA81" s="52">
        <f>SUM($CA$77:$CA$80)</f>
        <v>3</v>
      </c>
      <c r="CB81" s="52">
        <f>SUM($CB$77:$CB$80)</f>
        <v>0</v>
      </c>
      <c r="CC81" s="52">
        <f>SUM($CC$77:$CC$80)</f>
        <v>4</v>
      </c>
      <c r="CD81" s="52">
        <f>SUM($CD$77:$CD$80)</f>
        <v>30</v>
      </c>
      <c r="CE81" s="52">
        <f>SUM($CE$77:$CE$80)</f>
        <v>7</v>
      </c>
      <c r="CF81" s="52">
        <f>SUM($CF$77:$CF$80)</f>
        <v>1</v>
      </c>
      <c r="CG81" s="52">
        <f>SUM($CG$77:$CG$80)</f>
        <v>241</v>
      </c>
      <c r="CH81" s="52">
        <f>SUM($CH$77:$CH$80)</f>
        <v>31</v>
      </c>
      <c r="CI81" s="52">
        <f>SUM($CI$77:$CI$80)</f>
        <v>5</v>
      </c>
      <c r="CJ81" s="52">
        <f>SUM($CJ$77:$CJ$80)</f>
        <v>0</v>
      </c>
      <c r="CK81" s="52">
        <f>SUM($CK$77:$CK$80)</f>
        <v>8</v>
      </c>
      <c r="CL81" s="52">
        <f>SUM($CL$77:$CL$80)</f>
        <v>6</v>
      </c>
      <c r="CM81" s="52">
        <f>SUM($CM$77:$CM$80)</f>
        <v>3</v>
      </c>
      <c r="CN81" s="52">
        <f>SUM($CN$77:$CN$80)</f>
        <v>2</v>
      </c>
      <c r="CO81" s="52">
        <f>SUM($CG$81,$CH$81,$CI$81,$CJ$81,$CK$81,$CL$81,$CM$81,$CN$81)</f>
        <v>296</v>
      </c>
      <c r="CP81" s="52">
        <f>SUM($BY$81,$BZ$81,$CA$81,$CB$81,$CC$81,$CD$81,$CE$81,$CF$81)</f>
        <v>317</v>
      </c>
      <c r="CQ81" s="52">
        <f>SUM($CQ$77:$CQ$80)</f>
        <v>257</v>
      </c>
      <c r="CR81" s="52">
        <f>SUM($CR$77:$CR$80)</f>
        <v>34</v>
      </c>
      <c r="CS81" s="52">
        <f>SUM($CS$77:$CS$80)</f>
        <v>4</v>
      </c>
      <c r="CT81" s="52">
        <f>SUM($CT$77:$CT$80)</f>
        <v>1</v>
      </c>
      <c r="CU81" s="52">
        <f>SUM($CU$77:$CU$80)</f>
        <v>3</v>
      </c>
      <c r="CV81" s="52">
        <f>SUM($CV$77:$CV$80)</f>
        <v>23</v>
      </c>
      <c r="CW81" s="52">
        <f>SUM($CW$77:$CW$80)</f>
        <v>3</v>
      </c>
      <c r="CX81" s="52">
        <f>SUM($CX$77:$CX$80)</f>
        <v>0</v>
      </c>
      <c r="CY81" s="52">
        <f>SUM($CY$77:$CY$80)</f>
        <v>257</v>
      </c>
      <c r="CZ81" s="52">
        <f>SUM($CZ$77:$CZ$80)</f>
        <v>34</v>
      </c>
      <c r="DA81" s="52">
        <f>SUM($DA$77:$DA$80)</f>
        <v>6</v>
      </c>
      <c r="DB81" s="52">
        <f>SUM($DB$77:$DB$80)</f>
        <v>2</v>
      </c>
      <c r="DC81" s="52">
        <f>SUM($DC$77:$DC$80)</f>
        <v>6</v>
      </c>
      <c r="DD81" s="52">
        <f>SUM($DD$77:$DD$80)</f>
        <v>5</v>
      </c>
      <c r="DE81" s="52">
        <f>SUM($DE$77:$DE$80)</f>
        <v>1</v>
      </c>
      <c r="DF81" s="52">
        <f>SUM($DF$77:$DF$80)</f>
        <v>0</v>
      </c>
      <c r="DG81" s="52">
        <f>SUM($CY$81,$CZ$81,$DA$81,$DB$81,$DC$81,$DD$81,$DE$81,$DF$81)</f>
        <v>311</v>
      </c>
      <c r="DH81" s="52">
        <f>SUM($CQ$81,$CR$81,$CS$81,$CT$81,$CU$81,$CV$81,$CW$81,$CX$81)</f>
        <v>325</v>
      </c>
    </row>
    <row r="82" spans="1:112" ht="21" customHeight="1">
      <c r="A82" s="46">
        <v>44395.583333333299</v>
      </c>
      <c r="B82" s="53" t="s">
        <v>87</v>
      </c>
      <c r="C82" s="54">
        <v>6</v>
      </c>
      <c r="D82" s="54">
        <v>3</v>
      </c>
      <c r="E82" s="54">
        <v>0</v>
      </c>
      <c r="F82" s="54">
        <v>0</v>
      </c>
      <c r="G82" s="54">
        <v>0</v>
      </c>
      <c r="H82" s="54">
        <v>1</v>
      </c>
      <c r="I82" s="54">
        <v>1</v>
      </c>
      <c r="J82" s="61">
        <v>0</v>
      </c>
      <c r="K82" s="62">
        <f>$C$82*VLOOKUP($C$11,'PCU Values'!$B$9:$C$16,2,FALSE)</f>
        <v>6</v>
      </c>
      <c r="L82" s="62">
        <f>$D$82*VLOOKUP($D$11,'PCU Values'!$B$9:$C$16,2,FALSE)</f>
        <v>3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0.2</v>
      </c>
      <c r="Q82" s="62">
        <f>$I$82*VLOOKUP($I$11,'PCU Values'!$B$9:$C$16,2,FALSE)</f>
        <v>0.4</v>
      </c>
      <c r="R82" s="70">
        <f>$J$82*VLOOKUP($J$11,'PCU Values'!$B$9:$C$16,2,FALSE)</f>
        <v>0</v>
      </c>
      <c r="S82" s="71">
        <f>SUM($K$82,$L$82,$M$82,$N$82,$O$82,$P$82,$Q$82,$R$82)</f>
        <v>9.6</v>
      </c>
      <c r="T82" s="52">
        <f>SUM($C$82,$D$82,$E$82,$F$82,$G$82,$H$82,$I$82,$J$82)</f>
        <v>11</v>
      </c>
      <c r="U82" s="72">
        <v>51</v>
      </c>
      <c r="V82" s="54">
        <v>4</v>
      </c>
      <c r="W82" s="54">
        <v>1</v>
      </c>
      <c r="X82" s="54">
        <v>0</v>
      </c>
      <c r="Y82" s="54">
        <v>1</v>
      </c>
      <c r="Z82" s="54">
        <v>5</v>
      </c>
      <c r="AA82" s="54">
        <v>0</v>
      </c>
      <c r="AB82" s="61">
        <v>0</v>
      </c>
      <c r="AC82" s="62">
        <f>$U$82*VLOOKUP($U$11,'PCU Values'!$B$9:$C$16,2,FALSE)</f>
        <v>51</v>
      </c>
      <c r="AD82" s="62">
        <f>$V$82*VLOOKUP($V$11,'PCU Values'!$B$9:$C$16,2,FALSE)</f>
        <v>4</v>
      </c>
      <c r="AE82" s="62">
        <f>$W$82*VLOOKUP($W$11,'PCU Values'!$B$9:$C$16,2,FALSE)</f>
        <v>1.5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1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59.5</v>
      </c>
      <c r="AL82" s="52">
        <f>SUM($U$82,$V$82,$W$82,$X$82,$Y$82,$Z$82,$AA$82,$AB$82)</f>
        <v>62</v>
      </c>
      <c r="AM82" s="72">
        <v>5</v>
      </c>
      <c r="AN82" s="54">
        <v>1</v>
      </c>
      <c r="AO82" s="54">
        <v>0</v>
      </c>
      <c r="AP82" s="54">
        <v>0</v>
      </c>
      <c r="AQ82" s="54">
        <v>0</v>
      </c>
      <c r="AR82" s="54">
        <v>1</v>
      </c>
      <c r="AS82" s="54">
        <v>1</v>
      </c>
      <c r="AT82" s="61">
        <v>0</v>
      </c>
      <c r="AU82" s="62">
        <f>$AM$82*VLOOKUP($AM$11,'PCU Values'!$B$9:$C$16,2,FALSE)</f>
        <v>5</v>
      </c>
      <c r="AV82" s="62">
        <f>$AN$82*VLOOKUP($AN$11,'PCU Values'!$B$9:$C$16,2,FALSE)</f>
        <v>1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0.2</v>
      </c>
      <c r="BA82" s="62">
        <f>$AS$82*VLOOKUP($AS$11,'PCU Values'!$B$9:$C$16,2,FALSE)</f>
        <v>0.4</v>
      </c>
      <c r="BB82" s="70">
        <f>$AT$82*VLOOKUP($AT$11,'PCU Values'!$B$9:$C$16,2,FALSE)</f>
        <v>0</v>
      </c>
      <c r="BC82" s="71">
        <f>SUM($AU$82,$AV$82,$AW$82,$AX$82,$AY$82,$AZ$82,$BA$82,$BB$82)</f>
        <v>6.6</v>
      </c>
      <c r="BD82" s="52">
        <f>SUM($AM$82,$AN$82,$AO$82,$AP$82,$AQ$82,$AR$82,$AS$82,$AT$82)</f>
        <v>8</v>
      </c>
      <c r="BE82" s="74">
        <v>1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1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1</v>
      </c>
      <c r="BV82" s="52">
        <f>SUM($BE$82,$BF$82,$BG$82,$BH$82,$BI$82,$BJ$82,$BK$82,$BL$82)</f>
        <v>1</v>
      </c>
      <c r="BX82" s="53" t="s">
        <v>87</v>
      </c>
      <c r="BY82" s="85">
        <f>SUM($C$82,$U$82,$AM$82,$BE$82)</f>
        <v>63</v>
      </c>
      <c r="BZ82" s="85">
        <f>SUM($D$82,$V$82,$AN$82,$BF$82)</f>
        <v>8</v>
      </c>
      <c r="CA82" s="85">
        <f>SUM($E$82,$W$82,$AO$82,$BG$82)</f>
        <v>1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7</v>
      </c>
      <c r="CE82" s="85">
        <f>SUM($I$82,$AA$82,$AS$82,$BK$82)</f>
        <v>2</v>
      </c>
      <c r="CF82" s="88">
        <f>SUM($J$82,$AB$82,$AT$82,$BL$82)</f>
        <v>0</v>
      </c>
      <c r="CG82" s="81">
        <f>$BY$82*VLOOKUP($BY$11,'PCU Values'!$B$9:$C$16,2,FALSE)</f>
        <v>63</v>
      </c>
      <c r="CH82" s="81">
        <f>$BZ$82*VLOOKUP($BZ$11,'PCU Values'!$B$9:$C$16,2,FALSE)</f>
        <v>8</v>
      </c>
      <c r="CI82" s="81">
        <f>$CA$82*VLOOKUP($CA$11,'PCU Values'!$B$9:$C$16,2,FALSE)</f>
        <v>1.5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1.4</v>
      </c>
      <c r="CM82" s="81">
        <f>$CE$82*VLOOKUP($CE$11,'PCU Values'!$B$9:$C$16,2,FALSE)</f>
        <v>0.8</v>
      </c>
      <c r="CN82" s="82">
        <f>$CF$82*VLOOKUP($CF$11,'PCU Values'!$B$9:$C$16,2,FALSE)</f>
        <v>0</v>
      </c>
      <c r="CO82" s="71">
        <f>SUM($CG$82,$CH$82,$CI$82,$CJ$82,$CK$82,$CL$82,$CM$82,$CN$82)</f>
        <v>76.7</v>
      </c>
      <c r="CP82" s="52">
        <f>SUM($BY$82,$BZ$82,$CA$82,$CB$82,$CC$82,$CD$82,$CE$82,$CF$82)</f>
        <v>82</v>
      </c>
      <c r="CQ82" s="91">
        <f>SUM('J1 A - (North) Bishopthorpe Roa'!$BE$82,'J1 B - Butcher Terrace'!$AM$82,'J1 C - (South) Bishopthorpe Roa'!$U$82,'J1 D - South Bank Avenue'!$C$82)</f>
        <v>54</v>
      </c>
      <c r="CR82" s="85">
        <f>SUM('J1 A - (North) Bishopthorpe Roa'!$BF$82,'J1 B - Butcher Terrace'!$AN$82,'J1 C - (South) Bishopthorpe Roa'!$V$82,'J1 D - South Bank Avenue'!$D$82)</f>
        <v>8</v>
      </c>
      <c r="CS82" s="85">
        <f>SUM('J1 A - (North) Bishopthorpe Roa'!$BG$82,'J1 B - Butcher Terrace'!$AO$82,'J1 C - (South) Bishopthorpe Roa'!$W$82,'J1 D - South Bank Avenue'!$E$82)</f>
        <v>2</v>
      </c>
      <c r="CT82" s="85">
        <f>SUM('J1 A - (North) Bishopthorpe Roa'!$BH$82,'J1 B - Butcher Terrace'!$AP$82,'J1 C - (South) Bishopthorpe Roa'!$X$82,'J1 D - South Bank Avenue'!$F$82)</f>
        <v>0</v>
      </c>
      <c r="CU82" s="85">
        <f>SUM('J1 A - (North) Bishopthorpe Roa'!$BI$82,'J1 B - Butcher Terrace'!$AQ$82,'J1 C - (South) Bishopthorpe Roa'!$Y$82,'J1 D - South Bank Avenue'!$G$82)</f>
        <v>1</v>
      </c>
      <c r="CV82" s="85">
        <f>SUM('J1 A - (North) Bishopthorpe Roa'!$BJ$82,'J1 B - Butcher Terrace'!$AR$82,'J1 C - (South) Bishopthorpe Roa'!$Z$82,'J1 D - South Bank Avenue'!$H$82)</f>
        <v>4</v>
      </c>
      <c r="CW82" s="85">
        <f>SUM('J1 A - (North) Bishopthorpe Roa'!$BK$82,'J1 B - Butcher Terrace'!$AS$82,'J1 C - (South) Bishopthorpe Roa'!$AA$82,'J1 D - South Bank Avenue'!$I$82)</f>
        <v>2</v>
      </c>
      <c r="CX82" s="88">
        <f>SUM('J1 A - (North) Bishopthorpe Roa'!$BL$82,'J1 B - Butcher Terrace'!$AT$82,'J1 C - (South) Bishopthorpe Roa'!$AB$82,'J1 D - South Bank Avenue'!$J$82)</f>
        <v>0</v>
      </c>
      <c r="CY82" s="81">
        <f>$CQ$82*VLOOKUP($CQ$11,'PCU Values'!$B$9:$C$16,2,FALSE)</f>
        <v>54</v>
      </c>
      <c r="CZ82" s="81">
        <f>$CR$82*VLOOKUP($CR$11,'PCU Values'!$B$9:$C$16,2,FALSE)</f>
        <v>8</v>
      </c>
      <c r="DA82" s="81">
        <f>$CS$82*VLOOKUP($CS$11,'PCU Values'!$B$9:$C$16,2,FALSE)</f>
        <v>3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0.8</v>
      </c>
      <c r="DE82" s="81">
        <f>$CW$82*VLOOKUP($CW$11,'PCU Values'!$B$9:$C$16,2,FALSE)</f>
        <v>0.8</v>
      </c>
      <c r="DF82" s="82">
        <f>$CX$82*VLOOKUP($CX$11,'PCU Values'!$B$9:$C$16,2,FALSE)</f>
        <v>0</v>
      </c>
      <c r="DG82" s="71">
        <f>SUM($CY$82,$CZ$82,$DA$82,$DB$82,$DC$82,$DD$82,$DE$82,$DF$82)</f>
        <v>68.599999999999994</v>
      </c>
      <c r="DH82" s="52">
        <f>SUM($CQ$82,$CR$82,$CS$82,$CT$82,$CU$82,$CV$82,$CW$82,$CX$82)</f>
        <v>71</v>
      </c>
    </row>
    <row r="83" spans="1:112" ht="21" customHeight="1">
      <c r="A83" s="46">
        <v>44395.59375</v>
      </c>
      <c r="B83" s="47" t="s">
        <v>88</v>
      </c>
      <c r="C83" s="48">
        <v>6</v>
      </c>
      <c r="D83" s="48">
        <v>3</v>
      </c>
      <c r="E83" s="48">
        <v>0</v>
      </c>
      <c r="F83" s="48">
        <v>0</v>
      </c>
      <c r="G83" s="48">
        <v>0</v>
      </c>
      <c r="H83" s="48">
        <v>1</v>
      </c>
      <c r="I83" s="48">
        <v>0</v>
      </c>
      <c r="J83" s="56">
        <v>1</v>
      </c>
      <c r="K83" s="57">
        <f>$C$83*VLOOKUP($C$11,'PCU Values'!$B$9:$C$16,2,FALSE)</f>
        <v>6</v>
      </c>
      <c r="L83" s="57">
        <f>$D$83*VLOOKUP($D$11,'PCU Values'!$B$9:$C$16,2,FALSE)</f>
        <v>3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0.2</v>
      </c>
      <c r="Q83" s="57">
        <f>$I$83*VLOOKUP($I$11,'PCU Values'!$B$9:$C$16,2,FALSE)</f>
        <v>0</v>
      </c>
      <c r="R83" s="65">
        <f>$J$83*VLOOKUP($J$11,'PCU Values'!$B$9:$C$16,2,FALSE)</f>
        <v>1.5</v>
      </c>
      <c r="S83" s="66">
        <f>SUM($K$83,$L$83,$M$83,$N$83,$O$83,$P$83,$Q$83,$R$83)</f>
        <v>10.7</v>
      </c>
      <c r="T83" s="52">
        <f>SUM($C$83,$D$83,$E$83,$F$83,$G$83,$H$83,$I$83,$J$83)</f>
        <v>11</v>
      </c>
      <c r="U83" s="67">
        <v>65</v>
      </c>
      <c r="V83" s="48">
        <v>10</v>
      </c>
      <c r="W83" s="48">
        <v>0</v>
      </c>
      <c r="X83" s="48">
        <v>0</v>
      </c>
      <c r="Y83" s="48">
        <v>0</v>
      </c>
      <c r="Z83" s="48">
        <v>4</v>
      </c>
      <c r="AA83" s="48">
        <v>0</v>
      </c>
      <c r="AB83" s="56">
        <v>0</v>
      </c>
      <c r="AC83" s="57">
        <f>$U$83*VLOOKUP($U$11,'PCU Values'!$B$9:$C$16,2,FALSE)</f>
        <v>65</v>
      </c>
      <c r="AD83" s="57">
        <f>$V$83*VLOOKUP($V$11,'PCU Values'!$B$9:$C$16,2,FALSE)</f>
        <v>10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0.8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75.8</v>
      </c>
      <c r="AL83" s="52">
        <f>SUM($U$83,$V$83,$W$83,$X$83,$Y$83,$Z$83,$AA$83,$AB$83)</f>
        <v>79</v>
      </c>
      <c r="AM83" s="67">
        <v>5</v>
      </c>
      <c r="AN83" s="48">
        <v>1</v>
      </c>
      <c r="AO83" s="48">
        <v>0</v>
      </c>
      <c r="AP83" s="48">
        <v>0</v>
      </c>
      <c r="AQ83" s="48">
        <v>0</v>
      </c>
      <c r="AR83" s="48">
        <v>2</v>
      </c>
      <c r="AS83" s="48">
        <v>0</v>
      </c>
      <c r="AT83" s="56">
        <v>0</v>
      </c>
      <c r="AU83" s="57">
        <f>$AM$83*VLOOKUP($AM$11,'PCU Values'!$B$9:$C$16,2,FALSE)</f>
        <v>5</v>
      </c>
      <c r="AV83" s="57">
        <f>$AN$83*VLOOKUP($AN$11,'PCU Values'!$B$9:$C$16,2,FALSE)</f>
        <v>1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0.4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6.4</v>
      </c>
      <c r="BD83" s="52">
        <f>SUM($AM$83,$AN$83,$AO$83,$AP$83,$AQ$83,$AR$83,$AS$83,$AT$83)</f>
        <v>8</v>
      </c>
      <c r="BE83" s="67">
        <v>1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1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1</v>
      </c>
      <c r="BV83" s="52">
        <f>SUM($BE$83,$BF$83,$BG$83,$BH$83,$BI$83,$BJ$83,$BK$83,$BL$83)</f>
        <v>1</v>
      </c>
      <c r="BX83" s="47" t="s">
        <v>88</v>
      </c>
      <c r="BY83" s="83">
        <f>SUM($C$83,$U$83,$AM$83,$BE$83)</f>
        <v>77</v>
      </c>
      <c r="BZ83" s="83">
        <f>SUM($D$83,$V$83,$AN$83,$BF$83)</f>
        <v>14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7</v>
      </c>
      <c r="CE83" s="83">
        <f>SUM($I$83,$AA$83,$AS$83,$BK$83)</f>
        <v>0</v>
      </c>
      <c r="CF83" s="86">
        <f>SUM($J$83,$AB$83,$AT$83,$BL$83)</f>
        <v>1</v>
      </c>
      <c r="CG83" s="77">
        <f>$BY$83*VLOOKUP($BY$11,'PCU Values'!$B$9:$C$16,2,FALSE)</f>
        <v>77</v>
      </c>
      <c r="CH83" s="77">
        <f>$BZ$83*VLOOKUP($BZ$11,'PCU Values'!$B$9:$C$16,2,FALSE)</f>
        <v>14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1.4</v>
      </c>
      <c r="CM83" s="77">
        <f>$CE$83*VLOOKUP($CE$11,'PCU Values'!$B$9:$C$16,2,FALSE)</f>
        <v>0</v>
      </c>
      <c r="CN83" s="78">
        <f>$CF$83*VLOOKUP($CF$11,'PCU Values'!$B$9:$C$16,2,FALSE)</f>
        <v>1.5</v>
      </c>
      <c r="CO83" s="66">
        <f>SUM($CG$83,$CH$83,$CI$83,$CJ$83,$CK$83,$CL$83,$CM$83,$CN$83)</f>
        <v>93.9</v>
      </c>
      <c r="CP83" s="52">
        <f>SUM($BY$83,$BZ$83,$CA$83,$CB$83,$CC$83,$CD$83,$CE$83,$CF$83)</f>
        <v>99</v>
      </c>
      <c r="CQ83" s="89">
        <f>SUM('J1 A - (North) Bishopthorpe Roa'!$BE$83,'J1 B - Butcher Terrace'!$AM$83,'J1 C - (South) Bishopthorpe Roa'!$U$83,'J1 D - South Bank Avenue'!$C$83)</f>
        <v>47</v>
      </c>
      <c r="CR83" s="83">
        <f>SUM('J1 A - (North) Bishopthorpe Roa'!$BF$83,'J1 B - Butcher Terrace'!$AN$83,'J1 C - (South) Bishopthorpe Roa'!$V$83,'J1 D - South Bank Avenue'!$D$83)</f>
        <v>10</v>
      </c>
      <c r="CS83" s="83">
        <f>SUM('J1 A - (North) Bishopthorpe Roa'!$BG$83,'J1 B - Butcher Terrace'!$AO$83,'J1 C - (South) Bishopthorpe Roa'!$W$83,'J1 D - South Bank Avenue'!$E$83)</f>
        <v>1</v>
      </c>
      <c r="CT83" s="83">
        <f>SUM('J1 A - (North) Bishopthorpe Roa'!$BH$83,'J1 B - Butcher Terrace'!$AP$83,'J1 C - (South) Bishopthorpe Roa'!$X$83,'J1 D - South Bank Avenue'!$F$83)</f>
        <v>0</v>
      </c>
      <c r="CU83" s="83">
        <f>SUM('J1 A - (North) Bishopthorpe Roa'!$BI$83,'J1 B - Butcher Terrace'!$AQ$83,'J1 C - (South) Bishopthorpe Roa'!$Y$83,'J1 D - South Bank Avenue'!$G$83)</f>
        <v>0</v>
      </c>
      <c r="CV83" s="83">
        <f>SUM('J1 A - (North) Bishopthorpe Roa'!$BJ$83,'J1 B - Butcher Terrace'!$AR$83,'J1 C - (South) Bishopthorpe Roa'!$Z$83,'J1 D - South Bank Avenue'!$H$83)</f>
        <v>7</v>
      </c>
      <c r="CW83" s="83">
        <f>SUM('J1 A - (North) Bishopthorpe Roa'!$BK$83,'J1 B - Butcher Terrace'!$AS$83,'J1 C - (South) Bishopthorpe Roa'!$AA$83,'J1 D - South Bank Avenue'!$I$83)</f>
        <v>2</v>
      </c>
      <c r="CX83" s="86">
        <f>SUM('J1 A - (North) Bishopthorpe Roa'!$BL$83,'J1 B - Butcher Terrace'!$AT$83,'J1 C - (South) Bishopthorpe Roa'!$AB$83,'J1 D - South Bank Avenue'!$J$83)</f>
        <v>0</v>
      </c>
      <c r="CY83" s="77">
        <f>$CQ$83*VLOOKUP($CQ$11,'PCU Values'!$B$9:$C$16,2,FALSE)</f>
        <v>47</v>
      </c>
      <c r="CZ83" s="77">
        <f>$CR$83*VLOOKUP($CR$11,'PCU Values'!$B$9:$C$16,2,FALSE)</f>
        <v>10</v>
      </c>
      <c r="DA83" s="77">
        <f>$CS$83*VLOOKUP($CS$11,'PCU Values'!$B$9:$C$16,2,FALSE)</f>
        <v>1.5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1.4</v>
      </c>
      <c r="DE83" s="77">
        <f>$CW$83*VLOOKUP($CW$11,'PCU Values'!$B$9:$C$16,2,FALSE)</f>
        <v>0.8</v>
      </c>
      <c r="DF83" s="78">
        <f>$CX$83*VLOOKUP($CX$11,'PCU Values'!$B$9:$C$16,2,FALSE)</f>
        <v>0</v>
      </c>
      <c r="DG83" s="66">
        <f>SUM($CY$83,$CZ$83,$DA$83,$DB$83,$DC$83,$DD$83,$DE$83,$DF$83)</f>
        <v>60.7</v>
      </c>
      <c r="DH83" s="52">
        <f>SUM($CQ$83,$CR$83,$CS$83,$CT$83,$CU$83,$CV$83,$CW$83,$CX$83)</f>
        <v>67</v>
      </c>
    </row>
    <row r="84" spans="1:112" ht="21" customHeight="1">
      <c r="A84" s="46">
        <v>44395.604166666701</v>
      </c>
      <c r="B84" s="47" t="s">
        <v>89</v>
      </c>
      <c r="C84" s="48">
        <v>2</v>
      </c>
      <c r="D84" s="48">
        <v>1</v>
      </c>
      <c r="E84" s="48">
        <v>0</v>
      </c>
      <c r="F84" s="48">
        <v>0</v>
      </c>
      <c r="G84" s="48">
        <v>0</v>
      </c>
      <c r="H84" s="48">
        <v>4</v>
      </c>
      <c r="I84" s="48">
        <v>0</v>
      </c>
      <c r="J84" s="56">
        <v>0</v>
      </c>
      <c r="K84" s="57">
        <f>$C$84*VLOOKUP($C$11,'PCU Values'!$B$9:$C$16,2,FALSE)</f>
        <v>2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0.8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3.8</v>
      </c>
      <c r="T84" s="52">
        <f>SUM($C$84,$D$84,$E$84,$F$84,$G$84,$H$84,$I$84,$J$84)</f>
        <v>7</v>
      </c>
      <c r="U84" s="76">
        <v>59</v>
      </c>
      <c r="V84" s="49">
        <v>9</v>
      </c>
      <c r="W84" s="48">
        <v>1</v>
      </c>
      <c r="X84" s="48">
        <v>2</v>
      </c>
      <c r="Y84" s="49">
        <v>0</v>
      </c>
      <c r="Z84" s="49">
        <v>2</v>
      </c>
      <c r="AA84" s="48">
        <v>2</v>
      </c>
      <c r="AB84" s="56">
        <v>0</v>
      </c>
      <c r="AC84" s="57">
        <f>$U$84*VLOOKUP($U$11,'PCU Values'!$B$9:$C$16,2,FALSE)</f>
        <v>59</v>
      </c>
      <c r="AD84" s="57">
        <f>$V$84*VLOOKUP($V$11,'PCU Values'!$B$9:$C$16,2,FALSE)</f>
        <v>9</v>
      </c>
      <c r="AE84" s="57">
        <f>$W$84*VLOOKUP($W$11,'PCU Values'!$B$9:$C$16,2,FALSE)</f>
        <v>1.5</v>
      </c>
      <c r="AF84" s="57">
        <f>$X$84*VLOOKUP($X$11,'PCU Values'!$B$9:$C$16,2,FALSE)</f>
        <v>4.5999999999999996</v>
      </c>
      <c r="AG84" s="57">
        <f>$Y$84*VLOOKUP($Y$11,'PCU Values'!$B$9:$C$16,2,FALSE)</f>
        <v>0</v>
      </c>
      <c r="AH84" s="57">
        <f>$Z$84*VLOOKUP($Z$11,'PCU Values'!$B$9:$C$16,2,FALSE)</f>
        <v>0.4</v>
      </c>
      <c r="AI84" s="57">
        <f>$AA$84*VLOOKUP($AA$11,'PCU Values'!$B$9:$C$16,2,FALSE)</f>
        <v>0.8</v>
      </c>
      <c r="AJ84" s="65">
        <f>$AB$84*VLOOKUP($AB$11,'PCU Values'!$B$9:$C$16,2,FALSE)</f>
        <v>0</v>
      </c>
      <c r="AK84" s="66">
        <f>SUM($AC$84,$AD$84,$AE$84,$AF$84,$AG$84,$AH$84,$AI$84,$AJ$84)</f>
        <v>75.3</v>
      </c>
      <c r="AL84" s="52">
        <f>SUM($U$84,$V$84,$W$84,$X$84,$Y$84,$Z$84,$AA$84,$AB$84)</f>
        <v>75</v>
      </c>
      <c r="AM84" s="67">
        <v>6</v>
      </c>
      <c r="AN84" s="48">
        <v>1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56">
        <v>0</v>
      </c>
      <c r="AU84" s="57">
        <f>$AM$84*VLOOKUP($AM$11,'PCU Values'!$B$9:$C$16,2,FALSE)</f>
        <v>6</v>
      </c>
      <c r="AV84" s="57">
        <f>$AN$84*VLOOKUP($AN$11,'PCU Values'!$B$9:$C$16,2,FALSE)</f>
        <v>1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7</v>
      </c>
      <c r="BD84" s="52">
        <f>SUM($AM$84,$AN$84,$AO$84,$AP$84,$AQ$84,$AR$84,$AS$84,$AT$84)</f>
        <v>7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67</v>
      </c>
      <c r="BZ84" s="83">
        <f>SUM($D$84,$V$84,$AN$84,$BF$84)</f>
        <v>11</v>
      </c>
      <c r="CA84" s="83">
        <f>SUM($E$84,$W$84,$AO$84,$BG$84)</f>
        <v>1</v>
      </c>
      <c r="CB84" s="83">
        <f>SUM($F$84,$X$84,$AP$84,$BH$84)</f>
        <v>2</v>
      </c>
      <c r="CC84" s="83">
        <f>SUM($G$84,$Y$84,$AQ$84,$BI$84)</f>
        <v>0</v>
      </c>
      <c r="CD84" s="83">
        <f>SUM($H$84,$Z$84,$AR$84,$BJ$84)</f>
        <v>6</v>
      </c>
      <c r="CE84" s="83">
        <f>SUM($I$84,$AA$84,$AS$84,$BK$84)</f>
        <v>2</v>
      </c>
      <c r="CF84" s="86">
        <f>SUM($J$84,$AB$84,$AT$84,$BL$84)</f>
        <v>0</v>
      </c>
      <c r="CG84" s="77">
        <f>$BY$84*VLOOKUP($BY$11,'PCU Values'!$B$9:$C$16,2,FALSE)</f>
        <v>67</v>
      </c>
      <c r="CH84" s="77">
        <f>$BZ$84*VLOOKUP($BZ$11,'PCU Values'!$B$9:$C$16,2,FALSE)</f>
        <v>11</v>
      </c>
      <c r="CI84" s="77">
        <f>$CA$84*VLOOKUP($CA$11,'PCU Values'!$B$9:$C$16,2,FALSE)</f>
        <v>1.5</v>
      </c>
      <c r="CJ84" s="77">
        <f>$CB$84*VLOOKUP($CB$11,'PCU Values'!$B$9:$C$16,2,FALSE)</f>
        <v>4.5999999999999996</v>
      </c>
      <c r="CK84" s="77">
        <f>$CC$84*VLOOKUP($CC$11,'PCU Values'!$B$9:$C$16,2,FALSE)</f>
        <v>0</v>
      </c>
      <c r="CL84" s="77">
        <f>$CD$84*VLOOKUP($CD$11,'PCU Values'!$B$9:$C$16,2,FALSE)</f>
        <v>1.2</v>
      </c>
      <c r="CM84" s="77">
        <f>$CE$84*VLOOKUP($CE$11,'PCU Values'!$B$9:$C$16,2,FALSE)</f>
        <v>0.8</v>
      </c>
      <c r="CN84" s="78">
        <f>$CF$84*VLOOKUP($CF$11,'PCU Values'!$B$9:$C$16,2,FALSE)</f>
        <v>0</v>
      </c>
      <c r="CO84" s="66">
        <f>SUM($CG$84,$CH$84,$CI$84,$CJ$84,$CK$84,$CL$84,$CM$84,$CN$84)</f>
        <v>86.1</v>
      </c>
      <c r="CP84" s="52">
        <f>SUM($BY$84,$BZ$84,$CA$84,$CB$84,$CC$84,$CD$84,$CE$84,$CF$84)</f>
        <v>89</v>
      </c>
      <c r="CQ84" s="89">
        <f>SUM('J1 A - (North) Bishopthorpe Roa'!$BE$84,'J1 B - Butcher Terrace'!$AM$84,'J1 C - (South) Bishopthorpe Roa'!$U$84,'J1 D - South Bank Avenue'!$C$84)</f>
        <v>51</v>
      </c>
      <c r="CR84" s="83">
        <f>SUM('J1 A - (North) Bishopthorpe Roa'!$BF$84,'J1 B - Butcher Terrace'!$AN$84,'J1 C - (South) Bishopthorpe Roa'!$V$84,'J1 D - South Bank Avenue'!$D$84)</f>
        <v>7</v>
      </c>
      <c r="CS84" s="83">
        <f>SUM('J1 A - (North) Bishopthorpe Roa'!$BG$84,'J1 B - Butcher Terrace'!$AO$84,'J1 C - (South) Bishopthorpe Roa'!$W$84,'J1 D - South Bank Avenue'!$E$84)</f>
        <v>0</v>
      </c>
      <c r="CT84" s="83">
        <f>SUM('J1 A - (North) Bishopthorpe Roa'!$BH$84,'J1 B - Butcher Terrace'!$AP$84,'J1 C - (South) Bishopthorpe Roa'!$X$84,'J1 D - South Bank Avenue'!$F$84)</f>
        <v>0</v>
      </c>
      <c r="CU84" s="83">
        <f>SUM('J1 A - (North) Bishopthorpe Roa'!$BI$84,'J1 B - Butcher Terrace'!$AQ$84,'J1 C - (South) Bishopthorpe Roa'!$Y$84,'J1 D - South Bank Avenue'!$G$84)</f>
        <v>2</v>
      </c>
      <c r="CV84" s="83">
        <f>SUM('J1 A - (North) Bishopthorpe Roa'!$BJ$84,'J1 B - Butcher Terrace'!$AR$84,'J1 C - (South) Bishopthorpe Roa'!$Z$84,'J1 D - South Bank Avenue'!$H$84)</f>
        <v>8</v>
      </c>
      <c r="CW84" s="83">
        <f>SUM('J1 A - (North) Bishopthorpe Roa'!$BK$84,'J1 B - Butcher Terrace'!$AS$84,'J1 C - (South) Bishopthorpe Roa'!$AA$84,'J1 D - South Bank Avenue'!$I$84)</f>
        <v>3</v>
      </c>
      <c r="CX84" s="86">
        <f>SUM('J1 A - (North) Bishopthorpe Roa'!$BL$84,'J1 B - Butcher Terrace'!$AT$84,'J1 C - (South) Bishopthorpe Roa'!$AB$84,'J1 D - South Bank Avenue'!$J$84)</f>
        <v>0</v>
      </c>
      <c r="CY84" s="77">
        <f>$CQ$84*VLOOKUP($CQ$11,'PCU Values'!$B$9:$C$16,2,FALSE)</f>
        <v>51</v>
      </c>
      <c r="CZ84" s="77">
        <f>$CR$84*VLOOKUP($CR$11,'PCU Values'!$B$9:$C$16,2,FALSE)</f>
        <v>7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4</v>
      </c>
      <c r="DD84" s="77">
        <f>$CV$84*VLOOKUP($CV$11,'PCU Values'!$B$9:$C$16,2,FALSE)</f>
        <v>1.6</v>
      </c>
      <c r="DE84" s="77">
        <f>$CW$84*VLOOKUP($CW$11,'PCU Values'!$B$9:$C$16,2,FALSE)</f>
        <v>1.2</v>
      </c>
      <c r="DF84" s="78">
        <f>$CX$84*VLOOKUP($CX$11,'PCU Values'!$B$9:$C$16,2,FALSE)</f>
        <v>0</v>
      </c>
      <c r="DG84" s="66">
        <f>SUM($CY$84,$CZ$84,$DA$84,$DB$84,$DC$84,$DD$84,$DE$84,$DF$84)</f>
        <v>64.8</v>
      </c>
      <c r="DH84" s="52">
        <f>SUM($CQ$84,$CR$84,$CS$84,$CT$84,$CU$84,$CV$84,$CW$84,$CX$84)</f>
        <v>71</v>
      </c>
    </row>
    <row r="85" spans="1:112" ht="21" customHeight="1">
      <c r="A85" s="46">
        <v>44395.614583333299</v>
      </c>
      <c r="B85" s="50" t="s">
        <v>90</v>
      </c>
      <c r="C85" s="51">
        <v>4</v>
      </c>
      <c r="D85" s="51">
        <v>0</v>
      </c>
      <c r="E85" s="51">
        <v>0</v>
      </c>
      <c r="F85" s="51">
        <v>0</v>
      </c>
      <c r="G85" s="51">
        <v>0</v>
      </c>
      <c r="H85" s="51">
        <v>4</v>
      </c>
      <c r="I85" s="51">
        <v>0</v>
      </c>
      <c r="J85" s="59">
        <v>1</v>
      </c>
      <c r="K85" s="60">
        <f>$C$85*VLOOKUP($C$11,'PCU Values'!$B$9:$C$16,2,FALSE)</f>
        <v>4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0.8</v>
      </c>
      <c r="Q85" s="60">
        <f>$I$85*VLOOKUP($I$11,'PCU Values'!$B$9:$C$16,2,FALSE)</f>
        <v>0</v>
      </c>
      <c r="R85" s="68">
        <f>$J$85*VLOOKUP($J$11,'PCU Values'!$B$9:$C$16,2,FALSE)</f>
        <v>1.5</v>
      </c>
      <c r="S85" s="63">
        <f>SUM($K$85,$L$85,$M$85,$N$85,$O$85,$P$85,$Q$85,$R$85)</f>
        <v>6.3</v>
      </c>
      <c r="T85" s="52">
        <f>SUM($C$85,$D$85,$E$85,$F$85,$G$85,$H$85,$I$85,$J$85)</f>
        <v>9</v>
      </c>
      <c r="U85" s="73">
        <v>50</v>
      </c>
      <c r="V85" s="51">
        <v>5</v>
      </c>
      <c r="W85" s="51">
        <v>1</v>
      </c>
      <c r="X85" s="51">
        <v>0</v>
      </c>
      <c r="Y85" s="51">
        <v>0</v>
      </c>
      <c r="Z85" s="51">
        <v>4</v>
      </c>
      <c r="AA85" s="51">
        <v>2</v>
      </c>
      <c r="AB85" s="59">
        <v>0</v>
      </c>
      <c r="AC85" s="60">
        <f>$U$85*VLOOKUP($U$11,'PCU Values'!$B$9:$C$16,2,FALSE)</f>
        <v>50</v>
      </c>
      <c r="AD85" s="60">
        <f>$V$85*VLOOKUP($V$11,'PCU Values'!$B$9:$C$16,2,FALSE)</f>
        <v>5</v>
      </c>
      <c r="AE85" s="60">
        <f>$W$85*VLOOKUP($W$11,'PCU Values'!$B$9:$C$16,2,FALSE)</f>
        <v>1.5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0.8</v>
      </c>
      <c r="AI85" s="60">
        <f>$AA$85*VLOOKUP($AA$11,'PCU Values'!$B$9:$C$16,2,FALSE)</f>
        <v>0.8</v>
      </c>
      <c r="AJ85" s="68">
        <f>$AB$85*VLOOKUP($AB$11,'PCU Values'!$B$9:$C$16,2,FALSE)</f>
        <v>0</v>
      </c>
      <c r="AK85" s="63">
        <f>SUM($AC$85,$AD$85,$AE$85,$AF$85,$AG$85,$AH$85,$AI$85,$AJ$85)</f>
        <v>58.1</v>
      </c>
      <c r="AL85" s="52">
        <f>SUM($U$85,$V$85,$W$85,$X$85,$Y$85,$Z$85,$AA$85,$AB$85)</f>
        <v>62</v>
      </c>
      <c r="AM85" s="73">
        <v>3</v>
      </c>
      <c r="AN85" s="51">
        <v>2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9">
        <v>0</v>
      </c>
      <c r="AU85" s="60">
        <f>$AM$85*VLOOKUP($AM$11,'PCU Values'!$B$9:$C$16,2,FALSE)</f>
        <v>3</v>
      </c>
      <c r="AV85" s="60">
        <f>$AN$85*VLOOKUP($AN$11,'PCU Values'!$B$9:$C$16,2,FALSE)</f>
        <v>2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5</v>
      </c>
      <c r="BD85" s="52">
        <f>SUM($AM$85,$AN$85,$AO$85,$AP$85,$AQ$85,$AR$85,$AS$85,$AT$85)</f>
        <v>5</v>
      </c>
      <c r="BE85" s="73">
        <v>1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1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1</v>
      </c>
      <c r="BV85" s="52">
        <f>SUM($BE$85,$BF$85,$BG$85,$BH$85,$BI$85,$BJ$85,$BK$85,$BL$85)</f>
        <v>1</v>
      </c>
      <c r="BX85" s="50" t="s">
        <v>90</v>
      </c>
      <c r="BY85" s="84">
        <f>SUM($C$85,$U$85,$AM$85,$BE$85)</f>
        <v>58</v>
      </c>
      <c r="BZ85" s="84">
        <f>SUM($D$85,$V$85,$AN$85,$BF$85)</f>
        <v>7</v>
      </c>
      <c r="CA85" s="84">
        <f>SUM($E$85,$W$85,$AO$85,$BG$85)</f>
        <v>1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8</v>
      </c>
      <c r="CE85" s="84">
        <f>SUM($I$85,$AA$85,$AS$85,$BK$85)</f>
        <v>2</v>
      </c>
      <c r="CF85" s="87">
        <f>SUM($J$85,$AB$85,$AT$85,$BL$85)</f>
        <v>1</v>
      </c>
      <c r="CG85" s="79">
        <f>$BY$85*VLOOKUP($BY$11,'PCU Values'!$B$9:$C$16,2,FALSE)</f>
        <v>58</v>
      </c>
      <c r="CH85" s="79">
        <f>$BZ$85*VLOOKUP($BZ$11,'PCU Values'!$B$9:$C$16,2,FALSE)</f>
        <v>7</v>
      </c>
      <c r="CI85" s="79">
        <f>$CA$85*VLOOKUP($CA$11,'PCU Values'!$B$9:$C$16,2,FALSE)</f>
        <v>1.5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1.6</v>
      </c>
      <c r="CM85" s="79">
        <f>$CE$85*VLOOKUP($CE$11,'PCU Values'!$B$9:$C$16,2,FALSE)</f>
        <v>0.8</v>
      </c>
      <c r="CN85" s="80">
        <f>$CF$85*VLOOKUP($CF$11,'PCU Values'!$B$9:$C$16,2,FALSE)</f>
        <v>1.5</v>
      </c>
      <c r="CO85" s="63">
        <f>SUM($CG$85,$CH$85,$CI$85,$CJ$85,$CK$85,$CL$85,$CM$85,$CN$85)</f>
        <v>70.400000000000006</v>
      </c>
      <c r="CP85" s="52">
        <f>SUM($BY$85,$BZ$85,$CA$85,$CB$85,$CC$85,$CD$85,$CE$85,$CF$85)</f>
        <v>77</v>
      </c>
      <c r="CQ85" s="90">
        <f>SUM('J1 A - (North) Bishopthorpe Roa'!$BE$85,'J1 B - Butcher Terrace'!$AM$85,'J1 C - (South) Bishopthorpe Roa'!$U$85,'J1 D - South Bank Avenue'!$C$85)</f>
        <v>52</v>
      </c>
      <c r="CR85" s="84">
        <f>SUM('J1 A - (North) Bishopthorpe Roa'!$BF$85,'J1 B - Butcher Terrace'!$AN$85,'J1 C - (South) Bishopthorpe Roa'!$V$85,'J1 D - South Bank Avenue'!$D$85)</f>
        <v>9</v>
      </c>
      <c r="CS85" s="84">
        <f>SUM('J1 A - (North) Bishopthorpe Roa'!$BG$85,'J1 B - Butcher Terrace'!$AO$85,'J1 C - (South) Bishopthorpe Roa'!$W$85,'J1 D - South Bank Avenue'!$E$85)</f>
        <v>1</v>
      </c>
      <c r="CT85" s="84">
        <f>SUM('J1 A - (North) Bishopthorpe Roa'!$BH$85,'J1 B - Butcher Terrace'!$AP$85,'J1 C - (South) Bishopthorpe Roa'!$X$85,'J1 D - South Bank Avenue'!$F$85)</f>
        <v>0</v>
      </c>
      <c r="CU85" s="84">
        <f>SUM('J1 A - (North) Bishopthorpe Roa'!$BI$85,'J1 B - Butcher Terrace'!$AQ$85,'J1 C - (South) Bishopthorpe Roa'!$Y$85,'J1 D - South Bank Avenue'!$G$85)</f>
        <v>1</v>
      </c>
      <c r="CV85" s="84">
        <f>SUM('J1 A - (North) Bishopthorpe Roa'!$BJ$85,'J1 B - Butcher Terrace'!$AR$85,'J1 C - (South) Bishopthorpe Roa'!$Z$85,'J1 D - South Bank Avenue'!$H$85)</f>
        <v>13</v>
      </c>
      <c r="CW85" s="84">
        <f>SUM('J1 A - (North) Bishopthorpe Roa'!$BK$85,'J1 B - Butcher Terrace'!$AS$85,'J1 C - (South) Bishopthorpe Roa'!$AA$85,'J1 D - South Bank Avenue'!$I$85)</f>
        <v>0</v>
      </c>
      <c r="CX85" s="87">
        <f>SUM('J1 A - (North) Bishopthorpe Roa'!$BL$85,'J1 B - Butcher Terrace'!$AT$85,'J1 C - (South) Bishopthorpe Roa'!$AB$85,'J1 D - South Bank Avenue'!$J$85)</f>
        <v>0</v>
      </c>
      <c r="CY85" s="79">
        <f>$CQ$85*VLOOKUP($CQ$11,'PCU Values'!$B$9:$C$16,2,FALSE)</f>
        <v>52</v>
      </c>
      <c r="CZ85" s="79">
        <f>$CR$85*VLOOKUP($CR$11,'PCU Values'!$B$9:$C$16,2,FALSE)</f>
        <v>9</v>
      </c>
      <c r="DA85" s="79">
        <f>$CS$85*VLOOKUP($CS$11,'PCU Values'!$B$9:$C$16,2,FALSE)</f>
        <v>1.5</v>
      </c>
      <c r="DB85" s="79">
        <f>$CT$85*VLOOKUP($CT$11,'PCU Values'!$B$9:$C$16,2,FALSE)</f>
        <v>0</v>
      </c>
      <c r="DC85" s="79">
        <f>$CU$85*VLOOKUP($CU$11,'PCU Values'!$B$9:$C$16,2,FALSE)</f>
        <v>2</v>
      </c>
      <c r="DD85" s="79">
        <f>$CV$85*VLOOKUP($CV$11,'PCU Values'!$B$9:$C$16,2,FALSE)</f>
        <v>2.6</v>
      </c>
      <c r="DE85" s="79">
        <f>$CW$85*VLOOKUP($CW$11,'PCU Values'!$B$9:$C$16,2,FALSE)</f>
        <v>0</v>
      </c>
      <c r="DF85" s="80">
        <f>$CX$85*VLOOKUP($CX$11,'PCU Values'!$B$9:$C$16,2,FALSE)</f>
        <v>0</v>
      </c>
      <c r="DG85" s="63">
        <f>SUM($CY$85,$CZ$85,$DA$85,$DB$85,$DC$85,$DD$85,$DE$85,$DF$85)</f>
        <v>67.099999999999994</v>
      </c>
      <c r="DH85" s="52">
        <f>SUM($CQ$85,$CR$85,$CS$85,$CT$85,$CU$85,$CV$85,$CW$85,$CX$85)</f>
        <v>76</v>
      </c>
    </row>
    <row r="86" spans="1:112">
      <c r="B86" s="52" t="s">
        <v>34</v>
      </c>
      <c r="C86" s="52">
        <f>SUM($C$82:$C$85)</f>
        <v>18</v>
      </c>
      <c r="D86" s="52">
        <f>SUM($D$82:$D$85)</f>
        <v>7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10</v>
      </c>
      <c r="I86" s="52">
        <f>SUM($I$82:$I$85)</f>
        <v>1</v>
      </c>
      <c r="J86" s="52">
        <f>SUM($J$82:$J$85)</f>
        <v>2</v>
      </c>
      <c r="K86" s="52">
        <f>SUM($K$82:$K$85)</f>
        <v>18</v>
      </c>
      <c r="L86" s="52">
        <f>SUM($L$82:$L$85)</f>
        <v>7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2</v>
      </c>
      <c r="Q86" s="52">
        <f>SUM($Q$82:$Q$85)</f>
        <v>0</v>
      </c>
      <c r="R86" s="52">
        <f>SUM($R$82:$R$85)</f>
        <v>3</v>
      </c>
      <c r="S86" s="52">
        <f>SUM($K$86,$L$86,$M$86,$N$86,$O$86,$P$86,$Q$86,$R$86)</f>
        <v>30</v>
      </c>
      <c r="T86" s="52">
        <f>SUM($C$86,$D$86,$E$86,$F$86,$G$86,$H$86,$I$86,$J$86)</f>
        <v>38</v>
      </c>
      <c r="U86" s="52">
        <f>SUM($U$82:$U$85)</f>
        <v>225</v>
      </c>
      <c r="V86" s="52">
        <f>SUM($V$82:$V$85)</f>
        <v>28</v>
      </c>
      <c r="W86" s="52">
        <f>SUM($W$82:$W$85)</f>
        <v>3</v>
      </c>
      <c r="X86" s="52">
        <f>SUM($X$82:$X$85)</f>
        <v>2</v>
      </c>
      <c r="Y86" s="52">
        <f>SUM($Y$82:$Y$85)</f>
        <v>1</v>
      </c>
      <c r="Z86" s="52">
        <f>SUM($Z$82:$Z$85)</f>
        <v>15</v>
      </c>
      <c r="AA86" s="52">
        <f>SUM($AA$82:$AA$85)</f>
        <v>4</v>
      </c>
      <c r="AB86" s="52">
        <f>SUM($AB$82:$AB$85)</f>
        <v>0</v>
      </c>
      <c r="AC86" s="52">
        <f>SUM($AC$82:$AC$85)</f>
        <v>225</v>
      </c>
      <c r="AD86" s="52">
        <f>SUM($AD$82:$AD$85)</f>
        <v>28</v>
      </c>
      <c r="AE86" s="52">
        <f>SUM($AE$82:$AE$85)</f>
        <v>5</v>
      </c>
      <c r="AF86" s="52">
        <f>SUM($AF$82:$AF$85)</f>
        <v>5</v>
      </c>
      <c r="AG86" s="52">
        <f>SUM($AG$82:$AG$85)</f>
        <v>2</v>
      </c>
      <c r="AH86" s="52">
        <f>SUM($AH$82:$AH$85)</f>
        <v>3</v>
      </c>
      <c r="AI86" s="52">
        <f>SUM($AI$82:$AI$85)</f>
        <v>2</v>
      </c>
      <c r="AJ86" s="52">
        <f>SUM($AJ$82:$AJ$85)</f>
        <v>0</v>
      </c>
      <c r="AK86" s="52">
        <f>SUM($AC$86,$AD$86,$AE$86,$AF$86,$AG$86,$AH$86,$AI$86,$AJ$86)</f>
        <v>270</v>
      </c>
      <c r="AL86" s="52">
        <f>SUM($U$86,$V$86,$W$86,$X$86,$Y$86,$Z$86,$AA$86,$AB$86)</f>
        <v>278</v>
      </c>
      <c r="AM86" s="52">
        <f>SUM($AM$82:$AM$85)</f>
        <v>19</v>
      </c>
      <c r="AN86" s="52">
        <f>SUM($AN$82:$AN$85)</f>
        <v>5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3</v>
      </c>
      <c r="AS86" s="52">
        <f>SUM($AS$82:$AS$85)</f>
        <v>1</v>
      </c>
      <c r="AT86" s="52">
        <f>SUM($AT$82:$AT$85)</f>
        <v>0</v>
      </c>
      <c r="AU86" s="52">
        <f>SUM($AU$82:$AU$85)</f>
        <v>19</v>
      </c>
      <c r="AV86" s="52">
        <f>SUM($AV$82:$AV$85)</f>
        <v>5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1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25</v>
      </c>
      <c r="BD86" s="52">
        <f>SUM($AM$86,$AN$86,$AO$86,$AP$86,$AQ$86,$AR$86,$AS$86,$AT$86)</f>
        <v>28</v>
      </c>
      <c r="BE86" s="52">
        <f>SUM($BE$82:$BE$85)</f>
        <v>3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3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3</v>
      </c>
      <c r="BV86" s="52">
        <f>SUM($BE$86,$BF$86,$BG$86,$BH$86,$BI$86,$BJ$86,$BK$86,$BL$86)</f>
        <v>3</v>
      </c>
      <c r="BX86" s="52" t="s">
        <v>34</v>
      </c>
      <c r="BY86" s="52">
        <f>SUM($BY$82:$BY$85)</f>
        <v>265</v>
      </c>
      <c r="BZ86" s="52">
        <f>SUM($BZ$82:$BZ$85)</f>
        <v>40</v>
      </c>
      <c r="CA86" s="52">
        <f>SUM($CA$82:$CA$85)</f>
        <v>3</v>
      </c>
      <c r="CB86" s="52">
        <f>SUM($CB$82:$CB$85)</f>
        <v>2</v>
      </c>
      <c r="CC86" s="52">
        <f>SUM($CC$82:$CC$85)</f>
        <v>1</v>
      </c>
      <c r="CD86" s="52">
        <f>SUM($CD$82:$CD$85)</f>
        <v>28</v>
      </c>
      <c r="CE86" s="52">
        <f>SUM($CE$82:$CE$85)</f>
        <v>6</v>
      </c>
      <c r="CF86" s="52">
        <f>SUM($CF$82:$CF$85)</f>
        <v>2</v>
      </c>
      <c r="CG86" s="52">
        <f>SUM($CG$82:$CG$85)</f>
        <v>265</v>
      </c>
      <c r="CH86" s="52">
        <f>SUM($CH$82:$CH$85)</f>
        <v>40</v>
      </c>
      <c r="CI86" s="52">
        <f>SUM($CI$82:$CI$85)</f>
        <v>5</v>
      </c>
      <c r="CJ86" s="52">
        <f>SUM($CJ$82:$CJ$85)</f>
        <v>5</v>
      </c>
      <c r="CK86" s="52">
        <f>SUM($CK$82:$CK$85)</f>
        <v>2</v>
      </c>
      <c r="CL86" s="52">
        <f>SUM($CL$82:$CL$85)</f>
        <v>6</v>
      </c>
      <c r="CM86" s="52">
        <f>SUM($CM$82:$CM$85)</f>
        <v>2</v>
      </c>
      <c r="CN86" s="52">
        <f>SUM($CN$82:$CN$85)</f>
        <v>3</v>
      </c>
      <c r="CO86" s="52">
        <f>SUM($CG$86,$CH$86,$CI$86,$CJ$86,$CK$86,$CL$86,$CM$86,$CN$86)</f>
        <v>328</v>
      </c>
      <c r="CP86" s="52">
        <f>SUM($BY$86,$BZ$86,$CA$86,$CB$86,$CC$86,$CD$86,$CE$86,$CF$86)</f>
        <v>347</v>
      </c>
      <c r="CQ86" s="52">
        <f>SUM($CQ$82:$CQ$85)</f>
        <v>204</v>
      </c>
      <c r="CR86" s="52">
        <f>SUM($CR$82:$CR$85)</f>
        <v>34</v>
      </c>
      <c r="CS86" s="52">
        <f>SUM($CS$82:$CS$85)</f>
        <v>4</v>
      </c>
      <c r="CT86" s="52">
        <f>SUM($CT$82:$CT$85)</f>
        <v>0</v>
      </c>
      <c r="CU86" s="52">
        <f>SUM($CU$82:$CU$85)</f>
        <v>4</v>
      </c>
      <c r="CV86" s="52">
        <f>SUM($CV$82:$CV$85)</f>
        <v>32</v>
      </c>
      <c r="CW86" s="52">
        <f>SUM($CW$82:$CW$85)</f>
        <v>7</v>
      </c>
      <c r="CX86" s="52">
        <f>SUM($CX$82:$CX$85)</f>
        <v>0</v>
      </c>
      <c r="CY86" s="52">
        <f>SUM($CY$82:$CY$85)</f>
        <v>204</v>
      </c>
      <c r="CZ86" s="52">
        <f>SUM($CZ$82:$CZ$85)</f>
        <v>34</v>
      </c>
      <c r="DA86" s="52">
        <f>SUM($DA$82:$DA$85)</f>
        <v>6</v>
      </c>
      <c r="DB86" s="52">
        <f>SUM($DB$82:$DB$85)</f>
        <v>0</v>
      </c>
      <c r="DC86" s="52">
        <f>SUM($DC$82:$DC$85)</f>
        <v>8</v>
      </c>
      <c r="DD86" s="52">
        <f>SUM($DD$82:$DD$85)</f>
        <v>6</v>
      </c>
      <c r="DE86" s="52">
        <f>SUM($DE$82:$DE$85)</f>
        <v>3</v>
      </c>
      <c r="DF86" s="52">
        <f>SUM($DF$82:$DF$85)</f>
        <v>0</v>
      </c>
      <c r="DG86" s="52">
        <f>SUM($CY$86,$CZ$86,$DA$86,$DB$86,$DC$86,$DD$86,$DE$86,$DF$86)</f>
        <v>261</v>
      </c>
      <c r="DH86" s="52">
        <f>SUM($CQ$86,$CR$86,$CS$86,$CT$86,$CU$86,$CV$86,$CW$86,$CX$86)</f>
        <v>285</v>
      </c>
    </row>
    <row r="87" spans="1:112" ht="21" customHeight="1">
      <c r="A87" s="46">
        <v>44395.625</v>
      </c>
      <c r="B87" s="53" t="s">
        <v>91</v>
      </c>
      <c r="C87" s="54">
        <v>7</v>
      </c>
      <c r="D87" s="54">
        <v>2</v>
      </c>
      <c r="E87" s="54">
        <v>0</v>
      </c>
      <c r="F87" s="54">
        <v>0</v>
      </c>
      <c r="G87" s="54">
        <v>0</v>
      </c>
      <c r="H87" s="54">
        <v>0</v>
      </c>
      <c r="I87" s="54">
        <v>1</v>
      </c>
      <c r="J87" s="61">
        <v>1</v>
      </c>
      <c r="K87" s="62">
        <f>$C$87*VLOOKUP($C$11,'PCU Values'!$B$9:$C$16,2,FALSE)</f>
        <v>7</v>
      </c>
      <c r="L87" s="62">
        <f>$D$87*VLOOKUP($D$11,'PCU Values'!$B$9:$C$16,2,FALSE)</f>
        <v>2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0.4</v>
      </c>
      <c r="R87" s="70">
        <f>$J$87*VLOOKUP($J$11,'PCU Values'!$B$9:$C$16,2,FALSE)</f>
        <v>1.5</v>
      </c>
      <c r="S87" s="71">
        <f>SUM($K$87,$L$87,$M$87,$N$87,$O$87,$P$87,$Q$87,$R$87)</f>
        <v>10.9</v>
      </c>
      <c r="T87" s="52">
        <f>SUM($C$87,$D$87,$E$87,$F$87,$G$87,$H$87,$I$87,$J$87)</f>
        <v>11</v>
      </c>
      <c r="U87" s="74">
        <v>53</v>
      </c>
      <c r="V87" s="75">
        <v>10</v>
      </c>
      <c r="W87" s="75">
        <v>1</v>
      </c>
      <c r="X87" s="75">
        <v>0</v>
      </c>
      <c r="Y87" s="75">
        <v>1</v>
      </c>
      <c r="Z87" s="75">
        <v>3</v>
      </c>
      <c r="AA87" s="54">
        <v>0</v>
      </c>
      <c r="AB87" s="61">
        <v>0</v>
      </c>
      <c r="AC87" s="62">
        <f>$U$87*VLOOKUP($U$11,'PCU Values'!$B$9:$C$16,2,FALSE)</f>
        <v>53</v>
      </c>
      <c r="AD87" s="62">
        <f>$V$87*VLOOKUP($V$11,'PCU Values'!$B$9:$C$16,2,FALSE)</f>
        <v>10</v>
      </c>
      <c r="AE87" s="62">
        <f>$W$87*VLOOKUP($W$11,'PCU Values'!$B$9:$C$16,2,FALSE)</f>
        <v>1.5</v>
      </c>
      <c r="AF87" s="62">
        <f>$X$87*VLOOKUP($X$11,'PCU Values'!$B$9:$C$16,2,FALSE)</f>
        <v>0</v>
      </c>
      <c r="AG87" s="62">
        <f>$Y$87*VLOOKUP($Y$11,'PCU Values'!$B$9:$C$16,2,FALSE)</f>
        <v>2</v>
      </c>
      <c r="AH87" s="62">
        <f>$Z$87*VLOOKUP($Z$11,'PCU Values'!$B$9:$C$16,2,FALSE)</f>
        <v>0.6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67.099999999999994</v>
      </c>
      <c r="AL87" s="52">
        <f>SUM($U$87,$V$87,$W$87,$X$87,$Y$87,$Z$87,$AA$87,$AB$87)</f>
        <v>68</v>
      </c>
      <c r="AM87" s="72">
        <v>5</v>
      </c>
      <c r="AN87" s="54">
        <v>0</v>
      </c>
      <c r="AO87" s="54">
        <v>0</v>
      </c>
      <c r="AP87" s="54">
        <v>0</v>
      </c>
      <c r="AQ87" s="54">
        <v>0</v>
      </c>
      <c r="AR87" s="54">
        <v>1</v>
      </c>
      <c r="AS87" s="54">
        <v>1</v>
      </c>
      <c r="AT87" s="61">
        <v>0</v>
      </c>
      <c r="AU87" s="62">
        <f>$AM$87*VLOOKUP($AM$11,'PCU Values'!$B$9:$C$16,2,FALSE)</f>
        <v>5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0.2</v>
      </c>
      <c r="BA87" s="62">
        <f>$AS$87*VLOOKUP($AS$11,'PCU Values'!$B$9:$C$16,2,FALSE)</f>
        <v>0.4</v>
      </c>
      <c r="BB87" s="70">
        <f>$AT$87*VLOOKUP($AT$11,'PCU Values'!$B$9:$C$16,2,FALSE)</f>
        <v>0</v>
      </c>
      <c r="BC87" s="71">
        <f>SUM($AU$87,$AV$87,$AW$87,$AX$87,$AY$87,$AZ$87,$BA$87,$BB$87)</f>
        <v>5.6</v>
      </c>
      <c r="BD87" s="52">
        <f>SUM($AM$87,$AN$87,$AO$87,$AP$87,$AQ$87,$AR$87,$AS$87,$AT$87)</f>
        <v>7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65</v>
      </c>
      <c r="BZ87" s="85">
        <f>SUM($D$87,$V$87,$AN$87,$BF$87)</f>
        <v>12</v>
      </c>
      <c r="CA87" s="85">
        <f>SUM($E$87,$W$87,$AO$87,$BG$87)</f>
        <v>1</v>
      </c>
      <c r="CB87" s="85">
        <f>SUM($F$87,$X$87,$AP$87,$BH$87)</f>
        <v>0</v>
      </c>
      <c r="CC87" s="85">
        <f>SUM($G$87,$Y$87,$AQ$87,$BI$87)</f>
        <v>1</v>
      </c>
      <c r="CD87" s="85">
        <f>SUM($H$87,$Z$87,$AR$87,$BJ$87)</f>
        <v>4</v>
      </c>
      <c r="CE87" s="85">
        <f>SUM($I$87,$AA$87,$AS$87,$BK$87)</f>
        <v>2</v>
      </c>
      <c r="CF87" s="88">
        <f>SUM($J$87,$AB$87,$AT$87,$BL$87)</f>
        <v>1</v>
      </c>
      <c r="CG87" s="81">
        <f>$BY$87*VLOOKUP($BY$11,'PCU Values'!$B$9:$C$16,2,FALSE)</f>
        <v>65</v>
      </c>
      <c r="CH87" s="81">
        <f>$BZ$87*VLOOKUP($BZ$11,'PCU Values'!$B$9:$C$16,2,FALSE)</f>
        <v>12</v>
      </c>
      <c r="CI87" s="81">
        <f>$CA$87*VLOOKUP($CA$11,'PCU Values'!$B$9:$C$16,2,FALSE)</f>
        <v>1.5</v>
      </c>
      <c r="CJ87" s="81">
        <f>$CB$87*VLOOKUP($CB$11,'PCU Values'!$B$9:$C$16,2,FALSE)</f>
        <v>0</v>
      </c>
      <c r="CK87" s="81">
        <f>$CC$87*VLOOKUP($CC$11,'PCU Values'!$B$9:$C$16,2,FALSE)</f>
        <v>2</v>
      </c>
      <c r="CL87" s="81">
        <f>$CD$87*VLOOKUP($CD$11,'PCU Values'!$B$9:$C$16,2,FALSE)</f>
        <v>0.8</v>
      </c>
      <c r="CM87" s="81">
        <f>$CE$87*VLOOKUP($CE$11,'PCU Values'!$B$9:$C$16,2,FALSE)</f>
        <v>0.8</v>
      </c>
      <c r="CN87" s="82">
        <f>$CF$87*VLOOKUP($CF$11,'PCU Values'!$B$9:$C$16,2,FALSE)</f>
        <v>1.5</v>
      </c>
      <c r="CO87" s="71">
        <f>SUM($CG$87,$CH$87,$CI$87,$CJ$87,$CK$87,$CL$87,$CM$87,$CN$87)</f>
        <v>83.6</v>
      </c>
      <c r="CP87" s="52">
        <f>SUM($BY$87,$BZ$87,$CA$87,$CB$87,$CC$87,$CD$87,$CE$87,$CF$87)</f>
        <v>86</v>
      </c>
      <c r="CQ87" s="91">
        <f>SUM('J1 A - (North) Bishopthorpe Roa'!$BE$87,'J1 B - Butcher Terrace'!$AM$87,'J1 C - (South) Bishopthorpe Roa'!$U$87,'J1 D - South Bank Avenue'!$C$87)</f>
        <v>60</v>
      </c>
      <c r="CR87" s="85">
        <f>SUM('J1 A - (North) Bishopthorpe Roa'!$BF$87,'J1 B - Butcher Terrace'!$AN$87,'J1 C - (South) Bishopthorpe Roa'!$V$87,'J1 D - South Bank Avenue'!$D$87)</f>
        <v>6</v>
      </c>
      <c r="CS87" s="85">
        <f>SUM('J1 A - (North) Bishopthorpe Roa'!$BG$87,'J1 B - Butcher Terrace'!$AO$87,'J1 C - (South) Bishopthorpe Roa'!$W$87,'J1 D - South Bank Avenue'!$E$87)</f>
        <v>0</v>
      </c>
      <c r="CT87" s="85">
        <f>SUM('J1 A - (North) Bishopthorpe Roa'!$BH$87,'J1 B - Butcher Terrace'!$AP$87,'J1 C - (South) Bishopthorpe Roa'!$X$87,'J1 D - South Bank Avenue'!$F$87)</f>
        <v>0</v>
      </c>
      <c r="CU87" s="85">
        <f>SUM('J1 A - (North) Bishopthorpe Roa'!$BI$87,'J1 B - Butcher Terrace'!$AQ$87,'J1 C - (South) Bishopthorpe Roa'!$Y$87,'J1 D - South Bank Avenue'!$G$87)</f>
        <v>2</v>
      </c>
      <c r="CV87" s="85">
        <f>SUM('J1 A - (North) Bishopthorpe Roa'!$BJ$87,'J1 B - Butcher Terrace'!$AR$87,'J1 C - (South) Bishopthorpe Roa'!$Z$87,'J1 D - South Bank Avenue'!$H$87)</f>
        <v>6</v>
      </c>
      <c r="CW87" s="85">
        <f>SUM('J1 A - (North) Bishopthorpe Roa'!$BK$87,'J1 B - Butcher Terrace'!$AS$87,'J1 C - (South) Bishopthorpe Roa'!$AA$87,'J1 D - South Bank Avenue'!$I$87)</f>
        <v>1</v>
      </c>
      <c r="CX87" s="88">
        <f>SUM('J1 A - (North) Bishopthorpe Roa'!$BL$87,'J1 B - Butcher Terrace'!$AT$87,'J1 C - (South) Bishopthorpe Roa'!$AB$87,'J1 D - South Bank Avenue'!$J$87)</f>
        <v>0</v>
      </c>
      <c r="CY87" s="81">
        <f>$CQ$87*VLOOKUP($CQ$11,'PCU Values'!$B$9:$C$16,2,FALSE)</f>
        <v>60</v>
      </c>
      <c r="CZ87" s="81">
        <f>$CR$87*VLOOKUP($CR$11,'PCU Values'!$B$9:$C$16,2,FALSE)</f>
        <v>6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4</v>
      </c>
      <c r="DD87" s="81">
        <f>$CV$87*VLOOKUP($CV$11,'PCU Values'!$B$9:$C$16,2,FALSE)</f>
        <v>1.2</v>
      </c>
      <c r="DE87" s="81">
        <f>$CW$87*VLOOKUP($CW$11,'PCU Values'!$B$9:$C$16,2,FALSE)</f>
        <v>0.4</v>
      </c>
      <c r="DF87" s="82">
        <f>$CX$87*VLOOKUP($CX$11,'PCU Values'!$B$9:$C$16,2,FALSE)</f>
        <v>0</v>
      </c>
      <c r="DG87" s="71">
        <f>SUM($CY$87,$CZ$87,$DA$87,$DB$87,$DC$87,$DD$87,$DE$87,$DF$87)</f>
        <v>71.599999999999994</v>
      </c>
      <c r="DH87" s="52">
        <f>SUM($CQ$87,$CR$87,$CS$87,$CT$87,$CU$87,$CV$87,$CW$87,$CX$87)</f>
        <v>75</v>
      </c>
    </row>
    <row r="88" spans="1:112" ht="21" customHeight="1">
      <c r="A88" s="46">
        <v>44395.635416666701</v>
      </c>
      <c r="B88" s="47" t="s">
        <v>92</v>
      </c>
      <c r="C88" s="48">
        <v>5</v>
      </c>
      <c r="D88" s="48">
        <v>0</v>
      </c>
      <c r="E88" s="48">
        <v>0</v>
      </c>
      <c r="F88" s="48">
        <v>0</v>
      </c>
      <c r="G88" s="48">
        <v>0</v>
      </c>
      <c r="H88" s="48">
        <v>1</v>
      </c>
      <c r="I88" s="48">
        <v>0</v>
      </c>
      <c r="J88" s="56">
        <v>0</v>
      </c>
      <c r="K88" s="57">
        <f>$C$88*VLOOKUP($C$11,'PCU Values'!$B$9:$C$16,2,FALSE)</f>
        <v>5</v>
      </c>
      <c r="L88" s="57">
        <f>$D$88*VLOOKUP($D$11,'PCU Values'!$B$9:$C$16,2,FALSE)</f>
        <v>0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0.2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5.2</v>
      </c>
      <c r="T88" s="52">
        <f>SUM($C$88,$D$88,$E$88,$F$88,$G$88,$H$88,$I$88,$J$88)</f>
        <v>6</v>
      </c>
      <c r="U88" s="67">
        <v>69</v>
      </c>
      <c r="V88" s="48">
        <v>6</v>
      </c>
      <c r="W88" s="48">
        <v>0</v>
      </c>
      <c r="X88" s="48">
        <v>0</v>
      </c>
      <c r="Y88" s="48">
        <v>1</v>
      </c>
      <c r="Z88" s="48">
        <v>0</v>
      </c>
      <c r="AA88" s="48">
        <v>0</v>
      </c>
      <c r="AB88" s="56">
        <v>0</v>
      </c>
      <c r="AC88" s="57">
        <f>$U$88*VLOOKUP($U$11,'PCU Values'!$B$9:$C$16,2,FALSE)</f>
        <v>69</v>
      </c>
      <c r="AD88" s="57">
        <f>$V$88*VLOOKUP($V$11,'PCU Values'!$B$9:$C$16,2,FALSE)</f>
        <v>6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2</v>
      </c>
      <c r="AH88" s="57">
        <f>$Z$88*VLOOKUP($Z$11,'PCU Values'!$B$9:$C$16,2,FALSE)</f>
        <v>0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77</v>
      </c>
      <c r="AL88" s="52">
        <f>SUM($U$88,$V$88,$W$88,$X$88,$Y$88,$Z$88,$AA$88,$AB$88)</f>
        <v>76</v>
      </c>
      <c r="AM88" s="67">
        <v>7</v>
      </c>
      <c r="AN88" s="48">
        <v>2</v>
      </c>
      <c r="AO88" s="48">
        <v>0</v>
      </c>
      <c r="AP88" s="48">
        <v>0</v>
      </c>
      <c r="AQ88" s="48">
        <v>0</v>
      </c>
      <c r="AR88" s="48">
        <v>1</v>
      </c>
      <c r="AS88" s="48">
        <v>0</v>
      </c>
      <c r="AT88" s="56">
        <v>0</v>
      </c>
      <c r="AU88" s="57">
        <f>$AM$88*VLOOKUP($AM$11,'PCU Values'!$B$9:$C$16,2,FALSE)</f>
        <v>7</v>
      </c>
      <c r="AV88" s="57">
        <f>$AN$88*VLOOKUP($AN$11,'PCU Values'!$B$9:$C$16,2,FALSE)</f>
        <v>2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0.2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9.1999999999999993</v>
      </c>
      <c r="BD88" s="52">
        <f>SUM($AM$88,$AN$88,$AO$88,$AP$88,$AQ$88,$AR$88,$AS$88,$AT$88)</f>
        <v>10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81</v>
      </c>
      <c r="BZ88" s="83">
        <f>SUM($D$88,$V$88,$AN$88,$BF$88)</f>
        <v>8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1</v>
      </c>
      <c r="CD88" s="83">
        <f>SUM($H$88,$Z$88,$AR$88,$BJ$88)</f>
        <v>2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81</v>
      </c>
      <c r="CH88" s="77">
        <f>$BZ$88*VLOOKUP($BZ$11,'PCU Values'!$B$9:$C$16,2,FALSE)</f>
        <v>8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2</v>
      </c>
      <c r="CL88" s="77">
        <f>$CD$88*VLOOKUP($CD$11,'PCU Values'!$B$9:$C$16,2,FALSE)</f>
        <v>0.4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91.4</v>
      </c>
      <c r="CP88" s="52">
        <f>SUM($BY$88,$BZ$88,$CA$88,$CB$88,$CC$88,$CD$88,$CE$88,$CF$88)</f>
        <v>92</v>
      </c>
      <c r="CQ88" s="89">
        <f>SUM('J1 A - (North) Bishopthorpe Roa'!$BE$88,'J1 B - Butcher Terrace'!$AM$88,'J1 C - (South) Bishopthorpe Roa'!$U$88,'J1 D - South Bank Avenue'!$C$88)</f>
        <v>60</v>
      </c>
      <c r="CR88" s="83">
        <f>SUM('J1 A - (North) Bishopthorpe Roa'!$BF$88,'J1 B - Butcher Terrace'!$AN$88,'J1 C - (South) Bishopthorpe Roa'!$V$88,'J1 D - South Bank Avenue'!$D$88)</f>
        <v>12</v>
      </c>
      <c r="CS88" s="83">
        <f>SUM('J1 A - (North) Bishopthorpe Roa'!$BG$88,'J1 B - Butcher Terrace'!$AO$88,'J1 C - (South) Bishopthorpe Roa'!$W$88,'J1 D - South Bank Avenue'!$E$88)</f>
        <v>2</v>
      </c>
      <c r="CT88" s="83">
        <f>SUM('J1 A - (North) Bishopthorpe Roa'!$BH$88,'J1 B - Butcher Terrace'!$AP$88,'J1 C - (South) Bishopthorpe Roa'!$X$88,'J1 D - South Bank Avenue'!$F$88)</f>
        <v>0</v>
      </c>
      <c r="CU88" s="83">
        <f>SUM('J1 A - (North) Bishopthorpe Roa'!$BI$88,'J1 B - Butcher Terrace'!$AQ$88,'J1 C - (South) Bishopthorpe Roa'!$Y$88,'J1 D - South Bank Avenue'!$G$88)</f>
        <v>0</v>
      </c>
      <c r="CV88" s="83">
        <f>SUM('J1 A - (North) Bishopthorpe Roa'!$BJ$88,'J1 B - Butcher Terrace'!$AR$88,'J1 C - (South) Bishopthorpe Roa'!$Z$88,'J1 D - South Bank Avenue'!$H$88)</f>
        <v>6</v>
      </c>
      <c r="CW88" s="83">
        <f>SUM('J1 A - (North) Bishopthorpe Roa'!$BK$88,'J1 B - Butcher Terrace'!$AS$88,'J1 C - (South) Bishopthorpe Roa'!$AA$88,'J1 D - South Bank Avenue'!$I$88)</f>
        <v>0</v>
      </c>
      <c r="CX88" s="86">
        <f>SUM('J1 A - (North) Bishopthorpe Roa'!$BL$88,'J1 B - Butcher Terrace'!$AT$88,'J1 C - (South) Bishopthorpe Roa'!$AB$88,'J1 D - South Bank Avenue'!$J$88)</f>
        <v>0</v>
      </c>
      <c r="CY88" s="77">
        <f>$CQ$88*VLOOKUP($CQ$11,'PCU Values'!$B$9:$C$16,2,FALSE)</f>
        <v>60</v>
      </c>
      <c r="CZ88" s="77">
        <f>$CR$88*VLOOKUP($CR$11,'PCU Values'!$B$9:$C$16,2,FALSE)</f>
        <v>12</v>
      </c>
      <c r="DA88" s="77">
        <f>$CS$88*VLOOKUP($CS$11,'PCU Values'!$B$9:$C$16,2,FALSE)</f>
        <v>3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1.2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76.2</v>
      </c>
      <c r="DH88" s="52">
        <f>SUM($CQ$88,$CR$88,$CS$88,$CT$88,$CU$88,$CV$88,$CW$88,$CX$88)</f>
        <v>80</v>
      </c>
    </row>
    <row r="89" spans="1:112" ht="21" customHeight="1">
      <c r="A89" s="46">
        <v>44395.645833333299</v>
      </c>
      <c r="B89" s="47" t="s">
        <v>93</v>
      </c>
      <c r="C89" s="49">
        <v>8</v>
      </c>
      <c r="D89" s="49">
        <v>0</v>
      </c>
      <c r="E89" s="49">
        <v>0</v>
      </c>
      <c r="F89" s="49">
        <v>0</v>
      </c>
      <c r="G89" s="49">
        <v>0</v>
      </c>
      <c r="H89" s="49">
        <v>8</v>
      </c>
      <c r="I89" s="49">
        <v>0</v>
      </c>
      <c r="J89" s="58">
        <v>0</v>
      </c>
      <c r="K89" s="57">
        <f>$C$89*VLOOKUP($C$11,'PCU Values'!$B$9:$C$16,2,FALSE)</f>
        <v>8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1.6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9.6</v>
      </c>
      <c r="T89" s="52">
        <f>SUM($C$89,$D$89,$E$89,$F$89,$G$89,$H$89,$I$89,$J$89)</f>
        <v>16</v>
      </c>
      <c r="U89" s="49">
        <v>66</v>
      </c>
      <c r="V89" s="49">
        <v>7</v>
      </c>
      <c r="W89" s="49">
        <v>0</v>
      </c>
      <c r="X89" s="49">
        <v>0</v>
      </c>
      <c r="Y89" s="49">
        <v>2</v>
      </c>
      <c r="Z89" s="49">
        <v>4</v>
      </c>
      <c r="AA89" s="49">
        <v>1</v>
      </c>
      <c r="AB89" s="58">
        <v>0</v>
      </c>
      <c r="AC89" s="57">
        <f>$U$89*VLOOKUP($U$11,'PCU Values'!$B$9:$C$16,2,FALSE)</f>
        <v>66</v>
      </c>
      <c r="AD89" s="57">
        <f>$V$89*VLOOKUP($V$11,'PCU Values'!$B$9:$C$16,2,FALSE)</f>
        <v>7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4</v>
      </c>
      <c r="AH89" s="57">
        <f>$Z$89*VLOOKUP($Z$11,'PCU Values'!$B$9:$C$16,2,FALSE)</f>
        <v>0.8</v>
      </c>
      <c r="AI89" s="57">
        <f>$AA$89*VLOOKUP($AA$11,'PCU Values'!$B$9:$C$16,2,FALSE)</f>
        <v>0.4</v>
      </c>
      <c r="AJ89" s="65">
        <f>$AB$89*VLOOKUP($AB$11,'PCU Values'!$B$9:$C$16,2,FALSE)</f>
        <v>0</v>
      </c>
      <c r="AK89" s="66">
        <f>SUM($AC$89,$AD$89,$AE$89,$AF$89,$AG$89,$AH$89,$AI$89,$AJ$89)</f>
        <v>78.2</v>
      </c>
      <c r="AL89" s="52">
        <f>SUM($U$89,$V$89,$W$89,$X$89,$Y$89,$Z$89,$AA$89,$AB$89)</f>
        <v>80</v>
      </c>
      <c r="AM89" s="49">
        <v>13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13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13</v>
      </c>
      <c r="BD89" s="52">
        <f>SUM($AM$89,$AN$89,$AO$89,$AP$89,$AQ$89,$AR$89,$AS$89,$AT$89)</f>
        <v>13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87</v>
      </c>
      <c r="BZ89" s="83">
        <f>SUM($D$89,$V$89,$AN$89,$BF$89)</f>
        <v>7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2</v>
      </c>
      <c r="CD89" s="83">
        <f>SUM($H$89,$Z$89,$AR$89,$BJ$89)</f>
        <v>12</v>
      </c>
      <c r="CE89" s="83">
        <f>SUM($I$89,$AA$89,$AS$89,$BK$89)</f>
        <v>1</v>
      </c>
      <c r="CF89" s="86">
        <f>SUM($J$89,$AB$89,$AT$89,$BL$89)</f>
        <v>0</v>
      </c>
      <c r="CG89" s="77">
        <f>$BY$89*VLOOKUP($BY$11,'PCU Values'!$B$9:$C$16,2,FALSE)</f>
        <v>87</v>
      </c>
      <c r="CH89" s="77">
        <f>$BZ$89*VLOOKUP($BZ$11,'PCU Values'!$B$9:$C$16,2,FALSE)</f>
        <v>7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4</v>
      </c>
      <c r="CL89" s="77">
        <f>$CD$89*VLOOKUP($CD$11,'PCU Values'!$B$9:$C$16,2,FALSE)</f>
        <v>2.4</v>
      </c>
      <c r="CM89" s="77">
        <f>$CE$89*VLOOKUP($CE$11,'PCU Values'!$B$9:$C$16,2,FALSE)</f>
        <v>0.4</v>
      </c>
      <c r="CN89" s="78">
        <f>$CF$89*VLOOKUP($CF$11,'PCU Values'!$B$9:$C$16,2,FALSE)</f>
        <v>0</v>
      </c>
      <c r="CO89" s="66">
        <f>SUM($CG$89,$CH$89,$CI$89,$CJ$89,$CK$89,$CL$89,$CM$89,$CN$89)</f>
        <v>100.8</v>
      </c>
      <c r="CP89" s="52">
        <f>SUM($BY$89,$BZ$89,$CA$89,$CB$89,$CC$89,$CD$89,$CE$89,$CF$89)</f>
        <v>109</v>
      </c>
      <c r="CQ89" s="89">
        <f>SUM('J1 A - (North) Bishopthorpe Roa'!$BE$89,'J1 B - Butcher Terrace'!$AM$89,'J1 C - (South) Bishopthorpe Roa'!$U$89,'J1 D - South Bank Avenue'!$C$89)</f>
        <v>58</v>
      </c>
      <c r="CR89" s="83">
        <f>SUM('J1 A - (North) Bishopthorpe Roa'!$BF$89,'J1 B - Butcher Terrace'!$AN$89,'J1 C - (South) Bishopthorpe Roa'!$V$89,'J1 D - South Bank Avenue'!$D$89)</f>
        <v>3</v>
      </c>
      <c r="CS89" s="83">
        <f>SUM('J1 A - (North) Bishopthorpe Roa'!$BG$89,'J1 B - Butcher Terrace'!$AO$89,'J1 C - (South) Bishopthorpe Roa'!$W$89,'J1 D - South Bank Avenue'!$E$89)</f>
        <v>0</v>
      </c>
      <c r="CT89" s="83">
        <f>SUM('J1 A - (North) Bishopthorpe Roa'!$BH$89,'J1 B - Butcher Terrace'!$AP$89,'J1 C - (South) Bishopthorpe Roa'!$X$89,'J1 D - South Bank Avenue'!$F$89)</f>
        <v>0</v>
      </c>
      <c r="CU89" s="83">
        <f>SUM('J1 A - (North) Bishopthorpe Roa'!$BI$89,'J1 B - Butcher Terrace'!$AQ$89,'J1 C - (South) Bishopthorpe Roa'!$Y$89,'J1 D - South Bank Avenue'!$G$89)</f>
        <v>1</v>
      </c>
      <c r="CV89" s="83">
        <f>SUM('J1 A - (North) Bishopthorpe Roa'!$BJ$89,'J1 B - Butcher Terrace'!$AR$89,'J1 C - (South) Bishopthorpe Roa'!$Z$89,'J1 D - South Bank Avenue'!$H$89)</f>
        <v>7</v>
      </c>
      <c r="CW89" s="83">
        <f>SUM('J1 A - (North) Bishopthorpe Roa'!$BK$89,'J1 B - Butcher Terrace'!$AS$89,'J1 C - (South) Bishopthorpe Roa'!$AA$89,'J1 D - South Bank Avenue'!$I$89)</f>
        <v>0</v>
      </c>
      <c r="CX89" s="86">
        <f>SUM('J1 A - (North) Bishopthorpe Roa'!$BL$89,'J1 B - Butcher Terrace'!$AT$89,'J1 C - (South) Bishopthorpe Roa'!$AB$89,'J1 D - South Bank Avenue'!$J$89)</f>
        <v>0</v>
      </c>
      <c r="CY89" s="77">
        <f>$CQ$89*VLOOKUP($CQ$11,'PCU Values'!$B$9:$C$16,2,FALSE)</f>
        <v>58</v>
      </c>
      <c r="CZ89" s="77">
        <f>$CR$89*VLOOKUP($CR$11,'PCU Values'!$B$9:$C$16,2,FALSE)</f>
        <v>3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2</v>
      </c>
      <c r="DD89" s="77">
        <f>$CV$89*VLOOKUP($CV$11,'PCU Values'!$B$9:$C$16,2,FALSE)</f>
        <v>1.4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64.400000000000006</v>
      </c>
      <c r="DH89" s="52">
        <f>SUM($CQ$89,$CR$89,$CS$89,$CT$89,$CU$89,$CV$89,$CW$89,$CX$89)</f>
        <v>69</v>
      </c>
    </row>
    <row r="90" spans="1:112" ht="21" customHeight="1">
      <c r="A90" s="46">
        <v>44395.65625</v>
      </c>
      <c r="B90" s="50" t="s">
        <v>94</v>
      </c>
      <c r="C90" s="51">
        <v>6</v>
      </c>
      <c r="D90" s="51">
        <v>0</v>
      </c>
      <c r="E90" s="51">
        <v>0</v>
      </c>
      <c r="F90" s="51">
        <v>0</v>
      </c>
      <c r="G90" s="51">
        <v>0</v>
      </c>
      <c r="H90" s="51">
        <v>5</v>
      </c>
      <c r="I90" s="51">
        <v>0</v>
      </c>
      <c r="J90" s="59">
        <v>1</v>
      </c>
      <c r="K90" s="60">
        <f>$C$90*VLOOKUP($C$11,'PCU Values'!$B$9:$C$16,2,FALSE)</f>
        <v>6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1</v>
      </c>
      <c r="Q90" s="60">
        <f>$I$90*VLOOKUP($I$11,'PCU Values'!$B$9:$C$16,2,FALSE)</f>
        <v>0</v>
      </c>
      <c r="R90" s="68">
        <f>$J$90*VLOOKUP($J$11,'PCU Values'!$B$9:$C$16,2,FALSE)</f>
        <v>1.5</v>
      </c>
      <c r="S90" s="63">
        <f>SUM($K$90,$L$90,$M$90,$N$90,$O$90,$P$90,$Q$90,$R$90)</f>
        <v>8.5</v>
      </c>
      <c r="T90" s="52">
        <f>SUM($C$90,$D$90,$E$90,$F$90,$G$90,$H$90,$I$90,$J$90)</f>
        <v>12</v>
      </c>
      <c r="U90" s="73">
        <v>55</v>
      </c>
      <c r="V90" s="51">
        <v>3</v>
      </c>
      <c r="W90" s="51">
        <v>0</v>
      </c>
      <c r="X90" s="51">
        <v>0</v>
      </c>
      <c r="Y90" s="51">
        <v>0</v>
      </c>
      <c r="Z90" s="51">
        <v>7</v>
      </c>
      <c r="AA90" s="51">
        <v>0</v>
      </c>
      <c r="AB90" s="59">
        <v>0</v>
      </c>
      <c r="AC90" s="60">
        <f>$U$90*VLOOKUP($U$11,'PCU Values'!$B$9:$C$16,2,FALSE)</f>
        <v>55</v>
      </c>
      <c r="AD90" s="60">
        <f>$V$90*VLOOKUP($V$11,'PCU Values'!$B$9:$C$16,2,FALSE)</f>
        <v>3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1.4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59.4</v>
      </c>
      <c r="AL90" s="52">
        <f>SUM($U$90,$V$90,$W$90,$X$90,$Y$90,$Z$90,$AA$90,$AB$90)</f>
        <v>65</v>
      </c>
      <c r="AM90" s="73">
        <v>6</v>
      </c>
      <c r="AN90" s="51">
        <v>3</v>
      </c>
      <c r="AO90" s="51">
        <v>1</v>
      </c>
      <c r="AP90" s="51">
        <v>0</v>
      </c>
      <c r="AQ90" s="51">
        <v>0</v>
      </c>
      <c r="AR90" s="51">
        <v>1</v>
      </c>
      <c r="AS90" s="51">
        <v>0</v>
      </c>
      <c r="AT90" s="59">
        <v>0</v>
      </c>
      <c r="AU90" s="60">
        <f>$AM$90*VLOOKUP($AM$11,'PCU Values'!$B$9:$C$16,2,FALSE)</f>
        <v>6</v>
      </c>
      <c r="AV90" s="60">
        <f>$AN$90*VLOOKUP($AN$11,'PCU Values'!$B$9:$C$16,2,FALSE)</f>
        <v>3</v>
      </c>
      <c r="AW90" s="60">
        <f>$AO$90*VLOOKUP($AO$11,'PCU Values'!$B$9:$C$16,2,FALSE)</f>
        <v>1.5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0.2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10.7</v>
      </c>
      <c r="BD90" s="52">
        <f>SUM($AM$90,$AN$90,$AO$90,$AP$90,$AQ$90,$AR$90,$AS$90,$AT$90)</f>
        <v>11</v>
      </c>
      <c r="BE90" s="73">
        <v>1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1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1</v>
      </c>
      <c r="BV90" s="52">
        <f>SUM($BE$90,$BF$90,$BG$90,$BH$90,$BI$90,$BJ$90,$BK$90,$BL$90)</f>
        <v>1</v>
      </c>
      <c r="BX90" s="50" t="s">
        <v>94</v>
      </c>
      <c r="BY90" s="84">
        <f>SUM($C$90,$U$90,$AM$90,$BE$90)</f>
        <v>68</v>
      </c>
      <c r="BZ90" s="84">
        <f>SUM($D$90,$V$90,$AN$90,$BF$90)</f>
        <v>6</v>
      </c>
      <c r="CA90" s="84">
        <f>SUM($E$90,$W$90,$AO$90,$BG$90)</f>
        <v>1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13</v>
      </c>
      <c r="CE90" s="84">
        <f>SUM($I$90,$AA$90,$AS$90,$BK$90)</f>
        <v>0</v>
      </c>
      <c r="CF90" s="87">
        <f>SUM($J$90,$AB$90,$AT$90,$BL$90)</f>
        <v>1</v>
      </c>
      <c r="CG90" s="79">
        <f>$BY$90*VLOOKUP($BY$11,'PCU Values'!$B$9:$C$16,2,FALSE)</f>
        <v>68</v>
      </c>
      <c r="CH90" s="79">
        <f>$BZ$90*VLOOKUP($BZ$11,'PCU Values'!$B$9:$C$16,2,FALSE)</f>
        <v>6</v>
      </c>
      <c r="CI90" s="79">
        <f>$CA$90*VLOOKUP($CA$11,'PCU Values'!$B$9:$C$16,2,FALSE)</f>
        <v>1.5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2.6</v>
      </c>
      <c r="CM90" s="79">
        <f>$CE$90*VLOOKUP($CE$11,'PCU Values'!$B$9:$C$16,2,FALSE)</f>
        <v>0</v>
      </c>
      <c r="CN90" s="80">
        <f>$CF$90*VLOOKUP($CF$11,'PCU Values'!$B$9:$C$16,2,FALSE)</f>
        <v>1.5</v>
      </c>
      <c r="CO90" s="63">
        <f>SUM($CG$90,$CH$90,$CI$90,$CJ$90,$CK$90,$CL$90,$CM$90,$CN$90)</f>
        <v>79.599999999999994</v>
      </c>
      <c r="CP90" s="52">
        <f>SUM($BY$90,$BZ$90,$CA$90,$CB$90,$CC$90,$CD$90,$CE$90,$CF$90)</f>
        <v>89</v>
      </c>
      <c r="CQ90" s="90">
        <f>SUM('J1 A - (North) Bishopthorpe Roa'!$BE$90,'J1 B - Butcher Terrace'!$AM$90,'J1 C - (South) Bishopthorpe Roa'!$U$90,'J1 D - South Bank Avenue'!$C$90)</f>
        <v>65</v>
      </c>
      <c r="CR90" s="84">
        <f>SUM('J1 A - (North) Bishopthorpe Roa'!$BF$90,'J1 B - Butcher Terrace'!$AN$90,'J1 C - (South) Bishopthorpe Roa'!$V$90,'J1 D - South Bank Avenue'!$D$90)</f>
        <v>11</v>
      </c>
      <c r="CS90" s="84">
        <f>SUM('J1 A - (North) Bishopthorpe Roa'!$BG$90,'J1 B - Butcher Terrace'!$AO$90,'J1 C - (South) Bishopthorpe Roa'!$W$90,'J1 D - South Bank Avenue'!$E$90)</f>
        <v>0</v>
      </c>
      <c r="CT90" s="84">
        <f>SUM('J1 A - (North) Bishopthorpe Roa'!$BH$90,'J1 B - Butcher Terrace'!$AP$90,'J1 C - (South) Bishopthorpe Roa'!$X$90,'J1 D - South Bank Avenue'!$F$90)</f>
        <v>0</v>
      </c>
      <c r="CU90" s="84">
        <f>SUM('J1 A - (North) Bishopthorpe Roa'!$BI$90,'J1 B - Butcher Terrace'!$AQ$90,'J1 C - (South) Bishopthorpe Roa'!$Y$90,'J1 D - South Bank Avenue'!$G$90)</f>
        <v>1</v>
      </c>
      <c r="CV90" s="84">
        <f>SUM('J1 A - (North) Bishopthorpe Roa'!$BJ$90,'J1 B - Butcher Terrace'!$AR$90,'J1 C - (South) Bishopthorpe Roa'!$Z$90,'J1 D - South Bank Avenue'!$H$90)</f>
        <v>13</v>
      </c>
      <c r="CW90" s="84">
        <f>SUM('J1 A - (North) Bishopthorpe Roa'!$BK$90,'J1 B - Butcher Terrace'!$AS$90,'J1 C - (South) Bishopthorpe Roa'!$AA$90,'J1 D - South Bank Avenue'!$I$90)</f>
        <v>1</v>
      </c>
      <c r="CX90" s="87">
        <f>SUM('J1 A - (North) Bishopthorpe Roa'!$BL$90,'J1 B - Butcher Terrace'!$AT$90,'J1 C - (South) Bishopthorpe Roa'!$AB$90,'J1 D - South Bank Avenue'!$J$90)</f>
        <v>0</v>
      </c>
      <c r="CY90" s="79">
        <f>$CQ$90*VLOOKUP($CQ$11,'PCU Values'!$B$9:$C$16,2,FALSE)</f>
        <v>65</v>
      </c>
      <c r="CZ90" s="79">
        <f>$CR$90*VLOOKUP($CR$11,'PCU Values'!$B$9:$C$16,2,FALSE)</f>
        <v>11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2</v>
      </c>
      <c r="DD90" s="79">
        <f>$CV$90*VLOOKUP($CV$11,'PCU Values'!$B$9:$C$16,2,FALSE)</f>
        <v>2.6</v>
      </c>
      <c r="DE90" s="79">
        <f>$CW$90*VLOOKUP($CW$11,'PCU Values'!$B$9:$C$16,2,FALSE)</f>
        <v>0.4</v>
      </c>
      <c r="DF90" s="80">
        <f>$CX$90*VLOOKUP($CX$11,'PCU Values'!$B$9:$C$16,2,FALSE)</f>
        <v>0</v>
      </c>
      <c r="DG90" s="63">
        <f>SUM($CY$90,$CZ$90,$DA$90,$DB$90,$DC$90,$DD$90,$DE$90,$DF$90)</f>
        <v>81</v>
      </c>
      <c r="DH90" s="52">
        <f>SUM($CQ$90,$CR$90,$CS$90,$CT$90,$CU$90,$CV$90,$CW$90,$CX$90)</f>
        <v>91</v>
      </c>
    </row>
    <row r="91" spans="1:112">
      <c r="B91" s="52" t="s">
        <v>34</v>
      </c>
      <c r="C91" s="52">
        <f>SUM($C$87:$C$90)</f>
        <v>26</v>
      </c>
      <c r="D91" s="52">
        <f>SUM($D$87:$D$90)</f>
        <v>2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14</v>
      </c>
      <c r="I91" s="52">
        <f>SUM($I$87:$I$90)</f>
        <v>1</v>
      </c>
      <c r="J91" s="52">
        <f>SUM($J$87:$J$90)</f>
        <v>2</v>
      </c>
      <c r="K91" s="52">
        <f>SUM($K$87:$K$90)</f>
        <v>26</v>
      </c>
      <c r="L91" s="52">
        <f>SUM($L$87:$L$90)</f>
        <v>2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3</v>
      </c>
      <c r="Q91" s="52">
        <f>SUM($Q$87:$Q$90)</f>
        <v>0</v>
      </c>
      <c r="R91" s="52">
        <f>SUM($R$87:$R$90)</f>
        <v>3</v>
      </c>
      <c r="S91" s="52">
        <f>SUM($K$91,$L$91,$M$91,$N$91,$O$91,$P$91,$Q$91,$R$91)</f>
        <v>34</v>
      </c>
      <c r="T91" s="52">
        <f>SUM($C$91,$D$91,$E$91,$F$91,$G$91,$H$91,$I$91,$J$91)</f>
        <v>45</v>
      </c>
      <c r="U91" s="52">
        <f>SUM($U$87:$U$90)</f>
        <v>243</v>
      </c>
      <c r="V91" s="52">
        <f>SUM($V$87:$V$90)</f>
        <v>26</v>
      </c>
      <c r="W91" s="52">
        <f>SUM($W$87:$W$90)</f>
        <v>1</v>
      </c>
      <c r="X91" s="52">
        <f>SUM($X$87:$X$90)</f>
        <v>0</v>
      </c>
      <c r="Y91" s="52">
        <f>SUM($Y$87:$Y$90)</f>
        <v>4</v>
      </c>
      <c r="Z91" s="52">
        <f>SUM($Z$87:$Z$90)</f>
        <v>14</v>
      </c>
      <c r="AA91" s="52">
        <f>SUM($AA$87:$AA$90)</f>
        <v>1</v>
      </c>
      <c r="AB91" s="52">
        <f>SUM($AB$87:$AB$90)</f>
        <v>0</v>
      </c>
      <c r="AC91" s="52">
        <f>SUM($AC$87:$AC$90)</f>
        <v>243</v>
      </c>
      <c r="AD91" s="52">
        <f>SUM($AD$87:$AD$90)</f>
        <v>26</v>
      </c>
      <c r="AE91" s="52">
        <f>SUM($AE$87:$AE$90)</f>
        <v>2</v>
      </c>
      <c r="AF91" s="52">
        <f>SUM($AF$87:$AF$90)</f>
        <v>0</v>
      </c>
      <c r="AG91" s="52">
        <f>SUM($AG$87:$AG$90)</f>
        <v>8</v>
      </c>
      <c r="AH91" s="52">
        <f>SUM($AH$87:$AH$90)</f>
        <v>3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282</v>
      </c>
      <c r="AL91" s="52">
        <f>SUM($U$91,$V$91,$W$91,$X$91,$Y$91,$Z$91,$AA$91,$AB$91)</f>
        <v>289</v>
      </c>
      <c r="AM91" s="52">
        <f>SUM($AM$87:$AM$90)</f>
        <v>31</v>
      </c>
      <c r="AN91" s="52">
        <f>SUM($AN$87:$AN$90)</f>
        <v>5</v>
      </c>
      <c r="AO91" s="52">
        <f>SUM($AO$87:$AO$90)</f>
        <v>1</v>
      </c>
      <c r="AP91" s="52">
        <f>SUM($AP$87:$AP$90)</f>
        <v>0</v>
      </c>
      <c r="AQ91" s="52">
        <f>SUM($AQ$87:$AQ$90)</f>
        <v>0</v>
      </c>
      <c r="AR91" s="52">
        <f>SUM($AR$87:$AR$90)</f>
        <v>3</v>
      </c>
      <c r="AS91" s="52">
        <f>SUM($AS$87:$AS$90)</f>
        <v>1</v>
      </c>
      <c r="AT91" s="52">
        <f>SUM($AT$87:$AT$90)</f>
        <v>0</v>
      </c>
      <c r="AU91" s="52">
        <f>SUM($AU$87:$AU$90)</f>
        <v>31</v>
      </c>
      <c r="AV91" s="52">
        <f>SUM($AV$87:$AV$90)</f>
        <v>5</v>
      </c>
      <c r="AW91" s="52">
        <f>SUM($AW$87:$AW$90)</f>
        <v>2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39</v>
      </c>
      <c r="BD91" s="52">
        <f>SUM($AM$91,$AN$91,$AO$91,$AP$91,$AQ$91,$AR$91,$AS$91,$AT$91)</f>
        <v>41</v>
      </c>
      <c r="BE91" s="52">
        <f>SUM($BE$87:$BE$90)</f>
        <v>1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1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1</v>
      </c>
      <c r="BV91" s="52">
        <f>SUM($BE$91,$BF$91,$BG$91,$BH$91,$BI$91,$BJ$91,$BK$91,$BL$91)</f>
        <v>1</v>
      </c>
      <c r="BX91" s="52" t="s">
        <v>34</v>
      </c>
      <c r="BY91" s="52">
        <f>SUM($BY$87:$BY$90)</f>
        <v>301</v>
      </c>
      <c r="BZ91" s="52">
        <f>SUM($BZ$87:$BZ$90)</f>
        <v>33</v>
      </c>
      <c r="CA91" s="52">
        <f>SUM($CA$87:$CA$90)</f>
        <v>2</v>
      </c>
      <c r="CB91" s="52">
        <f>SUM($CB$87:$CB$90)</f>
        <v>0</v>
      </c>
      <c r="CC91" s="52">
        <f>SUM($CC$87:$CC$90)</f>
        <v>4</v>
      </c>
      <c r="CD91" s="52">
        <f>SUM($CD$87:$CD$90)</f>
        <v>31</v>
      </c>
      <c r="CE91" s="52">
        <f>SUM($CE$87:$CE$90)</f>
        <v>3</v>
      </c>
      <c r="CF91" s="52">
        <f>SUM($CF$87:$CF$90)</f>
        <v>2</v>
      </c>
      <c r="CG91" s="52">
        <f>SUM($CG$87:$CG$90)</f>
        <v>301</v>
      </c>
      <c r="CH91" s="52">
        <f>SUM($CH$87:$CH$90)</f>
        <v>33</v>
      </c>
      <c r="CI91" s="52">
        <f>SUM($CI$87:$CI$90)</f>
        <v>3</v>
      </c>
      <c r="CJ91" s="52">
        <f>SUM($CJ$87:$CJ$90)</f>
        <v>0</v>
      </c>
      <c r="CK91" s="52">
        <f>SUM($CK$87:$CK$90)</f>
        <v>8</v>
      </c>
      <c r="CL91" s="52">
        <f>SUM($CL$87:$CL$90)</f>
        <v>6</v>
      </c>
      <c r="CM91" s="52">
        <f>SUM($CM$87:$CM$90)</f>
        <v>1</v>
      </c>
      <c r="CN91" s="52">
        <f>SUM($CN$87:$CN$90)</f>
        <v>3</v>
      </c>
      <c r="CO91" s="52">
        <f>SUM($CG$91,$CH$91,$CI$91,$CJ$91,$CK$91,$CL$91,$CM$91,$CN$91)</f>
        <v>355</v>
      </c>
      <c r="CP91" s="52">
        <f>SUM($BY$91,$BZ$91,$CA$91,$CB$91,$CC$91,$CD$91,$CE$91,$CF$91)</f>
        <v>376</v>
      </c>
      <c r="CQ91" s="52">
        <f>SUM($CQ$87:$CQ$90)</f>
        <v>243</v>
      </c>
      <c r="CR91" s="52">
        <f>SUM($CR$87:$CR$90)</f>
        <v>32</v>
      </c>
      <c r="CS91" s="52">
        <f>SUM($CS$87:$CS$90)</f>
        <v>2</v>
      </c>
      <c r="CT91" s="52">
        <f>SUM($CT$87:$CT$90)</f>
        <v>0</v>
      </c>
      <c r="CU91" s="52">
        <f>SUM($CU$87:$CU$90)</f>
        <v>4</v>
      </c>
      <c r="CV91" s="52">
        <f>SUM($CV$87:$CV$90)</f>
        <v>32</v>
      </c>
      <c r="CW91" s="52">
        <f>SUM($CW$87:$CW$90)</f>
        <v>2</v>
      </c>
      <c r="CX91" s="52">
        <f>SUM($CX$87:$CX$90)</f>
        <v>0</v>
      </c>
      <c r="CY91" s="52">
        <f>SUM($CY$87:$CY$90)</f>
        <v>243</v>
      </c>
      <c r="CZ91" s="52">
        <f>SUM($CZ$87:$CZ$90)</f>
        <v>32</v>
      </c>
      <c r="DA91" s="52">
        <f>SUM($DA$87:$DA$90)</f>
        <v>3</v>
      </c>
      <c r="DB91" s="52">
        <f>SUM($DB$87:$DB$90)</f>
        <v>0</v>
      </c>
      <c r="DC91" s="52">
        <f>SUM($DC$87:$DC$90)</f>
        <v>8</v>
      </c>
      <c r="DD91" s="52">
        <f>SUM($DD$87:$DD$90)</f>
        <v>6</v>
      </c>
      <c r="DE91" s="52">
        <f>SUM($DE$87:$DE$90)</f>
        <v>1</v>
      </c>
      <c r="DF91" s="52">
        <f>SUM($DF$87:$DF$90)</f>
        <v>0</v>
      </c>
      <c r="DG91" s="52">
        <f>SUM($CY$91,$CZ$91,$DA$91,$DB$91,$DC$91,$DD$91,$DE$91,$DF$91)</f>
        <v>293</v>
      </c>
      <c r="DH91" s="52">
        <f>SUM($CQ$91,$CR$91,$CS$91,$CT$91,$CU$91,$CV$91,$CW$91,$CX$91)</f>
        <v>315</v>
      </c>
    </row>
    <row r="92" spans="1:112" ht="21" customHeight="1">
      <c r="A92" s="46">
        <v>44395.666666666701</v>
      </c>
      <c r="B92" s="53" t="s">
        <v>95</v>
      </c>
      <c r="C92" s="54">
        <v>3</v>
      </c>
      <c r="D92" s="54">
        <v>0</v>
      </c>
      <c r="E92" s="54">
        <v>0</v>
      </c>
      <c r="F92" s="54">
        <v>0</v>
      </c>
      <c r="G92" s="54">
        <v>0</v>
      </c>
      <c r="H92" s="54">
        <v>2</v>
      </c>
      <c r="I92" s="54">
        <v>1</v>
      </c>
      <c r="J92" s="61">
        <v>0</v>
      </c>
      <c r="K92" s="62">
        <f>$C$92*VLOOKUP($C$11,'PCU Values'!$B$9:$C$16,2,FALSE)</f>
        <v>3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0.4</v>
      </c>
      <c r="Q92" s="62">
        <f>$I$92*VLOOKUP($I$11,'PCU Values'!$B$9:$C$16,2,FALSE)</f>
        <v>0.4</v>
      </c>
      <c r="R92" s="70">
        <f>$J$92*VLOOKUP($J$11,'PCU Values'!$B$9:$C$16,2,FALSE)</f>
        <v>0</v>
      </c>
      <c r="S92" s="71">
        <f>SUM($K$92,$L$92,$M$92,$N$92,$O$92,$P$92,$Q$92,$R$92)</f>
        <v>3.8</v>
      </c>
      <c r="T92" s="52">
        <f>SUM($C$92,$D$92,$E$92,$F$92,$G$92,$H$92,$I$92,$J$92)</f>
        <v>6</v>
      </c>
      <c r="U92" s="72">
        <v>62</v>
      </c>
      <c r="V92" s="54">
        <v>7</v>
      </c>
      <c r="W92" s="54">
        <v>1</v>
      </c>
      <c r="X92" s="54">
        <v>0</v>
      </c>
      <c r="Y92" s="54">
        <v>1</v>
      </c>
      <c r="Z92" s="54">
        <v>5</v>
      </c>
      <c r="AA92" s="54">
        <v>1</v>
      </c>
      <c r="AB92" s="61">
        <v>0</v>
      </c>
      <c r="AC92" s="62">
        <f>$U$92*VLOOKUP($U$11,'PCU Values'!$B$9:$C$16,2,FALSE)</f>
        <v>62</v>
      </c>
      <c r="AD92" s="62">
        <f>$V$92*VLOOKUP($V$11,'PCU Values'!$B$9:$C$16,2,FALSE)</f>
        <v>7</v>
      </c>
      <c r="AE92" s="62">
        <f>$W$92*VLOOKUP($W$11,'PCU Values'!$B$9:$C$16,2,FALSE)</f>
        <v>1.5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1</v>
      </c>
      <c r="AI92" s="62">
        <f>$AA$92*VLOOKUP($AA$11,'PCU Values'!$B$9:$C$16,2,FALSE)</f>
        <v>0.4</v>
      </c>
      <c r="AJ92" s="70">
        <f>$AB$92*VLOOKUP($AB$11,'PCU Values'!$B$9:$C$16,2,FALSE)</f>
        <v>0</v>
      </c>
      <c r="AK92" s="71">
        <f>SUM($AC$92,$AD$92,$AE$92,$AF$92,$AG$92,$AH$92,$AI$92,$AJ$92)</f>
        <v>73.900000000000006</v>
      </c>
      <c r="AL92" s="52">
        <f>SUM($U$92,$V$92,$W$92,$X$92,$Y$92,$Z$92,$AA$92,$AB$92)</f>
        <v>77</v>
      </c>
      <c r="AM92" s="72">
        <v>5</v>
      </c>
      <c r="AN92" s="54">
        <v>1</v>
      </c>
      <c r="AO92" s="54">
        <v>0</v>
      </c>
      <c r="AP92" s="54">
        <v>0</v>
      </c>
      <c r="AQ92" s="54">
        <v>0</v>
      </c>
      <c r="AR92" s="54">
        <v>1</v>
      </c>
      <c r="AS92" s="54">
        <v>0</v>
      </c>
      <c r="AT92" s="61">
        <v>0</v>
      </c>
      <c r="AU92" s="62">
        <f>$AM$92*VLOOKUP($AM$11,'PCU Values'!$B$9:$C$16,2,FALSE)</f>
        <v>5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0.2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6.2</v>
      </c>
      <c r="BD92" s="52">
        <f>SUM($AM$92,$AN$92,$AO$92,$AP$92,$AQ$92,$AR$92,$AS$92,$AT$92)</f>
        <v>7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70</v>
      </c>
      <c r="BZ92" s="85">
        <f>SUM($D$92,$V$92,$AN$92,$BF$92)</f>
        <v>8</v>
      </c>
      <c r="CA92" s="85">
        <f>SUM($E$92,$W$92,$AO$92,$BG$92)</f>
        <v>1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8</v>
      </c>
      <c r="CE92" s="85">
        <f>SUM($I$92,$AA$92,$AS$92,$BK$92)</f>
        <v>2</v>
      </c>
      <c r="CF92" s="88">
        <f>SUM($J$92,$AB$92,$AT$92,$BL$92)</f>
        <v>0</v>
      </c>
      <c r="CG92" s="81">
        <f>$BY$92*VLOOKUP($BY$11,'PCU Values'!$B$9:$C$16,2,FALSE)</f>
        <v>70</v>
      </c>
      <c r="CH92" s="81">
        <f>$BZ$92*VLOOKUP($BZ$11,'PCU Values'!$B$9:$C$16,2,FALSE)</f>
        <v>8</v>
      </c>
      <c r="CI92" s="81">
        <f>$CA$92*VLOOKUP($CA$11,'PCU Values'!$B$9:$C$16,2,FALSE)</f>
        <v>1.5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1.6</v>
      </c>
      <c r="CM92" s="81">
        <f>$CE$92*VLOOKUP($CE$11,'PCU Values'!$B$9:$C$16,2,FALSE)</f>
        <v>0.8</v>
      </c>
      <c r="CN92" s="82">
        <f>$CF$92*VLOOKUP($CF$11,'PCU Values'!$B$9:$C$16,2,FALSE)</f>
        <v>0</v>
      </c>
      <c r="CO92" s="71">
        <f>SUM($CG$92,$CH$92,$CI$92,$CJ$92,$CK$92,$CL$92,$CM$92,$CN$92)</f>
        <v>83.9</v>
      </c>
      <c r="CP92" s="52">
        <f>SUM($BY$92,$BZ$92,$CA$92,$CB$92,$CC$92,$CD$92,$CE$92,$CF$92)</f>
        <v>90</v>
      </c>
      <c r="CQ92" s="91">
        <f>SUM('J1 A - (North) Bishopthorpe Roa'!$BE$92,'J1 B - Butcher Terrace'!$AM$92,'J1 C - (South) Bishopthorpe Roa'!$U$92,'J1 D - South Bank Avenue'!$C$92)</f>
        <v>46</v>
      </c>
      <c r="CR92" s="85">
        <f>SUM('J1 A - (North) Bishopthorpe Roa'!$BF$92,'J1 B - Butcher Terrace'!$AN$92,'J1 C - (South) Bishopthorpe Roa'!$V$92,'J1 D - South Bank Avenue'!$D$92)</f>
        <v>7</v>
      </c>
      <c r="CS92" s="85">
        <f>SUM('J1 A - (North) Bishopthorpe Roa'!$BG$92,'J1 B - Butcher Terrace'!$AO$92,'J1 C - (South) Bishopthorpe Roa'!$W$92,'J1 D - South Bank Avenue'!$E$92)</f>
        <v>3</v>
      </c>
      <c r="CT92" s="85">
        <f>SUM('J1 A - (North) Bishopthorpe Roa'!$BH$92,'J1 B - Butcher Terrace'!$AP$92,'J1 C - (South) Bishopthorpe Roa'!$X$92,'J1 D - South Bank Avenue'!$F$92)</f>
        <v>0</v>
      </c>
      <c r="CU92" s="85">
        <f>SUM('J1 A - (North) Bishopthorpe Roa'!$BI$92,'J1 B - Butcher Terrace'!$AQ$92,'J1 C - (South) Bishopthorpe Roa'!$Y$92,'J1 D - South Bank Avenue'!$G$92)</f>
        <v>1</v>
      </c>
      <c r="CV92" s="85">
        <f>SUM('J1 A - (North) Bishopthorpe Roa'!$BJ$92,'J1 B - Butcher Terrace'!$AR$92,'J1 C - (South) Bishopthorpe Roa'!$Z$92,'J1 D - South Bank Avenue'!$H$92)</f>
        <v>4</v>
      </c>
      <c r="CW92" s="85">
        <f>SUM('J1 A - (North) Bishopthorpe Roa'!$BK$92,'J1 B - Butcher Terrace'!$AS$92,'J1 C - (South) Bishopthorpe Roa'!$AA$92,'J1 D - South Bank Avenue'!$I$92)</f>
        <v>0</v>
      </c>
      <c r="CX92" s="88">
        <f>SUM('J1 A - (North) Bishopthorpe Roa'!$BL$92,'J1 B - Butcher Terrace'!$AT$92,'J1 C - (South) Bishopthorpe Roa'!$AB$92,'J1 D - South Bank Avenue'!$J$92)</f>
        <v>0</v>
      </c>
      <c r="CY92" s="81">
        <f>$CQ$92*VLOOKUP($CQ$11,'PCU Values'!$B$9:$C$16,2,FALSE)</f>
        <v>46</v>
      </c>
      <c r="CZ92" s="81">
        <f>$CR$92*VLOOKUP($CR$11,'PCU Values'!$B$9:$C$16,2,FALSE)</f>
        <v>7</v>
      </c>
      <c r="DA92" s="81">
        <f>$CS$92*VLOOKUP($CS$11,'PCU Values'!$B$9:$C$16,2,FALSE)</f>
        <v>4.5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0.8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60.3</v>
      </c>
      <c r="DH92" s="52">
        <f>SUM($CQ$92,$CR$92,$CS$92,$CT$92,$CU$92,$CV$92,$CW$92,$CX$92)</f>
        <v>61</v>
      </c>
    </row>
    <row r="93" spans="1:112" ht="21" customHeight="1">
      <c r="A93" s="46">
        <v>44395.677083333299</v>
      </c>
      <c r="B93" s="47" t="s">
        <v>96</v>
      </c>
      <c r="C93" s="48">
        <v>3</v>
      </c>
      <c r="D93" s="48">
        <v>0</v>
      </c>
      <c r="E93" s="48">
        <v>0</v>
      </c>
      <c r="F93" s="48">
        <v>0</v>
      </c>
      <c r="G93" s="48">
        <v>0</v>
      </c>
      <c r="H93" s="48">
        <v>5</v>
      </c>
      <c r="I93" s="48">
        <v>0</v>
      </c>
      <c r="J93" s="56">
        <v>1</v>
      </c>
      <c r="K93" s="57">
        <f>$C$93*VLOOKUP($C$11,'PCU Values'!$B$9:$C$16,2,FALSE)</f>
        <v>3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1</v>
      </c>
      <c r="Q93" s="57">
        <f>$I$93*VLOOKUP($I$11,'PCU Values'!$B$9:$C$16,2,FALSE)</f>
        <v>0</v>
      </c>
      <c r="R93" s="65">
        <f>$J$93*VLOOKUP($J$11,'PCU Values'!$B$9:$C$16,2,FALSE)</f>
        <v>1.5</v>
      </c>
      <c r="S93" s="66">
        <f>SUM($K$93,$L$93,$M$93,$N$93,$O$93,$P$93,$Q$93,$R$93)</f>
        <v>5.5</v>
      </c>
      <c r="T93" s="52">
        <f>SUM($C$93,$D$93,$E$93,$F$93,$G$93,$H$93,$I$93,$J$93)</f>
        <v>9</v>
      </c>
      <c r="U93" s="67">
        <v>74</v>
      </c>
      <c r="V93" s="48">
        <v>7</v>
      </c>
      <c r="W93" s="48">
        <v>0</v>
      </c>
      <c r="X93" s="48">
        <v>0</v>
      </c>
      <c r="Y93" s="48">
        <v>0</v>
      </c>
      <c r="Z93" s="48">
        <v>5</v>
      </c>
      <c r="AA93" s="48">
        <v>1</v>
      </c>
      <c r="AB93" s="56">
        <v>0</v>
      </c>
      <c r="AC93" s="57">
        <f>$U$93*VLOOKUP($U$11,'PCU Values'!$B$9:$C$16,2,FALSE)</f>
        <v>74</v>
      </c>
      <c r="AD93" s="57">
        <f>$V$93*VLOOKUP($V$11,'PCU Values'!$B$9:$C$16,2,FALSE)</f>
        <v>7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1</v>
      </c>
      <c r="AI93" s="57">
        <f>$AA$93*VLOOKUP($AA$11,'PCU Values'!$B$9:$C$16,2,FALSE)</f>
        <v>0.4</v>
      </c>
      <c r="AJ93" s="65">
        <f>$AB$93*VLOOKUP($AB$11,'PCU Values'!$B$9:$C$16,2,FALSE)</f>
        <v>0</v>
      </c>
      <c r="AK93" s="66">
        <f>SUM($AC$93,$AD$93,$AE$93,$AF$93,$AG$93,$AH$93,$AI$93,$AJ$93)</f>
        <v>82.4</v>
      </c>
      <c r="AL93" s="52">
        <f>SUM($U$93,$V$93,$W$93,$X$93,$Y$93,$Z$93,$AA$93,$AB$93)</f>
        <v>87</v>
      </c>
      <c r="AM93" s="67">
        <v>5</v>
      </c>
      <c r="AN93" s="48">
        <v>2</v>
      </c>
      <c r="AO93" s="48">
        <v>0</v>
      </c>
      <c r="AP93" s="48">
        <v>0</v>
      </c>
      <c r="AQ93" s="48">
        <v>0</v>
      </c>
      <c r="AR93" s="48">
        <v>3</v>
      </c>
      <c r="AS93" s="48">
        <v>0</v>
      </c>
      <c r="AT93" s="56">
        <v>0</v>
      </c>
      <c r="AU93" s="57">
        <f>$AM$93*VLOOKUP($AM$11,'PCU Values'!$B$9:$C$16,2,FALSE)</f>
        <v>5</v>
      </c>
      <c r="AV93" s="57">
        <f>$AN$93*VLOOKUP($AN$11,'PCU Values'!$B$9:$C$16,2,FALSE)</f>
        <v>2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0.6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7.6</v>
      </c>
      <c r="BD93" s="52">
        <f>SUM($AM$93,$AN$93,$AO$93,$AP$93,$AQ$93,$AR$93,$AS$93,$AT$93)</f>
        <v>10</v>
      </c>
      <c r="BE93" s="67">
        <v>2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2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2</v>
      </c>
      <c r="BV93" s="52">
        <f>SUM($BE$93,$BF$93,$BG$93,$BH$93,$BI$93,$BJ$93,$BK$93,$BL$93)</f>
        <v>2</v>
      </c>
      <c r="BX93" s="47" t="s">
        <v>96</v>
      </c>
      <c r="BY93" s="83">
        <f>SUM($C$93,$U$93,$AM$93,$BE$93)</f>
        <v>84</v>
      </c>
      <c r="BZ93" s="83">
        <f>SUM($D$93,$V$93,$AN$93,$BF$93)</f>
        <v>9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13</v>
      </c>
      <c r="CE93" s="83">
        <f>SUM($I$93,$AA$93,$AS$93,$BK$93)</f>
        <v>1</v>
      </c>
      <c r="CF93" s="86">
        <f>SUM($J$93,$AB$93,$AT$93,$BL$93)</f>
        <v>1</v>
      </c>
      <c r="CG93" s="77">
        <f>$BY$93*VLOOKUP($BY$11,'PCU Values'!$B$9:$C$16,2,FALSE)</f>
        <v>84</v>
      </c>
      <c r="CH93" s="77">
        <f>$BZ$93*VLOOKUP($BZ$11,'PCU Values'!$B$9:$C$16,2,FALSE)</f>
        <v>9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2.6</v>
      </c>
      <c r="CM93" s="77">
        <f>$CE$93*VLOOKUP($CE$11,'PCU Values'!$B$9:$C$16,2,FALSE)</f>
        <v>0.4</v>
      </c>
      <c r="CN93" s="78">
        <f>$CF$93*VLOOKUP($CF$11,'PCU Values'!$B$9:$C$16,2,FALSE)</f>
        <v>1.5</v>
      </c>
      <c r="CO93" s="66">
        <f>SUM($CG$93,$CH$93,$CI$93,$CJ$93,$CK$93,$CL$93,$CM$93,$CN$93)</f>
        <v>97.5</v>
      </c>
      <c r="CP93" s="52">
        <f>SUM($BY$93,$BZ$93,$CA$93,$CB$93,$CC$93,$CD$93,$CE$93,$CF$93)</f>
        <v>108</v>
      </c>
      <c r="CQ93" s="89">
        <f>SUM('J1 A - (North) Bishopthorpe Roa'!$BE$93,'J1 B - Butcher Terrace'!$AM$93,'J1 C - (South) Bishopthorpe Roa'!$U$93,'J1 D - South Bank Avenue'!$C$93)</f>
        <v>50</v>
      </c>
      <c r="CR93" s="83">
        <f>SUM('J1 A - (North) Bishopthorpe Roa'!$BF$93,'J1 B - Butcher Terrace'!$AN$93,'J1 C - (South) Bishopthorpe Roa'!$V$93,'J1 D - South Bank Avenue'!$D$93)</f>
        <v>2</v>
      </c>
      <c r="CS93" s="83">
        <f>SUM('J1 A - (North) Bishopthorpe Roa'!$BG$93,'J1 B - Butcher Terrace'!$AO$93,'J1 C - (South) Bishopthorpe Roa'!$W$93,'J1 D - South Bank Avenue'!$E$93)</f>
        <v>0</v>
      </c>
      <c r="CT93" s="83">
        <f>SUM('J1 A - (North) Bishopthorpe Roa'!$BH$93,'J1 B - Butcher Terrace'!$AP$93,'J1 C - (South) Bishopthorpe Roa'!$X$93,'J1 D - South Bank Avenue'!$F$93)</f>
        <v>0</v>
      </c>
      <c r="CU93" s="83">
        <f>SUM('J1 A - (North) Bishopthorpe Roa'!$BI$93,'J1 B - Butcher Terrace'!$AQ$93,'J1 C - (South) Bishopthorpe Roa'!$Y$93,'J1 D - South Bank Avenue'!$G$93)</f>
        <v>0</v>
      </c>
      <c r="CV93" s="83">
        <f>SUM('J1 A - (North) Bishopthorpe Roa'!$BJ$93,'J1 B - Butcher Terrace'!$AR$93,'J1 C - (South) Bishopthorpe Roa'!$Z$93,'J1 D - South Bank Avenue'!$H$93)</f>
        <v>5</v>
      </c>
      <c r="CW93" s="83">
        <f>SUM('J1 A - (North) Bishopthorpe Roa'!$BK$93,'J1 B - Butcher Terrace'!$AS$93,'J1 C - (South) Bishopthorpe Roa'!$AA$93,'J1 D - South Bank Avenue'!$I$93)</f>
        <v>1</v>
      </c>
      <c r="CX93" s="86">
        <f>SUM('J1 A - (North) Bishopthorpe Roa'!$BL$93,'J1 B - Butcher Terrace'!$AT$93,'J1 C - (South) Bishopthorpe Roa'!$AB$93,'J1 D - South Bank Avenue'!$J$93)</f>
        <v>0</v>
      </c>
      <c r="CY93" s="77">
        <f>$CQ$93*VLOOKUP($CQ$11,'PCU Values'!$B$9:$C$16,2,FALSE)</f>
        <v>50</v>
      </c>
      <c r="CZ93" s="77">
        <f>$CR$93*VLOOKUP($CR$11,'PCU Values'!$B$9:$C$16,2,FALSE)</f>
        <v>2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1</v>
      </c>
      <c r="DE93" s="77">
        <f>$CW$93*VLOOKUP($CW$11,'PCU Values'!$B$9:$C$16,2,FALSE)</f>
        <v>0.4</v>
      </c>
      <c r="DF93" s="78">
        <f>$CX$93*VLOOKUP($CX$11,'PCU Values'!$B$9:$C$16,2,FALSE)</f>
        <v>0</v>
      </c>
      <c r="DG93" s="66">
        <f>SUM($CY$93,$CZ$93,$DA$93,$DB$93,$DC$93,$DD$93,$DE$93,$DF$93)</f>
        <v>53.4</v>
      </c>
      <c r="DH93" s="52">
        <f>SUM($CQ$93,$CR$93,$CS$93,$CT$93,$CU$93,$CV$93,$CW$93,$CX$93)</f>
        <v>58</v>
      </c>
    </row>
    <row r="94" spans="1:112" ht="21" customHeight="1">
      <c r="A94" s="46">
        <v>44395.6875</v>
      </c>
      <c r="B94" s="47" t="s">
        <v>97</v>
      </c>
      <c r="C94" s="48">
        <v>3</v>
      </c>
      <c r="D94" s="48">
        <v>0</v>
      </c>
      <c r="E94" s="48">
        <v>0</v>
      </c>
      <c r="F94" s="48">
        <v>0</v>
      </c>
      <c r="G94" s="48">
        <v>0</v>
      </c>
      <c r="H94" s="48">
        <v>4</v>
      </c>
      <c r="I94" s="48">
        <v>0</v>
      </c>
      <c r="J94" s="56">
        <v>1</v>
      </c>
      <c r="K94" s="57">
        <f>$C$94*VLOOKUP($C$11,'PCU Values'!$B$9:$C$16,2,FALSE)</f>
        <v>3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0.8</v>
      </c>
      <c r="Q94" s="57">
        <f>$I$94*VLOOKUP($I$11,'PCU Values'!$B$9:$C$16,2,FALSE)</f>
        <v>0</v>
      </c>
      <c r="R94" s="65">
        <f>$J$94*VLOOKUP($J$11,'PCU Values'!$B$9:$C$16,2,FALSE)</f>
        <v>1.5</v>
      </c>
      <c r="S94" s="66">
        <f>SUM($K$94,$L$94,$M$94,$N$94,$O$94,$P$94,$Q$94,$R$94)</f>
        <v>5.3</v>
      </c>
      <c r="T94" s="52">
        <f>SUM($C$94,$D$94,$E$94,$F$94,$G$94,$H$94,$I$94,$J$94)</f>
        <v>8</v>
      </c>
      <c r="U94" s="67">
        <v>54</v>
      </c>
      <c r="V94" s="48">
        <v>3</v>
      </c>
      <c r="W94" s="48">
        <v>0</v>
      </c>
      <c r="X94" s="48">
        <v>0</v>
      </c>
      <c r="Y94" s="48">
        <v>1</v>
      </c>
      <c r="Z94" s="48">
        <v>3</v>
      </c>
      <c r="AA94" s="48">
        <v>0</v>
      </c>
      <c r="AB94" s="56">
        <v>0</v>
      </c>
      <c r="AC94" s="57">
        <f>$U$94*VLOOKUP($U$11,'PCU Values'!$B$9:$C$16,2,FALSE)</f>
        <v>54</v>
      </c>
      <c r="AD94" s="57">
        <f>$V$94*VLOOKUP($V$11,'PCU Values'!$B$9:$C$16,2,FALSE)</f>
        <v>3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2</v>
      </c>
      <c r="AH94" s="57">
        <f>$Z$94*VLOOKUP($Z$11,'PCU Values'!$B$9:$C$16,2,FALSE)</f>
        <v>0.6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59.6</v>
      </c>
      <c r="AL94" s="52">
        <f>SUM($U$94,$V$94,$W$94,$X$94,$Y$94,$Z$94,$AA$94,$AB$94)</f>
        <v>61</v>
      </c>
      <c r="AM94" s="67">
        <v>13</v>
      </c>
      <c r="AN94" s="48">
        <v>0</v>
      </c>
      <c r="AO94" s="48">
        <v>0</v>
      </c>
      <c r="AP94" s="48">
        <v>0</v>
      </c>
      <c r="AQ94" s="48">
        <v>0</v>
      </c>
      <c r="AR94" s="48">
        <v>1</v>
      </c>
      <c r="AS94" s="48">
        <v>0</v>
      </c>
      <c r="AT94" s="56">
        <v>0</v>
      </c>
      <c r="AU94" s="57">
        <f>$AM$94*VLOOKUP($AM$11,'PCU Values'!$B$9:$C$16,2,FALSE)</f>
        <v>13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0.2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13.2</v>
      </c>
      <c r="BD94" s="52">
        <f>SUM($AM$94,$AN$94,$AO$94,$AP$94,$AQ$94,$AR$94,$AS$94,$AT$94)</f>
        <v>14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70</v>
      </c>
      <c r="BZ94" s="83">
        <f>SUM($D$94,$V$94,$AN$94,$BF$94)</f>
        <v>3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1</v>
      </c>
      <c r="CD94" s="83">
        <f>SUM($H$94,$Z$94,$AR$94,$BJ$94)</f>
        <v>8</v>
      </c>
      <c r="CE94" s="83">
        <f>SUM($I$94,$AA$94,$AS$94,$BK$94)</f>
        <v>0</v>
      </c>
      <c r="CF94" s="86">
        <f>SUM($J$94,$AB$94,$AT$94,$BL$94)</f>
        <v>1</v>
      </c>
      <c r="CG94" s="77">
        <f>$BY$94*VLOOKUP($BY$11,'PCU Values'!$B$9:$C$16,2,FALSE)</f>
        <v>70</v>
      </c>
      <c r="CH94" s="77">
        <f>$BZ$94*VLOOKUP($BZ$11,'PCU Values'!$B$9:$C$16,2,FALSE)</f>
        <v>3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2</v>
      </c>
      <c r="CL94" s="77">
        <f>$CD$94*VLOOKUP($CD$11,'PCU Values'!$B$9:$C$16,2,FALSE)</f>
        <v>1.6</v>
      </c>
      <c r="CM94" s="77">
        <f>$CE$94*VLOOKUP($CE$11,'PCU Values'!$B$9:$C$16,2,FALSE)</f>
        <v>0</v>
      </c>
      <c r="CN94" s="78">
        <f>$CF$94*VLOOKUP($CF$11,'PCU Values'!$B$9:$C$16,2,FALSE)</f>
        <v>1.5</v>
      </c>
      <c r="CO94" s="66">
        <f>SUM($CG$94,$CH$94,$CI$94,$CJ$94,$CK$94,$CL$94,$CM$94,$CN$94)</f>
        <v>78.099999999999994</v>
      </c>
      <c r="CP94" s="52">
        <f>SUM($BY$94,$BZ$94,$CA$94,$CB$94,$CC$94,$CD$94,$CE$94,$CF$94)</f>
        <v>83</v>
      </c>
      <c r="CQ94" s="89">
        <f>SUM('J1 A - (North) Bishopthorpe Roa'!$BE$94,'J1 B - Butcher Terrace'!$AM$94,'J1 C - (South) Bishopthorpe Roa'!$U$94,'J1 D - South Bank Avenue'!$C$94)</f>
        <v>58</v>
      </c>
      <c r="CR94" s="83">
        <f>SUM('J1 A - (North) Bishopthorpe Roa'!$BF$94,'J1 B - Butcher Terrace'!$AN$94,'J1 C - (South) Bishopthorpe Roa'!$V$94,'J1 D - South Bank Avenue'!$D$94)</f>
        <v>1</v>
      </c>
      <c r="CS94" s="83">
        <f>SUM('J1 A - (North) Bishopthorpe Roa'!$BG$94,'J1 B - Butcher Terrace'!$AO$94,'J1 C - (South) Bishopthorpe Roa'!$W$94,'J1 D - South Bank Avenue'!$E$94)</f>
        <v>1</v>
      </c>
      <c r="CT94" s="83">
        <f>SUM('J1 A - (North) Bishopthorpe Roa'!$BH$94,'J1 B - Butcher Terrace'!$AP$94,'J1 C - (South) Bishopthorpe Roa'!$X$94,'J1 D - South Bank Avenue'!$F$94)</f>
        <v>0</v>
      </c>
      <c r="CU94" s="83">
        <f>SUM('J1 A - (North) Bishopthorpe Roa'!$BI$94,'J1 B - Butcher Terrace'!$AQ$94,'J1 C - (South) Bishopthorpe Roa'!$Y$94,'J1 D - South Bank Avenue'!$G$94)</f>
        <v>2</v>
      </c>
      <c r="CV94" s="83">
        <f>SUM('J1 A - (North) Bishopthorpe Roa'!$BJ$94,'J1 B - Butcher Terrace'!$AR$94,'J1 C - (South) Bishopthorpe Roa'!$Z$94,'J1 D - South Bank Avenue'!$H$94)</f>
        <v>8</v>
      </c>
      <c r="CW94" s="83">
        <f>SUM('J1 A - (North) Bishopthorpe Roa'!$BK$94,'J1 B - Butcher Terrace'!$AS$94,'J1 C - (South) Bishopthorpe Roa'!$AA$94,'J1 D - South Bank Avenue'!$I$94)</f>
        <v>0</v>
      </c>
      <c r="CX94" s="86">
        <f>SUM('J1 A - (North) Bishopthorpe Roa'!$BL$94,'J1 B - Butcher Terrace'!$AT$94,'J1 C - (South) Bishopthorpe Roa'!$AB$94,'J1 D - South Bank Avenue'!$J$94)</f>
        <v>0</v>
      </c>
      <c r="CY94" s="77">
        <f>$CQ$94*VLOOKUP($CQ$11,'PCU Values'!$B$9:$C$16,2,FALSE)</f>
        <v>58</v>
      </c>
      <c r="CZ94" s="77">
        <f>$CR$94*VLOOKUP($CR$11,'PCU Values'!$B$9:$C$16,2,FALSE)</f>
        <v>1</v>
      </c>
      <c r="DA94" s="77">
        <f>$CS$94*VLOOKUP($CS$11,'PCU Values'!$B$9:$C$16,2,FALSE)</f>
        <v>1.5</v>
      </c>
      <c r="DB94" s="77">
        <f>$CT$94*VLOOKUP($CT$11,'PCU Values'!$B$9:$C$16,2,FALSE)</f>
        <v>0</v>
      </c>
      <c r="DC94" s="77">
        <f>$CU$94*VLOOKUP($CU$11,'PCU Values'!$B$9:$C$16,2,FALSE)</f>
        <v>4</v>
      </c>
      <c r="DD94" s="77">
        <f>$CV$94*VLOOKUP($CV$11,'PCU Values'!$B$9:$C$16,2,FALSE)</f>
        <v>1.6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66.099999999999994</v>
      </c>
      <c r="DH94" s="52">
        <f>SUM($CQ$94,$CR$94,$CS$94,$CT$94,$CU$94,$CV$94,$CW$94,$CX$94)</f>
        <v>70</v>
      </c>
    </row>
    <row r="95" spans="1:112" ht="21" customHeight="1">
      <c r="A95" s="46">
        <v>44395.697916666701</v>
      </c>
      <c r="B95" s="50" t="s">
        <v>98</v>
      </c>
      <c r="C95" s="51">
        <v>5</v>
      </c>
      <c r="D95" s="51">
        <v>1</v>
      </c>
      <c r="E95" s="51">
        <v>0</v>
      </c>
      <c r="F95" s="51">
        <v>0</v>
      </c>
      <c r="G95" s="51">
        <v>0</v>
      </c>
      <c r="H95" s="51">
        <v>1</v>
      </c>
      <c r="I95" s="51">
        <v>0</v>
      </c>
      <c r="J95" s="59">
        <v>0</v>
      </c>
      <c r="K95" s="60">
        <f>$C$95*VLOOKUP($C$11,'PCU Values'!$B$9:$C$16,2,FALSE)</f>
        <v>5</v>
      </c>
      <c r="L95" s="60">
        <f>$D$95*VLOOKUP($D$11,'PCU Values'!$B$9:$C$16,2,FALSE)</f>
        <v>1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0.2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6.2</v>
      </c>
      <c r="T95" s="52">
        <f>SUM($C$95,$D$95,$E$95,$F$95,$G$95,$H$95,$I$95,$J$95)</f>
        <v>7</v>
      </c>
      <c r="U95" s="73">
        <v>77</v>
      </c>
      <c r="V95" s="51">
        <v>4</v>
      </c>
      <c r="W95" s="51">
        <v>0</v>
      </c>
      <c r="X95" s="51">
        <v>0</v>
      </c>
      <c r="Y95" s="51">
        <v>1</v>
      </c>
      <c r="Z95" s="51">
        <v>8</v>
      </c>
      <c r="AA95" s="51">
        <v>1</v>
      </c>
      <c r="AB95" s="59">
        <v>0</v>
      </c>
      <c r="AC95" s="60">
        <f>$U$95*VLOOKUP($U$11,'PCU Values'!$B$9:$C$16,2,FALSE)</f>
        <v>77</v>
      </c>
      <c r="AD95" s="60">
        <f>$V$95*VLOOKUP($V$11,'PCU Values'!$B$9:$C$16,2,FALSE)</f>
        <v>4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2</v>
      </c>
      <c r="AH95" s="60">
        <f>$Z$95*VLOOKUP($Z$11,'PCU Values'!$B$9:$C$16,2,FALSE)</f>
        <v>1.6</v>
      </c>
      <c r="AI95" s="60">
        <f>$AA$95*VLOOKUP($AA$11,'PCU Values'!$B$9:$C$16,2,FALSE)</f>
        <v>0.4</v>
      </c>
      <c r="AJ95" s="68">
        <f>$AB$95*VLOOKUP($AB$11,'PCU Values'!$B$9:$C$16,2,FALSE)</f>
        <v>0</v>
      </c>
      <c r="AK95" s="63">
        <f>SUM($AC$95,$AD$95,$AE$95,$AF$95,$AG$95,$AH$95,$AI$95,$AJ$95)</f>
        <v>85</v>
      </c>
      <c r="AL95" s="52">
        <f>SUM($U$95,$V$95,$W$95,$X$95,$Y$95,$Z$95,$AA$95,$AB$95)</f>
        <v>91</v>
      </c>
      <c r="AM95" s="73">
        <v>5</v>
      </c>
      <c r="AN95" s="51">
        <v>2</v>
      </c>
      <c r="AO95" s="51">
        <v>0</v>
      </c>
      <c r="AP95" s="51">
        <v>0</v>
      </c>
      <c r="AQ95" s="51">
        <v>0</v>
      </c>
      <c r="AR95" s="51">
        <v>0</v>
      </c>
      <c r="AS95" s="51">
        <v>0</v>
      </c>
      <c r="AT95" s="59">
        <v>0</v>
      </c>
      <c r="AU95" s="60">
        <f>$AM$95*VLOOKUP($AM$11,'PCU Values'!$B$9:$C$16,2,FALSE)</f>
        <v>5</v>
      </c>
      <c r="AV95" s="60">
        <f>$AN$95*VLOOKUP($AN$11,'PCU Values'!$B$9:$C$16,2,FALSE)</f>
        <v>2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7</v>
      </c>
      <c r="BD95" s="52">
        <f>SUM($AM$95,$AN$95,$AO$95,$AP$95,$AQ$95,$AR$95,$AS$95,$AT$95)</f>
        <v>7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87</v>
      </c>
      <c r="BZ95" s="84">
        <f>SUM($D$95,$V$95,$AN$95,$BF$95)</f>
        <v>7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1</v>
      </c>
      <c r="CD95" s="84">
        <f>SUM($H$95,$Z$95,$AR$95,$BJ$95)</f>
        <v>9</v>
      </c>
      <c r="CE95" s="84">
        <f>SUM($I$95,$AA$95,$AS$95,$BK$95)</f>
        <v>1</v>
      </c>
      <c r="CF95" s="87">
        <f>SUM($J$95,$AB$95,$AT$95,$BL$95)</f>
        <v>0</v>
      </c>
      <c r="CG95" s="79">
        <f>$BY$95*VLOOKUP($BY$11,'PCU Values'!$B$9:$C$16,2,FALSE)</f>
        <v>87</v>
      </c>
      <c r="CH95" s="79">
        <f>$BZ$95*VLOOKUP($BZ$11,'PCU Values'!$B$9:$C$16,2,FALSE)</f>
        <v>7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2</v>
      </c>
      <c r="CL95" s="79">
        <f>$CD$95*VLOOKUP($CD$11,'PCU Values'!$B$9:$C$16,2,FALSE)</f>
        <v>1.8</v>
      </c>
      <c r="CM95" s="79">
        <f>$CE$95*VLOOKUP($CE$11,'PCU Values'!$B$9:$C$16,2,FALSE)</f>
        <v>0.4</v>
      </c>
      <c r="CN95" s="80">
        <f>$CF$95*VLOOKUP($CF$11,'PCU Values'!$B$9:$C$16,2,FALSE)</f>
        <v>0</v>
      </c>
      <c r="CO95" s="63">
        <f>SUM($CG$95,$CH$95,$CI$95,$CJ$95,$CK$95,$CL$95,$CM$95,$CN$95)</f>
        <v>98.2</v>
      </c>
      <c r="CP95" s="52">
        <f>SUM($BY$95,$BZ$95,$CA$95,$CB$95,$CC$95,$CD$95,$CE$95,$CF$95)</f>
        <v>105</v>
      </c>
      <c r="CQ95" s="90">
        <f>SUM('J1 A - (North) Bishopthorpe Roa'!$BE$95,'J1 B - Butcher Terrace'!$AM$95,'J1 C - (South) Bishopthorpe Roa'!$U$95,'J1 D - South Bank Avenue'!$C$95)</f>
        <v>44</v>
      </c>
      <c r="CR95" s="84">
        <f>SUM('J1 A - (North) Bishopthorpe Roa'!$BF$95,'J1 B - Butcher Terrace'!$AN$95,'J1 C - (South) Bishopthorpe Roa'!$V$95,'J1 D - South Bank Avenue'!$D$95)</f>
        <v>4</v>
      </c>
      <c r="CS95" s="84">
        <f>SUM('J1 A - (North) Bishopthorpe Roa'!$BG$95,'J1 B - Butcher Terrace'!$AO$95,'J1 C - (South) Bishopthorpe Roa'!$W$95,'J1 D - South Bank Avenue'!$E$95)</f>
        <v>0</v>
      </c>
      <c r="CT95" s="84">
        <f>SUM('J1 A - (North) Bishopthorpe Roa'!$BH$95,'J1 B - Butcher Terrace'!$AP$95,'J1 C - (South) Bishopthorpe Roa'!$X$95,'J1 D - South Bank Avenue'!$F$95)</f>
        <v>0</v>
      </c>
      <c r="CU95" s="84">
        <f>SUM('J1 A - (North) Bishopthorpe Roa'!$BI$95,'J1 B - Butcher Terrace'!$AQ$95,'J1 C - (South) Bishopthorpe Roa'!$Y$95,'J1 D - South Bank Avenue'!$G$95)</f>
        <v>1</v>
      </c>
      <c r="CV95" s="84">
        <f>SUM('J1 A - (North) Bishopthorpe Roa'!$BJ$95,'J1 B - Butcher Terrace'!$AR$95,'J1 C - (South) Bishopthorpe Roa'!$Z$95,'J1 D - South Bank Avenue'!$H$95)</f>
        <v>9</v>
      </c>
      <c r="CW95" s="84">
        <f>SUM('J1 A - (North) Bishopthorpe Roa'!$BK$95,'J1 B - Butcher Terrace'!$AS$95,'J1 C - (South) Bishopthorpe Roa'!$AA$95,'J1 D - South Bank Avenue'!$I$95)</f>
        <v>0</v>
      </c>
      <c r="CX95" s="87">
        <f>SUM('J1 A - (North) Bishopthorpe Roa'!$BL$95,'J1 B - Butcher Terrace'!$AT$95,'J1 C - (South) Bishopthorpe Roa'!$AB$95,'J1 D - South Bank Avenue'!$J$95)</f>
        <v>0</v>
      </c>
      <c r="CY95" s="79">
        <f>$CQ$95*VLOOKUP($CQ$11,'PCU Values'!$B$9:$C$16,2,FALSE)</f>
        <v>44</v>
      </c>
      <c r="CZ95" s="79">
        <f>$CR$95*VLOOKUP($CR$11,'PCU Values'!$B$9:$C$16,2,FALSE)</f>
        <v>4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2</v>
      </c>
      <c r="DD95" s="79">
        <f>$CV$95*VLOOKUP($CV$11,'PCU Values'!$B$9:$C$16,2,FALSE)</f>
        <v>1.8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51.8</v>
      </c>
      <c r="DH95" s="52">
        <f>SUM($CQ$95,$CR$95,$CS$95,$CT$95,$CU$95,$CV$95,$CW$95,$CX$95)</f>
        <v>58</v>
      </c>
    </row>
    <row r="96" spans="1:112">
      <c r="B96" s="52" t="s">
        <v>34</v>
      </c>
      <c r="C96" s="52">
        <f>SUM($C$92:$C$95)</f>
        <v>14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12</v>
      </c>
      <c r="I96" s="52">
        <f>SUM($I$92:$I$95)</f>
        <v>1</v>
      </c>
      <c r="J96" s="52">
        <f>SUM($J$92:$J$95)</f>
        <v>2</v>
      </c>
      <c r="K96" s="52">
        <f>SUM($K$92:$K$95)</f>
        <v>14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2</v>
      </c>
      <c r="Q96" s="52">
        <f>SUM($Q$92:$Q$95)</f>
        <v>0</v>
      </c>
      <c r="R96" s="52">
        <f>SUM($R$92:$R$95)</f>
        <v>3</v>
      </c>
      <c r="S96" s="52">
        <f>SUM($K$96,$L$96,$M$96,$N$96,$O$96,$P$96,$Q$96,$R$96)</f>
        <v>20</v>
      </c>
      <c r="T96" s="52">
        <f>SUM($C$96,$D$96,$E$96,$F$96,$G$96,$H$96,$I$96,$J$96)</f>
        <v>30</v>
      </c>
      <c r="U96" s="52">
        <f>SUM($U$92:$U$95)</f>
        <v>267</v>
      </c>
      <c r="V96" s="52">
        <f>SUM($V$92:$V$95)</f>
        <v>21</v>
      </c>
      <c r="W96" s="52">
        <f>SUM($W$92:$W$95)</f>
        <v>1</v>
      </c>
      <c r="X96" s="52">
        <f>SUM($X$92:$X$95)</f>
        <v>0</v>
      </c>
      <c r="Y96" s="52">
        <f>SUM($Y$92:$Y$95)</f>
        <v>3</v>
      </c>
      <c r="Z96" s="52">
        <f>SUM($Z$92:$Z$95)</f>
        <v>21</v>
      </c>
      <c r="AA96" s="52">
        <f>SUM($AA$92:$AA$95)</f>
        <v>3</v>
      </c>
      <c r="AB96" s="52">
        <f>SUM($AB$92:$AB$95)</f>
        <v>0</v>
      </c>
      <c r="AC96" s="52">
        <f>SUM($AC$92:$AC$95)</f>
        <v>267</v>
      </c>
      <c r="AD96" s="52">
        <f>SUM($AD$92:$AD$95)</f>
        <v>21</v>
      </c>
      <c r="AE96" s="52">
        <f>SUM($AE$92:$AE$95)</f>
        <v>2</v>
      </c>
      <c r="AF96" s="52">
        <f>SUM($AF$92:$AF$95)</f>
        <v>0</v>
      </c>
      <c r="AG96" s="52">
        <f>SUM($AG$92:$AG$95)</f>
        <v>6</v>
      </c>
      <c r="AH96" s="52">
        <f>SUM($AH$92:$AH$95)</f>
        <v>4</v>
      </c>
      <c r="AI96" s="52">
        <f>SUM($AI$92:$AI$95)</f>
        <v>1</v>
      </c>
      <c r="AJ96" s="52">
        <f>SUM($AJ$92:$AJ$95)</f>
        <v>0</v>
      </c>
      <c r="AK96" s="52">
        <f>SUM($AC$96,$AD$96,$AE$96,$AF$96,$AG$96,$AH$96,$AI$96,$AJ$96)</f>
        <v>301</v>
      </c>
      <c r="AL96" s="52">
        <f>SUM($U$96,$V$96,$W$96,$X$96,$Y$96,$Z$96,$AA$96,$AB$96)</f>
        <v>316</v>
      </c>
      <c r="AM96" s="52">
        <f>SUM($AM$92:$AM$95)</f>
        <v>28</v>
      </c>
      <c r="AN96" s="52">
        <f>SUM($AN$92:$AN$95)</f>
        <v>5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5</v>
      </c>
      <c r="AS96" s="52">
        <f>SUM($AS$92:$AS$95)</f>
        <v>0</v>
      </c>
      <c r="AT96" s="52">
        <f>SUM($AT$92:$AT$95)</f>
        <v>0</v>
      </c>
      <c r="AU96" s="52">
        <f>SUM($AU$92:$AU$95)</f>
        <v>28</v>
      </c>
      <c r="AV96" s="52">
        <f>SUM($AV$92:$AV$95)</f>
        <v>5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1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34</v>
      </c>
      <c r="BD96" s="52">
        <f>SUM($AM$96,$AN$96,$AO$96,$AP$96,$AQ$96,$AR$96,$AS$96,$AT$96)</f>
        <v>38</v>
      </c>
      <c r="BE96" s="52">
        <f>SUM($BE$92:$BE$95)</f>
        <v>2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2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2</v>
      </c>
      <c r="BV96" s="52">
        <f>SUM($BE$96,$BF$96,$BG$96,$BH$96,$BI$96,$BJ$96,$BK$96,$BL$96)</f>
        <v>2</v>
      </c>
      <c r="BX96" s="52" t="s">
        <v>34</v>
      </c>
      <c r="BY96" s="52">
        <f>SUM($BY$92:$BY$95)</f>
        <v>311</v>
      </c>
      <c r="BZ96" s="52">
        <f>SUM($BZ$92:$BZ$95)</f>
        <v>27</v>
      </c>
      <c r="CA96" s="52">
        <f>SUM($CA$92:$CA$95)</f>
        <v>1</v>
      </c>
      <c r="CB96" s="52">
        <f>SUM($CB$92:$CB$95)</f>
        <v>0</v>
      </c>
      <c r="CC96" s="52">
        <f>SUM($CC$92:$CC$95)</f>
        <v>3</v>
      </c>
      <c r="CD96" s="52">
        <f>SUM($CD$92:$CD$95)</f>
        <v>38</v>
      </c>
      <c r="CE96" s="52">
        <f>SUM($CE$92:$CE$95)</f>
        <v>4</v>
      </c>
      <c r="CF96" s="52">
        <f>SUM($CF$92:$CF$95)</f>
        <v>2</v>
      </c>
      <c r="CG96" s="52">
        <f>SUM($CG$92:$CG$95)</f>
        <v>311</v>
      </c>
      <c r="CH96" s="52">
        <f>SUM($CH$92:$CH$95)</f>
        <v>27</v>
      </c>
      <c r="CI96" s="52">
        <f>SUM($CI$92:$CI$95)</f>
        <v>2</v>
      </c>
      <c r="CJ96" s="52">
        <f>SUM($CJ$92:$CJ$95)</f>
        <v>0</v>
      </c>
      <c r="CK96" s="52">
        <f>SUM($CK$92:$CK$95)</f>
        <v>6</v>
      </c>
      <c r="CL96" s="52">
        <f>SUM($CL$92:$CL$95)</f>
        <v>8</v>
      </c>
      <c r="CM96" s="52">
        <f>SUM($CM$92:$CM$95)</f>
        <v>2</v>
      </c>
      <c r="CN96" s="52">
        <f>SUM($CN$92:$CN$95)</f>
        <v>3</v>
      </c>
      <c r="CO96" s="52">
        <f>SUM($CG$96,$CH$96,$CI$96,$CJ$96,$CK$96,$CL$96,$CM$96,$CN$96)</f>
        <v>359</v>
      </c>
      <c r="CP96" s="52">
        <f>SUM($BY$96,$BZ$96,$CA$96,$CB$96,$CC$96,$CD$96,$CE$96,$CF$96)</f>
        <v>386</v>
      </c>
      <c r="CQ96" s="52">
        <f>SUM($CQ$92:$CQ$95)</f>
        <v>198</v>
      </c>
      <c r="CR96" s="52">
        <f>SUM($CR$92:$CR$95)</f>
        <v>14</v>
      </c>
      <c r="CS96" s="52">
        <f>SUM($CS$92:$CS$95)</f>
        <v>4</v>
      </c>
      <c r="CT96" s="52">
        <f>SUM($CT$92:$CT$95)</f>
        <v>0</v>
      </c>
      <c r="CU96" s="52">
        <f>SUM($CU$92:$CU$95)</f>
        <v>4</v>
      </c>
      <c r="CV96" s="52">
        <f>SUM($CV$92:$CV$95)</f>
        <v>26</v>
      </c>
      <c r="CW96" s="52">
        <f>SUM($CW$92:$CW$95)</f>
        <v>1</v>
      </c>
      <c r="CX96" s="52">
        <f>SUM($CX$92:$CX$95)</f>
        <v>0</v>
      </c>
      <c r="CY96" s="52">
        <f>SUM($CY$92:$CY$95)</f>
        <v>198</v>
      </c>
      <c r="CZ96" s="52">
        <f>SUM($CZ$92:$CZ$95)</f>
        <v>14</v>
      </c>
      <c r="DA96" s="52">
        <f>SUM($DA$92:$DA$95)</f>
        <v>6</v>
      </c>
      <c r="DB96" s="52">
        <f>SUM($DB$92:$DB$95)</f>
        <v>0</v>
      </c>
      <c r="DC96" s="52">
        <f>SUM($DC$92:$DC$95)</f>
        <v>8</v>
      </c>
      <c r="DD96" s="52">
        <f>SUM($DD$92:$DD$95)</f>
        <v>5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231</v>
      </c>
      <c r="DH96" s="52">
        <f>SUM($CQ$96,$CR$96,$CS$96,$CT$96,$CU$96,$CV$96,$CW$96,$CX$96)</f>
        <v>247</v>
      </c>
    </row>
    <row r="97" spans="1:112" ht="21" customHeight="1">
      <c r="A97" s="46">
        <v>44395.708333333299</v>
      </c>
      <c r="B97" s="53" t="s">
        <v>99</v>
      </c>
      <c r="C97" s="54">
        <v>4</v>
      </c>
      <c r="D97" s="54">
        <v>0</v>
      </c>
      <c r="E97" s="54">
        <v>0</v>
      </c>
      <c r="F97" s="54">
        <v>0</v>
      </c>
      <c r="G97" s="54">
        <v>0</v>
      </c>
      <c r="H97" s="54">
        <v>2</v>
      </c>
      <c r="I97" s="54">
        <v>0</v>
      </c>
      <c r="J97" s="61">
        <v>0</v>
      </c>
      <c r="K97" s="62">
        <f>$C$97*VLOOKUP($C$11,'PCU Values'!$B$9:$C$16,2,FALSE)</f>
        <v>4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0.4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4.4000000000000004</v>
      </c>
      <c r="T97" s="52">
        <f>SUM($C$97,$D$97,$E$97,$F$97,$G$97,$H$97,$I$97,$J$97)</f>
        <v>6</v>
      </c>
      <c r="U97" s="72">
        <v>61</v>
      </c>
      <c r="V97" s="54">
        <v>4</v>
      </c>
      <c r="W97" s="54">
        <v>0</v>
      </c>
      <c r="X97" s="54">
        <v>0</v>
      </c>
      <c r="Y97" s="54">
        <v>1</v>
      </c>
      <c r="Z97" s="54">
        <v>4</v>
      </c>
      <c r="AA97" s="54">
        <v>0</v>
      </c>
      <c r="AB97" s="61">
        <v>0</v>
      </c>
      <c r="AC97" s="62">
        <f>$U$97*VLOOKUP($U$11,'PCU Values'!$B$9:$C$16,2,FALSE)</f>
        <v>61</v>
      </c>
      <c r="AD97" s="62">
        <f>$V$97*VLOOKUP($V$11,'PCU Values'!$B$9:$C$16,2,FALSE)</f>
        <v>4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0.8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67.8</v>
      </c>
      <c r="AL97" s="52">
        <f>SUM($U$97,$V$97,$W$97,$X$97,$Y$97,$Z$97,$AA$97,$AB$97)</f>
        <v>70</v>
      </c>
      <c r="AM97" s="72">
        <v>9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9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9</v>
      </c>
      <c r="BD97" s="52">
        <f>SUM($AM$97,$AN$97,$AO$97,$AP$97,$AQ$97,$AR$97,$AS$97,$AT$97)</f>
        <v>9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74</v>
      </c>
      <c r="BZ97" s="85">
        <f>SUM($D$97,$V$97,$AN$97,$BF$97)</f>
        <v>4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6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74</v>
      </c>
      <c r="CH97" s="81">
        <f>$BZ$97*VLOOKUP($BZ$11,'PCU Values'!$B$9:$C$16,2,FALSE)</f>
        <v>4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1.2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81.2</v>
      </c>
      <c r="CP97" s="52">
        <f>SUM($BY$97,$BZ$97,$CA$97,$CB$97,$CC$97,$CD$97,$CE$97,$CF$97)</f>
        <v>85</v>
      </c>
      <c r="CQ97" s="91">
        <f>SUM('J1 A - (North) Bishopthorpe Roa'!$BE$97,'J1 B - Butcher Terrace'!$AM$97,'J1 C - (South) Bishopthorpe Roa'!$U$97,'J1 D - South Bank Avenue'!$C$97)</f>
        <v>56</v>
      </c>
      <c r="CR97" s="85">
        <f>SUM('J1 A - (North) Bishopthorpe Roa'!$BF$97,'J1 B - Butcher Terrace'!$AN$97,'J1 C - (South) Bishopthorpe Roa'!$V$97,'J1 D - South Bank Avenue'!$D$97)</f>
        <v>8</v>
      </c>
      <c r="CS97" s="85">
        <f>SUM('J1 A - (North) Bishopthorpe Roa'!$BG$97,'J1 B - Butcher Terrace'!$AO$97,'J1 C - (South) Bishopthorpe Roa'!$W$97,'J1 D - South Bank Avenue'!$E$97)</f>
        <v>1</v>
      </c>
      <c r="CT97" s="85">
        <f>SUM('J1 A - (North) Bishopthorpe Roa'!$BH$97,'J1 B - Butcher Terrace'!$AP$97,'J1 C - (South) Bishopthorpe Roa'!$X$97,'J1 D - South Bank Avenue'!$F$97)</f>
        <v>0</v>
      </c>
      <c r="CU97" s="85">
        <f>SUM('J1 A - (North) Bishopthorpe Roa'!$BI$97,'J1 B - Butcher Terrace'!$AQ$97,'J1 C - (South) Bishopthorpe Roa'!$Y$97,'J1 D - South Bank Avenue'!$G$97)</f>
        <v>1</v>
      </c>
      <c r="CV97" s="85">
        <f>SUM('J1 A - (North) Bishopthorpe Roa'!$BJ$97,'J1 B - Butcher Terrace'!$AR$97,'J1 C - (South) Bishopthorpe Roa'!$Z$97,'J1 D - South Bank Avenue'!$H$97)</f>
        <v>7</v>
      </c>
      <c r="CW97" s="85">
        <f>SUM('J1 A - (North) Bishopthorpe Roa'!$BK$97,'J1 B - Butcher Terrace'!$AS$97,'J1 C - (South) Bishopthorpe Roa'!$AA$97,'J1 D - South Bank Avenue'!$I$97)</f>
        <v>1</v>
      </c>
      <c r="CX97" s="88">
        <f>SUM('J1 A - (North) Bishopthorpe Roa'!$BL$97,'J1 B - Butcher Terrace'!$AT$97,'J1 C - (South) Bishopthorpe Roa'!$AB$97,'J1 D - South Bank Avenue'!$J$97)</f>
        <v>0</v>
      </c>
      <c r="CY97" s="81">
        <f>$CQ$97*VLOOKUP($CQ$11,'PCU Values'!$B$9:$C$16,2,FALSE)</f>
        <v>56</v>
      </c>
      <c r="CZ97" s="81">
        <f>$CR$97*VLOOKUP($CR$11,'PCU Values'!$B$9:$C$16,2,FALSE)</f>
        <v>8</v>
      </c>
      <c r="DA97" s="81">
        <f>$CS$97*VLOOKUP($CS$11,'PCU Values'!$B$9:$C$16,2,FALSE)</f>
        <v>1.5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1.4</v>
      </c>
      <c r="DE97" s="81">
        <f>$CW$97*VLOOKUP($CW$11,'PCU Values'!$B$9:$C$16,2,FALSE)</f>
        <v>0.4</v>
      </c>
      <c r="DF97" s="82">
        <f>$CX$97*VLOOKUP($CX$11,'PCU Values'!$B$9:$C$16,2,FALSE)</f>
        <v>0</v>
      </c>
      <c r="DG97" s="71">
        <f>SUM($CY$97,$CZ$97,$DA$97,$DB$97,$DC$97,$DD$97,$DE$97,$DF$97)</f>
        <v>69.3</v>
      </c>
      <c r="DH97" s="52">
        <f>SUM($CQ$97,$CR$97,$CS$97,$CT$97,$CU$97,$CV$97,$CW$97,$CX$97)</f>
        <v>74</v>
      </c>
    </row>
    <row r="98" spans="1:112" ht="21" customHeight="1">
      <c r="A98" s="46">
        <v>44395.71875</v>
      </c>
      <c r="B98" s="47" t="s">
        <v>100</v>
      </c>
      <c r="C98" s="49">
        <v>2</v>
      </c>
      <c r="D98" s="48">
        <v>1</v>
      </c>
      <c r="E98" s="48">
        <v>0</v>
      </c>
      <c r="F98" s="48">
        <v>0</v>
      </c>
      <c r="G98" s="48">
        <v>0</v>
      </c>
      <c r="H98" s="49">
        <v>5</v>
      </c>
      <c r="I98" s="48">
        <v>0</v>
      </c>
      <c r="J98" s="56">
        <v>1</v>
      </c>
      <c r="K98" s="57">
        <f>$C$98*VLOOKUP($C$11,'PCU Values'!$B$9:$C$16,2,FALSE)</f>
        <v>2</v>
      </c>
      <c r="L98" s="57">
        <f>$D$98*VLOOKUP($D$11,'PCU Values'!$B$9:$C$16,2,FALSE)</f>
        <v>1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1</v>
      </c>
      <c r="Q98" s="57">
        <f>$I$98*VLOOKUP($I$11,'PCU Values'!$B$9:$C$16,2,FALSE)</f>
        <v>0</v>
      </c>
      <c r="R98" s="65">
        <f>$J$98*VLOOKUP($J$11,'PCU Values'!$B$9:$C$16,2,FALSE)</f>
        <v>1.5</v>
      </c>
      <c r="S98" s="66">
        <f>SUM($K$98,$L$98,$M$98,$N$98,$O$98,$P$98,$Q$98,$R$98)</f>
        <v>5.5</v>
      </c>
      <c r="T98" s="52">
        <f>SUM($C$98,$D$98,$E$98,$F$98,$G$98,$H$98,$I$98,$J$98)</f>
        <v>9</v>
      </c>
      <c r="U98" s="67">
        <v>64</v>
      </c>
      <c r="V98" s="48">
        <v>4</v>
      </c>
      <c r="W98" s="48">
        <v>0</v>
      </c>
      <c r="X98" s="48">
        <v>0</v>
      </c>
      <c r="Y98" s="48">
        <v>1</v>
      </c>
      <c r="Z98" s="48">
        <v>6</v>
      </c>
      <c r="AA98" s="48">
        <v>0</v>
      </c>
      <c r="AB98" s="56">
        <v>0</v>
      </c>
      <c r="AC98" s="57">
        <f>$U$98*VLOOKUP($U$11,'PCU Values'!$B$9:$C$16,2,FALSE)</f>
        <v>64</v>
      </c>
      <c r="AD98" s="57">
        <f>$V$98*VLOOKUP($V$11,'PCU Values'!$B$9:$C$16,2,FALSE)</f>
        <v>4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2</v>
      </c>
      <c r="AH98" s="57">
        <f>$Z$98*VLOOKUP($Z$11,'PCU Values'!$B$9:$C$16,2,FALSE)</f>
        <v>1.2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71.2</v>
      </c>
      <c r="AL98" s="52">
        <f>SUM($U$98,$V$98,$W$98,$X$98,$Y$98,$Z$98,$AA$98,$AB$98)</f>
        <v>75</v>
      </c>
      <c r="AM98" s="67">
        <v>8</v>
      </c>
      <c r="AN98" s="48">
        <v>1</v>
      </c>
      <c r="AO98" s="48">
        <v>1</v>
      </c>
      <c r="AP98" s="48">
        <v>0</v>
      </c>
      <c r="AQ98" s="48">
        <v>0</v>
      </c>
      <c r="AR98" s="48">
        <v>0</v>
      </c>
      <c r="AS98" s="48">
        <v>2</v>
      </c>
      <c r="AT98" s="56">
        <v>0</v>
      </c>
      <c r="AU98" s="57">
        <f>$AM$98*VLOOKUP($AM$11,'PCU Values'!$B$9:$C$16,2,FALSE)</f>
        <v>8</v>
      </c>
      <c r="AV98" s="57">
        <f>$AN$98*VLOOKUP($AN$11,'PCU Values'!$B$9:$C$16,2,FALSE)</f>
        <v>1</v>
      </c>
      <c r="AW98" s="57">
        <f>$AO$98*VLOOKUP($AO$11,'PCU Values'!$B$9:$C$16,2,FALSE)</f>
        <v>1.5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0.8</v>
      </c>
      <c r="BB98" s="65">
        <f>$AT$98*VLOOKUP($AT$11,'PCU Values'!$B$9:$C$16,2,FALSE)</f>
        <v>0</v>
      </c>
      <c r="BC98" s="66">
        <f>SUM($AU$98,$AV$98,$AW$98,$AX$98,$AY$98,$AZ$98,$BA$98,$BB$98)</f>
        <v>11.3</v>
      </c>
      <c r="BD98" s="52">
        <f>SUM($AM$98,$AN$98,$AO$98,$AP$98,$AQ$98,$AR$98,$AS$98,$AT$98)</f>
        <v>12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74</v>
      </c>
      <c r="BZ98" s="83">
        <f>SUM($D$98,$V$98,$AN$98,$BF$98)</f>
        <v>6</v>
      </c>
      <c r="CA98" s="83">
        <f>SUM($E$98,$W$98,$AO$98,$BG$98)</f>
        <v>1</v>
      </c>
      <c r="CB98" s="83">
        <f>SUM($F$98,$X$98,$AP$98,$BH$98)</f>
        <v>0</v>
      </c>
      <c r="CC98" s="83">
        <f>SUM($G$98,$Y$98,$AQ$98,$BI$98)</f>
        <v>1</v>
      </c>
      <c r="CD98" s="83">
        <f>SUM($H$98,$Z$98,$AR$98,$BJ$98)</f>
        <v>11</v>
      </c>
      <c r="CE98" s="83">
        <f>SUM($I$98,$AA$98,$AS$98,$BK$98)</f>
        <v>2</v>
      </c>
      <c r="CF98" s="86">
        <f>SUM($J$98,$AB$98,$AT$98,$BL$98)</f>
        <v>1</v>
      </c>
      <c r="CG98" s="77">
        <f>$BY$98*VLOOKUP($BY$11,'PCU Values'!$B$9:$C$16,2,FALSE)</f>
        <v>74</v>
      </c>
      <c r="CH98" s="77">
        <f>$BZ$98*VLOOKUP($BZ$11,'PCU Values'!$B$9:$C$16,2,FALSE)</f>
        <v>6</v>
      </c>
      <c r="CI98" s="77">
        <f>$CA$98*VLOOKUP($CA$11,'PCU Values'!$B$9:$C$16,2,FALSE)</f>
        <v>1.5</v>
      </c>
      <c r="CJ98" s="77">
        <f>$CB$98*VLOOKUP($CB$11,'PCU Values'!$B$9:$C$16,2,FALSE)</f>
        <v>0</v>
      </c>
      <c r="CK98" s="77">
        <f>$CC$98*VLOOKUP($CC$11,'PCU Values'!$B$9:$C$16,2,FALSE)</f>
        <v>2</v>
      </c>
      <c r="CL98" s="77">
        <f>$CD$98*VLOOKUP($CD$11,'PCU Values'!$B$9:$C$16,2,FALSE)</f>
        <v>2.2000000000000002</v>
      </c>
      <c r="CM98" s="77">
        <f>$CE$98*VLOOKUP($CE$11,'PCU Values'!$B$9:$C$16,2,FALSE)</f>
        <v>0.8</v>
      </c>
      <c r="CN98" s="78">
        <f>$CF$98*VLOOKUP($CF$11,'PCU Values'!$B$9:$C$16,2,FALSE)</f>
        <v>1.5</v>
      </c>
      <c r="CO98" s="66">
        <f>SUM($CG$98,$CH$98,$CI$98,$CJ$98,$CK$98,$CL$98,$CM$98,$CN$98)</f>
        <v>88</v>
      </c>
      <c r="CP98" s="52">
        <f>SUM($BY$98,$BZ$98,$CA$98,$CB$98,$CC$98,$CD$98,$CE$98,$CF$98)</f>
        <v>96</v>
      </c>
      <c r="CQ98" s="89">
        <f>SUM('J1 A - (North) Bishopthorpe Roa'!$BE$98,'J1 B - Butcher Terrace'!$AM$98,'J1 C - (South) Bishopthorpe Roa'!$U$98,'J1 D - South Bank Avenue'!$C$98)</f>
        <v>72</v>
      </c>
      <c r="CR98" s="83">
        <f>SUM('J1 A - (North) Bishopthorpe Roa'!$BF$98,'J1 B - Butcher Terrace'!$AN$98,'J1 C - (South) Bishopthorpe Roa'!$V$98,'J1 D - South Bank Avenue'!$D$98)</f>
        <v>2</v>
      </c>
      <c r="CS98" s="83">
        <f>SUM('J1 A - (North) Bishopthorpe Roa'!$BG$98,'J1 B - Butcher Terrace'!$AO$98,'J1 C - (South) Bishopthorpe Roa'!$W$98,'J1 D - South Bank Avenue'!$E$98)</f>
        <v>1</v>
      </c>
      <c r="CT98" s="83">
        <f>SUM('J1 A - (North) Bishopthorpe Roa'!$BH$98,'J1 B - Butcher Terrace'!$AP$98,'J1 C - (South) Bishopthorpe Roa'!$X$98,'J1 D - South Bank Avenue'!$F$98)</f>
        <v>0</v>
      </c>
      <c r="CU98" s="83">
        <f>SUM('J1 A - (North) Bishopthorpe Roa'!$BI$98,'J1 B - Butcher Terrace'!$AQ$98,'J1 C - (South) Bishopthorpe Roa'!$Y$98,'J1 D - South Bank Avenue'!$G$98)</f>
        <v>0</v>
      </c>
      <c r="CV98" s="83">
        <f>SUM('J1 A - (North) Bishopthorpe Roa'!$BJ$98,'J1 B - Butcher Terrace'!$AR$98,'J1 C - (South) Bishopthorpe Roa'!$Z$98,'J1 D - South Bank Avenue'!$H$98)</f>
        <v>6</v>
      </c>
      <c r="CW98" s="83">
        <f>SUM('J1 A - (North) Bishopthorpe Roa'!$BK$98,'J1 B - Butcher Terrace'!$AS$98,'J1 C - (South) Bishopthorpe Roa'!$AA$98,'J1 D - South Bank Avenue'!$I$98)</f>
        <v>2</v>
      </c>
      <c r="CX98" s="86">
        <f>SUM('J1 A - (North) Bishopthorpe Roa'!$BL$98,'J1 B - Butcher Terrace'!$AT$98,'J1 C - (South) Bishopthorpe Roa'!$AB$98,'J1 D - South Bank Avenue'!$J$98)</f>
        <v>0</v>
      </c>
      <c r="CY98" s="77">
        <f>$CQ$98*VLOOKUP($CQ$11,'PCU Values'!$B$9:$C$16,2,FALSE)</f>
        <v>72</v>
      </c>
      <c r="CZ98" s="77">
        <f>$CR$98*VLOOKUP($CR$11,'PCU Values'!$B$9:$C$16,2,FALSE)</f>
        <v>2</v>
      </c>
      <c r="DA98" s="77">
        <f>$CS$98*VLOOKUP($CS$11,'PCU Values'!$B$9:$C$16,2,FALSE)</f>
        <v>1.5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1.2</v>
      </c>
      <c r="DE98" s="77">
        <f>$CW$98*VLOOKUP($CW$11,'PCU Values'!$B$9:$C$16,2,FALSE)</f>
        <v>0.8</v>
      </c>
      <c r="DF98" s="78">
        <f>$CX$98*VLOOKUP($CX$11,'PCU Values'!$B$9:$C$16,2,FALSE)</f>
        <v>0</v>
      </c>
      <c r="DG98" s="66">
        <f>SUM($CY$98,$CZ$98,$DA$98,$DB$98,$DC$98,$DD$98,$DE$98,$DF$98)</f>
        <v>77.5</v>
      </c>
      <c r="DH98" s="52">
        <f>SUM($CQ$98,$CR$98,$CS$98,$CT$98,$CU$98,$CV$98,$CW$98,$CX$98)</f>
        <v>83</v>
      </c>
    </row>
    <row r="99" spans="1:112" ht="21" customHeight="1">
      <c r="A99" s="46">
        <v>44395.729166666701</v>
      </c>
      <c r="B99" s="47" t="s">
        <v>101</v>
      </c>
      <c r="C99" s="48">
        <v>9</v>
      </c>
      <c r="D99" s="48">
        <v>1</v>
      </c>
      <c r="E99" s="48">
        <v>0</v>
      </c>
      <c r="F99" s="48">
        <v>0</v>
      </c>
      <c r="G99" s="48">
        <v>0</v>
      </c>
      <c r="H99" s="48">
        <v>6</v>
      </c>
      <c r="I99" s="48">
        <v>0</v>
      </c>
      <c r="J99" s="56">
        <v>1</v>
      </c>
      <c r="K99" s="57">
        <f>$C$99*VLOOKUP($C$11,'PCU Values'!$B$9:$C$16,2,FALSE)</f>
        <v>9</v>
      </c>
      <c r="L99" s="57">
        <f>$D$99*VLOOKUP($D$11,'PCU Values'!$B$9:$C$16,2,FALSE)</f>
        <v>1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1.2</v>
      </c>
      <c r="Q99" s="57">
        <f>$I$99*VLOOKUP($I$11,'PCU Values'!$B$9:$C$16,2,FALSE)</f>
        <v>0</v>
      </c>
      <c r="R99" s="65">
        <f>$J$99*VLOOKUP($J$11,'PCU Values'!$B$9:$C$16,2,FALSE)</f>
        <v>1.5</v>
      </c>
      <c r="S99" s="66">
        <f>SUM($K$99,$L$99,$M$99,$N$99,$O$99,$P$99,$Q$99,$R$99)</f>
        <v>12.7</v>
      </c>
      <c r="T99" s="52">
        <f>SUM($C$99,$D$99,$E$99,$F$99,$G$99,$H$99,$I$99,$J$99)</f>
        <v>17</v>
      </c>
      <c r="U99" s="67">
        <v>55</v>
      </c>
      <c r="V99" s="48">
        <v>1</v>
      </c>
      <c r="W99" s="48">
        <v>0</v>
      </c>
      <c r="X99" s="48">
        <v>0</v>
      </c>
      <c r="Y99" s="48">
        <v>2</v>
      </c>
      <c r="Z99" s="48">
        <v>3</v>
      </c>
      <c r="AA99" s="48">
        <v>1</v>
      </c>
      <c r="AB99" s="56">
        <v>0</v>
      </c>
      <c r="AC99" s="57">
        <f>$U$99*VLOOKUP($U$11,'PCU Values'!$B$9:$C$16,2,FALSE)</f>
        <v>55</v>
      </c>
      <c r="AD99" s="57">
        <f>$V$99*VLOOKUP($V$11,'PCU Values'!$B$9:$C$16,2,FALSE)</f>
        <v>1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4</v>
      </c>
      <c r="AH99" s="57">
        <f>$Z$99*VLOOKUP($Z$11,'PCU Values'!$B$9:$C$16,2,FALSE)</f>
        <v>0.6</v>
      </c>
      <c r="AI99" s="57">
        <f>$AA$99*VLOOKUP($AA$11,'PCU Values'!$B$9:$C$16,2,FALSE)</f>
        <v>0.4</v>
      </c>
      <c r="AJ99" s="65">
        <f>$AB$99*VLOOKUP($AB$11,'PCU Values'!$B$9:$C$16,2,FALSE)</f>
        <v>0</v>
      </c>
      <c r="AK99" s="66">
        <f>SUM($AC$99,$AD$99,$AE$99,$AF$99,$AG$99,$AH$99,$AI$99,$AJ$99)</f>
        <v>61</v>
      </c>
      <c r="AL99" s="52">
        <f>SUM($U$99,$V$99,$W$99,$X$99,$Y$99,$Z$99,$AA$99,$AB$99)</f>
        <v>62</v>
      </c>
      <c r="AM99" s="76">
        <v>10</v>
      </c>
      <c r="AN99" s="49">
        <v>0</v>
      </c>
      <c r="AO99" s="48">
        <v>0</v>
      </c>
      <c r="AP99" s="48">
        <v>0</v>
      </c>
      <c r="AQ99" s="48">
        <v>0</v>
      </c>
      <c r="AR99" s="49">
        <v>3</v>
      </c>
      <c r="AS99" s="48">
        <v>0</v>
      </c>
      <c r="AT99" s="56">
        <v>0</v>
      </c>
      <c r="AU99" s="57">
        <f>$AM$99*VLOOKUP($AM$11,'PCU Values'!$B$9:$C$16,2,FALSE)</f>
        <v>10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0.6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10.6</v>
      </c>
      <c r="BD99" s="52">
        <f>SUM($AM$99,$AN$99,$AO$99,$AP$99,$AQ$99,$AR$99,$AS$99,$AT$99)</f>
        <v>13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74</v>
      </c>
      <c r="BZ99" s="83">
        <f>SUM($D$99,$V$99,$AN$99,$BF$99)</f>
        <v>2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2</v>
      </c>
      <c r="CD99" s="83">
        <f>SUM($H$99,$Z$99,$AR$99,$BJ$99)</f>
        <v>12</v>
      </c>
      <c r="CE99" s="83">
        <f>SUM($I$99,$AA$99,$AS$99,$BK$99)</f>
        <v>1</v>
      </c>
      <c r="CF99" s="86">
        <f>SUM($J$99,$AB$99,$AT$99,$BL$99)</f>
        <v>1</v>
      </c>
      <c r="CG99" s="77">
        <f>$BY$99*VLOOKUP($BY$11,'PCU Values'!$B$9:$C$16,2,FALSE)</f>
        <v>74</v>
      </c>
      <c r="CH99" s="77">
        <f>$BZ$99*VLOOKUP($BZ$11,'PCU Values'!$B$9:$C$16,2,FALSE)</f>
        <v>2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4</v>
      </c>
      <c r="CL99" s="77">
        <f>$CD$99*VLOOKUP($CD$11,'PCU Values'!$B$9:$C$16,2,FALSE)</f>
        <v>2.4</v>
      </c>
      <c r="CM99" s="77">
        <f>$CE$99*VLOOKUP($CE$11,'PCU Values'!$B$9:$C$16,2,FALSE)</f>
        <v>0.4</v>
      </c>
      <c r="CN99" s="78">
        <f>$CF$99*VLOOKUP($CF$11,'PCU Values'!$B$9:$C$16,2,FALSE)</f>
        <v>1.5</v>
      </c>
      <c r="CO99" s="66">
        <f>SUM($CG$99,$CH$99,$CI$99,$CJ$99,$CK$99,$CL$99,$CM$99,$CN$99)</f>
        <v>84.3</v>
      </c>
      <c r="CP99" s="52">
        <f>SUM($BY$99,$BZ$99,$CA$99,$CB$99,$CC$99,$CD$99,$CE$99,$CF$99)</f>
        <v>92</v>
      </c>
      <c r="CQ99" s="89">
        <f>SUM('J1 A - (North) Bishopthorpe Roa'!$BE$99,'J1 B - Butcher Terrace'!$AM$99,'J1 C - (South) Bishopthorpe Roa'!$U$99,'J1 D - South Bank Avenue'!$C$99)</f>
        <v>62</v>
      </c>
      <c r="CR99" s="83">
        <f>SUM('J1 A - (North) Bishopthorpe Roa'!$BF$99,'J1 B - Butcher Terrace'!$AN$99,'J1 C - (South) Bishopthorpe Roa'!$V$99,'J1 D - South Bank Avenue'!$D$99)</f>
        <v>4</v>
      </c>
      <c r="CS99" s="83">
        <f>SUM('J1 A - (North) Bishopthorpe Roa'!$BG$99,'J1 B - Butcher Terrace'!$AO$99,'J1 C - (South) Bishopthorpe Roa'!$W$99,'J1 D - South Bank Avenue'!$E$99)</f>
        <v>0</v>
      </c>
      <c r="CT99" s="83">
        <f>SUM('J1 A - (North) Bishopthorpe Roa'!$BH$99,'J1 B - Butcher Terrace'!$AP$99,'J1 C - (South) Bishopthorpe Roa'!$X$99,'J1 D - South Bank Avenue'!$F$99)</f>
        <v>0</v>
      </c>
      <c r="CU99" s="83">
        <f>SUM('J1 A - (North) Bishopthorpe Roa'!$BI$99,'J1 B - Butcher Terrace'!$AQ$99,'J1 C - (South) Bishopthorpe Roa'!$Y$99,'J1 D - South Bank Avenue'!$G$99)</f>
        <v>1</v>
      </c>
      <c r="CV99" s="83">
        <f>SUM('J1 A - (North) Bishopthorpe Roa'!$BJ$99,'J1 B - Butcher Terrace'!$AR$99,'J1 C - (South) Bishopthorpe Roa'!$Z$99,'J1 D - South Bank Avenue'!$H$99)</f>
        <v>11</v>
      </c>
      <c r="CW99" s="83">
        <f>SUM('J1 A - (North) Bishopthorpe Roa'!$BK$99,'J1 B - Butcher Terrace'!$AS$99,'J1 C - (South) Bishopthorpe Roa'!$AA$99,'J1 D - South Bank Avenue'!$I$99)</f>
        <v>0</v>
      </c>
      <c r="CX99" s="86">
        <f>SUM('J1 A - (North) Bishopthorpe Roa'!$BL$99,'J1 B - Butcher Terrace'!$AT$99,'J1 C - (South) Bishopthorpe Roa'!$AB$99,'J1 D - South Bank Avenue'!$J$99)</f>
        <v>0</v>
      </c>
      <c r="CY99" s="77">
        <f>$CQ$99*VLOOKUP($CQ$11,'PCU Values'!$B$9:$C$16,2,FALSE)</f>
        <v>62</v>
      </c>
      <c r="CZ99" s="77">
        <f>$CR$99*VLOOKUP($CR$11,'PCU Values'!$B$9:$C$16,2,FALSE)</f>
        <v>4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2</v>
      </c>
      <c r="DD99" s="77">
        <f>$CV$99*VLOOKUP($CV$11,'PCU Values'!$B$9:$C$16,2,FALSE)</f>
        <v>2.2000000000000002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70.2</v>
      </c>
      <c r="DH99" s="52">
        <f>SUM($CQ$99,$CR$99,$CS$99,$CT$99,$CU$99,$CV$99,$CW$99,$CX$99)</f>
        <v>78</v>
      </c>
    </row>
    <row r="100" spans="1:112" ht="21" customHeight="1">
      <c r="A100" s="46">
        <v>44395.739583333299</v>
      </c>
      <c r="B100" s="50" t="s">
        <v>102</v>
      </c>
      <c r="C100" s="51">
        <v>4</v>
      </c>
      <c r="D100" s="51">
        <v>1</v>
      </c>
      <c r="E100" s="51">
        <v>1</v>
      </c>
      <c r="F100" s="51">
        <v>0</v>
      </c>
      <c r="G100" s="51">
        <v>0</v>
      </c>
      <c r="H100" s="51">
        <v>1</v>
      </c>
      <c r="I100" s="51">
        <v>0</v>
      </c>
      <c r="J100" s="59">
        <v>1</v>
      </c>
      <c r="K100" s="60">
        <f>$C$100*VLOOKUP($C$11,'PCU Values'!$B$9:$C$16,2,FALSE)</f>
        <v>4</v>
      </c>
      <c r="L100" s="60">
        <f>$D$100*VLOOKUP($D$11,'PCU Values'!$B$9:$C$16,2,FALSE)</f>
        <v>1</v>
      </c>
      <c r="M100" s="60">
        <f>$E$100*VLOOKUP($E$11,'PCU Values'!$B$9:$C$16,2,FALSE)</f>
        <v>1.5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8">
        <f>$J$100*VLOOKUP($J$11,'PCU Values'!$B$9:$C$16,2,FALSE)</f>
        <v>1.5</v>
      </c>
      <c r="S100" s="63">
        <f>SUM($K$100,$L$100,$M$100,$N$100,$O$100,$P$100,$Q$100,$R$100)</f>
        <v>8.1999999999999993</v>
      </c>
      <c r="T100" s="52">
        <f>SUM($C$100,$D$100,$E$100,$F$100,$G$100,$H$100,$I$100,$J$100)</f>
        <v>8</v>
      </c>
      <c r="U100" s="73">
        <v>52</v>
      </c>
      <c r="V100" s="51">
        <v>2</v>
      </c>
      <c r="W100" s="51">
        <v>0</v>
      </c>
      <c r="X100" s="51">
        <v>0</v>
      </c>
      <c r="Y100" s="51">
        <v>0</v>
      </c>
      <c r="Z100" s="51">
        <v>9</v>
      </c>
      <c r="AA100" s="51">
        <v>1</v>
      </c>
      <c r="AB100" s="59">
        <v>0</v>
      </c>
      <c r="AC100" s="60">
        <f>$U$100*VLOOKUP($U$11,'PCU Values'!$B$9:$C$16,2,FALSE)</f>
        <v>52</v>
      </c>
      <c r="AD100" s="60">
        <f>$V$100*VLOOKUP($V$11,'PCU Values'!$B$9:$C$16,2,FALSE)</f>
        <v>2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1.8</v>
      </c>
      <c r="AI100" s="60">
        <f>$AA$100*VLOOKUP($AA$11,'PCU Values'!$B$9:$C$16,2,FALSE)</f>
        <v>0.4</v>
      </c>
      <c r="AJ100" s="68">
        <f>$AB$100*VLOOKUP($AB$11,'PCU Values'!$B$9:$C$16,2,FALSE)</f>
        <v>0</v>
      </c>
      <c r="AK100" s="63">
        <f>SUM($AC$100,$AD$100,$AE$100,$AF$100,$AG$100,$AH$100,$AI$100,$AJ$100)</f>
        <v>56.2</v>
      </c>
      <c r="AL100" s="52">
        <f>SUM($U$100,$V$100,$W$100,$X$100,$Y$100,$Z$100,$AA$100,$AB$100)</f>
        <v>64</v>
      </c>
      <c r="AM100" s="73">
        <v>11</v>
      </c>
      <c r="AN100" s="51">
        <v>1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9">
        <v>0</v>
      </c>
      <c r="AU100" s="60">
        <f>$AM$100*VLOOKUP($AM$11,'PCU Values'!$B$9:$C$16,2,FALSE)</f>
        <v>11</v>
      </c>
      <c r="AV100" s="60">
        <f>$AN$100*VLOOKUP($AN$11,'PCU Values'!$B$9:$C$16,2,FALSE)</f>
        <v>1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12</v>
      </c>
      <c r="BD100" s="52">
        <f>SUM($AM$100,$AN$100,$AO$100,$AP$100,$AQ$100,$AR$100,$AS$100,$AT$100)</f>
        <v>12</v>
      </c>
      <c r="BE100" s="73">
        <v>1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1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1</v>
      </c>
      <c r="BV100" s="52">
        <f>SUM($BE$100,$BF$100,$BG$100,$BH$100,$BI$100,$BJ$100,$BK$100,$BL$100)</f>
        <v>1</v>
      </c>
      <c r="BX100" s="50" t="s">
        <v>102</v>
      </c>
      <c r="BY100" s="84">
        <f>SUM($C$100,$U$100,$AM$100,$BE$100)</f>
        <v>68</v>
      </c>
      <c r="BZ100" s="84">
        <f>SUM($D$100,$V$100,$AN$100,$BF$100)</f>
        <v>4</v>
      </c>
      <c r="CA100" s="84">
        <f>SUM($E$100,$W$100,$AO$100,$BG$100)</f>
        <v>1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10</v>
      </c>
      <c r="CE100" s="84">
        <f>SUM($I$100,$AA$100,$AS$100,$BK$100)</f>
        <v>1</v>
      </c>
      <c r="CF100" s="87">
        <f>SUM($J$100,$AB$100,$AT$100,$BL$100)</f>
        <v>1</v>
      </c>
      <c r="CG100" s="79">
        <f>$BY$100*VLOOKUP($BY$11,'PCU Values'!$B$9:$C$16,2,FALSE)</f>
        <v>68</v>
      </c>
      <c r="CH100" s="79">
        <f>$BZ$100*VLOOKUP($BZ$11,'PCU Values'!$B$9:$C$16,2,FALSE)</f>
        <v>4</v>
      </c>
      <c r="CI100" s="79">
        <f>$CA$100*VLOOKUP($CA$11,'PCU Values'!$B$9:$C$16,2,FALSE)</f>
        <v>1.5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2</v>
      </c>
      <c r="CM100" s="79">
        <f>$CE$100*VLOOKUP($CE$11,'PCU Values'!$B$9:$C$16,2,FALSE)</f>
        <v>0.4</v>
      </c>
      <c r="CN100" s="80">
        <f>$CF$100*VLOOKUP($CF$11,'PCU Values'!$B$9:$C$16,2,FALSE)</f>
        <v>1.5</v>
      </c>
      <c r="CO100" s="63">
        <f>SUM($CG$100,$CH$100,$CI$100,$CJ$100,$CK$100,$CL$100,$CM$100,$CN$100)</f>
        <v>77.400000000000006</v>
      </c>
      <c r="CP100" s="52">
        <f>SUM($BY$100,$BZ$100,$CA$100,$CB$100,$CC$100,$CD$100,$CE$100,$CF$100)</f>
        <v>85</v>
      </c>
      <c r="CQ100" s="90">
        <f>SUM('J1 A - (North) Bishopthorpe Roa'!$BE$100,'J1 B - Butcher Terrace'!$AM$100,'J1 C - (South) Bishopthorpe Roa'!$U$100,'J1 D - South Bank Avenue'!$C$100)</f>
        <v>60</v>
      </c>
      <c r="CR100" s="84">
        <f>SUM('J1 A - (North) Bishopthorpe Roa'!$BF$100,'J1 B - Butcher Terrace'!$AN$100,'J1 C - (South) Bishopthorpe Roa'!$V$100,'J1 D - South Bank Avenue'!$D$100)</f>
        <v>4</v>
      </c>
      <c r="CS100" s="84">
        <f>SUM('J1 A - (North) Bishopthorpe Roa'!$BG$100,'J1 B - Butcher Terrace'!$AO$100,'J1 C - (South) Bishopthorpe Roa'!$W$100,'J1 D - South Bank Avenue'!$E$100)</f>
        <v>0</v>
      </c>
      <c r="CT100" s="84">
        <f>SUM('J1 A - (North) Bishopthorpe Roa'!$BH$100,'J1 B - Butcher Terrace'!$AP$100,'J1 C - (South) Bishopthorpe Roa'!$X$100,'J1 D - South Bank Avenue'!$F$100)</f>
        <v>0</v>
      </c>
      <c r="CU100" s="84">
        <f>SUM('J1 A - (North) Bishopthorpe Roa'!$BI$100,'J1 B - Butcher Terrace'!$AQ$100,'J1 C - (South) Bishopthorpe Roa'!$Y$100,'J1 D - South Bank Avenue'!$G$100)</f>
        <v>1</v>
      </c>
      <c r="CV100" s="84">
        <f>SUM('J1 A - (North) Bishopthorpe Roa'!$BJ$100,'J1 B - Butcher Terrace'!$AR$100,'J1 C - (South) Bishopthorpe Roa'!$Z$100,'J1 D - South Bank Avenue'!$H$100)</f>
        <v>4</v>
      </c>
      <c r="CW100" s="84">
        <f>SUM('J1 A - (North) Bishopthorpe Roa'!$BK$100,'J1 B - Butcher Terrace'!$AS$100,'J1 C - (South) Bishopthorpe Roa'!$AA$100,'J1 D - South Bank Avenue'!$I$100)</f>
        <v>0</v>
      </c>
      <c r="CX100" s="87">
        <f>SUM('J1 A - (North) Bishopthorpe Roa'!$BL$100,'J1 B - Butcher Terrace'!$AT$100,'J1 C - (South) Bishopthorpe Roa'!$AB$100,'J1 D - South Bank Avenue'!$J$100)</f>
        <v>0</v>
      </c>
      <c r="CY100" s="79">
        <f>$CQ$100*VLOOKUP($CQ$11,'PCU Values'!$B$9:$C$16,2,FALSE)</f>
        <v>60</v>
      </c>
      <c r="CZ100" s="79">
        <f>$CR$100*VLOOKUP($CR$11,'PCU Values'!$B$9:$C$16,2,FALSE)</f>
        <v>4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2</v>
      </c>
      <c r="DD100" s="79">
        <f>$CV$100*VLOOKUP($CV$11,'PCU Values'!$B$9:$C$16,2,FALSE)</f>
        <v>0.8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66.8</v>
      </c>
      <c r="DH100" s="52">
        <f>SUM($CQ$100,$CR$100,$CS$100,$CT$100,$CU$100,$CV$100,$CW$100,$CX$100)</f>
        <v>69</v>
      </c>
    </row>
    <row r="101" spans="1:112">
      <c r="B101" s="52" t="s">
        <v>34</v>
      </c>
      <c r="C101" s="52">
        <f>SUM($C$97:$C$100)</f>
        <v>19</v>
      </c>
      <c r="D101" s="52">
        <f>SUM($D$97:$D$100)</f>
        <v>3</v>
      </c>
      <c r="E101" s="52">
        <f>SUM($E$97:$E$100)</f>
        <v>1</v>
      </c>
      <c r="F101" s="52">
        <f>SUM($F$97:$F$100)</f>
        <v>0</v>
      </c>
      <c r="G101" s="52">
        <f>SUM($G$97:$G$100)</f>
        <v>0</v>
      </c>
      <c r="H101" s="52">
        <f>SUM($H$97:$H$100)</f>
        <v>14</v>
      </c>
      <c r="I101" s="52">
        <f>SUM($I$97:$I$100)</f>
        <v>0</v>
      </c>
      <c r="J101" s="52">
        <f>SUM($J$97:$J$100)</f>
        <v>3</v>
      </c>
      <c r="K101" s="52">
        <f>SUM($K$97:$K$100)</f>
        <v>19</v>
      </c>
      <c r="L101" s="52">
        <f>SUM($L$97:$L$100)</f>
        <v>3</v>
      </c>
      <c r="M101" s="52">
        <f>SUM($M$97:$M$100)</f>
        <v>2</v>
      </c>
      <c r="N101" s="52">
        <f>SUM($N$97:$N$100)</f>
        <v>0</v>
      </c>
      <c r="O101" s="52">
        <f>SUM($O$97:$O$100)</f>
        <v>0</v>
      </c>
      <c r="P101" s="52">
        <f>SUM($P$97:$P$100)</f>
        <v>3</v>
      </c>
      <c r="Q101" s="52">
        <f>SUM($Q$97:$Q$100)</f>
        <v>0</v>
      </c>
      <c r="R101" s="52">
        <f>SUM($R$97:$R$100)</f>
        <v>5</v>
      </c>
      <c r="S101" s="52">
        <f>SUM($K$101,$L$101,$M$101,$N$101,$O$101,$P$101,$Q$101,$R$101)</f>
        <v>32</v>
      </c>
      <c r="T101" s="52">
        <f>SUM($C$101,$D$101,$E$101,$F$101,$G$101,$H$101,$I$101,$J$101)</f>
        <v>40</v>
      </c>
      <c r="U101" s="52">
        <f>SUM($U$97:$U$100)</f>
        <v>232</v>
      </c>
      <c r="V101" s="52">
        <f>SUM($V$97:$V$100)</f>
        <v>11</v>
      </c>
      <c r="W101" s="52">
        <f>SUM($W$97:$W$100)</f>
        <v>0</v>
      </c>
      <c r="X101" s="52">
        <f>SUM($X$97:$X$100)</f>
        <v>0</v>
      </c>
      <c r="Y101" s="52">
        <f>SUM($Y$97:$Y$100)</f>
        <v>4</v>
      </c>
      <c r="Z101" s="52">
        <f>SUM($Z$97:$Z$100)</f>
        <v>22</v>
      </c>
      <c r="AA101" s="52">
        <f>SUM($AA$97:$AA$100)</f>
        <v>2</v>
      </c>
      <c r="AB101" s="52">
        <f>SUM($AB$97:$AB$100)</f>
        <v>0</v>
      </c>
      <c r="AC101" s="52">
        <f>SUM($AC$97:$AC$100)</f>
        <v>232</v>
      </c>
      <c r="AD101" s="52">
        <f>SUM($AD$97:$AD$100)</f>
        <v>11</v>
      </c>
      <c r="AE101" s="52">
        <f>SUM($AE$97:$AE$100)</f>
        <v>0</v>
      </c>
      <c r="AF101" s="52">
        <f>SUM($AF$97:$AF$100)</f>
        <v>0</v>
      </c>
      <c r="AG101" s="52">
        <f>SUM($AG$97:$AG$100)</f>
        <v>8</v>
      </c>
      <c r="AH101" s="52">
        <f>SUM($AH$97:$AH$100)</f>
        <v>4</v>
      </c>
      <c r="AI101" s="52">
        <f>SUM($AI$97:$AI$100)</f>
        <v>1</v>
      </c>
      <c r="AJ101" s="52">
        <f>SUM($AJ$97:$AJ$100)</f>
        <v>0</v>
      </c>
      <c r="AK101" s="52">
        <f>SUM($AC$101,$AD$101,$AE$101,$AF$101,$AG$101,$AH$101,$AI$101,$AJ$101)</f>
        <v>256</v>
      </c>
      <c r="AL101" s="52">
        <f>SUM($U$101,$V$101,$W$101,$X$101,$Y$101,$Z$101,$AA$101,$AB$101)</f>
        <v>271</v>
      </c>
      <c r="AM101" s="52">
        <f>SUM($AM$97:$AM$100)</f>
        <v>38</v>
      </c>
      <c r="AN101" s="52">
        <f>SUM($AN$97:$AN$100)</f>
        <v>2</v>
      </c>
      <c r="AO101" s="52">
        <f>SUM($AO$97:$AO$100)</f>
        <v>1</v>
      </c>
      <c r="AP101" s="52">
        <f>SUM($AP$97:$AP$100)</f>
        <v>0</v>
      </c>
      <c r="AQ101" s="52">
        <f>SUM($AQ$97:$AQ$100)</f>
        <v>0</v>
      </c>
      <c r="AR101" s="52">
        <f>SUM($AR$97:$AR$100)</f>
        <v>3</v>
      </c>
      <c r="AS101" s="52">
        <f>SUM($AS$97:$AS$100)</f>
        <v>2</v>
      </c>
      <c r="AT101" s="52">
        <f>SUM($AT$97:$AT$100)</f>
        <v>0</v>
      </c>
      <c r="AU101" s="52">
        <f>SUM($AU$97:$AU$100)</f>
        <v>38</v>
      </c>
      <c r="AV101" s="52">
        <f>SUM($AV$97:$AV$100)</f>
        <v>2</v>
      </c>
      <c r="AW101" s="52">
        <f>SUM($AW$97:$AW$100)</f>
        <v>2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1</v>
      </c>
      <c r="BB101" s="52">
        <f>SUM($BB$97:$BB$100)</f>
        <v>0</v>
      </c>
      <c r="BC101" s="52">
        <f>SUM($AU$101,$AV$101,$AW$101,$AX$101,$AY$101,$AZ$101,$BA$101,$BB$101)</f>
        <v>44</v>
      </c>
      <c r="BD101" s="52">
        <f>SUM($AM$101,$AN$101,$AO$101,$AP$101,$AQ$101,$AR$101,$AS$101,$AT$101)</f>
        <v>46</v>
      </c>
      <c r="BE101" s="52">
        <f>SUM($BE$97:$BE$100)</f>
        <v>1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1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1</v>
      </c>
      <c r="BV101" s="52">
        <f>SUM($BE$101,$BF$101,$BG$101,$BH$101,$BI$101,$BJ$101,$BK$101,$BL$101)</f>
        <v>1</v>
      </c>
      <c r="BX101" s="52" t="s">
        <v>34</v>
      </c>
      <c r="BY101" s="52">
        <f>SUM($BY$97:$BY$100)</f>
        <v>290</v>
      </c>
      <c r="BZ101" s="52">
        <f>SUM($BZ$97:$BZ$100)</f>
        <v>16</v>
      </c>
      <c r="CA101" s="52">
        <f>SUM($CA$97:$CA$100)</f>
        <v>2</v>
      </c>
      <c r="CB101" s="52">
        <f>SUM($CB$97:$CB$100)</f>
        <v>0</v>
      </c>
      <c r="CC101" s="52">
        <f>SUM($CC$97:$CC$100)</f>
        <v>4</v>
      </c>
      <c r="CD101" s="52">
        <f>SUM($CD$97:$CD$100)</f>
        <v>39</v>
      </c>
      <c r="CE101" s="52">
        <f>SUM($CE$97:$CE$100)</f>
        <v>4</v>
      </c>
      <c r="CF101" s="52">
        <f>SUM($CF$97:$CF$100)</f>
        <v>3</v>
      </c>
      <c r="CG101" s="52">
        <f>SUM($CG$97:$CG$100)</f>
        <v>290</v>
      </c>
      <c r="CH101" s="52">
        <f>SUM($CH$97:$CH$100)</f>
        <v>16</v>
      </c>
      <c r="CI101" s="52">
        <f>SUM($CI$97:$CI$100)</f>
        <v>3</v>
      </c>
      <c r="CJ101" s="52">
        <f>SUM($CJ$97:$CJ$100)</f>
        <v>0</v>
      </c>
      <c r="CK101" s="52">
        <f>SUM($CK$97:$CK$100)</f>
        <v>8</v>
      </c>
      <c r="CL101" s="52">
        <f>SUM($CL$97:$CL$100)</f>
        <v>8</v>
      </c>
      <c r="CM101" s="52">
        <f>SUM($CM$97:$CM$100)</f>
        <v>2</v>
      </c>
      <c r="CN101" s="52">
        <f>SUM($CN$97:$CN$100)</f>
        <v>5</v>
      </c>
      <c r="CO101" s="52">
        <f>SUM($CG$101,$CH$101,$CI$101,$CJ$101,$CK$101,$CL$101,$CM$101,$CN$101)</f>
        <v>332</v>
      </c>
      <c r="CP101" s="52">
        <f>SUM($BY$101,$BZ$101,$CA$101,$CB$101,$CC$101,$CD$101,$CE$101,$CF$101)</f>
        <v>358</v>
      </c>
      <c r="CQ101" s="52">
        <f>SUM($CQ$97:$CQ$100)</f>
        <v>250</v>
      </c>
      <c r="CR101" s="52">
        <f>SUM($CR$97:$CR$100)</f>
        <v>18</v>
      </c>
      <c r="CS101" s="52">
        <f>SUM($CS$97:$CS$100)</f>
        <v>2</v>
      </c>
      <c r="CT101" s="52">
        <f>SUM($CT$97:$CT$100)</f>
        <v>0</v>
      </c>
      <c r="CU101" s="52">
        <f>SUM($CU$97:$CU$100)</f>
        <v>3</v>
      </c>
      <c r="CV101" s="52">
        <f>SUM($CV$97:$CV$100)</f>
        <v>28</v>
      </c>
      <c r="CW101" s="52">
        <f>SUM($CW$97:$CW$100)</f>
        <v>3</v>
      </c>
      <c r="CX101" s="52">
        <f>SUM($CX$97:$CX$100)</f>
        <v>0</v>
      </c>
      <c r="CY101" s="52">
        <f>SUM($CY$97:$CY$100)</f>
        <v>250</v>
      </c>
      <c r="CZ101" s="52">
        <f>SUM($CZ$97:$CZ$100)</f>
        <v>18</v>
      </c>
      <c r="DA101" s="52">
        <f>SUM($DA$97:$DA$100)</f>
        <v>3</v>
      </c>
      <c r="DB101" s="52">
        <f>SUM($DB$97:$DB$100)</f>
        <v>0</v>
      </c>
      <c r="DC101" s="52">
        <f>SUM($DC$97:$DC$100)</f>
        <v>6</v>
      </c>
      <c r="DD101" s="52">
        <f>SUM($DD$97:$DD$100)</f>
        <v>6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284</v>
      </c>
      <c r="DH101" s="52">
        <f>SUM($CQ$101,$CR$101,$CS$101,$CT$101,$CU$101,$CV$101,$CW$101,$CX$101)</f>
        <v>304</v>
      </c>
    </row>
    <row r="102" spans="1:112" ht="21" customHeight="1">
      <c r="A102" s="46">
        <v>44395.75</v>
      </c>
      <c r="B102" s="53" t="s">
        <v>103</v>
      </c>
      <c r="C102" s="54">
        <v>5</v>
      </c>
      <c r="D102" s="54">
        <v>1</v>
      </c>
      <c r="E102" s="54">
        <v>0</v>
      </c>
      <c r="F102" s="54">
        <v>0</v>
      </c>
      <c r="G102" s="54">
        <v>0</v>
      </c>
      <c r="H102" s="54">
        <v>4</v>
      </c>
      <c r="I102" s="54">
        <v>1</v>
      </c>
      <c r="J102" s="61">
        <v>0</v>
      </c>
      <c r="K102" s="62">
        <f>$C$102*VLOOKUP($C$11,'PCU Values'!$B$9:$C$16,2,FALSE)</f>
        <v>5</v>
      </c>
      <c r="L102" s="62">
        <f>$D$102*VLOOKUP($D$11,'PCU Values'!$B$9:$C$16,2,FALSE)</f>
        <v>1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0.8</v>
      </c>
      <c r="Q102" s="62">
        <f>$I$102*VLOOKUP($I$11,'PCU Values'!$B$9:$C$16,2,FALSE)</f>
        <v>0.4</v>
      </c>
      <c r="R102" s="70">
        <f>$J$102*VLOOKUP($J$11,'PCU Values'!$B$9:$C$16,2,FALSE)</f>
        <v>0</v>
      </c>
      <c r="S102" s="71">
        <f>SUM($K$102,$L$102,$M$102,$N$102,$O$102,$P$102,$Q$102,$R$102)</f>
        <v>7.2</v>
      </c>
      <c r="T102" s="52">
        <f>SUM($C$102,$D$102,$E$102,$F$102,$G$102,$H$102,$I$102,$J$102)</f>
        <v>11</v>
      </c>
      <c r="U102" s="72">
        <v>64</v>
      </c>
      <c r="V102" s="54">
        <v>2</v>
      </c>
      <c r="W102" s="54">
        <v>0</v>
      </c>
      <c r="X102" s="54">
        <v>0</v>
      </c>
      <c r="Y102" s="54">
        <v>1</v>
      </c>
      <c r="Z102" s="54">
        <v>10</v>
      </c>
      <c r="AA102" s="54">
        <v>3</v>
      </c>
      <c r="AB102" s="61">
        <v>0</v>
      </c>
      <c r="AC102" s="62">
        <f>$U$102*VLOOKUP($U$11,'PCU Values'!$B$9:$C$16,2,FALSE)</f>
        <v>64</v>
      </c>
      <c r="AD102" s="62">
        <f>$V$102*VLOOKUP($V$11,'PCU Values'!$B$9:$C$16,2,FALSE)</f>
        <v>2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2</v>
      </c>
      <c r="AI102" s="62">
        <f>$AA$102*VLOOKUP($AA$11,'PCU Values'!$B$9:$C$16,2,FALSE)</f>
        <v>1.2</v>
      </c>
      <c r="AJ102" s="70">
        <f>$AB$102*VLOOKUP($AB$11,'PCU Values'!$B$9:$C$16,2,FALSE)</f>
        <v>0</v>
      </c>
      <c r="AK102" s="71">
        <f>SUM($AC$102,$AD$102,$AE$102,$AF$102,$AG$102,$AH$102,$AI$102,$AJ$102)</f>
        <v>71.2</v>
      </c>
      <c r="AL102" s="52">
        <f>SUM($U$102,$V$102,$W$102,$X$102,$Y$102,$Z$102,$AA$102,$AB$102)</f>
        <v>80</v>
      </c>
      <c r="AM102" s="72">
        <v>7</v>
      </c>
      <c r="AN102" s="54">
        <v>0</v>
      </c>
      <c r="AO102" s="54">
        <v>0</v>
      </c>
      <c r="AP102" s="54">
        <v>0</v>
      </c>
      <c r="AQ102" s="54">
        <v>0</v>
      </c>
      <c r="AR102" s="54">
        <v>3</v>
      </c>
      <c r="AS102" s="54">
        <v>0</v>
      </c>
      <c r="AT102" s="61">
        <v>0</v>
      </c>
      <c r="AU102" s="62">
        <f>$AM$102*VLOOKUP($AM$11,'PCU Values'!$B$9:$C$16,2,FALSE)</f>
        <v>7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0.6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7.6</v>
      </c>
      <c r="BD102" s="52">
        <f>SUM($AM$102,$AN$102,$AO$102,$AP$102,$AQ$102,$AR$102,$AS$102,$AT$102)</f>
        <v>10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76</v>
      </c>
      <c r="BZ102" s="85">
        <f>SUM($D$102,$V$102,$AN$102,$BF$102)</f>
        <v>3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17</v>
      </c>
      <c r="CE102" s="85">
        <f>SUM($I$102,$AA$102,$AS$102,$BK$102)</f>
        <v>4</v>
      </c>
      <c r="CF102" s="88">
        <f>SUM($J$102,$AB$102,$AT$102,$BL$102)</f>
        <v>0</v>
      </c>
      <c r="CG102" s="81">
        <f>$BY$102*VLOOKUP($BY$11,'PCU Values'!$B$9:$C$16,2,FALSE)</f>
        <v>76</v>
      </c>
      <c r="CH102" s="81">
        <f>$BZ$102*VLOOKUP($BZ$11,'PCU Values'!$B$9:$C$16,2,FALSE)</f>
        <v>3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3.4</v>
      </c>
      <c r="CM102" s="81">
        <f>$CE$102*VLOOKUP($CE$11,'PCU Values'!$B$9:$C$16,2,FALSE)</f>
        <v>1.6</v>
      </c>
      <c r="CN102" s="82">
        <f>$CF$102*VLOOKUP($CF$11,'PCU Values'!$B$9:$C$16,2,FALSE)</f>
        <v>0</v>
      </c>
      <c r="CO102" s="71">
        <f>SUM($CG$102,$CH$102,$CI$102,$CJ$102,$CK$102,$CL$102,$CM$102,$CN$102)</f>
        <v>86</v>
      </c>
      <c r="CP102" s="52">
        <f>SUM($BY$102,$BZ$102,$CA$102,$CB$102,$CC$102,$CD$102,$CE$102,$CF$102)</f>
        <v>101</v>
      </c>
      <c r="CQ102" s="91">
        <f>SUM('J1 A - (North) Bishopthorpe Roa'!$BE$102,'J1 B - Butcher Terrace'!$AM$102,'J1 C - (South) Bishopthorpe Roa'!$U$102,'J1 D - South Bank Avenue'!$C$102)</f>
        <v>53</v>
      </c>
      <c r="CR102" s="85">
        <f>SUM('J1 A - (North) Bishopthorpe Roa'!$BF$102,'J1 B - Butcher Terrace'!$AN$102,'J1 C - (South) Bishopthorpe Roa'!$V$102,'J1 D - South Bank Avenue'!$D$102)</f>
        <v>2</v>
      </c>
      <c r="CS102" s="85">
        <f>SUM('J1 A - (North) Bishopthorpe Roa'!$BG$102,'J1 B - Butcher Terrace'!$AO$102,'J1 C - (South) Bishopthorpe Roa'!$W$102,'J1 D - South Bank Avenue'!$E$102)</f>
        <v>0</v>
      </c>
      <c r="CT102" s="85">
        <f>SUM('J1 A - (North) Bishopthorpe Roa'!$BH$102,'J1 B - Butcher Terrace'!$AP$102,'J1 C - (South) Bishopthorpe Roa'!$X$102,'J1 D - South Bank Avenue'!$F$102)</f>
        <v>0</v>
      </c>
      <c r="CU102" s="85">
        <f>SUM('J1 A - (North) Bishopthorpe Roa'!$BI$102,'J1 B - Butcher Terrace'!$AQ$102,'J1 C - (South) Bishopthorpe Roa'!$Y$102,'J1 D - South Bank Avenue'!$G$102)</f>
        <v>1</v>
      </c>
      <c r="CV102" s="85">
        <f>SUM('J1 A - (North) Bishopthorpe Roa'!$BJ$102,'J1 B - Butcher Terrace'!$AR$102,'J1 C - (South) Bishopthorpe Roa'!$Z$102,'J1 D - South Bank Avenue'!$H$102)</f>
        <v>8</v>
      </c>
      <c r="CW102" s="85">
        <f>SUM('J1 A - (North) Bishopthorpe Roa'!$BK$102,'J1 B - Butcher Terrace'!$AS$102,'J1 C - (South) Bishopthorpe Roa'!$AA$102,'J1 D - South Bank Avenue'!$I$102)</f>
        <v>3</v>
      </c>
      <c r="CX102" s="88">
        <f>SUM('J1 A - (North) Bishopthorpe Roa'!$BL$102,'J1 B - Butcher Terrace'!$AT$102,'J1 C - (South) Bishopthorpe Roa'!$AB$102,'J1 D - South Bank Avenue'!$J$102)</f>
        <v>0</v>
      </c>
      <c r="CY102" s="81">
        <f>$CQ$102*VLOOKUP($CQ$11,'PCU Values'!$B$9:$C$16,2,FALSE)</f>
        <v>53</v>
      </c>
      <c r="CZ102" s="81">
        <f>$CR$102*VLOOKUP($CR$11,'PCU Values'!$B$9:$C$16,2,FALSE)</f>
        <v>2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1.6</v>
      </c>
      <c r="DE102" s="81">
        <f>$CW$102*VLOOKUP($CW$11,'PCU Values'!$B$9:$C$16,2,FALSE)</f>
        <v>1.2</v>
      </c>
      <c r="DF102" s="82">
        <f>$CX$102*VLOOKUP($CX$11,'PCU Values'!$B$9:$C$16,2,FALSE)</f>
        <v>0</v>
      </c>
      <c r="DG102" s="71">
        <f>SUM($CY$102,$CZ$102,$DA$102,$DB$102,$DC$102,$DD$102,$DE$102,$DF$102)</f>
        <v>59.8</v>
      </c>
      <c r="DH102" s="52">
        <f>SUM($CQ$102,$CR$102,$CS$102,$CT$102,$CU$102,$CV$102,$CW$102,$CX$102)</f>
        <v>67</v>
      </c>
    </row>
    <row r="103" spans="1:112" ht="21" customHeight="1">
      <c r="A103" s="46">
        <v>44395.760416666701</v>
      </c>
      <c r="B103" s="47" t="s">
        <v>104</v>
      </c>
      <c r="C103" s="48">
        <v>5</v>
      </c>
      <c r="D103" s="48">
        <v>0</v>
      </c>
      <c r="E103" s="48">
        <v>0</v>
      </c>
      <c r="F103" s="48">
        <v>0</v>
      </c>
      <c r="G103" s="48">
        <v>0</v>
      </c>
      <c r="H103" s="48">
        <v>3</v>
      </c>
      <c r="I103" s="48">
        <v>0</v>
      </c>
      <c r="J103" s="56">
        <v>0</v>
      </c>
      <c r="K103" s="57">
        <f>$C$103*VLOOKUP($C$11,'PCU Values'!$B$9:$C$16,2,FALSE)</f>
        <v>5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0.6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5.6</v>
      </c>
      <c r="T103" s="52">
        <f>SUM($C$103,$D$103,$E$103,$F$103,$G$103,$H$103,$I$103,$J$103)</f>
        <v>8</v>
      </c>
      <c r="U103" s="67">
        <v>50</v>
      </c>
      <c r="V103" s="48">
        <v>2</v>
      </c>
      <c r="W103" s="48">
        <v>0</v>
      </c>
      <c r="X103" s="48">
        <v>0</v>
      </c>
      <c r="Y103" s="48">
        <v>0</v>
      </c>
      <c r="Z103" s="48">
        <v>11</v>
      </c>
      <c r="AA103" s="48">
        <v>1</v>
      </c>
      <c r="AB103" s="56">
        <v>0</v>
      </c>
      <c r="AC103" s="57">
        <f>$U$103*VLOOKUP($U$11,'PCU Values'!$B$9:$C$16,2,FALSE)</f>
        <v>50</v>
      </c>
      <c r="AD103" s="57">
        <f>$V$103*VLOOKUP($V$11,'PCU Values'!$B$9:$C$16,2,FALSE)</f>
        <v>2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2.2000000000000002</v>
      </c>
      <c r="AI103" s="57">
        <f>$AA$103*VLOOKUP($AA$11,'PCU Values'!$B$9:$C$16,2,FALSE)</f>
        <v>0.4</v>
      </c>
      <c r="AJ103" s="65">
        <f>$AB$103*VLOOKUP($AB$11,'PCU Values'!$B$9:$C$16,2,FALSE)</f>
        <v>0</v>
      </c>
      <c r="AK103" s="66">
        <f>SUM($AC$103,$AD$103,$AE$103,$AF$103,$AG$103,$AH$103,$AI$103,$AJ$103)</f>
        <v>54.6</v>
      </c>
      <c r="AL103" s="52">
        <f>SUM($U$103,$V$103,$W$103,$X$103,$Y$103,$Z$103,$AA$103,$AB$103)</f>
        <v>64</v>
      </c>
      <c r="AM103" s="67">
        <v>7</v>
      </c>
      <c r="AN103" s="48">
        <v>1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56">
        <v>0</v>
      </c>
      <c r="AU103" s="57">
        <f>$AM$103*VLOOKUP($AM$11,'PCU Values'!$B$9:$C$16,2,FALSE)</f>
        <v>7</v>
      </c>
      <c r="AV103" s="57">
        <f>$AN$103*VLOOKUP($AN$11,'PCU Values'!$B$9:$C$16,2,FALSE)</f>
        <v>1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8</v>
      </c>
      <c r="BD103" s="52">
        <f>SUM($AM$103,$AN$103,$AO$103,$AP$103,$AQ$103,$AR$103,$AS$103,$AT$103)</f>
        <v>8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62</v>
      </c>
      <c r="BZ103" s="83">
        <f>SUM($D$103,$V$103,$AN$103,$BF$103)</f>
        <v>3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14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62</v>
      </c>
      <c r="CH103" s="77">
        <f>$BZ$103*VLOOKUP($BZ$11,'PCU Values'!$B$9:$C$16,2,FALSE)</f>
        <v>3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2.8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68.2</v>
      </c>
      <c r="CP103" s="52">
        <f>SUM($BY$103,$BZ$103,$CA$103,$CB$103,$CC$103,$CD$103,$CE$103,$CF$103)</f>
        <v>80</v>
      </c>
      <c r="CQ103" s="89">
        <f>SUM('J1 A - (North) Bishopthorpe Roa'!$BE$103,'J1 B - Butcher Terrace'!$AM$103,'J1 C - (South) Bishopthorpe Roa'!$U$103,'J1 D - South Bank Avenue'!$C$103)</f>
        <v>50</v>
      </c>
      <c r="CR103" s="83">
        <f>SUM('J1 A - (North) Bishopthorpe Roa'!$BF$103,'J1 B - Butcher Terrace'!$AN$103,'J1 C - (South) Bishopthorpe Roa'!$V$103,'J1 D - South Bank Avenue'!$D$103)</f>
        <v>1</v>
      </c>
      <c r="CS103" s="83">
        <f>SUM('J1 A - (North) Bishopthorpe Roa'!$BG$103,'J1 B - Butcher Terrace'!$AO$103,'J1 C - (South) Bishopthorpe Roa'!$W$103,'J1 D - South Bank Avenue'!$E$103)</f>
        <v>0</v>
      </c>
      <c r="CT103" s="83">
        <f>SUM('J1 A - (North) Bishopthorpe Roa'!$BH$103,'J1 B - Butcher Terrace'!$AP$103,'J1 C - (South) Bishopthorpe Roa'!$X$103,'J1 D - South Bank Avenue'!$F$103)</f>
        <v>0</v>
      </c>
      <c r="CU103" s="83">
        <f>SUM('J1 A - (North) Bishopthorpe Roa'!$BI$103,'J1 B - Butcher Terrace'!$AQ$103,'J1 C - (South) Bishopthorpe Roa'!$Y$103,'J1 D - South Bank Avenue'!$G$103)</f>
        <v>0</v>
      </c>
      <c r="CV103" s="83">
        <f>SUM('J1 A - (North) Bishopthorpe Roa'!$BJ$103,'J1 B - Butcher Terrace'!$AR$103,'J1 C - (South) Bishopthorpe Roa'!$Z$103,'J1 D - South Bank Avenue'!$H$103)</f>
        <v>2</v>
      </c>
      <c r="CW103" s="83">
        <f>SUM('J1 A - (North) Bishopthorpe Roa'!$BK$103,'J1 B - Butcher Terrace'!$AS$103,'J1 C - (South) Bishopthorpe Roa'!$AA$103,'J1 D - South Bank Avenue'!$I$103)</f>
        <v>1</v>
      </c>
      <c r="CX103" s="86">
        <f>SUM('J1 A - (North) Bishopthorpe Roa'!$BL$103,'J1 B - Butcher Terrace'!$AT$103,'J1 C - (South) Bishopthorpe Roa'!$AB$103,'J1 D - South Bank Avenue'!$J$103)</f>
        <v>0</v>
      </c>
      <c r="CY103" s="77">
        <f>$CQ$103*VLOOKUP($CQ$11,'PCU Values'!$B$9:$C$16,2,FALSE)</f>
        <v>50</v>
      </c>
      <c r="CZ103" s="77">
        <f>$CR$103*VLOOKUP($CR$11,'PCU Values'!$B$9:$C$16,2,FALSE)</f>
        <v>1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0.4</v>
      </c>
      <c r="DE103" s="77">
        <f>$CW$103*VLOOKUP($CW$11,'PCU Values'!$B$9:$C$16,2,FALSE)</f>
        <v>0.4</v>
      </c>
      <c r="DF103" s="78">
        <f>$CX$103*VLOOKUP($CX$11,'PCU Values'!$B$9:$C$16,2,FALSE)</f>
        <v>0</v>
      </c>
      <c r="DG103" s="66">
        <f>SUM($CY$103,$CZ$103,$DA$103,$DB$103,$DC$103,$DD$103,$DE$103,$DF$103)</f>
        <v>51.8</v>
      </c>
      <c r="DH103" s="52">
        <f>SUM($CQ$103,$CR$103,$CS$103,$CT$103,$CU$103,$CV$103,$CW$103,$CX$103)</f>
        <v>54</v>
      </c>
    </row>
    <row r="104" spans="1:112" ht="21" customHeight="1">
      <c r="A104" s="46">
        <v>44395.770833333299</v>
      </c>
      <c r="B104" s="47" t="s">
        <v>105</v>
      </c>
      <c r="C104" s="49">
        <v>2</v>
      </c>
      <c r="D104" s="49">
        <v>1</v>
      </c>
      <c r="E104" s="49">
        <v>0</v>
      </c>
      <c r="F104" s="49">
        <v>0</v>
      </c>
      <c r="G104" s="49">
        <v>0</v>
      </c>
      <c r="H104" s="49">
        <v>5</v>
      </c>
      <c r="I104" s="49">
        <v>0</v>
      </c>
      <c r="J104" s="58">
        <v>0</v>
      </c>
      <c r="K104" s="57">
        <f>$C$104*VLOOKUP($C$11,'PCU Values'!$B$9:$C$16,2,FALSE)</f>
        <v>2</v>
      </c>
      <c r="L104" s="57">
        <f>$D$104*VLOOKUP($D$11,'PCU Values'!$B$9:$C$16,2,FALSE)</f>
        <v>1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1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4</v>
      </c>
      <c r="T104" s="52">
        <f>SUM($C$104,$D$104,$E$104,$F$104,$G$104,$H$104,$I$104,$J$104)</f>
        <v>8</v>
      </c>
      <c r="U104" s="49">
        <v>49</v>
      </c>
      <c r="V104" s="49">
        <v>4</v>
      </c>
      <c r="W104" s="49">
        <v>1</v>
      </c>
      <c r="X104" s="49">
        <v>0</v>
      </c>
      <c r="Y104" s="49">
        <v>3</v>
      </c>
      <c r="Z104" s="49">
        <v>5</v>
      </c>
      <c r="AA104" s="49">
        <v>1</v>
      </c>
      <c r="AB104" s="58">
        <v>0</v>
      </c>
      <c r="AC104" s="57">
        <f>$U$104*VLOOKUP($U$11,'PCU Values'!$B$9:$C$16,2,FALSE)</f>
        <v>49</v>
      </c>
      <c r="AD104" s="57">
        <f>$V$104*VLOOKUP($V$11,'PCU Values'!$B$9:$C$16,2,FALSE)</f>
        <v>4</v>
      </c>
      <c r="AE104" s="57">
        <f>$W$104*VLOOKUP($W$11,'PCU Values'!$B$9:$C$16,2,FALSE)</f>
        <v>1.5</v>
      </c>
      <c r="AF104" s="57">
        <f>$X$104*VLOOKUP($X$11,'PCU Values'!$B$9:$C$16,2,FALSE)</f>
        <v>0</v>
      </c>
      <c r="AG104" s="57">
        <f>$Y$104*VLOOKUP($Y$11,'PCU Values'!$B$9:$C$16,2,FALSE)</f>
        <v>6</v>
      </c>
      <c r="AH104" s="57">
        <f>$Z$104*VLOOKUP($Z$11,'PCU Values'!$B$9:$C$16,2,FALSE)</f>
        <v>1</v>
      </c>
      <c r="AI104" s="57">
        <f>$AA$104*VLOOKUP($AA$11,'PCU Values'!$B$9:$C$16,2,FALSE)</f>
        <v>0.4</v>
      </c>
      <c r="AJ104" s="65">
        <f>$AB$104*VLOOKUP($AB$11,'PCU Values'!$B$9:$C$16,2,FALSE)</f>
        <v>0</v>
      </c>
      <c r="AK104" s="66">
        <f>SUM($AC$104,$AD$104,$AE$104,$AF$104,$AG$104,$AH$104,$AI$104,$AJ$104)</f>
        <v>61.9</v>
      </c>
      <c r="AL104" s="52">
        <f>SUM($U$104,$V$104,$W$104,$X$104,$Y$104,$Z$104,$AA$104,$AB$104)</f>
        <v>63</v>
      </c>
      <c r="AM104" s="49">
        <v>11</v>
      </c>
      <c r="AN104" s="49">
        <v>1</v>
      </c>
      <c r="AO104" s="49">
        <v>0</v>
      </c>
      <c r="AP104" s="49">
        <v>0</v>
      </c>
      <c r="AQ104" s="49">
        <v>0</v>
      </c>
      <c r="AR104" s="49">
        <v>2</v>
      </c>
      <c r="AS104" s="49">
        <v>0</v>
      </c>
      <c r="AT104" s="58">
        <v>0</v>
      </c>
      <c r="AU104" s="57">
        <f>$AM$104*VLOOKUP($AM$11,'PCU Values'!$B$9:$C$16,2,FALSE)</f>
        <v>11</v>
      </c>
      <c r="AV104" s="57">
        <f>$AN$104*VLOOKUP($AN$11,'PCU Values'!$B$9:$C$16,2,FALSE)</f>
        <v>1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0.4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12.4</v>
      </c>
      <c r="BD104" s="52">
        <f>SUM($AM$104,$AN$104,$AO$104,$AP$104,$AQ$104,$AR$104,$AS$104,$AT$104)</f>
        <v>14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62</v>
      </c>
      <c r="BZ104" s="83">
        <f>SUM($D$104,$V$104,$AN$104,$BF$104)</f>
        <v>6</v>
      </c>
      <c r="CA104" s="83">
        <f>SUM($E$104,$W$104,$AO$104,$BG$104)</f>
        <v>1</v>
      </c>
      <c r="CB104" s="83">
        <f>SUM($F$104,$X$104,$AP$104,$BH$104)</f>
        <v>0</v>
      </c>
      <c r="CC104" s="83">
        <f>SUM($G$104,$Y$104,$AQ$104,$BI$104)</f>
        <v>3</v>
      </c>
      <c r="CD104" s="83">
        <f>SUM($H$104,$Z$104,$AR$104,$BJ$104)</f>
        <v>12</v>
      </c>
      <c r="CE104" s="83">
        <f>SUM($I$104,$AA$104,$AS$104,$BK$104)</f>
        <v>1</v>
      </c>
      <c r="CF104" s="86">
        <f>SUM($J$104,$AB$104,$AT$104,$BL$104)</f>
        <v>0</v>
      </c>
      <c r="CG104" s="77">
        <f>$BY$104*VLOOKUP($BY$11,'PCU Values'!$B$9:$C$16,2,FALSE)</f>
        <v>62</v>
      </c>
      <c r="CH104" s="77">
        <f>$BZ$104*VLOOKUP($BZ$11,'PCU Values'!$B$9:$C$16,2,FALSE)</f>
        <v>6</v>
      </c>
      <c r="CI104" s="77">
        <f>$CA$104*VLOOKUP($CA$11,'PCU Values'!$B$9:$C$16,2,FALSE)</f>
        <v>1.5</v>
      </c>
      <c r="CJ104" s="77">
        <f>$CB$104*VLOOKUP($CB$11,'PCU Values'!$B$9:$C$16,2,FALSE)</f>
        <v>0</v>
      </c>
      <c r="CK104" s="77">
        <f>$CC$104*VLOOKUP($CC$11,'PCU Values'!$B$9:$C$16,2,FALSE)</f>
        <v>6</v>
      </c>
      <c r="CL104" s="77">
        <f>$CD$104*VLOOKUP($CD$11,'PCU Values'!$B$9:$C$16,2,FALSE)</f>
        <v>2.4</v>
      </c>
      <c r="CM104" s="77">
        <f>$CE$104*VLOOKUP($CE$11,'PCU Values'!$B$9:$C$16,2,FALSE)</f>
        <v>0.4</v>
      </c>
      <c r="CN104" s="78">
        <f>$CF$104*VLOOKUP($CF$11,'PCU Values'!$B$9:$C$16,2,FALSE)</f>
        <v>0</v>
      </c>
      <c r="CO104" s="66">
        <f>SUM($CG$104,$CH$104,$CI$104,$CJ$104,$CK$104,$CL$104,$CM$104,$CN$104)</f>
        <v>78.3</v>
      </c>
      <c r="CP104" s="52">
        <f>SUM($BY$104,$BZ$104,$CA$104,$CB$104,$CC$104,$CD$104,$CE$104,$CF$104)</f>
        <v>85</v>
      </c>
      <c r="CQ104" s="89">
        <f>SUM('J1 A - (North) Bishopthorpe Roa'!$BE$104,'J1 B - Butcher Terrace'!$AM$104,'J1 C - (South) Bishopthorpe Roa'!$U$104,'J1 D - South Bank Avenue'!$C$104)</f>
        <v>59</v>
      </c>
      <c r="CR104" s="83">
        <f>SUM('J1 A - (North) Bishopthorpe Roa'!$BF$104,'J1 B - Butcher Terrace'!$AN$104,'J1 C - (South) Bishopthorpe Roa'!$V$104,'J1 D - South Bank Avenue'!$D$104)</f>
        <v>1</v>
      </c>
      <c r="CS104" s="83">
        <f>SUM('J1 A - (North) Bishopthorpe Roa'!$BG$104,'J1 B - Butcher Terrace'!$AO$104,'J1 C - (South) Bishopthorpe Roa'!$W$104,'J1 D - South Bank Avenue'!$E$104)</f>
        <v>0</v>
      </c>
      <c r="CT104" s="83">
        <f>SUM('J1 A - (North) Bishopthorpe Roa'!$BH$104,'J1 B - Butcher Terrace'!$AP$104,'J1 C - (South) Bishopthorpe Roa'!$X$104,'J1 D - South Bank Avenue'!$F$104)</f>
        <v>0</v>
      </c>
      <c r="CU104" s="83">
        <f>SUM('J1 A - (North) Bishopthorpe Roa'!$BI$104,'J1 B - Butcher Terrace'!$AQ$104,'J1 C - (South) Bishopthorpe Roa'!$Y$104,'J1 D - South Bank Avenue'!$G$104)</f>
        <v>1</v>
      </c>
      <c r="CV104" s="83">
        <f>SUM('J1 A - (North) Bishopthorpe Roa'!$BJ$104,'J1 B - Butcher Terrace'!$AR$104,'J1 C - (South) Bishopthorpe Roa'!$Z$104,'J1 D - South Bank Avenue'!$H$104)</f>
        <v>5</v>
      </c>
      <c r="CW104" s="83">
        <f>SUM('J1 A - (North) Bishopthorpe Roa'!$BK$104,'J1 B - Butcher Terrace'!$AS$104,'J1 C - (South) Bishopthorpe Roa'!$AA$104,'J1 D - South Bank Avenue'!$I$104)</f>
        <v>2</v>
      </c>
      <c r="CX104" s="86">
        <f>SUM('J1 A - (North) Bishopthorpe Roa'!$BL$104,'J1 B - Butcher Terrace'!$AT$104,'J1 C - (South) Bishopthorpe Roa'!$AB$104,'J1 D - South Bank Avenue'!$J$104)</f>
        <v>0</v>
      </c>
      <c r="CY104" s="77">
        <f>$CQ$104*VLOOKUP($CQ$11,'PCU Values'!$B$9:$C$16,2,FALSE)</f>
        <v>59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2</v>
      </c>
      <c r="DD104" s="77">
        <f>$CV$104*VLOOKUP($CV$11,'PCU Values'!$B$9:$C$16,2,FALSE)</f>
        <v>1</v>
      </c>
      <c r="DE104" s="77">
        <f>$CW$104*VLOOKUP($CW$11,'PCU Values'!$B$9:$C$16,2,FALSE)</f>
        <v>0.8</v>
      </c>
      <c r="DF104" s="78">
        <f>$CX$104*VLOOKUP($CX$11,'PCU Values'!$B$9:$C$16,2,FALSE)</f>
        <v>0</v>
      </c>
      <c r="DG104" s="66">
        <f>SUM($CY$104,$CZ$104,$DA$104,$DB$104,$DC$104,$DD$104,$DE$104,$DF$104)</f>
        <v>63.8</v>
      </c>
      <c r="DH104" s="52">
        <f>SUM($CQ$104,$CR$104,$CS$104,$CT$104,$CU$104,$CV$104,$CW$104,$CX$104)</f>
        <v>68</v>
      </c>
    </row>
    <row r="105" spans="1:112" ht="21" customHeight="1">
      <c r="A105" s="46">
        <v>44395.78125</v>
      </c>
      <c r="B105" s="50" t="s">
        <v>106</v>
      </c>
      <c r="C105" s="51">
        <v>7</v>
      </c>
      <c r="D105" s="51">
        <v>0</v>
      </c>
      <c r="E105" s="51">
        <v>0</v>
      </c>
      <c r="F105" s="51">
        <v>0</v>
      </c>
      <c r="G105" s="51">
        <v>0</v>
      </c>
      <c r="H105" s="51">
        <v>1</v>
      </c>
      <c r="I105" s="51">
        <v>0</v>
      </c>
      <c r="J105" s="59">
        <v>0</v>
      </c>
      <c r="K105" s="60">
        <f>$C$105*VLOOKUP($C$11,'PCU Values'!$B$9:$C$16,2,FALSE)</f>
        <v>7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7.2</v>
      </c>
      <c r="T105" s="52">
        <f>SUM($C$105,$D$105,$E$105,$F$105,$G$105,$H$105,$I$105,$J$105)</f>
        <v>8</v>
      </c>
      <c r="U105" s="73">
        <v>51</v>
      </c>
      <c r="V105" s="51">
        <v>2</v>
      </c>
      <c r="W105" s="51">
        <v>0</v>
      </c>
      <c r="X105" s="51">
        <v>0</v>
      </c>
      <c r="Y105" s="51">
        <v>0</v>
      </c>
      <c r="Z105" s="51">
        <v>3</v>
      </c>
      <c r="AA105" s="51">
        <v>2</v>
      </c>
      <c r="AB105" s="59">
        <v>0</v>
      </c>
      <c r="AC105" s="60">
        <f>$U$105*VLOOKUP($U$11,'PCU Values'!$B$9:$C$16,2,FALSE)</f>
        <v>51</v>
      </c>
      <c r="AD105" s="60">
        <f>$V$105*VLOOKUP($V$11,'PCU Values'!$B$9:$C$16,2,FALSE)</f>
        <v>2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0.6</v>
      </c>
      <c r="AI105" s="60">
        <f>$AA$105*VLOOKUP($AA$11,'PCU Values'!$B$9:$C$16,2,FALSE)</f>
        <v>0.8</v>
      </c>
      <c r="AJ105" s="68">
        <f>$AB$105*VLOOKUP($AB$11,'PCU Values'!$B$9:$C$16,2,FALSE)</f>
        <v>0</v>
      </c>
      <c r="AK105" s="63">
        <f>SUM($AC$105,$AD$105,$AE$105,$AF$105,$AG$105,$AH$105,$AI$105,$AJ$105)</f>
        <v>54.4</v>
      </c>
      <c r="AL105" s="52">
        <f>SUM($U$105,$V$105,$W$105,$X$105,$Y$105,$Z$105,$AA$105,$AB$105)</f>
        <v>58</v>
      </c>
      <c r="AM105" s="73">
        <v>6</v>
      </c>
      <c r="AN105" s="51">
        <v>0</v>
      </c>
      <c r="AO105" s="51">
        <v>0</v>
      </c>
      <c r="AP105" s="51">
        <v>0</v>
      </c>
      <c r="AQ105" s="51">
        <v>0</v>
      </c>
      <c r="AR105" s="51">
        <v>1</v>
      </c>
      <c r="AS105" s="51">
        <v>1</v>
      </c>
      <c r="AT105" s="59">
        <v>0</v>
      </c>
      <c r="AU105" s="60">
        <f>$AM$105*VLOOKUP($AM$11,'PCU Values'!$B$9:$C$16,2,FALSE)</f>
        <v>6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0.2</v>
      </c>
      <c r="BA105" s="60">
        <f>$AS$105*VLOOKUP($AS$11,'PCU Values'!$B$9:$C$16,2,FALSE)</f>
        <v>0.4</v>
      </c>
      <c r="BB105" s="68">
        <f>$AT$105*VLOOKUP($AT$11,'PCU Values'!$B$9:$C$16,2,FALSE)</f>
        <v>0</v>
      </c>
      <c r="BC105" s="63">
        <f>SUM($AU$105,$AV$105,$AW$105,$AX$105,$AY$105,$AZ$105,$BA$105,$BB$105)</f>
        <v>6.6</v>
      </c>
      <c r="BD105" s="52">
        <f>SUM($AM$105,$AN$105,$AO$105,$AP$105,$AQ$105,$AR$105,$AS$105,$AT$105)</f>
        <v>8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64</v>
      </c>
      <c r="BZ105" s="84">
        <f>SUM($D$105,$V$105,$AN$105,$BF$105)</f>
        <v>2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5</v>
      </c>
      <c r="CE105" s="84">
        <f>SUM($I$105,$AA$105,$AS$105,$BK$105)</f>
        <v>3</v>
      </c>
      <c r="CF105" s="87">
        <f>SUM($J$105,$AB$105,$AT$105,$BL$105)</f>
        <v>0</v>
      </c>
      <c r="CG105" s="79">
        <f>$BY$105*VLOOKUP($BY$11,'PCU Values'!$B$9:$C$16,2,FALSE)</f>
        <v>64</v>
      </c>
      <c r="CH105" s="79">
        <f>$BZ$105*VLOOKUP($BZ$11,'PCU Values'!$B$9:$C$16,2,FALSE)</f>
        <v>2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1</v>
      </c>
      <c r="CM105" s="79">
        <f>$CE$105*VLOOKUP($CE$11,'PCU Values'!$B$9:$C$16,2,FALSE)</f>
        <v>1.2</v>
      </c>
      <c r="CN105" s="80">
        <f>$CF$105*VLOOKUP($CF$11,'PCU Values'!$B$9:$C$16,2,FALSE)</f>
        <v>0</v>
      </c>
      <c r="CO105" s="63">
        <f>SUM($CG$105,$CH$105,$CI$105,$CJ$105,$CK$105,$CL$105,$CM$105,$CN$105)</f>
        <v>68.2</v>
      </c>
      <c r="CP105" s="52">
        <f>SUM($BY$105,$BZ$105,$CA$105,$CB$105,$CC$105,$CD$105,$CE$105,$CF$105)</f>
        <v>74</v>
      </c>
      <c r="CQ105" s="90">
        <f>SUM('J1 A - (North) Bishopthorpe Roa'!$BE$105,'J1 B - Butcher Terrace'!$AM$105,'J1 C - (South) Bishopthorpe Roa'!$U$105,'J1 D - South Bank Avenue'!$C$105)</f>
        <v>50</v>
      </c>
      <c r="CR105" s="84">
        <f>SUM('J1 A - (North) Bishopthorpe Roa'!$BF$105,'J1 B - Butcher Terrace'!$AN$105,'J1 C - (South) Bishopthorpe Roa'!$V$105,'J1 D - South Bank Avenue'!$D$105)</f>
        <v>2</v>
      </c>
      <c r="CS105" s="84">
        <f>SUM('J1 A - (North) Bishopthorpe Roa'!$BG$105,'J1 B - Butcher Terrace'!$AO$105,'J1 C - (South) Bishopthorpe Roa'!$W$105,'J1 D - South Bank Avenue'!$E$105)</f>
        <v>0</v>
      </c>
      <c r="CT105" s="84">
        <f>SUM('J1 A - (North) Bishopthorpe Roa'!$BH$105,'J1 B - Butcher Terrace'!$AP$105,'J1 C - (South) Bishopthorpe Roa'!$X$105,'J1 D - South Bank Avenue'!$F$105)</f>
        <v>0</v>
      </c>
      <c r="CU105" s="84">
        <f>SUM('J1 A - (North) Bishopthorpe Roa'!$BI$105,'J1 B - Butcher Terrace'!$AQ$105,'J1 C - (South) Bishopthorpe Roa'!$Y$105,'J1 D - South Bank Avenue'!$G$105)</f>
        <v>1</v>
      </c>
      <c r="CV105" s="84">
        <f>SUM('J1 A - (North) Bishopthorpe Roa'!$BJ$105,'J1 B - Butcher Terrace'!$AR$105,'J1 C - (South) Bishopthorpe Roa'!$Z$105,'J1 D - South Bank Avenue'!$H$105)</f>
        <v>8</v>
      </c>
      <c r="CW105" s="84">
        <f>SUM('J1 A - (North) Bishopthorpe Roa'!$BK$105,'J1 B - Butcher Terrace'!$AS$105,'J1 C - (South) Bishopthorpe Roa'!$AA$105,'J1 D - South Bank Avenue'!$I$105)</f>
        <v>0</v>
      </c>
      <c r="CX105" s="87">
        <f>SUM('J1 A - (North) Bishopthorpe Roa'!$BL$105,'J1 B - Butcher Terrace'!$AT$105,'J1 C - (South) Bishopthorpe Roa'!$AB$105,'J1 D - South Bank Avenue'!$J$105)</f>
        <v>0</v>
      </c>
      <c r="CY105" s="79">
        <f>$CQ$105*VLOOKUP($CQ$11,'PCU Values'!$B$9:$C$16,2,FALSE)</f>
        <v>50</v>
      </c>
      <c r="CZ105" s="79">
        <f>$CR$105*VLOOKUP($CR$11,'PCU Values'!$B$9:$C$16,2,FALSE)</f>
        <v>2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2</v>
      </c>
      <c r="DD105" s="79">
        <f>$CV$105*VLOOKUP($CV$11,'PCU Values'!$B$9:$C$16,2,FALSE)</f>
        <v>1.6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55.6</v>
      </c>
      <c r="DH105" s="52">
        <f>SUM($CQ$105,$CR$105,$CS$105,$CT$105,$CU$105,$CV$105,$CW$105,$CX$105)</f>
        <v>61</v>
      </c>
    </row>
    <row r="106" spans="1:112">
      <c r="B106" s="52" t="s">
        <v>34</v>
      </c>
      <c r="C106" s="52">
        <f>SUM($C$102:$C$105)</f>
        <v>19</v>
      </c>
      <c r="D106" s="52">
        <f>SUM($D$102:$D$105)</f>
        <v>2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13</v>
      </c>
      <c r="I106" s="52">
        <f>SUM($I$102:$I$105)</f>
        <v>1</v>
      </c>
      <c r="J106" s="52">
        <f>SUM($J$102:$J$105)</f>
        <v>0</v>
      </c>
      <c r="K106" s="52">
        <f>SUM($K$102:$K$105)</f>
        <v>19</v>
      </c>
      <c r="L106" s="52">
        <f>SUM($L$102:$L$105)</f>
        <v>2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3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24</v>
      </c>
      <c r="T106" s="52">
        <f>SUM($C$106,$D$106,$E$106,$F$106,$G$106,$H$106,$I$106,$J$106)</f>
        <v>35</v>
      </c>
      <c r="U106" s="52">
        <f>SUM($U$102:$U$105)</f>
        <v>214</v>
      </c>
      <c r="V106" s="52">
        <f>SUM($V$102:$V$105)</f>
        <v>10</v>
      </c>
      <c r="W106" s="52">
        <f>SUM($W$102:$W$105)</f>
        <v>1</v>
      </c>
      <c r="X106" s="52">
        <f>SUM($X$102:$X$105)</f>
        <v>0</v>
      </c>
      <c r="Y106" s="52">
        <f>SUM($Y$102:$Y$105)</f>
        <v>4</v>
      </c>
      <c r="Z106" s="52">
        <f>SUM($Z$102:$Z$105)</f>
        <v>29</v>
      </c>
      <c r="AA106" s="52">
        <f>SUM($AA$102:$AA$105)</f>
        <v>7</v>
      </c>
      <c r="AB106" s="52">
        <f>SUM($AB$102:$AB$105)</f>
        <v>0</v>
      </c>
      <c r="AC106" s="52">
        <f>SUM($AC$102:$AC$105)</f>
        <v>214</v>
      </c>
      <c r="AD106" s="52">
        <f>SUM($AD$102:$AD$105)</f>
        <v>10</v>
      </c>
      <c r="AE106" s="52">
        <f>SUM($AE$102:$AE$105)</f>
        <v>2</v>
      </c>
      <c r="AF106" s="52">
        <f>SUM($AF$102:$AF$105)</f>
        <v>0</v>
      </c>
      <c r="AG106" s="52">
        <f>SUM($AG$102:$AG$105)</f>
        <v>8</v>
      </c>
      <c r="AH106" s="52">
        <f>SUM($AH$102:$AH$105)</f>
        <v>6</v>
      </c>
      <c r="AI106" s="52">
        <f>SUM($AI$102:$AI$105)</f>
        <v>3</v>
      </c>
      <c r="AJ106" s="52">
        <f>SUM($AJ$102:$AJ$105)</f>
        <v>0</v>
      </c>
      <c r="AK106" s="52">
        <f>SUM($AC$106,$AD$106,$AE$106,$AF$106,$AG$106,$AH$106,$AI$106,$AJ$106)</f>
        <v>243</v>
      </c>
      <c r="AL106" s="52">
        <f>SUM($U$106,$V$106,$W$106,$X$106,$Y$106,$Z$106,$AA$106,$AB$106)</f>
        <v>265</v>
      </c>
      <c r="AM106" s="52">
        <f>SUM($AM$102:$AM$105)</f>
        <v>31</v>
      </c>
      <c r="AN106" s="52">
        <f>SUM($AN$102:$AN$105)</f>
        <v>2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6</v>
      </c>
      <c r="AS106" s="52">
        <f>SUM($AS$102:$AS$105)</f>
        <v>1</v>
      </c>
      <c r="AT106" s="52">
        <f>SUM($AT$102:$AT$105)</f>
        <v>0</v>
      </c>
      <c r="AU106" s="52">
        <f>SUM($AU$102:$AU$105)</f>
        <v>31</v>
      </c>
      <c r="AV106" s="52">
        <f>SUM($AV$102:$AV$105)</f>
        <v>2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1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34</v>
      </c>
      <c r="BD106" s="52">
        <f>SUM($AM$106,$AN$106,$AO$106,$AP$106,$AQ$106,$AR$106,$AS$106,$AT$106)</f>
        <v>40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264</v>
      </c>
      <c r="BZ106" s="52">
        <f>SUM($BZ$102:$BZ$105)</f>
        <v>14</v>
      </c>
      <c r="CA106" s="52">
        <f>SUM($CA$102:$CA$105)</f>
        <v>1</v>
      </c>
      <c r="CB106" s="52">
        <f>SUM($CB$102:$CB$105)</f>
        <v>0</v>
      </c>
      <c r="CC106" s="52">
        <f>SUM($CC$102:$CC$105)</f>
        <v>4</v>
      </c>
      <c r="CD106" s="52">
        <f>SUM($CD$102:$CD$105)</f>
        <v>48</v>
      </c>
      <c r="CE106" s="52">
        <f>SUM($CE$102:$CE$105)</f>
        <v>9</v>
      </c>
      <c r="CF106" s="52">
        <f>SUM($CF$102:$CF$105)</f>
        <v>0</v>
      </c>
      <c r="CG106" s="52">
        <f>SUM($CG$102:$CG$105)</f>
        <v>264</v>
      </c>
      <c r="CH106" s="52">
        <f>SUM($CH$102:$CH$105)</f>
        <v>14</v>
      </c>
      <c r="CI106" s="52">
        <f>SUM($CI$102:$CI$105)</f>
        <v>2</v>
      </c>
      <c r="CJ106" s="52">
        <f>SUM($CJ$102:$CJ$105)</f>
        <v>0</v>
      </c>
      <c r="CK106" s="52">
        <f>SUM($CK$102:$CK$105)</f>
        <v>8</v>
      </c>
      <c r="CL106" s="52">
        <f>SUM($CL$102:$CL$105)</f>
        <v>10</v>
      </c>
      <c r="CM106" s="52">
        <f>SUM($CM$102:$CM$105)</f>
        <v>4</v>
      </c>
      <c r="CN106" s="52">
        <f>SUM($CN$102:$CN$105)</f>
        <v>0</v>
      </c>
      <c r="CO106" s="52">
        <f>SUM($CG$106,$CH$106,$CI$106,$CJ$106,$CK$106,$CL$106,$CM$106,$CN$106)</f>
        <v>302</v>
      </c>
      <c r="CP106" s="52">
        <f>SUM($BY$106,$BZ$106,$CA$106,$CB$106,$CC$106,$CD$106,$CE$106,$CF$106)</f>
        <v>340</v>
      </c>
      <c r="CQ106" s="52">
        <f>SUM($CQ$102:$CQ$105)</f>
        <v>212</v>
      </c>
      <c r="CR106" s="52">
        <f>SUM($CR$102:$CR$105)</f>
        <v>6</v>
      </c>
      <c r="CS106" s="52">
        <f>SUM($CS$102:$CS$105)</f>
        <v>0</v>
      </c>
      <c r="CT106" s="52">
        <f>SUM($CT$102:$CT$105)</f>
        <v>0</v>
      </c>
      <c r="CU106" s="52">
        <f>SUM($CU$102:$CU$105)</f>
        <v>3</v>
      </c>
      <c r="CV106" s="52">
        <f>SUM($CV$102:$CV$105)</f>
        <v>23</v>
      </c>
      <c r="CW106" s="52">
        <f>SUM($CW$102:$CW$105)</f>
        <v>6</v>
      </c>
      <c r="CX106" s="52">
        <f>SUM($CX$102:$CX$105)</f>
        <v>0</v>
      </c>
      <c r="CY106" s="52">
        <f>SUM($CY$102:$CY$105)</f>
        <v>212</v>
      </c>
      <c r="CZ106" s="52">
        <f>SUM($CZ$102:$CZ$105)</f>
        <v>6</v>
      </c>
      <c r="DA106" s="52">
        <f>SUM($DA$102:$DA$105)</f>
        <v>0</v>
      </c>
      <c r="DB106" s="52">
        <f>SUM($DB$102:$DB$105)</f>
        <v>0</v>
      </c>
      <c r="DC106" s="52">
        <f>SUM($DC$102:$DC$105)</f>
        <v>6</v>
      </c>
      <c r="DD106" s="52">
        <f>SUM($DD$102:$DD$105)</f>
        <v>5</v>
      </c>
      <c r="DE106" s="52">
        <f>SUM($DE$102:$DE$105)</f>
        <v>2</v>
      </c>
      <c r="DF106" s="52">
        <f>SUM($DF$102:$DF$105)</f>
        <v>0</v>
      </c>
      <c r="DG106" s="52">
        <f>SUM($CY$106,$CZ$106,$DA$106,$DB$106,$DC$106,$DD$106,$DE$106,$DF$106)</f>
        <v>231</v>
      </c>
      <c r="DH106" s="52">
        <f>SUM($CQ$106,$CR$106,$CS$106,$CT$106,$CU$106,$CV$106,$CW$106,$CX$106)</f>
        <v>250</v>
      </c>
    </row>
    <row r="107" spans="1:112" ht="21" customHeight="1">
      <c r="A107" s="46">
        <v>44395.791666666701</v>
      </c>
      <c r="B107" s="53" t="s">
        <v>107</v>
      </c>
      <c r="C107" s="54">
        <v>3</v>
      </c>
      <c r="D107" s="54">
        <v>0</v>
      </c>
      <c r="E107" s="54">
        <v>0</v>
      </c>
      <c r="F107" s="54">
        <v>0</v>
      </c>
      <c r="G107" s="54">
        <v>0</v>
      </c>
      <c r="H107" s="54">
        <v>1</v>
      </c>
      <c r="I107" s="54">
        <v>1</v>
      </c>
      <c r="J107" s="61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0.2</v>
      </c>
      <c r="Q107" s="62">
        <f>$I$107*VLOOKUP($I$11,'PCU Values'!$B$9:$C$16,2,FALSE)</f>
        <v>0.4</v>
      </c>
      <c r="R107" s="70">
        <f>$J$107*VLOOKUP($J$11,'PCU Values'!$B$9:$C$16,2,FALSE)</f>
        <v>0</v>
      </c>
      <c r="S107" s="71">
        <f>SUM($K$107,$L$107,$M$107,$N$107,$O$107,$P$107,$Q$107,$R$107)</f>
        <v>3.6</v>
      </c>
      <c r="T107" s="52">
        <f>SUM($C$107,$D$107,$E$107,$F$107,$G$107,$H$107,$I$107,$J$107)</f>
        <v>5</v>
      </c>
      <c r="U107" s="72">
        <v>46</v>
      </c>
      <c r="V107" s="54">
        <v>1</v>
      </c>
      <c r="W107" s="54">
        <v>0</v>
      </c>
      <c r="X107" s="54">
        <v>0</v>
      </c>
      <c r="Y107" s="54">
        <v>1</v>
      </c>
      <c r="Z107" s="54">
        <v>2</v>
      </c>
      <c r="AA107" s="54">
        <v>2</v>
      </c>
      <c r="AB107" s="61">
        <v>0</v>
      </c>
      <c r="AC107" s="62">
        <f>$U$107*VLOOKUP($U$11,'PCU Values'!$B$9:$C$16,2,FALSE)</f>
        <v>46</v>
      </c>
      <c r="AD107" s="62">
        <f>$V$107*VLOOKUP($V$11,'PCU Values'!$B$9:$C$16,2,FALSE)</f>
        <v>1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0.4</v>
      </c>
      <c r="AI107" s="62">
        <f>$AA$107*VLOOKUP($AA$11,'PCU Values'!$B$9:$C$16,2,FALSE)</f>
        <v>0.8</v>
      </c>
      <c r="AJ107" s="70">
        <f>$AB$107*VLOOKUP($AB$11,'PCU Values'!$B$9:$C$16,2,FALSE)</f>
        <v>0</v>
      </c>
      <c r="AK107" s="71">
        <f>SUM($AC$107,$AD$107,$AE$107,$AF$107,$AG$107,$AH$107,$AI$107,$AJ$107)</f>
        <v>50.2</v>
      </c>
      <c r="AL107" s="52">
        <f>SUM($U$107,$V$107,$W$107,$X$107,$Y$107,$Z$107,$AA$107,$AB$107)</f>
        <v>52</v>
      </c>
      <c r="AM107" s="72">
        <v>5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5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5</v>
      </c>
      <c r="BD107" s="52">
        <f>SUM($AM$107,$AN$107,$AO$107,$AP$107,$AQ$107,$AR$107,$AS$107,$AT$107)</f>
        <v>5</v>
      </c>
      <c r="BE107" s="72">
        <v>1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1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1</v>
      </c>
      <c r="BV107" s="52">
        <f>SUM($BE$107,$BF$107,$BG$107,$BH$107,$BI$107,$BJ$107,$BK$107,$BL$107)</f>
        <v>1</v>
      </c>
      <c r="BX107" s="53" t="s">
        <v>107</v>
      </c>
      <c r="BY107" s="85">
        <f>SUM($C$107,$U$107,$AM$107,$BE$107)</f>
        <v>55</v>
      </c>
      <c r="BZ107" s="85">
        <f>SUM($D$107,$V$107,$AN$107,$BF$107)</f>
        <v>1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3</v>
      </c>
      <c r="CE107" s="85">
        <f>SUM($I$107,$AA$107,$AS$107,$BK$107)</f>
        <v>3</v>
      </c>
      <c r="CF107" s="88">
        <f>SUM($J$107,$AB$107,$AT$107,$BL$107)</f>
        <v>0</v>
      </c>
      <c r="CG107" s="81">
        <f>$BY$107*VLOOKUP($BY$11,'PCU Values'!$B$9:$C$16,2,FALSE)</f>
        <v>55</v>
      </c>
      <c r="CH107" s="81">
        <f>$BZ$107*VLOOKUP($BZ$11,'PCU Values'!$B$9:$C$16,2,FALSE)</f>
        <v>1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0.6</v>
      </c>
      <c r="CM107" s="81">
        <f>$CE$107*VLOOKUP($CE$11,'PCU Values'!$B$9:$C$16,2,FALSE)</f>
        <v>1.2</v>
      </c>
      <c r="CN107" s="82">
        <f>$CF$107*VLOOKUP($CF$11,'PCU Values'!$B$9:$C$16,2,FALSE)</f>
        <v>0</v>
      </c>
      <c r="CO107" s="71">
        <f>SUM($CG$107,$CH$107,$CI$107,$CJ$107,$CK$107,$CL$107,$CM$107,$CN$107)</f>
        <v>59.8</v>
      </c>
      <c r="CP107" s="52">
        <f>SUM($BY$107,$BZ$107,$CA$107,$CB$107,$CC$107,$CD$107,$CE$107,$CF$107)</f>
        <v>63</v>
      </c>
      <c r="CQ107" s="91">
        <f>SUM('J1 A - (North) Bishopthorpe Roa'!$BE$107,'J1 B - Butcher Terrace'!$AM$107,'J1 C - (South) Bishopthorpe Roa'!$U$107,'J1 D - South Bank Avenue'!$C$107)</f>
        <v>42</v>
      </c>
      <c r="CR107" s="85">
        <f>SUM('J1 A - (North) Bishopthorpe Roa'!$BF$107,'J1 B - Butcher Terrace'!$AN$107,'J1 C - (South) Bishopthorpe Roa'!$V$107,'J1 D - South Bank Avenue'!$D$107)</f>
        <v>1</v>
      </c>
      <c r="CS107" s="85">
        <f>SUM('J1 A - (North) Bishopthorpe Roa'!$BG$107,'J1 B - Butcher Terrace'!$AO$107,'J1 C - (South) Bishopthorpe Roa'!$W$107,'J1 D - South Bank Avenue'!$E$107)</f>
        <v>0</v>
      </c>
      <c r="CT107" s="85">
        <f>SUM('J1 A - (North) Bishopthorpe Roa'!$BH$107,'J1 B - Butcher Terrace'!$AP$107,'J1 C - (South) Bishopthorpe Roa'!$X$107,'J1 D - South Bank Avenue'!$F$107)</f>
        <v>0</v>
      </c>
      <c r="CU107" s="85">
        <f>SUM('J1 A - (North) Bishopthorpe Roa'!$BI$107,'J1 B - Butcher Terrace'!$AQ$107,'J1 C - (South) Bishopthorpe Roa'!$Y$107,'J1 D - South Bank Avenue'!$G$107)</f>
        <v>1</v>
      </c>
      <c r="CV107" s="85">
        <f>SUM('J1 A - (North) Bishopthorpe Roa'!$BJ$107,'J1 B - Butcher Terrace'!$AR$107,'J1 C - (South) Bishopthorpe Roa'!$Z$107,'J1 D - South Bank Avenue'!$H$107)</f>
        <v>6</v>
      </c>
      <c r="CW107" s="85">
        <f>SUM('J1 A - (North) Bishopthorpe Roa'!$BK$107,'J1 B - Butcher Terrace'!$AS$107,'J1 C - (South) Bishopthorpe Roa'!$AA$107,'J1 D - South Bank Avenue'!$I$107)</f>
        <v>1</v>
      </c>
      <c r="CX107" s="88">
        <f>SUM('J1 A - (North) Bishopthorpe Roa'!$BL$107,'J1 B - Butcher Terrace'!$AT$107,'J1 C - (South) Bishopthorpe Roa'!$AB$107,'J1 D - South Bank Avenue'!$J$107)</f>
        <v>0</v>
      </c>
      <c r="CY107" s="81">
        <f>$CQ$107*VLOOKUP($CQ$11,'PCU Values'!$B$9:$C$16,2,FALSE)</f>
        <v>42</v>
      </c>
      <c r="CZ107" s="81">
        <f>$CR$107*VLOOKUP($CR$11,'PCU Values'!$B$9:$C$16,2,FALSE)</f>
        <v>1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1.2</v>
      </c>
      <c r="DE107" s="81">
        <f>$CW$107*VLOOKUP($CW$11,'PCU Values'!$B$9:$C$16,2,FALSE)</f>
        <v>0.4</v>
      </c>
      <c r="DF107" s="82">
        <f>$CX$107*VLOOKUP($CX$11,'PCU Values'!$B$9:$C$16,2,FALSE)</f>
        <v>0</v>
      </c>
      <c r="DG107" s="71">
        <f>SUM($CY$107,$CZ$107,$DA$107,$DB$107,$DC$107,$DD$107,$DE$107,$DF$107)</f>
        <v>46.6</v>
      </c>
      <c r="DH107" s="52">
        <f>SUM($CQ$107,$CR$107,$CS$107,$CT$107,$CU$107,$CV$107,$CW$107,$CX$107)</f>
        <v>51</v>
      </c>
    </row>
    <row r="108" spans="1:112" ht="21" customHeight="1">
      <c r="A108" s="46">
        <v>44395.802083333299</v>
      </c>
      <c r="B108" s="47" t="s">
        <v>108</v>
      </c>
      <c r="C108" s="48">
        <v>8</v>
      </c>
      <c r="D108" s="48">
        <v>0</v>
      </c>
      <c r="E108" s="48">
        <v>0</v>
      </c>
      <c r="F108" s="48">
        <v>0</v>
      </c>
      <c r="G108" s="48">
        <v>0</v>
      </c>
      <c r="H108" s="48">
        <v>1</v>
      </c>
      <c r="I108" s="48">
        <v>0</v>
      </c>
      <c r="J108" s="56">
        <v>0</v>
      </c>
      <c r="K108" s="57">
        <f>$C$108*VLOOKUP($C$11,'PCU Values'!$B$9:$C$16,2,FALSE)</f>
        <v>8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0.2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8.1999999999999993</v>
      </c>
      <c r="T108" s="52">
        <f>SUM($C$108,$D$108,$E$108,$F$108,$G$108,$H$108,$I$108,$J$108)</f>
        <v>9</v>
      </c>
      <c r="U108" s="67">
        <v>50</v>
      </c>
      <c r="V108" s="48">
        <v>1</v>
      </c>
      <c r="W108" s="48">
        <v>0</v>
      </c>
      <c r="X108" s="48">
        <v>0</v>
      </c>
      <c r="Y108" s="48">
        <v>0</v>
      </c>
      <c r="Z108" s="48">
        <v>2</v>
      </c>
      <c r="AA108" s="48">
        <v>1</v>
      </c>
      <c r="AB108" s="56">
        <v>0</v>
      </c>
      <c r="AC108" s="57">
        <f>$U$108*VLOOKUP($U$11,'PCU Values'!$B$9:$C$16,2,FALSE)</f>
        <v>50</v>
      </c>
      <c r="AD108" s="57">
        <f>$V$108*VLOOKUP($V$11,'PCU Values'!$B$9:$C$16,2,FALSE)</f>
        <v>1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0.4</v>
      </c>
      <c r="AI108" s="57">
        <f>$AA$108*VLOOKUP($AA$11,'PCU Values'!$B$9:$C$16,2,FALSE)</f>
        <v>0.4</v>
      </c>
      <c r="AJ108" s="65">
        <f>$AB$108*VLOOKUP($AB$11,'PCU Values'!$B$9:$C$16,2,FALSE)</f>
        <v>0</v>
      </c>
      <c r="AK108" s="66">
        <f>SUM($AC$108,$AD$108,$AE$108,$AF$108,$AG$108,$AH$108,$AI$108,$AJ$108)</f>
        <v>51.8</v>
      </c>
      <c r="AL108" s="52">
        <f>SUM($U$108,$V$108,$W$108,$X$108,$Y$108,$Z$108,$AA$108,$AB$108)</f>
        <v>54</v>
      </c>
      <c r="AM108" s="67">
        <v>5</v>
      </c>
      <c r="AN108" s="48">
        <v>0</v>
      </c>
      <c r="AO108" s="48">
        <v>0</v>
      </c>
      <c r="AP108" s="48">
        <v>0</v>
      </c>
      <c r="AQ108" s="48">
        <v>0</v>
      </c>
      <c r="AR108" s="48">
        <v>3</v>
      </c>
      <c r="AS108" s="48">
        <v>0</v>
      </c>
      <c r="AT108" s="56">
        <v>0</v>
      </c>
      <c r="AU108" s="57">
        <f>$AM$108*VLOOKUP($AM$11,'PCU Values'!$B$9:$C$16,2,FALSE)</f>
        <v>5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0.6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5.6</v>
      </c>
      <c r="BD108" s="52">
        <f>SUM($AM$108,$AN$108,$AO$108,$AP$108,$AQ$108,$AR$108,$AS$108,$AT$108)</f>
        <v>8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63</v>
      </c>
      <c r="BZ108" s="83">
        <f>SUM($D$108,$V$108,$AN$108,$BF$108)</f>
        <v>1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6</v>
      </c>
      <c r="CE108" s="83">
        <f>SUM($I$108,$AA$108,$AS$108,$BK$108)</f>
        <v>1</v>
      </c>
      <c r="CF108" s="86">
        <f>SUM($J$108,$AB$108,$AT$108,$BL$108)</f>
        <v>0</v>
      </c>
      <c r="CG108" s="77">
        <f>$BY$108*VLOOKUP($BY$11,'PCU Values'!$B$9:$C$16,2,FALSE)</f>
        <v>63</v>
      </c>
      <c r="CH108" s="77">
        <f>$BZ$108*VLOOKUP($BZ$11,'PCU Values'!$B$9:$C$16,2,FALSE)</f>
        <v>1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1.2</v>
      </c>
      <c r="CM108" s="77">
        <f>$CE$108*VLOOKUP($CE$11,'PCU Values'!$B$9:$C$16,2,FALSE)</f>
        <v>0.4</v>
      </c>
      <c r="CN108" s="78">
        <f>$CF$108*VLOOKUP($CF$11,'PCU Values'!$B$9:$C$16,2,FALSE)</f>
        <v>0</v>
      </c>
      <c r="CO108" s="66">
        <f>SUM($CG$108,$CH$108,$CI$108,$CJ$108,$CK$108,$CL$108,$CM$108,$CN$108)</f>
        <v>65.599999999999994</v>
      </c>
      <c r="CP108" s="52">
        <f>SUM($BY$108,$BZ$108,$CA$108,$CB$108,$CC$108,$CD$108,$CE$108,$CF$108)</f>
        <v>71</v>
      </c>
      <c r="CQ108" s="89">
        <f>SUM('J1 A - (North) Bishopthorpe Roa'!$BE$108,'J1 B - Butcher Terrace'!$AM$108,'J1 C - (South) Bishopthorpe Roa'!$U$108,'J1 D - South Bank Avenue'!$C$108)</f>
        <v>51</v>
      </c>
      <c r="CR108" s="83">
        <f>SUM('J1 A - (North) Bishopthorpe Roa'!$BF$108,'J1 B - Butcher Terrace'!$AN$108,'J1 C - (South) Bishopthorpe Roa'!$V$108,'J1 D - South Bank Avenue'!$D$108)</f>
        <v>3</v>
      </c>
      <c r="CS108" s="83">
        <f>SUM('J1 A - (North) Bishopthorpe Roa'!$BG$108,'J1 B - Butcher Terrace'!$AO$108,'J1 C - (South) Bishopthorpe Roa'!$W$108,'J1 D - South Bank Avenue'!$E$108)</f>
        <v>0</v>
      </c>
      <c r="CT108" s="83">
        <f>SUM('J1 A - (North) Bishopthorpe Roa'!$BH$108,'J1 B - Butcher Terrace'!$AP$108,'J1 C - (South) Bishopthorpe Roa'!$X$108,'J1 D - South Bank Avenue'!$F$108)</f>
        <v>0</v>
      </c>
      <c r="CU108" s="83">
        <f>SUM('J1 A - (North) Bishopthorpe Roa'!$BI$108,'J1 B - Butcher Terrace'!$AQ$108,'J1 C - (South) Bishopthorpe Roa'!$Y$108,'J1 D - South Bank Avenue'!$G$108)</f>
        <v>0</v>
      </c>
      <c r="CV108" s="83">
        <f>SUM('J1 A - (North) Bishopthorpe Roa'!$BJ$108,'J1 B - Butcher Terrace'!$AR$108,'J1 C - (South) Bishopthorpe Roa'!$Z$108,'J1 D - South Bank Avenue'!$H$108)</f>
        <v>5</v>
      </c>
      <c r="CW108" s="83">
        <f>SUM('J1 A - (North) Bishopthorpe Roa'!$BK$108,'J1 B - Butcher Terrace'!$AS$108,'J1 C - (South) Bishopthorpe Roa'!$AA$108,'J1 D - South Bank Avenue'!$I$108)</f>
        <v>3</v>
      </c>
      <c r="CX108" s="86">
        <f>SUM('J1 A - (North) Bishopthorpe Roa'!$BL$108,'J1 B - Butcher Terrace'!$AT$108,'J1 C - (South) Bishopthorpe Roa'!$AB$108,'J1 D - South Bank Avenue'!$J$108)</f>
        <v>0</v>
      </c>
      <c r="CY108" s="77">
        <f>$CQ$108*VLOOKUP($CQ$11,'PCU Values'!$B$9:$C$16,2,FALSE)</f>
        <v>51</v>
      </c>
      <c r="CZ108" s="77">
        <f>$CR$108*VLOOKUP($CR$11,'PCU Values'!$B$9:$C$16,2,FALSE)</f>
        <v>3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</v>
      </c>
      <c r="DE108" s="77">
        <f>$CW$108*VLOOKUP($CW$11,'PCU Values'!$B$9:$C$16,2,FALSE)</f>
        <v>1.2</v>
      </c>
      <c r="DF108" s="78">
        <f>$CX$108*VLOOKUP($CX$11,'PCU Values'!$B$9:$C$16,2,FALSE)</f>
        <v>0</v>
      </c>
      <c r="DG108" s="66">
        <f>SUM($CY$108,$CZ$108,$DA$108,$DB$108,$DC$108,$DD$108,$DE$108,$DF$108)</f>
        <v>56.2</v>
      </c>
      <c r="DH108" s="52">
        <f>SUM($CQ$108,$CR$108,$CS$108,$CT$108,$CU$108,$CV$108,$CW$108,$CX$108)</f>
        <v>62</v>
      </c>
    </row>
    <row r="109" spans="1:112" ht="21" customHeight="1">
      <c r="A109" s="46">
        <v>44395.8125</v>
      </c>
      <c r="B109" s="47" t="s">
        <v>109</v>
      </c>
      <c r="C109" s="48">
        <v>2</v>
      </c>
      <c r="D109" s="48">
        <v>0</v>
      </c>
      <c r="E109" s="48">
        <v>0</v>
      </c>
      <c r="F109" s="48">
        <v>0</v>
      </c>
      <c r="G109" s="48">
        <v>0</v>
      </c>
      <c r="H109" s="49">
        <v>3</v>
      </c>
      <c r="I109" s="48">
        <v>0</v>
      </c>
      <c r="J109" s="56">
        <v>0</v>
      </c>
      <c r="K109" s="57">
        <f>$C$109*VLOOKUP($C$11,'PCU Values'!$B$9:$C$16,2,FALSE)</f>
        <v>2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0.6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2.6</v>
      </c>
      <c r="T109" s="52">
        <f>SUM($C$109,$D$109,$E$109,$F$109,$G$109,$H$109,$I$109,$J$109)</f>
        <v>5</v>
      </c>
      <c r="U109" s="67">
        <v>38</v>
      </c>
      <c r="V109" s="48">
        <v>0</v>
      </c>
      <c r="W109" s="48">
        <v>0</v>
      </c>
      <c r="X109" s="48">
        <v>0</v>
      </c>
      <c r="Y109" s="48">
        <v>1</v>
      </c>
      <c r="Z109" s="48">
        <v>5</v>
      </c>
      <c r="AA109" s="48">
        <v>3</v>
      </c>
      <c r="AB109" s="56">
        <v>0</v>
      </c>
      <c r="AC109" s="57">
        <f>$U$109*VLOOKUP($U$11,'PCU Values'!$B$9:$C$16,2,FALSE)</f>
        <v>38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1</v>
      </c>
      <c r="AI109" s="57">
        <f>$AA$109*VLOOKUP($AA$11,'PCU Values'!$B$9:$C$16,2,FALSE)</f>
        <v>1.2</v>
      </c>
      <c r="AJ109" s="65">
        <f>$AB$109*VLOOKUP($AB$11,'PCU Values'!$B$9:$C$16,2,FALSE)</f>
        <v>0</v>
      </c>
      <c r="AK109" s="66">
        <f>SUM($AC$109,$AD$109,$AE$109,$AF$109,$AG$109,$AH$109,$AI$109,$AJ$109)</f>
        <v>42.2</v>
      </c>
      <c r="AL109" s="52">
        <f>SUM($U$109,$V$109,$W$109,$X$109,$Y$109,$Z$109,$AA$109,$AB$109)</f>
        <v>47</v>
      </c>
      <c r="AM109" s="67">
        <v>5</v>
      </c>
      <c r="AN109" s="48">
        <v>0</v>
      </c>
      <c r="AO109" s="48">
        <v>0</v>
      </c>
      <c r="AP109" s="48">
        <v>0</v>
      </c>
      <c r="AQ109" s="48">
        <v>0</v>
      </c>
      <c r="AR109" s="48">
        <v>2</v>
      </c>
      <c r="AS109" s="48">
        <v>0</v>
      </c>
      <c r="AT109" s="56">
        <v>0</v>
      </c>
      <c r="AU109" s="57">
        <f>$AM$109*VLOOKUP($AM$11,'PCU Values'!$B$9:$C$16,2,FALSE)</f>
        <v>5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0.4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5.4</v>
      </c>
      <c r="BD109" s="52">
        <f>SUM($AM$109,$AN$109,$AO$109,$AP$109,$AQ$109,$AR$109,$AS$109,$AT$109)</f>
        <v>7</v>
      </c>
      <c r="BE109" s="67">
        <v>1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1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1</v>
      </c>
      <c r="BV109" s="52">
        <f>SUM($BE$109,$BF$109,$BG$109,$BH$109,$BI$109,$BJ$109,$BK$109,$BL$109)</f>
        <v>1</v>
      </c>
      <c r="BX109" s="47" t="s">
        <v>109</v>
      </c>
      <c r="BY109" s="83">
        <f>SUM($C$109,$U$109,$AM$109,$BE$109)</f>
        <v>46</v>
      </c>
      <c r="BZ109" s="83">
        <f>SUM($D$109,$V$109,$AN$109,$BF$109)</f>
        <v>0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10</v>
      </c>
      <c r="CE109" s="83">
        <f>SUM($I$109,$AA$109,$AS$109,$BK$109)</f>
        <v>3</v>
      </c>
      <c r="CF109" s="86">
        <f>SUM($J$109,$AB$109,$AT$109,$BL$109)</f>
        <v>0</v>
      </c>
      <c r="CG109" s="77">
        <f>$BY$109*VLOOKUP($BY$11,'PCU Values'!$B$9:$C$16,2,FALSE)</f>
        <v>46</v>
      </c>
      <c r="CH109" s="77">
        <f>$BZ$109*VLOOKUP($BZ$11,'PCU Values'!$B$9:$C$16,2,FALSE)</f>
        <v>0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2</v>
      </c>
      <c r="CM109" s="77">
        <f>$CE$109*VLOOKUP($CE$11,'PCU Values'!$B$9:$C$16,2,FALSE)</f>
        <v>1.2</v>
      </c>
      <c r="CN109" s="78">
        <f>$CF$109*VLOOKUP($CF$11,'PCU Values'!$B$9:$C$16,2,FALSE)</f>
        <v>0</v>
      </c>
      <c r="CO109" s="66">
        <f>SUM($CG$109,$CH$109,$CI$109,$CJ$109,$CK$109,$CL$109,$CM$109,$CN$109)</f>
        <v>51.2</v>
      </c>
      <c r="CP109" s="52">
        <f>SUM($BY$109,$BZ$109,$CA$109,$CB$109,$CC$109,$CD$109,$CE$109,$CF$109)</f>
        <v>60</v>
      </c>
      <c r="CQ109" s="89">
        <f>SUM('J1 A - (North) Bishopthorpe Roa'!$BE$109,'J1 B - Butcher Terrace'!$AM$109,'J1 C - (South) Bishopthorpe Roa'!$U$109,'J1 D - South Bank Avenue'!$C$109)</f>
        <v>49</v>
      </c>
      <c r="CR109" s="83">
        <f>SUM('J1 A - (North) Bishopthorpe Roa'!$BF$109,'J1 B - Butcher Terrace'!$AN$109,'J1 C - (South) Bishopthorpe Roa'!$V$109,'J1 D - South Bank Avenue'!$D$109)</f>
        <v>2</v>
      </c>
      <c r="CS109" s="83">
        <f>SUM('J1 A - (North) Bishopthorpe Roa'!$BG$109,'J1 B - Butcher Terrace'!$AO$109,'J1 C - (South) Bishopthorpe Roa'!$W$109,'J1 D - South Bank Avenue'!$E$109)</f>
        <v>0</v>
      </c>
      <c r="CT109" s="83">
        <f>SUM('J1 A - (North) Bishopthorpe Roa'!$BH$109,'J1 B - Butcher Terrace'!$AP$109,'J1 C - (South) Bishopthorpe Roa'!$X$109,'J1 D - South Bank Avenue'!$F$109)</f>
        <v>0</v>
      </c>
      <c r="CU109" s="83">
        <f>SUM('J1 A - (North) Bishopthorpe Roa'!$BI$109,'J1 B - Butcher Terrace'!$AQ$109,'J1 C - (South) Bishopthorpe Roa'!$Y$109,'J1 D - South Bank Avenue'!$G$109)</f>
        <v>1</v>
      </c>
      <c r="CV109" s="83">
        <f>SUM('J1 A - (North) Bishopthorpe Roa'!$BJ$109,'J1 B - Butcher Terrace'!$AR$109,'J1 C - (South) Bishopthorpe Roa'!$Z$109,'J1 D - South Bank Avenue'!$H$109)</f>
        <v>9</v>
      </c>
      <c r="CW109" s="83">
        <f>SUM('J1 A - (North) Bishopthorpe Roa'!$BK$109,'J1 B - Butcher Terrace'!$AS$109,'J1 C - (South) Bishopthorpe Roa'!$AA$109,'J1 D - South Bank Avenue'!$I$109)</f>
        <v>1</v>
      </c>
      <c r="CX109" s="86">
        <f>SUM('J1 A - (North) Bishopthorpe Roa'!$BL$109,'J1 B - Butcher Terrace'!$AT$109,'J1 C - (South) Bishopthorpe Roa'!$AB$109,'J1 D - South Bank Avenue'!$J$109)</f>
        <v>0</v>
      </c>
      <c r="CY109" s="77">
        <f>$CQ$109*VLOOKUP($CQ$11,'PCU Values'!$B$9:$C$16,2,FALSE)</f>
        <v>49</v>
      </c>
      <c r="CZ109" s="77">
        <f>$CR$109*VLOOKUP($CR$11,'PCU Values'!$B$9:$C$16,2,FALSE)</f>
        <v>2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1.8</v>
      </c>
      <c r="DE109" s="77">
        <f>$CW$109*VLOOKUP($CW$11,'PCU Values'!$B$9:$C$16,2,FALSE)</f>
        <v>0.4</v>
      </c>
      <c r="DF109" s="78">
        <f>$CX$109*VLOOKUP($CX$11,'PCU Values'!$B$9:$C$16,2,FALSE)</f>
        <v>0</v>
      </c>
      <c r="DG109" s="66">
        <f>SUM($CY$109,$CZ$109,$DA$109,$DB$109,$DC$109,$DD$109,$DE$109,$DF$109)</f>
        <v>55.2</v>
      </c>
      <c r="DH109" s="52">
        <f>SUM($CQ$109,$CR$109,$CS$109,$CT$109,$CU$109,$CV$109,$CW$109,$CX$109)</f>
        <v>62</v>
      </c>
    </row>
    <row r="110" spans="1:112" ht="21" customHeight="1">
      <c r="A110" s="46">
        <v>44395.822916666701</v>
      </c>
      <c r="B110" s="50" t="s">
        <v>110</v>
      </c>
      <c r="C110" s="51">
        <v>7</v>
      </c>
      <c r="D110" s="51">
        <v>1</v>
      </c>
      <c r="E110" s="51">
        <v>0</v>
      </c>
      <c r="F110" s="51">
        <v>0</v>
      </c>
      <c r="G110" s="51">
        <v>0</v>
      </c>
      <c r="H110" s="51">
        <v>2</v>
      </c>
      <c r="I110" s="51">
        <v>1</v>
      </c>
      <c r="J110" s="59">
        <v>0</v>
      </c>
      <c r="K110" s="60">
        <f>$C$110*VLOOKUP($C$11,'PCU Values'!$B$9:$C$16,2,FALSE)</f>
        <v>7</v>
      </c>
      <c r="L110" s="60">
        <f>$D$110*VLOOKUP($D$11,'PCU Values'!$B$9:$C$16,2,FALSE)</f>
        <v>1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0.4</v>
      </c>
      <c r="Q110" s="60">
        <f>$I$110*VLOOKUP($I$11,'PCU Values'!$B$9:$C$16,2,FALSE)</f>
        <v>0.4</v>
      </c>
      <c r="R110" s="68">
        <f>$J$110*VLOOKUP($J$11,'PCU Values'!$B$9:$C$16,2,FALSE)</f>
        <v>0</v>
      </c>
      <c r="S110" s="63">
        <f>SUM($K$110,$L$110,$M$110,$N$110,$O$110,$P$110,$Q$110,$R$110)</f>
        <v>8.8000000000000007</v>
      </c>
      <c r="T110" s="52">
        <f>SUM($C$110,$D$110,$E$110,$F$110,$G$110,$H$110,$I$110,$J$110)</f>
        <v>11</v>
      </c>
      <c r="U110" s="73">
        <v>39</v>
      </c>
      <c r="V110" s="51">
        <v>1</v>
      </c>
      <c r="W110" s="51">
        <v>0</v>
      </c>
      <c r="X110" s="51">
        <v>0</v>
      </c>
      <c r="Y110" s="51">
        <v>0</v>
      </c>
      <c r="Z110" s="51">
        <v>1</v>
      </c>
      <c r="AA110" s="51">
        <v>1</v>
      </c>
      <c r="AB110" s="59">
        <v>0</v>
      </c>
      <c r="AC110" s="60">
        <f>$U$110*VLOOKUP($U$11,'PCU Values'!$B$9:$C$16,2,FALSE)</f>
        <v>39</v>
      </c>
      <c r="AD110" s="60">
        <f>$V$110*VLOOKUP($V$11,'PCU Values'!$B$9:$C$16,2,FALSE)</f>
        <v>1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0.2</v>
      </c>
      <c r="AI110" s="60">
        <f>$AA$110*VLOOKUP($AA$11,'PCU Values'!$B$9:$C$16,2,FALSE)</f>
        <v>0.4</v>
      </c>
      <c r="AJ110" s="68">
        <f>$AB$110*VLOOKUP($AB$11,'PCU Values'!$B$9:$C$16,2,FALSE)</f>
        <v>0</v>
      </c>
      <c r="AK110" s="63">
        <f>SUM($AC$110,$AD$110,$AE$110,$AF$110,$AG$110,$AH$110,$AI$110,$AJ$110)</f>
        <v>40.6</v>
      </c>
      <c r="AL110" s="52">
        <f>SUM($U$110,$V$110,$W$110,$X$110,$Y$110,$Z$110,$AA$110,$AB$110)</f>
        <v>42</v>
      </c>
      <c r="AM110" s="73">
        <v>4</v>
      </c>
      <c r="AN110" s="51">
        <v>0</v>
      </c>
      <c r="AO110" s="51">
        <v>0</v>
      </c>
      <c r="AP110" s="51">
        <v>0</v>
      </c>
      <c r="AQ110" s="51">
        <v>0</v>
      </c>
      <c r="AR110" s="51">
        <v>3</v>
      </c>
      <c r="AS110" s="51">
        <v>2</v>
      </c>
      <c r="AT110" s="59">
        <v>0</v>
      </c>
      <c r="AU110" s="60">
        <f>$AM$110*VLOOKUP($AM$11,'PCU Values'!$B$9:$C$16,2,FALSE)</f>
        <v>4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0.6</v>
      </c>
      <c r="BA110" s="60">
        <f>$AS$110*VLOOKUP($AS$11,'PCU Values'!$B$9:$C$16,2,FALSE)</f>
        <v>0.8</v>
      </c>
      <c r="BB110" s="68">
        <f>$AT$110*VLOOKUP($AT$11,'PCU Values'!$B$9:$C$16,2,FALSE)</f>
        <v>0</v>
      </c>
      <c r="BC110" s="63">
        <f>SUM($AU$110,$AV$110,$AW$110,$AX$110,$AY$110,$AZ$110,$BA$110,$BB$110)</f>
        <v>5.4</v>
      </c>
      <c r="BD110" s="52">
        <f>SUM($AM$110,$AN$110,$AO$110,$AP$110,$AQ$110,$AR$110,$AS$110,$AT$110)</f>
        <v>9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50</v>
      </c>
      <c r="BZ110" s="84">
        <f>SUM($D$110,$V$110,$AN$110,$BF$110)</f>
        <v>2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6</v>
      </c>
      <c r="CE110" s="84">
        <f>SUM($I$110,$AA$110,$AS$110,$BK$110)</f>
        <v>4</v>
      </c>
      <c r="CF110" s="87">
        <f>SUM($J$110,$AB$110,$AT$110,$BL$110)</f>
        <v>0</v>
      </c>
      <c r="CG110" s="79">
        <f>$BY$110*VLOOKUP($BY$11,'PCU Values'!$B$9:$C$16,2,FALSE)</f>
        <v>50</v>
      </c>
      <c r="CH110" s="79">
        <f>$BZ$110*VLOOKUP($BZ$11,'PCU Values'!$B$9:$C$16,2,FALSE)</f>
        <v>2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1.2</v>
      </c>
      <c r="CM110" s="79">
        <f>$CE$110*VLOOKUP($CE$11,'PCU Values'!$B$9:$C$16,2,FALSE)</f>
        <v>1.6</v>
      </c>
      <c r="CN110" s="80">
        <f>$CF$110*VLOOKUP($CF$11,'PCU Values'!$B$9:$C$16,2,FALSE)</f>
        <v>0</v>
      </c>
      <c r="CO110" s="63">
        <f>SUM($CG$110,$CH$110,$CI$110,$CJ$110,$CK$110,$CL$110,$CM$110,$CN$110)</f>
        <v>54.8</v>
      </c>
      <c r="CP110" s="52">
        <f>SUM($BY$110,$BZ$110,$CA$110,$CB$110,$CC$110,$CD$110,$CE$110,$CF$110)</f>
        <v>62</v>
      </c>
      <c r="CQ110" s="90">
        <f>SUM('J1 A - (North) Bishopthorpe Roa'!$BE$110,'J1 B - Butcher Terrace'!$AM$110,'J1 C - (South) Bishopthorpe Roa'!$U$110,'J1 D - South Bank Avenue'!$C$110)</f>
        <v>44</v>
      </c>
      <c r="CR110" s="84">
        <f>SUM('J1 A - (North) Bishopthorpe Roa'!$BF$110,'J1 B - Butcher Terrace'!$AN$110,'J1 C - (South) Bishopthorpe Roa'!$V$110,'J1 D - South Bank Avenue'!$D$110)</f>
        <v>2</v>
      </c>
      <c r="CS110" s="84">
        <f>SUM('J1 A - (North) Bishopthorpe Roa'!$BG$110,'J1 B - Butcher Terrace'!$AO$110,'J1 C - (South) Bishopthorpe Roa'!$W$110,'J1 D - South Bank Avenue'!$E$110)</f>
        <v>0</v>
      </c>
      <c r="CT110" s="84">
        <f>SUM('J1 A - (North) Bishopthorpe Roa'!$BH$110,'J1 B - Butcher Terrace'!$AP$110,'J1 C - (South) Bishopthorpe Roa'!$X$110,'J1 D - South Bank Avenue'!$F$110)</f>
        <v>0</v>
      </c>
      <c r="CU110" s="84">
        <f>SUM('J1 A - (North) Bishopthorpe Roa'!$BI$110,'J1 B - Butcher Terrace'!$AQ$110,'J1 C - (South) Bishopthorpe Roa'!$Y$110,'J1 D - South Bank Avenue'!$G$110)</f>
        <v>0</v>
      </c>
      <c r="CV110" s="84">
        <f>SUM('J1 A - (North) Bishopthorpe Roa'!$BJ$110,'J1 B - Butcher Terrace'!$AR$110,'J1 C - (South) Bishopthorpe Roa'!$Z$110,'J1 D - South Bank Avenue'!$H$110)</f>
        <v>5</v>
      </c>
      <c r="CW110" s="84">
        <f>SUM('J1 A - (North) Bishopthorpe Roa'!$BK$110,'J1 B - Butcher Terrace'!$AS$110,'J1 C - (South) Bishopthorpe Roa'!$AA$110,'J1 D - South Bank Avenue'!$I$110)</f>
        <v>3</v>
      </c>
      <c r="CX110" s="87">
        <f>SUM('J1 A - (North) Bishopthorpe Roa'!$BL$110,'J1 B - Butcher Terrace'!$AT$110,'J1 C - (South) Bishopthorpe Roa'!$AB$110,'J1 D - South Bank Avenue'!$J$110)</f>
        <v>0</v>
      </c>
      <c r="CY110" s="79">
        <f>$CQ$110*VLOOKUP($CQ$11,'PCU Values'!$B$9:$C$16,2,FALSE)</f>
        <v>44</v>
      </c>
      <c r="CZ110" s="79">
        <f>$CR$110*VLOOKUP($CR$11,'PCU Values'!$B$9:$C$16,2,FALSE)</f>
        <v>2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</v>
      </c>
      <c r="DE110" s="79">
        <f>$CW$110*VLOOKUP($CW$11,'PCU Values'!$B$9:$C$16,2,FALSE)</f>
        <v>1.2</v>
      </c>
      <c r="DF110" s="80">
        <f>$CX$110*VLOOKUP($CX$11,'PCU Values'!$B$9:$C$16,2,FALSE)</f>
        <v>0</v>
      </c>
      <c r="DG110" s="63">
        <f>SUM($CY$110,$CZ$110,$DA$110,$DB$110,$DC$110,$DD$110,$DE$110,$DF$110)</f>
        <v>48.2</v>
      </c>
      <c r="DH110" s="52">
        <f>SUM($CQ$110,$CR$110,$CS$110,$CT$110,$CU$110,$CV$110,$CW$110,$CX$110)</f>
        <v>54</v>
      </c>
    </row>
    <row r="111" spans="1:112">
      <c r="B111" s="52" t="s">
        <v>34</v>
      </c>
      <c r="C111" s="52">
        <f>SUM($C$107:$C$110)</f>
        <v>20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7</v>
      </c>
      <c r="I111" s="52">
        <f>SUM($I$107:$I$110)</f>
        <v>2</v>
      </c>
      <c r="J111" s="52">
        <f>SUM($J$107:$J$110)</f>
        <v>0</v>
      </c>
      <c r="K111" s="52">
        <f>SUM($K$107:$K$110)</f>
        <v>20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1</v>
      </c>
      <c r="R111" s="52">
        <f>SUM($R$107:$R$110)</f>
        <v>0</v>
      </c>
      <c r="S111" s="52">
        <f>SUM($K$111,$L$111,$M$111,$N$111,$O$111,$P$111,$Q$111,$R$111)</f>
        <v>23</v>
      </c>
      <c r="T111" s="52">
        <f>SUM($C$111,$D$111,$E$111,$F$111,$G$111,$H$111,$I$111,$J$111)</f>
        <v>30</v>
      </c>
      <c r="U111" s="52">
        <f>SUM($U$107:$U$110)</f>
        <v>173</v>
      </c>
      <c r="V111" s="52">
        <f>SUM($V$107:$V$110)</f>
        <v>3</v>
      </c>
      <c r="W111" s="52">
        <f>SUM($W$107:$W$110)</f>
        <v>0</v>
      </c>
      <c r="X111" s="52">
        <f>SUM($X$107:$X$110)</f>
        <v>0</v>
      </c>
      <c r="Y111" s="52">
        <f>SUM($Y$107:$Y$110)</f>
        <v>2</v>
      </c>
      <c r="Z111" s="52">
        <f>SUM($Z$107:$Z$110)</f>
        <v>10</v>
      </c>
      <c r="AA111" s="52">
        <f>SUM($AA$107:$AA$110)</f>
        <v>7</v>
      </c>
      <c r="AB111" s="52">
        <f>SUM($AB$107:$AB$110)</f>
        <v>0</v>
      </c>
      <c r="AC111" s="52">
        <f>SUM($AC$107:$AC$110)</f>
        <v>173</v>
      </c>
      <c r="AD111" s="52">
        <f>SUM($AD$107:$AD$110)</f>
        <v>3</v>
      </c>
      <c r="AE111" s="52">
        <f>SUM($AE$107:$AE$110)</f>
        <v>0</v>
      </c>
      <c r="AF111" s="52">
        <f>SUM($AF$107:$AF$110)</f>
        <v>0</v>
      </c>
      <c r="AG111" s="52">
        <f>SUM($AG$107:$AG$110)</f>
        <v>4</v>
      </c>
      <c r="AH111" s="52">
        <f>SUM($AH$107:$AH$110)</f>
        <v>2</v>
      </c>
      <c r="AI111" s="52">
        <f>SUM($AI$107:$AI$110)</f>
        <v>3</v>
      </c>
      <c r="AJ111" s="52">
        <f>SUM($AJ$107:$AJ$110)</f>
        <v>0</v>
      </c>
      <c r="AK111" s="52">
        <f>SUM($AC$111,$AD$111,$AE$111,$AF$111,$AG$111,$AH$111,$AI$111,$AJ$111)</f>
        <v>185</v>
      </c>
      <c r="AL111" s="52">
        <f>SUM($U$111,$V$111,$W$111,$X$111,$Y$111,$Z$111,$AA$111,$AB$111)</f>
        <v>195</v>
      </c>
      <c r="AM111" s="52">
        <f>SUM($AM$107:$AM$110)</f>
        <v>19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8</v>
      </c>
      <c r="AS111" s="52">
        <f>SUM($AS$107:$AS$110)</f>
        <v>2</v>
      </c>
      <c r="AT111" s="52">
        <f>SUM($AT$107:$AT$110)</f>
        <v>0</v>
      </c>
      <c r="AU111" s="52">
        <f>SUM($AU$107:$AU$110)</f>
        <v>19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2</v>
      </c>
      <c r="BA111" s="52">
        <f>SUM($BA$107:$BA$110)</f>
        <v>1</v>
      </c>
      <c r="BB111" s="52">
        <f>SUM($BB$107:$BB$110)</f>
        <v>0</v>
      </c>
      <c r="BC111" s="52">
        <f>SUM($AU$111,$AV$111,$AW$111,$AX$111,$AY$111,$AZ$111,$BA$111,$BB$111)</f>
        <v>22</v>
      </c>
      <c r="BD111" s="52">
        <f>SUM($AM$111,$AN$111,$AO$111,$AP$111,$AQ$111,$AR$111,$AS$111,$AT$111)</f>
        <v>29</v>
      </c>
      <c r="BE111" s="52">
        <f>SUM($BE$107:$BE$110)</f>
        <v>2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2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2</v>
      </c>
      <c r="BV111" s="52">
        <f>SUM($BE$111,$BF$111,$BG$111,$BH$111,$BI$111,$BJ$111,$BK$111,$BL$111)</f>
        <v>2</v>
      </c>
      <c r="BX111" s="52" t="s">
        <v>34</v>
      </c>
      <c r="BY111" s="52">
        <f>SUM($BY$107:$BY$110)</f>
        <v>214</v>
      </c>
      <c r="BZ111" s="52">
        <f>SUM($BZ$107:$BZ$110)</f>
        <v>4</v>
      </c>
      <c r="CA111" s="52">
        <f>SUM($CA$107:$CA$110)</f>
        <v>0</v>
      </c>
      <c r="CB111" s="52">
        <f>SUM($CB$107:$CB$110)</f>
        <v>0</v>
      </c>
      <c r="CC111" s="52">
        <f>SUM($CC$107:$CC$110)</f>
        <v>2</v>
      </c>
      <c r="CD111" s="52">
        <f>SUM($CD$107:$CD$110)</f>
        <v>25</v>
      </c>
      <c r="CE111" s="52">
        <f>SUM($CE$107:$CE$110)</f>
        <v>11</v>
      </c>
      <c r="CF111" s="52">
        <f>SUM($CF$107:$CF$110)</f>
        <v>0</v>
      </c>
      <c r="CG111" s="52">
        <f>SUM($CG$107:$CG$110)</f>
        <v>214</v>
      </c>
      <c r="CH111" s="52">
        <f>SUM($CH$107:$CH$110)</f>
        <v>4</v>
      </c>
      <c r="CI111" s="52">
        <f>SUM($CI$107:$CI$110)</f>
        <v>0</v>
      </c>
      <c r="CJ111" s="52">
        <f>SUM($CJ$107:$CJ$110)</f>
        <v>0</v>
      </c>
      <c r="CK111" s="52">
        <f>SUM($CK$107:$CK$110)</f>
        <v>4</v>
      </c>
      <c r="CL111" s="52">
        <f>SUM($CL$107:$CL$110)</f>
        <v>5</v>
      </c>
      <c r="CM111" s="52">
        <f>SUM($CM$107:$CM$110)</f>
        <v>4</v>
      </c>
      <c r="CN111" s="52">
        <f>SUM($CN$107:$CN$110)</f>
        <v>0</v>
      </c>
      <c r="CO111" s="52">
        <f>SUM($CG$111,$CH$111,$CI$111,$CJ$111,$CK$111,$CL$111,$CM$111,$CN$111)</f>
        <v>231</v>
      </c>
      <c r="CP111" s="52">
        <f>SUM($BY$111,$BZ$111,$CA$111,$CB$111,$CC$111,$CD$111,$CE$111,$CF$111)</f>
        <v>256</v>
      </c>
      <c r="CQ111" s="52">
        <f>SUM($CQ$107:$CQ$110)</f>
        <v>186</v>
      </c>
      <c r="CR111" s="52">
        <f>SUM($CR$107:$CR$110)</f>
        <v>8</v>
      </c>
      <c r="CS111" s="52">
        <f>SUM($CS$107:$CS$110)</f>
        <v>0</v>
      </c>
      <c r="CT111" s="52">
        <f>SUM($CT$107:$CT$110)</f>
        <v>0</v>
      </c>
      <c r="CU111" s="52">
        <f>SUM($CU$107:$CU$110)</f>
        <v>2</v>
      </c>
      <c r="CV111" s="52">
        <f>SUM($CV$107:$CV$110)</f>
        <v>25</v>
      </c>
      <c r="CW111" s="52">
        <f>SUM($CW$107:$CW$110)</f>
        <v>8</v>
      </c>
      <c r="CX111" s="52">
        <f>SUM($CX$107:$CX$110)</f>
        <v>0</v>
      </c>
      <c r="CY111" s="52">
        <f>SUM($CY$107:$CY$110)</f>
        <v>186</v>
      </c>
      <c r="CZ111" s="52">
        <f>SUM($CZ$107:$CZ$110)</f>
        <v>8</v>
      </c>
      <c r="DA111" s="52">
        <f>SUM($DA$107:$DA$110)</f>
        <v>0</v>
      </c>
      <c r="DB111" s="52">
        <f>SUM($DB$107:$DB$110)</f>
        <v>0</v>
      </c>
      <c r="DC111" s="52">
        <f>SUM($DC$107:$DC$110)</f>
        <v>4</v>
      </c>
      <c r="DD111" s="52">
        <f>SUM($DD$107:$DD$110)</f>
        <v>5</v>
      </c>
      <c r="DE111" s="52">
        <f>SUM($DE$107:$DE$110)</f>
        <v>3</v>
      </c>
      <c r="DF111" s="52">
        <f>SUM($DF$107:$DF$110)</f>
        <v>0</v>
      </c>
      <c r="DG111" s="52">
        <f>SUM($CY$111,$CZ$111,$DA$111,$DB$111,$DC$111,$DD$111,$DE$111,$DF$111)</f>
        <v>206</v>
      </c>
      <c r="DH111" s="52">
        <f>SUM($CQ$111,$CR$111,$CS$111,$CT$111,$CU$111,$CV$111,$CW$111,$CX$111)</f>
        <v>229</v>
      </c>
    </row>
    <row r="112" spans="1:112" ht="21" customHeight="1">
      <c r="A112" s="46">
        <v>44395.833333333299</v>
      </c>
      <c r="B112" s="53" t="s">
        <v>111</v>
      </c>
      <c r="C112" s="54">
        <v>4</v>
      </c>
      <c r="D112" s="54">
        <v>0</v>
      </c>
      <c r="E112" s="54">
        <v>0</v>
      </c>
      <c r="F112" s="54">
        <v>0</v>
      </c>
      <c r="G112" s="54">
        <v>0</v>
      </c>
      <c r="H112" s="54">
        <v>2</v>
      </c>
      <c r="I112" s="54">
        <v>0</v>
      </c>
      <c r="J112" s="61">
        <v>0</v>
      </c>
      <c r="K112" s="62">
        <f>$C$112*VLOOKUP($C$11,'PCU Values'!$B$9:$C$16,2,FALSE)</f>
        <v>4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0.4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4.4000000000000004</v>
      </c>
      <c r="T112" s="52">
        <f>SUM($C$112,$D$112,$E$112,$F$112,$G$112,$H$112,$I$112,$J$112)</f>
        <v>6</v>
      </c>
      <c r="U112" s="72">
        <v>32</v>
      </c>
      <c r="V112" s="54">
        <v>1</v>
      </c>
      <c r="W112" s="54">
        <v>0</v>
      </c>
      <c r="X112" s="54">
        <v>0</v>
      </c>
      <c r="Y112" s="54">
        <v>0</v>
      </c>
      <c r="Z112" s="54">
        <v>3</v>
      </c>
      <c r="AA112" s="54">
        <v>2</v>
      </c>
      <c r="AB112" s="61">
        <v>0</v>
      </c>
      <c r="AC112" s="62">
        <f>$U$112*VLOOKUP($U$11,'PCU Values'!$B$9:$C$16,2,FALSE)</f>
        <v>32</v>
      </c>
      <c r="AD112" s="62">
        <f>$V$112*VLOOKUP($V$11,'PCU Values'!$B$9:$C$16,2,FALSE)</f>
        <v>1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0.6</v>
      </c>
      <c r="AI112" s="62">
        <f>$AA$112*VLOOKUP($AA$11,'PCU Values'!$B$9:$C$16,2,FALSE)</f>
        <v>0.8</v>
      </c>
      <c r="AJ112" s="70">
        <f>$AB$112*VLOOKUP($AB$11,'PCU Values'!$B$9:$C$16,2,FALSE)</f>
        <v>0</v>
      </c>
      <c r="AK112" s="71">
        <f>SUM($AC$112,$AD$112,$AE$112,$AF$112,$AG$112,$AH$112,$AI$112,$AJ$112)</f>
        <v>34.4</v>
      </c>
      <c r="AL112" s="52">
        <f>SUM($U$112,$V$112,$W$112,$X$112,$Y$112,$Z$112,$AA$112,$AB$112)</f>
        <v>38</v>
      </c>
      <c r="AM112" s="72">
        <v>6</v>
      </c>
      <c r="AN112" s="54">
        <v>1</v>
      </c>
      <c r="AO112" s="54">
        <v>0</v>
      </c>
      <c r="AP112" s="54">
        <v>0</v>
      </c>
      <c r="AQ112" s="54">
        <v>0</v>
      </c>
      <c r="AR112" s="54">
        <v>2</v>
      </c>
      <c r="AS112" s="54">
        <v>0</v>
      </c>
      <c r="AT112" s="61">
        <v>0</v>
      </c>
      <c r="AU112" s="62">
        <f>$AM$112*VLOOKUP($AM$11,'PCU Values'!$B$9:$C$16,2,FALSE)</f>
        <v>6</v>
      </c>
      <c r="AV112" s="62">
        <f>$AN$112*VLOOKUP($AN$11,'PCU Values'!$B$9:$C$16,2,FALSE)</f>
        <v>1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0.4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7.4</v>
      </c>
      <c r="BD112" s="52">
        <f>SUM($AM$112,$AN$112,$AO$112,$AP$112,$AQ$112,$AR$112,$AS$112,$AT$112)</f>
        <v>9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42</v>
      </c>
      <c r="BZ112" s="85">
        <f>SUM($D$112,$V$112,$AN$112,$BF$112)</f>
        <v>2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7</v>
      </c>
      <c r="CE112" s="85">
        <f>SUM($I$112,$AA$112,$AS$112,$BK$112)</f>
        <v>2</v>
      </c>
      <c r="CF112" s="88">
        <f>SUM($J$112,$AB$112,$AT$112,$BL$112)</f>
        <v>0</v>
      </c>
      <c r="CG112" s="81">
        <f>$BY$112*VLOOKUP($BY$11,'PCU Values'!$B$9:$C$16,2,FALSE)</f>
        <v>42</v>
      </c>
      <c r="CH112" s="81">
        <f>$BZ$112*VLOOKUP($BZ$11,'PCU Values'!$B$9:$C$16,2,FALSE)</f>
        <v>2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1.4</v>
      </c>
      <c r="CM112" s="81">
        <f>$CE$112*VLOOKUP($CE$11,'PCU Values'!$B$9:$C$16,2,FALSE)</f>
        <v>0.8</v>
      </c>
      <c r="CN112" s="82">
        <f>$CF$112*VLOOKUP($CF$11,'PCU Values'!$B$9:$C$16,2,FALSE)</f>
        <v>0</v>
      </c>
      <c r="CO112" s="71">
        <f>SUM($CG$112,$CH$112,$CI$112,$CJ$112,$CK$112,$CL$112,$CM$112,$CN$112)</f>
        <v>46.2</v>
      </c>
      <c r="CP112" s="52">
        <f>SUM($BY$112,$BZ$112,$CA$112,$CB$112,$CC$112,$CD$112,$CE$112,$CF$112)</f>
        <v>53</v>
      </c>
      <c r="CQ112" s="91">
        <f>SUM('J1 A - (North) Bishopthorpe Roa'!$BE$112,'J1 B - Butcher Terrace'!$AM$112,'J1 C - (South) Bishopthorpe Roa'!$U$112,'J1 D - South Bank Avenue'!$C$112)</f>
        <v>39</v>
      </c>
      <c r="CR112" s="85">
        <f>SUM('J1 A - (North) Bishopthorpe Roa'!$BF$112,'J1 B - Butcher Terrace'!$AN$112,'J1 C - (South) Bishopthorpe Roa'!$V$112,'J1 D - South Bank Avenue'!$D$112)</f>
        <v>3</v>
      </c>
      <c r="CS112" s="85">
        <f>SUM('J1 A - (North) Bishopthorpe Roa'!$BG$112,'J1 B - Butcher Terrace'!$AO$112,'J1 C - (South) Bishopthorpe Roa'!$W$112,'J1 D - South Bank Avenue'!$E$112)</f>
        <v>0</v>
      </c>
      <c r="CT112" s="85">
        <f>SUM('J1 A - (North) Bishopthorpe Roa'!$BH$112,'J1 B - Butcher Terrace'!$AP$112,'J1 C - (South) Bishopthorpe Roa'!$X$112,'J1 D - South Bank Avenue'!$F$112)</f>
        <v>0</v>
      </c>
      <c r="CU112" s="85">
        <f>SUM('J1 A - (North) Bishopthorpe Roa'!$BI$112,'J1 B - Butcher Terrace'!$AQ$112,'J1 C - (South) Bishopthorpe Roa'!$Y$112,'J1 D - South Bank Avenue'!$G$112)</f>
        <v>1</v>
      </c>
      <c r="CV112" s="85">
        <f>SUM('J1 A - (North) Bishopthorpe Roa'!$BJ$112,'J1 B - Butcher Terrace'!$AR$112,'J1 C - (South) Bishopthorpe Roa'!$Z$112,'J1 D - South Bank Avenue'!$H$112)</f>
        <v>7</v>
      </c>
      <c r="CW112" s="85">
        <f>SUM('J1 A - (North) Bishopthorpe Roa'!$BK$112,'J1 B - Butcher Terrace'!$AS$112,'J1 C - (South) Bishopthorpe Roa'!$AA$112,'J1 D - South Bank Avenue'!$I$112)</f>
        <v>1</v>
      </c>
      <c r="CX112" s="88">
        <f>SUM('J1 A - (North) Bishopthorpe Roa'!$BL$112,'J1 B - Butcher Terrace'!$AT$112,'J1 C - (South) Bishopthorpe Roa'!$AB$112,'J1 D - South Bank Avenue'!$J$112)</f>
        <v>0</v>
      </c>
      <c r="CY112" s="81">
        <f>$CQ$112*VLOOKUP($CQ$11,'PCU Values'!$B$9:$C$16,2,FALSE)</f>
        <v>39</v>
      </c>
      <c r="CZ112" s="81">
        <f>$CR$112*VLOOKUP($CR$11,'PCU Values'!$B$9:$C$16,2,FALSE)</f>
        <v>3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2</v>
      </c>
      <c r="DD112" s="81">
        <f>$CV$112*VLOOKUP($CV$11,'PCU Values'!$B$9:$C$16,2,FALSE)</f>
        <v>1.4</v>
      </c>
      <c r="DE112" s="81">
        <f>$CW$112*VLOOKUP($CW$11,'PCU Values'!$B$9:$C$16,2,FALSE)</f>
        <v>0.4</v>
      </c>
      <c r="DF112" s="82">
        <f>$CX$112*VLOOKUP($CX$11,'PCU Values'!$B$9:$C$16,2,FALSE)</f>
        <v>0</v>
      </c>
      <c r="DG112" s="71">
        <f>SUM($CY$112,$CZ$112,$DA$112,$DB$112,$DC$112,$DD$112,$DE$112,$DF$112)</f>
        <v>45.8</v>
      </c>
      <c r="DH112" s="52">
        <f>SUM($CQ$112,$CR$112,$CS$112,$CT$112,$CU$112,$CV$112,$CW$112,$CX$112)</f>
        <v>51</v>
      </c>
    </row>
    <row r="113" spans="1:112" ht="21" customHeight="1">
      <c r="A113" s="46">
        <v>44395.84375</v>
      </c>
      <c r="B113" s="47" t="s">
        <v>112</v>
      </c>
      <c r="C113" s="48">
        <v>3</v>
      </c>
      <c r="D113" s="48">
        <v>0</v>
      </c>
      <c r="E113" s="48">
        <v>0</v>
      </c>
      <c r="F113" s="48">
        <v>0</v>
      </c>
      <c r="G113" s="48">
        <v>0</v>
      </c>
      <c r="H113" s="48">
        <v>1</v>
      </c>
      <c r="I113" s="48">
        <v>0</v>
      </c>
      <c r="J113" s="56">
        <v>0</v>
      </c>
      <c r="K113" s="57">
        <f>$C$113*VLOOKUP($C$11,'PCU Values'!$B$9:$C$16,2,FALSE)</f>
        <v>3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0.2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3.2</v>
      </c>
      <c r="T113" s="52">
        <f>SUM($C$113,$D$113,$E$113,$F$113,$G$113,$H$113,$I$113,$J$113)</f>
        <v>4</v>
      </c>
      <c r="U113" s="67">
        <v>40</v>
      </c>
      <c r="V113" s="48">
        <v>1</v>
      </c>
      <c r="W113" s="48">
        <v>0</v>
      </c>
      <c r="X113" s="48">
        <v>0</v>
      </c>
      <c r="Y113" s="48">
        <v>2</v>
      </c>
      <c r="Z113" s="48">
        <v>1</v>
      </c>
      <c r="AA113" s="48">
        <v>0</v>
      </c>
      <c r="AB113" s="56">
        <v>0</v>
      </c>
      <c r="AC113" s="57">
        <f>$U$113*VLOOKUP($U$11,'PCU Values'!$B$9:$C$16,2,FALSE)</f>
        <v>40</v>
      </c>
      <c r="AD113" s="57">
        <f>$V$113*VLOOKUP($V$11,'PCU Values'!$B$9:$C$16,2,FALSE)</f>
        <v>1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4</v>
      </c>
      <c r="AH113" s="57">
        <f>$Z$113*VLOOKUP($Z$11,'PCU Values'!$B$9:$C$16,2,FALSE)</f>
        <v>0.2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45.2</v>
      </c>
      <c r="AL113" s="52">
        <f>SUM($U$113,$V$113,$W$113,$X$113,$Y$113,$Z$113,$AA$113,$AB$113)</f>
        <v>44</v>
      </c>
      <c r="AM113" s="67">
        <v>6</v>
      </c>
      <c r="AN113" s="48">
        <v>1</v>
      </c>
      <c r="AO113" s="48">
        <v>0</v>
      </c>
      <c r="AP113" s="48">
        <v>0</v>
      </c>
      <c r="AQ113" s="48">
        <v>0</v>
      </c>
      <c r="AR113" s="48">
        <v>1</v>
      </c>
      <c r="AS113" s="48">
        <v>0</v>
      </c>
      <c r="AT113" s="56">
        <v>0</v>
      </c>
      <c r="AU113" s="57">
        <f>$AM$113*VLOOKUP($AM$11,'PCU Values'!$B$9:$C$16,2,FALSE)</f>
        <v>6</v>
      </c>
      <c r="AV113" s="57">
        <f>$AN$113*VLOOKUP($AN$11,'PCU Values'!$B$9:$C$16,2,FALSE)</f>
        <v>1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0.2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7.2</v>
      </c>
      <c r="BD113" s="52">
        <f>SUM($AM$113,$AN$113,$AO$113,$AP$113,$AQ$113,$AR$113,$AS$113,$AT$113)</f>
        <v>8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49</v>
      </c>
      <c r="BZ113" s="83">
        <f>SUM($D$113,$V$113,$AN$113,$BF$113)</f>
        <v>2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2</v>
      </c>
      <c r="CD113" s="83">
        <f>SUM($H$113,$Z$113,$AR$113,$BJ$113)</f>
        <v>3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49</v>
      </c>
      <c r="CH113" s="77">
        <f>$BZ$113*VLOOKUP($BZ$11,'PCU Values'!$B$9:$C$16,2,FALSE)</f>
        <v>2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4</v>
      </c>
      <c r="CL113" s="77">
        <f>$CD$113*VLOOKUP($CD$11,'PCU Values'!$B$9:$C$16,2,FALSE)</f>
        <v>0.6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55.6</v>
      </c>
      <c r="CP113" s="52">
        <f>SUM($BY$113,$BZ$113,$CA$113,$CB$113,$CC$113,$CD$113,$CE$113,$CF$113)</f>
        <v>56</v>
      </c>
      <c r="CQ113" s="89">
        <f>SUM('J1 A - (North) Bishopthorpe Roa'!$BE$113,'J1 B - Butcher Terrace'!$AM$113,'J1 C - (South) Bishopthorpe Roa'!$U$113,'J1 D - South Bank Avenue'!$C$113)</f>
        <v>26</v>
      </c>
      <c r="CR113" s="83">
        <f>SUM('J1 A - (North) Bishopthorpe Roa'!$BF$113,'J1 B - Butcher Terrace'!$AN$113,'J1 C - (South) Bishopthorpe Roa'!$V$113,'J1 D - South Bank Avenue'!$D$113)</f>
        <v>1</v>
      </c>
      <c r="CS113" s="83">
        <f>SUM('J1 A - (North) Bishopthorpe Roa'!$BG$113,'J1 B - Butcher Terrace'!$AO$113,'J1 C - (South) Bishopthorpe Roa'!$W$113,'J1 D - South Bank Avenue'!$E$113)</f>
        <v>0</v>
      </c>
      <c r="CT113" s="83">
        <f>SUM('J1 A - (North) Bishopthorpe Roa'!$BH$113,'J1 B - Butcher Terrace'!$AP$113,'J1 C - (South) Bishopthorpe Roa'!$X$113,'J1 D - South Bank Avenue'!$F$113)</f>
        <v>0</v>
      </c>
      <c r="CU113" s="83">
        <f>SUM('J1 A - (North) Bishopthorpe Roa'!$BI$113,'J1 B - Butcher Terrace'!$AQ$113,'J1 C - (South) Bishopthorpe Roa'!$Y$113,'J1 D - South Bank Avenue'!$G$113)</f>
        <v>0</v>
      </c>
      <c r="CV113" s="83">
        <f>SUM('J1 A - (North) Bishopthorpe Roa'!$BJ$113,'J1 B - Butcher Terrace'!$AR$113,'J1 C - (South) Bishopthorpe Roa'!$Z$113,'J1 D - South Bank Avenue'!$H$113)</f>
        <v>4</v>
      </c>
      <c r="CW113" s="83">
        <f>SUM('J1 A - (North) Bishopthorpe Roa'!$BK$113,'J1 B - Butcher Terrace'!$AS$113,'J1 C - (South) Bishopthorpe Roa'!$AA$113,'J1 D - South Bank Avenue'!$I$113)</f>
        <v>1</v>
      </c>
      <c r="CX113" s="86">
        <f>SUM('J1 A - (North) Bishopthorpe Roa'!$BL$113,'J1 B - Butcher Terrace'!$AT$113,'J1 C - (South) Bishopthorpe Roa'!$AB$113,'J1 D - South Bank Avenue'!$J$113)</f>
        <v>0</v>
      </c>
      <c r="CY113" s="77">
        <f>$CQ$113*VLOOKUP($CQ$11,'PCU Values'!$B$9:$C$16,2,FALSE)</f>
        <v>26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0.8</v>
      </c>
      <c r="DE113" s="77">
        <f>$CW$113*VLOOKUP($CW$11,'PCU Values'!$B$9:$C$16,2,FALSE)</f>
        <v>0.4</v>
      </c>
      <c r="DF113" s="78">
        <f>$CX$113*VLOOKUP($CX$11,'PCU Values'!$B$9:$C$16,2,FALSE)</f>
        <v>0</v>
      </c>
      <c r="DG113" s="66">
        <f>SUM($CY$113,$CZ$113,$DA$113,$DB$113,$DC$113,$DD$113,$DE$113,$DF$113)</f>
        <v>28.2</v>
      </c>
      <c r="DH113" s="52">
        <f>SUM($CQ$113,$CR$113,$CS$113,$CT$113,$CU$113,$CV$113,$CW$113,$CX$113)</f>
        <v>32</v>
      </c>
    </row>
    <row r="114" spans="1:112" ht="21" customHeight="1">
      <c r="A114" s="46">
        <v>44395.854166666701</v>
      </c>
      <c r="B114" s="47" t="s">
        <v>113</v>
      </c>
      <c r="C114" s="48">
        <v>4</v>
      </c>
      <c r="D114" s="48">
        <v>0</v>
      </c>
      <c r="E114" s="48">
        <v>0</v>
      </c>
      <c r="F114" s="48">
        <v>0</v>
      </c>
      <c r="G114" s="48">
        <v>0</v>
      </c>
      <c r="H114" s="48">
        <v>1</v>
      </c>
      <c r="I114" s="48">
        <v>0</v>
      </c>
      <c r="J114" s="56">
        <v>0</v>
      </c>
      <c r="K114" s="57">
        <f>$C$114*VLOOKUP($C$11,'PCU Values'!$B$9:$C$16,2,FALSE)</f>
        <v>4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0.2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4.2</v>
      </c>
      <c r="T114" s="52">
        <f>SUM($C$114,$D$114,$E$114,$F$114,$G$114,$H$114,$I$114,$J$114)</f>
        <v>5</v>
      </c>
      <c r="U114" s="67">
        <v>18</v>
      </c>
      <c r="V114" s="48">
        <v>3</v>
      </c>
      <c r="W114" s="48">
        <v>0</v>
      </c>
      <c r="X114" s="48">
        <v>0</v>
      </c>
      <c r="Y114" s="48">
        <v>0</v>
      </c>
      <c r="Z114" s="48">
        <v>2</v>
      </c>
      <c r="AA114" s="48">
        <v>1</v>
      </c>
      <c r="AB114" s="56">
        <v>0</v>
      </c>
      <c r="AC114" s="57">
        <f>$U$114*VLOOKUP($U$11,'PCU Values'!$B$9:$C$16,2,FALSE)</f>
        <v>18</v>
      </c>
      <c r="AD114" s="57">
        <f>$V$114*VLOOKUP($V$11,'PCU Values'!$B$9:$C$16,2,FALSE)</f>
        <v>3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0.4</v>
      </c>
      <c r="AI114" s="57">
        <f>$AA$114*VLOOKUP($AA$11,'PCU Values'!$B$9:$C$16,2,FALSE)</f>
        <v>0.4</v>
      </c>
      <c r="AJ114" s="65">
        <f>$AB$114*VLOOKUP($AB$11,'PCU Values'!$B$9:$C$16,2,FALSE)</f>
        <v>0</v>
      </c>
      <c r="AK114" s="66">
        <f>SUM($AC$114,$AD$114,$AE$114,$AF$114,$AG$114,$AH$114,$AI$114,$AJ$114)</f>
        <v>21.8</v>
      </c>
      <c r="AL114" s="52">
        <f>SUM($U$114,$V$114,$W$114,$X$114,$Y$114,$Z$114,$AA$114,$AB$114)</f>
        <v>24</v>
      </c>
      <c r="AM114" s="67">
        <v>2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1</v>
      </c>
      <c r="AT114" s="56">
        <v>0</v>
      </c>
      <c r="AU114" s="57">
        <f>$AM$114*VLOOKUP($AM$11,'PCU Values'!$B$9:$C$16,2,FALSE)</f>
        <v>2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</v>
      </c>
      <c r="BA114" s="57">
        <f>$AS$114*VLOOKUP($AS$11,'PCU Values'!$B$9:$C$16,2,FALSE)</f>
        <v>0.4</v>
      </c>
      <c r="BB114" s="65">
        <f>$AT$114*VLOOKUP($AT$11,'PCU Values'!$B$9:$C$16,2,FALSE)</f>
        <v>0</v>
      </c>
      <c r="BC114" s="66">
        <f>SUM($AU$114,$AV$114,$AW$114,$AX$114,$AY$114,$AZ$114,$BA$114,$BB$114)</f>
        <v>2.4</v>
      </c>
      <c r="BD114" s="52">
        <f>SUM($AM$114,$AN$114,$AO$114,$AP$114,$AQ$114,$AR$114,$AS$114,$AT$114)</f>
        <v>3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24</v>
      </c>
      <c r="BZ114" s="83">
        <f>SUM($D$114,$V$114,$AN$114,$BF$114)</f>
        <v>3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3</v>
      </c>
      <c r="CE114" s="83">
        <f>SUM($I$114,$AA$114,$AS$114,$BK$114)</f>
        <v>2</v>
      </c>
      <c r="CF114" s="86">
        <f>SUM($J$114,$AB$114,$AT$114,$BL$114)</f>
        <v>0</v>
      </c>
      <c r="CG114" s="77">
        <f>$BY$114*VLOOKUP($BY$11,'PCU Values'!$B$9:$C$16,2,FALSE)</f>
        <v>24</v>
      </c>
      <c r="CH114" s="77">
        <f>$BZ$114*VLOOKUP($BZ$11,'PCU Values'!$B$9:$C$16,2,FALSE)</f>
        <v>3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0.6</v>
      </c>
      <c r="CM114" s="77">
        <f>$CE$114*VLOOKUP($CE$11,'PCU Values'!$B$9:$C$16,2,FALSE)</f>
        <v>0.8</v>
      </c>
      <c r="CN114" s="78">
        <f>$CF$114*VLOOKUP($CF$11,'PCU Values'!$B$9:$C$16,2,FALSE)</f>
        <v>0</v>
      </c>
      <c r="CO114" s="66">
        <f>SUM($CG$114,$CH$114,$CI$114,$CJ$114,$CK$114,$CL$114,$CM$114,$CN$114)</f>
        <v>28.4</v>
      </c>
      <c r="CP114" s="52">
        <f>SUM($BY$114,$BZ$114,$CA$114,$CB$114,$CC$114,$CD$114,$CE$114,$CF$114)</f>
        <v>32</v>
      </c>
      <c r="CQ114" s="89">
        <f>SUM('J1 A - (North) Bishopthorpe Roa'!$BE$114,'J1 B - Butcher Terrace'!$AM$114,'J1 C - (South) Bishopthorpe Roa'!$U$114,'J1 D - South Bank Avenue'!$C$114)</f>
        <v>30</v>
      </c>
      <c r="CR114" s="83">
        <f>SUM('J1 A - (North) Bishopthorpe Roa'!$BF$114,'J1 B - Butcher Terrace'!$AN$114,'J1 C - (South) Bishopthorpe Roa'!$V$114,'J1 D - South Bank Avenue'!$D$114)</f>
        <v>3</v>
      </c>
      <c r="CS114" s="83">
        <f>SUM('J1 A - (North) Bishopthorpe Roa'!$BG$114,'J1 B - Butcher Terrace'!$AO$114,'J1 C - (South) Bishopthorpe Roa'!$W$114,'J1 D - South Bank Avenue'!$E$114)</f>
        <v>1</v>
      </c>
      <c r="CT114" s="83">
        <f>SUM('J1 A - (North) Bishopthorpe Roa'!$BH$114,'J1 B - Butcher Terrace'!$AP$114,'J1 C - (South) Bishopthorpe Roa'!$X$114,'J1 D - South Bank Avenue'!$F$114)</f>
        <v>0</v>
      </c>
      <c r="CU114" s="83">
        <f>SUM('J1 A - (North) Bishopthorpe Roa'!$BI$114,'J1 B - Butcher Terrace'!$AQ$114,'J1 C - (South) Bishopthorpe Roa'!$Y$114,'J1 D - South Bank Avenue'!$G$114)</f>
        <v>0</v>
      </c>
      <c r="CV114" s="83">
        <f>SUM('J1 A - (North) Bishopthorpe Roa'!$BJ$114,'J1 B - Butcher Terrace'!$AR$114,'J1 C - (South) Bishopthorpe Roa'!$Z$114,'J1 D - South Bank Avenue'!$H$114)</f>
        <v>1</v>
      </c>
      <c r="CW114" s="83">
        <f>SUM('J1 A - (North) Bishopthorpe Roa'!$BK$114,'J1 B - Butcher Terrace'!$AS$114,'J1 C - (South) Bishopthorpe Roa'!$AA$114,'J1 D - South Bank Avenue'!$I$114)</f>
        <v>1</v>
      </c>
      <c r="CX114" s="86">
        <f>SUM('J1 A - (North) Bishopthorpe Roa'!$BL$114,'J1 B - Butcher Terrace'!$AT$114,'J1 C - (South) Bishopthorpe Roa'!$AB$114,'J1 D - South Bank Avenue'!$J$114)</f>
        <v>0</v>
      </c>
      <c r="CY114" s="77">
        <f>$CQ$114*VLOOKUP($CQ$11,'PCU Values'!$B$9:$C$16,2,FALSE)</f>
        <v>30</v>
      </c>
      <c r="CZ114" s="77">
        <f>$CR$114*VLOOKUP($CR$11,'PCU Values'!$B$9:$C$16,2,FALSE)</f>
        <v>3</v>
      </c>
      <c r="DA114" s="77">
        <f>$CS$114*VLOOKUP($CS$11,'PCU Values'!$B$9:$C$16,2,FALSE)</f>
        <v>1.5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0.2</v>
      </c>
      <c r="DE114" s="77">
        <f>$CW$114*VLOOKUP($CW$11,'PCU Values'!$B$9:$C$16,2,FALSE)</f>
        <v>0.4</v>
      </c>
      <c r="DF114" s="78">
        <f>$CX$114*VLOOKUP($CX$11,'PCU Values'!$B$9:$C$16,2,FALSE)</f>
        <v>0</v>
      </c>
      <c r="DG114" s="66">
        <f>SUM($CY$114,$CZ$114,$DA$114,$DB$114,$DC$114,$DD$114,$DE$114,$DF$114)</f>
        <v>35.1</v>
      </c>
      <c r="DH114" s="52">
        <f>SUM($CQ$114,$CR$114,$CS$114,$CT$114,$CU$114,$CV$114,$CW$114,$CX$114)</f>
        <v>36</v>
      </c>
    </row>
    <row r="115" spans="1:112" ht="21" customHeight="1">
      <c r="A115" s="46">
        <v>44395.864583333299</v>
      </c>
      <c r="B115" s="50" t="s">
        <v>114</v>
      </c>
      <c r="C115" s="51">
        <v>1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1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1</v>
      </c>
      <c r="T115" s="52">
        <f>SUM($C$115,$D$115,$E$115,$F$115,$G$115,$H$115,$I$115,$J$115)</f>
        <v>1</v>
      </c>
      <c r="U115" s="73">
        <v>18</v>
      </c>
      <c r="V115" s="51">
        <v>0</v>
      </c>
      <c r="W115" s="51">
        <v>0</v>
      </c>
      <c r="X115" s="51">
        <v>0</v>
      </c>
      <c r="Y115" s="51">
        <v>0</v>
      </c>
      <c r="Z115" s="51">
        <v>3</v>
      </c>
      <c r="AA115" s="51">
        <v>1</v>
      </c>
      <c r="AB115" s="59">
        <v>0</v>
      </c>
      <c r="AC115" s="60">
        <f>$U$115*VLOOKUP($U$11,'PCU Values'!$B$9:$C$16,2,FALSE)</f>
        <v>18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0.6</v>
      </c>
      <c r="AI115" s="60">
        <f>$AA$115*VLOOKUP($AA$11,'PCU Values'!$B$9:$C$16,2,FALSE)</f>
        <v>0.4</v>
      </c>
      <c r="AJ115" s="68">
        <f>$AB$115*VLOOKUP($AB$11,'PCU Values'!$B$9:$C$16,2,FALSE)</f>
        <v>0</v>
      </c>
      <c r="AK115" s="63">
        <f>SUM($AC$115,$AD$115,$AE$115,$AF$115,$AG$115,$AH$115,$AI$115,$AJ$115)</f>
        <v>19</v>
      </c>
      <c r="AL115" s="52">
        <f>SUM($U$115,$V$115,$W$115,$X$115,$Y$115,$Z$115,$AA$115,$AB$115)</f>
        <v>22</v>
      </c>
      <c r="AM115" s="73">
        <v>3</v>
      </c>
      <c r="AN115" s="51">
        <v>0</v>
      </c>
      <c r="AO115" s="51">
        <v>0</v>
      </c>
      <c r="AP115" s="51">
        <v>0</v>
      </c>
      <c r="AQ115" s="51">
        <v>0</v>
      </c>
      <c r="AR115" s="51">
        <v>2</v>
      </c>
      <c r="AS115" s="51">
        <v>0</v>
      </c>
      <c r="AT115" s="59">
        <v>0</v>
      </c>
      <c r="AU115" s="60">
        <f>$AM$115*VLOOKUP($AM$11,'PCU Values'!$B$9:$C$16,2,FALSE)</f>
        <v>3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0.4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3.4</v>
      </c>
      <c r="BD115" s="52">
        <f>SUM($AM$115,$AN$115,$AO$115,$AP$115,$AQ$115,$AR$115,$AS$115,$AT$115)</f>
        <v>5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22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5</v>
      </c>
      <c r="CE115" s="84">
        <f>SUM($I$115,$AA$115,$AS$115,$BK$115)</f>
        <v>1</v>
      </c>
      <c r="CF115" s="87">
        <f>SUM($J$115,$AB$115,$AT$115,$BL$115)</f>
        <v>0</v>
      </c>
      <c r="CG115" s="79">
        <f>$BY$115*VLOOKUP($BY$11,'PCU Values'!$B$9:$C$16,2,FALSE)</f>
        <v>22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1</v>
      </c>
      <c r="CM115" s="79">
        <f>$CE$115*VLOOKUP($CE$11,'PCU Values'!$B$9:$C$16,2,FALSE)</f>
        <v>0.4</v>
      </c>
      <c r="CN115" s="80">
        <f>$CF$115*VLOOKUP($CF$11,'PCU Values'!$B$9:$C$16,2,FALSE)</f>
        <v>0</v>
      </c>
      <c r="CO115" s="63">
        <f>SUM($CG$115,$CH$115,$CI$115,$CJ$115,$CK$115,$CL$115,$CM$115,$CN$115)</f>
        <v>23.4</v>
      </c>
      <c r="CP115" s="52">
        <f>SUM($BY$115,$BZ$115,$CA$115,$CB$115,$CC$115,$CD$115,$CE$115,$CF$115)</f>
        <v>28</v>
      </c>
      <c r="CQ115" s="90">
        <f>SUM('J1 A - (North) Bishopthorpe Roa'!$BE$115,'J1 B - Butcher Terrace'!$AM$115,'J1 C - (South) Bishopthorpe Roa'!$U$115,'J1 D - South Bank Avenue'!$C$115)</f>
        <v>32</v>
      </c>
      <c r="CR115" s="84">
        <f>SUM('J1 A - (North) Bishopthorpe Roa'!$BF$115,'J1 B - Butcher Terrace'!$AN$115,'J1 C - (South) Bishopthorpe Roa'!$V$115,'J1 D - South Bank Avenue'!$D$115)</f>
        <v>3</v>
      </c>
      <c r="CS115" s="84">
        <f>SUM('J1 A - (North) Bishopthorpe Roa'!$BG$115,'J1 B - Butcher Terrace'!$AO$115,'J1 C - (South) Bishopthorpe Roa'!$W$115,'J1 D - South Bank Avenue'!$E$115)</f>
        <v>0</v>
      </c>
      <c r="CT115" s="84">
        <f>SUM('J1 A - (North) Bishopthorpe Roa'!$BH$115,'J1 B - Butcher Terrace'!$AP$115,'J1 C - (South) Bishopthorpe Roa'!$X$115,'J1 D - South Bank Avenue'!$F$115)</f>
        <v>0</v>
      </c>
      <c r="CU115" s="84">
        <f>SUM('J1 A - (North) Bishopthorpe Roa'!$BI$115,'J1 B - Butcher Terrace'!$AQ$115,'J1 C - (South) Bishopthorpe Roa'!$Y$115,'J1 D - South Bank Avenue'!$G$115)</f>
        <v>1</v>
      </c>
      <c r="CV115" s="84">
        <f>SUM('J1 A - (North) Bishopthorpe Roa'!$BJ$115,'J1 B - Butcher Terrace'!$AR$115,'J1 C - (South) Bishopthorpe Roa'!$Z$115,'J1 D - South Bank Avenue'!$H$115)</f>
        <v>3</v>
      </c>
      <c r="CW115" s="84">
        <f>SUM('J1 A - (North) Bishopthorpe Roa'!$BK$115,'J1 B - Butcher Terrace'!$AS$115,'J1 C - (South) Bishopthorpe Roa'!$AA$115,'J1 D - South Bank Avenue'!$I$115)</f>
        <v>0</v>
      </c>
      <c r="CX115" s="87">
        <f>SUM('J1 A - (North) Bishopthorpe Roa'!$BL$115,'J1 B - Butcher Terrace'!$AT$115,'J1 C - (South) Bishopthorpe Roa'!$AB$115,'J1 D - South Bank Avenue'!$J$115)</f>
        <v>0</v>
      </c>
      <c r="CY115" s="79">
        <f>$CQ$115*VLOOKUP($CQ$11,'PCU Values'!$B$9:$C$16,2,FALSE)</f>
        <v>32</v>
      </c>
      <c r="CZ115" s="79">
        <f>$CR$115*VLOOKUP($CR$11,'PCU Values'!$B$9:$C$16,2,FALSE)</f>
        <v>3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2</v>
      </c>
      <c r="DD115" s="79">
        <f>$CV$115*VLOOKUP($CV$11,'PCU Values'!$B$9:$C$16,2,FALSE)</f>
        <v>0.6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37.6</v>
      </c>
      <c r="DH115" s="52">
        <f>SUM($CQ$115,$CR$115,$CS$115,$CT$115,$CU$115,$CV$115,$CW$115,$CX$115)</f>
        <v>39</v>
      </c>
    </row>
    <row r="116" spans="1:112">
      <c r="B116" s="52" t="s">
        <v>34</v>
      </c>
      <c r="C116" s="52">
        <f>SUM($C$112:$C$115)</f>
        <v>12</v>
      </c>
      <c r="D116" s="52">
        <f>SUM($D$112:$D$115)</f>
        <v>0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4</v>
      </c>
      <c r="I116" s="52">
        <f>SUM($I$112:$I$115)</f>
        <v>0</v>
      </c>
      <c r="J116" s="52">
        <f>SUM($J$112:$J$115)</f>
        <v>0</v>
      </c>
      <c r="K116" s="52">
        <f>SUM($K$112:$K$115)</f>
        <v>12</v>
      </c>
      <c r="L116" s="52">
        <f>SUM($L$112:$L$115)</f>
        <v>0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13</v>
      </c>
      <c r="T116" s="52">
        <f>SUM($C$116,$D$116,$E$116,$F$116,$G$116,$H$116,$I$116,$J$116)</f>
        <v>16</v>
      </c>
      <c r="U116" s="52">
        <f>SUM($U$112:$U$115)</f>
        <v>108</v>
      </c>
      <c r="V116" s="52">
        <f>SUM($V$112:$V$115)</f>
        <v>5</v>
      </c>
      <c r="W116" s="52">
        <f>SUM($W$112:$W$115)</f>
        <v>0</v>
      </c>
      <c r="X116" s="52">
        <f>SUM($X$112:$X$115)</f>
        <v>0</v>
      </c>
      <c r="Y116" s="52">
        <f>SUM($Y$112:$Y$115)</f>
        <v>2</v>
      </c>
      <c r="Z116" s="52">
        <f>SUM($Z$112:$Z$115)</f>
        <v>9</v>
      </c>
      <c r="AA116" s="52">
        <f>SUM($AA$112:$AA$115)</f>
        <v>4</v>
      </c>
      <c r="AB116" s="52">
        <f>SUM($AB$112:$AB$115)</f>
        <v>0</v>
      </c>
      <c r="AC116" s="52">
        <f>SUM($AC$112:$AC$115)</f>
        <v>108</v>
      </c>
      <c r="AD116" s="52">
        <f>SUM($AD$112:$AD$115)</f>
        <v>5</v>
      </c>
      <c r="AE116" s="52">
        <f>SUM($AE$112:$AE$115)</f>
        <v>0</v>
      </c>
      <c r="AF116" s="52">
        <f>SUM($AF$112:$AF$115)</f>
        <v>0</v>
      </c>
      <c r="AG116" s="52">
        <f>SUM($AG$112:$AG$115)</f>
        <v>4</v>
      </c>
      <c r="AH116" s="52">
        <f>SUM($AH$112:$AH$115)</f>
        <v>2</v>
      </c>
      <c r="AI116" s="52">
        <f>SUM($AI$112:$AI$115)</f>
        <v>2</v>
      </c>
      <c r="AJ116" s="52">
        <f>SUM($AJ$112:$AJ$115)</f>
        <v>0</v>
      </c>
      <c r="AK116" s="52">
        <f>SUM($AC$116,$AD$116,$AE$116,$AF$116,$AG$116,$AH$116,$AI$116,$AJ$116)</f>
        <v>121</v>
      </c>
      <c r="AL116" s="52">
        <f>SUM($U$116,$V$116,$W$116,$X$116,$Y$116,$Z$116,$AA$116,$AB$116)</f>
        <v>128</v>
      </c>
      <c r="AM116" s="52">
        <f>SUM($AM$112:$AM$115)</f>
        <v>17</v>
      </c>
      <c r="AN116" s="52">
        <f>SUM($AN$112:$AN$115)</f>
        <v>2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5</v>
      </c>
      <c r="AS116" s="52">
        <f>SUM($AS$112:$AS$115)</f>
        <v>1</v>
      </c>
      <c r="AT116" s="52">
        <f>SUM($AT$112:$AT$115)</f>
        <v>0</v>
      </c>
      <c r="AU116" s="52">
        <f>SUM($AU$112:$AU$115)</f>
        <v>17</v>
      </c>
      <c r="AV116" s="52">
        <f>SUM($AV$112:$AV$115)</f>
        <v>2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1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20</v>
      </c>
      <c r="BD116" s="52">
        <f>SUM($AM$116,$AN$116,$AO$116,$AP$116,$AQ$116,$AR$116,$AS$116,$AT$116)</f>
        <v>25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137</v>
      </c>
      <c r="BZ116" s="52">
        <f>SUM($BZ$112:$BZ$115)</f>
        <v>7</v>
      </c>
      <c r="CA116" s="52">
        <f>SUM($CA$112:$CA$115)</f>
        <v>0</v>
      </c>
      <c r="CB116" s="52">
        <f>SUM($CB$112:$CB$115)</f>
        <v>0</v>
      </c>
      <c r="CC116" s="52">
        <f>SUM($CC$112:$CC$115)</f>
        <v>2</v>
      </c>
      <c r="CD116" s="52">
        <f>SUM($CD$112:$CD$115)</f>
        <v>18</v>
      </c>
      <c r="CE116" s="52">
        <f>SUM($CE$112:$CE$115)</f>
        <v>5</v>
      </c>
      <c r="CF116" s="52">
        <f>SUM($CF$112:$CF$115)</f>
        <v>0</v>
      </c>
      <c r="CG116" s="52">
        <f>SUM($CG$112:$CG$115)</f>
        <v>137</v>
      </c>
      <c r="CH116" s="52">
        <f>SUM($CH$112:$CH$115)</f>
        <v>7</v>
      </c>
      <c r="CI116" s="52">
        <f>SUM($CI$112:$CI$115)</f>
        <v>0</v>
      </c>
      <c r="CJ116" s="52">
        <f>SUM($CJ$112:$CJ$115)</f>
        <v>0</v>
      </c>
      <c r="CK116" s="52">
        <f>SUM($CK$112:$CK$115)</f>
        <v>4</v>
      </c>
      <c r="CL116" s="52">
        <f>SUM($CL$112:$CL$115)</f>
        <v>4</v>
      </c>
      <c r="CM116" s="52">
        <f>SUM($CM$112:$CM$115)</f>
        <v>2</v>
      </c>
      <c r="CN116" s="52">
        <f>SUM($CN$112:$CN$115)</f>
        <v>0</v>
      </c>
      <c r="CO116" s="52">
        <f>SUM($CG$116,$CH$116,$CI$116,$CJ$116,$CK$116,$CL$116,$CM$116,$CN$116)</f>
        <v>154</v>
      </c>
      <c r="CP116" s="52">
        <f>SUM($BY$116,$BZ$116,$CA$116,$CB$116,$CC$116,$CD$116,$CE$116,$CF$116)</f>
        <v>169</v>
      </c>
      <c r="CQ116" s="52">
        <f>SUM($CQ$112:$CQ$115)</f>
        <v>127</v>
      </c>
      <c r="CR116" s="52">
        <f>SUM($CR$112:$CR$115)</f>
        <v>10</v>
      </c>
      <c r="CS116" s="52">
        <f>SUM($CS$112:$CS$115)</f>
        <v>1</v>
      </c>
      <c r="CT116" s="52">
        <f>SUM($CT$112:$CT$115)</f>
        <v>0</v>
      </c>
      <c r="CU116" s="52">
        <f>SUM($CU$112:$CU$115)</f>
        <v>2</v>
      </c>
      <c r="CV116" s="52">
        <f>SUM($CV$112:$CV$115)</f>
        <v>15</v>
      </c>
      <c r="CW116" s="52">
        <f>SUM($CW$112:$CW$115)</f>
        <v>3</v>
      </c>
      <c r="CX116" s="52">
        <f>SUM($CX$112:$CX$115)</f>
        <v>0</v>
      </c>
      <c r="CY116" s="52">
        <f>SUM($CY$112:$CY$115)</f>
        <v>127</v>
      </c>
      <c r="CZ116" s="52">
        <f>SUM($CZ$112:$CZ$115)</f>
        <v>10</v>
      </c>
      <c r="DA116" s="52">
        <f>SUM($DA$112:$DA$115)</f>
        <v>2</v>
      </c>
      <c r="DB116" s="52">
        <f>SUM($DB$112:$DB$115)</f>
        <v>0</v>
      </c>
      <c r="DC116" s="52">
        <f>SUM($DC$112:$DC$115)</f>
        <v>4</v>
      </c>
      <c r="DD116" s="52">
        <f>SUM($DD$112:$DD$115)</f>
        <v>3</v>
      </c>
      <c r="DE116" s="52">
        <f>SUM($DE$112:$DE$115)</f>
        <v>1</v>
      </c>
      <c r="DF116" s="52">
        <f>SUM($DF$112:$DF$115)</f>
        <v>0</v>
      </c>
      <c r="DG116" s="52">
        <f>SUM($CY$116,$CZ$116,$DA$116,$DB$116,$DC$116,$DD$116,$DE$116,$DF$116)</f>
        <v>147</v>
      </c>
      <c r="DH116" s="52">
        <f>SUM($CQ$116,$CR$116,$CS$116,$CT$116,$CU$116,$CV$116,$CW$116,$CX$116)</f>
        <v>158</v>
      </c>
    </row>
    <row r="117" spans="1:112" ht="21" customHeight="1">
      <c r="A117" s="46">
        <v>44395.875</v>
      </c>
      <c r="B117" s="53" t="s">
        <v>115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1</v>
      </c>
      <c r="T117" s="52">
        <f>SUM($C$117,$D$117,$E$117,$F$117,$G$117,$H$117,$I$117,$J$117)</f>
        <v>1</v>
      </c>
      <c r="U117" s="72">
        <v>25</v>
      </c>
      <c r="V117" s="54">
        <v>1</v>
      </c>
      <c r="W117" s="54">
        <v>0</v>
      </c>
      <c r="X117" s="54">
        <v>0</v>
      </c>
      <c r="Y117" s="54">
        <v>0</v>
      </c>
      <c r="Z117" s="54">
        <v>2</v>
      </c>
      <c r="AA117" s="54">
        <v>0</v>
      </c>
      <c r="AB117" s="61">
        <v>0</v>
      </c>
      <c r="AC117" s="62">
        <f>$U$117*VLOOKUP($U$11,'PCU Values'!$B$9:$C$16,2,FALSE)</f>
        <v>25</v>
      </c>
      <c r="AD117" s="62">
        <f>$V$117*VLOOKUP($V$11,'PCU Values'!$B$9:$C$16,2,FALSE)</f>
        <v>1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0.4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26.4</v>
      </c>
      <c r="AL117" s="52">
        <f>SUM($U$117,$V$117,$W$117,$X$117,$Y$117,$Z$117,$AA$117,$AB$117)</f>
        <v>28</v>
      </c>
      <c r="AM117" s="72">
        <v>6</v>
      </c>
      <c r="AN117" s="54">
        <v>1</v>
      </c>
      <c r="AO117" s="54">
        <v>0</v>
      </c>
      <c r="AP117" s="54">
        <v>0</v>
      </c>
      <c r="AQ117" s="54">
        <v>0</v>
      </c>
      <c r="AR117" s="54">
        <v>1</v>
      </c>
      <c r="AS117" s="54">
        <v>1</v>
      </c>
      <c r="AT117" s="61">
        <v>0</v>
      </c>
      <c r="AU117" s="62">
        <f>$AM$117*VLOOKUP($AM$11,'PCU Values'!$B$9:$C$16,2,FALSE)</f>
        <v>6</v>
      </c>
      <c r="AV117" s="62">
        <f>$AN$117*VLOOKUP($AN$11,'PCU Values'!$B$9:$C$16,2,FALSE)</f>
        <v>1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0.2</v>
      </c>
      <c r="BA117" s="62">
        <f>$AS$117*VLOOKUP($AS$11,'PCU Values'!$B$9:$C$16,2,FALSE)</f>
        <v>0.4</v>
      </c>
      <c r="BB117" s="70">
        <f>$AT$117*VLOOKUP($AT$11,'PCU Values'!$B$9:$C$16,2,FALSE)</f>
        <v>0</v>
      </c>
      <c r="BC117" s="71">
        <f>SUM($AU$117,$AV$117,$AW$117,$AX$117,$AY$117,$AZ$117,$BA$117,$BB$117)</f>
        <v>7.6</v>
      </c>
      <c r="BD117" s="52">
        <f>SUM($AM$117,$AN$117,$AO$117,$AP$117,$AQ$117,$AR$117,$AS$117,$AT$117)</f>
        <v>9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32</v>
      </c>
      <c r="BZ117" s="85">
        <f>SUM($D$117,$V$117,$AN$117,$BF$117)</f>
        <v>2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3</v>
      </c>
      <c r="CE117" s="85">
        <f>SUM($I$117,$AA$117,$AS$117,$BK$117)</f>
        <v>1</v>
      </c>
      <c r="CF117" s="88">
        <f>SUM($J$117,$AB$117,$AT$117,$BL$117)</f>
        <v>0</v>
      </c>
      <c r="CG117" s="81">
        <f>$BY$117*VLOOKUP($BY$11,'PCU Values'!$B$9:$C$16,2,FALSE)</f>
        <v>32</v>
      </c>
      <c r="CH117" s="81">
        <f>$BZ$117*VLOOKUP($BZ$11,'PCU Values'!$B$9:$C$16,2,FALSE)</f>
        <v>2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0.6</v>
      </c>
      <c r="CM117" s="81">
        <f>$CE$117*VLOOKUP($CE$11,'PCU Values'!$B$9:$C$16,2,FALSE)</f>
        <v>0.4</v>
      </c>
      <c r="CN117" s="82">
        <f>$CF$117*VLOOKUP($CF$11,'PCU Values'!$B$9:$C$16,2,FALSE)</f>
        <v>0</v>
      </c>
      <c r="CO117" s="71">
        <f>SUM($CG$117,$CH$117,$CI$117,$CJ$117,$CK$117,$CL$117,$CM$117,$CN$117)</f>
        <v>35</v>
      </c>
      <c r="CP117" s="52">
        <f>SUM($BY$117,$BZ$117,$CA$117,$CB$117,$CC$117,$CD$117,$CE$117,$CF$117)</f>
        <v>38</v>
      </c>
      <c r="CQ117" s="91">
        <f>SUM('J1 A - (North) Bishopthorpe Roa'!$BE$117,'J1 B - Butcher Terrace'!$AM$117,'J1 C - (South) Bishopthorpe Roa'!$U$117,'J1 D - South Bank Avenue'!$C$117)</f>
        <v>22</v>
      </c>
      <c r="CR117" s="85">
        <f>SUM('J1 A - (North) Bishopthorpe Roa'!$BF$117,'J1 B - Butcher Terrace'!$AN$117,'J1 C - (South) Bishopthorpe Roa'!$V$117,'J1 D - South Bank Avenue'!$D$117)</f>
        <v>2</v>
      </c>
      <c r="CS117" s="85">
        <f>SUM('J1 A - (North) Bishopthorpe Roa'!$BG$117,'J1 B - Butcher Terrace'!$AO$117,'J1 C - (South) Bishopthorpe Roa'!$W$117,'J1 D - South Bank Avenue'!$E$117)</f>
        <v>1</v>
      </c>
      <c r="CT117" s="85">
        <f>SUM('J1 A - (North) Bishopthorpe Roa'!$BH$117,'J1 B - Butcher Terrace'!$AP$117,'J1 C - (South) Bishopthorpe Roa'!$X$117,'J1 D - South Bank Avenue'!$F$117)</f>
        <v>0</v>
      </c>
      <c r="CU117" s="85">
        <f>SUM('J1 A - (North) Bishopthorpe Roa'!$BI$117,'J1 B - Butcher Terrace'!$AQ$117,'J1 C - (South) Bishopthorpe Roa'!$Y$117,'J1 D - South Bank Avenue'!$G$117)</f>
        <v>0</v>
      </c>
      <c r="CV117" s="85">
        <f>SUM('J1 A - (North) Bishopthorpe Roa'!$BJ$117,'J1 B - Butcher Terrace'!$AR$117,'J1 C - (South) Bishopthorpe Roa'!$Z$117,'J1 D - South Bank Avenue'!$H$117)</f>
        <v>2</v>
      </c>
      <c r="CW117" s="85">
        <f>SUM('J1 A - (North) Bishopthorpe Roa'!$BK$117,'J1 B - Butcher Terrace'!$AS$117,'J1 C - (South) Bishopthorpe Roa'!$AA$117,'J1 D - South Bank Avenue'!$I$117)</f>
        <v>1</v>
      </c>
      <c r="CX117" s="88">
        <f>SUM('J1 A - (North) Bishopthorpe Roa'!$BL$117,'J1 B - Butcher Terrace'!$AT$117,'J1 C - (South) Bishopthorpe Roa'!$AB$117,'J1 D - South Bank Avenue'!$J$117)</f>
        <v>0</v>
      </c>
      <c r="CY117" s="81">
        <f>$CQ$117*VLOOKUP($CQ$11,'PCU Values'!$B$9:$C$16,2,FALSE)</f>
        <v>22</v>
      </c>
      <c r="CZ117" s="81">
        <f>$CR$117*VLOOKUP($CR$11,'PCU Values'!$B$9:$C$16,2,FALSE)</f>
        <v>2</v>
      </c>
      <c r="DA117" s="81">
        <f>$CS$117*VLOOKUP($CS$11,'PCU Values'!$B$9:$C$16,2,FALSE)</f>
        <v>1.5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0.4</v>
      </c>
      <c r="DE117" s="81">
        <f>$CW$117*VLOOKUP($CW$11,'PCU Values'!$B$9:$C$16,2,FALSE)</f>
        <v>0.4</v>
      </c>
      <c r="DF117" s="82">
        <f>$CX$117*VLOOKUP($CX$11,'PCU Values'!$B$9:$C$16,2,FALSE)</f>
        <v>0</v>
      </c>
      <c r="DG117" s="71">
        <f>SUM($CY$117,$CZ$117,$DA$117,$DB$117,$DC$117,$DD$117,$DE$117,$DF$117)</f>
        <v>26.3</v>
      </c>
      <c r="DH117" s="52">
        <f>SUM($CQ$117,$CR$117,$CS$117,$CT$117,$CU$117,$CV$117,$CW$117,$CX$117)</f>
        <v>28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1</v>
      </c>
      <c r="I118" s="48">
        <v>0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0.2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0.2</v>
      </c>
      <c r="T118" s="52">
        <f>SUM($C$118,$D$118,$E$118,$F$118,$G$118,$H$118,$I$118,$J$118)</f>
        <v>1</v>
      </c>
      <c r="U118" s="67">
        <v>31</v>
      </c>
      <c r="V118" s="48">
        <v>2</v>
      </c>
      <c r="W118" s="48">
        <v>0</v>
      </c>
      <c r="X118" s="48">
        <v>0</v>
      </c>
      <c r="Y118" s="48">
        <v>1</v>
      </c>
      <c r="Z118" s="48">
        <v>1</v>
      </c>
      <c r="AA118" s="48">
        <v>0</v>
      </c>
      <c r="AB118" s="56">
        <v>0</v>
      </c>
      <c r="AC118" s="57">
        <f>$U$118*VLOOKUP($U$11,'PCU Values'!$B$9:$C$16,2,FALSE)</f>
        <v>31</v>
      </c>
      <c r="AD118" s="57">
        <f>$V$118*VLOOKUP($V$11,'PCU Values'!$B$9:$C$16,2,FALSE)</f>
        <v>2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2</v>
      </c>
      <c r="AH118" s="57">
        <f>$Z$118*VLOOKUP($Z$11,'PCU Values'!$B$9:$C$16,2,FALSE)</f>
        <v>0.2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35.200000000000003</v>
      </c>
      <c r="AL118" s="52">
        <f>SUM($U$118,$V$118,$W$118,$X$118,$Y$118,$Z$118,$AA$118,$AB$118)</f>
        <v>35</v>
      </c>
      <c r="AM118" s="67">
        <v>6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56">
        <v>0</v>
      </c>
      <c r="AU118" s="57">
        <f>$AM$118*VLOOKUP($AM$11,'PCU Values'!$B$9:$C$16,2,FALSE)</f>
        <v>6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6</v>
      </c>
      <c r="BD118" s="52">
        <f>SUM($AM$118,$AN$118,$AO$118,$AP$118,$AQ$118,$AR$118,$AS$118,$AT$118)</f>
        <v>6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37</v>
      </c>
      <c r="BZ118" s="83">
        <f>SUM($D$118,$V$118,$AN$118,$BF$118)</f>
        <v>2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1</v>
      </c>
      <c r="CD118" s="83">
        <f>SUM($H$118,$Z$118,$AR$118,$BJ$118)</f>
        <v>2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37</v>
      </c>
      <c r="CH118" s="77">
        <f>$BZ$118*VLOOKUP($BZ$11,'PCU Values'!$B$9:$C$16,2,FALSE)</f>
        <v>2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2</v>
      </c>
      <c r="CL118" s="77">
        <f>$CD$118*VLOOKUP($CD$11,'PCU Values'!$B$9:$C$16,2,FALSE)</f>
        <v>0.4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41.4</v>
      </c>
      <c r="CP118" s="52">
        <f>SUM($BY$118,$BZ$118,$CA$118,$CB$118,$CC$118,$CD$118,$CE$118,$CF$118)</f>
        <v>42</v>
      </c>
      <c r="CQ118" s="89">
        <f>SUM('J1 A - (North) Bishopthorpe Roa'!$BE$118,'J1 B - Butcher Terrace'!$AM$118,'J1 C - (South) Bishopthorpe Roa'!$U$118,'J1 D - South Bank Avenue'!$C$118)</f>
        <v>29</v>
      </c>
      <c r="CR118" s="83">
        <f>SUM('J1 A - (North) Bishopthorpe Roa'!$BF$118,'J1 B - Butcher Terrace'!$AN$118,'J1 C - (South) Bishopthorpe Roa'!$V$118,'J1 D - South Bank Avenue'!$D$118)</f>
        <v>1</v>
      </c>
      <c r="CS118" s="83">
        <f>SUM('J1 A - (North) Bishopthorpe Roa'!$BG$118,'J1 B - Butcher Terrace'!$AO$118,'J1 C - (South) Bishopthorpe Roa'!$W$118,'J1 D - South Bank Avenue'!$E$118)</f>
        <v>0</v>
      </c>
      <c r="CT118" s="83">
        <f>SUM('J1 A - (North) Bishopthorpe Roa'!$BH$118,'J1 B - Butcher Terrace'!$AP$118,'J1 C - (South) Bishopthorpe Roa'!$X$118,'J1 D - South Bank Avenue'!$F$118)</f>
        <v>0</v>
      </c>
      <c r="CU118" s="83">
        <f>SUM('J1 A - (North) Bishopthorpe Roa'!$BI$118,'J1 B - Butcher Terrace'!$AQ$118,'J1 C - (South) Bishopthorpe Roa'!$Y$118,'J1 D - South Bank Avenue'!$G$118)</f>
        <v>0</v>
      </c>
      <c r="CV118" s="83">
        <f>SUM('J1 A - (North) Bishopthorpe Roa'!$BJ$118,'J1 B - Butcher Terrace'!$AR$118,'J1 C - (South) Bishopthorpe Roa'!$Z$118,'J1 D - South Bank Avenue'!$H$118)</f>
        <v>8</v>
      </c>
      <c r="CW118" s="83">
        <f>SUM('J1 A - (North) Bishopthorpe Roa'!$BK$118,'J1 B - Butcher Terrace'!$AS$118,'J1 C - (South) Bishopthorpe Roa'!$AA$118,'J1 D - South Bank Avenue'!$I$118)</f>
        <v>0</v>
      </c>
      <c r="CX118" s="86">
        <f>SUM('J1 A - (North) Bishopthorpe Roa'!$BL$118,'J1 B - Butcher Terrace'!$AT$118,'J1 C - (South) Bishopthorpe Roa'!$AB$118,'J1 D - South Bank Avenue'!$J$118)</f>
        <v>0</v>
      </c>
      <c r="CY118" s="77">
        <f>$CQ$118*VLOOKUP($CQ$11,'PCU Values'!$B$9:$C$16,2,FALSE)</f>
        <v>29</v>
      </c>
      <c r="CZ118" s="77">
        <f>$CR$118*VLOOKUP($CR$11,'PCU Values'!$B$9:$C$16,2,FALSE)</f>
        <v>1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1.6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31.6</v>
      </c>
      <c r="DH118" s="52">
        <f>SUM($CQ$118,$CR$118,$CS$118,$CT$118,$CU$118,$CV$118,$CW$118,$CX$118)</f>
        <v>38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2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0.4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0.4</v>
      </c>
      <c r="T119" s="52">
        <f>SUM($C$119,$D$119,$E$119,$F$119,$G$119,$H$119,$I$119,$J$119)</f>
        <v>2</v>
      </c>
      <c r="U119" s="49">
        <v>27</v>
      </c>
      <c r="V119" s="49">
        <v>2</v>
      </c>
      <c r="W119" s="49">
        <v>0</v>
      </c>
      <c r="X119" s="49">
        <v>0</v>
      </c>
      <c r="Y119" s="49">
        <v>0</v>
      </c>
      <c r="Z119" s="49">
        <v>2</v>
      </c>
      <c r="AA119" s="49">
        <v>0</v>
      </c>
      <c r="AB119" s="58">
        <v>0</v>
      </c>
      <c r="AC119" s="57">
        <f>$U$119*VLOOKUP($U$11,'PCU Values'!$B$9:$C$16,2,FALSE)</f>
        <v>27</v>
      </c>
      <c r="AD119" s="57">
        <f>$V$119*VLOOKUP($V$11,'PCU Values'!$B$9:$C$16,2,FALSE)</f>
        <v>2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0.4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29.4</v>
      </c>
      <c r="AL119" s="52">
        <f>SUM($U$119,$V$119,$W$119,$X$119,$Y$119,$Z$119,$AA$119,$AB$119)</f>
        <v>31</v>
      </c>
      <c r="AM119" s="49">
        <v>5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5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5</v>
      </c>
      <c r="BD119" s="52">
        <f>SUM($AM$119,$AN$119,$AO$119,$AP$119,$AQ$119,$AR$119,$AS$119,$AT$119)</f>
        <v>5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32</v>
      </c>
      <c r="BZ119" s="83">
        <f>SUM($D$119,$V$119,$AN$119,$BF$119)</f>
        <v>2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4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32</v>
      </c>
      <c r="CH119" s="77">
        <f>$BZ$119*VLOOKUP($BZ$11,'PCU Values'!$B$9:$C$16,2,FALSE)</f>
        <v>2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0.8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34.799999999999997</v>
      </c>
      <c r="CP119" s="52">
        <f>SUM($BY$119,$BZ$119,$CA$119,$CB$119,$CC$119,$CD$119,$CE$119,$CF$119)</f>
        <v>38</v>
      </c>
      <c r="CQ119" s="89">
        <f>SUM('J1 A - (North) Bishopthorpe Roa'!$BE$119,'J1 B - Butcher Terrace'!$AM$119,'J1 C - (South) Bishopthorpe Roa'!$U$119,'J1 D - South Bank Avenue'!$C$119)</f>
        <v>17</v>
      </c>
      <c r="CR119" s="83">
        <f>SUM('J1 A - (North) Bishopthorpe Roa'!$BF$119,'J1 B - Butcher Terrace'!$AN$119,'J1 C - (South) Bishopthorpe Roa'!$V$119,'J1 D - South Bank Avenue'!$D$119)</f>
        <v>0</v>
      </c>
      <c r="CS119" s="83">
        <f>SUM('J1 A - (North) Bishopthorpe Roa'!$BG$119,'J1 B - Butcher Terrace'!$AO$119,'J1 C - (South) Bishopthorpe Roa'!$W$119,'J1 D - South Bank Avenue'!$E$119)</f>
        <v>0</v>
      </c>
      <c r="CT119" s="83">
        <f>SUM('J1 A - (North) Bishopthorpe Roa'!$BH$119,'J1 B - Butcher Terrace'!$AP$119,'J1 C - (South) Bishopthorpe Roa'!$X$119,'J1 D - South Bank Avenue'!$F$119)</f>
        <v>0</v>
      </c>
      <c r="CU119" s="83">
        <f>SUM('J1 A - (North) Bishopthorpe Roa'!$BI$119,'J1 B - Butcher Terrace'!$AQ$119,'J1 C - (South) Bishopthorpe Roa'!$Y$119,'J1 D - South Bank Avenue'!$G$119)</f>
        <v>0</v>
      </c>
      <c r="CV119" s="83">
        <f>SUM('J1 A - (North) Bishopthorpe Roa'!$BJ$119,'J1 B - Butcher Terrace'!$AR$119,'J1 C - (South) Bishopthorpe Roa'!$Z$119,'J1 D - South Bank Avenue'!$H$119)</f>
        <v>2</v>
      </c>
      <c r="CW119" s="83">
        <f>SUM('J1 A - (North) Bishopthorpe Roa'!$BK$119,'J1 B - Butcher Terrace'!$AS$119,'J1 C - (South) Bishopthorpe Roa'!$AA$119,'J1 D - South Bank Avenue'!$I$119)</f>
        <v>0</v>
      </c>
      <c r="CX119" s="86">
        <f>SUM('J1 A - (North) Bishopthorpe Roa'!$BL$119,'J1 B - Butcher Terrace'!$AT$119,'J1 C - (South) Bishopthorpe Roa'!$AB$119,'J1 D - South Bank Avenue'!$J$119)</f>
        <v>0</v>
      </c>
      <c r="CY119" s="77">
        <f>$CQ$119*VLOOKUP($CQ$11,'PCU Values'!$B$9:$C$16,2,FALSE)</f>
        <v>17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0.4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17.399999999999999</v>
      </c>
      <c r="DH119" s="52">
        <f>SUM($CQ$119,$CR$119,$CS$119,$CT$119,$CU$119,$CV$119,$CW$119,$CX$119)</f>
        <v>19</v>
      </c>
    </row>
    <row r="120" spans="1:112" ht="21" customHeight="1">
      <c r="A120" s="46">
        <v>44395.90625</v>
      </c>
      <c r="B120" s="50" t="s">
        <v>118</v>
      </c>
      <c r="C120" s="51">
        <v>4</v>
      </c>
      <c r="D120" s="51">
        <v>0</v>
      </c>
      <c r="E120" s="51">
        <v>0</v>
      </c>
      <c r="F120" s="51">
        <v>0</v>
      </c>
      <c r="G120" s="51">
        <v>0</v>
      </c>
      <c r="H120" s="51">
        <v>2</v>
      </c>
      <c r="I120" s="51">
        <v>0</v>
      </c>
      <c r="J120" s="59">
        <v>0</v>
      </c>
      <c r="K120" s="60">
        <f>$C$120*VLOOKUP($C$11,'PCU Values'!$B$9:$C$16,2,FALSE)</f>
        <v>4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0.4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4.4000000000000004</v>
      </c>
      <c r="T120" s="52">
        <f>SUM($C$120,$D$120,$E$120,$F$120,$G$120,$H$120,$I$120,$J$120)</f>
        <v>6</v>
      </c>
      <c r="U120" s="73">
        <v>23</v>
      </c>
      <c r="V120" s="51">
        <v>2</v>
      </c>
      <c r="W120" s="51">
        <v>0</v>
      </c>
      <c r="X120" s="51">
        <v>0</v>
      </c>
      <c r="Y120" s="51">
        <v>1</v>
      </c>
      <c r="Z120" s="51">
        <v>1</v>
      </c>
      <c r="AA120" s="51">
        <v>0</v>
      </c>
      <c r="AB120" s="59">
        <v>0</v>
      </c>
      <c r="AC120" s="60">
        <f>$U$120*VLOOKUP($U$11,'PCU Values'!$B$9:$C$16,2,FALSE)</f>
        <v>23</v>
      </c>
      <c r="AD120" s="60">
        <f>$V$120*VLOOKUP($V$11,'PCU Values'!$B$9:$C$16,2,FALSE)</f>
        <v>2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2</v>
      </c>
      <c r="AH120" s="60">
        <f>$Z$120*VLOOKUP($Z$11,'PCU Values'!$B$9:$C$16,2,FALSE)</f>
        <v>0.2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27.2</v>
      </c>
      <c r="AL120" s="52">
        <f>SUM($U$120,$V$120,$W$120,$X$120,$Y$120,$Z$120,$AA$120,$AB$120)</f>
        <v>27</v>
      </c>
      <c r="AM120" s="73">
        <v>5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5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5</v>
      </c>
      <c r="BD120" s="52">
        <f>SUM($AM$120,$AN$120,$AO$120,$AP$120,$AQ$120,$AR$120,$AS$120,$AT$120)</f>
        <v>5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32</v>
      </c>
      <c r="BZ120" s="84">
        <f>SUM($D$120,$V$120,$AN$120,$BF$120)</f>
        <v>2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1</v>
      </c>
      <c r="CD120" s="84">
        <f>SUM($H$120,$Z$120,$AR$120,$BJ$120)</f>
        <v>3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32</v>
      </c>
      <c r="CH120" s="79">
        <f>$BZ$120*VLOOKUP($BZ$11,'PCU Values'!$B$9:$C$16,2,FALSE)</f>
        <v>2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2</v>
      </c>
      <c r="CL120" s="79">
        <f>$CD$120*VLOOKUP($CD$11,'PCU Values'!$B$9:$C$16,2,FALSE)</f>
        <v>0.6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36.6</v>
      </c>
      <c r="CP120" s="52">
        <f>SUM($BY$120,$BZ$120,$CA$120,$CB$120,$CC$120,$CD$120,$CE$120,$CF$120)</f>
        <v>38</v>
      </c>
      <c r="CQ120" s="90">
        <f>SUM('J1 A - (North) Bishopthorpe Roa'!$BE$120,'J1 B - Butcher Terrace'!$AM$120,'J1 C - (South) Bishopthorpe Roa'!$U$120,'J1 D - South Bank Avenue'!$C$120)</f>
        <v>25</v>
      </c>
      <c r="CR120" s="84">
        <f>SUM('J1 A - (North) Bishopthorpe Roa'!$BF$120,'J1 B - Butcher Terrace'!$AN$120,'J1 C - (South) Bishopthorpe Roa'!$V$120,'J1 D - South Bank Avenue'!$D$120)</f>
        <v>0</v>
      </c>
      <c r="CS120" s="84">
        <f>SUM('J1 A - (North) Bishopthorpe Roa'!$BG$120,'J1 B - Butcher Terrace'!$AO$120,'J1 C - (South) Bishopthorpe Roa'!$W$120,'J1 D - South Bank Avenue'!$E$120)</f>
        <v>0</v>
      </c>
      <c r="CT120" s="84">
        <f>SUM('J1 A - (North) Bishopthorpe Roa'!$BH$120,'J1 B - Butcher Terrace'!$AP$120,'J1 C - (South) Bishopthorpe Roa'!$X$120,'J1 D - South Bank Avenue'!$F$120)</f>
        <v>0</v>
      </c>
      <c r="CU120" s="84">
        <f>SUM('J1 A - (North) Bishopthorpe Roa'!$BI$120,'J1 B - Butcher Terrace'!$AQ$120,'J1 C - (South) Bishopthorpe Roa'!$Y$120,'J1 D - South Bank Avenue'!$G$120)</f>
        <v>1</v>
      </c>
      <c r="CV120" s="84">
        <f>SUM('J1 A - (North) Bishopthorpe Roa'!$BJ$120,'J1 B - Butcher Terrace'!$AR$120,'J1 C - (South) Bishopthorpe Roa'!$Z$120,'J1 D - South Bank Avenue'!$H$120)</f>
        <v>3</v>
      </c>
      <c r="CW120" s="84">
        <f>SUM('J1 A - (North) Bishopthorpe Roa'!$BK$120,'J1 B - Butcher Terrace'!$AS$120,'J1 C - (South) Bishopthorpe Roa'!$AA$120,'J1 D - South Bank Avenue'!$I$120)</f>
        <v>0</v>
      </c>
      <c r="CX120" s="87">
        <f>SUM('J1 A - (North) Bishopthorpe Roa'!$BL$120,'J1 B - Butcher Terrace'!$AT$120,'J1 C - (South) Bishopthorpe Roa'!$AB$120,'J1 D - South Bank Avenue'!$J$120)</f>
        <v>0</v>
      </c>
      <c r="CY120" s="79">
        <f>$CQ$120*VLOOKUP($CQ$11,'PCU Values'!$B$9:$C$16,2,FALSE)</f>
        <v>25</v>
      </c>
      <c r="CZ120" s="79">
        <f>$CR$120*VLOOKUP($CR$11,'PCU Values'!$B$9:$C$16,2,FALSE)</f>
        <v>0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2</v>
      </c>
      <c r="DD120" s="79">
        <f>$CV$120*VLOOKUP($CV$11,'PCU Values'!$B$9:$C$16,2,FALSE)</f>
        <v>0.6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27.6</v>
      </c>
      <c r="DH120" s="52">
        <f>SUM($CQ$120,$CR$120,$CS$120,$CT$120,$CU$120,$CV$120,$CW$120,$CX$120)</f>
        <v>29</v>
      </c>
    </row>
    <row r="121" spans="1:112">
      <c r="B121" s="52" t="s">
        <v>34</v>
      </c>
      <c r="C121" s="52">
        <f>SUM($C$117:$C$120)</f>
        <v>5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5</v>
      </c>
      <c r="I121" s="52">
        <f>SUM($I$117:$I$120)</f>
        <v>0</v>
      </c>
      <c r="J121" s="52">
        <f>SUM($J$117:$J$120)</f>
        <v>0</v>
      </c>
      <c r="K121" s="52">
        <f>SUM($K$117:$K$120)</f>
        <v>5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1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6</v>
      </c>
      <c r="T121" s="52">
        <f>SUM($C$121,$D$121,$E$121,$F$121,$G$121,$H$121,$I$121,$J$121)</f>
        <v>10</v>
      </c>
      <c r="U121" s="52">
        <f>SUM($U$117:$U$120)</f>
        <v>106</v>
      </c>
      <c r="V121" s="52">
        <f>SUM($V$117:$V$120)</f>
        <v>7</v>
      </c>
      <c r="W121" s="52">
        <f>SUM($W$117:$W$120)</f>
        <v>0</v>
      </c>
      <c r="X121" s="52">
        <f>SUM($X$117:$X$120)</f>
        <v>0</v>
      </c>
      <c r="Y121" s="52">
        <f>SUM($Y$117:$Y$120)</f>
        <v>2</v>
      </c>
      <c r="Z121" s="52">
        <f>SUM($Z$117:$Z$120)</f>
        <v>6</v>
      </c>
      <c r="AA121" s="52">
        <f>SUM($AA$117:$AA$120)</f>
        <v>0</v>
      </c>
      <c r="AB121" s="52">
        <f>SUM($AB$117:$AB$120)</f>
        <v>0</v>
      </c>
      <c r="AC121" s="52">
        <f>SUM($AC$117:$AC$120)</f>
        <v>106</v>
      </c>
      <c r="AD121" s="52">
        <f>SUM($AD$117:$AD$120)</f>
        <v>7</v>
      </c>
      <c r="AE121" s="52">
        <f>SUM($AE$117:$AE$120)</f>
        <v>0</v>
      </c>
      <c r="AF121" s="52">
        <f>SUM($AF$117:$AF$120)</f>
        <v>0</v>
      </c>
      <c r="AG121" s="52">
        <f>SUM($AG$117:$AG$120)</f>
        <v>4</v>
      </c>
      <c r="AH121" s="52">
        <f>SUM($AH$117:$AH$120)</f>
        <v>1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118</v>
      </c>
      <c r="AL121" s="52">
        <f>SUM($U$121,$V$121,$W$121,$X$121,$Y$121,$Z$121,$AA$121,$AB$121)</f>
        <v>121</v>
      </c>
      <c r="AM121" s="52">
        <f>SUM($AM$117:$AM$120)</f>
        <v>22</v>
      </c>
      <c r="AN121" s="52">
        <f>SUM($AN$117:$AN$120)</f>
        <v>1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1</v>
      </c>
      <c r="AS121" s="52">
        <f>SUM($AS$117:$AS$120)</f>
        <v>1</v>
      </c>
      <c r="AT121" s="52">
        <f>SUM($AT$117:$AT$120)</f>
        <v>0</v>
      </c>
      <c r="AU121" s="52">
        <f>SUM($AU$117:$AU$120)</f>
        <v>22</v>
      </c>
      <c r="AV121" s="52">
        <f>SUM($AV$117:$AV$120)</f>
        <v>1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23</v>
      </c>
      <c r="BD121" s="52">
        <f>SUM($AM$121,$AN$121,$AO$121,$AP$121,$AQ$121,$AR$121,$AS$121,$AT$121)</f>
        <v>25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133</v>
      </c>
      <c r="BZ121" s="52">
        <f>SUM($BZ$117:$BZ$120)</f>
        <v>8</v>
      </c>
      <c r="CA121" s="52">
        <f>SUM($CA$117:$CA$120)</f>
        <v>0</v>
      </c>
      <c r="CB121" s="52">
        <f>SUM($CB$117:$CB$120)</f>
        <v>0</v>
      </c>
      <c r="CC121" s="52">
        <f>SUM($CC$117:$CC$120)</f>
        <v>2</v>
      </c>
      <c r="CD121" s="52">
        <f>SUM($CD$117:$CD$120)</f>
        <v>12</v>
      </c>
      <c r="CE121" s="52">
        <f>SUM($CE$117:$CE$120)</f>
        <v>1</v>
      </c>
      <c r="CF121" s="52">
        <f>SUM($CF$117:$CF$120)</f>
        <v>0</v>
      </c>
      <c r="CG121" s="52">
        <f>SUM($CG$117:$CG$120)</f>
        <v>133</v>
      </c>
      <c r="CH121" s="52">
        <f>SUM($CH$117:$CH$120)</f>
        <v>8</v>
      </c>
      <c r="CI121" s="52">
        <f>SUM($CI$117:$CI$120)</f>
        <v>0</v>
      </c>
      <c r="CJ121" s="52">
        <f>SUM($CJ$117:$CJ$120)</f>
        <v>0</v>
      </c>
      <c r="CK121" s="52">
        <f>SUM($CK$117:$CK$120)</f>
        <v>4</v>
      </c>
      <c r="CL121" s="52">
        <f>SUM($CL$117:$CL$120)</f>
        <v>2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147</v>
      </c>
      <c r="CP121" s="52">
        <f>SUM($BY$121,$BZ$121,$CA$121,$CB$121,$CC$121,$CD$121,$CE$121,$CF$121)</f>
        <v>156</v>
      </c>
      <c r="CQ121" s="52">
        <f>SUM($CQ$117:$CQ$120)</f>
        <v>93</v>
      </c>
      <c r="CR121" s="52">
        <f>SUM($CR$117:$CR$120)</f>
        <v>3</v>
      </c>
      <c r="CS121" s="52">
        <f>SUM($CS$117:$CS$120)</f>
        <v>1</v>
      </c>
      <c r="CT121" s="52">
        <f>SUM($CT$117:$CT$120)</f>
        <v>0</v>
      </c>
      <c r="CU121" s="52">
        <f>SUM($CU$117:$CU$120)</f>
        <v>1</v>
      </c>
      <c r="CV121" s="52">
        <f>SUM($CV$117:$CV$120)</f>
        <v>15</v>
      </c>
      <c r="CW121" s="52">
        <f>SUM($CW$117:$CW$120)</f>
        <v>1</v>
      </c>
      <c r="CX121" s="52">
        <f>SUM($CX$117:$CX$120)</f>
        <v>0</v>
      </c>
      <c r="CY121" s="52">
        <f>SUM($CY$117:$CY$120)</f>
        <v>93</v>
      </c>
      <c r="CZ121" s="52">
        <f>SUM($CZ$117:$CZ$120)</f>
        <v>3</v>
      </c>
      <c r="DA121" s="52">
        <f>SUM($DA$117:$DA$120)</f>
        <v>2</v>
      </c>
      <c r="DB121" s="52">
        <f>SUM($DB$117:$DB$120)</f>
        <v>0</v>
      </c>
      <c r="DC121" s="52">
        <f>SUM($DC$117:$DC$120)</f>
        <v>2</v>
      </c>
      <c r="DD121" s="52">
        <f>SUM($DD$117:$DD$120)</f>
        <v>3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103</v>
      </c>
      <c r="DH121" s="52">
        <f>SUM($CQ$121,$CR$121,$CS$121,$CT$121,$CU$121,$CV$121,$CW$121,$CX$121)</f>
        <v>114</v>
      </c>
    </row>
    <row r="122" spans="1:112" ht="21" customHeight="1">
      <c r="A122" s="46">
        <v>44395.916666666701</v>
      </c>
      <c r="B122" s="53" t="s">
        <v>119</v>
      </c>
      <c r="C122" s="54">
        <v>2</v>
      </c>
      <c r="D122" s="54">
        <v>1</v>
      </c>
      <c r="E122" s="54">
        <v>0</v>
      </c>
      <c r="F122" s="54">
        <v>0</v>
      </c>
      <c r="G122" s="54">
        <v>0</v>
      </c>
      <c r="H122" s="54">
        <v>1</v>
      </c>
      <c r="I122" s="54">
        <v>0</v>
      </c>
      <c r="J122" s="61">
        <v>0</v>
      </c>
      <c r="K122" s="62">
        <f>$C$122*VLOOKUP($C$11,'PCU Values'!$B$9:$C$16,2,FALSE)</f>
        <v>2</v>
      </c>
      <c r="L122" s="62">
        <f>$D$122*VLOOKUP($D$11,'PCU Values'!$B$9:$C$16,2,FALSE)</f>
        <v>1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0.2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3.2</v>
      </c>
      <c r="T122" s="52">
        <f>SUM($C$122,$D$122,$E$122,$F$122,$G$122,$H$122,$I$122,$J$122)</f>
        <v>4</v>
      </c>
      <c r="U122" s="72">
        <v>22</v>
      </c>
      <c r="V122" s="54">
        <v>1</v>
      </c>
      <c r="W122" s="54">
        <v>0</v>
      </c>
      <c r="X122" s="54">
        <v>0</v>
      </c>
      <c r="Y122" s="54">
        <v>0</v>
      </c>
      <c r="Z122" s="54">
        <v>6</v>
      </c>
      <c r="AA122" s="54">
        <v>0</v>
      </c>
      <c r="AB122" s="61">
        <v>0</v>
      </c>
      <c r="AC122" s="62">
        <f>$U$122*VLOOKUP($U$11,'PCU Values'!$B$9:$C$16,2,FALSE)</f>
        <v>22</v>
      </c>
      <c r="AD122" s="62">
        <f>$V$122*VLOOKUP($V$11,'PCU Values'!$B$9:$C$16,2,FALSE)</f>
        <v>1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1.2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24.2</v>
      </c>
      <c r="AL122" s="52">
        <f>SUM($U$122,$V$122,$W$122,$X$122,$Y$122,$Z$122,$AA$122,$AB$122)</f>
        <v>29</v>
      </c>
      <c r="AM122" s="72">
        <v>4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4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4</v>
      </c>
      <c r="BD122" s="52">
        <f>SUM($AM$122,$AN$122,$AO$122,$AP$122,$AQ$122,$AR$122,$AS$122,$AT$122)</f>
        <v>4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28</v>
      </c>
      <c r="BZ122" s="85">
        <f>SUM($D$122,$V$122,$AN$122,$BF$122)</f>
        <v>2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7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28</v>
      </c>
      <c r="CH122" s="81">
        <f>$BZ$122*VLOOKUP($BZ$11,'PCU Values'!$B$9:$C$16,2,FALSE)</f>
        <v>2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1.4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31.4</v>
      </c>
      <c r="CP122" s="52">
        <f>SUM($BY$122,$BZ$122,$CA$122,$CB$122,$CC$122,$CD$122,$CE$122,$CF$122)</f>
        <v>37</v>
      </c>
      <c r="CQ122" s="91">
        <f>SUM('J1 A - (North) Bishopthorpe Roa'!$BE$122,'J1 B - Butcher Terrace'!$AM$122,'J1 C - (South) Bishopthorpe Roa'!$U$122,'J1 D - South Bank Avenue'!$C$122)</f>
        <v>17</v>
      </c>
      <c r="CR122" s="85">
        <f>SUM('J1 A - (North) Bishopthorpe Roa'!$BF$122,'J1 B - Butcher Terrace'!$AN$122,'J1 C - (South) Bishopthorpe Roa'!$V$122,'J1 D - South Bank Avenue'!$D$122)</f>
        <v>4</v>
      </c>
      <c r="CS122" s="85">
        <f>SUM('J1 A - (North) Bishopthorpe Roa'!$BG$122,'J1 B - Butcher Terrace'!$AO$122,'J1 C - (South) Bishopthorpe Roa'!$W$122,'J1 D - South Bank Avenue'!$E$122)</f>
        <v>0</v>
      </c>
      <c r="CT122" s="85">
        <f>SUM('J1 A - (North) Bishopthorpe Roa'!$BH$122,'J1 B - Butcher Terrace'!$AP$122,'J1 C - (South) Bishopthorpe Roa'!$X$122,'J1 D - South Bank Avenue'!$F$122)</f>
        <v>0</v>
      </c>
      <c r="CU122" s="85">
        <f>SUM('J1 A - (North) Bishopthorpe Roa'!$BI$122,'J1 B - Butcher Terrace'!$AQ$122,'J1 C - (South) Bishopthorpe Roa'!$Y$122,'J1 D - South Bank Avenue'!$G$122)</f>
        <v>0</v>
      </c>
      <c r="CV122" s="85">
        <f>SUM('J1 A - (North) Bishopthorpe Roa'!$BJ$122,'J1 B - Butcher Terrace'!$AR$122,'J1 C - (South) Bishopthorpe Roa'!$Z$122,'J1 D - South Bank Avenue'!$H$122)</f>
        <v>2</v>
      </c>
      <c r="CW122" s="85">
        <f>SUM('J1 A - (North) Bishopthorpe Roa'!$BK$122,'J1 B - Butcher Terrace'!$AS$122,'J1 C - (South) Bishopthorpe Roa'!$AA$122,'J1 D - South Bank Avenue'!$I$122)</f>
        <v>0</v>
      </c>
      <c r="CX122" s="88">
        <f>SUM('J1 A - (North) Bishopthorpe Roa'!$BL$122,'J1 B - Butcher Terrace'!$AT$122,'J1 C - (South) Bishopthorpe Roa'!$AB$122,'J1 D - South Bank Avenue'!$J$122)</f>
        <v>0</v>
      </c>
      <c r="CY122" s="81">
        <f>$CQ$122*VLOOKUP($CQ$11,'PCU Values'!$B$9:$C$16,2,FALSE)</f>
        <v>17</v>
      </c>
      <c r="CZ122" s="81">
        <f>$CR$122*VLOOKUP($CR$11,'PCU Values'!$B$9:$C$16,2,FALSE)</f>
        <v>4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0.4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21.4</v>
      </c>
      <c r="DH122" s="52">
        <f>SUM($CQ$122,$CR$122,$CS$122,$CT$122,$CU$122,$CV$122,$CW$122,$CX$122)</f>
        <v>23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16</v>
      </c>
      <c r="V123" s="48">
        <v>0</v>
      </c>
      <c r="W123" s="48">
        <v>0</v>
      </c>
      <c r="X123" s="48">
        <v>0</v>
      </c>
      <c r="Y123" s="48">
        <v>1</v>
      </c>
      <c r="Z123" s="48">
        <v>1</v>
      </c>
      <c r="AA123" s="48">
        <v>1</v>
      </c>
      <c r="AB123" s="56">
        <v>0</v>
      </c>
      <c r="AC123" s="57">
        <f>$U$123*VLOOKUP($U$11,'PCU Values'!$B$9:$C$16,2,FALSE)</f>
        <v>16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2</v>
      </c>
      <c r="AH123" s="57">
        <f>$Z$123*VLOOKUP($Z$11,'PCU Values'!$B$9:$C$16,2,FALSE)</f>
        <v>0.2</v>
      </c>
      <c r="AI123" s="57">
        <f>$AA$123*VLOOKUP($AA$11,'PCU Values'!$B$9:$C$16,2,FALSE)</f>
        <v>0.4</v>
      </c>
      <c r="AJ123" s="65">
        <f>$AB$123*VLOOKUP($AB$11,'PCU Values'!$B$9:$C$16,2,FALSE)</f>
        <v>0</v>
      </c>
      <c r="AK123" s="66">
        <f>SUM($AC$123,$AD$123,$AE$123,$AF$123,$AG$123,$AH$123,$AI$123,$AJ$123)</f>
        <v>18.600000000000001</v>
      </c>
      <c r="AL123" s="52">
        <f>SUM($U$123,$V$123,$W$123,$X$123,$Y$123,$Z$123,$AA$123,$AB$123)</f>
        <v>19</v>
      </c>
      <c r="AM123" s="67">
        <v>3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3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3</v>
      </c>
      <c r="BD123" s="52">
        <f>SUM($AM$123,$AN$123,$AO$123,$AP$123,$AQ$123,$AR$123,$AS$123,$AT$123)</f>
        <v>3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19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1</v>
      </c>
      <c r="CD123" s="83">
        <f>SUM($H$123,$Z$123,$AR$123,$BJ$123)</f>
        <v>1</v>
      </c>
      <c r="CE123" s="83">
        <f>SUM($I$123,$AA$123,$AS$123,$BK$123)</f>
        <v>1</v>
      </c>
      <c r="CF123" s="86">
        <f>SUM($J$123,$AB$123,$AT$123,$BL$123)</f>
        <v>0</v>
      </c>
      <c r="CG123" s="77">
        <f>$BY$123*VLOOKUP($BY$11,'PCU Values'!$B$9:$C$16,2,FALSE)</f>
        <v>19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2</v>
      </c>
      <c r="CL123" s="77">
        <f>$CD$123*VLOOKUP($CD$11,'PCU Values'!$B$9:$C$16,2,FALSE)</f>
        <v>0.2</v>
      </c>
      <c r="CM123" s="77">
        <f>$CE$123*VLOOKUP($CE$11,'PCU Values'!$B$9:$C$16,2,FALSE)</f>
        <v>0.4</v>
      </c>
      <c r="CN123" s="78">
        <f>$CF$123*VLOOKUP($CF$11,'PCU Values'!$B$9:$C$16,2,FALSE)</f>
        <v>0</v>
      </c>
      <c r="CO123" s="66">
        <f>SUM($CG$123,$CH$123,$CI$123,$CJ$123,$CK$123,$CL$123,$CM$123,$CN$123)</f>
        <v>21.6</v>
      </c>
      <c r="CP123" s="52">
        <f>SUM($BY$123,$BZ$123,$CA$123,$CB$123,$CC$123,$CD$123,$CE$123,$CF$123)</f>
        <v>22</v>
      </c>
      <c r="CQ123" s="89">
        <f>SUM('J1 A - (North) Bishopthorpe Roa'!$BE$123,'J1 B - Butcher Terrace'!$AM$123,'J1 C - (South) Bishopthorpe Roa'!$U$123,'J1 D - South Bank Avenue'!$C$123)</f>
        <v>14</v>
      </c>
      <c r="CR123" s="83">
        <f>SUM('J1 A - (North) Bishopthorpe Roa'!$BF$123,'J1 B - Butcher Terrace'!$AN$123,'J1 C - (South) Bishopthorpe Roa'!$V$123,'J1 D - South Bank Avenue'!$D$123)</f>
        <v>0</v>
      </c>
      <c r="CS123" s="83">
        <f>SUM('J1 A - (North) Bishopthorpe Roa'!$BG$123,'J1 B - Butcher Terrace'!$AO$123,'J1 C - (South) Bishopthorpe Roa'!$W$123,'J1 D - South Bank Avenue'!$E$123)</f>
        <v>0</v>
      </c>
      <c r="CT123" s="83">
        <f>SUM('J1 A - (North) Bishopthorpe Roa'!$BH$123,'J1 B - Butcher Terrace'!$AP$123,'J1 C - (South) Bishopthorpe Roa'!$X$123,'J1 D - South Bank Avenue'!$F$123)</f>
        <v>0</v>
      </c>
      <c r="CU123" s="83">
        <f>SUM('J1 A - (North) Bishopthorpe Roa'!$BI$123,'J1 B - Butcher Terrace'!$AQ$123,'J1 C - (South) Bishopthorpe Roa'!$Y$123,'J1 D - South Bank Avenue'!$G$123)</f>
        <v>0</v>
      </c>
      <c r="CV123" s="83">
        <f>SUM('J1 A - (North) Bishopthorpe Roa'!$BJ$123,'J1 B - Butcher Terrace'!$AR$123,'J1 C - (South) Bishopthorpe Roa'!$Z$123,'J1 D - South Bank Avenue'!$H$123)</f>
        <v>0</v>
      </c>
      <c r="CW123" s="83">
        <f>SUM('J1 A - (North) Bishopthorpe Roa'!$BK$123,'J1 B - Butcher Terrace'!$AS$123,'J1 C - (South) Bishopthorpe Roa'!$AA$123,'J1 D - South Bank Avenue'!$I$123)</f>
        <v>0</v>
      </c>
      <c r="CX123" s="86">
        <f>SUM('J1 A - (North) Bishopthorpe Roa'!$BL$123,'J1 B - Butcher Terrace'!$AT$123,'J1 C - (South) Bishopthorpe Roa'!$AB$123,'J1 D - South Bank Avenue'!$J$123)</f>
        <v>0</v>
      </c>
      <c r="CY123" s="77">
        <f>$CQ$123*VLOOKUP($CQ$11,'PCU Values'!$B$9:$C$16,2,FALSE)</f>
        <v>14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14</v>
      </c>
      <c r="DH123" s="52">
        <f>SUM($CQ$123,$CR$123,$CS$123,$CT$123,$CU$123,$CV$123,$CW$123,$CX$123)</f>
        <v>14</v>
      </c>
    </row>
    <row r="124" spans="1:112" ht="21" customHeight="1">
      <c r="A124" s="46">
        <v>44395.9375</v>
      </c>
      <c r="B124" s="47" t="s">
        <v>121</v>
      </c>
      <c r="C124" s="48">
        <v>3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1</v>
      </c>
      <c r="J124" s="56">
        <v>0</v>
      </c>
      <c r="K124" s="57">
        <f>$C$124*VLOOKUP($C$11,'PCU Values'!$B$9:$C$16,2,FALSE)</f>
        <v>3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0.4</v>
      </c>
      <c r="R124" s="65">
        <f>$J$124*VLOOKUP($J$11,'PCU Values'!$B$9:$C$16,2,FALSE)</f>
        <v>0</v>
      </c>
      <c r="S124" s="66">
        <f>SUM($K$124,$L$124,$M$124,$N$124,$O$124,$P$124,$Q$124,$R$124)</f>
        <v>3.4</v>
      </c>
      <c r="T124" s="52">
        <f>SUM($C$124,$D$124,$E$124,$F$124,$G$124,$H$124,$I$124,$J$124)</f>
        <v>4</v>
      </c>
      <c r="U124" s="76">
        <v>16</v>
      </c>
      <c r="V124" s="48">
        <v>1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16</v>
      </c>
      <c r="AD124" s="57">
        <f>$V$124*VLOOKUP($V$11,'PCU Values'!$B$9:$C$16,2,FALSE)</f>
        <v>1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17.2</v>
      </c>
      <c r="AL124" s="52">
        <f>SUM($U$124,$V$124,$W$124,$X$124,$Y$124,$Z$124,$AA$124,$AB$124)</f>
        <v>18</v>
      </c>
      <c r="AM124" s="67">
        <v>3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1</v>
      </c>
      <c r="AT124" s="56">
        <v>0</v>
      </c>
      <c r="AU124" s="57">
        <f>$AM$124*VLOOKUP($AM$11,'PCU Values'!$B$9:$C$16,2,FALSE)</f>
        <v>3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0.4</v>
      </c>
      <c r="BB124" s="65">
        <f>$AT$124*VLOOKUP($AT$11,'PCU Values'!$B$9:$C$16,2,FALSE)</f>
        <v>0</v>
      </c>
      <c r="BC124" s="66">
        <f>SUM($AU$124,$AV$124,$AW$124,$AX$124,$AY$124,$AZ$124,$BA$124,$BB$124)</f>
        <v>3.4</v>
      </c>
      <c r="BD124" s="52">
        <f>SUM($AM$124,$AN$124,$AO$124,$AP$124,$AQ$124,$AR$124,$AS$124,$AT$124)</f>
        <v>4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22</v>
      </c>
      <c r="BZ124" s="83">
        <f>SUM($D$124,$V$124,$AN$124,$BF$124)</f>
        <v>1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1</v>
      </c>
      <c r="CE124" s="83">
        <f>SUM($I$124,$AA$124,$AS$124,$BK$124)</f>
        <v>2</v>
      </c>
      <c r="CF124" s="86">
        <f>SUM($J$124,$AB$124,$AT$124,$BL$124)</f>
        <v>0</v>
      </c>
      <c r="CG124" s="77">
        <f>$BY$124*VLOOKUP($BY$11,'PCU Values'!$B$9:$C$16,2,FALSE)</f>
        <v>22</v>
      </c>
      <c r="CH124" s="77">
        <f>$BZ$124*VLOOKUP($BZ$11,'PCU Values'!$B$9:$C$16,2,FALSE)</f>
        <v>1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0.2</v>
      </c>
      <c r="CM124" s="77">
        <f>$CE$124*VLOOKUP($CE$11,'PCU Values'!$B$9:$C$16,2,FALSE)</f>
        <v>0.8</v>
      </c>
      <c r="CN124" s="78">
        <f>$CF$124*VLOOKUP($CF$11,'PCU Values'!$B$9:$C$16,2,FALSE)</f>
        <v>0</v>
      </c>
      <c r="CO124" s="66">
        <f>SUM($CG$124,$CH$124,$CI$124,$CJ$124,$CK$124,$CL$124,$CM$124,$CN$124)</f>
        <v>24</v>
      </c>
      <c r="CP124" s="52">
        <f>SUM($BY$124,$BZ$124,$CA$124,$CB$124,$CC$124,$CD$124,$CE$124,$CF$124)</f>
        <v>26</v>
      </c>
      <c r="CQ124" s="89">
        <f>SUM('J1 A - (North) Bishopthorpe Roa'!$BE$124,'J1 B - Butcher Terrace'!$AM$124,'J1 C - (South) Bishopthorpe Roa'!$U$124,'J1 D - South Bank Avenue'!$C$124)</f>
        <v>13</v>
      </c>
      <c r="CR124" s="83">
        <f>SUM('J1 A - (North) Bishopthorpe Roa'!$BF$124,'J1 B - Butcher Terrace'!$AN$124,'J1 C - (South) Bishopthorpe Roa'!$V$124,'J1 D - South Bank Avenue'!$D$124)</f>
        <v>1</v>
      </c>
      <c r="CS124" s="83">
        <f>SUM('J1 A - (North) Bishopthorpe Roa'!$BG$124,'J1 B - Butcher Terrace'!$AO$124,'J1 C - (South) Bishopthorpe Roa'!$W$124,'J1 D - South Bank Avenue'!$E$124)</f>
        <v>0</v>
      </c>
      <c r="CT124" s="83">
        <f>SUM('J1 A - (North) Bishopthorpe Roa'!$BH$124,'J1 B - Butcher Terrace'!$AP$124,'J1 C - (South) Bishopthorpe Roa'!$X$124,'J1 D - South Bank Avenue'!$F$124)</f>
        <v>0</v>
      </c>
      <c r="CU124" s="83">
        <f>SUM('J1 A - (North) Bishopthorpe Roa'!$BI$124,'J1 B - Butcher Terrace'!$AQ$124,'J1 C - (South) Bishopthorpe Roa'!$Y$124,'J1 D - South Bank Avenue'!$G$124)</f>
        <v>0</v>
      </c>
      <c r="CV124" s="83">
        <f>SUM('J1 A - (North) Bishopthorpe Roa'!$BJ$124,'J1 B - Butcher Terrace'!$AR$124,'J1 C - (South) Bishopthorpe Roa'!$Z$124,'J1 D - South Bank Avenue'!$H$124)</f>
        <v>5</v>
      </c>
      <c r="CW124" s="83">
        <f>SUM('J1 A - (North) Bishopthorpe Roa'!$BK$124,'J1 B - Butcher Terrace'!$AS$124,'J1 C - (South) Bishopthorpe Roa'!$AA$124,'J1 D - South Bank Avenue'!$I$124)</f>
        <v>2</v>
      </c>
      <c r="CX124" s="86">
        <f>SUM('J1 A - (North) Bishopthorpe Roa'!$BL$124,'J1 B - Butcher Terrace'!$AT$124,'J1 C - (South) Bishopthorpe Roa'!$AB$124,'J1 D - South Bank Avenue'!$J$124)</f>
        <v>0</v>
      </c>
      <c r="CY124" s="77">
        <f>$CQ$124*VLOOKUP($CQ$11,'PCU Values'!$B$9:$C$16,2,FALSE)</f>
        <v>13</v>
      </c>
      <c r="CZ124" s="77">
        <f>$CR$124*VLOOKUP($CR$11,'PCU Values'!$B$9:$C$16,2,FALSE)</f>
        <v>1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1</v>
      </c>
      <c r="DE124" s="77">
        <f>$CW$124*VLOOKUP($CW$11,'PCU Values'!$B$9:$C$16,2,FALSE)</f>
        <v>0.8</v>
      </c>
      <c r="DF124" s="78">
        <f>$CX$124*VLOOKUP($CX$11,'PCU Values'!$B$9:$C$16,2,FALSE)</f>
        <v>0</v>
      </c>
      <c r="DG124" s="66">
        <f>SUM($CY$124,$CZ$124,$DA$124,$DB$124,$DC$124,$DD$124,$DE$124,$DF$124)</f>
        <v>15.8</v>
      </c>
      <c r="DH124" s="52">
        <f>SUM($CQ$124,$CR$124,$CS$124,$CT$124,$CU$124,$CV$124,$CW$124,$CX$124)</f>
        <v>21</v>
      </c>
    </row>
    <row r="125" spans="1:112" ht="21" customHeight="1">
      <c r="A125" s="46">
        <v>44395.947916666701</v>
      </c>
      <c r="B125" s="50" t="s">
        <v>122</v>
      </c>
      <c r="C125" s="51">
        <v>3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3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3</v>
      </c>
      <c r="T125" s="52">
        <f>SUM($C$125,$D$125,$E$125,$F$125,$G$125,$H$125,$I$125,$J$125)</f>
        <v>3</v>
      </c>
      <c r="U125" s="73">
        <v>13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13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13</v>
      </c>
      <c r="AL125" s="52">
        <f>SUM($U$125,$V$125,$W$125,$X$125,$Y$125,$Z$125,$AA$125,$AB$125)</f>
        <v>13</v>
      </c>
      <c r="AM125" s="73">
        <v>1</v>
      </c>
      <c r="AN125" s="51">
        <v>0</v>
      </c>
      <c r="AO125" s="51">
        <v>0</v>
      </c>
      <c r="AP125" s="51">
        <v>0</v>
      </c>
      <c r="AQ125" s="51">
        <v>0</v>
      </c>
      <c r="AR125" s="51">
        <v>1</v>
      </c>
      <c r="AS125" s="51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0.2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1.2</v>
      </c>
      <c r="BD125" s="52">
        <f>SUM($AM$125,$AN$125,$AO$125,$AP$125,$AQ$125,$AR$125,$AS$125,$AT$125)</f>
        <v>2</v>
      </c>
      <c r="BE125" s="73">
        <v>1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1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1</v>
      </c>
      <c r="BV125" s="52">
        <f>SUM($BE$125,$BF$125,$BG$125,$BH$125,$BI$125,$BJ$125,$BK$125,$BL$125)</f>
        <v>1</v>
      </c>
      <c r="BX125" s="50" t="s">
        <v>122</v>
      </c>
      <c r="BY125" s="84">
        <f>SUM($C$125,$U$125,$AM$125,$BE$125)</f>
        <v>18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1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18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0.2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18.2</v>
      </c>
      <c r="CP125" s="52">
        <f>SUM($BY$125,$BZ$125,$CA$125,$CB$125,$CC$125,$CD$125,$CE$125,$CF$125)</f>
        <v>19</v>
      </c>
      <c r="CQ125" s="90">
        <f>SUM('J1 A - (North) Bishopthorpe Roa'!$BE$125,'J1 B - Butcher Terrace'!$AM$125,'J1 C - (South) Bishopthorpe Roa'!$U$125,'J1 D - South Bank Avenue'!$C$125)</f>
        <v>21</v>
      </c>
      <c r="CR125" s="84">
        <f>SUM('J1 A - (North) Bishopthorpe Roa'!$BF$125,'J1 B - Butcher Terrace'!$AN$125,'J1 C - (South) Bishopthorpe Roa'!$V$125,'J1 D - South Bank Avenue'!$D$125)</f>
        <v>0</v>
      </c>
      <c r="CS125" s="84">
        <f>SUM('J1 A - (North) Bishopthorpe Roa'!$BG$125,'J1 B - Butcher Terrace'!$AO$125,'J1 C - (South) Bishopthorpe Roa'!$W$125,'J1 D - South Bank Avenue'!$E$125)</f>
        <v>0</v>
      </c>
      <c r="CT125" s="84">
        <f>SUM('J1 A - (North) Bishopthorpe Roa'!$BH$125,'J1 B - Butcher Terrace'!$AP$125,'J1 C - (South) Bishopthorpe Roa'!$X$125,'J1 D - South Bank Avenue'!$F$125)</f>
        <v>0</v>
      </c>
      <c r="CU125" s="84">
        <f>SUM('J1 A - (North) Bishopthorpe Roa'!$BI$125,'J1 B - Butcher Terrace'!$AQ$125,'J1 C - (South) Bishopthorpe Roa'!$Y$125,'J1 D - South Bank Avenue'!$G$125)</f>
        <v>1</v>
      </c>
      <c r="CV125" s="84">
        <f>SUM('J1 A - (North) Bishopthorpe Roa'!$BJ$125,'J1 B - Butcher Terrace'!$AR$125,'J1 C - (South) Bishopthorpe Roa'!$Z$125,'J1 D - South Bank Avenue'!$H$125)</f>
        <v>2</v>
      </c>
      <c r="CW125" s="84">
        <f>SUM('J1 A - (North) Bishopthorpe Roa'!$BK$125,'J1 B - Butcher Terrace'!$AS$125,'J1 C - (South) Bishopthorpe Roa'!$AA$125,'J1 D - South Bank Avenue'!$I$125)</f>
        <v>1</v>
      </c>
      <c r="CX125" s="87">
        <f>SUM('J1 A - (North) Bishopthorpe Roa'!$BL$125,'J1 B - Butcher Terrace'!$AT$125,'J1 C - (South) Bishopthorpe Roa'!$AB$125,'J1 D - South Bank Avenue'!$J$125)</f>
        <v>0</v>
      </c>
      <c r="CY125" s="79">
        <f>$CQ$125*VLOOKUP($CQ$11,'PCU Values'!$B$9:$C$16,2,FALSE)</f>
        <v>21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2</v>
      </c>
      <c r="DD125" s="79">
        <f>$CV$125*VLOOKUP($CV$11,'PCU Values'!$B$9:$C$16,2,FALSE)</f>
        <v>0.4</v>
      </c>
      <c r="DE125" s="79">
        <f>$CW$125*VLOOKUP($CW$11,'PCU Values'!$B$9:$C$16,2,FALSE)</f>
        <v>0.4</v>
      </c>
      <c r="DF125" s="80">
        <f>$CX$125*VLOOKUP($CX$11,'PCU Values'!$B$9:$C$16,2,FALSE)</f>
        <v>0</v>
      </c>
      <c r="DG125" s="63">
        <f>SUM($CY$125,$CZ$125,$DA$125,$DB$125,$DC$125,$DD$125,$DE$125,$DF$125)</f>
        <v>23.8</v>
      </c>
      <c r="DH125" s="52">
        <f>SUM($CQ$125,$CR$125,$CS$125,$CT$125,$CU$125,$CV$125,$CW$125,$CX$125)</f>
        <v>25</v>
      </c>
    </row>
    <row r="126" spans="1:112">
      <c r="B126" s="52" t="s">
        <v>34</v>
      </c>
      <c r="C126" s="52">
        <f>SUM($C$122:$C$125)</f>
        <v>8</v>
      </c>
      <c r="D126" s="52">
        <f>SUM($D$122:$D$125)</f>
        <v>1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1</v>
      </c>
      <c r="I126" s="52">
        <f>SUM($I$122:$I$125)</f>
        <v>1</v>
      </c>
      <c r="J126" s="52">
        <f>SUM($J$122:$J$125)</f>
        <v>0</v>
      </c>
      <c r="K126" s="52">
        <f>SUM($K$122:$K$125)</f>
        <v>8</v>
      </c>
      <c r="L126" s="52">
        <f>SUM($L$122:$L$125)</f>
        <v>1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9</v>
      </c>
      <c r="T126" s="52">
        <f>SUM($C$126,$D$126,$E$126,$F$126,$G$126,$H$126,$I$126,$J$126)</f>
        <v>11</v>
      </c>
      <c r="U126" s="52">
        <f>SUM($U$122:$U$125)</f>
        <v>67</v>
      </c>
      <c r="V126" s="52">
        <f>SUM($V$122:$V$125)</f>
        <v>2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8</v>
      </c>
      <c r="AA126" s="52">
        <f>SUM($AA$122:$AA$125)</f>
        <v>1</v>
      </c>
      <c r="AB126" s="52">
        <f>SUM($AB$122:$AB$125)</f>
        <v>0</v>
      </c>
      <c r="AC126" s="52">
        <f>SUM($AC$122:$AC$125)</f>
        <v>67</v>
      </c>
      <c r="AD126" s="52">
        <f>SUM($AD$122:$AD$125)</f>
        <v>2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2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73</v>
      </c>
      <c r="AL126" s="52">
        <f>SUM($U$126,$V$126,$W$126,$X$126,$Y$126,$Z$126,$AA$126,$AB$126)</f>
        <v>79</v>
      </c>
      <c r="AM126" s="52">
        <f>SUM($AM$122:$AM$125)</f>
        <v>11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1</v>
      </c>
      <c r="AS126" s="52">
        <f>SUM($AS$122:$AS$125)</f>
        <v>1</v>
      </c>
      <c r="AT126" s="52">
        <f>SUM($AT$122:$AT$125)</f>
        <v>0</v>
      </c>
      <c r="AU126" s="52">
        <f>SUM($AU$122:$AU$125)</f>
        <v>11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11</v>
      </c>
      <c r="BD126" s="52">
        <f>SUM($AM$126,$AN$126,$AO$126,$AP$126,$AQ$126,$AR$126,$AS$126,$AT$126)</f>
        <v>13</v>
      </c>
      <c r="BE126" s="52">
        <f>SUM($BE$122:$BE$125)</f>
        <v>1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1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1</v>
      </c>
      <c r="BV126" s="52">
        <f>SUM($BE$126,$BF$126,$BG$126,$BH$126,$BI$126,$BJ$126,$BK$126,$BL$126)</f>
        <v>1</v>
      </c>
      <c r="BX126" s="52" t="s">
        <v>34</v>
      </c>
      <c r="BY126" s="52">
        <f>SUM($BY$122:$BY$125)</f>
        <v>87</v>
      </c>
      <c r="BZ126" s="52">
        <f>SUM($BZ$122:$BZ$125)</f>
        <v>3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10</v>
      </c>
      <c r="CE126" s="52">
        <f>SUM($CE$122:$CE$125)</f>
        <v>3</v>
      </c>
      <c r="CF126" s="52">
        <f>SUM($CF$122:$CF$125)</f>
        <v>0</v>
      </c>
      <c r="CG126" s="52">
        <f>SUM($CG$122:$CG$125)</f>
        <v>87</v>
      </c>
      <c r="CH126" s="52">
        <f>SUM($CH$122:$CH$125)</f>
        <v>3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2</v>
      </c>
      <c r="CM126" s="52">
        <f>SUM($CM$122:$CM$125)</f>
        <v>1</v>
      </c>
      <c r="CN126" s="52">
        <f>SUM($CN$122:$CN$125)</f>
        <v>0</v>
      </c>
      <c r="CO126" s="52">
        <f>SUM($CG$126,$CH$126,$CI$126,$CJ$126,$CK$126,$CL$126,$CM$126,$CN$126)</f>
        <v>95</v>
      </c>
      <c r="CP126" s="52">
        <f>SUM($BY$126,$BZ$126,$CA$126,$CB$126,$CC$126,$CD$126,$CE$126,$CF$126)</f>
        <v>104</v>
      </c>
      <c r="CQ126" s="52">
        <f>SUM($CQ$122:$CQ$125)</f>
        <v>65</v>
      </c>
      <c r="CR126" s="52">
        <f>SUM($CR$122:$CR$125)</f>
        <v>5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9</v>
      </c>
      <c r="CW126" s="52">
        <f>SUM($CW$122:$CW$125)</f>
        <v>3</v>
      </c>
      <c r="CX126" s="52">
        <f>SUM($CX$122:$CX$125)</f>
        <v>0</v>
      </c>
      <c r="CY126" s="52">
        <f>SUM($CY$122:$CY$125)</f>
        <v>65</v>
      </c>
      <c r="CZ126" s="52">
        <f>SUM($CZ$122:$CZ$125)</f>
        <v>5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2</v>
      </c>
      <c r="DE126" s="52">
        <f>SUM($DE$122:$DE$125)</f>
        <v>1</v>
      </c>
      <c r="DF126" s="52">
        <f>SUM($DF$122:$DF$125)</f>
        <v>0</v>
      </c>
      <c r="DG126" s="52">
        <f>SUM($CY$126,$CZ$126,$DA$126,$DB$126,$DC$126,$DD$126,$DE$126,$DF$126)</f>
        <v>75</v>
      </c>
      <c r="DH126" s="52">
        <f>SUM($CQ$126,$CR$126,$CS$126,$CT$126,$CU$126,$CV$126,$CW$126,$CX$126)</f>
        <v>83</v>
      </c>
    </row>
    <row r="127" spans="1:112" ht="21" customHeight="1">
      <c r="A127" s="46">
        <v>44395.958333333299</v>
      </c>
      <c r="B127" s="53" t="s">
        <v>123</v>
      </c>
      <c r="C127" s="54">
        <v>1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1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1</v>
      </c>
      <c r="T127" s="52">
        <f>SUM($C$127,$D$127,$E$127,$F$127,$G$127,$H$127,$I$127,$J$127)</f>
        <v>1</v>
      </c>
      <c r="U127" s="72">
        <v>12</v>
      </c>
      <c r="V127" s="54">
        <v>0</v>
      </c>
      <c r="W127" s="54">
        <v>0</v>
      </c>
      <c r="X127" s="54">
        <v>0</v>
      </c>
      <c r="Y127" s="54">
        <v>0</v>
      </c>
      <c r="Z127" s="54">
        <v>1</v>
      </c>
      <c r="AA127" s="54">
        <v>0</v>
      </c>
      <c r="AB127" s="61">
        <v>0</v>
      </c>
      <c r="AC127" s="62">
        <f>$U$127*VLOOKUP($U$11,'PCU Values'!$B$9:$C$16,2,FALSE)</f>
        <v>12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0.2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12.2</v>
      </c>
      <c r="AL127" s="52">
        <f>SUM($U$127,$V$127,$W$127,$X$127,$Y$127,$Z$127,$AA$127,$AB$127)</f>
        <v>13</v>
      </c>
      <c r="AM127" s="72">
        <v>3</v>
      </c>
      <c r="AN127" s="54">
        <v>0</v>
      </c>
      <c r="AO127" s="54">
        <v>0</v>
      </c>
      <c r="AP127" s="54">
        <v>0</v>
      </c>
      <c r="AQ127" s="54">
        <v>0</v>
      </c>
      <c r="AR127" s="54">
        <v>1</v>
      </c>
      <c r="AS127" s="54">
        <v>0</v>
      </c>
      <c r="AT127" s="61">
        <v>0</v>
      </c>
      <c r="AU127" s="62">
        <f>$AM$127*VLOOKUP($AM$11,'PCU Values'!$B$9:$C$16,2,FALSE)</f>
        <v>3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0.2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3.2</v>
      </c>
      <c r="BD127" s="52">
        <f>SUM($AM$127,$AN$127,$AO$127,$AP$127,$AQ$127,$AR$127,$AS$127,$AT$127)</f>
        <v>4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16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2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16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0.4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16.399999999999999</v>
      </c>
      <c r="CP127" s="52">
        <f>SUM($BY$127,$BZ$127,$CA$127,$CB$127,$CC$127,$CD$127,$CE$127,$CF$127)</f>
        <v>18</v>
      </c>
      <c r="CQ127" s="91">
        <f>SUM('J1 A - (North) Bishopthorpe Roa'!$BE$127,'J1 B - Butcher Terrace'!$AM$127,'J1 C - (South) Bishopthorpe Roa'!$U$127,'J1 D - South Bank Avenue'!$C$127)</f>
        <v>22</v>
      </c>
      <c r="CR127" s="85">
        <f>SUM('J1 A - (North) Bishopthorpe Roa'!$BF$127,'J1 B - Butcher Terrace'!$AN$127,'J1 C - (South) Bishopthorpe Roa'!$V$127,'J1 D - South Bank Avenue'!$D$127)</f>
        <v>0</v>
      </c>
      <c r="CS127" s="85">
        <f>SUM('J1 A - (North) Bishopthorpe Roa'!$BG$127,'J1 B - Butcher Terrace'!$AO$127,'J1 C - (South) Bishopthorpe Roa'!$W$127,'J1 D - South Bank Avenue'!$E$127)</f>
        <v>0</v>
      </c>
      <c r="CT127" s="85">
        <f>SUM('J1 A - (North) Bishopthorpe Roa'!$BH$127,'J1 B - Butcher Terrace'!$AP$127,'J1 C - (South) Bishopthorpe Roa'!$X$127,'J1 D - South Bank Avenue'!$F$127)</f>
        <v>0</v>
      </c>
      <c r="CU127" s="85">
        <f>SUM('J1 A - (North) Bishopthorpe Roa'!$BI$127,'J1 B - Butcher Terrace'!$AQ$127,'J1 C - (South) Bishopthorpe Roa'!$Y$127,'J1 D - South Bank Avenue'!$G$127)</f>
        <v>0</v>
      </c>
      <c r="CV127" s="85">
        <f>SUM('J1 A - (North) Bishopthorpe Roa'!$BJ$127,'J1 B - Butcher Terrace'!$AR$127,'J1 C - (South) Bishopthorpe Roa'!$Z$127,'J1 D - South Bank Avenue'!$H$127)</f>
        <v>1</v>
      </c>
      <c r="CW127" s="85">
        <f>SUM('J1 A - (North) Bishopthorpe Roa'!$BK$127,'J1 B - Butcher Terrace'!$AS$127,'J1 C - (South) Bishopthorpe Roa'!$AA$127,'J1 D - South Bank Avenue'!$I$127)</f>
        <v>1</v>
      </c>
      <c r="CX127" s="88">
        <f>SUM('J1 A - (North) Bishopthorpe Roa'!$BL$127,'J1 B - Butcher Terrace'!$AT$127,'J1 C - (South) Bishopthorpe Roa'!$AB$127,'J1 D - South Bank Avenue'!$J$127)</f>
        <v>0</v>
      </c>
      <c r="CY127" s="81">
        <f>$CQ$127*VLOOKUP($CQ$11,'PCU Values'!$B$9:$C$16,2,FALSE)</f>
        <v>22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0.2</v>
      </c>
      <c r="DE127" s="81">
        <f>$CW$127*VLOOKUP($CW$11,'PCU Values'!$B$9:$C$16,2,FALSE)</f>
        <v>0.4</v>
      </c>
      <c r="DF127" s="82">
        <f>$CX$127*VLOOKUP($CX$11,'PCU Values'!$B$9:$C$16,2,FALSE)</f>
        <v>0</v>
      </c>
      <c r="DG127" s="71">
        <f>SUM($CY$127,$CZ$127,$DA$127,$DB$127,$DC$127,$DD$127,$DE$127,$DF$127)</f>
        <v>22.6</v>
      </c>
      <c r="DH127" s="52">
        <f>SUM($CQ$127,$CR$127,$CS$127,$CT$127,$CU$127,$CV$127,$CW$127,$CX$127)</f>
        <v>24</v>
      </c>
    </row>
    <row r="128" spans="1:112" ht="21" customHeight="1">
      <c r="A128" s="46">
        <v>44395.96875</v>
      </c>
      <c r="B128" s="47" t="s">
        <v>124</v>
      </c>
      <c r="C128" s="48">
        <v>3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3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3</v>
      </c>
      <c r="T128" s="52">
        <f>SUM($C$128,$D$128,$E$128,$F$128,$G$128,$H$128,$I$128,$J$128)</f>
        <v>3</v>
      </c>
      <c r="U128" s="67">
        <v>14</v>
      </c>
      <c r="V128" s="48">
        <v>2</v>
      </c>
      <c r="W128" s="48">
        <v>0</v>
      </c>
      <c r="X128" s="48">
        <v>0</v>
      </c>
      <c r="Y128" s="48">
        <v>1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14</v>
      </c>
      <c r="AD128" s="57">
        <f>$V$128*VLOOKUP($V$11,'PCU Values'!$B$9:$C$16,2,FALSE)</f>
        <v>2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2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18</v>
      </c>
      <c r="AL128" s="52">
        <f>SUM($U$128,$V$128,$W$128,$X$128,$Y$128,$Z$128,$AA$128,$AB$128)</f>
        <v>17</v>
      </c>
      <c r="AM128" s="67">
        <v>3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3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3</v>
      </c>
      <c r="BD128" s="52">
        <f>SUM($AM$128,$AN$128,$AO$128,$AP$128,$AQ$128,$AR$128,$AS$128,$AT$128)</f>
        <v>3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20</v>
      </c>
      <c r="BZ128" s="83">
        <f>SUM($D$128,$V$128,$AN$128,$BF$128)</f>
        <v>2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1</v>
      </c>
      <c r="CD128" s="83">
        <f>SUM($H$128,$Z$128,$AR$128,$BJ$128)</f>
        <v>0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20</v>
      </c>
      <c r="CH128" s="77">
        <f>$BZ$128*VLOOKUP($BZ$11,'PCU Values'!$B$9:$C$16,2,FALSE)</f>
        <v>2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2</v>
      </c>
      <c r="CL128" s="77">
        <f>$CD$128*VLOOKUP($CD$11,'PCU Values'!$B$9:$C$16,2,FALSE)</f>
        <v>0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24</v>
      </c>
      <c r="CP128" s="52">
        <f>SUM($BY$128,$BZ$128,$CA$128,$CB$128,$CC$128,$CD$128,$CE$128,$CF$128)</f>
        <v>23</v>
      </c>
      <c r="CQ128" s="89">
        <f>SUM('J1 A - (North) Bishopthorpe Roa'!$BE$128,'J1 B - Butcher Terrace'!$AM$128,'J1 C - (South) Bishopthorpe Roa'!$U$128,'J1 D - South Bank Avenue'!$C$128)</f>
        <v>14</v>
      </c>
      <c r="CR128" s="83">
        <f>SUM('J1 A - (North) Bishopthorpe Roa'!$BF$128,'J1 B - Butcher Terrace'!$AN$128,'J1 C - (South) Bishopthorpe Roa'!$V$128,'J1 D - South Bank Avenue'!$D$128)</f>
        <v>1</v>
      </c>
      <c r="CS128" s="83">
        <f>SUM('J1 A - (North) Bishopthorpe Roa'!$BG$128,'J1 B - Butcher Terrace'!$AO$128,'J1 C - (South) Bishopthorpe Roa'!$W$128,'J1 D - South Bank Avenue'!$E$128)</f>
        <v>0</v>
      </c>
      <c r="CT128" s="83">
        <f>SUM('J1 A - (North) Bishopthorpe Roa'!$BH$128,'J1 B - Butcher Terrace'!$AP$128,'J1 C - (South) Bishopthorpe Roa'!$X$128,'J1 D - South Bank Avenue'!$F$128)</f>
        <v>0</v>
      </c>
      <c r="CU128" s="83">
        <f>SUM('J1 A - (North) Bishopthorpe Roa'!$BI$128,'J1 B - Butcher Terrace'!$AQ$128,'J1 C - (South) Bishopthorpe Roa'!$Y$128,'J1 D - South Bank Avenue'!$G$128)</f>
        <v>0</v>
      </c>
      <c r="CV128" s="83">
        <f>SUM('J1 A - (North) Bishopthorpe Roa'!$BJ$128,'J1 B - Butcher Terrace'!$AR$128,'J1 C - (South) Bishopthorpe Roa'!$Z$128,'J1 D - South Bank Avenue'!$H$128)</f>
        <v>1</v>
      </c>
      <c r="CW128" s="83">
        <f>SUM('J1 A - (North) Bishopthorpe Roa'!$BK$128,'J1 B - Butcher Terrace'!$AS$128,'J1 C - (South) Bishopthorpe Roa'!$AA$128,'J1 D - South Bank Avenue'!$I$128)</f>
        <v>0</v>
      </c>
      <c r="CX128" s="86">
        <f>SUM('J1 A - (North) Bishopthorpe Roa'!$BL$128,'J1 B - Butcher Terrace'!$AT$128,'J1 C - (South) Bishopthorpe Roa'!$AB$128,'J1 D - South Bank Avenue'!$J$128)</f>
        <v>0</v>
      </c>
      <c r="CY128" s="77">
        <f>$CQ$128*VLOOKUP($CQ$11,'PCU Values'!$B$9:$C$16,2,FALSE)</f>
        <v>14</v>
      </c>
      <c r="CZ128" s="77">
        <f>$CR$128*VLOOKUP($CR$11,'PCU Values'!$B$9:$C$16,2,FALSE)</f>
        <v>1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0.2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15.2</v>
      </c>
      <c r="DH128" s="52">
        <f>SUM($CQ$128,$CR$128,$CS$128,$CT$128,$CU$128,$CV$128,$CW$128,$CX$128)</f>
        <v>16</v>
      </c>
    </row>
    <row r="129" spans="1:112" ht="21" customHeight="1">
      <c r="A129" s="46">
        <v>44395.979166666701</v>
      </c>
      <c r="B129" s="47" t="s">
        <v>125</v>
      </c>
      <c r="C129" s="48">
        <v>1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1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1</v>
      </c>
      <c r="T129" s="52">
        <f>SUM($C$129,$D$129,$E$129,$F$129,$G$129,$H$129,$I$129,$J$129)</f>
        <v>1</v>
      </c>
      <c r="U129" s="67">
        <v>15</v>
      </c>
      <c r="V129" s="48">
        <v>0</v>
      </c>
      <c r="W129" s="48">
        <v>0</v>
      </c>
      <c r="X129" s="48">
        <v>0</v>
      </c>
      <c r="Y129" s="48">
        <v>0</v>
      </c>
      <c r="Z129" s="48">
        <v>2</v>
      </c>
      <c r="AA129" s="48">
        <v>0</v>
      </c>
      <c r="AB129" s="56">
        <v>0</v>
      </c>
      <c r="AC129" s="57">
        <f>$U$129*VLOOKUP($U$11,'PCU Values'!$B$9:$C$16,2,FALSE)</f>
        <v>15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0.4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15.4</v>
      </c>
      <c r="AL129" s="52">
        <f>SUM($U$129,$V$129,$W$129,$X$129,$Y$129,$Z$129,$AA$129,$AB$129)</f>
        <v>17</v>
      </c>
      <c r="AM129" s="67">
        <v>3</v>
      </c>
      <c r="AN129" s="48">
        <v>0</v>
      </c>
      <c r="AO129" s="48">
        <v>0</v>
      </c>
      <c r="AP129" s="48">
        <v>0</v>
      </c>
      <c r="AQ129" s="48">
        <v>0</v>
      </c>
      <c r="AR129" s="48">
        <v>1</v>
      </c>
      <c r="AS129" s="48">
        <v>0</v>
      </c>
      <c r="AT129" s="56">
        <v>0</v>
      </c>
      <c r="AU129" s="57">
        <f>$AM$129*VLOOKUP($AM$11,'PCU Values'!$B$9:$C$16,2,FALSE)</f>
        <v>3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0.2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3.2</v>
      </c>
      <c r="BD129" s="52">
        <f>SUM($AM$129,$AN$129,$AO$129,$AP$129,$AQ$129,$AR$129,$AS$129,$AT$129)</f>
        <v>4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19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3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19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0.6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19.600000000000001</v>
      </c>
      <c r="CP129" s="52">
        <f>SUM($BY$129,$BZ$129,$CA$129,$CB$129,$CC$129,$CD$129,$CE$129,$CF$129)</f>
        <v>22</v>
      </c>
      <c r="CQ129" s="89">
        <f>SUM('J1 A - (North) Bishopthorpe Roa'!$BE$129,'J1 B - Butcher Terrace'!$AM$129,'J1 C - (South) Bishopthorpe Roa'!$U$129,'J1 D - South Bank Avenue'!$C$129)</f>
        <v>15</v>
      </c>
      <c r="CR129" s="83">
        <f>SUM('J1 A - (North) Bishopthorpe Roa'!$BF$129,'J1 B - Butcher Terrace'!$AN$129,'J1 C - (South) Bishopthorpe Roa'!$V$129,'J1 D - South Bank Avenue'!$D$129)</f>
        <v>0</v>
      </c>
      <c r="CS129" s="83">
        <f>SUM('J1 A - (North) Bishopthorpe Roa'!$BG$129,'J1 B - Butcher Terrace'!$AO$129,'J1 C - (South) Bishopthorpe Roa'!$W$129,'J1 D - South Bank Avenue'!$E$129)</f>
        <v>0</v>
      </c>
      <c r="CT129" s="83">
        <f>SUM('J1 A - (North) Bishopthorpe Roa'!$BH$129,'J1 B - Butcher Terrace'!$AP$129,'J1 C - (South) Bishopthorpe Roa'!$X$129,'J1 D - South Bank Avenue'!$F$129)</f>
        <v>0</v>
      </c>
      <c r="CU129" s="83">
        <f>SUM('J1 A - (North) Bishopthorpe Roa'!$BI$129,'J1 B - Butcher Terrace'!$AQ$129,'J1 C - (South) Bishopthorpe Roa'!$Y$129,'J1 D - South Bank Avenue'!$G$129)</f>
        <v>0</v>
      </c>
      <c r="CV129" s="83">
        <f>SUM('J1 A - (North) Bishopthorpe Roa'!$BJ$129,'J1 B - Butcher Terrace'!$AR$129,'J1 C - (South) Bishopthorpe Roa'!$Z$129,'J1 D - South Bank Avenue'!$H$129)</f>
        <v>2</v>
      </c>
      <c r="CW129" s="83">
        <f>SUM('J1 A - (North) Bishopthorpe Roa'!$BK$129,'J1 B - Butcher Terrace'!$AS$129,'J1 C - (South) Bishopthorpe Roa'!$AA$129,'J1 D - South Bank Avenue'!$I$129)</f>
        <v>0</v>
      </c>
      <c r="CX129" s="86">
        <f>SUM('J1 A - (North) Bishopthorpe Roa'!$BL$129,'J1 B - Butcher Terrace'!$AT$129,'J1 C - (South) Bishopthorpe Roa'!$AB$129,'J1 D - South Bank Avenue'!$J$129)</f>
        <v>0</v>
      </c>
      <c r="CY129" s="77">
        <f>$CQ$129*VLOOKUP($CQ$11,'PCU Values'!$B$9:$C$16,2,FALSE)</f>
        <v>15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0.4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15.4</v>
      </c>
      <c r="DH129" s="52">
        <f>SUM($CQ$129,$CR$129,$CS$129,$CT$129,$CU$129,$CV$129,$CW$129,$CX$129)</f>
        <v>17</v>
      </c>
    </row>
    <row r="130" spans="1:112" ht="21" customHeight="1">
      <c r="A130" s="46">
        <v>44395.989583333299</v>
      </c>
      <c r="B130" s="50" t="s">
        <v>126</v>
      </c>
      <c r="C130" s="51">
        <v>3</v>
      </c>
      <c r="D130" s="51">
        <v>0</v>
      </c>
      <c r="E130" s="51">
        <v>0</v>
      </c>
      <c r="F130" s="51">
        <v>0</v>
      </c>
      <c r="G130" s="51">
        <v>0</v>
      </c>
      <c r="H130" s="51">
        <v>1</v>
      </c>
      <c r="I130" s="51">
        <v>0</v>
      </c>
      <c r="J130" s="59">
        <v>0</v>
      </c>
      <c r="K130" s="60">
        <f>$C$130*VLOOKUP($C$11,'PCU Values'!$B$9:$C$16,2,FALSE)</f>
        <v>3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0.2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3.2</v>
      </c>
      <c r="T130" s="52">
        <f>SUM($C$130,$D$130,$E$130,$F$130,$G$130,$H$130,$I$130,$J$130)</f>
        <v>4</v>
      </c>
      <c r="U130" s="73">
        <v>12</v>
      </c>
      <c r="V130" s="51">
        <v>0</v>
      </c>
      <c r="W130" s="51">
        <v>0</v>
      </c>
      <c r="X130" s="51">
        <v>0</v>
      </c>
      <c r="Y130" s="51">
        <v>0</v>
      </c>
      <c r="Z130" s="51">
        <v>2</v>
      </c>
      <c r="AA130" s="51">
        <v>0</v>
      </c>
      <c r="AB130" s="59">
        <v>0</v>
      </c>
      <c r="AC130" s="60">
        <f>$U$130*VLOOKUP($U$11,'PCU Values'!$B$9:$C$16,2,FALSE)</f>
        <v>12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0.4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12.4</v>
      </c>
      <c r="AL130" s="52">
        <f>SUM($U$130,$V$130,$W$130,$X$130,$Y$130,$Z$130,$AA$130,$AB$130)</f>
        <v>14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15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3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15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0.6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15.6</v>
      </c>
      <c r="CP130" s="52">
        <f>SUM($BY$130,$BZ$130,$CA$130,$CB$130,$CC$130,$CD$130,$CE$130,$CF$130)</f>
        <v>18</v>
      </c>
      <c r="CQ130" s="90">
        <f>SUM('J1 A - (North) Bishopthorpe Roa'!$BE$130,'J1 B - Butcher Terrace'!$AM$130,'J1 C - (South) Bishopthorpe Roa'!$U$130,'J1 D - South Bank Avenue'!$C$130)</f>
        <v>13</v>
      </c>
      <c r="CR130" s="84">
        <f>SUM('J1 A - (North) Bishopthorpe Roa'!$BF$130,'J1 B - Butcher Terrace'!$AN$130,'J1 C - (South) Bishopthorpe Roa'!$V$130,'J1 D - South Bank Avenue'!$D$130)</f>
        <v>0</v>
      </c>
      <c r="CS130" s="84">
        <f>SUM('J1 A - (North) Bishopthorpe Roa'!$BG$130,'J1 B - Butcher Terrace'!$AO$130,'J1 C - (South) Bishopthorpe Roa'!$W$130,'J1 D - South Bank Avenue'!$E$130)</f>
        <v>0</v>
      </c>
      <c r="CT130" s="84">
        <f>SUM('J1 A - (North) Bishopthorpe Roa'!$BH$130,'J1 B - Butcher Terrace'!$AP$130,'J1 C - (South) Bishopthorpe Roa'!$X$130,'J1 D - South Bank Avenue'!$F$130)</f>
        <v>0</v>
      </c>
      <c r="CU130" s="84">
        <f>SUM('J1 A - (North) Bishopthorpe Roa'!$BI$130,'J1 B - Butcher Terrace'!$AQ$130,'J1 C - (South) Bishopthorpe Roa'!$Y$130,'J1 D - South Bank Avenue'!$G$130)</f>
        <v>1</v>
      </c>
      <c r="CV130" s="84">
        <f>SUM('J1 A - (North) Bishopthorpe Roa'!$BJ$130,'J1 B - Butcher Terrace'!$AR$130,'J1 C - (South) Bishopthorpe Roa'!$Z$130,'J1 D - South Bank Avenue'!$H$130)</f>
        <v>0</v>
      </c>
      <c r="CW130" s="84">
        <f>SUM('J1 A - (North) Bishopthorpe Roa'!$BK$130,'J1 B - Butcher Terrace'!$AS$130,'J1 C - (South) Bishopthorpe Roa'!$AA$130,'J1 D - South Bank Avenue'!$I$130)</f>
        <v>0</v>
      </c>
      <c r="CX130" s="87">
        <f>SUM('J1 A - (North) Bishopthorpe Roa'!$BL$130,'J1 B - Butcher Terrace'!$AT$130,'J1 C - (South) Bishopthorpe Roa'!$AB$130,'J1 D - South Bank Avenue'!$J$130)</f>
        <v>0</v>
      </c>
      <c r="CY130" s="79">
        <f>$CQ$130*VLOOKUP($CQ$11,'PCU Values'!$B$9:$C$16,2,FALSE)</f>
        <v>13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2</v>
      </c>
      <c r="DD130" s="79">
        <f>$CV$130*VLOOKUP($CV$11,'PCU Values'!$B$9:$C$16,2,FALSE)</f>
        <v>0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15</v>
      </c>
      <c r="DH130" s="52">
        <f>SUM($CQ$130,$CR$130,$CS$130,$CT$130,$CU$130,$CV$130,$CW$130,$CX$130)</f>
        <v>14</v>
      </c>
    </row>
    <row r="131" spans="1:112">
      <c r="B131" s="52" t="s">
        <v>34</v>
      </c>
      <c r="C131" s="52">
        <f>SUM($C$127:$C$130)</f>
        <v>8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1</v>
      </c>
      <c r="I131" s="52">
        <f>SUM($I$127:$I$130)</f>
        <v>0</v>
      </c>
      <c r="J131" s="52">
        <f>SUM($J$127:$J$130)</f>
        <v>0</v>
      </c>
      <c r="K131" s="52">
        <f>SUM($K$127:$K$130)</f>
        <v>8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8</v>
      </c>
      <c r="T131" s="52">
        <f>SUM($C$131,$D$131,$E$131,$F$131,$G$131,$H$131,$I$131,$J$131)</f>
        <v>9</v>
      </c>
      <c r="U131" s="52">
        <f>SUM($U$127:$U$130)</f>
        <v>53</v>
      </c>
      <c r="V131" s="52">
        <f>SUM($V$127:$V$130)</f>
        <v>2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5</v>
      </c>
      <c r="AA131" s="52">
        <f>SUM($AA$127:$AA$130)</f>
        <v>0</v>
      </c>
      <c r="AB131" s="52">
        <f>SUM($AB$127:$AB$130)</f>
        <v>0</v>
      </c>
      <c r="AC131" s="52">
        <f>SUM($AC$127:$AC$130)</f>
        <v>53</v>
      </c>
      <c r="AD131" s="52">
        <f>SUM($AD$127:$AD$130)</f>
        <v>2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58</v>
      </c>
      <c r="AL131" s="52">
        <f>SUM($U$131,$V$131,$W$131,$X$131,$Y$131,$Z$131,$AA$131,$AB$131)</f>
        <v>61</v>
      </c>
      <c r="AM131" s="52">
        <f>SUM($AM$127:$AM$130)</f>
        <v>9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2</v>
      </c>
      <c r="AS131" s="52">
        <f>SUM($AS$127:$AS$130)</f>
        <v>0</v>
      </c>
      <c r="AT131" s="52">
        <f>SUM($AT$127:$AT$130)</f>
        <v>0</v>
      </c>
      <c r="AU131" s="52">
        <f>SUM($AU$127:$AU$130)</f>
        <v>9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9</v>
      </c>
      <c r="BD131" s="52">
        <f>SUM($AM$131,$AN$131,$AO$131,$AP$131,$AQ$131,$AR$131,$AS$131,$AT$131)</f>
        <v>11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70</v>
      </c>
      <c r="BZ131" s="52">
        <f>SUM($BZ$127:$BZ$130)</f>
        <v>2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8</v>
      </c>
      <c r="CE131" s="52">
        <f>SUM($CE$127:$CE$130)</f>
        <v>0</v>
      </c>
      <c r="CF131" s="52">
        <f>SUM($CF$127:$CF$130)</f>
        <v>0</v>
      </c>
      <c r="CG131" s="52">
        <f>SUM($CG$127:$CG$130)</f>
        <v>70</v>
      </c>
      <c r="CH131" s="52">
        <f>SUM($CH$127:$CH$130)</f>
        <v>2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2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76</v>
      </c>
      <c r="CP131" s="52">
        <f>SUM($BY$131,$BZ$131,$CA$131,$CB$131,$CC$131,$CD$131,$CE$131,$CF$131)</f>
        <v>81</v>
      </c>
      <c r="CQ131" s="52">
        <f>SUM($CQ$127:$CQ$130)</f>
        <v>64</v>
      </c>
      <c r="CR131" s="52">
        <f>SUM($CR$127:$CR$130)</f>
        <v>1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4</v>
      </c>
      <c r="CW131" s="52">
        <f>SUM($CW$127:$CW$130)</f>
        <v>1</v>
      </c>
      <c r="CX131" s="52">
        <f>SUM($CX$127:$CX$130)</f>
        <v>0</v>
      </c>
      <c r="CY131" s="52">
        <f>SUM($CY$127:$CY$130)</f>
        <v>64</v>
      </c>
      <c r="CZ131" s="52">
        <f>SUM($CZ$127:$CZ$130)</f>
        <v>1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68</v>
      </c>
      <c r="DH131" s="52">
        <f>SUM($CQ$131,$CR$131,$CS$131,$CT$131,$CU$131,$CV$131,$CW$131,$CX$131)</f>
        <v>71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235</v>
      </c>
      <c r="D133" s="52">
        <f>SUM($D$16,$D$21,$D$26,$D$31,$D$36,$D$41,$D$46,$D$51,$D$56,$D$61,$D$66,$D$71,$D$76,$D$81,$D$86,$D$91,$D$96,$D$101,$D$106,$D$111,$D$116,$D$121,$D$126,$D$131)</f>
        <v>44</v>
      </c>
      <c r="E133" s="52">
        <f>SUM($E$16,$E$21,$E$26,$E$31,$E$36,$E$41,$E$46,$E$51,$E$56,$E$61,$E$66,$E$71,$E$76,$E$81,$E$86,$E$91,$E$96,$E$101,$E$106,$E$111,$E$116,$E$121,$E$126,$E$131)</f>
        <v>9</v>
      </c>
      <c r="F133" s="52">
        <f>SUM($F$16,$F$21,$F$26,$F$31,$F$36,$F$41,$F$46,$F$51,$F$56,$F$61,$F$66,$F$71,$F$76,$F$81,$F$86,$F$91,$F$96,$F$101,$F$106,$F$111,$F$116,$F$121,$F$126,$F$131)</f>
        <v>1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170</v>
      </c>
      <c r="I133" s="52">
        <f>SUM($I$16,$I$21,$I$26,$I$31,$I$36,$I$41,$I$46,$I$51,$I$56,$I$61,$I$66,$I$71,$I$76,$I$81,$I$86,$I$91,$I$96,$I$101,$I$106,$I$111,$I$116,$I$121,$I$126,$I$131)</f>
        <v>8</v>
      </c>
      <c r="J133" s="52">
        <f>SUM($J$16,$J$21,$J$26,$J$31,$J$36,$J$41,$J$46,$J$51,$J$56,$J$61,$J$66,$J$71,$J$76,$J$81,$J$86,$J$91,$J$96,$J$101,$J$106,$J$111,$J$116,$J$121,$J$126,$J$131)</f>
        <v>16</v>
      </c>
      <c r="K133" s="52">
        <f>SUM($K$16,$K$21,$K$26,$K$31,$K$36,$K$41,$K$46,$K$51,$K$56,$K$61,$K$66,$K$71,$K$76,$K$81,$K$86,$K$91,$K$96,$K$101,$K$106,$K$111,$K$116,$K$121,$K$126,$K$131)</f>
        <v>235</v>
      </c>
      <c r="L133" s="52">
        <f>SUM($L$16,$L$21,$L$26,$L$31,$L$36,$L$41,$L$46,$L$51,$L$56,$L$61,$L$66,$L$71,$L$76,$L$81,$L$86,$L$91,$L$96,$L$101,$L$106,$L$111,$L$116,$L$121,$L$126,$L$131)</f>
        <v>44</v>
      </c>
      <c r="M133" s="52">
        <f>SUM($M$16,$M$21,$M$26,$M$31,$M$36,$M$41,$M$46,$M$51,$M$56,$M$61,$M$66,$M$71,$M$76,$M$81,$M$86,$M$91,$M$96,$M$101,$M$106,$M$111,$M$116,$M$121,$M$126,$M$131)</f>
        <v>16</v>
      </c>
      <c r="N133" s="52">
        <f>SUM($N$16,$N$21,$N$26,$N$31,$N$36,$N$41,$N$46,$N$51,$N$56,$N$61,$N$66,$N$71,$N$76,$N$81,$N$86,$N$91,$N$96,$N$101,$N$106,$N$111,$N$116,$N$121,$N$126,$N$131)</f>
        <v>2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34</v>
      </c>
      <c r="Q133" s="52">
        <f>SUM($Q$16,$Q$21,$Q$26,$Q$31,$Q$36,$Q$41,$Q$46,$Q$51,$Q$56,$Q$61,$Q$66,$Q$71,$Q$76,$Q$81,$Q$86,$Q$91,$Q$96,$Q$101,$Q$106,$Q$111,$Q$116,$Q$121,$Q$126,$Q$131)</f>
        <v>1</v>
      </c>
      <c r="R133" s="52">
        <f>SUM($R$16,$R$21,$R$26,$R$31,$R$36,$R$41,$R$46,$R$51,$R$56,$R$61,$R$66,$R$71,$R$76,$R$81,$R$86,$R$91,$R$96,$R$101,$R$106,$R$111,$R$116,$R$121,$R$126,$R$131)</f>
        <v>26</v>
      </c>
      <c r="S133" s="52">
        <f>SUM($S$16,$S$21,$S$26,$S$31,$S$36,$S$41,$S$46,$S$51,$S$56,$S$61,$S$66,$S$71,$S$76,$S$81,$S$86,$S$91,$S$96,$S$101,$S$106,$S$111,$S$116,$S$121,$S$126,$S$131)</f>
        <v>358</v>
      </c>
      <c r="T133" s="52">
        <f>SUM($T$16,$T$21,$T$26,$T$31,$T$36,$T$41,$T$46,$T$51,$T$56,$T$61,$T$66,$T$71,$T$76,$T$81,$T$86,$T$91,$T$96,$T$101,$T$106,$T$111,$T$116,$T$121,$T$126,$T$131)</f>
        <v>483</v>
      </c>
      <c r="U133" s="52">
        <f>SUM($U$16,$U$21,$U$26,$U$31,$U$36,$U$41,$U$46,$U$51,$U$56,$U$61,$U$66,$U$71,$U$76,$U$81,$U$86,$U$91,$U$96,$U$101,$U$106,$U$111,$U$116,$U$121,$U$126,$U$131)</f>
        <v>2994</v>
      </c>
      <c r="V133" s="52">
        <f>SUM($V$16,$V$21,$V$26,$V$31,$V$36,$V$41,$V$46,$V$51,$V$56,$V$61,$V$66,$V$71,$V$76,$V$81,$V$86,$V$91,$V$96,$V$101,$V$106,$V$111,$V$116,$V$121,$V$126,$V$131)</f>
        <v>317</v>
      </c>
      <c r="W133" s="52">
        <f>SUM($W$16,$W$21,$W$26,$W$31,$W$36,$W$41,$W$46,$W$51,$W$56,$W$61,$W$66,$W$71,$W$76,$W$81,$W$86,$W$91,$W$96,$W$101,$W$106,$W$111,$W$116,$W$121,$W$126,$W$131)</f>
        <v>35</v>
      </c>
      <c r="X133" s="52">
        <f>SUM($X$16,$X$21,$X$26,$X$31,$X$36,$X$41,$X$46,$X$51,$X$56,$X$61,$X$66,$X$71,$X$76,$X$81,$X$86,$X$91,$X$96,$X$101,$X$106,$X$111,$X$116,$X$121,$X$126,$X$131)</f>
        <v>3</v>
      </c>
      <c r="Y133" s="52">
        <f>SUM($Y$16,$Y$21,$Y$26,$Y$31,$Y$36,$Y$41,$Y$46,$Y$51,$Y$56,$Y$61,$Y$66,$Y$71,$Y$76,$Y$81,$Y$86,$Y$91,$Y$96,$Y$101,$Y$106,$Y$111,$Y$116,$Y$121,$Y$126,$Y$131)</f>
        <v>49</v>
      </c>
      <c r="Z133" s="52">
        <f>SUM($Z$16,$Z$21,$Z$26,$Z$31,$Z$36,$Z$41,$Z$46,$Z$51,$Z$56,$Z$61,$Z$66,$Z$71,$Z$76,$Z$81,$Z$86,$Z$91,$Z$96,$Z$101,$Z$106,$Z$111,$Z$116,$Z$121,$Z$126,$Z$131)</f>
        <v>217</v>
      </c>
      <c r="AA133" s="52">
        <f>SUM($AA$16,$AA$21,$AA$26,$AA$31,$AA$36,$AA$41,$AA$46,$AA$51,$AA$56,$AA$61,$AA$66,$AA$71,$AA$76,$AA$81,$AA$86,$AA$91,$AA$96,$AA$101,$AA$106,$AA$111,$AA$116,$AA$121,$AA$126,$AA$131)</f>
        <v>43</v>
      </c>
      <c r="AB133" s="52">
        <f>SUM($AB$16,$AB$21,$AB$26,$AB$31,$AB$36,$AB$41,$AB$46,$AB$51,$AB$56,$AB$61,$AB$66,$AB$71,$AB$76,$AB$81,$AB$86,$AB$91,$AB$96,$AB$101,$AB$106,$AB$111,$AB$116,$AB$121,$AB$126,$AB$131)</f>
        <v>1</v>
      </c>
      <c r="AC133" s="52">
        <f>SUM($AC$16,$AC$21,$AC$26,$AC$31,$AC$36,$AC$41,$AC$46,$AC$51,$AC$56,$AC$61,$AC$66,$AC$71,$AC$76,$AC$81,$AC$86,$AC$91,$AC$96,$AC$101,$AC$106,$AC$111,$AC$116,$AC$121,$AC$126,$AC$131)</f>
        <v>2994</v>
      </c>
      <c r="AD133" s="52">
        <f>SUM($AD$16,$AD$21,$AD$26,$AD$31,$AD$36,$AD$41,$AD$46,$AD$51,$AD$56,$AD$61,$AD$66,$AD$71,$AD$76,$AD$81,$AD$86,$AD$91,$AD$96,$AD$101,$AD$106,$AD$111,$AD$116,$AD$121,$AD$126,$AD$131)</f>
        <v>317</v>
      </c>
      <c r="AE133" s="52">
        <f>SUM($AE$16,$AE$21,$AE$26,$AE$31,$AE$36,$AE$41,$AE$46,$AE$51,$AE$56,$AE$61,$AE$66,$AE$71,$AE$76,$AE$81,$AE$86,$AE$91,$AE$96,$AE$101,$AE$106,$AE$111,$AE$116,$AE$121,$AE$126,$AE$131)</f>
        <v>58</v>
      </c>
      <c r="AF133" s="52">
        <f>SUM($AF$16,$AF$21,$AF$26,$AF$31,$AF$36,$AF$41,$AF$46,$AF$51,$AF$56,$AF$61,$AF$66,$AF$71,$AF$76,$AF$81,$AF$86,$AF$91,$AF$96,$AF$101,$AF$106,$AF$111,$AF$116,$AF$121,$AF$126,$AF$131)</f>
        <v>7</v>
      </c>
      <c r="AG133" s="52">
        <f>SUM($AG$16,$AG$21,$AG$26,$AG$31,$AG$36,$AG$41,$AG$46,$AG$51,$AG$56,$AG$61,$AG$66,$AG$71,$AG$76,$AG$81,$AG$86,$AG$91,$AG$96,$AG$101,$AG$106,$AG$111,$AG$116,$AG$121,$AG$126,$AG$131)</f>
        <v>98</v>
      </c>
      <c r="AH133" s="52">
        <f>SUM($AH$16,$AH$21,$AH$26,$AH$31,$AH$36,$AH$41,$AH$46,$AH$51,$AH$56,$AH$61,$AH$66,$AH$71,$AH$76,$AH$81,$AH$86,$AH$91,$AH$96,$AH$101,$AH$106,$AH$111,$AH$116,$AH$121,$AH$126,$AH$131)</f>
        <v>42</v>
      </c>
      <c r="AI133" s="52">
        <f>SUM($AI$16,$AI$21,$AI$26,$AI$31,$AI$36,$AI$41,$AI$46,$AI$51,$AI$56,$AI$61,$AI$66,$AI$71,$AI$76,$AI$81,$AI$86,$AI$91,$AI$96,$AI$101,$AI$106,$AI$111,$AI$116,$AI$121,$AI$126,$AI$131)</f>
        <v>16</v>
      </c>
      <c r="AJ133" s="52">
        <f>SUM($AJ$16,$AJ$21,$AJ$26,$AJ$31,$AJ$36,$AJ$41,$AJ$46,$AJ$51,$AJ$56,$AJ$61,$AJ$66,$AJ$71,$AJ$76,$AJ$81,$AJ$86,$AJ$91,$AJ$96,$AJ$101,$AJ$106,$AJ$111,$AJ$116,$AJ$121,$AJ$126,$AJ$131)</f>
        <v>2</v>
      </c>
      <c r="AK133" s="52">
        <f>SUM($AK$16,$AK$21,$AK$26,$AK$31,$AK$36,$AK$41,$AK$46,$AK$51,$AK$56,$AK$61,$AK$66,$AK$71,$AK$76,$AK$81,$AK$86,$AK$91,$AK$96,$AK$101,$AK$106,$AK$111,$AK$116,$AK$121,$AK$126,$AK$131)</f>
        <v>3534</v>
      </c>
      <c r="AL133" s="52">
        <f>SUM($AL$16,$AL$21,$AL$26,$AL$31,$AL$36,$AL$41,$AL$46,$AL$51,$AL$56,$AL$61,$AL$66,$AL$71,$AL$76,$AL$81,$AL$86,$AL$91,$AL$96,$AL$101,$AL$106,$AL$111,$AL$116,$AL$121,$AL$126,$AL$131)</f>
        <v>3659</v>
      </c>
      <c r="AM133" s="52">
        <f>SUM($AM$16,$AM$21,$AM$26,$AM$31,$AM$36,$AM$41,$AM$46,$AM$51,$AM$56,$AM$61,$AM$66,$AM$71,$AM$76,$AM$81,$AM$86,$AM$91,$AM$96,$AM$101,$AM$106,$AM$111,$AM$116,$AM$121,$AM$126,$AM$131)</f>
        <v>345</v>
      </c>
      <c r="AN133" s="52">
        <f>SUM($AN$16,$AN$21,$AN$26,$AN$31,$AN$36,$AN$41,$AN$46,$AN$51,$AN$56,$AN$61,$AN$66,$AN$71,$AN$76,$AN$81,$AN$86,$AN$91,$AN$96,$AN$101,$AN$106,$AN$111,$AN$116,$AN$121,$AN$126,$AN$131)</f>
        <v>44</v>
      </c>
      <c r="AO133" s="52">
        <f>SUM($AO$16,$AO$21,$AO$26,$AO$31,$AO$36,$AO$41,$AO$46,$AO$51,$AO$56,$AO$61,$AO$66,$AO$71,$AO$76,$AO$81,$AO$86,$AO$91,$AO$96,$AO$101,$AO$106,$AO$111,$AO$116,$AO$121,$AO$126,$AO$131)</f>
        <v>3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48</v>
      </c>
      <c r="AS133" s="52">
        <f>SUM($AS$16,$AS$21,$AS$26,$AS$31,$AS$36,$AS$41,$AS$46,$AS$51,$AS$56,$AS$61,$AS$66,$AS$71,$AS$76,$AS$81,$AS$86,$AS$91,$AS$96,$AS$101,$AS$106,$AS$111,$AS$116,$AS$121,$AS$126,$AS$131)</f>
        <v>11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345</v>
      </c>
      <c r="AV133" s="52">
        <f>SUM($AV$16,$AV$21,$AV$26,$AV$31,$AV$36,$AV$41,$AV$46,$AV$51,$AV$56,$AV$61,$AV$66,$AV$71,$AV$76,$AV$81,$AV$86,$AV$91,$AV$96,$AV$101,$AV$106,$AV$111,$AV$116,$AV$121,$AV$126,$AV$131)</f>
        <v>44</v>
      </c>
      <c r="AW133" s="52">
        <f>SUM($AW$16,$AW$21,$AW$26,$AW$31,$AW$36,$AW$41,$AW$46,$AW$51,$AW$56,$AW$61,$AW$66,$AW$71,$AW$76,$AW$81,$AW$86,$AW$91,$AW$96,$AW$101,$AW$106,$AW$111,$AW$116,$AW$121,$AW$126,$AW$131)</f>
        <v>6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8</v>
      </c>
      <c r="BA133" s="52">
        <f>SUM($BA$16,$BA$21,$BA$26,$BA$31,$BA$36,$BA$41,$BA$46,$BA$51,$BA$56,$BA$61,$BA$66,$BA$71,$BA$76,$BA$81,$BA$86,$BA$91,$BA$96,$BA$101,$BA$106,$BA$111,$BA$116,$BA$121,$BA$126,$BA$131)</f>
        <v>2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405</v>
      </c>
      <c r="BD133" s="52">
        <f>SUM($BD$16,$BD$21,$BD$26,$BD$31,$BD$36,$BD$41,$BD$46,$BD$51,$BD$56,$BD$61,$BD$66,$BD$71,$BD$76,$BD$81,$BD$86,$BD$91,$BD$96,$BD$101,$BD$106,$BD$111,$BD$116,$BD$121,$BD$126,$BD$131)</f>
        <v>451</v>
      </c>
      <c r="BE133" s="52">
        <f>SUM($BE$16,$BE$21,$BE$26,$BE$31,$BE$36,$BE$41,$BE$46,$BE$51,$BE$56,$BE$61,$BE$66,$BE$71,$BE$76,$BE$81,$BE$86,$BE$91,$BE$96,$BE$101,$BE$106,$BE$111,$BE$116,$BE$121,$BE$126,$BE$131)</f>
        <v>24</v>
      </c>
      <c r="BF133" s="52">
        <f>SUM($BF$16,$BF$21,$BF$26,$BF$31,$BF$36,$BF$41,$BF$46,$BF$51,$BF$56,$BF$61,$BF$66,$BF$71,$BF$76,$BF$81,$BF$86,$BF$91,$BF$96,$BF$101,$BF$106,$BF$111,$BF$116,$BF$121,$BF$126,$BF$131)</f>
        <v>1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24</v>
      </c>
      <c r="BN133" s="52">
        <f>SUM($BN$16,$BN$21,$BN$26,$BN$31,$BN$36,$BN$41,$BN$46,$BN$51,$BN$56,$BN$61,$BN$66,$BN$71,$BN$76,$BN$81,$BN$86,$BN$91,$BN$96,$BN$101,$BN$106,$BN$111,$BN$116,$BN$121,$BN$126,$BN$131)</f>
        <v>1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25</v>
      </c>
      <c r="BV133" s="52">
        <f>SUM($BV$16,$BV$21,$BV$26,$BV$31,$BV$36,$BV$41,$BV$46,$BV$51,$BV$56,$BV$61,$BV$66,$BV$71,$BV$76,$BV$81,$BV$86,$BV$91,$BV$96,$BV$101,$BV$106,$BV$111,$BV$116,$BV$121,$BV$126,$BV$131)</f>
        <v>25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3598</v>
      </c>
      <c r="BZ133" s="52">
        <f>SUM($BZ$16,$BZ$21,$BZ$26,$BZ$31,$BZ$36,$BZ$41,$BZ$46,$BZ$51,$BZ$56,$BZ$61,$BZ$66,$BZ$71,$BZ$76,$BZ$81,$BZ$86,$BZ$91,$BZ$96,$BZ$101,$BZ$106,$BZ$111,$BZ$116,$BZ$121,$BZ$126,$BZ$131)</f>
        <v>406</v>
      </c>
      <c r="CA133" s="52">
        <f>SUM($CA$16,$CA$21,$CA$26,$CA$31,$CA$36,$CA$41,$CA$46,$CA$51,$CA$56,$CA$61,$CA$66,$CA$71,$CA$76,$CA$81,$CA$86,$CA$91,$CA$96,$CA$101,$CA$106,$CA$111,$CA$116,$CA$121,$CA$126,$CA$131)</f>
        <v>47</v>
      </c>
      <c r="CB133" s="52">
        <f>SUM($CB$16,$CB$21,$CB$26,$CB$31,$CB$36,$CB$41,$CB$46,$CB$51,$CB$56,$CB$61,$CB$66,$CB$71,$CB$76,$CB$81,$CB$86,$CB$91,$CB$96,$CB$101,$CB$106,$CB$111,$CB$116,$CB$121,$CB$126,$CB$131)</f>
        <v>4</v>
      </c>
      <c r="CC133" s="52">
        <f>SUM($CC$16,$CC$21,$CC$26,$CC$31,$CC$36,$CC$41,$CC$46,$CC$51,$CC$56,$CC$61,$CC$66,$CC$71,$CC$76,$CC$81,$CC$86,$CC$91,$CC$96,$CC$101,$CC$106,$CC$111,$CC$116,$CC$121,$CC$126,$CC$131)</f>
        <v>49</v>
      </c>
      <c r="CD133" s="52">
        <f>SUM($CD$16,$CD$21,$CD$26,$CD$31,$CD$36,$CD$41,$CD$46,$CD$51,$CD$56,$CD$61,$CD$66,$CD$71,$CD$76,$CD$81,$CD$86,$CD$91,$CD$96,$CD$101,$CD$106,$CD$111,$CD$116,$CD$121,$CD$126,$CD$131)</f>
        <v>435</v>
      </c>
      <c r="CE133" s="52">
        <f>SUM($CE$16,$CE$21,$CE$26,$CE$31,$CE$36,$CE$41,$CE$46,$CE$51,$CE$56,$CE$61,$CE$66,$CE$71,$CE$76,$CE$81,$CE$86,$CE$91,$CE$96,$CE$101,$CE$106,$CE$111,$CE$116,$CE$121,$CE$126,$CE$131)</f>
        <v>62</v>
      </c>
      <c r="CF133" s="52">
        <f>SUM($CF$16,$CF$21,$CF$26,$CF$31,$CF$36,$CF$41,$CF$46,$CF$51,$CF$56,$CF$61,$CF$66,$CF$71,$CF$76,$CF$81,$CF$86,$CF$91,$CF$96,$CF$101,$CF$106,$CF$111,$CF$116,$CF$121,$CF$126,$CF$131)</f>
        <v>17</v>
      </c>
      <c r="CG133" s="52">
        <f>SUM($CG$16,$CG$21,$CG$26,$CG$31,$CG$36,$CG$41,$CG$46,$CG$51,$CG$56,$CG$61,$CG$66,$CG$71,$CG$76,$CG$81,$CG$86,$CG$91,$CG$96,$CG$101,$CG$106,$CG$111,$CG$116,$CG$121,$CG$126,$CG$131)</f>
        <v>3598</v>
      </c>
      <c r="CH133" s="52">
        <f>SUM($CH$16,$CH$21,$CH$26,$CH$31,$CH$36,$CH$41,$CH$46,$CH$51,$CH$56,$CH$61,$CH$66,$CH$71,$CH$76,$CH$81,$CH$86,$CH$91,$CH$96,$CH$101,$CH$106,$CH$111,$CH$116,$CH$121,$CH$126,$CH$131)</f>
        <v>406</v>
      </c>
      <c r="CI133" s="52">
        <f>SUM($CI$16,$CI$21,$CI$26,$CI$31,$CI$36,$CI$41,$CI$46,$CI$51,$CI$56,$CI$61,$CI$66,$CI$71,$CI$76,$CI$81,$CI$86,$CI$91,$CI$96,$CI$101,$CI$106,$CI$111,$CI$116,$CI$121,$CI$126,$CI$131)</f>
        <v>75</v>
      </c>
      <c r="CJ133" s="52">
        <f>SUM($CJ$16,$CJ$21,$CJ$26,$CJ$31,$CJ$36,$CJ$41,$CJ$46,$CJ$51,$CJ$56,$CJ$61,$CJ$66,$CJ$71,$CJ$76,$CJ$81,$CJ$86,$CJ$91,$CJ$96,$CJ$101,$CJ$106,$CJ$111,$CJ$116,$CJ$121,$CJ$126,$CJ$131)</f>
        <v>9</v>
      </c>
      <c r="CK133" s="52">
        <f>SUM($CK$16,$CK$21,$CK$26,$CK$31,$CK$36,$CK$41,$CK$46,$CK$51,$CK$56,$CK$61,$CK$66,$CK$71,$CK$76,$CK$81,$CK$86,$CK$91,$CK$96,$CK$101,$CK$106,$CK$111,$CK$116,$CK$121,$CK$126,$CK$131)</f>
        <v>98</v>
      </c>
      <c r="CL133" s="52">
        <f>SUM($CL$16,$CL$21,$CL$26,$CL$31,$CL$36,$CL$41,$CL$46,$CL$51,$CL$56,$CL$61,$CL$66,$CL$71,$CL$76,$CL$81,$CL$86,$CL$91,$CL$96,$CL$101,$CL$106,$CL$111,$CL$116,$CL$121,$CL$126,$CL$131)</f>
        <v>88</v>
      </c>
      <c r="CM133" s="52">
        <f>SUM($CM$16,$CM$21,$CM$26,$CM$31,$CM$36,$CM$41,$CM$46,$CM$51,$CM$56,$CM$61,$CM$66,$CM$71,$CM$76,$CM$81,$CM$86,$CM$91,$CM$96,$CM$101,$CM$106,$CM$111,$CM$116,$CM$121,$CM$126,$CM$131)</f>
        <v>23</v>
      </c>
      <c r="CN133" s="52">
        <f>SUM($CN$16,$CN$21,$CN$26,$CN$31,$CN$36,$CN$41,$CN$46,$CN$51,$CN$56,$CN$61,$CN$66,$CN$71,$CN$76,$CN$81,$CN$86,$CN$91,$CN$96,$CN$101,$CN$106,$CN$111,$CN$116,$CN$121,$CN$126,$CN$131)</f>
        <v>27</v>
      </c>
      <c r="CO133" s="52">
        <f>SUM($CO$16,$CO$21,$CO$26,$CO$31,$CO$36,$CO$41,$CO$46,$CO$51,$CO$56,$CO$61,$CO$66,$CO$71,$CO$76,$CO$81,$CO$86,$CO$91,$CO$96,$CO$101,$CO$106,$CO$111,$CO$116,$CO$121,$CO$126,$CO$131)</f>
        <v>4324</v>
      </c>
      <c r="CP133" s="52">
        <f>SUM($CP$16,$CP$21,$CP$26,$CP$31,$CP$36,$CP$41,$CP$46,$CP$51,$CP$56,$CP$61,$CP$66,$CP$71,$CP$76,$CP$81,$CP$86,$CP$91,$CP$96,$CP$101,$CP$106,$CP$111,$CP$116,$CP$121,$CP$126,$CP$131)</f>
        <v>4618</v>
      </c>
      <c r="CQ133" s="52">
        <f>SUM($CQ$16,$CQ$21,$CQ$26,$CQ$31,$CQ$36,$CQ$41,$CQ$46,$CQ$51,$CQ$56,$CQ$61,$CQ$66,$CQ$71,$CQ$76,$CQ$81,$CQ$86,$CQ$91,$CQ$96,$CQ$101,$CQ$106,$CQ$111,$CQ$116,$CQ$121,$CQ$126,$CQ$131)</f>
        <v>3433</v>
      </c>
      <c r="CR133" s="52">
        <f>SUM($CR$16,$CR$21,$CR$26,$CR$31,$CR$36,$CR$41,$CR$46,$CR$51,$CR$56,$CR$61,$CR$66,$CR$71,$CR$76,$CR$81,$CR$86,$CR$91,$CR$96,$CR$101,$CR$106,$CR$111,$CR$116,$CR$121,$CR$126,$CR$131)</f>
        <v>382</v>
      </c>
      <c r="CS133" s="52">
        <f>SUM($CS$16,$CS$21,$CS$26,$CS$31,$CS$36,$CS$41,$CS$46,$CS$51,$CS$56,$CS$61,$CS$66,$CS$71,$CS$76,$CS$81,$CS$86,$CS$91,$CS$96,$CS$101,$CS$106,$CS$111,$CS$116,$CS$121,$CS$126,$CS$131)</f>
        <v>52</v>
      </c>
      <c r="CT133" s="52">
        <f>SUM($CT$16,$CT$21,$CT$26,$CT$31,$CT$36,$CT$41,$CT$46,$CT$51,$CT$56,$CT$61,$CT$66,$CT$71,$CT$76,$CT$81,$CT$86,$CT$91,$CT$96,$CT$101,$CT$106,$CT$111,$CT$116,$CT$121,$CT$126,$CT$131)</f>
        <v>5</v>
      </c>
      <c r="CU133" s="52">
        <f>SUM($CU$16,$CU$21,$CU$26,$CU$31,$CU$36,$CU$41,$CU$46,$CU$51,$CU$56,$CU$61,$CU$66,$CU$71,$CU$76,$CU$81,$CU$86,$CU$91,$CU$96,$CU$101,$CU$106,$CU$111,$CU$116,$CU$121,$CU$126,$CU$131)</f>
        <v>51</v>
      </c>
      <c r="CV133" s="52">
        <f>SUM($CV$16,$CV$21,$CV$26,$CV$31,$CV$36,$CV$41,$CV$46,$CV$51,$CV$56,$CV$61,$CV$66,$CV$71,$CV$76,$CV$81,$CV$86,$CV$91,$CV$96,$CV$101,$CV$106,$CV$111,$CV$116,$CV$121,$CV$126,$CV$131)</f>
        <v>388</v>
      </c>
      <c r="CW133" s="52">
        <f>SUM($CW$16,$CW$21,$CW$26,$CW$31,$CW$36,$CW$41,$CW$46,$CW$51,$CW$56,$CW$61,$CW$66,$CW$71,$CW$76,$CW$81,$CW$86,$CW$91,$CW$96,$CW$101,$CW$106,$CW$111,$CW$116,$CW$121,$CW$126,$CW$131)</f>
        <v>48</v>
      </c>
      <c r="CX133" s="52">
        <f>SUM($CX$16,$CX$21,$CX$26,$CX$31,$CX$36,$CX$41,$CX$46,$CX$51,$CX$56,$CX$61,$CX$66,$CX$71,$CX$76,$CX$81,$CX$86,$CX$91,$CX$96,$CX$101,$CX$106,$CX$111,$CX$116,$CX$121,$CX$126,$CX$131)</f>
        <v>11</v>
      </c>
      <c r="CY133" s="52">
        <f>SUM($CY$16,$CY$21,$CY$26,$CY$31,$CY$36,$CY$41,$CY$46,$CY$51,$CY$56,$CY$61,$CY$66,$CY$71,$CY$76,$CY$81,$CY$86,$CY$91,$CY$96,$CY$101,$CY$106,$CY$111,$CY$116,$CY$121,$CY$126,$CY$131)</f>
        <v>3433</v>
      </c>
      <c r="CZ133" s="52">
        <f>SUM($CZ$16,$CZ$21,$CZ$26,$CZ$31,$CZ$36,$CZ$41,$CZ$46,$CZ$51,$CZ$56,$CZ$61,$CZ$66,$CZ$71,$CZ$76,$CZ$81,$CZ$86,$CZ$91,$CZ$96,$CZ$101,$CZ$106,$CZ$111,$CZ$116,$CZ$121,$CZ$126,$CZ$131)</f>
        <v>382</v>
      </c>
      <c r="DA133" s="52">
        <f>SUM($DA$16,$DA$21,$DA$26,$DA$31,$DA$36,$DA$41,$DA$46,$DA$51,$DA$56,$DA$61,$DA$66,$DA$71,$DA$76,$DA$81,$DA$86,$DA$91,$DA$96,$DA$101,$DA$106,$DA$111,$DA$116,$DA$121,$DA$126,$DA$131)</f>
        <v>81</v>
      </c>
      <c r="DB133" s="52">
        <f>SUM($DB$16,$DB$21,$DB$26,$DB$31,$DB$36,$DB$41,$DB$46,$DB$51,$DB$56,$DB$61,$DB$66,$DB$71,$DB$76,$DB$81,$DB$86,$DB$91,$DB$96,$DB$101,$DB$106,$DB$111,$DB$116,$DB$121,$DB$126,$DB$131)</f>
        <v>11</v>
      </c>
      <c r="DC133" s="52">
        <f>SUM($DC$16,$DC$21,$DC$26,$DC$31,$DC$36,$DC$41,$DC$46,$DC$51,$DC$56,$DC$61,$DC$66,$DC$71,$DC$76,$DC$81,$DC$86,$DC$91,$DC$96,$DC$101,$DC$106,$DC$111,$DC$116,$DC$121,$DC$126,$DC$131)</f>
        <v>102</v>
      </c>
      <c r="DD133" s="52">
        <f>SUM($DD$16,$DD$21,$DD$26,$DD$31,$DD$36,$DD$41,$DD$46,$DD$51,$DD$56,$DD$61,$DD$66,$DD$71,$DD$76,$DD$81,$DD$86,$DD$91,$DD$96,$DD$101,$DD$106,$DD$111,$DD$116,$DD$121,$DD$126,$DD$131)</f>
        <v>78</v>
      </c>
      <c r="DE133" s="52">
        <f>SUM($DE$16,$DE$21,$DE$26,$DE$31,$DE$36,$DE$41,$DE$46,$DE$51,$DE$56,$DE$61,$DE$66,$DE$71,$DE$76,$DE$81,$DE$86,$DE$91,$DE$96,$DE$101,$DE$106,$DE$111,$DE$116,$DE$121,$DE$126,$DE$131)</f>
        <v>15</v>
      </c>
      <c r="DF133" s="52">
        <f>SUM($DF$16,$DF$21,$DF$26,$DF$31,$DF$36,$DF$41,$DF$46,$DF$51,$DF$56,$DF$61,$DF$66,$DF$71,$DF$76,$DF$81,$DF$86,$DF$91,$DF$96,$DF$101,$DF$106,$DF$111,$DF$116,$DF$121,$DF$126,$DF$131)</f>
        <v>18</v>
      </c>
      <c r="DG133" s="52">
        <f>SUM($DG$16,$DG$21,$DG$26,$DG$31,$DG$36,$DG$41,$DG$46,$DG$51,$DG$56,$DG$61,$DG$66,$DG$71,$DG$76,$DG$81,$DG$86,$DG$91,$DG$96,$DG$101,$DG$106,$DG$111,$DG$116,$DG$121,$DG$126,$DG$131)</f>
        <v>4120</v>
      </c>
      <c r="DH133" s="52">
        <f>SUM($DH$16,$DH$21,$DH$26,$DH$31,$DH$36,$DH$41,$DH$46,$DH$51,$DH$56,$DH$61,$DH$66,$DH$71,$DH$76,$DH$81,$DH$86,$DH$91,$DH$96,$DH$101,$DH$106,$DH$111,$DH$116,$DH$121,$DH$126,$DH$131)</f>
        <v>4370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128</v>
      </c>
    </row>
    <row r="9" spans="1:112" ht="15.75" customHeight="1"/>
    <row r="10" spans="1:112" ht="21" customHeight="1">
      <c r="C10" s="100" t="s">
        <v>129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130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131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132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133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134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</v>
      </c>
      <c r="T12" s="52">
        <f>SUM($C$12,$D$12,$E$12,$F$12,$G$12,$H$12,$I$12,$J$12)</f>
        <v>0</v>
      </c>
      <c r="U12" s="67">
        <v>0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0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0</v>
      </c>
      <c r="AL12" s="52">
        <f>SUM($U$12,$V$12,$W$12,$X$12,$Y$12,$Z$12,$AA$12,$AB$12)</f>
        <v>0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0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0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0</v>
      </c>
      <c r="CP12" s="52">
        <f>SUM($BY$12,$BZ$12,$CA$12,$CB$12,$CC$12,$CD$12,$CE$12,$CF$12)</f>
        <v>0</v>
      </c>
      <c r="CQ12" s="89">
        <f>SUM('J1 A - (North) Bishopthorpe Roa'!$C$12,'J1 B - Butcher Terrace'!$BE$12,'J1 C - (South) Bishopthorpe Roa'!$AM$12,'J1 D - South Bank Avenue'!$U$12)</f>
        <v>1</v>
      </c>
      <c r="CR12" s="83">
        <f>SUM('J1 A - (North) Bishopthorpe Roa'!$D$12,'J1 B - Butcher Terrace'!$BF$12,'J1 C - (South) Bishopthorpe Roa'!$AN$12,'J1 D - South Bank Avenue'!$V$12)</f>
        <v>0</v>
      </c>
      <c r="CS12" s="83">
        <f>SUM('J1 A - (North) Bishopthorpe Roa'!$E$12,'J1 B - Butcher Terrace'!$BG$12,'J1 C - (South) Bishopthorpe Roa'!$AO$12,'J1 D - South Bank Avenue'!$W$12)</f>
        <v>0</v>
      </c>
      <c r="CT12" s="83">
        <f>SUM('J1 A - (North) Bishopthorpe Roa'!$F$12,'J1 B - Butcher Terrace'!$BH$12,'J1 C - (South) Bishopthorpe Roa'!$AP$12,'J1 D - South Bank Avenue'!$X$12)</f>
        <v>0</v>
      </c>
      <c r="CU12" s="83">
        <f>SUM('J1 A - (North) Bishopthorpe Roa'!$G$12,'J1 B - Butcher Terrace'!$BI$12,'J1 C - (South) Bishopthorpe Roa'!$AQ$12,'J1 D - South Bank Avenue'!$Y$12)</f>
        <v>0</v>
      </c>
      <c r="CV12" s="83">
        <f>SUM('J1 A - (North) Bishopthorpe Roa'!$H$12,'J1 B - Butcher Terrace'!$BJ$12,'J1 C - (South) Bishopthorpe Roa'!$AR$12,'J1 D - South Bank Avenue'!$Z$12)</f>
        <v>0</v>
      </c>
      <c r="CW12" s="83">
        <f>SUM('J1 A - (North) Bishopthorpe Roa'!$I$12,'J1 B - Butcher Terrace'!$BK$12,'J1 C - (South) Bishopthorpe Roa'!$AS$12,'J1 D - South Bank Avenue'!$AA$12)</f>
        <v>0</v>
      </c>
      <c r="CX12" s="86">
        <f>SUM('J1 A - (North) Bishopthorpe Roa'!$J$12,'J1 B - Butcher Terrace'!$BL$12,'J1 C - (South) Bishopthorpe Roa'!$AT$12,'J1 D - South Bank Avenue'!$AB$12)</f>
        <v>0</v>
      </c>
      <c r="CY12" s="77">
        <f>$CQ$12*VLOOKUP($CQ$11,'PCU Values'!$B$9:$C$16,2,FALSE)</f>
        <v>1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1</v>
      </c>
      <c r="DH12" s="52">
        <f>SUM($CQ$12,$CR$12,$CS$12,$CT$12,$CU$12,$CV$12,$CW$12,$CX$12)</f>
        <v>1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1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1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1</v>
      </c>
      <c r="AL13" s="52">
        <f>SUM($U$13,$V$13,$W$13,$X$13,$Y$13,$Z$13,$AA$13,$AB$13)</f>
        <v>1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1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1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1</v>
      </c>
      <c r="CP13" s="52">
        <f>SUM($BY$13,$BZ$13,$CA$13,$CB$13,$CC$13,$CD$13,$CE$13,$CF$13)</f>
        <v>1</v>
      </c>
      <c r="CQ13" s="89">
        <f>SUM('J1 A - (North) Bishopthorpe Roa'!$C$13,'J1 B - Butcher Terrace'!$BE$13,'J1 C - (South) Bishopthorpe Roa'!$AM$13,'J1 D - South Bank Avenue'!$U$13)</f>
        <v>0</v>
      </c>
      <c r="CR13" s="83">
        <f>SUM('J1 A - (North) Bishopthorpe Roa'!$D$13,'J1 B - Butcher Terrace'!$BF$13,'J1 C - (South) Bishopthorpe Roa'!$AN$13,'J1 D - South Bank Avenue'!$V$13)</f>
        <v>0</v>
      </c>
      <c r="CS13" s="83">
        <f>SUM('J1 A - (North) Bishopthorpe Roa'!$E$13,'J1 B - Butcher Terrace'!$BG$13,'J1 C - (South) Bishopthorpe Roa'!$AO$13,'J1 D - South Bank Avenue'!$W$13)</f>
        <v>0</v>
      </c>
      <c r="CT13" s="83">
        <f>SUM('J1 A - (North) Bishopthorpe Roa'!$F$13,'J1 B - Butcher Terrace'!$BH$13,'J1 C - (South) Bishopthorpe Roa'!$AP$13,'J1 D - South Bank Avenue'!$X$13)</f>
        <v>0</v>
      </c>
      <c r="CU13" s="83">
        <f>SUM('J1 A - (North) Bishopthorpe Roa'!$G$13,'J1 B - Butcher Terrace'!$BI$13,'J1 C - (South) Bishopthorpe Roa'!$AQ$13,'J1 D - South Bank Avenue'!$Y$13)</f>
        <v>0</v>
      </c>
      <c r="CV13" s="83">
        <f>SUM('J1 A - (North) Bishopthorpe Roa'!$H$13,'J1 B - Butcher Terrace'!$BJ$13,'J1 C - (South) Bishopthorpe Roa'!$AR$13,'J1 D - South Bank Avenue'!$Z$13)</f>
        <v>0</v>
      </c>
      <c r="CW13" s="83">
        <f>SUM('J1 A - (North) Bishopthorpe Roa'!$I$13,'J1 B - Butcher Terrace'!$BK$13,'J1 C - (South) Bishopthorpe Roa'!$AS$13,'J1 D - South Bank Avenue'!$AA$13)</f>
        <v>0</v>
      </c>
      <c r="CX13" s="86">
        <f>SUM('J1 A - (North) Bishopthorpe Roa'!$J$13,'J1 B - Butcher Terrace'!$BL$13,'J1 C - (South) Bishopthorpe Roa'!$AT$13,'J1 D - South Bank Avenue'!$AB$13)</f>
        <v>0</v>
      </c>
      <c r="CY13" s="77">
        <f>$CQ$13*VLOOKUP($CQ$11,'PCU Values'!$B$9:$C$16,2,FALSE)</f>
        <v>0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0</v>
      </c>
      <c r="DH13" s="52">
        <f>SUM($CQ$13,$CR$13,$CS$13,$CT$13,$CU$13,$CV$13,$CW$13,$CX$13)</f>
        <v>0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2">
        <f>SUM($U$14,$V$14,$W$14,$X$14,$Y$14,$Z$14,$AA$14,$AB$14)</f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</v>
      </c>
      <c r="CP14" s="52">
        <f>SUM($BY$14,$BZ$14,$CA$14,$CB$14,$CC$14,$CD$14,$CE$14,$CF$14)</f>
        <v>0</v>
      </c>
      <c r="CQ14" s="89">
        <f>SUM('J1 A - (North) Bishopthorpe Roa'!$C$14,'J1 B - Butcher Terrace'!$BE$14,'J1 C - (South) Bishopthorpe Roa'!$AM$14,'J1 D - South Bank Avenue'!$U$14)</f>
        <v>0</v>
      </c>
      <c r="CR14" s="83">
        <f>SUM('J1 A - (North) Bishopthorpe Roa'!$D$14,'J1 B - Butcher Terrace'!$BF$14,'J1 C - (South) Bishopthorpe Roa'!$AN$14,'J1 D - South Bank Avenue'!$V$14)</f>
        <v>0</v>
      </c>
      <c r="CS14" s="83">
        <f>SUM('J1 A - (North) Bishopthorpe Roa'!$E$14,'J1 B - Butcher Terrace'!$BG$14,'J1 C - (South) Bishopthorpe Roa'!$AO$14,'J1 D - South Bank Avenue'!$W$14)</f>
        <v>0</v>
      </c>
      <c r="CT14" s="83">
        <f>SUM('J1 A - (North) Bishopthorpe Roa'!$F$14,'J1 B - Butcher Terrace'!$BH$14,'J1 C - (South) Bishopthorpe Roa'!$AP$14,'J1 D - South Bank Avenue'!$X$14)</f>
        <v>0</v>
      </c>
      <c r="CU14" s="83">
        <f>SUM('J1 A - (North) Bishopthorpe Roa'!$G$14,'J1 B - Butcher Terrace'!$BI$14,'J1 C - (South) Bishopthorpe Roa'!$AQ$14,'J1 D - South Bank Avenue'!$Y$14)</f>
        <v>0</v>
      </c>
      <c r="CV14" s="83">
        <f>SUM('J1 A - (North) Bishopthorpe Roa'!$H$14,'J1 B - Butcher Terrace'!$BJ$14,'J1 C - (South) Bishopthorpe Roa'!$AR$14,'J1 D - South Bank Avenue'!$Z$14)</f>
        <v>0</v>
      </c>
      <c r="CW14" s="83">
        <f>SUM('J1 A - (North) Bishopthorpe Roa'!$I$14,'J1 B - Butcher Terrace'!$BK$14,'J1 C - (South) Bishopthorpe Roa'!$AS$14,'J1 D - South Bank Avenue'!$AA$14)</f>
        <v>0</v>
      </c>
      <c r="CX14" s="86">
        <f>SUM('J1 A - (North) Bishopthorpe Roa'!$J$14,'J1 B - Butcher Terrace'!$BL$14,'J1 C - (South) Bishopthorpe Roa'!$AT$14,'J1 D - South Bank Avenue'!$AB$14)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</v>
      </c>
      <c r="DH14" s="52">
        <f>SUM($CQ$14,$CR$14,$CS$14,$CT$14,$CU$14,$CV$14,$CW$14,$CX$14)</f>
        <v>0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1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1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1</v>
      </c>
      <c r="BD15" s="52">
        <f>SUM($AM$15,$AN$15,$AO$15,$AP$15,$AQ$15,$AR$15,$AS$15,$AT$15)</f>
        <v>1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1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1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1</v>
      </c>
      <c r="CP15" s="52">
        <f>SUM($BY$15,$BZ$15,$CA$15,$CB$15,$CC$15,$CD$15,$CE$15,$CF$15)</f>
        <v>1</v>
      </c>
      <c r="CQ15" s="90">
        <f>SUM('J1 A - (North) Bishopthorpe Roa'!$C$15,'J1 B - Butcher Terrace'!$BE$15,'J1 C - (South) Bishopthorpe Roa'!$AM$15,'J1 D - South Bank Avenue'!$U$15)</f>
        <v>1</v>
      </c>
      <c r="CR15" s="84">
        <f>SUM('J1 A - (North) Bishopthorpe Roa'!$D$15,'J1 B - Butcher Terrace'!$BF$15,'J1 C - (South) Bishopthorpe Roa'!$AN$15,'J1 D - South Bank Avenue'!$V$15)</f>
        <v>0</v>
      </c>
      <c r="CS15" s="84">
        <f>SUM('J1 A - (North) Bishopthorpe Roa'!$E$15,'J1 B - Butcher Terrace'!$BG$15,'J1 C - (South) Bishopthorpe Roa'!$AO$15,'J1 D - South Bank Avenue'!$W$15)</f>
        <v>0</v>
      </c>
      <c r="CT15" s="84">
        <f>SUM('J1 A - (North) Bishopthorpe Roa'!$F$15,'J1 B - Butcher Terrace'!$BH$15,'J1 C - (South) Bishopthorpe Roa'!$AP$15,'J1 D - South Bank Avenue'!$X$15)</f>
        <v>0</v>
      </c>
      <c r="CU15" s="84">
        <f>SUM('J1 A - (North) Bishopthorpe Roa'!$G$15,'J1 B - Butcher Terrace'!$BI$15,'J1 C - (South) Bishopthorpe Roa'!$AQ$15,'J1 D - South Bank Avenue'!$Y$15)</f>
        <v>0</v>
      </c>
      <c r="CV15" s="84">
        <f>SUM('J1 A - (North) Bishopthorpe Roa'!$H$15,'J1 B - Butcher Terrace'!$BJ$15,'J1 C - (South) Bishopthorpe Roa'!$AR$15,'J1 D - South Bank Avenue'!$Z$15)</f>
        <v>0</v>
      </c>
      <c r="CW15" s="84">
        <f>SUM('J1 A - (North) Bishopthorpe Roa'!$I$15,'J1 B - Butcher Terrace'!$BK$15,'J1 C - (South) Bishopthorpe Roa'!$AS$15,'J1 D - South Bank Avenue'!$AA$15)</f>
        <v>0</v>
      </c>
      <c r="CX15" s="87">
        <f>SUM('J1 A - (North) Bishopthorpe Roa'!$J$15,'J1 B - Butcher Terrace'!$BL$15,'J1 C - (South) Bishopthorpe Roa'!$AT$15,'J1 D - South Bank Avenue'!$AB$15)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1</v>
      </c>
      <c r="DH15" s="52">
        <f>SUM($CQ$15,$CR$15,$CS$15,$CT$15,$CU$15,$CV$15,$CW$15,$CX$15)</f>
        <v>1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0</v>
      </c>
      <c r="U16" s="52">
        <f>SUM($U$12:$U$15)</f>
        <v>1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0</v>
      </c>
      <c r="AA16" s="52">
        <f>SUM($AA$12:$AA$15)</f>
        <v>0</v>
      </c>
      <c r="AB16" s="52">
        <f>SUM($AB$12:$AB$15)</f>
        <v>0</v>
      </c>
      <c r="AC16" s="52">
        <f>SUM($AC$12:$AC$15)</f>
        <v>1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</v>
      </c>
      <c r="AL16" s="52">
        <f>SUM($U$16,$V$16,$W$16,$X$16,$Y$16,$Z$16,$AA$16,$AB$16)</f>
        <v>1</v>
      </c>
      <c r="AM16" s="52">
        <f>SUM($AM$12:$AM$15)</f>
        <v>1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1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1</v>
      </c>
      <c r="BD16" s="52">
        <f>SUM($AM$16,$AN$16,$AO$16,$AP$16,$AQ$16,$AR$16,$AS$16,$AT$16)</f>
        <v>1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2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0</v>
      </c>
      <c r="CE16" s="52">
        <f>SUM($CE$12:$CE$15)</f>
        <v>0</v>
      </c>
      <c r="CF16" s="52">
        <f>SUM($CF$12:$CF$15)</f>
        <v>0</v>
      </c>
      <c r="CG16" s="52">
        <f>SUM($CG$12:$CG$15)</f>
        <v>2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2</v>
      </c>
      <c r="CP16" s="52">
        <f>SUM($BY$16,$BZ$16,$CA$16,$CB$16,$CC$16,$CD$16,$CE$16,$CF$16)</f>
        <v>2</v>
      </c>
      <c r="CQ16" s="52">
        <f>SUM($CQ$12:$CQ$15)</f>
        <v>2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0</v>
      </c>
      <c r="CW16" s="52">
        <f>SUM($CW$12:$CW$15)</f>
        <v>0</v>
      </c>
      <c r="CX16" s="52">
        <f>SUM($CX$12:$CX$15)</f>
        <v>0</v>
      </c>
      <c r="CY16" s="52">
        <f>SUM($CY$12:$CY$15)</f>
        <v>2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0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2</v>
      </c>
      <c r="DH16" s="52">
        <f>SUM($CQ$16,$CR$16,$CS$16,$CT$16,$CU$16,$CV$16,$CW$16,$CX$16)</f>
        <v>2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0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0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0</v>
      </c>
      <c r="CP17" s="52">
        <f>SUM($BY$17,$BZ$17,$CA$17,$CB$17,$CC$17,$CD$17,$CE$17,$CF$17)</f>
        <v>0</v>
      </c>
      <c r="CQ17" s="91">
        <f>SUM('J1 A - (North) Bishopthorpe Roa'!$C$17,'J1 B - Butcher Terrace'!$BE$17,'J1 C - (South) Bishopthorpe Roa'!$AM$17,'J1 D - South Bank Avenue'!$U$17)</f>
        <v>0</v>
      </c>
      <c r="CR17" s="85">
        <f>SUM('J1 A - (North) Bishopthorpe Roa'!$D$17,'J1 B - Butcher Terrace'!$BF$17,'J1 C - (South) Bishopthorpe Roa'!$AN$17,'J1 D - South Bank Avenue'!$V$17)</f>
        <v>0</v>
      </c>
      <c r="CS17" s="85">
        <f>SUM('J1 A - (North) Bishopthorpe Roa'!$E$17,'J1 B - Butcher Terrace'!$BG$17,'J1 C - (South) Bishopthorpe Roa'!$AO$17,'J1 D - South Bank Avenue'!$W$17)</f>
        <v>0</v>
      </c>
      <c r="CT17" s="85">
        <f>SUM('J1 A - (North) Bishopthorpe Roa'!$F$17,'J1 B - Butcher Terrace'!$BH$17,'J1 C - (South) Bishopthorpe Roa'!$AP$17,'J1 D - South Bank Avenue'!$X$17)</f>
        <v>0</v>
      </c>
      <c r="CU17" s="85">
        <f>SUM('J1 A - (North) Bishopthorpe Roa'!$G$17,'J1 B - Butcher Terrace'!$BI$17,'J1 C - (South) Bishopthorpe Roa'!$AQ$17,'J1 D - South Bank Avenue'!$Y$17)</f>
        <v>0</v>
      </c>
      <c r="CV17" s="85">
        <f>SUM('J1 A - (North) Bishopthorpe Roa'!$H$17,'J1 B - Butcher Terrace'!$BJ$17,'J1 C - (South) Bishopthorpe Roa'!$AR$17,'J1 D - South Bank Avenue'!$Z$17)</f>
        <v>0</v>
      </c>
      <c r="CW17" s="85">
        <f>SUM('J1 A - (North) Bishopthorpe Roa'!$I$17,'J1 B - Butcher Terrace'!$BK$17,'J1 C - (South) Bishopthorpe Roa'!$AS$17,'J1 D - South Bank Avenue'!$AA$17)</f>
        <v>0</v>
      </c>
      <c r="CX17" s="88">
        <f>SUM('J1 A - (North) Bishopthorpe Roa'!$J$17,'J1 B - Butcher Terrace'!$BL$17,'J1 C - (South) Bishopthorpe Roa'!$AT$17,'J1 D - South Bank Avenue'!$AB$17)</f>
        <v>0</v>
      </c>
      <c r="CY17" s="81">
        <f>$CQ$17*VLOOKUP($CQ$11,'PCU Values'!$B$9:$C$16,2,FALSE)</f>
        <v>0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0</v>
      </c>
      <c r="DH17" s="52">
        <f>SUM($CQ$17,$CR$17,$CS$17,$CT$17,$CU$17,$CV$17,$CW$17,$CX$17)</f>
        <v>0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1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0.2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0.2</v>
      </c>
      <c r="AL18" s="52">
        <f>SUM($U$18,$V$18,$W$18,$X$18,$Y$18,$Z$18,$AA$18,$AB$18)</f>
        <v>1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1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0.2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0.2</v>
      </c>
      <c r="CP18" s="52">
        <f>SUM($BY$18,$BZ$18,$CA$18,$CB$18,$CC$18,$CD$18,$CE$18,$CF$18)</f>
        <v>1</v>
      </c>
      <c r="CQ18" s="89">
        <f>SUM('J1 A - (North) Bishopthorpe Roa'!$C$18,'J1 B - Butcher Terrace'!$BE$18,'J1 C - (South) Bishopthorpe Roa'!$AM$18,'J1 D - South Bank Avenue'!$U$18)</f>
        <v>0</v>
      </c>
      <c r="CR18" s="83">
        <f>SUM('J1 A - (North) Bishopthorpe Roa'!$D$18,'J1 B - Butcher Terrace'!$BF$18,'J1 C - (South) Bishopthorpe Roa'!$AN$18,'J1 D - South Bank Avenue'!$V$18)</f>
        <v>0</v>
      </c>
      <c r="CS18" s="83">
        <f>SUM('J1 A - (North) Bishopthorpe Roa'!$E$18,'J1 B - Butcher Terrace'!$BG$18,'J1 C - (South) Bishopthorpe Roa'!$AO$18,'J1 D - South Bank Avenue'!$W$18)</f>
        <v>0</v>
      </c>
      <c r="CT18" s="83">
        <f>SUM('J1 A - (North) Bishopthorpe Roa'!$F$18,'J1 B - Butcher Terrace'!$BH$18,'J1 C - (South) Bishopthorpe Roa'!$AP$18,'J1 D - South Bank Avenue'!$X$18)</f>
        <v>0</v>
      </c>
      <c r="CU18" s="83">
        <f>SUM('J1 A - (North) Bishopthorpe Roa'!$G$18,'J1 B - Butcher Terrace'!$BI$18,'J1 C - (South) Bishopthorpe Roa'!$AQ$18,'J1 D - South Bank Avenue'!$Y$18)</f>
        <v>0</v>
      </c>
      <c r="CV18" s="83">
        <f>SUM('J1 A - (North) Bishopthorpe Roa'!$H$18,'J1 B - Butcher Terrace'!$BJ$18,'J1 C - (South) Bishopthorpe Roa'!$AR$18,'J1 D - South Bank Avenue'!$Z$18)</f>
        <v>0</v>
      </c>
      <c r="CW18" s="83">
        <f>SUM('J1 A - (North) Bishopthorpe Roa'!$I$18,'J1 B - Butcher Terrace'!$BK$18,'J1 C - (South) Bishopthorpe Roa'!$AS$18,'J1 D - South Bank Avenue'!$AA$18)</f>
        <v>0</v>
      </c>
      <c r="CX18" s="86">
        <f>SUM('J1 A - (North) Bishopthorpe Roa'!$J$18,'J1 B - Butcher Terrace'!$BL$18,'J1 C - (South) Bishopthorpe Roa'!$AT$18,'J1 D - South Bank Avenue'!$AB$18)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0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0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0</v>
      </c>
      <c r="CP19" s="52">
        <f>SUM($BY$19,$BZ$19,$CA$19,$CB$19,$CC$19,$CD$19,$CE$19,$CF$19)</f>
        <v>0</v>
      </c>
      <c r="CQ19" s="89">
        <f>SUM('J1 A - (North) Bishopthorpe Roa'!$C$19,'J1 B - Butcher Terrace'!$BE$19,'J1 C - (South) Bishopthorpe Roa'!$AM$19,'J1 D - South Bank Avenue'!$U$19)</f>
        <v>0</v>
      </c>
      <c r="CR19" s="83">
        <f>SUM('J1 A - (North) Bishopthorpe Roa'!$D$19,'J1 B - Butcher Terrace'!$BF$19,'J1 C - (South) Bishopthorpe Roa'!$AN$19,'J1 D - South Bank Avenue'!$V$19)</f>
        <v>0</v>
      </c>
      <c r="CS19" s="83">
        <f>SUM('J1 A - (North) Bishopthorpe Roa'!$E$19,'J1 B - Butcher Terrace'!$BG$19,'J1 C - (South) Bishopthorpe Roa'!$AO$19,'J1 D - South Bank Avenue'!$W$19)</f>
        <v>0</v>
      </c>
      <c r="CT19" s="83">
        <f>SUM('J1 A - (North) Bishopthorpe Roa'!$F$19,'J1 B - Butcher Terrace'!$BH$19,'J1 C - (South) Bishopthorpe Roa'!$AP$19,'J1 D - South Bank Avenue'!$X$19)</f>
        <v>0</v>
      </c>
      <c r="CU19" s="83">
        <f>SUM('J1 A - (North) Bishopthorpe Roa'!$G$19,'J1 B - Butcher Terrace'!$BI$19,'J1 C - (South) Bishopthorpe Roa'!$AQ$19,'J1 D - South Bank Avenue'!$Y$19)</f>
        <v>0</v>
      </c>
      <c r="CV19" s="83">
        <f>SUM('J1 A - (North) Bishopthorpe Roa'!$H$19,'J1 B - Butcher Terrace'!$BJ$19,'J1 C - (South) Bishopthorpe Roa'!$AR$19,'J1 D - South Bank Avenue'!$Z$19)</f>
        <v>0</v>
      </c>
      <c r="CW19" s="83">
        <f>SUM('J1 A - (North) Bishopthorpe Roa'!$I$19,'J1 B - Butcher Terrace'!$BK$19,'J1 C - (South) Bishopthorpe Roa'!$AS$19,'J1 D - South Bank Avenue'!$AA$19)</f>
        <v>0</v>
      </c>
      <c r="CX19" s="86">
        <f>SUM('J1 A - (North) Bishopthorpe Roa'!$J$19,'J1 B - Butcher Terrace'!$BL$19,'J1 C - (South) Bishopthorpe Roa'!$AT$19,'J1 D - South Bank Avenue'!$AB$19)</f>
        <v>0</v>
      </c>
      <c r="CY19" s="77">
        <f>$CQ$19*VLOOKUP($CQ$11,'PCU Values'!$B$9:$C$16,2,FALSE)</f>
        <v>0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0</v>
      </c>
      <c r="DH19" s="52">
        <f>SUM($CQ$19,$CR$19,$CS$19,$CT$19,$CU$19,$CV$19,$CW$19,$CX$19)</f>
        <v>0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0</v>
      </c>
      <c r="CP20" s="52">
        <f>SUM($BY$20,$BZ$20,$CA$20,$CB$20,$CC$20,$CD$20,$CE$20,$CF$20)</f>
        <v>0</v>
      </c>
      <c r="CQ20" s="90">
        <f>SUM('J1 A - (North) Bishopthorpe Roa'!$C$20,'J1 B - Butcher Terrace'!$BE$20,'J1 C - (South) Bishopthorpe Roa'!$AM$20,'J1 D - South Bank Avenue'!$U$20)</f>
        <v>0</v>
      </c>
      <c r="CR20" s="84">
        <f>SUM('J1 A - (North) Bishopthorpe Roa'!$D$20,'J1 B - Butcher Terrace'!$BF$20,'J1 C - (South) Bishopthorpe Roa'!$AN$20,'J1 D - South Bank Avenue'!$V$20)</f>
        <v>0</v>
      </c>
      <c r="CS20" s="84">
        <f>SUM('J1 A - (North) Bishopthorpe Roa'!$E$20,'J1 B - Butcher Terrace'!$BG$20,'J1 C - (South) Bishopthorpe Roa'!$AO$20,'J1 D - South Bank Avenue'!$W$20)</f>
        <v>0</v>
      </c>
      <c r="CT20" s="84">
        <f>SUM('J1 A - (North) Bishopthorpe Roa'!$F$20,'J1 B - Butcher Terrace'!$BH$20,'J1 C - (South) Bishopthorpe Roa'!$AP$20,'J1 D - South Bank Avenue'!$X$20)</f>
        <v>0</v>
      </c>
      <c r="CU20" s="84">
        <f>SUM('J1 A - (North) Bishopthorpe Roa'!$G$20,'J1 B - Butcher Terrace'!$BI$20,'J1 C - (South) Bishopthorpe Roa'!$AQ$20,'J1 D - South Bank Avenue'!$Y$20)</f>
        <v>0</v>
      </c>
      <c r="CV20" s="84">
        <f>SUM('J1 A - (North) Bishopthorpe Roa'!$H$20,'J1 B - Butcher Terrace'!$BJ$20,'J1 C - (South) Bishopthorpe Roa'!$AR$20,'J1 D - South Bank Avenue'!$Z$20)</f>
        <v>0</v>
      </c>
      <c r="CW20" s="84">
        <f>SUM('J1 A - (North) Bishopthorpe Roa'!$I$20,'J1 B - Butcher Terrace'!$BK$20,'J1 C - (South) Bishopthorpe Roa'!$AS$20,'J1 D - South Bank Avenue'!$AA$20)</f>
        <v>0</v>
      </c>
      <c r="CX20" s="87">
        <f>SUM('J1 A - (North) Bishopthorpe Roa'!$J$20,'J1 B - Butcher Terrace'!$BL$20,'J1 C - (South) Bishopthorpe Roa'!$AT$20,'J1 D - South Bank Avenue'!$AB$20)</f>
        <v>0</v>
      </c>
      <c r="CY20" s="79">
        <f>$CQ$20*VLOOKUP($CQ$11,'PCU Values'!$B$9:$C$16,2,FALSE)</f>
        <v>0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0</v>
      </c>
      <c r="DH20" s="52">
        <f>SUM($CQ$20,$CR$20,$CS$20,$CT$20,$CU$20,$CV$20,$CW$20,$CX$20)</f>
        <v>0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1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1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0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1</v>
      </c>
      <c r="CE21" s="52">
        <f>SUM($CE$17:$CE$20)</f>
        <v>0</v>
      </c>
      <c r="CF21" s="52">
        <f>SUM($CF$17:$CF$20)</f>
        <v>0</v>
      </c>
      <c r="CG21" s="52">
        <f>SUM($CG$17:$CG$20)</f>
        <v>0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0</v>
      </c>
      <c r="CP21" s="52">
        <f>SUM($BY$21,$BZ$21,$CA$21,$CB$21,$CC$21,$CD$21,$CE$21,$CF$21)</f>
        <v>1</v>
      </c>
      <c r="CQ21" s="52">
        <f>SUM($CQ$17:$CQ$20)</f>
        <v>0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0</v>
      </c>
      <c r="CW21" s="52">
        <f>SUM($CW$17:$CW$20)</f>
        <v>0</v>
      </c>
      <c r="CX21" s="52">
        <f>SUM($CX$17:$CX$20)</f>
        <v>0</v>
      </c>
      <c r="CY21" s="52">
        <f>SUM($CY$17:$CY$20)</f>
        <v>0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0</v>
      </c>
      <c r="DH21" s="52">
        <f>SUM($CQ$21,$CR$21,$CS$21,$CT$21,$CU$21,$CV$21,$CW$21,$CX$21)</f>
        <v>0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0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0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0</v>
      </c>
      <c r="CP22" s="52">
        <f>SUM($BY$22,$BZ$22,$CA$22,$CB$22,$CC$22,$CD$22,$CE$22,$CF$22)</f>
        <v>0</v>
      </c>
      <c r="CQ22" s="91">
        <f>SUM('J1 A - (North) Bishopthorpe Roa'!$C$22,'J1 B - Butcher Terrace'!$BE$22,'J1 C - (South) Bishopthorpe Roa'!$AM$22,'J1 D - South Bank Avenue'!$U$22)</f>
        <v>0</v>
      </c>
      <c r="CR22" s="85">
        <f>SUM('J1 A - (North) Bishopthorpe Roa'!$D$22,'J1 B - Butcher Terrace'!$BF$22,'J1 C - (South) Bishopthorpe Roa'!$AN$22,'J1 D - South Bank Avenue'!$V$22)</f>
        <v>0</v>
      </c>
      <c r="CS22" s="85">
        <f>SUM('J1 A - (North) Bishopthorpe Roa'!$E$22,'J1 B - Butcher Terrace'!$BG$22,'J1 C - (South) Bishopthorpe Roa'!$AO$22,'J1 D - South Bank Avenue'!$W$22)</f>
        <v>0</v>
      </c>
      <c r="CT22" s="85">
        <f>SUM('J1 A - (North) Bishopthorpe Roa'!$F$22,'J1 B - Butcher Terrace'!$BH$22,'J1 C - (South) Bishopthorpe Roa'!$AP$22,'J1 D - South Bank Avenue'!$X$22)</f>
        <v>0</v>
      </c>
      <c r="CU22" s="85">
        <f>SUM('J1 A - (North) Bishopthorpe Roa'!$G$22,'J1 B - Butcher Terrace'!$BI$22,'J1 C - (South) Bishopthorpe Roa'!$AQ$22,'J1 D - South Bank Avenue'!$Y$22)</f>
        <v>0</v>
      </c>
      <c r="CV22" s="85">
        <f>SUM('J1 A - (North) Bishopthorpe Roa'!$H$22,'J1 B - Butcher Terrace'!$BJ$22,'J1 C - (South) Bishopthorpe Roa'!$AR$22,'J1 D - South Bank Avenue'!$Z$22)</f>
        <v>0</v>
      </c>
      <c r="CW22" s="85">
        <f>SUM('J1 A - (North) Bishopthorpe Roa'!$I$22,'J1 B - Butcher Terrace'!$BK$22,'J1 C - (South) Bishopthorpe Roa'!$AS$22,'J1 D - South Bank Avenue'!$AA$22)</f>
        <v>0</v>
      </c>
      <c r="CX22" s="88">
        <f>SUM('J1 A - (North) Bishopthorpe Roa'!$J$22,'J1 B - Butcher Terrace'!$BL$22,'J1 C - (South) Bishopthorpe Roa'!$AT$22,'J1 D - South Bank Avenue'!$AB$22)</f>
        <v>0</v>
      </c>
      <c r="CY22" s="81">
        <f>$CQ$22*VLOOKUP($CQ$11,'PCU Values'!$B$9:$C$16,2,FALSE)</f>
        <v>0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0</v>
      </c>
      <c r="DH22" s="52">
        <f>SUM($CQ$22,$CR$22,$CS$22,$CT$22,$CU$22,$CV$22,$CW$22,$CX$22)</f>
        <v>0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0</v>
      </c>
      <c r="CP23" s="52">
        <f>SUM($BY$23,$BZ$23,$CA$23,$CB$23,$CC$23,$CD$23,$CE$23,$CF$23)</f>
        <v>0</v>
      </c>
      <c r="CQ23" s="89">
        <f>SUM('J1 A - (North) Bishopthorpe Roa'!$C$23,'J1 B - Butcher Terrace'!$BE$23,'J1 C - (South) Bishopthorpe Roa'!$AM$23,'J1 D - South Bank Avenue'!$U$23)</f>
        <v>1</v>
      </c>
      <c r="CR23" s="83">
        <f>SUM('J1 A - (North) Bishopthorpe Roa'!$D$23,'J1 B - Butcher Terrace'!$BF$23,'J1 C - (South) Bishopthorpe Roa'!$AN$23,'J1 D - South Bank Avenue'!$V$23)</f>
        <v>0</v>
      </c>
      <c r="CS23" s="83">
        <f>SUM('J1 A - (North) Bishopthorpe Roa'!$E$23,'J1 B - Butcher Terrace'!$BG$23,'J1 C - (South) Bishopthorpe Roa'!$AO$23,'J1 D - South Bank Avenue'!$W$23)</f>
        <v>0</v>
      </c>
      <c r="CT23" s="83">
        <f>SUM('J1 A - (North) Bishopthorpe Roa'!$F$23,'J1 B - Butcher Terrace'!$BH$23,'J1 C - (South) Bishopthorpe Roa'!$AP$23,'J1 D - South Bank Avenue'!$X$23)</f>
        <v>0</v>
      </c>
      <c r="CU23" s="83">
        <f>SUM('J1 A - (North) Bishopthorpe Roa'!$G$23,'J1 B - Butcher Terrace'!$BI$23,'J1 C - (South) Bishopthorpe Roa'!$AQ$23,'J1 D - South Bank Avenue'!$Y$23)</f>
        <v>0</v>
      </c>
      <c r="CV23" s="83">
        <f>SUM('J1 A - (North) Bishopthorpe Roa'!$H$23,'J1 B - Butcher Terrace'!$BJ$23,'J1 C - (South) Bishopthorpe Roa'!$AR$23,'J1 D - South Bank Avenue'!$Z$23)</f>
        <v>0</v>
      </c>
      <c r="CW23" s="83">
        <f>SUM('J1 A - (North) Bishopthorpe Roa'!$I$23,'J1 B - Butcher Terrace'!$BK$23,'J1 C - (South) Bishopthorpe Roa'!$AS$23,'J1 D - South Bank Avenue'!$AA$23)</f>
        <v>0</v>
      </c>
      <c r="CX23" s="86">
        <f>SUM('J1 A - (North) Bishopthorpe Roa'!$J$23,'J1 B - Butcher Terrace'!$BL$23,'J1 C - (South) Bishopthorpe Roa'!$AT$23,'J1 D - South Bank Avenue'!$AB$23)</f>
        <v>0</v>
      </c>
      <c r="CY23" s="77">
        <f>$CQ$23*VLOOKUP($CQ$11,'PCU Values'!$B$9:$C$16,2,FALSE)</f>
        <v>1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1</v>
      </c>
      <c r="DH23" s="52">
        <f>SUM($CQ$23,$CR$23,$CS$23,$CT$23,$CU$23,$CV$23,$CW$23,$CX$23)</f>
        <v>1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Roa'!$C$24,'J1 B - Butcher Terrace'!$BE$24,'J1 C - (South) Bishopthorpe Roa'!$AM$24,'J1 D - South Bank Avenue'!$U$24)</f>
        <v>0</v>
      </c>
      <c r="CR24" s="83">
        <f>SUM('J1 A - (North) Bishopthorpe Roa'!$D$24,'J1 B - Butcher Terrace'!$BF$24,'J1 C - (South) Bishopthorpe Roa'!$AN$24,'J1 D - South Bank Avenue'!$V$24)</f>
        <v>0</v>
      </c>
      <c r="CS24" s="83">
        <f>SUM('J1 A - (North) Bishopthorpe Roa'!$E$24,'J1 B - Butcher Terrace'!$BG$24,'J1 C - (South) Bishopthorpe Roa'!$AO$24,'J1 D - South Bank Avenue'!$W$24)</f>
        <v>0</v>
      </c>
      <c r="CT24" s="83">
        <f>SUM('J1 A - (North) Bishopthorpe Roa'!$F$24,'J1 B - Butcher Terrace'!$BH$24,'J1 C - (South) Bishopthorpe Roa'!$AP$24,'J1 D - South Bank Avenue'!$X$24)</f>
        <v>0</v>
      </c>
      <c r="CU24" s="83">
        <f>SUM('J1 A - (North) Bishopthorpe Roa'!$G$24,'J1 B - Butcher Terrace'!$BI$24,'J1 C - (South) Bishopthorpe Roa'!$AQ$24,'J1 D - South Bank Avenue'!$Y$24)</f>
        <v>0</v>
      </c>
      <c r="CV24" s="83">
        <f>SUM('J1 A - (North) Bishopthorpe Roa'!$H$24,'J1 B - Butcher Terrace'!$BJ$24,'J1 C - (South) Bishopthorpe Roa'!$AR$24,'J1 D - South Bank Avenue'!$Z$24)</f>
        <v>0</v>
      </c>
      <c r="CW24" s="83">
        <f>SUM('J1 A - (North) Bishopthorpe Roa'!$I$24,'J1 B - Butcher Terrace'!$BK$24,'J1 C - (South) Bishopthorpe Roa'!$AS$24,'J1 D - South Bank Avenue'!$AA$24)</f>
        <v>0</v>
      </c>
      <c r="CX24" s="86">
        <f>SUM('J1 A - (North) Bishopthorpe Roa'!$J$24,'J1 B - Butcher Terrace'!$BL$24,'J1 C - (South) Bishopthorpe Roa'!$AT$24,'J1 D - South Bank Avenue'!$AB$24)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Roa'!$C$25,'J1 B - Butcher Terrace'!$BE$25,'J1 C - (South) Bishopthorpe Roa'!$AM$25,'J1 D - South Bank Avenue'!$U$25)</f>
        <v>0</v>
      </c>
      <c r="CR25" s="84">
        <f>SUM('J1 A - (North) Bishopthorpe Roa'!$D$25,'J1 B - Butcher Terrace'!$BF$25,'J1 C - (South) Bishopthorpe Roa'!$AN$25,'J1 D - South Bank Avenue'!$V$25)</f>
        <v>0</v>
      </c>
      <c r="CS25" s="84">
        <f>SUM('J1 A - (North) Bishopthorpe Roa'!$E$25,'J1 B - Butcher Terrace'!$BG$25,'J1 C - (South) Bishopthorpe Roa'!$AO$25,'J1 D - South Bank Avenue'!$W$25)</f>
        <v>0</v>
      </c>
      <c r="CT25" s="84">
        <f>SUM('J1 A - (North) Bishopthorpe Roa'!$F$25,'J1 B - Butcher Terrace'!$BH$25,'J1 C - (South) Bishopthorpe Roa'!$AP$25,'J1 D - South Bank Avenue'!$X$25)</f>
        <v>0</v>
      </c>
      <c r="CU25" s="84">
        <f>SUM('J1 A - (North) Bishopthorpe Roa'!$G$25,'J1 B - Butcher Terrace'!$BI$25,'J1 C - (South) Bishopthorpe Roa'!$AQ$25,'J1 D - South Bank Avenue'!$Y$25)</f>
        <v>0</v>
      </c>
      <c r="CV25" s="84">
        <f>SUM('J1 A - (North) Bishopthorpe Roa'!$H$25,'J1 B - Butcher Terrace'!$BJ$25,'J1 C - (South) Bishopthorpe Roa'!$AR$25,'J1 D - South Bank Avenue'!$Z$25)</f>
        <v>0</v>
      </c>
      <c r="CW25" s="84">
        <f>SUM('J1 A - (North) Bishopthorpe Roa'!$I$25,'J1 B - Butcher Terrace'!$BK$25,'J1 C - (South) Bishopthorpe Roa'!$AS$25,'J1 D - South Bank Avenue'!$AA$25)</f>
        <v>0</v>
      </c>
      <c r="CX25" s="87">
        <f>SUM('J1 A - (North) Bishopthorpe Roa'!$J$25,'J1 B - Butcher Terrace'!$BL$25,'J1 C - (South) Bishopthorpe Roa'!$AT$25,'J1 D - South Bank Avenue'!$AB$25)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0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0</v>
      </c>
      <c r="AL26" s="52">
        <f>SUM($U$26,$V$26,$W$26,$X$26,$Y$26,$Z$26,$AA$26,$AB$26)</f>
        <v>0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0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0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0</v>
      </c>
      <c r="CP26" s="52">
        <f>SUM($BY$26,$BZ$26,$CA$26,$CB$26,$CC$26,$CD$26,$CE$26,$CF$26)</f>
        <v>0</v>
      </c>
      <c r="CQ26" s="52">
        <f>SUM($CQ$22:$CQ$25)</f>
        <v>1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1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1</v>
      </c>
      <c r="DH26" s="52">
        <f>SUM($CQ$26,$CR$26,$CS$26,$CT$26,$CU$26,$CV$26,$CW$26,$CX$26)</f>
        <v>1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1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1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1</v>
      </c>
      <c r="BD27" s="52">
        <f>SUM($AM$27,$AN$27,$AO$27,$AP$27,$AQ$27,$AR$27,$AS$27,$AT$27)</f>
        <v>1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1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1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1</v>
      </c>
      <c r="CP27" s="52">
        <f>SUM($BY$27,$BZ$27,$CA$27,$CB$27,$CC$27,$CD$27,$CE$27,$CF$27)</f>
        <v>1</v>
      </c>
      <c r="CQ27" s="91">
        <f>SUM('J1 A - (North) Bishopthorpe Roa'!$C$27,'J1 B - Butcher Terrace'!$BE$27,'J1 C - (South) Bishopthorpe Roa'!$AM$27,'J1 D - South Bank Avenue'!$U$27)</f>
        <v>1</v>
      </c>
      <c r="CR27" s="85">
        <f>SUM('J1 A - (North) Bishopthorpe Roa'!$D$27,'J1 B - Butcher Terrace'!$BF$27,'J1 C - (South) Bishopthorpe Roa'!$AN$27,'J1 D - South Bank Avenue'!$V$27)</f>
        <v>0</v>
      </c>
      <c r="CS27" s="85">
        <f>SUM('J1 A - (North) Bishopthorpe Roa'!$E$27,'J1 B - Butcher Terrace'!$BG$27,'J1 C - (South) Bishopthorpe Roa'!$AO$27,'J1 D - South Bank Avenue'!$W$27)</f>
        <v>0</v>
      </c>
      <c r="CT27" s="85">
        <f>SUM('J1 A - (North) Bishopthorpe Roa'!$F$27,'J1 B - Butcher Terrace'!$BH$27,'J1 C - (South) Bishopthorpe Roa'!$AP$27,'J1 D - South Bank Avenue'!$X$27)</f>
        <v>0</v>
      </c>
      <c r="CU27" s="85">
        <f>SUM('J1 A - (North) Bishopthorpe Roa'!$G$27,'J1 B - Butcher Terrace'!$BI$27,'J1 C - (South) Bishopthorpe Roa'!$AQ$27,'J1 D - South Bank Avenue'!$Y$27)</f>
        <v>0</v>
      </c>
      <c r="CV27" s="85">
        <f>SUM('J1 A - (North) Bishopthorpe Roa'!$H$27,'J1 B - Butcher Terrace'!$BJ$27,'J1 C - (South) Bishopthorpe Roa'!$AR$27,'J1 D - South Bank Avenue'!$Z$27)</f>
        <v>0</v>
      </c>
      <c r="CW27" s="85">
        <f>SUM('J1 A - (North) Bishopthorpe Roa'!$I$27,'J1 B - Butcher Terrace'!$BK$27,'J1 C - (South) Bishopthorpe Roa'!$AS$27,'J1 D - South Bank Avenue'!$AA$27)</f>
        <v>0</v>
      </c>
      <c r="CX27" s="88">
        <f>SUM('J1 A - (North) Bishopthorpe Roa'!$J$27,'J1 B - Butcher Terrace'!$BL$27,'J1 C - (South) Bishopthorpe Roa'!$AT$27,'J1 D - South Bank Avenue'!$AB$27)</f>
        <v>0</v>
      </c>
      <c r="CY27" s="81">
        <f>$CQ$27*VLOOKUP($CQ$11,'PCU Values'!$B$9:$C$16,2,FALSE)</f>
        <v>1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1</v>
      </c>
      <c r="DH27" s="52">
        <f>SUM($CQ$27,$CR$27,$CS$27,$CT$27,$CU$27,$CV$27,$CW$27,$CX$27)</f>
        <v>1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Roa'!$C$28,'J1 B - Butcher Terrace'!$BE$28,'J1 C - (South) Bishopthorpe Roa'!$AM$28,'J1 D - South Bank Avenue'!$U$28)</f>
        <v>0</v>
      </c>
      <c r="CR28" s="83">
        <f>SUM('J1 A - (North) Bishopthorpe Roa'!$D$28,'J1 B - Butcher Terrace'!$BF$28,'J1 C - (South) Bishopthorpe Roa'!$AN$28,'J1 D - South Bank Avenue'!$V$28)</f>
        <v>0</v>
      </c>
      <c r="CS28" s="83">
        <f>SUM('J1 A - (North) Bishopthorpe Roa'!$E$28,'J1 B - Butcher Terrace'!$BG$28,'J1 C - (South) Bishopthorpe Roa'!$AO$28,'J1 D - South Bank Avenue'!$W$28)</f>
        <v>0</v>
      </c>
      <c r="CT28" s="83">
        <f>SUM('J1 A - (North) Bishopthorpe Roa'!$F$28,'J1 B - Butcher Terrace'!$BH$28,'J1 C - (South) Bishopthorpe Roa'!$AP$28,'J1 D - South Bank Avenue'!$X$28)</f>
        <v>0</v>
      </c>
      <c r="CU28" s="83">
        <f>SUM('J1 A - (North) Bishopthorpe Roa'!$G$28,'J1 B - Butcher Terrace'!$BI$28,'J1 C - (South) Bishopthorpe Roa'!$AQ$28,'J1 D - South Bank Avenue'!$Y$28)</f>
        <v>0</v>
      </c>
      <c r="CV28" s="83">
        <f>SUM('J1 A - (North) Bishopthorpe Roa'!$H$28,'J1 B - Butcher Terrace'!$BJ$28,'J1 C - (South) Bishopthorpe Roa'!$AR$28,'J1 D - South Bank Avenue'!$Z$28)</f>
        <v>0</v>
      </c>
      <c r="CW28" s="83">
        <f>SUM('J1 A - (North) Bishopthorpe Roa'!$I$28,'J1 B - Butcher Terrace'!$BK$28,'J1 C - (South) Bishopthorpe Roa'!$AS$28,'J1 D - South Bank Avenue'!$AA$28)</f>
        <v>0</v>
      </c>
      <c r="CX28" s="86">
        <f>SUM('J1 A - (North) Bishopthorpe Roa'!$J$28,'J1 B - Butcher Terrace'!$BL$28,'J1 C - (South) Bishopthorpe Roa'!$AT$28,'J1 D - South Bank Avenue'!$AB$28)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Roa'!$C$29,'J1 B - Butcher Terrace'!$BE$29,'J1 C - (South) Bishopthorpe Roa'!$AM$29,'J1 D - South Bank Avenue'!$U$29)</f>
        <v>0</v>
      </c>
      <c r="CR29" s="83">
        <f>SUM('J1 A - (North) Bishopthorpe Roa'!$D$29,'J1 B - Butcher Terrace'!$BF$29,'J1 C - (South) Bishopthorpe Roa'!$AN$29,'J1 D - South Bank Avenue'!$V$29)</f>
        <v>0</v>
      </c>
      <c r="CS29" s="83">
        <f>SUM('J1 A - (North) Bishopthorpe Roa'!$E$29,'J1 B - Butcher Terrace'!$BG$29,'J1 C - (South) Bishopthorpe Roa'!$AO$29,'J1 D - South Bank Avenue'!$W$29)</f>
        <v>0</v>
      </c>
      <c r="CT29" s="83">
        <f>SUM('J1 A - (North) Bishopthorpe Roa'!$F$29,'J1 B - Butcher Terrace'!$BH$29,'J1 C - (South) Bishopthorpe Roa'!$AP$29,'J1 D - South Bank Avenue'!$X$29)</f>
        <v>0</v>
      </c>
      <c r="CU29" s="83">
        <f>SUM('J1 A - (North) Bishopthorpe Roa'!$G$29,'J1 B - Butcher Terrace'!$BI$29,'J1 C - (South) Bishopthorpe Roa'!$AQ$29,'J1 D - South Bank Avenue'!$Y$29)</f>
        <v>0</v>
      </c>
      <c r="CV29" s="83">
        <f>SUM('J1 A - (North) Bishopthorpe Roa'!$H$29,'J1 B - Butcher Terrace'!$BJ$29,'J1 C - (South) Bishopthorpe Roa'!$AR$29,'J1 D - South Bank Avenue'!$Z$29)</f>
        <v>0</v>
      </c>
      <c r="CW29" s="83">
        <f>SUM('J1 A - (North) Bishopthorpe Roa'!$I$29,'J1 B - Butcher Terrace'!$BK$29,'J1 C - (South) Bishopthorpe Roa'!$AS$29,'J1 D - South Bank Avenue'!$AA$29)</f>
        <v>0</v>
      </c>
      <c r="CX29" s="86">
        <f>SUM('J1 A - (North) Bishopthorpe Roa'!$J$29,'J1 B - Butcher Terrace'!$BL$29,'J1 C - (South) Bishopthorpe Roa'!$AT$29,'J1 D - South Bank Avenue'!$AB$29)</f>
        <v>0</v>
      </c>
      <c r="CY29" s="77">
        <f>$CQ$29*VLOOKUP($CQ$11,'PCU Values'!$B$9:$C$16,2,FALSE)</f>
        <v>0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0</v>
      </c>
      <c r="DH29" s="52">
        <f>SUM($CQ$29,$CR$29,$CS$29,$CT$29,$CU$29,$CV$29,$CW$29,$CX$29)</f>
        <v>0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</v>
      </c>
      <c r="AL30" s="52">
        <f>SUM($U$30,$V$30,$W$30,$X$30,$Y$30,$Z$30,$AA$30,$AB$30)</f>
        <v>0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0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0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0</v>
      </c>
      <c r="CP30" s="52">
        <f>SUM($BY$30,$BZ$30,$CA$30,$CB$30,$CC$30,$CD$30,$CE$30,$CF$30)</f>
        <v>0</v>
      </c>
      <c r="CQ30" s="90">
        <f>SUM('J1 A - (North) Bishopthorpe Roa'!$C$30,'J1 B - Butcher Terrace'!$BE$30,'J1 C - (South) Bishopthorpe Roa'!$AM$30,'J1 D - South Bank Avenue'!$U$30)</f>
        <v>0</v>
      </c>
      <c r="CR30" s="84">
        <f>SUM('J1 A - (North) Bishopthorpe Roa'!$D$30,'J1 B - Butcher Terrace'!$BF$30,'J1 C - (South) Bishopthorpe Roa'!$AN$30,'J1 D - South Bank Avenue'!$V$30)</f>
        <v>0</v>
      </c>
      <c r="CS30" s="84">
        <f>SUM('J1 A - (North) Bishopthorpe Roa'!$E$30,'J1 B - Butcher Terrace'!$BG$30,'J1 C - (South) Bishopthorpe Roa'!$AO$30,'J1 D - South Bank Avenue'!$W$30)</f>
        <v>0</v>
      </c>
      <c r="CT30" s="84">
        <f>SUM('J1 A - (North) Bishopthorpe Roa'!$F$30,'J1 B - Butcher Terrace'!$BH$30,'J1 C - (South) Bishopthorpe Roa'!$AP$30,'J1 D - South Bank Avenue'!$X$30)</f>
        <v>0</v>
      </c>
      <c r="CU30" s="84">
        <f>SUM('J1 A - (North) Bishopthorpe Roa'!$G$30,'J1 B - Butcher Terrace'!$BI$30,'J1 C - (South) Bishopthorpe Roa'!$AQ$30,'J1 D - South Bank Avenue'!$Y$30)</f>
        <v>0</v>
      </c>
      <c r="CV30" s="84">
        <f>SUM('J1 A - (North) Bishopthorpe Roa'!$H$30,'J1 B - Butcher Terrace'!$BJ$30,'J1 C - (South) Bishopthorpe Roa'!$AR$30,'J1 D - South Bank Avenue'!$Z$30)</f>
        <v>0</v>
      </c>
      <c r="CW30" s="84">
        <f>SUM('J1 A - (North) Bishopthorpe Roa'!$I$30,'J1 B - Butcher Terrace'!$BK$30,'J1 C - (South) Bishopthorpe Roa'!$AS$30,'J1 D - South Bank Avenue'!$AA$30)</f>
        <v>0</v>
      </c>
      <c r="CX30" s="87">
        <f>SUM('J1 A - (North) Bishopthorpe Roa'!$J$30,'J1 B - Butcher Terrace'!$BL$30,'J1 C - (South) Bishopthorpe Roa'!$AT$30,'J1 D - South Bank Avenue'!$AB$30)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</v>
      </c>
      <c r="DH30" s="52">
        <f>SUM($CQ$30,$CR$30,$CS$30,$CT$30,$CU$30,$CV$30,$CW$30,$CX$30)</f>
        <v>0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0</v>
      </c>
      <c r="AM31" s="52">
        <f>SUM($AM$27:$AM$30)</f>
        <v>1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1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1</v>
      </c>
      <c r="BD31" s="52">
        <f>SUM($AM$31,$AN$31,$AO$31,$AP$31,$AQ$31,$AR$31,$AS$31,$AT$31)</f>
        <v>1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1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1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1</v>
      </c>
      <c r="CP31" s="52">
        <f>SUM($BY$31,$BZ$31,$CA$31,$CB$31,$CC$31,$CD$31,$CE$31,$CF$31)</f>
        <v>1</v>
      </c>
      <c r="CQ31" s="52">
        <f>SUM($CQ$27:$CQ$30)</f>
        <v>1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1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1</v>
      </c>
      <c r="DH31" s="52">
        <f>SUM($CQ$31,$CR$31,$CS$31,$CT$31,$CU$31,$CV$31,$CW$31,$CX$31)</f>
        <v>1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Roa'!$C$32,'J1 B - Butcher Terrace'!$BE$32,'J1 C - (South) Bishopthorpe Roa'!$AM$32,'J1 D - South Bank Avenue'!$U$32)</f>
        <v>0</v>
      </c>
      <c r="CR32" s="85">
        <f>SUM('J1 A - (North) Bishopthorpe Roa'!$D$32,'J1 B - Butcher Terrace'!$BF$32,'J1 C - (South) Bishopthorpe Roa'!$AN$32,'J1 D - South Bank Avenue'!$V$32)</f>
        <v>0</v>
      </c>
      <c r="CS32" s="85">
        <f>SUM('J1 A - (North) Bishopthorpe Roa'!$E$32,'J1 B - Butcher Terrace'!$BG$32,'J1 C - (South) Bishopthorpe Roa'!$AO$32,'J1 D - South Bank Avenue'!$W$32)</f>
        <v>0</v>
      </c>
      <c r="CT32" s="85">
        <f>SUM('J1 A - (North) Bishopthorpe Roa'!$F$32,'J1 B - Butcher Terrace'!$BH$32,'J1 C - (South) Bishopthorpe Roa'!$AP$32,'J1 D - South Bank Avenue'!$X$32)</f>
        <v>0</v>
      </c>
      <c r="CU32" s="85">
        <f>SUM('J1 A - (North) Bishopthorpe Roa'!$G$32,'J1 B - Butcher Terrace'!$BI$32,'J1 C - (South) Bishopthorpe Roa'!$AQ$32,'J1 D - South Bank Avenue'!$Y$32)</f>
        <v>0</v>
      </c>
      <c r="CV32" s="85">
        <f>SUM('J1 A - (North) Bishopthorpe Roa'!$H$32,'J1 B - Butcher Terrace'!$BJ$32,'J1 C - (South) Bishopthorpe Roa'!$AR$32,'J1 D - South Bank Avenue'!$Z$32)</f>
        <v>0</v>
      </c>
      <c r="CW32" s="85">
        <f>SUM('J1 A - (North) Bishopthorpe Roa'!$I$32,'J1 B - Butcher Terrace'!$BK$32,'J1 C - (South) Bishopthorpe Roa'!$AS$32,'J1 D - South Bank Avenue'!$AA$32)</f>
        <v>0</v>
      </c>
      <c r="CX32" s="88">
        <f>SUM('J1 A - (North) Bishopthorpe Roa'!$J$32,'J1 B - Butcher Terrace'!$BL$32,'J1 C - (South) Bishopthorpe Roa'!$AT$32,'J1 D - South Bank Avenue'!$AB$32)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Roa'!$C$33,'J1 B - Butcher Terrace'!$BE$33,'J1 C - (South) Bishopthorpe Roa'!$AM$33,'J1 D - South Bank Avenue'!$U$33)</f>
        <v>0</v>
      </c>
      <c r="CR33" s="83">
        <f>SUM('J1 A - (North) Bishopthorpe Roa'!$D$33,'J1 B - Butcher Terrace'!$BF$33,'J1 C - (South) Bishopthorpe Roa'!$AN$33,'J1 D - South Bank Avenue'!$V$33)</f>
        <v>0</v>
      </c>
      <c r="CS33" s="83">
        <f>SUM('J1 A - (North) Bishopthorpe Roa'!$E$33,'J1 B - Butcher Terrace'!$BG$33,'J1 C - (South) Bishopthorpe Roa'!$AO$33,'J1 D - South Bank Avenue'!$W$33)</f>
        <v>0</v>
      </c>
      <c r="CT33" s="83">
        <f>SUM('J1 A - (North) Bishopthorpe Roa'!$F$33,'J1 B - Butcher Terrace'!$BH$33,'J1 C - (South) Bishopthorpe Roa'!$AP$33,'J1 D - South Bank Avenue'!$X$33)</f>
        <v>0</v>
      </c>
      <c r="CU33" s="83">
        <f>SUM('J1 A - (North) Bishopthorpe Roa'!$G$33,'J1 B - Butcher Terrace'!$BI$33,'J1 C - (South) Bishopthorpe Roa'!$AQ$33,'J1 D - South Bank Avenue'!$Y$33)</f>
        <v>0</v>
      </c>
      <c r="CV33" s="83">
        <f>SUM('J1 A - (North) Bishopthorpe Roa'!$H$33,'J1 B - Butcher Terrace'!$BJ$33,'J1 C - (South) Bishopthorpe Roa'!$AR$33,'J1 D - South Bank Avenue'!$Z$33)</f>
        <v>0</v>
      </c>
      <c r="CW33" s="83">
        <f>SUM('J1 A - (North) Bishopthorpe Roa'!$I$33,'J1 B - Butcher Terrace'!$BK$33,'J1 C - (South) Bishopthorpe Roa'!$AS$33,'J1 D - South Bank Avenue'!$AA$33)</f>
        <v>0</v>
      </c>
      <c r="CX33" s="86">
        <f>SUM('J1 A - (North) Bishopthorpe Roa'!$J$33,'J1 B - Butcher Terrace'!$BL$33,'J1 C - (South) Bishopthorpe Roa'!$AT$33,'J1 D - South Bank Avenue'!$AB$33)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1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0.2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0.2</v>
      </c>
      <c r="BD34" s="52">
        <f>SUM($AM$34,$AN$34,$AO$34,$AP$34,$AQ$34,$AR$34,$AS$34,$AT$34)</f>
        <v>1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0</v>
      </c>
      <c r="BZ34" s="83">
        <f>SUM($D$34,$V$34,$AN$34,$BF$34)</f>
        <v>0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1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0</v>
      </c>
      <c r="CH34" s="77">
        <f>$BZ$34*VLOOKUP($BZ$11,'PCU Values'!$B$9:$C$16,2,FALSE)</f>
        <v>0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0.2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0.2</v>
      </c>
      <c r="CP34" s="52">
        <f>SUM($BY$34,$BZ$34,$CA$34,$CB$34,$CC$34,$CD$34,$CE$34,$CF$34)</f>
        <v>1</v>
      </c>
      <c r="CQ34" s="89">
        <f>SUM('J1 A - (North) Bishopthorpe Roa'!$C$34,'J1 B - Butcher Terrace'!$BE$34,'J1 C - (South) Bishopthorpe Roa'!$AM$34,'J1 D - South Bank Avenue'!$U$34)</f>
        <v>0</v>
      </c>
      <c r="CR34" s="83">
        <f>SUM('J1 A - (North) Bishopthorpe Roa'!$D$34,'J1 B - Butcher Terrace'!$BF$34,'J1 C - (South) Bishopthorpe Roa'!$AN$34,'J1 D - South Bank Avenue'!$V$34)</f>
        <v>0</v>
      </c>
      <c r="CS34" s="83">
        <f>SUM('J1 A - (North) Bishopthorpe Roa'!$E$34,'J1 B - Butcher Terrace'!$BG$34,'J1 C - (South) Bishopthorpe Roa'!$AO$34,'J1 D - South Bank Avenue'!$W$34)</f>
        <v>0</v>
      </c>
      <c r="CT34" s="83">
        <f>SUM('J1 A - (North) Bishopthorpe Roa'!$F$34,'J1 B - Butcher Terrace'!$BH$34,'J1 C - (South) Bishopthorpe Roa'!$AP$34,'J1 D - South Bank Avenue'!$X$34)</f>
        <v>0</v>
      </c>
      <c r="CU34" s="83">
        <f>SUM('J1 A - (North) Bishopthorpe Roa'!$G$34,'J1 B - Butcher Terrace'!$BI$34,'J1 C - (South) Bishopthorpe Roa'!$AQ$34,'J1 D - South Bank Avenue'!$Y$34)</f>
        <v>0</v>
      </c>
      <c r="CV34" s="83">
        <f>SUM('J1 A - (North) Bishopthorpe Roa'!$H$34,'J1 B - Butcher Terrace'!$BJ$34,'J1 C - (South) Bishopthorpe Roa'!$AR$34,'J1 D - South Bank Avenue'!$Z$34)</f>
        <v>0</v>
      </c>
      <c r="CW34" s="83">
        <f>SUM('J1 A - (North) Bishopthorpe Roa'!$I$34,'J1 B - Butcher Terrace'!$BK$34,'J1 C - (South) Bishopthorpe Roa'!$AS$34,'J1 D - South Bank Avenue'!$AA$34)</f>
        <v>0</v>
      </c>
      <c r="CX34" s="86">
        <f>SUM('J1 A - (North) Bishopthorpe Roa'!$J$34,'J1 B - Butcher Terrace'!$BL$34,'J1 C - (South) Bishopthorpe Roa'!$AT$34,'J1 D - South Bank Avenue'!$AB$34)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1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0.2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0.2</v>
      </c>
      <c r="T35" s="52">
        <f>SUM($C$35,$D$35,$E$35,$F$35,$G$35,$H$35,$I$35,$J$35)</f>
        <v>1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1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0.2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0.2</v>
      </c>
      <c r="CP35" s="52">
        <f>SUM($BY$35,$BZ$35,$CA$35,$CB$35,$CC$35,$CD$35,$CE$35,$CF$35)</f>
        <v>1</v>
      </c>
      <c r="CQ35" s="90">
        <f>SUM('J1 A - (North) Bishopthorpe Roa'!$C$35,'J1 B - Butcher Terrace'!$BE$35,'J1 C - (South) Bishopthorpe Roa'!$AM$35,'J1 D - South Bank Avenue'!$U$35)</f>
        <v>0</v>
      </c>
      <c r="CR35" s="84">
        <f>SUM('J1 A - (North) Bishopthorpe Roa'!$D$35,'J1 B - Butcher Terrace'!$BF$35,'J1 C - (South) Bishopthorpe Roa'!$AN$35,'J1 D - South Bank Avenue'!$V$35)</f>
        <v>0</v>
      </c>
      <c r="CS35" s="84">
        <f>SUM('J1 A - (North) Bishopthorpe Roa'!$E$35,'J1 B - Butcher Terrace'!$BG$35,'J1 C - (South) Bishopthorpe Roa'!$AO$35,'J1 D - South Bank Avenue'!$W$35)</f>
        <v>0</v>
      </c>
      <c r="CT35" s="84">
        <f>SUM('J1 A - (North) Bishopthorpe Roa'!$F$35,'J1 B - Butcher Terrace'!$BH$35,'J1 C - (South) Bishopthorpe Roa'!$AP$35,'J1 D - South Bank Avenue'!$X$35)</f>
        <v>0</v>
      </c>
      <c r="CU35" s="84">
        <f>SUM('J1 A - (North) Bishopthorpe Roa'!$G$35,'J1 B - Butcher Terrace'!$BI$35,'J1 C - (South) Bishopthorpe Roa'!$AQ$35,'J1 D - South Bank Avenue'!$Y$35)</f>
        <v>0</v>
      </c>
      <c r="CV35" s="84">
        <f>SUM('J1 A - (North) Bishopthorpe Roa'!$H$35,'J1 B - Butcher Terrace'!$BJ$35,'J1 C - (South) Bishopthorpe Roa'!$AR$35,'J1 D - South Bank Avenue'!$Z$35)</f>
        <v>0</v>
      </c>
      <c r="CW35" s="84">
        <f>SUM('J1 A - (North) Bishopthorpe Roa'!$I$35,'J1 B - Butcher Terrace'!$BK$35,'J1 C - (South) Bishopthorpe Roa'!$AS$35,'J1 D - South Bank Avenue'!$AA$35)</f>
        <v>0</v>
      </c>
      <c r="CX35" s="87">
        <f>SUM('J1 A - (North) Bishopthorpe Roa'!$J$35,'J1 B - Butcher Terrace'!$BL$35,'J1 C - (South) Bishopthorpe Roa'!$AT$35,'J1 D - South Bank Avenue'!$AB$35)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1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1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0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1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1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0</v>
      </c>
      <c r="BZ36" s="52">
        <f>SUM($BZ$32:$BZ$35)</f>
        <v>0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2</v>
      </c>
      <c r="CE36" s="52">
        <f>SUM($CE$32:$CE$35)</f>
        <v>0</v>
      </c>
      <c r="CF36" s="52">
        <f>SUM($CF$32:$CF$35)</f>
        <v>0</v>
      </c>
      <c r="CG36" s="52">
        <f>SUM($CG$32:$CG$35)</f>
        <v>0</v>
      </c>
      <c r="CH36" s="52">
        <f>SUM($CH$32:$CH$35)</f>
        <v>0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0</v>
      </c>
      <c r="CP36" s="52">
        <f>SUM($BY$36,$BZ$36,$CA$36,$CB$36,$CC$36,$CD$36,$CE$36,$CF$36)</f>
        <v>2</v>
      </c>
      <c r="CQ36" s="52">
        <f>SUM($CQ$32:$CQ$35)</f>
        <v>0</v>
      </c>
      <c r="CR36" s="52">
        <f>SUM($CR$32:$CR$35)</f>
        <v>0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0</v>
      </c>
      <c r="CZ36" s="52">
        <f>SUM($CZ$32:$CZ$35)</f>
        <v>0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0</v>
      </c>
      <c r="DH36" s="52">
        <f>SUM($CQ$36,$CR$36,$CS$36,$CT$36,$CU$36,$CV$36,$CW$36,$CX$36)</f>
        <v>0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0</v>
      </c>
      <c r="AL37" s="52">
        <f>SUM($U$37,$V$37,$W$37,$X$37,$Y$37,$Z$37,$AA$37,$AB$37)</f>
        <v>0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0</v>
      </c>
      <c r="CP37" s="52">
        <f>SUM($BY$37,$BZ$37,$CA$37,$CB$37,$CC$37,$CD$37,$CE$37,$CF$37)</f>
        <v>0</v>
      </c>
      <c r="CQ37" s="91">
        <f>SUM('J1 A - (North) Bishopthorpe Roa'!$C$37,'J1 B - Butcher Terrace'!$BE$37,'J1 C - (South) Bishopthorpe Roa'!$AM$37,'J1 D - South Bank Avenue'!$U$37)</f>
        <v>0</v>
      </c>
      <c r="CR37" s="85">
        <f>SUM('J1 A - (North) Bishopthorpe Roa'!$D$37,'J1 B - Butcher Terrace'!$BF$37,'J1 C - (South) Bishopthorpe Roa'!$AN$37,'J1 D - South Bank Avenue'!$V$37)</f>
        <v>0</v>
      </c>
      <c r="CS37" s="85">
        <f>SUM('J1 A - (North) Bishopthorpe Roa'!$E$37,'J1 B - Butcher Terrace'!$BG$37,'J1 C - (South) Bishopthorpe Roa'!$AO$37,'J1 D - South Bank Avenue'!$W$37)</f>
        <v>0</v>
      </c>
      <c r="CT37" s="85">
        <f>SUM('J1 A - (North) Bishopthorpe Roa'!$F$37,'J1 B - Butcher Terrace'!$BH$37,'J1 C - (South) Bishopthorpe Roa'!$AP$37,'J1 D - South Bank Avenue'!$X$37)</f>
        <v>0</v>
      </c>
      <c r="CU37" s="85">
        <f>SUM('J1 A - (North) Bishopthorpe Roa'!$G$37,'J1 B - Butcher Terrace'!$BI$37,'J1 C - (South) Bishopthorpe Roa'!$AQ$37,'J1 D - South Bank Avenue'!$Y$37)</f>
        <v>0</v>
      </c>
      <c r="CV37" s="85">
        <f>SUM('J1 A - (North) Bishopthorpe Roa'!$H$37,'J1 B - Butcher Terrace'!$BJ$37,'J1 C - (South) Bishopthorpe Roa'!$AR$37,'J1 D - South Bank Avenue'!$Z$37)</f>
        <v>0</v>
      </c>
      <c r="CW37" s="85">
        <f>SUM('J1 A - (North) Bishopthorpe Roa'!$I$37,'J1 B - Butcher Terrace'!$BK$37,'J1 C - (South) Bishopthorpe Roa'!$AS$37,'J1 D - South Bank Avenue'!$AA$37)</f>
        <v>0</v>
      </c>
      <c r="CX37" s="88">
        <f>SUM('J1 A - (North) Bishopthorpe Roa'!$J$37,'J1 B - Butcher Terrace'!$BL$37,'J1 C - (South) Bishopthorpe Roa'!$AT$37,'J1 D - South Bank Avenue'!$AB$37)</f>
        <v>0</v>
      </c>
      <c r="CY37" s="81">
        <f>$CQ$37*VLOOKUP($CQ$11,'PCU Values'!$B$9:$C$16,2,FALSE)</f>
        <v>0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0</v>
      </c>
      <c r="DH37" s="52">
        <f>SUM($CQ$37,$CR$37,$CS$37,$CT$37,$CU$37,$CV$37,$CW$37,$CX$37)</f>
        <v>0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1</v>
      </c>
      <c r="AN38" s="48">
        <v>0</v>
      </c>
      <c r="AO38" s="48">
        <v>0</v>
      </c>
      <c r="AP38" s="48">
        <v>0</v>
      </c>
      <c r="AQ38" s="48">
        <v>0</v>
      </c>
      <c r="AR38" s="48">
        <v>1</v>
      </c>
      <c r="AS38" s="48">
        <v>0</v>
      </c>
      <c r="AT38" s="56">
        <v>0</v>
      </c>
      <c r="AU38" s="57">
        <f>$AM$38*VLOOKUP($AM$11,'PCU Values'!$B$9:$C$16,2,FALSE)</f>
        <v>1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0.2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1.2</v>
      </c>
      <c r="BD38" s="52">
        <f>SUM($AM$38,$AN$38,$AO$38,$AP$38,$AQ$38,$AR$38,$AS$38,$AT$38)</f>
        <v>2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1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1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1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0.2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1.2</v>
      </c>
      <c r="CP38" s="52">
        <f>SUM($BY$38,$BZ$38,$CA$38,$CB$38,$CC$38,$CD$38,$CE$38,$CF$38)</f>
        <v>2</v>
      </c>
      <c r="CQ38" s="89">
        <f>SUM('J1 A - (North) Bishopthorpe Roa'!$C$38,'J1 B - Butcher Terrace'!$BE$38,'J1 C - (South) Bishopthorpe Roa'!$AM$38,'J1 D - South Bank Avenue'!$U$38)</f>
        <v>0</v>
      </c>
      <c r="CR38" s="83">
        <f>SUM('J1 A - (North) Bishopthorpe Roa'!$D$38,'J1 B - Butcher Terrace'!$BF$38,'J1 C - (South) Bishopthorpe Roa'!$AN$38,'J1 D - South Bank Avenue'!$V$38)</f>
        <v>0</v>
      </c>
      <c r="CS38" s="83">
        <f>SUM('J1 A - (North) Bishopthorpe Roa'!$E$38,'J1 B - Butcher Terrace'!$BG$38,'J1 C - (South) Bishopthorpe Roa'!$AO$38,'J1 D - South Bank Avenue'!$W$38)</f>
        <v>0</v>
      </c>
      <c r="CT38" s="83">
        <f>SUM('J1 A - (North) Bishopthorpe Roa'!$F$38,'J1 B - Butcher Terrace'!$BH$38,'J1 C - (South) Bishopthorpe Roa'!$AP$38,'J1 D - South Bank Avenue'!$X$38)</f>
        <v>0</v>
      </c>
      <c r="CU38" s="83">
        <f>SUM('J1 A - (North) Bishopthorpe Roa'!$G$38,'J1 B - Butcher Terrace'!$BI$38,'J1 C - (South) Bishopthorpe Roa'!$AQ$38,'J1 D - South Bank Avenue'!$Y$38)</f>
        <v>0</v>
      </c>
      <c r="CV38" s="83">
        <f>SUM('J1 A - (North) Bishopthorpe Roa'!$H$38,'J1 B - Butcher Terrace'!$BJ$38,'J1 C - (South) Bishopthorpe Roa'!$AR$38,'J1 D - South Bank Avenue'!$Z$38)</f>
        <v>0</v>
      </c>
      <c r="CW38" s="83">
        <f>SUM('J1 A - (North) Bishopthorpe Roa'!$I$38,'J1 B - Butcher Terrace'!$BK$38,'J1 C - (South) Bishopthorpe Roa'!$AS$38,'J1 D - South Bank Avenue'!$AA$38)</f>
        <v>0</v>
      </c>
      <c r="CX38" s="86">
        <f>SUM('J1 A - (North) Bishopthorpe Roa'!$J$38,'J1 B - Butcher Terrace'!$BL$38,'J1 C - (South) Bishopthorpe Roa'!$AT$38,'J1 D - South Bank Avenue'!$AB$38)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2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0.4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0.4</v>
      </c>
      <c r="T39" s="52">
        <f>SUM($C$39,$D$39,$E$39,$F$39,$G$39,$H$39,$I$39,$J$39)</f>
        <v>2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2">
        <f>SUM($U$39,$V$39,$W$39,$X$39,$Y$39,$Z$39,$AA$39,$AB$39)</f>
        <v>0</v>
      </c>
      <c r="AM39" s="67">
        <v>1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1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1</v>
      </c>
      <c r="BD39" s="52">
        <f>SUM($AM$39,$AN$39,$AO$39,$AP$39,$AQ$39,$AR$39,$AS$39,$AT$39)</f>
        <v>1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2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0.4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1.4</v>
      </c>
      <c r="CP39" s="52">
        <f>SUM($BY$39,$BZ$39,$CA$39,$CB$39,$CC$39,$CD$39,$CE$39,$CF$39)</f>
        <v>3</v>
      </c>
      <c r="CQ39" s="89">
        <f>SUM('J1 A - (North) Bishopthorpe Roa'!$C$39,'J1 B - Butcher Terrace'!$BE$39,'J1 C - (South) Bishopthorpe Roa'!$AM$39,'J1 D - South Bank Avenue'!$U$39)</f>
        <v>0</v>
      </c>
      <c r="CR39" s="83">
        <f>SUM('J1 A - (North) Bishopthorpe Roa'!$D$39,'J1 B - Butcher Terrace'!$BF$39,'J1 C - (South) Bishopthorpe Roa'!$AN$39,'J1 D - South Bank Avenue'!$V$39)</f>
        <v>0</v>
      </c>
      <c r="CS39" s="83">
        <f>SUM('J1 A - (North) Bishopthorpe Roa'!$E$39,'J1 B - Butcher Terrace'!$BG$39,'J1 C - (South) Bishopthorpe Roa'!$AO$39,'J1 D - South Bank Avenue'!$W$39)</f>
        <v>0</v>
      </c>
      <c r="CT39" s="83">
        <f>SUM('J1 A - (North) Bishopthorpe Roa'!$F$39,'J1 B - Butcher Terrace'!$BH$39,'J1 C - (South) Bishopthorpe Roa'!$AP$39,'J1 D - South Bank Avenue'!$X$39)</f>
        <v>0</v>
      </c>
      <c r="CU39" s="83">
        <f>SUM('J1 A - (North) Bishopthorpe Roa'!$G$39,'J1 B - Butcher Terrace'!$BI$39,'J1 C - (South) Bishopthorpe Roa'!$AQ$39,'J1 D - South Bank Avenue'!$Y$39)</f>
        <v>0</v>
      </c>
      <c r="CV39" s="83">
        <f>SUM('J1 A - (North) Bishopthorpe Roa'!$H$39,'J1 B - Butcher Terrace'!$BJ$39,'J1 C - (South) Bishopthorpe Roa'!$AR$39,'J1 D - South Bank Avenue'!$Z$39)</f>
        <v>0</v>
      </c>
      <c r="CW39" s="83">
        <f>SUM('J1 A - (North) Bishopthorpe Roa'!$I$39,'J1 B - Butcher Terrace'!$BK$39,'J1 C - (South) Bishopthorpe Roa'!$AS$39,'J1 D - South Bank Avenue'!$AA$39)</f>
        <v>0</v>
      </c>
      <c r="CX39" s="86">
        <f>SUM('J1 A - (North) Bishopthorpe Roa'!$J$39,'J1 B - Butcher Terrace'!$BL$39,'J1 C - (South) Bishopthorpe Roa'!$AT$39,'J1 D - South Bank Avenue'!$AB$39)</f>
        <v>0</v>
      </c>
      <c r="CY39" s="77">
        <f>$CQ$39*VLOOKUP($CQ$11,'PCU Values'!$B$9:$C$16,2,FALSE)</f>
        <v>0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0</v>
      </c>
      <c r="DH39" s="52">
        <f>SUM($CQ$39,$CR$39,$CS$39,$CT$39,$CU$39,$CV$39,$CW$39,$CX$39)</f>
        <v>0</v>
      </c>
    </row>
    <row r="40" spans="1:112" ht="21" customHeight="1">
      <c r="A40" s="46">
        <v>44395.239583333299</v>
      </c>
      <c r="B40" s="50" t="s">
        <v>54</v>
      </c>
      <c r="C40" s="51">
        <v>1</v>
      </c>
      <c r="D40" s="51">
        <v>0</v>
      </c>
      <c r="E40" s="51">
        <v>0</v>
      </c>
      <c r="F40" s="51">
        <v>0</v>
      </c>
      <c r="G40" s="51">
        <v>0</v>
      </c>
      <c r="H40" s="51">
        <v>1</v>
      </c>
      <c r="I40" s="51">
        <v>0</v>
      </c>
      <c r="J40" s="59">
        <v>0</v>
      </c>
      <c r="K40" s="60">
        <f>$C$40*VLOOKUP($C$11,'PCU Values'!$B$9:$C$16,2,FALSE)</f>
        <v>1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0.2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1.2</v>
      </c>
      <c r="T40" s="52">
        <f>SUM($C$40,$D$40,$E$40,$F$40,$G$40,$H$40,$I$40,$J$40)</f>
        <v>2</v>
      </c>
      <c r="U40" s="73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0</v>
      </c>
      <c r="AL40" s="52">
        <f>SUM($U$40,$V$40,$W$40,$X$40,$Y$40,$Z$40,$AA$40,$AB$40)</f>
        <v>0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1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1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1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0.2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1.2</v>
      </c>
      <c r="CP40" s="52">
        <f>SUM($BY$40,$BZ$40,$CA$40,$CB$40,$CC$40,$CD$40,$CE$40,$CF$40)</f>
        <v>2</v>
      </c>
      <c r="CQ40" s="90">
        <f>SUM('J1 A - (North) Bishopthorpe Roa'!$C$40,'J1 B - Butcher Terrace'!$BE$40,'J1 C - (South) Bishopthorpe Roa'!$AM$40,'J1 D - South Bank Avenue'!$U$40)</f>
        <v>0</v>
      </c>
      <c r="CR40" s="84">
        <f>SUM('J1 A - (North) Bishopthorpe Roa'!$D$40,'J1 B - Butcher Terrace'!$BF$40,'J1 C - (South) Bishopthorpe Roa'!$AN$40,'J1 D - South Bank Avenue'!$V$40)</f>
        <v>0</v>
      </c>
      <c r="CS40" s="84">
        <f>SUM('J1 A - (North) Bishopthorpe Roa'!$E$40,'J1 B - Butcher Terrace'!$BG$40,'J1 C - (South) Bishopthorpe Roa'!$AO$40,'J1 D - South Bank Avenue'!$W$40)</f>
        <v>0</v>
      </c>
      <c r="CT40" s="84">
        <f>SUM('J1 A - (North) Bishopthorpe Roa'!$F$40,'J1 B - Butcher Terrace'!$BH$40,'J1 C - (South) Bishopthorpe Roa'!$AP$40,'J1 D - South Bank Avenue'!$X$40)</f>
        <v>0</v>
      </c>
      <c r="CU40" s="84">
        <f>SUM('J1 A - (North) Bishopthorpe Roa'!$G$40,'J1 B - Butcher Terrace'!$BI$40,'J1 C - (South) Bishopthorpe Roa'!$AQ$40,'J1 D - South Bank Avenue'!$Y$40)</f>
        <v>0</v>
      </c>
      <c r="CV40" s="84">
        <f>SUM('J1 A - (North) Bishopthorpe Roa'!$H$40,'J1 B - Butcher Terrace'!$BJ$40,'J1 C - (South) Bishopthorpe Roa'!$AR$40,'J1 D - South Bank Avenue'!$Z$40)</f>
        <v>0</v>
      </c>
      <c r="CW40" s="84">
        <f>SUM('J1 A - (North) Bishopthorpe Roa'!$I$40,'J1 B - Butcher Terrace'!$BK$40,'J1 C - (South) Bishopthorpe Roa'!$AS$40,'J1 D - South Bank Avenue'!$AA$40)</f>
        <v>0</v>
      </c>
      <c r="CX40" s="87">
        <f>SUM('J1 A - (North) Bishopthorpe Roa'!$J$40,'J1 B - Butcher Terrace'!$BL$40,'J1 C - (South) Bishopthorpe Roa'!$AT$40,'J1 D - South Bank Avenue'!$AB$40)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0</v>
      </c>
      <c r="DH40" s="52">
        <f>SUM($CQ$40,$CR$40,$CS$40,$CT$40,$CU$40,$CV$40,$CW$40,$CX$40)</f>
        <v>0</v>
      </c>
    </row>
    <row r="41" spans="1:112">
      <c r="B41" s="52" t="s">
        <v>34</v>
      </c>
      <c r="C41" s="52">
        <f>SUM($C$37:$C$40)</f>
        <v>1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3</v>
      </c>
      <c r="I41" s="52">
        <f>SUM($I$37:$I$40)</f>
        <v>0</v>
      </c>
      <c r="J41" s="52">
        <f>SUM($J$37:$J$40)</f>
        <v>0</v>
      </c>
      <c r="K41" s="52">
        <f>SUM($K$37:$K$40)</f>
        <v>1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1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2</v>
      </c>
      <c r="T41" s="52">
        <f>SUM($C$41,$D$41,$E$41,$F$41,$G$41,$H$41,$I$41,$J$41)</f>
        <v>4</v>
      </c>
      <c r="U41" s="52">
        <f>SUM($U$37:$U$40)</f>
        <v>0</v>
      </c>
      <c r="V41" s="52">
        <f>SUM($V$37:$V$40)</f>
        <v>0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0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0</v>
      </c>
      <c r="AL41" s="52">
        <f>SUM($U$41,$V$41,$W$41,$X$41,$Y$41,$Z$41,$AA$41,$AB$41)</f>
        <v>0</v>
      </c>
      <c r="AM41" s="52">
        <f>SUM($AM$37:$AM$40)</f>
        <v>2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1</v>
      </c>
      <c r="AS41" s="52">
        <f>SUM($AS$37:$AS$40)</f>
        <v>0</v>
      </c>
      <c r="AT41" s="52">
        <f>SUM($AT$37:$AT$40)</f>
        <v>0</v>
      </c>
      <c r="AU41" s="52">
        <f>SUM($AU$37:$AU$40)</f>
        <v>2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2</v>
      </c>
      <c r="BD41" s="52">
        <f>SUM($AM$41,$AN$41,$AO$41,$AP$41,$AQ$41,$AR$41,$AS$41,$AT$41)</f>
        <v>3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3</v>
      </c>
      <c r="BZ41" s="52">
        <f>SUM($BZ$37:$BZ$40)</f>
        <v>0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4</v>
      </c>
      <c r="CE41" s="52">
        <f>SUM($CE$37:$CE$40)</f>
        <v>0</v>
      </c>
      <c r="CF41" s="52">
        <f>SUM($CF$37:$CF$40)</f>
        <v>0</v>
      </c>
      <c r="CG41" s="52">
        <f>SUM($CG$37:$CG$40)</f>
        <v>3</v>
      </c>
      <c r="CH41" s="52">
        <f>SUM($CH$37:$CH$40)</f>
        <v>0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1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4</v>
      </c>
      <c r="CP41" s="52">
        <f>SUM($BY$41,$BZ$41,$CA$41,$CB$41,$CC$41,$CD$41,$CE$41,$CF$41)</f>
        <v>7</v>
      </c>
      <c r="CQ41" s="52">
        <f>SUM($CQ$37:$CQ$40)</f>
        <v>0</v>
      </c>
      <c r="CR41" s="52">
        <f>SUM($CR$37:$CR$40)</f>
        <v>0</v>
      </c>
      <c r="CS41" s="52">
        <f>SUM($CS$37:$CS$40)</f>
        <v>0</v>
      </c>
      <c r="CT41" s="52">
        <f>SUM($CT$37:$CT$40)</f>
        <v>0</v>
      </c>
      <c r="CU41" s="52">
        <f>SUM($CU$37:$CU$40)</f>
        <v>0</v>
      </c>
      <c r="CV41" s="52">
        <f>SUM($CV$37:$CV$40)</f>
        <v>0</v>
      </c>
      <c r="CW41" s="52">
        <f>SUM($CW$37:$CW$40)</f>
        <v>0</v>
      </c>
      <c r="CX41" s="52">
        <f>SUM($CX$37:$CX$40)</f>
        <v>0</v>
      </c>
      <c r="CY41" s="52">
        <f>SUM($CY$37:$CY$40)</f>
        <v>0</v>
      </c>
      <c r="CZ41" s="52">
        <f>SUM($CZ$37:$CZ$40)</f>
        <v>0</v>
      </c>
      <c r="DA41" s="52">
        <f>SUM($DA$37:$DA$40)</f>
        <v>0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0</v>
      </c>
      <c r="DH41" s="52">
        <f>SUM($CQ$41,$CR$41,$CS$41,$CT$41,$CU$41,$CV$41,$CW$41,$CX$41)</f>
        <v>0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1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0.2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0.2</v>
      </c>
      <c r="T42" s="52">
        <f>SUM($C$42,$D$42,$E$42,$F$42,$G$42,$H$42,$I$42,$J$42)</f>
        <v>1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2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0.4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0.4</v>
      </c>
      <c r="AL42" s="52">
        <f>SUM($U$42,$V$42,$W$42,$X$42,$Y$42,$Z$42,$AA$42,$AB$42)</f>
        <v>2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0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3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0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0.6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0.6</v>
      </c>
      <c r="CP42" s="52">
        <f>SUM($BY$42,$BZ$42,$CA$42,$CB$42,$CC$42,$CD$42,$CE$42,$CF$42)</f>
        <v>3</v>
      </c>
      <c r="CQ42" s="91">
        <f>SUM('J1 A - (North) Bishopthorpe Roa'!$C$42,'J1 B - Butcher Terrace'!$BE$42,'J1 C - (South) Bishopthorpe Roa'!$AM$42,'J1 D - South Bank Avenue'!$U$42)</f>
        <v>0</v>
      </c>
      <c r="CR42" s="85">
        <f>SUM('J1 A - (North) Bishopthorpe Roa'!$D$42,'J1 B - Butcher Terrace'!$BF$42,'J1 C - (South) Bishopthorpe Roa'!$AN$42,'J1 D - South Bank Avenue'!$V$42)</f>
        <v>0</v>
      </c>
      <c r="CS42" s="85">
        <f>SUM('J1 A - (North) Bishopthorpe Roa'!$E$42,'J1 B - Butcher Terrace'!$BG$42,'J1 C - (South) Bishopthorpe Roa'!$AO$42,'J1 D - South Bank Avenue'!$W$42)</f>
        <v>0</v>
      </c>
      <c r="CT42" s="85">
        <f>SUM('J1 A - (North) Bishopthorpe Roa'!$F$42,'J1 B - Butcher Terrace'!$BH$42,'J1 C - (South) Bishopthorpe Roa'!$AP$42,'J1 D - South Bank Avenue'!$X$42)</f>
        <v>0</v>
      </c>
      <c r="CU42" s="85">
        <f>SUM('J1 A - (North) Bishopthorpe Roa'!$G$42,'J1 B - Butcher Terrace'!$BI$42,'J1 C - (South) Bishopthorpe Roa'!$AQ$42,'J1 D - South Bank Avenue'!$Y$42)</f>
        <v>0</v>
      </c>
      <c r="CV42" s="85">
        <f>SUM('J1 A - (North) Bishopthorpe Roa'!$H$42,'J1 B - Butcher Terrace'!$BJ$42,'J1 C - (South) Bishopthorpe Roa'!$AR$42,'J1 D - South Bank Avenue'!$Z$42)</f>
        <v>1</v>
      </c>
      <c r="CW42" s="85">
        <f>SUM('J1 A - (North) Bishopthorpe Roa'!$I$42,'J1 B - Butcher Terrace'!$BK$42,'J1 C - (South) Bishopthorpe Roa'!$AS$42,'J1 D - South Bank Avenue'!$AA$42)</f>
        <v>0</v>
      </c>
      <c r="CX42" s="88">
        <f>SUM('J1 A - (North) Bishopthorpe Roa'!$J$42,'J1 B - Butcher Terrace'!$BL$42,'J1 C - (South) Bishopthorpe Roa'!$AT$42,'J1 D - South Bank Avenue'!$AB$42)</f>
        <v>0</v>
      </c>
      <c r="CY42" s="81">
        <f>$CQ$42*VLOOKUP($CQ$11,'PCU Values'!$B$9:$C$16,2,FALSE)</f>
        <v>0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0.2</v>
      </c>
      <c r="DH42" s="52">
        <f>SUM($CQ$42,$CR$42,$CS$42,$CT$42,$CU$42,$CV$42,$CW$42,$CX$42)</f>
        <v>1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1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1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1</v>
      </c>
      <c r="T43" s="52">
        <f>SUM($C$43,$D$43,$E$43,$F$43,$G$43,$H$43,$I$43,$J$43)</f>
        <v>1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2">
        <f>SUM($U$43,$V$43,$W$43,$X$43,$Y$43,$Z$43,$AA$43,$AB$43)</f>
        <v>0</v>
      </c>
      <c r="AM43" s="67">
        <v>3</v>
      </c>
      <c r="AN43" s="48">
        <v>1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3</v>
      </c>
      <c r="AV43" s="57">
        <f>$AN$43*VLOOKUP($AN$11,'PCU Values'!$B$9:$C$16,2,FALSE)</f>
        <v>1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4</v>
      </c>
      <c r="BD43" s="52">
        <f>SUM($AM$43,$AN$43,$AO$43,$AP$43,$AQ$43,$AR$43,$AS$43,$AT$43)</f>
        <v>4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3</v>
      </c>
      <c r="BZ43" s="83">
        <f>SUM($D$43,$V$43,$AN$43,$BF$43)</f>
        <v>2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0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3</v>
      </c>
      <c r="CH43" s="77">
        <f>$BZ$43*VLOOKUP($BZ$11,'PCU Values'!$B$9:$C$16,2,FALSE)</f>
        <v>2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5</v>
      </c>
      <c r="CP43" s="52">
        <f>SUM($BY$43,$BZ$43,$CA$43,$CB$43,$CC$43,$CD$43,$CE$43,$CF$43)</f>
        <v>5</v>
      </c>
      <c r="CQ43" s="89">
        <f>SUM('J1 A - (North) Bishopthorpe Roa'!$C$43,'J1 B - Butcher Terrace'!$BE$43,'J1 C - (South) Bishopthorpe Roa'!$AM$43,'J1 D - South Bank Avenue'!$U$43)</f>
        <v>0</v>
      </c>
      <c r="CR43" s="83">
        <f>SUM('J1 A - (North) Bishopthorpe Roa'!$D$43,'J1 B - Butcher Terrace'!$BF$43,'J1 C - (South) Bishopthorpe Roa'!$AN$43,'J1 D - South Bank Avenue'!$V$43)</f>
        <v>0</v>
      </c>
      <c r="CS43" s="83">
        <f>SUM('J1 A - (North) Bishopthorpe Roa'!$E$43,'J1 B - Butcher Terrace'!$BG$43,'J1 C - (South) Bishopthorpe Roa'!$AO$43,'J1 D - South Bank Avenue'!$W$43)</f>
        <v>0</v>
      </c>
      <c r="CT43" s="83">
        <f>SUM('J1 A - (North) Bishopthorpe Roa'!$F$43,'J1 B - Butcher Terrace'!$BH$43,'J1 C - (South) Bishopthorpe Roa'!$AP$43,'J1 D - South Bank Avenue'!$X$43)</f>
        <v>1</v>
      </c>
      <c r="CU43" s="83">
        <f>SUM('J1 A - (North) Bishopthorpe Roa'!$G$43,'J1 B - Butcher Terrace'!$BI$43,'J1 C - (South) Bishopthorpe Roa'!$AQ$43,'J1 D - South Bank Avenue'!$Y$43)</f>
        <v>0</v>
      </c>
      <c r="CV43" s="83">
        <f>SUM('J1 A - (North) Bishopthorpe Roa'!$H$43,'J1 B - Butcher Terrace'!$BJ$43,'J1 C - (South) Bishopthorpe Roa'!$AR$43,'J1 D - South Bank Avenue'!$Z$43)</f>
        <v>3</v>
      </c>
      <c r="CW43" s="83">
        <f>SUM('J1 A - (North) Bishopthorpe Roa'!$I$43,'J1 B - Butcher Terrace'!$BK$43,'J1 C - (South) Bishopthorpe Roa'!$AS$43,'J1 D - South Bank Avenue'!$AA$43)</f>
        <v>0</v>
      </c>
      <c r="CX43" s="86">
        <f>SUM('J1 A - (North) Bishopthorpe Roa'!$J$43,'J1 B - Butcher Terrace'!$BL$43,'J1 C - (South) Bishopthorpe Roa'!$AT$43,'J1 D - South Bank Avenue'!$AB$43)</f>
        <v>0</v>
      </c>
      <c r="CY43" s="77">
        <f>$CQ$43*VLOOKUP($CQ$11,'PCU Values'!$B$9:$C$16,2,FALSE)</f>
        <v>0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2.2999999999999998</v>
      </c>
      <c r="DC43" s="77">
        <f>$CU$43*VLOOKUP($CU$11,'PCU Values'!$B$9:$C$16,2,FALSE)</f>
        <v>0</v>
      </c>
      <c r="DD43" s="77">
        <f>$CV$43*VLOOKUP($CV$11,'PCU Values'!$B$9:$C$16,2,FALSE)</f>
        <v>0.6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2.9</v>
      </c>
      <c r="DH43" s="52">
        <f>SUM($CQ$43,$CR$43,$CS$43,$CT$43,$CU$43,$CV$43,$CW$43,$CX$43)</f>
        <v>4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3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0.6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0.6</v>
      </c>
      <c r="AL44" s="52">
        <f>SUM($U$44,$V$44,$W$44,$X$44,$Y$44,$Z$44,$AA$44,$AB$44)</f>
        <v>3</v>
      </c>
      <c r="AM44" s="49">
        <v>0</v>
      </c>
      <c r="AN44" s="49">
        <v>0</v>
      </c>
      <c r="AO44" s="49">
        <v>0</v>
      </c>
      <c r="AP44" s="49">
        <v>1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0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2.2999999999999998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2.2999999999999998</v>
      </c>
      <c r="BD44" s="52">
        <f>SUM($AM$44,$AN$44,$AO$44,$AP$44,$AQ$44,$AR$44,$AS$44,$AT$44)</f>
        <v>1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0</v>
      </c>
      <c r="BZ44" s="83">
        <f>SUM($D$44,$V$44,$AN$44,$BF$44)</f>
        <v>0</v>
      </c>
      <c r="CA44" s="83">
        <f>SUM($E$44,$W$44,$AO$44,$BG$44)</f>
        <v>0</v>
      </c>
      <c r="CB44" s="83">
        <f>SUM($F$44,$X$44,$AP$44,$BH$44)</f>
        <v>1</v>
      </c>
      <c r="CC44" s="83">
        <f>SUM($G$44,$Y$44,$AQ$44,$BI$44)</f>
        <v>0</v>
      </c>
      <c r="CD44" s="83">
        <f>SUM($H$44,$Z$44,$AR$44,$BJ$44)</f>
        <v>3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0</v>
      </c>
      <c r="CH44" s="77">
        <f>$BZ$44*VLOOKUP($BZ$11,'PCU Values'!$B$9:$C$16,2,FALSE)</f>
        <v>0</v>
      </c>
      <c r="CI44" s="77">
        <f>$CA$44*VLOOKUP($CA$11,'PCU Values'!$B$9:$C$16,2,FALSE)</f>
        <v>0</v>
      </c>
      <c r="CJ44" s="77">
        <f>$CB$44*VLOOKUP($CB$11,'PCU Values'!$B$9:$C$16,2,FALSE)</f>
        <v>2.2999999999999998</v>
      </c>
      <c r="CK44" s="77">
        <f>$CC$44*VLOOKUP($CC$11,'PCU Values'!$B$9:$C$16,2,FALSE)</f>
        <v>0</v>
      </c>
      <c r="CL44" s="77">
        <f>$CD$44*VLOOKUP($CD$11,'PCU Values'!$B$9:$C$16,2,FALSE)</f>
        <v>0.6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2.9</v>
      </c>
      <c r="CP44" s="52">
        <f>SUM($BY$44,$BZ$44,$CA$44,$CB$44,$CC$44,$CD$44,$CE$44,$CF$44)</f>
        <v>4</v>
      </c>
      <c r="CQ44" s="89">
        <f>SUM('J1 A - (North) Bishopthorpe Roa'!$C$44,'J1 B - Butcher Terrace'!$BE$44,'J1 C - (South) Bishopthorpe Roa'!$AM$44,'J1 D - South Bank Avenue'!$U$44)</f>
        <v>1</v>
      </c>
      <c r="CR44" s="83">
        <f>SUM('J1 A - (North) Bishopthorpe Roa'!$D$44,'J1 B - Butcher Terrace'!$BF$44,'J1 C - (South) Bishopthorpe Roa'!$AN$44,'J1 D - South Bank Avenue'!$V$44)</f>
        <v>1</v>
      </c>
      <c r="CS44" s="83">
        <f>SUM('J1 A - (North) Bishopthorpe Roa'!$E$44,'J1 B - Butcher Terrace'!$BG$44,'J1 C - (South) Bishopthorpe Roa'!$AO$44,'J1 D - South Bank Avenue'!$W$44)</f>
        <v>0</v>
      </c>
      <c r="CT44" s="83">
        <f>SUM('J1 A - (North) Bishopthorpe Roa'!$F$44,'J1 B - Butcher Terrace'!$BH$44,'J1 C - (South) Bishopthorpe Roa'!$AP$44,'J1 D - South Bank Avenue'!$X$44)</f>
        <v>0</v>
      </c>
      <c r="CU44" s="83">
        <f>SUM('J1 A - (North) Bishopthorpe Roa'!$G$44,'J1 B - Butcher Terrace'!$BI$44,'J1 C - (South) Bishopthorpe Roa'!$AQ$44,'J1 D - South Bank Avenue'!$Y$44)</f>
        <v>0</v>
      </c>
      <c r="CV44" s="83">
        <f>SUM('J1 A - (North) Bishopthorpe Roa'!$H$44,'J1 B - Butcher Terrace'!$BJ$44,'J1 C - (South) Bishopthorpe Roa'!$AR$44,'J1 D - South Bank Avenue'!$Z$44)</f>
        <v>5</v>
      </c>
      <c r="CW44" s="83">
        <f>SUM('J1 A - (North) Bishopthorpe Roa'!$I$44,'J1 B - Butcher Terrace'!$BK$44,'J1 C - (South) Bishopthorpe Roa'!$AS$44,'J1 D - South Bank Avenue'!$AA$44)</f>
        <v>0</v>
      </c>
      <c r="CX44" s="86">
        <f>SUM('J1 A - (North) Bishopthorpe Roa'!$J$44,'J1 B - Butcher Terrace'!$BL$44,'J1 C - (South) Bishopthorpe Roa'!$AT$44,'J1 D - South Bank Avenue'!$AB$44)</f>
        <v>0</v>
      </c>
      <c r="CY44" s="77">
        <f>$CQ$44*VLOOKUP($CQ$11,'PCU Values'!$B$9:$C$16,2,FALSE)</f>
        <v>1</v>
      </c>
      <c r="CZ44" s="77">
        <f>$CR$44*VLOOKUP($CR$11,'PCU Values'!$B$9:$C$16,2,FALSE)</f>
        <v>1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1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3</v>
      </c>
      <c r="DH44" s="52">
        <f>SUM($CQ$44,$CR$44,$CS$44,$CT$44,$CU$44,$CV$44,$CW$44,$CX$44)</f>
        <v>7</v>
      </c>
    </row>
    <row r="45" spans="1:112" ht="21" customHeight="1">
      <c r="A45" s="46">
        <v>44395.28125</v>
      </c>
      <c r="B45" s="50" t="s">
        <v>58</v>
      </c>
      <c r="C45" s="51">
        <v>3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3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3</v>
      </c>
      <c r="T45" s="52">
        <f>SUM($C$45,$D$45,$E$45,$F$45,$G$45,$H$45,$I$45,$J$45)</f>
        <v>3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</v>
      </c>
      <c r="AL45" s="52">
        <f>SUM($U$45,$V$45,$W$45,$X$45,$Y$45,$Z$45,$AA$45,$AB$45)</f>
        <v>0</v>
      </c>
      <c r="AM45" s="73">
        <v>1</v>
      </c>
      <c r="AN45" s="51">
        <v>1</v>
      </c>
      <c r="AO45" s="51">
        <v>0</v>
      </c>
      <c r="AP45" s="51">
        <v>0</v>
      </c>
      <c r="AQ45" s="51">
        <v>0</v>
      </c>
      <c r="AR45" s="51">
        <v>1</v>
      </c>
      <c r="AS45" s="51">
        <v>0</v>
      </c>
      <c r="AT45" s="59">
        <v>0</v>
      </c>
      <c r="AU45" s="60">
        <f>$AM$45*VLOOKUP($AM$11,'PCU Values'!$B$9:$C$16,2,FALSE)</f>
        <v>1</v>
      </c>
      <c r="AV45" s="60">
        <f>$AN$45*VLOOKUP($AN$11,'PCU Values'!$B$9:$C$16,2,FALSE)</f>
        <v>1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0.2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2.2000000000000002</v>
      </c>
      <c r="BD45" s="52">
        <f>SUM($AM$45,$AN$45,$AO$45,$AP$45,$AQ$45,$AR$45,$AS$45,$AT$45)</f>
        <v>3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4</v>
      </c>
      <c r="BZ45" s="84">
        <f>SUM($D$45,$V$45,$AN$45,$BF$45)</f>
        <v>1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1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4</v>
      </c>
      <c r="CH45" s="79">
        <f>$BZ$45*VLOOKUP($BZ$11,'PCU Values'!$B$9:$C$16,2,FALSE)</f>
        <v>1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0.2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5.2</v>
      </c>
      <c r="CP45" s="52">
        <f>SUM($BY$45,$BZ$45,$CA$45,$CB$45,$CC$45,$CD$45,$CE$45,$CF$45)</f>
        <v>6</v>
      </c>
      <c r="CQ45" s="90">
        <f>SUM('J1 A - (North) Bishopthorpe Roa'!$C$45,'J1 B - Butcher Terrace'!$BE$45,'J1 C - (South) Bishopthorpe Roa'!$AM$45,'J1 D - South Bank Avenue'!$U$45)</f>
        <v>1</v>
      </c>
      <c r="CR45" s="84">
        <f>SUM('J1 A - (North) Bishopthorpe Roa'!$D$45,'J1 B - Butcher Terrace'!$BF$45,'J1 C - (South) Bishopthorpe Roa'!$AN$45,'J1 D - South Bank Avenue'!$V$45)</f>
        <v>0</v>
      </c>
      <c r="CS45" s="84">
        <f>SUM('J1 A - (North) Bishopthorpe Roa'!$E$45,'J1 B - Butcher Terrace'!$BG$45,'J1 C - (South) Bishopthorpe Roa'!$AO$45,'J1 D - South Bank Avenue'!$W$45)</f>
        <v>1</v>
      </c>
      <c r="CT45" s="84">
        <f>SUM('J1 A - (North) Bishopthorpe Roa'!$F$45,'J1 B - Butcher Terrace'!$BH$45,'J1 C - (South) Bishopthorpe Roa'!$AP$45,'J1 D - South Bank Avenue'!$X$45)</f>
        <v>0</v>
      </c>
      <c r="CU45" s="84">
        <f>SUM('J1 A - (North) Bishopthorpe Roa'!$G$45,'J1 B - Butcher Terrace'!$BI$45,'J1 C - (South) Bishopthorpe Roa'!$AQ$45,'J1 D - South Bank Avenue'!$Y$45)</f>
        <v>0</v>
      </c>
      <c r="CV45" s="84">
        <f>SUM('J1 A - (North) Bishopthorpe Roa'!$H$45,'J1 B - Butcher Terrace'!$BJ$45,'J1 C - (South) Bishopthorpe Roa'!$AR$45,'J1 D - South Bank Avenue'!$Z$45)</f>
        <v>3</v>
      </c>
      <c r="CW45" s="84">
        <f>SUM('J1 A - (North) Bishopthorpe Roa'!$I$45,'J1 B - Butcher Terrace'!$BK$45,'J1 C - (South) Bishopthorpe Roa'!$AS$45,'J1 D - South Bank Avenue'!$AA$45)</f>
        <v>0</v>
      </c>
      <c r="CX45" s="87">
        <f>SUM('J1 A - (North) Bishopthorpe Roa'!$J$45,'J1 B - Butcher Terrace'!$BL$45,'J1 C - (South) Bishopthorpe Roa'!$AT$45,'J1 D - South Bank Avenue'!$AB$45)</f>
        <v>0</v>
      </c>
      <c r="CY45" s="79">
        <f>$CQ$45*VLOOKUP($CQ$11,'PCU Values'!$B$9:$C$16,2,FALSE)</f>
        <v>1</v>
      </c>
      <c r="CZ45" s="79">
        <f>$CR$45*VLOOKUP($CR$11,'PCU Values'!$B$9:$C$16,2,FALSE)</f>
        <v>0</v>
      </c>
      <c r="DA45" s="79">
        <f>$CS$45*VLOOKUP($CS$11,'PCU Values'!$B$9:$C$16,2,FALSE)</f>
        <v>1.5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0.6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3.1</v>
      </c>
      <c r="DH45" s="52">
        <f>SUM($CQ$45,$CR$45,$CS$45,$CT$45,$CU$45,$CV$45,$CW$45,$CX$45)</f>
        <v>5</v>
      </c>
    </row>
    <row r="46" spans="1:112">
      <c r="B46" s="52" t="s">
        <v>34</v>
      </c>
      <c r="C46" s="52">
        <f>SUM($C$42:$C$45)</f>
        <v>3</v>
      </c>
      <c r="D46" s="52">
        <f>SUM($D$42:$D$45)</f>
        <v>1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1</v>
      </c>
      <c r="I46" s="52">
        <f>SUM($I$42:$I$45)</f>
        <v>0</v>
      </c>
      <c r="J46" s="52">
        <f>SUM($J$42:$J$45)</f>
        <v>0</v>
      </c>
      <c r="K46" s="52">
        <f>SUM($K$42:$K$45)</f>
        <v>3</v>
      </c>
      <c r="L46" s="52">
        <f>SUM($L$42:$L$45)</f>
        <v>1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4</v>
      </c>
      <c r="T46" s="52">
        <f>SUM($C$46,$D$46,$E$46,$F$46,$G$46,$H$46,$I$46,$J$46)</f>
        <v>5</v>
      </c>
      <c r="U46" s="52">
        <f>SUM($U$42:$U$45)</f>
        <v>0</v>
      </c>
      <c r="V46" s="52">
        <f>SUM($V$42:$V$45)</f>
        <v>0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5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0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1</v>
      </c>
      <c r="AL46" s="52">
        <f>SUM($U$46,$V$46,$W$46,$X$46,$Y$46,$Z$46,$AA$46,$AB$46)</f>
        <v>5</v>
      </c>
      <c r="AM46" s="52">
        <f>SUM($AM$42:$AM$45)</f>
        <v>4</v>
      </c>
      <c r="AN46" s="52">
        <f>SUM($AN$42:$AN$45)</f>
        <v>2</v>
      </c>
      <c r="AO46" s="52">
        <f>SUM($AO$42:$AO$45)</f>
        <v>0</v>
      </c>
      <c r="AP46" s="52">
        <f>SUM($AP$42:$AP$45)</f>
        <v>1</v>
      </c>
      <c r="AQ46" s="52">
        <f>SUM($AQ$42:$AQ$45)</f>
        <v>0</v>
      </c>
      <c r="AR46" s="52">
        <f>SUM($AR$42:$AR$45)</f>
        <v>1</v>
      </c>
      <c r="AS46" s="52">
        <f>SUM($AS$42:$AS$45)</f>
        <v>0</v>
      </c>
      <c r="AT46" s="52">
        <f>SUM($AT$42:$AT$45)</f>
        <v>0</v>
      </c>
      <c r="AU46" s="52">
        <f>SUM($AU$42:$AU$45)</f>
        <v>4</v>
      </c>
      <c r="AV46" s="52">
        <f>SUM($AV$42:$AV$45)</f>
        <v>2</v>
      </c>
      <c r="AW46" s="52">
        <f>SUM($AW$42:$AW$45)</f>
        <v>0</v>
      </c>
      <c r="AX46" s="52">
        <f>SUM($AX$42:$AX$45)</f>
        <v>2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8</v>
      </c>
      <c r="BD46" s="52">
        <f>SUM($AM$46,$AN$46,$AO$46,$AP$46,$AQ$46,$AR$46,$AS$46,$AT$46)</f>
        <v>8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7</v>
      </c>
      <c r="BZ46" s="52">
        <f>SUM($BZ$42:$BZ$45)</f>
        <v>3</v>
      </c>
      <c r="CA46" s="52">
        <f>SUM($CA$42:$CA$45)</f>
        <v>0</v>
      </c>
      <c r="CB46" s="52">
        <f>SUM($CB$42:$CB$45)</f>
        <v>1</v>
      </c>
      <c r="CC46" s="52">
        <f>SUM($CC$42:$CC$45)</f>
        <v>0</v>
      </c>
      <c r="CD46" s="52">
        <f>SUM($CD$42:$CD$45)</f>
        <v>7</v>
      </c>
      <c r="CE46" s="52">
        <f>SUM($CE$42:$CE$45)</f>
        <v>0</v>
      </c>
      <c r="CF46" s="52">
        <f>SUM($CF$42:$CF$45)</f>
        <v>0</v>
      </c>
      <c r="CG46" s="52">
        <f>SUM($CG$42:$CG$45)</f>
        <v>7</v>
      </c>
      <c r="CH46" s="52">
        <f>SUM($CH$42:$CH$45)</f>
        <v>3</v>
      </c>
      <c r="CI46" s="52">
        <f>SUM($CI$42:$CI$45)</f>
        <v>0</v>
      </c>
      <c r="CJ46" s="52">
        <f>SUM($CJ$42:$CJ$45)</f>
        <v>2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13</v>
      </c>
      <c r="CP46" s="52">
        <f>SUM($BY$46,$BZ$46,$CA$46,$CB$46,$CC$46,$CD$46,$CE$46,$CF$46)</f>
        <v>18</v>
      </c>
      <c r="CQ46" s="52">
        <f>SUM($CQ$42:$CQ$45)</f>
        <v>2</v>
      </c>
      <c r="CR46" s="52">
        <f>SUM($CR$42:$CR$45)</f>
        <v>1</v>
      </c>
      <c r="CS46" s="52">
        <f>SUM($CS$42:$CS$45)</f>
        <v>1</v>
      </c>
      <c r="CT46" s="52">
        <f>SUM($CT$42:$CT$45)</f>
        <v>1</v>
      </c>
      <c r="CU46" s="52">
        <f>SUM($CU$42:$CU$45)</f>
        <v>0</v>
      </c>
      <c r="CV46" s="52">
        <f>SUM($CV$42:$CV$45)</f>
        <v>12</v>
      </c>
      <c r="CW46" s="52">
        <f>SUM($CW$42:$CW$45)</f>
        <v>0</v>
      </c>
      <c r="CX46" s="52">
        <f>SUM($CX$42:$CX$45)</f>
        <v>0</v>
      </c>
      <c r="CY46" s="52">
        <f>SUM($CY$42:$CY$45)</f>
        <v>2</v>
      </c>
      <c r="CZ46" s="52">
        <f>SUM($CZ$42:$CZ$45)</f>
        <v>1</v>
      </c>
      <c r="DA46" s="52">
        <f>SUM($DA$42:$DA$45)</f>
        <v>2</v>
      </c>
      <c r="DB46" s="52">
        <f>SUM($DB$42:$DB$45)</f>
        <v>2</v>
      </c>
      <c r="DC46" s="52">
        <f>SUM($DC$42:$DC$45)</f>
        <v>0</v>
      </c>
      <c r="DD46" s="52">
        <f>SUM($DD$42:$DD$45)</f>
        <v>2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9</v>
      </c>
      <c r="DH46" s="52">
        <f>SUM($CQ$46,$CR$46,$CS$46,$CT$46,$CU$46,$CV$46,$CW$46,$CX$46)</f>
        <v>17</v>
      </c>
    </row>
    <row r="47" spans="1:112" ht="21" customHeight="1">
      <c r="A47" s="46">
        <v>44395.291666666701</v>
      </c>
      <c r="B47" s="53" t="s">
        <v>59</v>
      </c>
      <c r="C47" s="54">
        <v>2</v>
      </c>
      <c r="D47" s="54">
        <v>0</v>
      </c>
      <c r="E47" s="54">
        <v>0</v>
      </c>
      <c r="F47" s="54">
        <v>0</v>
      </c>
      <c r="G47" s="54">
        <v>0</v>
      </c>
      <c r="H47" s="54">
        <v>1</v>
      </c>
      <c r="I47" s="54">
        <v>0</v>
      </c>
      <c r="J47" s="61">
        <v>0</v>
      </c>
      <c r="K47" s="62">
        <f>$C$47*VLOOKUP($C$11,'PCU Values'!$B$9:$C$16,2,FALSE)</f>
        <v>2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2.2000000000000002</v>
      </c>
      <c r="T47" s="52">
        <f>SUM($C$47,$D$47,$E$47,$F$47,$G$47,$H$47,$I$47,$J$47)</f>
        <v>3</v>
      </c>
      <c r="U47" s="72">
        <v>0</v>
      </c>
      <c r="V47" s="54">
        <v>0</v>
      </c>
      <c r="W47" s="54">
        <v>0</v>
      </c>
      <c r="X47" s="54">
        <v>0</v>
      </c>
      <c r="Y47" s="54">
        <v>0</v>
      </c>
      <c r="Z47" s="54">
        <v>1</v>
      </c>
      <c r="AA47" s="54">
        <v>0</v>
      </c>
      <c r="AB47" s="61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0.2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0.2</v>
      </c>
      <c r="AL47" s="52">
        <f>SUM($U$47,$V$47,$W$47,$X$47,$Y$47,$Z$47,$AA$47,$AB$47)</f>
        <v>1</v>
      </c>
      <c r="AM47" s="72">
        <v>1</v>
      </c>
      <c r="AN47" s="54">
        <v>0</v>
      </c>
      <c r="AO47" s="54">
        <v>0</v>
      </c>
      <c r="AP47" s="54">
        <v>0</v>
      </c>
      <c r="AQ47" s="54">
        <v>0</v>
      </c>
      <c r="AR47" s="54">
        <v>2</v>
      </c>
      <c r="AS47" s="54">
        <v>0</v>
      </c>
      <c r="AT47" s="61">
        <v>0</v>
      </c>
      <c r="AU47" s="62">
        <f>$AM$47*VLOOKUP($AM$11,'PCU Values'!$B$9:$C$16,2,FALSE)</f>
        <v>1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0.4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1.4</v>
      </c>
      <c r="BD47" s="52">
        <f>SUM($AM$47,$AN$47,$AO$47,$AP$47,$AQ$47,$AR$47,$AS$47,$AT$47)</f>
        <v>3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3</v>
      </c>
      <c r="BZ47" s="85">
        <f>SUM($D$47,$V$47,$AN$47,$BF$47)</f>
        <v>0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4</v>
      </c>
      <c r="CE47" s="85">
        <f>SUM($I$47,$AA$47,$AS$47,$BK$47)</f>
        <v>0</v>
      </c>
      <c r="CF47" s="88">
        <f>SUM($J$47,$AB$47,$AT$47,$BL$47)</f>
        <v>0</v>
      </c>
      <c r="CG47" s="81">
        <f>$BY$47*VLOOKUP($BY$11,'PCU Values'!$B$9:$C$16,2,FALSE)</f>
        <v>3</v>
      </c>
      <c r="CH47" s="81">
        <f>$BZ$47*VLOOKUP($BZ$11,'PCU Values'!$B$9:$C$16,2,FALSE)</f>
        <v>0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0.8</v>
      </c>
      <c r="CM47" s="81">
        <f>$CE$47*VLOOKUP($CE$11,'PCU Values'!$B$9:$C$16,2,FALSE)</f>
        <v>0</v>
      </c>
      <c r="CN47" s="82">
        <f>$CF$47*VLOOKUP($CF$11,'PCU Values'!$B$9:$C$16,2,FALSE)</f>
        <v>0</v>
      </c>
      <c r="CO47" s="71">
        <f>SUM($CG$47,$CH$47,$CI$47,$CJ$47,$CK$47,$CL$47,$CM$47,$CN$47)</f>
        <v>3.8</v>
      </c>
      <c r="CP47" s="52">
        <f>SUM($BY$47,$BZ$47,$CA$47,$CB$47,$CC$47,$CD$47,$CE$47,$CF$47)</f>
        <v>7</v>
      </c>
      <c r="CQ47" s="91">
        <f>SUM('J1 A - (North) Bishopthorpe Roa'!$C$47,'J1 B - Butcher Terrace'!$BE$47,'J1 C - (South) Bishopthorpe Roa'!$AM$47,'J1 D - South Bank Avenue'!$U$47)</f>
        <v>2</v>
      </c>
      <c r="CR47" s="85">
        <f>SUM('J1 A - (North) Bishopthorpe Roa'!$D$47,'J1 B - Butcher Terrace'!$BF$47,'J1 C - (South) Bishopthorpe Roa'!$AN$47,'J1 D - South Bank Avenue'!$V$47)</f>
        <v>0</v>
      </c>
      <c r="CS47" s="85">
        <f>SUM('J1 A - (North) Bishopthorpe Roa'!$E$47,'J1 B - Butcher Terrace'!$BG$47,'J1 C - (South) Bishopthorpe Roa'!$AO$47,'J1 D - South Bank Avenue'!$W$47)</f>
        <v>0</v>
      </c>
      <c r="CT47" s="85">
        <f>SUM('J1 A - (North) Bishopthorpe Roa'!$F$47,'J1 B - Butcher Terrace'!$BH$47,'J1 C - (South) Bishopthorpe Roa'!$AP$47,'J1 D - South Bank Avenue'!$X$47)</f>
        <v>0</v>
      </c>
      <c r="CU47" s="85">
        <f>SUM('J1 A - (North) Bishopthorpe Roa'!$G$47,'J1 B - Butcher Terrace'!$BI$47,'J1 C - (South) Bishopthorpe Roa'!$AQ$47,'J1 D - South Bank Avenue'!$Y$47)</f>
        <v>0</v>
      </c>
      <c r="CV47" s="85">
        <f>SUM('J1 A - (North) Bishopthorpe Roa'!$H$47,'J1 B - Butcher Terrace'!$BJ$47,'J1 C - (South) Bishopthorpe Roa'!$AR$47,'J1 D - South Bank Avenue'!$Z$47)</f>
        <v>5</v>
      </c>
      <c r="CW47" s="85">
        <f>SUM('J1 A - (North) Bishopthorpe Roa'!$I$47,'J1 B - Butcher Terrace'!$BK$47,'J1 C - (South) Bishopthorpe Roa'!$AS$47,'J1 D - South Bank Avenue'!$AA$47)</f>
        <v>1</v>
      </c>
      <c r="CX47" s="88">
        <f>SUM('J1 A - (North) Bishopthorpe Roa'!$J$47,'J1 B - Butcher Terrace'!$BL$47,'J1 C - (South) Bishopthorpe Roa'!$AT$47,'J1 D - South Bank Avenue'!$AB$47)</f>
        <v>0</v>
      </c>
      <c r="CY47" s="81">
        <f>$CQ$47*VLOOKUP($CQ$11,'PCU Values'!$B$9:$C$16,2,FALSE)</f>
        <v>2</v>
      </c>
      <c r="CZ47" s="81">
        <f>$CR$47*VLOOKUP($CR$11,'PCU Values'!$B$9:$C$16,2,FALSE)</f>
        <v>0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1</v>
      </c>
      <c r="DE47" s="81">
        <f>$CW$47*VLOOKUP($CW$11,'PCU Values'!$B$9:$C$16,2,FALSE)</f>
        <v>0.4</v>
      </c>
      <c r="DF47" s="82">
        <f>$CX$47*VLOOKUP($CX$11,'PCU Values'!$B$9:$C$16,2,FALSE)</f>
        <v>0</v>
      </c>
      <c r="DG47" s="71">
        <f>SUM($CY$47,$CZ$47,$DA$47,$DB$47,$DC$47,$DD$47,$DE$47,$DF$47)</f>
        <v>3.4</v>
      </c>
      <c r="DH47" s="52">
        <f>SUM($CQ$47,$CR$47,$CS$47,$CT$47,$CU$47,$CV$47,$CW$47,$CX$47)</f>
        <v>8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</v>
      </c>
      <c r="T48" s="52">
        <f>SUM($C$48,$D$48,$E$48,$F$48,$G$48,$H$48,$I$48,$J$48)</f>
        <v>0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1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0.2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0.2</v>
      </c>
      <c r="AL48" s="52">
        <f>SUM($U$48,$V$48,$W$48,$X$48,$Y$48,$Z$48,$AA$48,$AB$48)</f>
        <v>1</v>
      </c>
      <c r="AM48" s="67">
        <v>2</v>
      </c>
      <c r="AN48" s="48">
        <v>0</v>
      </c>
      <c r="AO48" s="48">
        <v>0</v>
      </c>
      <c r="AP48" s="48">
        <v>0</v>
      </c>
      <c r="AQ48" s="48">
        <v>0</v>
      </c>
      <c r="AR48" s="48">
        <v>3</v>
      </c>
      <c r="AS48" s="48">
        <v>0</v>
      </c>
      <c r="AT48" s="56">
        <v>0</v>
      </c>
      <c r="AU48" s="57">
        <f>$AM$48*VLOOKUP($AM$11,'PCU Values'!$B$9:$C$16,2,FALSE)</f>
        <v>2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0.6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2.6</v>
      </c>
      <c r="BD48" s="52">
        <f>SUM($AM$48,$AN$48,$AO$48,$AP$48,$AQ$48,$AR$48,$AS$48,$AT$48)</f>
        <v>5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2</v>
      </c>
      <c r="BZ48" s="83">
        <f>SUM($D$48,$V$48,$AN$48,$BF$48)</f>
        <v>0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4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2</v>
      </c>
      <c r="CH48" s="77">
        <f>$BZ$48*VLOOKUP($BZ$11,'PCU Values'!$B$9:$C$16,2,FALSE)</f>
        <v>0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0.8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2.8</v>
      </c>
      <c r="CP48" s="52">
        <f>SUM($BY$48,$BZ$48,$CA$48,$CB$48,$CC$48,$CD$48,$CE$48,$CF$48)</f>
        <v>6</v>
      </c>
      <c r="CQ48" s="89">
        <f>SUM('J1 A - (North) Bishopthorpe Roa'!$C$48,'J1 B - Butcher Terrace'!$BE$48,'J1 C - (South) Bishopthorpe Roa'!$AM$48,'J1 D - South Bank Avenue'!$U$48)</f>
        <v>1</v>
      </c>
      <c r="CR48" s="83">
        <f>SUM('J1 A - (North) Bishopthorpe Roa'!$D$48,'J1 B - Butcher Terrace'!$BF$48,'J1 C - (South) Bishopthorpe Roa'!$AN$48,'J1 D - South Bank Avenue'!$V$48)</f>
        <v>3</v>
      </c>
      <c r="CS48" s="83">
        <f>SUM('J1 A - (North) Bishopthorpe Roa'!$E$48,'J1 B - Butcher Terrace'!$BG$48,'J1 C - (South) Bishopthorpe Roa'!$AO$48,'J1 D - South Bank Avenue'!$W$48)</f>
        <v>0</v>
      </c>
      <c r="CT48" s="83">
        <f>SUM('J1 A - (North) Bishopthorpe Roa'!$F$48,'J1 B - Butcher Terrace'!$BH$48,'J1 C - (South) Bishopthorpe Roa'!$AP$48,'J1 D - South Bank Avenue'!$X$48)</f>
        <v>0</v>
      </c>
      <c r="CU48" s="83">
        <f>SUM('J1 A - (North) Bishopthorpe Roa'!$G$48,'J1 B - Butcher Terrace'!$BI$48,'J1 C - (South) Bishopthorpe Roa'!$AQ$48,'J1 D - South Bank Avenue'!$Y$48)</f>
        <v>0</v>
      </c>
      <c r="CV48" s="83">
        <f>SUM('J1 A - (North) Bishopthorpe Roa'!$H$48,'J1 B - Butcher Terrace'!$BJ$48,'J1 C - (South) Bishopthorpe Roa'!$AR$48,'J1 D - South Bank Avenue'!$Z$48)</f>
        <v>6</v>
      </c>
      <c r="CW48" s="83">
        <f>SUM('J1 A - (North) Bishopthorpe Roa'!$I$48,'J1 B - Butcher Terrace'!$BK$48,'J1 C - (South) Bishopthorpe Roa'!$AS$48,'J1 D - South Bank Avenue'!$AA$48)</f>
        <v>0</v>
      </c>
      <c r="CX48" s="86">
        <f>SUM('J1 A - (North) Bishopthorpe Roa'!$J$48,'J1 B - Butcher Terrace'!$BL$48,'J1 C - (South) Bishopthorpe Roa'!$AT$48,'J1 D - South Bank Avenue'!$AB$48)</f>
        <v>0</v>
      </c>
      <c r="CY48" s="77">
        <f>$CQ$48*VLOOKUP($CQ$11,'PCU Values'!$B$9:$C$16,2,FALSE)</f>
        <v>1</v>
      </c>
      <c r="CZ48" s="77">
        <f>$CR$48*VLOOKUP($CR$11,'PCU Values'!$B$9:$C$16,2,FALSE)</f>
        <v>3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1.2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5.2</v>
      </c>
      <c r="DH48" s="52">
        <f>SUM($CQ$48,$CR$48,$CS$48,$CT$48,$CU$48,$CV$48,$CW$48,$CX$48)</f>
        <v>10</v>
      </c>
    </row>
    <row r="49" spans="1:112" ht="21" customHeight="1">
      <c r="A49" s="46">
        <v>44395.3125</v>
      </c>
      <c r="B49" s="47" t="s">
        <v>61</v>
      </c>
      <c r="C49" s="48">
        <v>2</v>
      </c>
      <c r="D49" s="48">
        <v>0</v>
      </c>
      <c r="E49" s="48">
        <v>0</v>
      </c>
      <c r="F49" s="48">
        <v>0</v>
      </c>
      <c r="G49" s="48">
        <v>0</v>
      </c>
      <c r="H49" s="48">
        <v>4</v>
      </c>
      <c r="I49" s="48">
        <v>0</v>
      </c>
      <c r="J49" s="56">
        <v>0</v>
      </c>
      <c r="K49" s="57">
        <f>$C$49*VLOOKUP($C$11,'PCU Values'!$B$9:$C$16,2,FALSE)</f>
        <v>2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0.8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2.8</v>
      </c>
      <c r="T49" s="52">
        <f>SUM($C$49,$D$49,$E$49,$F$49,$G$49,$H$49,$I$49,$J$49)</f>
        <v>6</v>
      </c>
      <c r="U49" s="67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</v>
      </c>
      <c r="AA49" s="48">
        <v>0</v>
      </c>
      <c r="AB49" s="56">
        <v>0</v>
      </c>
      <c r="AC49" s="57">
        <f>$U$49*VLOOKUP($U$11,'PCU Values'!$B$9:$C$16,2,FALSE)</f>
        <v>0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0.2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0.2</v>
      </c>
      <c r="AL49" s="52">
        <f>SUM($U$49,$V$49,$W$49,$X$49,$Y$49,$Z$49,$AA$49,$AB$49)</f>
        <v>1</v>
      </c>
      <c r="AM49" s="67">
        <v>1</v>
      </c>
      <c r="AN49" s="48">
        <v>1</v>
      </c>
      <c r="AO49" s="48">
        <v>1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1</v>
      </c>
      <c r="AV49" s="57">
        <f>$AN$49*VLOOKUP($AN$11,'PCU Values'!$B$9:$C$16,2,FALSE)</f>
        <v>1</v>
      </c>
      <c r="AW49" s="57">
        <f>$AO$49*VLOOKUP($AO$11,'PCU Values'!$B$9:$C$16,2,FALSE)</f>
        <v>1.5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3.5</v>
      </c>
      <c r="BD49" s="52">
        <f>SUM($AM$49,$AN$49,$AO$49,$AP$49,$AQ$49,$AR$49,$AS$49,$AT$49)</f>
        <v>3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3</v>
      </c>
      <c r="BZ49" s="83">
        <f>SUM($D$49,$V$49,$AN$49,$BF$49)</f>
        <v>1</v>
      </c>
      <c r="CA49" s="83">
        <f>SUM($E$49,$W$49,$AO$49,$BG$49)</f>
        <v>1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5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3</v>
      </c>
      <c r="CH49" s="77">
        <f>$BZ$49*VLOOKUP($BZ$11,'PCU Values'!$B$9:$C$16,2,FALSE)</f>
        <v>1</v>
      </c>
      <c r="CI49" s="77">
        <f>$CA$49*VLOOKUP($CA$11,'PCU Values'!$B$9:$C$16,2,FALSE)</f>
        <v>1.5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1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6.5</v>
      </c>
      <c r="CP49" s="52">
        <f>SUM($BY$49,$BZ$49,$CA$49,$CB$49,$CC$49,$CD$49,$CE$49,$CF$49)</f>
        <v>10</v>
      </c>
      <c r="CQ49" s="89">
        <f>SUM('J1 A - (North) Bishopthorpe Roa'!$C$49,'J1 B - Butcher Terrace'!$BE$49,'J1 C - (South) Bishopthorpe Roa'!$AM$49,'J1 D - South Bank Avenue'!$U$49)</f>
        <v>3</v>
      </c>
      <c r="CR49" s="83">
        <f>SUM('J1 A - (North) Bishopthorpe Roa'!$D$49,'J1 B - Butcher Terrace'!$BF$49,'J1 C - (South) Bishopthorpe Roa'!$AN$49,'J1 D - South Bank Avenue'!$V$49)</f>
        <v>1</v>
      </c>
      <c r="CS49" s="83">
        <f>SUM('J1 A - (North) Bishopthorpe Roa'!$E$49,'J1 B - Butcher Terrace'!$BG$49,'J1 C - (South) Bishopthorpe Roa'!$AO$49,'J1 D - South Bank Avenue'!$W$49)</f>
        <v>0</v>
      </c>
      <c r="CT49" s="83">
        <f>SUM('J1 A - (North) Bishopthorpe Roa'!$F$49,'J1 B - Butcher Terrace'!$BH$49,'J1 C - (South) Bishopthorpe Roa'!$AP$49,'J1 D - South Bank Avenue'!$X$49)</f>
        <v>0</v>
      </c>
      <c r="CU49" s="83">
        <f>SUM('J1 A - (North) Bishopthorpe Roa'!$G$49,'J1 B - Butcher Terrace'!$BI$49,'J1 C - (South) Bishopthorpe Roa'!$AQ$49,'J1 D - South Bank Avenue'!$Y$49)</f>
        <v>0</v>
      </c>
      <c r="CV49" s="83">
        <f>SUM('J1 A - (North) Bishopthorpe Roa'!$H$49,'J1 B - Butcher Terrace'!$BJ$49,'J1 C - (South) Bishopthorpe Roa'!$AR$49,'J1 D - South Bank Avenue'!$Z$49)</f>
        <v>5</v>
      </c>
      <c r="CW49" s="83">
        <f>SUM('J1 A - (North) Bishopthorpe Roa'!$I$49,'J1 B - Butcher Terrace'!$BK$49,'J1 C - (South) Bishopthorpe Roa'!$AS$49,'J1 D - South Bank Avenue'!$AA$49)</f>
        <v>0</v>
      </c>
      <c r="CX49" s="86">
        <f>SUM('J1 A - (North) Bishopthorpe Roa'!$J$49,'J1 B - Butcher Terrace'!$BL$49,'J1 C - (South) Bishopthorpe Roa'!$AT$49,'J1 D - South Bank Avenue'!$AB$49)</f>
        <v>0</v>
      </c>
      <c r="CY49" s="77">
        <f>$CQ$49*VLOOKUP($CQ$11,'PCU Values'!$B$9:$C$16,2,FALSE)</f>
        <v>3</v>
      </c>
      <c r="CZ49" s="77">
        <f>$CR$49*VLOOKUP($CR$11,'PCU Values'!$B$9:$C$16,2,FALSE)</f>
        <v>1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1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5</v>
      </c>
      <c r="DH49" s="52">
        <f>SUM($CQ$49,$CR$49,$CS$49,$CT$49,$CU$49,$CV$49,$CW$49,$CX$49)</f>
        <v>9</v>
      </c>
    </row>
    <row r="50" spans="1:112" ht="21" customHeight="1">
      <c r="A50" s="46">
        <v>44395.322916666701</v>
      </c>
      <c r="B50" s="50" t="s">
        <v>62</v>
      </c>
      <c r="C50" s="51">
        <v>0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0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0</v>
      </c>
      <c r="T50" s="52">
        <f>SUM($C$50,$D$50,$E$50,$F$50,$G$50,$H$50,$I$50,$J$50)</f>
        <v>0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1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0.2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0.2</v>
      </c>
      <c r="AL50" s="52">
        <f>SUM($U$50,$V$50,$W$50,$X$50,$Y$50,$Z$50,$AA$50,$AB$50)</f>
        <v>1</v>
      </c>
      <c r="AM50" s="73">
        <v>4</v>
      </c>
      <c r="AN50" s="51">
        <v>0</v>
      </c>
      <c r="AO50" s="51">
        <v>0</v>
      </c>
      <c r="AP50" s="51">
        <v>0</v>
      </c>
      <c r="AQ50" s="51">
        <v>0</v>
      </c>
      <c r="AR50" s="51">
        <v>1</v>
      </c>
      <c r="AS50" s="51">
        <v>0</v>
      </c>
      <c r="AT50" s="59">
        <v>2</v>
      </c>
      <c r="AU50" s="60">
        <f>$AM$50*VLOOKUP($AM$11,'PCU Values'!$B$9:$C$16,2,FALSE)</f>
        <v>4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0.2</v>
      </c>
      <c r="BA50" s="60">
        <f>$AS$50*VLOOKUP($AS$11,'PCU Values'!$B$9:$C$16,2,FALSE)</f>
        <v>0</v>
      </c>
      <c r="BB50" s="68">
        <f>$AT$50*VLOOKUP($AT$11,'PCU Values'!$B$9:$C$16,2,FALSE)</f>
        <v>3</v>
      </c>
      <c r="BC50" s="63">
        <f>SUM($AU$50,$AV$50,$AW$50,$AX$50,$AY$50,$AZ$50,$BA$50,$BB$50)</f>
        <v>7.2</v>
      </c>
      <c r="BD50" s="52">
        <f>SUM($AM$50,$AN$50,$AO$50,$AP$50,$AQ$50,$AR$50,$AS$50,$AT$50)</f>
        <v>7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4</v>
      </c>
      <c r="BZ50" s="84">
        <f>SUM($D$50,$V$50,$AN$50,$BF$50)</f>
        <v>0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2</v>
      </c>
      <c r="CE50" s="84">
        <f>SUM($I$50,$AA$50,$AS$50,$BK$50)</f>
        <v>0</v>
      </c>
      <c r="CF50" s="87">
        <f>SUM($J$50,$AB$50,$AT$50,$BL$50)</f>
        <v>2</v>
      </c>
      <c r="CG50" s="79">
        <f>$BY$50*VLOOKUP($BY$11,'PCU Values'!$B$9:$C$16,2,FALSE)</f>
        <v>4</v>
      </c>
      <c r="CH50" s="79">
        <f>$BZ$50*VLOOKUP($BZ$11,'PCU Values'!$B$9:$C$16,2,FALSE)</f>
        <v>0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0.4</v>
      </c>
      <c r="CM50" s="79">
        <f>$CE$50*VLOOKUP($CE$11,'PCU Values'!$B$9:$C$16,2,FALSE)</f>
        <v>0</v>
      </c>
      <c r="CN50" s="80">
        <f>$CF$50*VLOOKUP($CF$11,'PCU Values'!$B$9:$C$16,2,FALSE)</f>
        <v>3</v>
      </c>
      <c r="CO50" s="63">
        <f>SUM($CG$50,$CH$50,$CI$50,$CJ$50,$CK$50,$CL$50,$CM$50,$CN$50)</f>
        <v>7.4</v>
      </c>
      <c r="CP50" s="52">
        <f>SUM($BY$50,$BZ$50,$CA$50,$CB$50,$CC$50,$CD$50,$CE$50,$CF$50)</f>
        <v>8</v>
      </c>
      <c r="CQ50" s="90">
        <f>SUM('J1 A - (North) Bishopthorpe Roa'!$C$50,'J1 B - Butcher Terrace'!$BE$50,'J1 C - (South) Bishopthorpe Roa'!$AM$50,'J1 D - South Bank Avenue'!$U$50)</f>
        <v>1</v>
      </c>
      <c r="CR50" s="84">
        <f>SUM('J1 A - (North) Bishopthorpe Roa'!$D$50,'J1 B - Butcher Terrace'!$BF$50,'J1 C - (South) Bishopthorpe Roa'!$AN$50,'J1 D - South Bank Avenue'!$V$50)</f>
        <v>1</v>
      </c>
      <c r="CS50" s="84">
        <f>SUM('J1 A - (North) Bishopthorpe Roa'!$E$50,'J1 B - Butcher Terrace'!$BG$50,'J1 C - (South) Bishopthorpe Roa'!$AO$50,'J1 D - South Bank Avenue'!$W$50)</f>
        <v>0</v>
      </c>
      <c r="CT50" s="84">
        <f>SUM('J1 A - (North) Bishopthorpe Roa'!$F$50,'J1 B - Butcher Terrace'!$BH$50,'J1 C - (South) Bishopthorpe Roa'!$AP$50,'J1 D - South Bank Avenue'!$X$50)</f>
        <v>0</v>
      </c>
      <c r="CU50" s="84">
        <f>SUM('J1 A - (North) Bishopthorpe Roa'!$G$50,'J1 B - Butcher Terrace'!$BI$50,'J1 C - (South) Bishopthorpe Roa'!$AQ$50,'J1 D - South Bank Avenue'!$Y$50)</f>
        <v>0</v>
      </c>
      <c r="CV50" s="84">
        <f>SUM('J1 A - (North) Bishopthorpe Roa'!$H$50,'J1 B - Butcher Terrace'!$BJ$50,'J1 C - (South) Bishopthorpe Roa'!$AR$50,'J1 D - South Bank Avenue'!$Z$50)</f>
        <v>10</v>
      </c>
      <c r="CW50" s="84">
        <f>SUM('J1 A - (North) Bishopthorpe Roa'!$I$50,'J1 B - Butcher Terrace'!$BK$50,'J1 C - (South) Bishopthorpe Roa'!$AS$50,'J1 D - South Bank Avenue'!$AA$50)</f>
        <v>0</v>
      </c>
      <c r="CX50" s="87">
        <f>SUM('J1 A - (North) Bishopthorpe Roa'!$J$50,'J1 B - Butcher Terrace'!$BL$50,'J1 C - (South) Bishopthorpe Roa'!$AT$50,'J1 D - South Bank Avenue'!$AB$50)</f>
        <v>0</v>
      </c>
      <c r="CY50" s="79">
        <f>$CQ$50*VLOOKUP($CQ$11,'PCU Values'!$B$9:$C$16,2,FALSE)</f>
        <v>1</v>
      </c>
      <c r="CZ50" s="79">
        <f>$CR$50*VLOOKUP($CR$11,'PCU Values'!$B$9:$C$16,2,FALSE)</f>
        <v>1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2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4</v>
      </c>
      <c r="DH50" s="52">
        <f>SUM($CQ$50,$CR$50,$CS$50,$CT$50,$CU$50,$CV$50,$CW$50,$CX$50)</f>
        <v>12</v>
      </c>
    </row>
    <row r="51" spans="1:112">
      <c r="B51" s="52" t="s">
        <v>34</v>
      </c>
      <c r="C51" s="52">
        <f>SUM($C$47:$C$50)</f>
        <v>4</v>
      </c>
      <c r="D51" s="52">
        <f>SUM($D$47:$D$50)</f>
        <v>0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5</v>
      </c>
      <c r="I51" s="52">
        <f>SUM($I$47:$I$50)</f>
        <v>0</v>
      </c>
      <c r="J51" s="52">
        <f>SUM($J$47:$J$50)</f>
        <v>0</v>
      </c>
      <c r="K51" s="52">
        <f>SUM($K$47:$K$50)</f>
        <v>4</v>
      </c>
      <c r="L51" s="52">
        <f>SUM($L$47:$L$50)</f>
        <v>0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1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5</v>
      </c>
      <c r="T51" s="52">
        <f>SUM($C$51,$D$51,$E$51,$F$51,$G$51,$H$51,$I$51,$J$51)</f>
        <v>9</v>
      </c>
      <c r="U51" s="52">
        <f>SUM($U$47:$U$50)</f>
        <v>0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4</v>
      </c>
      <c r="AA51" s="52">
        <f>SUM($AA$47:$AA$50)</f>
        <v>0</v>
      </c>
      <c r="AB51" s="52">
        <f>SUM($AB$47:$AB$50)</f>
        <v>0</v>
      </c>
      <c r="AC51" s="52">
        <f>SUM($AC$47:$AC$50)</f>
        <v>0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1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1</v>
      </c>
      <c r="AL51" s="52">
        <f>SUM($U$51,$V$51,$W$51,$X$51,$Y$51,$Z$51,$AA$51,$AB$51)</f>
        <v>4</v>
      </c>
      <c r="AM51" s="52">
        <f>SUM($AM$47:$AM$50)</f>
        <v>8</v>
      </c>
      <c r="AN51" s="52">
        <f>SUM($AN$47:$AN$50)</f>
        <v>1</v>
      </c>
      <c r="AO51" s="52">
        <f>SUM($AO$47:$AO$50)</f>
        <v>1</v>
      </c>
      <c r="AP51" s="52">
        <f>SUM($AP$47:$AP$50)</f>
        <v>0</v>
      </c>
      <c r="AQ51" s="52">
        <f>SUM($AQ$47:$AQ$50)</f>
        <v>0</v>
      </c>
      <c r="AR51" s="52">
        <f>SUM($AR$47:$AR$50)</f>
        <v>6</v>
      </c>
      <c r="AS51" s="52">
        <f>SUM($AS$47:$AS$50)</f>
        <v>0</v>
      </c>
      <c r="AT51" s="52">
        <f>SUM($AT$47:$AT$50)</f>
        <v>2</v>
      </c>
      <c r="AU51" s="52">
        <f>SUM($AU$47:$AU$50)</f>
        <v>8</v>
      </c>
      <c r="AV51" s="52">
        <f>SUM($AV$47:$AV$50)</f>
        <v>1</v>
      </c>
      <c r="AW51" s="52">
        <f>SUM($AW$47:$AW$50)</f>
        <v>2</v>
      </c>
      <c r="AX51" s="52">
        <f>SUM($AX$47:$AX$50)</f>
        <v>0</v>
      </c>
      <c r="AY51" s="52">
        <f>SUM($AY$47:$AY$50)</f>
        <v>0</v>
      </c>
      <c r="AZ51" s="52">
        <f>SUM($AZ$47:$AZ$50)</f>
        <v>1</v>
      </c>
      <c r="BA51" s="52">
        <f>SUM($BA$47:$BA$50)</f>
        <v>0</v>
      </c>
      <c r="BB51" s="52">
        <f>SUM($BB$47:$BB$50)</f>
        <v>3</v>
      </c>
      <c r="BC51" s="52">
        <f>SUM($AU$51,$AV$51,$AW$51,$AX$51,$AY$51,$AZ$51,$BA$51,$BB$51)</f>
        <v>15</v>
      </c>
      <c r="BD51" s="52">
        <f>SUM($AM$51,$AN$51,$AO$51,$AP$51,$AQ$51,$AR$51,$AS$51,$AT$51)</f>
        <v>18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12</v>
      </c>
      <c r="BZ51" s="52">
        <f>SUM($BZ$47:$BZ$50)</f>
        <v>1</v>
      </c>
      <c r="CA51" s="52">
        <f>SUM($CA$47:$CA$50)</f>
        <v>1</v>
      </c>
      <c r="CB51" s="52">
        <f>SUM($CB$47:$CB$50)</f>
        <v>0</v>
      </c>
      <c r="CC51" s="52">
        <f>SUM($CC$47:$CC$50)</f>
        <v>0</v>
      </c>
      <c r="CD51" s="52">
        <f>SUM($CD$47:$CD$50)</f>
        <v>15</v>
      </c>
      <c r="CE51" s="52">
        <f>SUM($CE$47:$CE$50)</f>
        <v>0</v>
      </c>
      <c r="CF51" s="52">
        <f>SUM($CF$47:$CF$50)</f>
        <v>2</v>
      </c>
      <c r="CG51" s="52">
        <f>SUM($CG$47:$CG$50)</f>
        <v>12</v>
      </c>
      <c r="CH51" s="52">
        <f>SUM($CH$47:$CH$50)</f>
        <v>1</v>
      </c>
      <c r="CI51" s="52">
        <f>SUM($CI$47:$CI$50)</f>
        <v>2</v>
      </c>
      <c r="CJ51" s="52">
        <f>SUM($CJ$47:$CJ$50)</f>
        <v>0</v>
      </c>
      <c r="CK51" s="52">
        <f>SUM($CK$47:$CK$50)</f>
        <v>0</v>
      </c>
      <c r="CL51" s="52">
        <f>SUM($CL$47:$CL$50)</f>
        <v>3</v>
      </c>
      <c r="CM51" s="52">
        <f>SUM($CM$47:$CM$50)</f>
        <v>0</v>
      </c>
      <c r="CN51" s="52">
        <f>SUM($CN$47:$CN$50)</f>
        <v>3</v>
      </c>
      <c r="CO51" s="52">
        <f>SUM($CG$51,$CH$51,$CI$51,$CJ$51,$CK$51,$CL$51,$CM$51,$CN$51)</f>
        <v>21</v>
      </c>
      <c r="CP51" s="52">
        <f>SUM($BY$51,$BZ$51,$CA$51,$CB$51,$CC$51,$CD$51,$CE$51,$CF$51)</f>
        <v>31</v>
      </c>
      <c r="CQ51" s="52">
        <f>SUM($CQ$47:$CQ$50)</f>
        <v>7</v>
      </c>
      <c r="CR51" s="52">
        <f>SUM($CR$47:$CR$50)</f>
        <v>5</v>
      </c>
      <c r="CS51" s="52">
        <f>SUM($CS$47:$CS$50)</f>
        <v>0</v>
      </c>
      <c r="CT51" s="52">
        <f>SUM($CT$47:$CT$50)</f>
        <v>0</v>
      </c>
      <c r="CU51" s="52">
        <f>SUM($CU$47:$CU$50)</f>
        <v>0</v>
      </c>
      <c r="CV51" s="52">
        <f>SUM($CV$47:$CV$50)</f>
        <v>26</v>
      </c>
      <c r="CW51" s="52">
        <f>SUM($CW$47:$CW$50)</f>
        <v>1</v>
      </c>
      <c r="CX51" s="52">
        <f>SUM($CX$47:$CX$50)</f>
        <v>0</v>
      </c>
      <c r="CY51" s="52">
        <f>SUM($CY$47:$CY$50)</f>
        <v>7</v>
      </c>
      <c r="CZ51" s="52">
        <f>SUM($CZ$47:$CZ$50)</f>
        <v>5</v>
      </c>
      <c r="DA51" s="52">
        <f>SUM($DA$47:$DA$50)</f>
        <v>0</v>
      </c>
      <c r="DB51" s="52">
        <f>SUM($DB$47:$DB$50)</f>
        <v>0</v>
      </c>
      <c r="DC51" s="52">
        <f>SUM($DC$47:$DC$50)</f>
        <v>0</v>
      </c>
      <c r="DD51" s="52">
        <f>SUM($DD$47:$DD$50)</f>
        <v>5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17</v>
      </c>
      <c r="DH51" s="52">
        <f>SUM($CQ$51,$CR$51,$CS$51,$CT$51,$CU$51,$CV$51,$CW$51,$CX$51)</f>
        <v>39</v>
      </c>
    </row>
    <row r="52" spans="1:112" ht="21" customHeight="1">
      <c r="A52" s="46">
        <v>44395.333333333299</v>
      </c>
      <c r="B52" s="53" t="s">
        <v>63</v>
      </c>
      <c r="C52" s="54">
        <v>1</v>
      </c>
      <c r="D52" s="54">
        <v>1</v>
      </c>
      <c r="E52" s="54">
        <v>0</v>
      </c>
      <c r="F52" s="54">
        <v>0</v>
      </c>
      <c r="G52" s="54">
        <v>0</v>
      </c>
      <c r="H52" s="54">
        <v>2</v>
      </c>
      <c r="I52" s="54">
        <v>0</v>
      </c>
      <c r="J52" s="61">
        <v>0</v>
      </c>
      <c r="K52" s="62">
        <f>$C$52*VLOOKUP($C$11,'PCU Values'!$B$9:$C$16,2,FALSE)</f>
        <v>1</v>
      </c>
      <c r="L52" s="62">
        <f>$D$52*VLOOKUP($D$11,'PCU Values'!$B$9:$C$16,2,FALSE)</f>
        <v>1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0.4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2.4</v>
      </c>
      <c r="T52" s="52">
        <f>SUM($C$52,$D$52,$E$52,$F$52,$G$52,$H$52,$I$52,$J$52)</f>
        <v>4</v>
      </c>
      <c r="U52" s="74">
        <v>1</v>
      </c>
      <c r="V52" s="75">
        <v>0</v>
      </c>
      <c r="W52" s="54">
        <v>0</v>
      </c>
      <c r="X52" s="54">
        <v>0</v>
      </c>
      <c r="Y52" s="75">
        <v>0</v>
      </c>
      <c r="Z52" s="75">
        <v>1</v>
      </c>
      <c r="AA52" s="54">
        <v>0</v>
      </c>
      <c r="AB52" s="61">
        <v>0</v>
      </c>
      <c r="AC52" s="62">
        <f>$U$52*VLOOKUP($U$11,'PCU Values'!$B$9:$C$16,2,FALSE)</f>
        <v>1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0.2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1.2</v>
      </c>
      <c r="AL52" s="52">
        <f>SUM($U$52,$V$52,$W$52,$X$52,$Y$52,$Z$52,$AA$52,$AB$52)</f>
        <v>2</v>
      </c>
      <c r="AM52" s="72">
        <v>3</v>
      </c>
      <c r="AN52" s="54">
        <v>2</v>
      </c>
      <c r="AO52" s="54">
        <v>0</v>
      </c>
      <c r="AP52" s="54">
        <v>0</v>
      </c>
      <c r="AQ52" s="54">
        <v>0</v>
      </c>
      <c r="AR52" s="54">
        <v>5</v>
      </c>
      <c r="AS52" s="54">
        <v>0</v>
      </c>
      <c r="AT52" s="61">
        <v>0</v>
      </c>
      <c r="AU52" s="62">
        <f>$AM$52*VLOOKUP($AM$11,'PCU Values'!$B$9:$C$16,2,FALSE)</f>
        <v>3</v>
      </c>
      <c r="AV52" s="62">
        <f>$AN$52*VLOOKUP($AN$11,'PCU Values'!$B$9:$C$16,2,FALSE)</f>
        <v>2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1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6</v>
      </c>
      <c r="BD52" s="52">
        <f>SUM($AM$52,$AN$52,$AO$52,$AP$52,$AQ$52,$AR$52,$AS$52,$AT$52)</f>
        <v>10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5</v>
      </c>
      <c r="BZ52" s="85">
        <f>SUM($D$52,$V$52,$AN$52,$BF$52)</f>
        <v>3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8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5</v>
      </c>
      <c r="CH52" s="81">
        <f>$BZ$52*VLOOKUP($BZ$11,'PCU Values'!$B$9:$C$16,2,FALSE)</f>
        <v>3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1.6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9.6</v>
      </c>
      <c r="CP52" s="52">
        <f>SUM($BY$52,$BZ$52,$CA$52,$CB$52,$CC$52,$CD$52,$CE$52,$CF$52)</f>
        <v>16</v>
      </c>
      <c r="CQ52" s="91">
        <f>SUM('J1 A - (North) Bishopthorpe Roa'!$C$52,'J1 B - Butcher Terrace'!$BE$52,'J1 C - (South) Bishopthorpe Roa'!$AM$52,'J1 D - South Bank Avenue'!$U$52)</f>
        <v>4</v>
      </c>
      <c r="CR52" s="85">
        <f>SUM('J1 A - (North) Bishopthorpe Roa'!$D$52,'J1 B - Butcher Terrace'!$BF$52,'J1 C - (South) Bishopthorpe Roa'!$AN$52,'J1 D - South Bank Avenue'!$V$52)</f>
        <v>1</v>
      </c>
      <c r="CS52" s="85">
        <f>SUM('J1 A - (North) Bishopthorpe Roa'!$E$52,'J1 B - Butcher Terrace'!$BG$52,'J1 C - (South) Bishopthorpe Roa'!$AO$52,'J1 D - South Bank Avenue'!$W$52)</f>
        <v>0</v>
      </c>
      <c r="CT52" s="85">
        <f>SUM('J1 A - (North) Bishopthorpe Roa'!$F$52,'J1 B - Butcher Terrace'!$BH$52,'J1 C - (South) Bishopthorpe Roa'!$AP$52,'J1 D - South Bank Avenue'!$X$52)</f>
        <v>0</v>
      </c>
      <c r="CU52" s="85">
        <f>SUM('J1 A - (North) Bishopthorpe Roa'!$G$52,'J1 B - Butcher Terrace'!$BI$52,'J1 C - (South) Bishopthorpe Roa'!$AQ$52,'J1 D - South Bank Avenue'!$Y$52)</f>
        <v>0</v>
      </c>
      <c r="CV52" s="85">
        <f>SUM('J1 A - (North) Bishopthorpe Roa'!$H$52,'J1 B - Butcher Terrace'!$BJ$52,'J1 C - (South) Bishopthorpe Roa'!$AR$52,'J1 D - South Bank Avenue'!$Z$52)</f>
        <v>12</v>
      </c>
      <c r="CW52" s="85">
        <f>SUM('J1 A - (North) Bishopthorpe Roa'!$I$52,'J1 B - Butcher Terrace'!$BK$52,'J1 C - (South) Bishopthorpe Roa'!$AS$52,'J1 D - South Bank Avenue'!$AA$52)</f>
        <v>0</v>
      </c>
      <c r="CX52" s="88">
        <f>SUM('J1 A - (North) Bishopthorpe Roa'!$J$52,'J1 B - Butcher Terrace'!$BL$52,'J1 C - (South) Bishopthorpe Roa'!$AT$52,'J1 D - South Bank Avenue'!$AB$52)</f>
        <v>0</v>
      </c>
      <c r="CY52" s="81">
        <f>$CQ$52*VLOOKUP($CQ$11,'PCU Values'!$B$9:$C$16,2,FALSE)</f>
        <v>4</v>
      </c>
      <c r="CZ52" s="81">
        <f>$CR$52*VLOOKUP($CR$11,'PCU Values'!$B$9:$C$16,2,FALSE)</f>
        <v>1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2.4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7.4</v>
      </c>
      <c r="DH52" s="52">
        <f>SUM($CQ$52,$CR$52,$CS$52,$CT$52,$CU$52,$CV$52,$CW$52,$CX$52)</f>
        <v>17</v>
      </c>
    </row>
    <row r="53" spans="1:112" ht="21" customHeight="1">
      <c r="A53" s="46">
        <v>44395.34375</v>
      </c>
      <c r="B53" s="47" t="s">
        <v>64</v>
      </c>
      <c r="C53" s="48">
        <v>1</v>
      </c>
      <c r="D53" s="48">
        <v>2</v>
      </c>
      <c r="E53" s="48">
        <v>0</v>
      </c>
      <c r="F53" s="48">
        <v>0</v>
      </c>
      <c r="G53" s="48">
        <v>0</v>
      </c>
      <c r="H53" s="48">
        <v>1</v>
      </c>
      <c r="I53" s="48">
        <v>0</v>
      </c>
      <c r="J53" s="56">
        <v>0</v>
      </c>
      <c r="K53" s="57">
        <f>$C$53*VLOOKUP($C$11,'PCU Values'!$B$9:$C$16,2,FALSE)</f>
        <v>1</v>
      </c>
      <c r="L53" s="57">
        <f>$D$53*VLOOKUP($D$11,'PCU Values'!$B$9:$C$16,2,FALSE)</f>
        <v>2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0.2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3.2</v>
      </c>
      <c r="T53" s="52">
        <f>SUM($C$53,$D$53,$E$53,$F$53,$G$53,$H$53,$I$53,$J$53)</f>
        <v>4</v>
      </c>
      <c r="U53" s="67">
        <v>1</v>
      </c>
      <c r="V53" s="49">
        <v>0</v>
      </c>
      <c r="W53" s="48">
        <v>0</v>
      </c>
      <c r="X53" s="48">
        <v>0</v>
      </c>
      <c r="Y53" s="49">
        <v>0</v>
      </c>
      <c r="Z53" s="49">
        <v>2</v>
      </c>
      <c r="AA53" s="48">
        <v>0</v>
      </c>
      <c r="AB53" s="56">
        <v>0</v>
      </c>
      <c r="AC53" s="57">
        <f>$U$53*VLOOKUP($U$11,'PCU Values'!$B$9:$C$16,2,FALSE)</f>
        <v>1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0.4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1.4</v>
      </c>
      <c r="AL53" s="52">
        <f>SUM($U$53,$V$53,$W$53,$X$53,$Y$53,$Z$53,$AA$53,$AB$53)</f>
        <v>3</v>
      </c>
      <c r="AM53" s="67">
        <v>2</v>
      </c>
      <c r="AN53" s="48">
        <v>0</v>
      </c>
      <c r="AO53" s="48">
        <v>0</v>
      </c>
      <c r="AP53" s="48">
        <v>0</v>
      </c>
      <c r="AQ53" s="48">
        <v>0</v>
      </c>
      <c r="AR53" s="48">
        <v>1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0.2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2.2000000000000002</v>
      </c>
      <c r="BD53" s="52">
        <f>SUM($AM$53,$AN$53,$AO$53,$AP$53,$AQ$53,$AR$53,$AS$53,$AT$53)</f>
        <v>3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4</v>
      </c>
      <c r="BZ53" s="83">
        <f>SUM($D$53,$V$53,$AN$53,$BF$53)</f>
        <v>2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4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4</v>
      </c>
      <c r="CH53" s="77">
        <f>$BZ$53*VLOOKUP($BZ$11,'PCU Values'!$B$9:$C$16,2,FALSE)</f>
        <v>2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0.8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6.8</v>
      </c>
      <c r="CP53" s="52">
        <f>SUM($BY$53,$BZ$53,$CA$53,$CB$53,$CC$53,$CD$53,$CE$53,$CF$53)</f>
        <v>10</v>
      </c>
      <c r="CQ53" s="89">
        <f>SUM('J1 A - (North) Bishopthorpe Roa'!$C$53,'J1 B - Butcher Terrace'!$BE$53,'J1 C - (South) Bishopthorpe Roa'!$AM$53,'J1 D - South Bank Avenue'!$U$53)</f>
        <v>2</v>
      </c>
      <c r="CR53" s="83">
        <f>SUM('J1 A - (North) Bishopthorpe Roa'!$D$53,'J1 B - Butcher Terrace'!$BF$53,'J1 C - (South) Bishopthorpe Roa'!$AN$53,'J1 D - South Bank Avenue'!$V$53)</f>
        <v>0</v>
      </c>
      <c r="CS53" s="83">
        <f>SUM('J1 A - (North) Bishopthorpe Roa'!$E$53,'J1 B - Butcher Terrace'!$BG$53,'J1 C - (South) Bishopthorpe Roa'!$AO$53,'J1 D - South Bank Avenue'!$W$53)</f>
        <v>0</v>
      </c>
      <c r="CT53" s="83">
        <f>SUM('J1 A - (North) Bishopthorpe Roa'!$F$53,'J1 B - Butcher Terrace'!$BH$53,'J1 C - (South) Bishopthorpe Roa'!$AP$53,'J1 D - South Bank Avenue'!$X$53)</f>
        <v>0</v>
      </c>
      <c r="CU53" s="83">
        <f>SUM('J1 A - (North) Bishopthorpe Roa'!$G$53,'J1 B - Butcher Terrace'!$BI$53,'J1 C - (South) Bishopthorpe Roa'!$AQ$53,'J1 D - South Bank Avenue'!$Y$53)</f>
        <v>0</v>
      </c>
      <c r="CV53" s="83">
        <f>SUM('J1 A - (North) Bishopthorpe Roa'!$H$53,'J1 B - Butcher Terrace'!$BJ$53,'J1 C - (South) Bishopthorpe Roa'!$AR$53,'J1 D - South Bank Avenue'!$Z$53)</f>
        <v>20</v>
      </c>
      <c r="CW53" s="83">
        <f>SUM('J1 A - (North) Bishopthorpe Roa'!$I$53,'J1 B - Butcher Terrace'!$BK$53,'J1 C - (South) Bishopthorpe Roa'!$AS$53,'J1 D - South Bank Avenue'!$AA$53)</f>
        <v>0</v>
      </c>
      <c r="CX53" s="86">
        <f>SUM('J1 A - (North) Bishopthorpe Roa'!$J$53,'J1 B - Butcher Terrace'!$BL$53,'J1 C - (South) Bishopthorpe Roa'!$AT$53,'J1 D - South Bank Avenue'!$AB$53)</f>
        <v>0</v>
      </c>
      <c r="CY53" s="77">
        <f>$CQ$53*VLOOKUP($CQ$11,'PCU Values'!$B$9:$C$16,2,FALSE)</f>
        <v>2</v>
      </c>
      <c r="CZ53" s="77">
        <f>$CR$53*VLOOKUP($CR$11,'PCU Values'!$B$9:$C$16,2,FALSE)</f>
        <v>0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4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6</v>
      </c>
      <c r="DH53" s="52">
        <f>SUM($CQ$53,$CR$53,$CS$53,$CT$53,$CU$53,$CV$53,$CW$53,$CX$53)</f>
        <v>22</v>
      </c>
    </row>
    <row r="54" spans="1:112" ht="21" customHeight="1">
      <c r="A54" s="46">
        <v>44395.354166666701</v>
      </c>
      <c r="B54" s="47" t="s">
        <v>65</v>
      </c>
      <c r="C54" s="48">
        <v>2</v>
      </c>
      <c r="D54" s="48">
        <v>1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2</v>
      </c>
      <c r="K54" s="57">
        <f>$C$54*VLOOKUP($C$11,'PCU Values'!$B$9:$C$16,2,FALSE)</f>
        <v>2</v>
      </c>
      <c r="L54" s="57">
        <f>$D$54*VLOOKUP($D$11,'PCU Values'!$B$9:$C$16,2,FALSE)</f>
        <v>1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3</v>
      </c>
      <c r="S54" s="66">
        <f>SUM($K$54,$L$54,$M$54,$N$54,$O$54,$P$54,$Q$54,$R$54)</f>
        <v>6</v>
      </c>
      <c r="T54" s="52">
        <f>SUM($C$54,$D$54,$E$54,$F$54,$G$54,$H$54,$I$54,$J$54)</f>
        <v>5</v>
      </c>
      <c r="U54" s="67">
        <v>0</v>
      </c>
      <c r="V54" s="48">
        <v>0</v>
      </c>
      <c r="W54" s="48">
        <v>0</v>
      </c>
      <c r="X54" s="48">
        <v>0</v>
      </c>
      <c r="Y54" s="48">
        <v>0</v>
      </c>
      <c r="Z54" s="48">
        <v>8</v>
      </c>
      <c r="AA54" s="48">
        <v>0</v>
      </c>
      <c r="AB54" s="56">
        <v>0</v>
      </c>
      <c r="AC54" s="57">
        <f>$U$54*VLOOKUP($U$11,'PCU Values'!$B$9:$C$16,2,FALSE)</f>
        <v>0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1.6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1.6</v>
      </c>
      <c r="AL54" s="52">
        <f>SUM($U$54,$V$54,$W$54,$X$54,$Y$54,$Z$54,$AA$54,$AB$54)</f>
        <v>8</v>
      </c>
      <c r="AM54" s="76">
        <v>1</v>
      </c>
      <c r="AN54" s="49">
        <v>0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2</v>
      </c>
      <c r="AU54" s="57">
        <f>$AM$54*VLOOKUP($AM$11,'PCU Values'!$B$9:$C$16,2,FALSE)</f>
        <v>1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3</v>
      </c>
      <c r="BC54" s="66">
        <f>SUM($AU$54,$AV$54,$AW$54,$AX$54,$AY$54,$AZ$54,$BA$54,$BB$54)</f>
        <v>4</v>
      </c>
      <c r="BD54" s="52">
        <f>SUM($AM$54,$AN$54,$AO$54,$AP$54,$AQ$54,$AR$54,$AS$54,$AT$54)</f>
        <v>3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3</v>
      </c>
      <c r="BZ54" s="83">
        <f>SUM($D$54,$V$54,$AN$54,$BF$54)</f>
        <v>1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8</v>
      </c>
      <c r="CE54" s="83">
        <f>SUM($I$54,$AA$54,$AS$54,$BK$54)</f>
        <v>0</v>
      </c>
      <c r="CF54" s="86">
        <f>SUM($J$54,$AB$54,$AT$54,$BL$54)</f>
        <v>4</v>
      </c>
      <c r="CG54" s="77">
        <f>$BY$54*VLOOKUP($BY$11,'PCU Values'!$B$9:$C$16,2,FALSE)</f>
        <v>3</v>
      </c>
      <c r="CH54" s="77">
        <f>$BZ$54*VLOOKUP($BZ$11,'PCU Values'!$B$9:$C$16,2,FALSE)</f>
        <v>1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1.6</v>
      </c>
      <c r="CM54" s="77">
        <f>$CE$54*VLOOKUP($CE$11,'PCU Values'!$B$9:$C$16,2,FALSE)</f>
        <v>0</v>
      </c>
      <c r="CN54" s="78">
        <f>$CF$54*VLOOKUP($CF$11,'PCU Values'!$B$9:$C$16,2,FALSE)</f>
        <v>6</v>
      </c>
      <c r="CO54" s="66">
        <f>SUM($CG$54,$CH$54,$CI$54,$CJ$54,$CK$54,$CL$54,$CM$54,$CN$54)</f>
        <v>11.6</v>
      </c>
      <c r="CP54" s="52">
        <f>SUM($BY$54,$BZ$54,$CA$54,$CB$54,$CC$54,$CD$54,$CE$54,$CF$54)</f>
        <v>16</v>
      </c>
      <c r="CQ54" s="89">
        <f>SUM('J1 A - (North) Bishopthorpe Roa'!$C$54,'J1 B - Butcher Terrace'!$BE$54,'J1 C - (South) Bishopthorpe Roa'!$AM$54,'J1 D - South Bank Avenue'!$U$54)</f>
        <v>2</v>
      </c>
      <c r="CR54" s="83">
        <f>SUM('J1 A - (North) Bishopthorpe Roa'!$D$54,'J1 B - Butcher Terrace'!$BF$54,'J1 C - (South) Bishopthorpe Roa'!$AN$54,'J1 D - South Bank Avenue'!$V$54)</f>
        <v>0</v>
      </c>
      <c r="CS54" s="83">
        <f>SUM('J1 A - (North) Bishopthorpe Roa'!$E$54,'J1 B - Butcher Terrace'!$BG$54,'J1 C - (South) Bishopthorpe Roa'!$AO$54,'J1 D - South Bank Avenue'!$W$54)</f>
        <v>1</v>
      </c>
      <c r="CT54" s="83">
        <f>SUM('J1 A - (North) Bishopthorpe Roa'!$F$54,'J1 B - Butcher Terrace'!$BH$54,'J1 C - (South) Bishopthorpe Roa'!$AP$54,'J1 D - South Bank Avenue'!$X$54)</f>
        <v>0</v>
      </c>
      <c r="CU54" s="83">
        <f>SUM('J1 A - (North) Bishopthorpe Roa'!$G$54,'J1 B - Butcher Terrace'!$BI$54,'J1 C - (South) Bishopthorpe Roa'!$AQ$54,'J1 D - South Bank Avenue'!$Y$54)</f>
        <v>0</v>
      </c>
      <c r="CV54" s="83">
        <f>SUM('J1 A - (North) Bishopthorpe Roa'!$H$54,'J1 B - Butcher Terrace'!$BJ$54,'J1 C - (South) Bishopthorpe Roa'!$AR$54,'J1 D - South Bank Avenue'!$Z$54)</f>
        <v>14</v>
      </c>
      <c r="CW54" s="83">
        <f>SUM('J1 A - (North) Bishopthorpe Roa'!$I$54,'J1 B - Butcher Terrace'!$BK$54,'J1 C - (South) Bishopthorpe Roa'!$AS$54,'J1 D - South Bank Avenue'!$AA$54)</f>
        <v>0</v>
      </c>
      <c r="CX54" s="86">
        <f>SUM('J1 A - (North) Bishopthorpe Roa'!$J$54,'J1 B - Butcher Terrace'!$BL$54,'J1 C - (South) Bishopthorpe Roa'!$AT$54,'J1 D - South Bank Avenue'!$AB$54)</f>
        <v>0</v>
      </c>
      <c r="CY54" s="77">
        <f>$CQ$54*VLOOKUP($CQ$11,'PCU Values'!$B$9:$C$16,2,FALSE)</f>
        <v>2</v>
      </c>
      <c r="CZ54" s="77">
        <f>$CR$54*VLOOKUP($CR$11,'PCU Values'!$B$9:$C$16,2,FALSE)</f>
        <v>0</v>
      </c>
      <c r="DA54" s="77">
        <f>$CS$54*VLOOKUP($CS$11,'PCU Values'!$B$9:$C$16,2,FALSE)</f>
        <v>1.5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2.8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6.3</v>
      </c>
      <c r="DH54" s="52">
        <f>SUM($CQ$54,$CR$54,$CS$54,$CT$54,$CU$54,$CV$54,$CW$54,$CX$54)</f>
        <v>17</v>
      </c>
    </row>
    <row r="55" spans="1:112" ht="21" customHeight="1">
      <c r="A55" s="46">
        <v>44395.364583333299</v>
      </c>
      <c r="B55" s="50" t="s">
        <v>66</v>
      </c>
      <c r="C55" s="55">
        <v>1</v>
      </c>
      <c r="D55" s="55">
        <v>1</v>
      </c>
      <c r="E55" s="51">
        <v>0</v>
      </c>
      <c r="F55" s="51">
        <v>0</v>
      </c>
      <c r="G55" s="51">
        <v>0</v>
      </c>
      <c r="H55" s="55">
        <v>1</v>
      </c>
      <c r="I55" s="51">
        <v>0</v>
      </c>
      <c r="J55" s="59">
        <v>0</v>
      </c>
      <c r="K55" s="60">
        <f>$C$55*VLOOKUP($C$11,'PCU Values'!$B$9:$C$16,2,FALSE)</f>
        <v>1</v>
      </c>
      <c r="L55" s="60">
        <f>$D$55*VLOOKUP($D$11,'PCU Values'!$B$9:$C$16,2,FALSE)</f>
        <v>1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0.2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2.2000000000000002</v>
      </c>
      <c r="T55" s="52">
        <f>SUM($C$55,$D$55,$E$55,$F$55,$G$55,$H$55,$I$55,$J$55)</f>
        <v>3</v>
      </c>
      <c r="U55" s="73">
        <v>0</v>
      </c>
      <c r="V55" s="51">
        <v>0</v>
      </c>
      <c r="W55" s="51">
        <v>0</v>
      </c>
      <c r="X55" s="51">
        <v>0</v>
      </c>
      <c r="Y55" s="51">
        <v>0</v>
      </c>
      <c r="Z55" s="51">
        <v>2</v>
      </c>
      <c r="AA55" s="51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0.4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0.4</v>
      </c>
      <c r="AL55" s="52">
        <f>SUM($U$55,$V$55,$W$55,$X$55,$Y$55,$Z$55,$AA$55,$AB$55)</f>
        <v>2</v>
      </c>
      <c r="AM55" s="73">
        <v>2</v>
      </c>
      <c r="AN55" s="51">
        <v>1</v>
      </c>
      <c r="AO55" s="51">
        <v>0</v>
      </c>
      <c r="AP55" s="51">
        <v>0</v>
      </c>
      <c r="AQ55" s="51">
        <v>0</v>
      </c>
      <c r="AR55" s="51">
        <v>3</v>
      </c>
      <c r="AS55" s="51">
        <v>0</v>
      </c>
      <c r="AT55" s="59">
        <v>0</v>
      </c>
      <c r="AU55" s="60">
        <f>$AM$55*VLOOKUP($AM$11,'PCU Values'!$B$9:$C$16,2,FALSE)</f>
        <v>2</v>
      </c>
      <c r="AV55" s="60">
        <f>$AN$55*VLOOKUP($AN$11,'PCU Values'!$B$9:$C$16,2,FALSE)</f>
        <v>1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0.6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3.6</v>
      </c>
      <c r="BD55" s="52">
        <f>SUM($AM$55,$AN$55,$AO$55,$AP$55,$AQ$55,$AR$55,$AS$55,$AT$55)</f>
        <v>6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3</v>
      </c>
      <c r="BZ55" s="84">
        <f>SUM($D$55,$V$55,$AN$55,$BF$55)</f>
        <v>2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6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3</v>
      </c>
      <c r="CH55" s="79">
        <f>$BZ$55*VLOOKUP($BZ$11,'PCU Values'!$B$9:$C$16,2,FALSE)</f>
        <v>2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1.2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6.2</v>
      </c>
      <c r="CP55" s="52">
        <f>SUM($BY$55,$BZ$55,$CA$55,$CB$55,$CC$55,$CD$55,$CE$55,$CF$55)</f>
        <v>11</v>
      </c>
      <c r="CQ55" s="90">
        <f>SUM('J1 A - (North) Bishopthorpe Roa'!$C$55,'J1 B - Butcher Terrace'!$BE$55,'J1 C - (South) Bishopthorpe Roa'!$AM$55,'J1 D - South Bank Avenue'!$U$55)</f>
        <v>1</v>
      </c>
      <c r="CR55" s="84">
        <f>SUM('J1 A - (North) Bishopthorpe Roa'!$D$55,'J1 B - Butcher Terrace'!$BF$55,'J1 C - (South) Bishopthorpe Roa'!$AN$55,'J1 D - South Bank Avenue'!$V$55)</f>
        <v>0</v>
      </c>
      <c r="CS55" s="84">
        <f>SUM('J1 A - (North) Bishopthorpe Roa'!$E$55,'J1 B - Butcher Terrace'!$BG$55,'J1 C - (South) Bishopthorpe Roa'!$AO$55,'J1 D - South Bank Avenue'!$W$55)</f>
        <v>0</v>
      </c>
      <c r="CT55" s="84">
        <f>SUM('J1 A - (North) Bishopthorpe Roa'!$F$55,'J1 B - Butcher Terrace'!$BH$55,'J1 C - (South) Bishopthorpe Roa'!$AP$55,'J1 D - South Bank Avenue'!$X$55)</f>
        <v>0</v>
      </c>
      <c r="CU55" s="84">
        <f>SUM('J1 A - (North) Bishopthorpe Roa'!$G$55,'J1 B - Butcher Terrace'!$BI$55,'J1 C - (South) Bishopthorpe Roa'!$AQ$55,'J1 D - South Bank Avenue'!$Y$55)</f>
        <v>0</v>
      </c>
      <c r="CV55" s="84">
        <f>SUM('J1 A - (North) Bishopthorpe Roa'!$H$55,'J1 B - Butcher Terrace'!$BJ$55,'J1 C - (South) Bishopthorpe Roa'!$AR$55,'J1 D - South Bank Avenue'!$Z$55)</f>
        <v>12</v>
      </c>
      <c r="CW55" s="84">
        <f>SUM('J1 A - (North) Bishopthorpe Roa'!$I$55,'J1 B - Butcher Terrace'!$BK$55,'J1 C - (South) Bishopthorpe Roa'!$AS$55,'J1 D - South Bank Avenue'!$AA$55)</f>
        <v>0</v>
      </c>
      <c r="CX55" s="87">
        <f>SUM('J1 A - (North) Bishopthorpe Roa'!$J$55,'J1 B - Butcher Terrace'!$BL$55,'J1 C - (South) Bishopthorpe Roa'!$AT$55,'J1 D - South Bank Avenue'!$AB$55)</f>
        <v>0</v>
      </c>
      <c r="CY55" s="79">
        <f>$CQ$55*VLOOKUP($CQ$11,'PCU Values'!$B$9:$C$16,2,FALSE)</f>
        <v>1</v>
      </c>
      <c r="CZ55" s="79">
        <f>$CR$55*VLOOKUP($CR$11,'PCU Values'!$B$9:$C$16,2,FALSE)</f>
        <v>0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2.4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3.4</v>
      </c>
      <c r="DH55" s="52">
        <f>SUM($CQ$55,$CR$55,$CS$55,$CT$55,$CU$55,$CV$55,$CW$55,$CX$55)</f>
        <v>13</v>
      </c>
    </row>
    <row r="56" spans="1:112">
      <c r="B56" s="52" t="s">
        <v>34</v>
      </c>
      <c r="C56" s="52">
        <f>SUM($C$52:$C$55)</f>
        <v>5</v>
      </c>
      <c r="D56" s="52">
        <f>SUM($D$52:$D$55)</f>
        <v>5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4</v>
      </c>
      <c r="I56" s="52">
        <f>SUM($I$52:$I$55)</f>
        <v>0</v>
      </c>
      <c r="J56" s="52">
        <f>SUM($J$52:$J$55)</f>
        <v>2</v>
      </c>
      <c r="K56" s="52">
        <f>SUM($K$52:$K$55)</f>
        <v>5</v>
      </c>
      <c r="L56" s="52">
        <f>SUM($L$52:$L$55)</f>
        <v>5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1</v>
      </c>
      <c r="Q56" s="52">
        <f>SUM($Q$52:$Q$55)</f>
        <v>0</v>
      </c>
      <c r="R56" s="52">
        <f>SUM($R$52:$R$55)</f>
        <v>3</v>
      </c>
      <c r="S56" s="52">
        <f>SUM($K$56,$L$56,$M$56,$N$56,$O$56,$P$56,$Q$56,$R$56)</f>
        <v>14</v>
      </c>
      <c r="T56" s="52">
        <f>SUM($C$56,$D$56,$E$56,$F$56,$G$56,$H$56,$I$56,$J$56)</f>
        <v>16</v>
      </c>
      <c r="U56" s="52">
        <f>SUM($U$52:$U$55)</f>
        <v>2</v>
      </c>
      <c r="V56" s="52">
        <f>SUM($V$52:$V$55)</f>
        <v>0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13</v>
      </c>
      <c r="AA56" s="52">
        <f>SUM($AA$52:$AA$55)</f>
        <v>0</v>
      </c>
      <c r="AB56" s="52">
        <f>SUM($AB$52:$AB$55)</f>
        <v>0</v>
      </c>
      <c r="AC56" s="52">
        <f>SUM($AC$52:$AC$55)</f>
        <v>2</v>
      </c>
      <c r="AD56" s="52">
        <f>SUM($AD$52:$AD$55)</f>
        <v>0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3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5</v>
      </c>
      <c r="AL56" s="52">
        <f>SUM($U$56,$V$56,$W$56,$X$56,$Y$56,$Z$56,$AA$56,$AB$56)</f>
        <v>15</v>
      </c>
      <c r="AM56" s="52">
        <f>SUM($AM$52:$AM$55)</f>
        <v>8</v>
      </c>
      <c r="AN56" s="52">
        <f>SUM($AN$52:$AN$55)</f>
        <v>3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9</v>
      </c>
      <c r="AS56" s="52">
        <f>SUM($AS$52:$AS$55)</f>
        <v>0</v>
      </c>
      <c r="AT56" s="52">
        <f>SUM($AT$52:$AT$55)</f>
        <v>2</v>
      </c>
      <c r="AU56" s="52">
        <f>SUM($AU$52:$AU$55)</f>
        <v>8</v>
      </c>
      <c r="AV56" s="52">
        <f>SUM($AV$52:$AV$55)</f>
        <v>3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2</v>
      </c>
      <c r="BA56" s="52">
        <f>SUM($BA$52:$BA$55)</f>
        <v>0</v>
      </c>
      <c r="BB56" s="52">
        <f>SUM($BB$52:$BB$55)</f>
        <v>3</v>
      </c>
      <c r="BC56" s="52">
        <f>SUM($AU$56,$AV$56,$AW$56,$AX$56,$AY$56,$AZ$56,$BA$56,$BB$56)</f>
        <v>16</v>
      </c>
      <c r="BD56" s="52">
        <f>SUM($AM$56,$AN$56,$AO$56,$AP$56,$AQ$56,$AR$56,$AS$56,$AT$56)</f>
        <v>22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15</v>
      </c>
      <c r="BZ56" s="52">
        <f>SUM($BZ$52:$BZ$55)</f>
        <v>8</v>
      </c>
      <c r="CA56" s="52">
        <f>SUM($CA$52:$CA$55)</f>
        <v>0</v>
      </c>
      <c r="CB56" s="52">
        <f>SUM($CB$52:$CB$55)</f>
        <v>0</v>
      </c>
      <c r="CC56" s="52">
        <f>SUM($CC$52:$CC$55)</f>
        <v>0</v>
      </c>
      <c r="CD56" s="52">
        <f>SUM($CD$52:$CD$55)</f>
        <v>26</v>
      </c>
      <c r="CE56" s="52">
        <f>SUM($CE$52:$CE$55)</f>
        <v>0</v>
      </c>
      <c r="CF56" s="52">
        <f>SUM($CF$52:$CF$55)</f>
        <v>4</v>
      </c>
      <c r="CG56" s="52">
        <f>SUM($CG$52:$CG$55)</f>
        <v>15</v>
      </c>
      <c r="CH56" s="52">
        <f>SUM($CH$52:$CH$55)</f>
        <v>8</v>
      </c>
      <c r="CI56" s="52">
        <f>SUM($CI$52:$CI$55)</f>
        <v>0</v>
      </c>
      <c r="CJ56" s="52">
        <f>SUM($CJ$52:$CJ$55)</f>
        <v>0</v>
      </c>
      <c r="CK56" s="52">
        <f>SUM($CK$52:$CK$55)</f>
        <v>0</v>
      </c>
      <c r="CL56" s="52">
        <f>SUM($CL$52:$CL$55)</f>
        <v>5</v>
      </c>
      <c r="CM56" s="52">
        <f>SUM($CM$52:$CM$55)</f>
        <v>0</v>
      </c>
      <c r="CN56" s="52">
        <f>SUM($CN$52:$CN$55)</f>
        <v>6</v>
      </c>
      <c r="CO56" s="52">
        <f>SUM($CG$56,$CH$56,$CI$56,$CJ$56,$CK$56,$CL$56,$CM$56,$CN$56)</f>
        <v>34</v>
      </c>
      <c r="CP56" s="52">
        <f>SUM($BY$56,$BZ$56,$CA$56,$CB$56,$CC$56,$CD$56,$CE$56,$CF$56)</f>
        <v>53</v>
      </c>
      <c r="CQ56" s="52">
        <f>SUM($CQ$52:$CQ$55)</f>
        <v>9</v>
      </c>
      <c r="CR56" s="52">
        <f>SUM($CR$52:$CR$55)</f>
        <v>1</v>
      </c>
      <c r="CS56" s="52">
        <f>SUM($CS$52:$CS$55)</f>
        <v>1</v>
      </c>
      <c r="CT56" s="52">
        <f>SUM($CT$52:$CT$55)</f>
        <v>0</v>
      </c>
      <c r="CU56" s="52">
        <f>SUM($CU$52:$CU$55)</f>
        <v>0</v>
      </c>
      <c r="CV56" s="52">
        <f>SUM($CV$52:$CV$55)</f>
        <v>58</v>
      </c>
      <c r="CW56" s="52">
        <f>SUM($CW$52:$CW$55)</f>
        <v>0</v>
      </c>
      <c r="CX56" s="52">
        <f>SUM($CX$52:$CX$55)</f>
        <v>0</v>
      </c>
      <c r="CY56" s="52">
        <f>SUM($CY$52:$CY$55)</f>
        <v>9</v>
      </c>
      <c r="CZ56" s="52">
        <f>SUM($CZ$52:$CZ$55)</f>
        <v>1</v>
      </c>
      <c r="DA56" s="52">
        <f>SUM($DA$52:$DA$55)</f>
        <v>2</v>
      </c>
      <c r="DB56" s="52">
        <f>SUM($DB$52:$DB$55)</f>
        <v>0</v>
      </c>
      <c r="DC56" s="52">
        <f>SUM($DC$52:$DC$55)</f>
        <v>0</v>
      </c>
      <c r="DD56" s="52">
        <f>SUM($DD$52:$DD$55)</f>
        <v>12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24</v>
      </c>
      <c r="DH56" s="52">
        <f>SUM($CQ$56,$CR$56,$CS$56,$CT$56,$CU$56,$CV$56,$CW$56,$CX$56)</f>
        <v>69</v>
      </c>
    </row>
    <row r="57" spans="1:112" ht="21" customHeight="1">
      <c r="A57" s="46">
        <v>44395.375</v>
      </c>
      <c r="B57" s="53" t="s">
        <v>67</v>
      </c>
      <c r="C57" s="54">
        <v>1</v>
      </c>
      <c r="D57" s="54">
        <v>2</v>
      </c>
      <c r="E57" s="54">
        <v>0</v>
      </c>
      <c r="F57" s="54">
        <v>0</v>
      </c>
      <c r="G57" s="54">
        <v>0</v>
      </c>
      <c r="H57" s="54">
        <v>0</v>
      </c>
      <c r="I57" s="54">
        <v>0</v>
      </c>
      <c r="J57" s="61">
        <v>0</v>
      </c>
      <c r="K57" s="62">
        <f>$C$57*VLOOKUP($C$11,'PCU Values'!$B$9:$C$16,2,FALSE)</f>
        <v>1</v>
      </c>
      <c r="L57" s="62">
        <f>$D$57*VLOOKUP($D$11,'PCU Values'!$B$9:$C$16,2,FALSE)</f>
        <v>2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3</v>
      </c>
      <c r="T57" s="52">
        <f>SUM($C$57,$D$57,$E$57,$F$57,$G$57,$H$57,$I$57,$J$57)</f>
        <v>3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0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0</v>
      </c>
      <c r="AL57" s="52">
        <f>SUM($U$57,$V$57,$W$57,$X$57,$Y$57,$Z$57,$AA$57,$AB$57)</f>
        <v>0</v>
      </c>
      <c r="AM57" s="72">
        <v>6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1</v>
      </c>
      <c r="AU57" s="62">
        <f>$AM$57*VLOOKUP($AM$11,'PCU Values'!$B$9:$C$16,2,FALSE)</f>
        <v>6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1.5</v>
      </c>
      <c r="BC57" s="71">
        <f>SUM($AU$57,$AV$57,$AW$57,$AX$57,$AY$57,$AZ$57,$BA$57,$BB$57)</f>
        <v>7.5</v>
      </c>
      <c r="BD57" s="52">
        <f>SUM($AM$57,$AN$57,$AO$57,$AP$57,$AQ$57,$AR$57,$AS$57,$AT$57)</f>
        <v>7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7</v>
      </c>
      <c r="BZ57" s="85">
        <f>SUM($D$57,$V$57,$AN$57,$BF$57)</f>
        <v>2</v>
      </c>
      <c r="CA57" s="85">
        <f>SUM($E$57,$W$57,$AO$57,$BG$57)</f>
        <v>0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0</v>
      </c>
      <c r="CE57" s="85">
        <f>SUM($I$57,$AA$57,$AS$57,$BK$57)</f>
        <v>0</v>
      </c>
      <c r="CF57" s="88">
        <f>SUM($J$57,$AB$57,$AT$57,$BL$57)</f>
        <v>1</v>
      </c>
      <c r="CG57" s="81">
        <f>$BY$57*VLOOKUP($BY$11,'PCU Values'!$B$9:$C$16,2,FALSE)</f>
        <v>7</v>
      </c>
      <c r="CH57" s="81">
        <f>$BZ$57*VLOOKUP($BZ$11,'PCU Values'!$B$9:$C$16,2,FALSE)</f>
        <v>2</v>
      </c>
      <c r="CI57" s="81">
        <f>$CA$57*VLOOKUP($CA$11,'PCU Values'!$B$9:$C$16,2,FALSE)</f>
        <v>0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0</v>
      </c>
      <c r="CM57" s="81">
        <f>$CE$57*VLOOKUP($CE$11,'PCU Values'!$B$9:$C$16,2,FALSE)</f>
        <v>0</v>
      </c>
      <c r="CN57" s="82">
        <f>$CF$57*VLOOKUP($CF$11,'PCU Values'!$B$9:$C$16,2,FALSE)</f>
        <v>1.5</v>
      </c>
      <c r="CO57" s="71">
        <f>SUM($CG$57,$CH$57,$CI$57,$CJ$57,$CK$57,$CL$57,$CM$57,$CN$57)</f>
        <v>10.5</v>
      </c>
      <c r="CP57" s="52">
        <f>SUM($BY$57,$BZ$57,$CA$57,$CB$57,$CC$57,$CD$57,$CE$57,$CF$57)</f>
        <v>10</v>
      </c>
      <c r="CQ57" s="91">
        <f>SUM('J1 A - (North) Bishopthorpe Roa'!$C$57,'J1 B - Butcher Terrace'!$BE$57,'J1 C - (South) Bishopthorpe Roa'!$AM$57,'J1 D - South Bank Avenue'!$U$57)</f>
        <v>0</v>
      </c>
      <c r="CR57" s="85">
        <f>SUM('J1 A - (North) Bishopthorpe Roa'!$D$57,'J1 B - Butcher Terrace'!$BF$57,'J1 C - (South) Bishopthorpe Roa'!$AN$57,'J1 D - South Bank Avenue'!$V$57)</f>
        <v>3</v>
      </c>
      <c r="CS57" s="85">
        <f>SUM('J1 A - (North) Bishopthorpe Roa'!$E$57,'J1 B - Butcher Terrace'!$BG$57,'J1 C - (South) Bishopthorpe Roa'!$AO$57,'J1 D - South Bank Avenue'!$W$57)</f>
        <v>1</v>
      </c>
      <c r="CT57" s="85">
        <f>SUM('J1 A - (North) Bishopthorpe Roa'!$F$57,'J1 B - Butcher Terrace'!$BH$57,'J1 C - (South) Bishopthorpe Roa'!$AP$57,'J1 D - South Bank Avenue'!$X$57)</f>
        <v>0</v>
      </c>
      <c r="CU57" s="85">
        <f>SUM('J1 A - (North) Bishopthorpe Roa'!$G$57,'J1 B - Butcher Terrace'!$BI$57,'J1 C - (South) Bishopthorpe Roa'!$AQ$57,'J1 D - South Bank Avenue'!$Y$57)</f>
        <v>0</v>
      </c>
      <c r="CV57" s="85">
        <f>SUM('J1 A - (North) Bishopthorpe Roa'!$H$57,'J1 B - Butcher Terrace'!$BJ$57,'J1 C - (South) Bishopthorpe Roa'!$AR$57,'J1 D - South Bank Avenue'!$Z$57)</f>
        <v>20</v>
      </c>
      <c r="CW57" s="85">
        <f>SUM('J1 A - (North) Bishopthorpe Roa'!$I$57,'J1 B - Butcher Terrace'!$BK$57,'J1 C - (South) Bishopthorpe Roa'!$AS$57,'J1 D - South Bank Avenue'!$AA$57)</f>
        <v>0</v>
      </c>
      <c r="CX57" s="88">
        <f>SUM('J1 A - (North) Bishopthorpe Roa'!$J$57,'J1 B - Butcher Terrace'!$BL$57,'J1 C - (South) Bishopthorpe Roa'!$AT$57,'J1 D - South Bank Avenue'!$AB$57)</f>
        <v>0</v>
      </c>
      <c r="CY57" s="81">
        <f>$CQ$57*VLOOKUP($CQ$11,'PCU Values'!$B$9:$C$16,2,FALSE)</f>
        <v>0</v>
      </c>
      <c r="CZ57" s="81">
        <f>$CR$57*VLOOKUP($CR$11,'PCU Values'!$B$9:$C$16,2,FALSE)</f>
        <v>3</v>
      </c>
      <c r="DA57" s="81">
        <f>$CS$57*VLOOKUP($CS$11,'PCU Values'!$B$9:$C$16,2,FALSE)</f>
        <v>1.5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4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8.5</v>
      </c>
      <c r="DH57" s="52">
        <f>SUM($CQ$57,$CR$57,$CS$57,$CT$57,$CU$57,$CV$57,$CW$57,$CX$57)</f>
        <v>24</v>
      </c>
    </row>
    <row r="58" spans="1:112" ht="21" customHeight="1">
      <c r="A58" s="46">
        <v>44395.385416666701</v>
      </c>
      <c r="B58" s="47" t="s">
        <v>68</v>
      </c>
      <c r="C58" s="48">
        <v>0</v>
      </c>
      <c r="D58" s="48">
        <v>1</v>
      </c>
      <c r="E58" s="48">
        <v>0</v>
      </c>
      <c r="F58" s="48">
        <v>0</v>
      </c>
      <c r="G58" s="48">
        <v>0</v>
      </c>
      <c r="H58" s="48">
        <v>2</v>
      </c>
      <c r="I58" s="48">
        <v>0</v>
      </c>
      <c r="J58" s="56">
        <v>0</v>
      </c>
      <c r="K58" s="57">
        <f>$C$58*VLOOKUP($C$11,'PCU Values'!$B$9:$C$16,2,FALSE)</f>
        <v>0</v>
      </c>
      <c r="L58" s="57">
        <f>$D$58*VLOOKUP($D$11,'PCU Values'!$B$9:$C$16,2,FALSE)</f>
        <v>1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0.4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1.4</v>
      </c>
      <c r="T58" s="52">
        <f>SUM($C$58,$D$58,$E$58,$F$58,$G$58,$H$58,$I$58,$J$58)</f>
        <v>3</v>
      </c>
      <c r="U58" s="67">
        <v>0</v>
      </c>
      <c r="V58" s="48">
        <v>0</v>
      </c>
      <c r="W58" s="48">
        <v>0</v>
      </c>
      <c r="X58" s="48">
        <v>0</v>
      </c>
      <c r="Y58" s="48">
        <v>0</v>
      </c>
      <c r="Z58" s="48">
        <v>3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0.6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0.6</v>
      </c>
      <c r="AL58" s="52">
        <f>SUM($U$58,$V$58,$W$58,$X$58,$Y$58,$Z$58,$AA$58,$AB$58)</f>
        <v>3</v>
      </c>
      <c r="AM58" s="67">
        <v>3</v>
      </c>
      <c r="AN58" s="48">
        <v>1</v>
      </c>
      <c r="AO58" s="48">
        <v>1</v>
      </c>
      <c r="AP58" s="48">
        <v>0</v>
      </c>
      <c r="AQ58" s="48">
        <v>0</v>
      </c>
      <c r="AR58" s="48">
        <v>1</v>
      </c>
      <c r="AS58" s="48">
        <v>0</v>
      </c>
      <c r="AT58" s="56">
        <v>1</v>
      </c>
      <c r="AU58" s="57">
        <f>$AM$58*VLOOKUP($AM$11,'PCU Values'!$B$9:$C$16,2,FALSE)</f>
        <v>3</v>
      </c>
      <c r="AV58" s="57">
        <f>$AN$58*VLOOKUP($AN$11,'PCU Values'!$B$9:$C$16,2,FALSE)</f>
        <v>1</v>
      </c>
      <c r="AW58" s="57">
        <f>$AO$58*VLOOKUP($AO$11,'PCU Values'!$B$9:$C$16,2,FALSE)</f>
        <v>1.5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0.2</v>
      </c>
      <c r="BA58" s="57">
        <f>$AS$58*VLOOKUP($AS$11,'PCU Values'!$B$9:$C$16,2,FALSE)</f>
        <v>0</v>
      </c>
      <c r="BB58" s="65">
        <f>$AT$58*VLOOKUP($AT$11,'PCU Values'!$B$9:$C$16,2,FALSE)</f>
        <v>1.5</v>
      </c>
      <c r="BC58" s="66">
        <f>SUM($AU$58,$AV$58,$AW$58,$AX$58,$AY$58,$AZ$58,$BA$58,$BB$58)</f>
        <v>7.2</v>
      </c>
      <c r="BD58" s="52">
        <f>SUM($AM$58,$AN$58,$AO$58,$AP$58,$AQ$58,$AR$58,$AS$58,$AT$58)</f>
        <v>7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3</v>
      </c>
      <c r="BZ58" s="83">
        <f>SUM($D$58,$V$58,$AN$58,$BF$58)</f>
        <v>2</v>
      </c>
      <c r="CA58" s="83">
        <f>SUM($E$58,$W$58,$AO$58,$BG$58)</f>
        <v>1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6</v>
      </c>
      <c r="CE58" s="83">
        <f>SUM($I$58,$AA$58,$AS$58,$BK$58)</f>
        <v>0</v>
      </c>
      <c r="CF58" s="86">
        <f>SUM($J$58,$AB$58,$AT$58,$BL$58)</f>
        <v>1</v>
      </c>
      <c r="CG58" s="77">
        <f>$BY$58*VLOOKUP($BY$11,'PCU Values'!$B$9:$C$16,2,FALSE)</f>
        <v>3</v>
      </c>
      <c r="CH58" s="77">
        <f>$BZ$58*VLOOKUP($BZ$11,'PCU Values'!$B$9:$C$16,2,FALSE)</f>
        <v>2</v>
      </c>
      <c r="CI58" s="77">
        <f>$CA$58*VLOOKUP($CA$11,'PCU Values'!$B$9:$C$16,2,FALSE)</f>
        <v>1.5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1.2</v>
      </c>
      <c r="CM58" s="77">
        <f>$CE$58*VLOOKUP($CE$11,'PCU Values'!$B$9:$C$16,2,FALSE)</f>
        <v>0</v>
      </c>
      <c r="CN58" s="78">
        <f>$CF$58*VLOOKUP($CF$11,'PCU Values'!$B$9:$C$16,2,FALSE)</f>
        <v>1.5</v>
      </c>
      <c r="CO58" s="66">
        <f>SUM($CG$58,$CH$58,$CI$58,$CJ$58,$CK$58,$CL$58,$CM$58,$CN$58)</f>
        <v>9.1999999999999993</v>
      </c>
      <c r="CP58" s="52">
        <f>SUM($BY$58,$BZ$58,$CA$58,$CB$58,$CC$58,$CD$58,$CE$58,$CF$58)</f>
        <v>13</v>
      </c>
      <c r="CQ58" s="89">
        <f>SUM('J1 A - (North) Bishopthorpe Roa'!$C$58,'J1 B - Butcher Terrace'!$BE$58,'J1 C - (South) Bishopthorpe Roa'!$AM$58,'J1 D - South Bank Avenue'!$U$58)</f>
        <v>2</v>
      </c>
      <c r="CR58" s="83">
        <f>SUM('J1 A - (North) Bishopthorpe Roa'!$D$58,'J1 B - Butcher Terrace'!$BF$58,'J1 C - (South) Bishopthorpe Roa'!$AN$58,'J1 D - South Bank Avenue'!$V$58)</f>
        <v>0</v>
      </c>
      <c r="CS58" s="83">
        <f>SUM('J1 A - (North) Bishopthorpe Roa'!$E$58,'J1 B - Butcher Terrace'!$BG$58,'J1 C - (South) Bishopthorpe Roa'!$AO$58,'J1 D - South Bank Avenue'!$W$58)</f>
        <v>0</v>
      </c>
      <c r="CT58" s="83">
        <f>SUM('J1 A - (North) Bishopthorpe Roa'!$F$58,'J1 B - Butcher Terrace'!$BH$58,'J1 C - (South) Bishopthorpe Roa'!$AP$58,'J1 D - South Bank Avenue'!$X$58)</f>
        <v>0</v>
      </c>
      <c r="CU58" s="83">
        <f>SUM('J1 A - (North) Bishopthorpe Roa'!$G$58,'J1 B - Butcher Terrace'!$BI$58,'J1 C - (South) Bishopthorpe Roa'!$AQ$58,'J1 D - South Bank Avenue'!$Y$58)</f>
        <v>0</v>
      </c>
      <c r="CV58" s="83">
        <f>SUM('J1 A - (North) Bishopthorpe Roa'!$H$58,'J1 B - Butcher Terrace'!$BJ$58,'J1 C - (South) Bishopthorpe Roa'!$AR$58,'J1 D - South Bank Avenue'!$Z$58)</f>
        <v>10</v>
      </c>
      <c r="CW58" s="83">
        <f>SUM('J1 A - (North) Bishopthorpe Roa'!$I$58,'J1 B - Butcher Terrace'!$BK$58,'J1 C - (South) Bishopthorpe Roa'!$AS$58,'J1 D - South Bank Avenue'!$AA$58)</f>
        <v>1</v>
      </c>
      <c r="CX58" s="86">
        <f>SUM('J1 A - (North) Bishopthorpe Roa'!$J$58,'J1 B - Butcher Terrace'!$BL$58,'J1 C - (South) Bishopthorpe Roa'!$AT$58,'J1 D - South Bank Avenue'!$AB$58)</f>
        <v>0</v>
      </c>
      <c r="CY58" s="77">
        <f>$CQ$58*VLOOKUP($CQ$11,'PCU Values'!$B$9:$C$16,2,FALSE)</f>
        <v>2</v>
      </c>
      <c r="CZ58" s="77">
        <f>$CR$58*VLOOKUP($CR$11,'PCU Values'!$B$9:$C$16,2,FALSE)</f>
        <v>0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2</v>
      </c>
      <c r="DE58" s="77">
        <f>$CW$58*VLOOKUP($CW$11,'PCU Values'!$B$9:$C$16,2,FALSE)</f>
        <v>0.4</v>
      </c>
      <c r="DF58" s="78">
        <f>$CX$58*VLOOKUP($CX$11,'PCU Values'!$B$9:$C$16,2,FALSE)</f>
        <v>0</v>
      </c>
      <c r="DG58" s="66">
        <f>SUM($CY$58,$CZ$58,$DA$58,$DB$58,$DC$58,$DD$58,$DE$58,$DF$58)</f>
        <v>4.4000000000000004</v>
      </c>
      <c r="DH58" s="52">
        <f>SUM($CQ$58,$CR$58,$CS$58,$CT$58,$CU$58,$CV$58,$CW$58,$CX$58)</f>
        <v>13</v>
      </c>
    </row>
    <row r="59" spans="1:112" ht="21" customHeight="1">
      <c r="A59" s="46">
        <v>44395.395833333299</v>
      </c>
      <c r="B59" s="47" t="s">
        <v>69</v>
      </c>
      <c r="C59" s="49">
        <v>2</v>
      </c>
      <c r="D59" s="49">
        <v>0</v>
      </c>
      <c r="E59" s="49">
        <v>0</v>
      </c>
      <c r="F59" s="49">
        <v>0</v>
      </c>
      <c r="G59" s="49">
        <v>0</v>
      </c>
      <c r="H59" s="49">
        <v>1</v>
      </c>
      <c r="I59" s="49">
        <v>0</v>
      </c>
      <c r="J59" s="58">
        <v>0</v>
      </c>
      <c r="K59" s="57">
        <f>$C$59*VLOOKUP($C$11,'PCU Values'!$B$9:$C$16,2,FALSE)</f>
        <v>2</v>
      </c>
      <c r="L59" s="57">
        <f>$D$59*VLOOKUP($D$11,'PCU Values'!$B$9:$C$16,2,FALSE)</f>
        <v>0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0.2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2.2000000000000002</v>
      </c>
      <c r="T59" s="52">
        <f>SUM($C$59,$D$59,$E$59,$F$59,$G$59,$H$59,$I$59,$J$59)</f>
        <v>3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1</v>
      </c>
      <c r="AA59" s="49">
        <v>0</v>
      </c>
      <c r="AB59" s="58">
        <v>0</v>
      </c>
      <c r="AC59" s="57">
        <f>$U$59*VLOOKUP($U$11,'PCU Values'!$B$9:$C$16,2,FALSE)</f>
        <v>0</v>
      </c>
      <c r="AD59" s="57">
        <f>$V$59*VLOOKUP($V$11,'PCU Values'!$B$9:$C$16,2,FALSE)</f>
        <v>0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0.2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0.2</v>
      </c>
      <c r="AL59" s="52">
        <f>SUM($U$59,$V$59,$W$59,$X$59,$Y$59,$Z$59,$AA$59,$AB$59)</f>
        <v>1</v>
      </c>
      <c r="AM59" s="49">
        <v>3</v>
      </c>
      <c r="AN59" s="49">
        <v>2</v>
      </c>
      <c r="AO59" s="49">
        <v>0</v>
      </c>
      <c r="AP59" s="49">
        <v>0</v>
      </c>
      <c r="AQ59" s="49">
        <v>0</v>
      </c>
      <c r="AR59" s="49">
        <v>0</v>
      </c>
      <c r="AS59" s="49">
        <v>1</v>
      </c>
      <c r="AT59" s="58">
        <v>1</v>
      </c>
      <c r="AU59" s="57">
        <f>$AM$59*VLOOKUP($AM$11,'PCU Values'!$B$9:$C$16,2,FALSE)</f>
        <v>3</v>
      </c>
      <c r="AV59" s="57">
        <f>$AN$59*VLOOKUP($AN$11,'PCU Values'!$B$9:$C$16,2,FALSE)</f>
        <v>2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0.4</v>
      </c>
      <c r="BB59" s="65">
        <f>$AT$59*VLOOKUP($AT$11,'PCU Values'!$B$9:$C$16,2,FALSE)</f>
        <v>1.5</v>
      </c>
      <c r="BC59" s="66">
        <f>SUM($AU$59,$AV$59,$AW$59,$AX$59,$AY$59,$AZ$59,$BA$59,$BB$59)</f>
        <v>6.9</v>
      </c>
      <c r="BD59" s="52">
        <f>SUM($AM$59,$AN$59,$AO$59,$AP$59,$AQ$59,$AR$59,$AS$59,$AT$59)</f>
        <v>7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5</v>
      </c>
      <c r="BZ59" s="83">
        <f>SUM($D$59,$V$59,$AN$59,$BF$59)</f>
        <v>2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0</v>
      </c>
      <c r="CD59" s="83">
        <f>SUM($H$59,$Z$59,$AR$59,$BJ$59)</f>
        <v>2</v>
      </c>
      <c r="CE59" s="83">
        <f>SUM($I$59,$AA$59,$AS$59,$BK$59)</f>
        <v>1</v>
      </c>
      <c r="CF59" s="86">
        <f>SUM($J$59,$AB$59,$AT$59,$BL$59)</f>
        <v>1</v>
      </c>
      <c r="CG59" s="77">
        <f>$BY$59*VLOOKUP($BY$11,'PCU Values'!$B$9:$C$16,2,FALSE)</f>
        <v>5</v>
      </c>
      <c r="CH59" s="77">
        <f>$BZ$59*VLOOKUP($BZ$11,'PCU Values'!$B$9:$C$16,2,FALSE)</f>
        <v>2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0</v>
      </c>
      <c r="CL59" s="77">
        <f>$CD$59*VLOOKUP($CD$11,'PCU Values'!$B$9:$C$16,2,FALSE)</f>
        <v>0.4</v>
      </c>
      <c r="CM59" s="77">
        <f>$CE$59*VLOOKUP($CE$11,'PCU Values'!$B$9:$C$16,2,FALSE)</f>
        <v>0.4</v>
      </c>
      <c r="CN59" s="78">
        <f>$CF$59*VLOOKUP($CF$11,'PCU Values'!$B$9:$C$16,2,FALSE)</f>
        <v>1.5</v>
      </c>
      <c r="CO59" s="66">
        <f>SUM($CG$59,$CH$59,$CI$59,$CJ$59,$CK$59,$CL$59,$CM$59,$CN$59)</f>
        <v>9.3000000000000007</v>
      </c>
      <c r="CP59" s="52">
        <f>SUM($BY$59,$BZ$59,$CA$59,$CB$59,$CC$59,$CD$59,$CE$59,$CF$59)</f>
        <v>11</v>
      </c>
      <c r="CQ59" s="89">
        <f>SUM('J1 A - (North) Bishopthorpe Roa'!$C$59,'J1 B - Butcher Terrace'!$BE$59,'J1 C - (South) Bishopthorpe Roa'!$AM$59,'J1 D - South Bank Avenue'!$U$59)</f>
        <v>3</v>
      </c>
      <c r="CR59" s="83">
        <f>SUM('J1 A - (North) Bishopthorpe Roa'!$D$59,'J1 B - Butcher Terrace'!$BF$59,'J1 C - (South) Bishopthorpe Roa'!$AN$59,'J1 D - South Bank Avenue'!$V$59)</f>
        <v>1</v>
      </c>
      <c r="CS59" s="83">
        <f>SUM('J1 A - (North) Bishopthorpe Roa'!$E$59,'J1 B - Butcher Terrace'!$BG$59,'J1 C - (South) Bishopthorpe Roa'!$AO$59,'J1 D - South Bank Avenue'!$W$59)</f>
        <v>1</v>
      </c>
      <c r="CT59" s="83">
        <f>SUM('J1 A - (North) Bishopthorpe Roa'!$F$59,'J1 B - Butcher Terrace'!$BH$59,'J1 C - (South) Bishopthorpe Roa'!$AP$59,'J1 D - South Bank Avenue'!$X$59)</f>
        <v>0</v>
      </c>
      <c r="CU59" s="83">
        <f>SUM('J1 A - (North) Bishopthorpe Roa'!$G$59,'J1 B - Butcher Terrace'!$BI$59,'J1 C - (South) Bishopthorpe Roa'!$AQ$59,'J1 D - South Bank Avenue'!$Y$59)</f>
        <v>0</v>
      </c>
      <c r="CV59" s="83">
        <f>SUM('J1 A - (North) Bishopthorpe Roa'!$H$59,'J1 B - Butcher Terrace'!$BJ$59,'J1 C - (South) Bishopthorpe Roa'!$AR$59,'J1 D - South Bank Avenue'!$Z$59)</f>
        <v>7</v>
      </c>
      <c r="CW59" s="83">
        <f>SUM('J1 A - (North) Bishopthorpe Roa'!$I$59,'J1 B - Butcher Terrace'!$BK$59,'J1 C - (South) Bishopthorpe Roa'!$AS$59,'J1 D - South Bank Avenue'!$AA$59)</f>
        <v>0</v>
      </c>
      <c r="CX59" s="86">
        <f>SUM('J1 A - (North) Bishopthorpe Roa'!$J$59,'J1 B - Butcher Terrace'!$BL$59,'J1 C - (South) Bishopthorpe Roa'!$AT$59,'J1 D - South Bank Avenue'!$AB$59)</f>
        <v>0</v>
      </c>
      <c r="CY59" s="77">
        <f>$CQ$59*VLOOKUP($CQ$11,'PCU Values'!$B$9:$C$16,2,FALSE)</f>
        <v>3</v>
      </c>
      <c r="CZ59" s="77">
        <f>$CR$59*VLOOKUP($CR$11,'PCU Values'!$B$9:$C$16,2,FALSE)</f>
        <v>1</v>
      </c>
      <c r="DA59" s="77">
        <f>$CS$59*VLOOKUP($CS$11,'PCU Values'!$B$9:$C$16,2,FALSE)</f>
        <v>1.5</v>
      </c>
      <c r="DB59" s="77">
        <f>$CT$59*VLOOKUP($CT$11,'PCU Values'!$B$9:$C$16,2,FALSE)</f>
        <v>0</v>
      </c>
      <c r="DC59" s="77">
        <f>$CU$59*VLOOKUP($CU$11,'PCU Values'!$B$9:$C$16,2,FALSE)</f>
        <v>0</v>
      </c>
      <c r="DD59" s="77">
        <f>$CV$59*VLOOKUP($CV$11,'PCU Values'!$B$9:$C$16,2,FALSE)</f>
        <v>1.4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6.9</v>
      </c>
      <c r="DH59" s="52">
        <f>SUM($CQ$59,$CR$59,$CS$59,$CT$59,$CU$59,$CV$59,$CW$59,$CX$59)</f>
        <v>12</v>
      </c>
    </row>
    <row r="60" spans="1:112" ht="21" customHeight="1">
      <c r="A60" s="46">
        <v>44395.40625</v>
      </c>
      <c r="B60" s="50" t="s">
        <v>70</v>
      </c>
      <c r="C60" s="51">
        <v>1</v>
      </c>
      <c r="D60" s="51">
        <v>0</v>
      </c>
      <c r="E60" s="51">
        <v>0</v>
      </c>
      <c r="F60" s="51">
        <v>0</v>
      </c>
      <c r="G60" s="51">
        <v>0</v>
      </c>
      <c r="H60" s="51">
        <v>2</v>
      </c>
      <c r="I60" s="51">
        <v>0</v>
      </c>
      <c r="J60" s="59">
        <v>0</v>
      </c>
      <c r="K60" s="60">
        <f>$C$60*VLOOKUP($C$11,'PCU Values'!$B$9:$C$16,2,FALSE)</f>
        <v>1</v>
      </c>
      <c r="L60" s="60">
        <f>$D$60*VLOOKUP($D$11,'PCU Values'!$B$9:$C$16,2,FALSE)</f>
        <v>0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0.4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1.4</v>
      </c>
      <c r="T60" s="52">
        <f>SUM($C$60,$D$60,$E$60,$F$60,$G$60,$H$60,$I$60,$J$60)</f>
        <v>3</v>
      </c>
      <c r="U60" s="73">
        <v>0</v>
      </c>
      <c r="V60" s="51">
        <v>0</v>
      </c>
      <c r="W60" s="51">
        <v>0</v>
      </c>
      <c r="X60" s="51">
        <v>0</v>
      </c>
      <c r="Y60" s="51">
        <v>0</v>
      </c>
      <c r="Z60" s="51">
        <v>2</v>
      </c>
      <c r="AA60" s="51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0.4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0.4</v>
      </c>
      <c r="AL60" s="52">
        <f>SUM($U$60,$V$60,$W$60,$X$60,$Y$60,$Z$60,$AA$60,$AB$60)</f>
        <v>2</v>
      </c>
      <c r="AM60" s="73">
        <v>6</v>
      </c>
      <c r="AN60" s="51">
        <v>1</v>
      </c>
      <c r="AO60" s="51">
        <v>1</v>
      </c>
      <c r="AP60" s="51">
        <v>0</v>
      </c>
      <c r="AQ60" s="51">
        <v>0</v>
      </c>
      <c r="AR60" s="51">
        <v>0</v>
      </c>
      <c r="AS60" s="51">
        <v>0</v>
      </c>
      <c r="AT60" s="59">
        <v>0</v>
      </c>
      <c r="AU60" s="60">
        <f>$AM$60*VLOOKUP($AM$11,'PCU Values'!$B$9:$C$16,2,FALSE)</f>
        <v>6</v>
      </c>
      <c r="AV60" s="60">
        <f>$AN$60*VLOOKUP($AN$11,'PCU Values'!$B$9:$C$16,2,FALSE)</f>
        <v>1</v>
      </c>
      <c r="AW60" s="60">
        <f>$AO$60*VLOOKUP($AO$11,'PCU Values'!$B$9:$C$16,2,FALSE)</f>
        <v>1.5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8.5</v>
      </c>
      <c r="BD60" s="52">
        <f>SUM($AM$60,$AN$60,$AO$60,$AP$60,$AQ$60,$AR$60,$AS$60,$AT$60)</f>
        <v>8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7</v>
      </c>
      <c r="BZ60" s="84">
        <f>SUM($D$60,$V$60,$AN$60,$BF$60)</f>
        <v>1</v>
      </c>
      <c r="CA60" s="84">
        <f>SUM($E$60,$W$60,$AO$60,$BG$60)</f>
        <v>1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4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7</v>
      </c>
      <c r="CH60" s="79">
        <f>$BZ$60*VLOOKUP($BZ$11,'PCU Values'!$B$9:$C$16,2,FALSE)</f>
        <v>1</v>
      </c>
      <c r="CI60" s="79">
        <f>$CA$60*VLOOKUP($CA$11,'PCU Values'!$B$9:$C$16,2,FALSE)</f>
        <v>1.5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0.8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10.3</v>
      </c>
      <c r="CP60" s="52">
        <f>SUM($BY$60,$BZ$60,$CA$60,$CB$60,$CC$60,$CD$60,$CE$60,$CF$60)</f>
        <v>13</v>
      </c>
      <c r="CQ60" s="90">
        <f>SUM('J1 A - (North) Bishopthorpe Roa'!$C$60,'J1 B - Butcher Terrace'!$BE$60,'J1 C - (South) Bishopthorpe Roa'!$AM$60,'J1 D - South Bank Avenue'!$U$60)</f>
        <v>4</v>
      </c>
      <c r="CR60" s="84">
        <f>SUM('J1 A - (North) Bishopthorpe Roa'!$D$60,'J1 B - Butcher Terrace'!$BF$60,'J1 C - (South) Bishopthorpe Roa'!$AN$60,'J1 D - South Bank Avenue'!$V$60)</f>
        <v>1</v>
      </c>
      <c r="CS60" s="84">
        <f>SUM('J1 A - (North) Bishopthorpe Roa'!$E$60,'J1 B - Butcher Terrace'!$BG$60,'J1 C - (South) Bishopthorpe Roa'!$AO$60,'J1 D - South Bank Avenue'!$W$60)</f>
        <v>1</v>
      </c>
      <c r="CT60" s="84">
        <f>SUM('J1 A - (North) Bishopthorpe Roa'!$F$60,'J1 B - Butcher Terrace'!$BH$60,'J1 C - (South) Bishopthorpe Roa'!$AP$60,'J1 D - South Bank Avenue'!$X$60)</f>
        <v>0</v>
      </c>
      <c r="CU60" s="84">
        <f>SUM('J1 A - (North) Bishopthorpe Roa'!$G$60,'J1 B - Butcher Terrace'!$BI$60,'J1 C - (South) Bishopthorpe Roa'!$AQ$60,'J1 D - South Bank Avenue'!$Y$60)</f>
        <v>0</v>
      </c>
      <c r="CV60" s="84">
        <f>SUM('J1 A - (North) Bishopthorpe Roa'!$H$60,'J1 B - Butcher Terrace'!$BJ$60,'J1 C - (South) Bishopthorpe Roa'!$AR$60,'J1 D - South Bank Avenue'!$Z$60)</f>
        <v>8</v>
      </c>
      <c r="CW60" s="84">
        <f>SUM('J1 A - (North) Bishopthorpe Roa'!$I$60,'J1 B - Butcher Terrace'!$BK$60,'J1 C - (South) Bishopthorpe Roa'!$AS$60,'J1 D - South Bank Avenue'!$AA$60)</f>
        <v>0</v>
      </c>
      <c r="CX60" s="87">
        <f>SUM('J1 A - (North) Bishopthorpe Roa'!$J$60,'J1 B - Butcher Terrace'!$BL$60,'J1 C - (South) Bishopthorpe Roa'!$AT$60,'J1 D - South Bank Avenue'!$AB$60)</f>
        <v>0</v>
      </c>
      <c r="CY60" s="79">
        <f>$CQ$60*VLOOKUP($CQ$11,'PCU Values'!$B$9:$C$16,2,FALSE)</f>
        <v>4</v>
      </c>
      <c r="CZ60" s="79">
        <f>$CR$60*VLOOKUP($CR$11,'PCU Values'!$B$9:$C$16,2,FALSE)</f>
        <v>1</v>
      </c>
      <c r="DA60" s="79">
        <f>$CS$60*VLOOKUP($CS$11,'PCU Values'!$B$9:$C$16,2,FALSE)</f>
        <v>1.5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1.6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8.1</v>
      </c>
      <c r="DH60" s="52">
        <f>SUM($CQ$60,$CR$60,$CS$60,$CT$60,$CU$60,$CV$60,$CW$60,$CX$60)</f>
        <v>14</v>
      </c>
    </row>
    <row r="61" spans="1:112">
      <c r="B61" s="52" t="s">
        <v>34</v>
      </c>
      <c r="C61" s="52">
        <f>SUM($C$57:$C$60)</f>
        <v>4</v>
      </c>
      <c r="D61" s="52">
        <f>SUM($D$57:$D$60)</f>
        <v>3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5</v>
      </c>
      <c r="I61" s="52">
        <f>SUM($I$57:$I$60)</f>
        <v>0</v>
      </c>
      <c r="J61" s="52">
        <f>SUM($J$57:$J$60)</f>
        <v>0</v>
      </c>
      <c r="K61" s="52">
        <f>SUM($K$57:$K$60)</f>
        <v>4</v>
      </c>
      <c r="L61" s="52">
        <f>SUM($L$57:$L$60)</f>
        <v>3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1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8</v>
      </c>
      <c r="T61" s="52">
        <f>SUM($C$61,$D$61,$E$61,$F$61,$G$61,$H$61,$I$61,$J$61)</f>
        <v>12</v>
      </c>
      <c r="U61" s="52">
        <f>SUM($U$57:$U$60)</f>
        <v>0</v>
      </c>
      <c r="V61" s="52">
        <f>SUM($V$57:$V$60)</f>
        <v>0</v>
      </c>
      <c r="W61" s="52">
        <f>SUM($W$57:$W$60)</f>
        <v>0</v>
      </c>
      <c r="X61" s="52">
        <f>SUM($X$57:$X$60)</f>
        <v>0</v>
      </c>
      <c r="Y61" s="52">
        <f>SUM($Y$57:$Y$60)</f>
        <v>0</v>
      </c>
      <c r="Z61" s="52">
        <f>SUM($Z$57:$Z$60)</f>
        <v>6</v>
      </c>
      <c r="AA61" s="52">
        <f>SUM($AA$57:$AA$60)</f>
        <v>0</v>
      </c>
      <c r="AB61" s="52">
        <f>SUM($AB$57:$AB$60)</f>
        <v>0</v>
      </c>
      <c r="AC61" s="52">
        <f>SUM($AC$57:$AC$60)</f>
        <v>0</v>
      </c>
      <c r="AD61" s="52">
        <f>SUM($AD$57:$AD$60)</f>
        <v>0</v>
      </c>
      <c r="AE61" s="52">
        <f>SUM($AE$57:$AE$60)</f>
        <v>0</v>
      </c>
      <c r="AF61" s="52">
        <f>SUM($AF$57:$AF$60)</f>
        <v>0</v>
      </c>
      <c r="AG61" s="52">
        <f>SUM($AG$57:$AG$60)</f>
        <v>0</v>
      </c>
      <c r="AH61" s="52">
        <f>SUM($AH$57:$AH$60)</f>
        <v>1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1</v>
      </c>
      <c r="AL61" s="52">
        <f>SUM($U$61,$V$61,$W$61,$X$61,$Y$61,$Z$61,$AA$61,$AB$61)</f>
        <v>6</v>
      </c>
      <c r="AM61" s="52">
        <f>SUM($AM$57:$AM$60)</f>
        <v>18</v>
      </c>
      <c r="AN61" s="52">
        <f>SUM($AN$57:$AN$60)</f>
        <v>4</v>
      </c>
      <c r="AO61" s="52">
        <f>SUM($AO$57:$AO$60)</f>
        <v>2</v>
      </c>
      <c r="AP61" s="52">
        <f>SUM($AP$57:$AP$60)</f>
        <v>0</v>
      </c>
      <c r="AQ61" s="52">
        <f>SUM($AQ$57:$AQ$60)</f>
        <v>0</v>
      </c>
      <c r="AR61" s="52">
        <f>SUM($AR$57:$AR$60)</f>
        <v>1</v>
      </c>
      <c r="AS61" s="52">
        <f>SUM($AS$57:$AS$60)</f>
        <v>1</v>
      </c>
      <c r="AT61" s="52">
        <f>SUM($AT$57:$AT$60)</f>
        <v>3</v>
      </c>
      <c r="AU61" s="52">
        <f>SUM($AU$57:$AU$60)</f>
        <v>18</v>
      </c>
      <c r="AV61" s="52">
        <f>SUM($AV$57:$AV$60)</f>
        <v>4</v>
      </c>
      <c r="AW61" s="52">
        <f>SUM($AW$57:$AW$60)</f>
        <v>3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5</v>
      </c>
      <c r="BC61" s="52">
        <f>SUM($AU$61,$AV$61,$AW$61,$AX$61,$AY$61,$AZ$61,$BA$61,$BB$61)</f>
        <v>30</v>
      </c>
      <c r="BD61" s="52">
        <f>SUM($AM$61,$AN$61,$AO$61,$AP$61,$AQ$61,$AR$61,$AS$61,$AT$61)</f>
        <v>29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22</v>
      </c>
      <c r="BZ61" s="52">
        <f>SUM($BZ$57:$BZ$60)</f>
        <v>7</v>
      </c>
      <c r="CA61" s="52">
        <f>SUM($CA$57:$CA$60)</f>
        <v>2</v>
      </c>
      <c r="CB61" s="52">
        <f>SUM($CB$57:$CB$60)</f>
        <v>0</v>
      </c>
      <c r="CC61" s="52">
        <f>SUM($CC$57:$CC$60)</f>
        <v>0</v>
      </c>
      <c r="CD61" s="52">
        <f>SUM($CD$57:$CD$60)</f>
        <v>12</v>
      </c>
      <c r="CE61" s="52">
        <f>SUM($CE$57:$CE$60)</f>
        <v>1</v>
      </c>
      <c r="CF61" s="52">
        <f>SUM($CF$57:$CF$60)</f>
        <v>3</v>
      </c>
      <c r="CG61" s="52">
        <f>SUM($CG$57:$CG$60)</f>
        <v>22</v>
      </c>
      <c r="CH61" s="52">
        <f>SUM($CH$57:$CH$60)</f>
        <v>7</v>
      </c>
      <c r="CI61" s="52">
        <f>SUM($CI$57:$CI$60)</f>
        <v>3</v>
      </c>
      <c r="CJ61" s="52">
        <f>SUM($CJ$57:$CJ$60)</f>
        <v>0</v>
      </c>
      <c r="CK61" s="52">
        <f>SUM($CK$57:$CK$60)</f>
        <v>0</v>
      </c>
      <c r="CL61" s="52">
        <f>SUM($CL$57:$CL$60)</f>
        <v>2</v>
      </c>
      <c r="CM61" s="52">
        <f>SUM($CM$57:$CM$60)</f>
        <v>0</v>
      </c>
      <c r="CN61" s="52">
        <f>SUM($CN$57:$CN$60)</f>
        <v>5</v>
      </c>
      <c r="CO61" s="52">
        <f>SUM($CG$61,$CH$61,$CI$61,$CJ$61,$CK$61,$CL$61,$CM$61,$CN$61)</f>
        <v>39</v>
      </c>
      <c r="CP61" s="52">
        <f>SUM($BY$61,$BZ$61,$CA$61,$CB$61,$CC$61,$CD$61,$CE$61,$CF$61)</f>
        <v>47</v>
      </c>
      <c r="CQ61" s="52">
        <f>SUM($CQ$57:$CQ$60)</f>
        <v>9</v>
      </c>
      <c r="CR61" s="52">
        <f>SUM($CR$57:$CR$60)</f>
        <v>5</v>
      </c>
      <c r="CS61" s="52">
        <f>SUM($CS$57:$CS$60)</f>
        <v>3</v>
      </c>
      <c r="CT61" s="52">
        <f>SUM($CT$57:$CT$60)</f>
        <v>0</v>
      </c>
      <c r="CU61" s="52">
        <f>SUM($CU$57:$CU$60)</f>
        <v>0</v>
      </c>
      <c r="CV61" s="52">
        <f>SUM($CV$57:$CV$60)</f>
        <v>45</v>
      </c>
      <c r="CW61" s="52">
        <f>SUM($CW$57:$CW$60)</f>
        <v>1</v>
      </c>
      <c r="CX61" s="52">
        <f>SUM($CX$57:$CX$60)</f>
        <v>0</v>
      </c>
      <c r="CY61" s="52">
        <f>SUM($CY$57:$CY$60)</f>
        <v>9</v>
      </c>
      <c r="CZ61" s="52">
        <f>SUM($CZ$57:$CZ$60)</f>
        <v>5</v>
      </c>
      <c r="DA61" s="52">
        <f>SUM($DA$57:$DA$60)</f>
        <v>5</v>
      </c>
      <c r="DB61" s="52">
        <f>SUM($DB$57:$DB$60)</f>
        <v>0</v>
      </c>
      <c r="DC61" s="52">
        <f>SUM($DC$57:$DC$60)</f>
        <v>0</v>
      </c>
      <c r="DD61" s="52">
        <f>SUM($DD$57:$DD$60)</f>
        <v>9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28</v>
      </c>
      <c r="DH61" s="52">
        <f>SUM($CQ$61,$CR$61,$CS$61,$CT$61,$CU$61,$CV$61,$CW$61,$CX$61)</f>
        <v>63</v>
      </c>
    </row>
    <row r="62" spans="1:112" ht="21" customHeight="1">
      <c r="A62" s="46">
        <v>44395.416666666701</v>
      </c>
      <c r="B62" s="53" t="s">
        <v>71</v>
      </c>
      <c r="C62" s="54">
        <v>4</v>
      </c>
      <c r="D62" s="54">
        <v>2</v>
      </c>
      <c r="E62" s="54">
        <v>0</v>
      </c>
      <c r="F62" s="54">
        <v>0</v>
      </c>
      <c r="G62" s="54">
        <v>0</v>
      </c>
      <c r="H62" s="54">
        <v>0</v>
      </c>
      <c r="I62" s="54">
        <v>0</v>
      </c>
      <c r="J62" s="61">
        <v>1</v>
      </c>
      <c r="K62" s="62">
        <f>$C$62*VLOOKUP($C$11,'PCU Values'!$B$9:$C$16,2,FALSE)</f>
        <v>4</v>
      </c>
      <c r="L62" s="62">
        <f>$D$62*VLOOKUP($D$11,'PCU Values'!$B$9:$C$16,2,FALSE)</f>
        <v>2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1.5</v>
      </c>
      <c r="S62" s="71">
        <f>SUM($K$62,$L$62,$M$62,$N$62,$O$62,$P$62,$Q$62,$R$62)</f>
        <v>7.5</v>
      </c>
      <c r="T62" s="52">
        <f>SUM($C$62,$D$62,$E$62,$F$62,$G$62,$H$62,$I$62,$J$62)</f>
        <v>7</v>
      </c>
      <c r="U62" s="72">
        <v>0</v>
      </c>
      <c r="V62" s="54">
        <v>1</v>
      </c>
      <c r="W62" s="54">
        <v>0</v>
      </c>
      <c r="X62" s="54">
        <v>0</v>
      </c>
      <c r="Y62" s="54">
        <v>0</v>
      </c>
      <c r="Z62" s="54">
        <v>4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1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0.8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1.8</v>
      </c>
      <c r="AL62" s="52">
        <f>SUM($U$62,$V$62,$W$62,$X$62,$Y$62,$Z$62,$AA$62,$AB$62)</f>
        <v>5</v>
      </c>
      <c r="AM62" s="72">
        <v>3</v>
      </c>
      <c r="AN62" s="54">
        <v>1</v>
      </c>
      <c r="AO62" s="54">
        <v>1</v>
      </c>
      <c r="AP62" s="54">
        <v>0</v>
      </c>
      <c r="AQ62" s="54">
        <v>0</v>
      </c>
      <c r="AR62" s="54">
        <v>3</v>
      </c>
      <c r="AS62" s="54">
        <v>0</v>
      </c>
      <c r="AT62" s="61">
        <v>1</v>
      </c>
      <c r="AU62" s="62">
        <f>$AM$62*VLOOKUP($AM$11,'PCU Values'!$B$9:$C$16,2,FALSE)</f>
        <v>3</v>
      </c>
      <c r="AV62" s="62">
        <f>$AN$62*VLOOKUP($AN$11,'PCU Values'!$B$9:$C$16,2,FALSE)</f>
        <v>1</v>
      </c>
      <c r="AW62" s="62">
        <f>$AO$62*VLOOKUP($AO$11,'PCU Values'!$B$9:$C$16,2,FALSE)</f>
        <v>1.5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0.6</v>
      </c>
      <c r="BA62" s="62">
        <f>$AS$62*VLOOKUP($AS$11,'PCU Values'!$B$9:$C$16,2,FALSE)</f>
        <v>0</v>
      </c>
      <c r="BB62" s="70">
        <f>$AT$62*VLOOKUP($AT$11,'PCU Values'!$B$9:$C$16,2,FALSE)</f>
        <v>1.5</v>
      </c>
      <c r="BC62" s="71">
        <f>SUM($AU$62,$AV$62,$AW$62,$AX$62,$AY$62,$AZ$62,$BA$62,$BB$62)</f>
        <v>7.6</v>
      </c>
      <c r="BD62" s="52">
        <f>SUM($AM$62,$AN$62,$AO$62,$AP$62,$AQ$62,$AR$62,$AS$62,$AT$62)</f>
        <v>9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7</v>
      </c>
      <c r="BZ62" s="85">
        <f>SUM($D$62,$V$62,$AN$62,$BF$62)</f>
        <v>4</v>
      </c>
      <c r="CA62" s="85">
        <f>SUM($E$62,$W$62,$AO$62,$BG$62)</f>
        <v>1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7</v>
      </c>
      <c r="CE62" s="85">
        <f>SUM($I$62,$AA$62,$AS$62,$BK$62)</f>
        <v>0</v>
      </c>
      <c r="CF62" s="88">
        <f>SUM($J$62,$AB$62,$AT$62,$BL$62)</f>
        <v>2</v>
      </c>
      <c r="CG62" s="81">
        <f>$BY$62*VLOOKUP($BY$11,'PCU Values'!$B$9:$C$16,2,FALSE)</f>
        <v>7</v>
      </c>
      <c r="CH62" s="81">
        <f>$BZ$62*VLOOKUP($BZ$11,'PCU Values'!$B$9:$C$16,2,FALSE)</f>
        <v>4</v>
      </c>
      <c r="CI62" s="81">
        <f>$CA$62*VLOOKUP($CA$11,'PCU Values'!$B$9:$C$16,2,FALSE)</f>
        <v>1.5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1.4</v>
      </c>
      <c r="CM62" s="81">
        <f>$CE$62*VLOOKUP($CE$11,'PCU Values'!$B$9:$C$16,2,FALSE)</f>
        <v>0</v>
      </c>
      <c r="CN62" s="82">
        <f>$CF$62*VLOOKUP($CF$11,'PCU Values'!$B$9:$C$16,2,FALSE)</f>
        <v>3</v>
      </c>
      <c r="CO62" s="71">
        <f>SUM($CG$62,$CH$62,$CI$62,$CJ$62,$CK$62,$CL$62,$CM$62,$CN$62)</f>
        <v>16.899999999999999</v>
      </c>
      <c r="CP62" s="52">
        <f>SUM($BY$62,$BZ$62,$CA$62,$CB$62,$CC$62,$CD$62,$CE$62,$CF$62)</f>
        <v>21</v>
      </c>
      <c r="CQ62" s="91">
        <f>SUM('J1 A - (North) Bishopthorpe Roa'!$C$62,'J1 B - Butcher Terrace'!$BE$62,'J1 C - (South) Bishopthorpe Roa'!$AM$62,'J1 D - South Bank Avenue'!$U$62)</f>
        <v>6</v>
      </c>
      <c r="CR62" s="85">
        <f>SUM('J1 A - (North) Bishopthorpe Roa'!$D$62,'J1 B - Butcher Terrace'!$BF$62,'J1 C - (South) Bishopthorpe Roa'!$AN$62,'J1 D - South Bank Avenue'!$V$62)</f>
        <v>0</v>
      </c>
      <c r="CS62" s="85">
        <f>SUM('J1 A - (North) Bishopthorpe Roa'!$E$62,'J1 B - Butcher Terrace'!$BG$62,'J1 C - (South) Bishopthorpe Roa'!$AO$62,'J1 D - South Bank Avenue'!$W$62)</f>
        <v>0</v>
      </c>
      <c r="CT62" s="85">
        <f>SUM('J1 A - (North) Bishopthorpe Roa'!$F$62,'J1 B - Butcher Terrace'!$BH$62,'J1 C - (South) Bishopthorpe Roa'!$AP$62,'J1 D - South Bank Avenue'!$X$62)</f>
        <v>0</v>
      </c>
      <c r="CU62" s="85">
        <f>SUM('J1 A - (North) Bishopthorpe Roa'!$G$62,'J1 B - Butcher Terrace'!$BI$62,'J1 C - (South) Bishopthorpe Roa'!$AQ$62,'J1 D - South Bank Avenue'!$Y$62)</f>
        <v>0</v>
      </c>
      <c r="CV62" s="85">
        <f>SUM('J1 A - (North) Bishopthorpe Roa'!$H$62,'J1 B - Butcher Terrace'!$BJ$62,'J1 C - (South) Bishopthorpe Roa'!$AR$62,'J1 D - South Bank Avenue'!$Z$62)</f>
        <v>10</v>
      </c>
      <c r="CW62" s="85">
        <f>SUM('J1 A - (North) Bishopthorpe Roa'!$I$62,'J1 B - Butcher Terrace'!$BK$62,'J1 C - (South) Bishopthorpe Roa'!$AS$62,'J1 D - South Bank Avenue'!$AA$62)</f>
        <v>0</v>
      </c>
      <c r="CX62" s="88">
        <f>SUM('J1 A - (North) Bishopthorpe Roa'!$J$62,'J1 B - Butcher Terrace'!$BL$62,'J1 C - (South) Bishopthorpe Roa'!$AT$62,'J1 D - South Bank Avenue'!$AB$62)</f>
        <v>0</v>
      </c>
      <c r="CY62" s="81">
        <f>$CQ$62*VLOOKUP($CQ$11,'PCU Values'!$B$9:$C$16,2,FALSE)</f>
        <v>6</v>
      </c>
      <c r="CZ62" s="81">
        <f>$CR$62*VLOOKUP($CR$11,'PCU Values'!$B$9:$C$16,2,FALSE)</f>
        <v>0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2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8</v>
      </c>
      <c r="DH62" s="52">
        <f>SUM($CQ$62,$CR$62,$CS$62,$CT$62,$CU$62,$CV$62,$CW$62,$CX$62)</f>
        <v>16</v>
      </c>
    </row>
    <row r="63" spans="1:112" ht="21" customHeight="1">
      <c r="A63" s="46">
        <v>44395.427083333299</v>
      </c>
      <c r="B63" s="47" t="s">
        <v>72</v>
      </c>
      <c r="C63" s="48">
        <v>4</v>
      </c>
      <c r="D63" s="48">
        <v>1</v>
      </c>
      <c r="E63" s="48">
        <v>0</v>
      </c>
      <c r="F63" s="48">
        <v>0</v>
      </c>
      <c r="G63" s="48">
        <v>0</v>
      </c>
      <c r="H63" s="48">
        <v>1</v>
      </c>
      <c r="I63" s="48">
        <v>0</v>
      </c>
      <c r="J63" s="56">
        <v>1</v>
      </c>
      <c r="K63" s="57">
        <f>$C$63*VLOOKUP($C$11,'PCU Values'!$B$9:$C$16,2,FALSE)</f>
        <v>4</v>
      </c>
      <c r="L63" s="57">
        <f>$D$63*VLOOKUP($D$11,'PCU Values'!$B$9:$C$16,2,FALSE)</f>
        <v>1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0.2</v>
      </c>
      <c r="Q63" s="57">
        <f>$I$63*VLOOKUP($I$11,'PCU Values'!$B$9:$C$16,2,FALSE)</f>
        <v>0</v>
      </c>
      <c r="R63" s="65">
        <f>$J$63*VLOOKUP($J$11,'PCU Values'!$B$9:$C$16,2,FALSE)</f>
        <v>1.5</v>
      </c>
      <c r="S63" s="66">
        <f>SUM($K$63,$L$63,$M$63,$N$63,$O$63,$P$63,$Q$63,$R$63)</f>
        <v>6.7</v>
      </c>
      <c r="T63" s="52">
        <f>SUM($C$63,$D$63,$E$63,$F$63,$G$63,$H$63,$I$63,$J$63)</f>
        <v>7</v>
      </c>
      <c r="U63" s="67">
        <v>0</v>
      </c>
      <c r="V63" s="48">
        <v>0</v>
      </c>
      <c r="W63" s="48">
        <v>0</v>
      </c>
      <c r="X63" s="48">
        <v>0</v>
      </c>
      <c r="Y63" s="48">
        <v>0</v>
      </c>
      <c r="Z63" s="48">
        <v>18</v>
      </c>
      <c r="AA63" s="48">
        <v>0</v>
      </c>
      <c r="AB63" s="56">
        <v>0</v>
      </c>
      <c r="AC63" s="57">
        <f>$U$63*VLOOKUP($U$11,'PCU Values'!$B$9:$C$16,2,FALSE)</f>
        <v>0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3.6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3.6</v>
      </c>
      <c r="AL63" s="52">
        <f>SUM($U$63,$V$63,$W$63,$X$63,$Y$63,$Z$63,$AA$63,$AB$63)</f>
        <v>18</v>
      </c>
      <c r="AM63" s="67">
        <v>2</v>
      </c>
      <c r="AN63" s="48">
        <v>3</v>
      </c>
      <c r="AO63" s="48">
        <v>1</v>
      </c>
      <c r="AP63" s="48">
        <v>0</v>
      </c>
      <c r="AQ63" s="48">
        <v>0</v>
      </c>
      <c r="AR63" s="48">
        <v>1</v>
      </c>
      <c r="AS63" s="48">
        <v>0</v>
      </c>
      <c r="AT63" s="56">
        <v>0</v>
      </c>
      <c r="AU63" s="57">
        <f>$AM$63*VLOOKUP($AM$11,'PCU Values'!$B$9:$C$16,2,FALSE)</f>
        <v>2</v>
      </c>
      <c r="AV63" s="57">
        <f>$AN$63*VLOOKUP($AN$11,'PCU Values'!$B$9:$C$16,2,FALSE)</f>
        <v>3</v>
      </c>
      <c r="AW63" s="57">
        <f>$AO$63*VLOOKUP($AO$11,'PCU Values'!$B$9:$C$16,2,FALSE)</f>
        <v>1.5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0.2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6.7</v>
      </c>
      <c r="BD63" s="52">
        <f>SUM($AM$63,$AN$63,$AO$63,$AP$63,$AQ$63,$AR$63,$AS$63,$AT$63)</f>
        <v>7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6</v>
      </c>
      <c r="BZ63" s="83">
        <f>SUM($D$63,$V$63,$AN$63,$BF$63)</f>
        <v>4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20</v>
      </c>
      <c r="CE63" s="83">
        <f>SUM($I$63,$AA$63,$AS$63,$BK$63)</f>
        <v>0</v>
      </c>
      <c r="CF63" s="86">
        <f>SUM($J$63,$AB$63,$AT$63,$BL$63)</f>
        <v>1</v>
      </c>
      <c r="CG63" s="77">
        <f>$BY$63*VLOOKUP($BY$11,'PCU Values'!$B$9:$C$16,2,FALSE)</f>
        <v>6</v>
      </c>
      <c r="CH63" s="77">
        <f>$BZ$63*VLOOKUP($BZ$11,'PCU Values'!$B$9:$C$16,2,FALSE)</f>
        <v>4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4</v>
      </c>
      <c r="CM63" s="77">
        <f>$CE$63*VLOOKUP($CE$11,'PCU Values'!$B$9:$C$16,2,FALSE)</f>
        <v>0</v>
      </c>
      <c r="CN63" s="78">
        <f>$CF$63*VLOOKUP($CF$11,'PCU Values'!$B$9:$C$16,2,FALSE)</f>
        <v>1.5</v>
      </c>
      <c r="CO63" s="66">
        <f>SUM($CG$63,$CH$63,$CI$63,$CJ$63,$CK$63,$CL$63,$CM$63,$CN$63)</f>
        <v>17</v>
      </c>
      <c r="CP63" s="52">
        <f>SUM($BY$63,$BZ$63,$CA$63,$CB$63,$CC$63,$CD$63,$CE$63,$CF$63)</f>
        <v>32</v>
      </c>
      <c r="CQ63" s="89">
        <f>SUM('J1 A - (North) Bishopthorpe Roa'!$C$63,'J1 B - Butcher Terrace'!$BE$63,'J1 C - (South) Bishopthorpe Roa'!$AM$63,'J1 D - South Bank Avenue'!$U$63)</f>
        <v>7</v>
      </c>
      <c r="CR63" s="83">
        <f>SUM('J1 A - (North) Bishopthorpe Roa'!$D$63,'J1 B - Butcher Terrace'!$BF$63,'J1 C - (South) Bishopthorpe Roa'!$AN$63,'J1 D - South Bank Avenue'!$V$63)</f>
        <v>2</v>
      </c>
      <c r="CS63" s="83">
        <f>SUM('J1 A - (North) Bishopthorpe Roa'!$E$63,'J1 B - Butcher Terrace'!$BG$63,'J1 C - (South) Bishopthorpe Roa'!$AO$63,'J1 D - South Bank Avenue'!$W$63)</f>
        <v>0</v>
      </c>
      <c r="CT63" s="83">
        <f>SUM('J1 A - (North) Bishopthorpe Roa'!$F$63,'J1 B - Butcher Terrace'!$BH$63,'J1 C - (South) Bishopthorpe Roa'!$AP$63,'J1 D - South Bank Avenue'!$X$63)</f>
        <v>0</v>
      </c>
      <c r="CU63" s="83">
        <f>SUM('J1 A - (North) Bishopthorpe Roa'!$G$63,'J1 B - Butcher Terrace'!$BI$63,'J1 C - (South) Bishopthorpe Roa'!$AQ$63,'J1 D - South Bank Avenue'!$Y$63)</f>
        <v>0</v>
      </c>
      <c r="CV63" s="83">
        <f>SUM('J1 A - (North) Bishopthorpe Roa'!$H$63,'J1 B - Butcher Terrace'!$BJ$63,'J1 C - (South) Bishopthorpe Roa'!$AR$63,'J1 D - South Bank Avenue'!$Z$63)</f>
        <v>6</v>
      </c>
      <c r="CW63" s="83">
        <f>SUM('J1 A - (North) Bishopthorpe Roa'!$I$63,'J1 B - Butcher Terrace'!$BK$63,'J1 C - (South) Bishopthorpe Roa'!$AS$63,'J1 D - South Bank Avenue'!$AA$63)</f>
        <v>0</v>
      </c>
      <c r="CX63" s="86">
        <f>SUM('J1 A - (North) Bishopthorpe Roa'!$J$63,'J1 B - Butcher Terrace'!$BL$63,'J1 C - (South) Bishopthorpe Roa'!$AT$63,'J1 D - South Bank Avenue'!$AB$63)</f>
        <v>0</v>
      </c>
      <c r="CY63" s="77">
        <f>$CQ$63*VLOOKUP($CQ$11,'PCU Values'!$B$9:$C$16,2,FALSE)</f>
        <v>7</v>
      </c>
      <c r="CZ63" s="77">
        <f>$CR$63*VLOOKUP($CR$11,'PCU Values'!$B$9:$C$16,2,FALSE)</f>
        <v>2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1.2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10.199999999999999</v>
      </c>
      <c r="DH63" s="52">
        <f>SUM($CQ$63,$CR$63,$CS$63,$CT$63,$CU$63,$CV$63,$CW$63,$CX$63)</f>
        <v>15</v>
      </c>
    </row>
    <row r="64" spans="1:112" ht="21" customHeight="1">
      <c r="A64" s="46">
        <v>44395.4375</v>
      </c>
      <c r="B64" s="47" t="s">
        <v>73</v>
      </c>
      <c r="C64" s="48">
        <v>4</v>
      </c>
      <c r="D64" s="48">
        <v>2</v>
      </c>
      <c r="E64" s="48">
        <v>0</v>
      </c>
      <c r="F64" s="48">
        <v>0</v>
      </c>
      <c r="G64" s="48">
        <v>0</v>
      </c>
      <c r="H64" s="48">
        <v>3</v>
      </c>
      <c r="I64" s="48">
        <v>0</v>
      </c>
      <c r="J64" s="56">
        <v>2</v>
      </c>
      <c r="K64" s="57">
        <f>$C$64*VLOOKUP($C$11,'PCU Values'!$B$9:$C$16,2,FALSE)</f>
        <v>4</v>
      </c>
      <c r="L64" s="57">
        <f>$D$64*VLOOKUP($D$11,'PCU Values'!$B$9:$C$16,2,FALSE)</f>
        <v>2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0.6</v>
      </c>
      <c r="Q64" s="57">
        <f>$I$64*VLOOKUP($I$11,'PCU Values'!$B$9:$C$16,2,FALSE)</f>
        <v>0</v>
      </c>
      <c r="R64" s="65">
        <f>$J$64*VLOOKUP($J$11,'PCU Values'!$B$9:$C$16,2,FALSE)</f>
        <v>3</v>
      </c>
      <c r="S64" s="66">
        <f>SUM($K$64,$L$64,$M$64,$N$64,$O$64,$P$64,$Q$64,$R$64)</f>
        <v>9.6</v>
      </c>
      <c r="T64" s="52">
        <f>SUM($C$64,$D$64,$E$64,$F$64,$G$64,$H$64,$I$64,$J$64)</f>
        <v>11</v>
      </c>
      <c r="U64" s="67">
        <v>0</v>
      </c>
      <c r="V64" s="48">
        <v>0</v>
      </c>
      <c r="W64" s="48">
        <v>0</v>
      </c>
      <c r="X64" s="48">
        <v>0</v>
      </c>
      <c r="Y64" s="48">
        <v>0</v>
      </c>
      <c r="Z64" s="48">
        <v>4</v>
      </c>
      <c r="AA64" s="48">
        <v>0</v>
      </c>
      <c r="AB64" s="56">
        <v>0</v>
      </c>
      <c r="AC64" s="57">
        <f>$U$64*VLOOKUP($U$11,'PCU Values'!$B$9:$C$16,2,FALSE)</f>
        <v>0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0.8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0.8</v>
      </c>
      <c r="AL64" s="52">
        <f>SUM($U$64,$V$64,$W$64,$X$64,$Y$64,$Z$64,$AA$64,$AB$64)</f>
        <v>4</v>
      </c>
      <c r="AM64" s="67">
        <v>5</v>
      </c>
      <c r="AN64" s="48">
        <v>4</v>
      </c>
      <c r="AO64" s="48">
        <v>0</v>
      </c>
      <c r="AP64" s="48">
        <v>0</v>
      </c>
      <c r="AQ64" s="48">
        <v>0</v>
      </c>
      <c r="AR64" s="48">
        <v>4</v>
      </c>
      <c r="AS64" s="48">
        <v>0</v>
      </c>
      <c r="AT64" s="56">
        <v>2</v>
      </c>
      <c r="AU64" s="57">
        <f>$AM$64*VLOOKUP($AM$11,'PCU Values'!$B$9:$C$16,2,FALSE)</f>
        <v>5</v>
      </c>
      <c r="AV64" s="57">
        <f>$AN$64*VLOOKUP($AN$11,'PCU Values'!$B$9:$C$16,2,FALSE)</f>
        <v>4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0.8</v>
      </c>
      <c r="BA64" s="57">
        <f>$AS$64*VLOOKUP($AS$11,'PCU Values'!$B$9:$C$16,2,FALSE)</f>
        <v>0</v>
      </c>
      <c r="BB64" s="65">
        <f>$AT$64*VLOOKUP($AT$11,'PCU Values'!$B$9:$C$16,2,FALSE)</f>
        <v>3</v>
      </c>
      <c r="BC64" s="66">
        <f>SUM($AU$64,$AV$64,$AW$64,$AX$64,$AY$64,$AZ$64,$BA$64,$BB$64)</f>
        <v>12.8</v>
      </c>
      <c r="BD64" s="52">
        <f>SUM($AM$64,$AN$64,$AO$64,$AP$64,$AQ$64,$AR$64,$AS$64,$AT$64)</f>
        <v>15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9</v>
      </c>
      <c r="BZ64" s="83">
        <f>SUM($D$64,$V$64,$AN$64,$BF$64)</f>
        <v>6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11</v>
      </c>
      <c r="CE64" s="83">
        <f>SUM($I$64,$AA$64,$AS$64,$BK$64)</f>
        <v>0</v>
      </c>
      <c r="CF64" s="86">
        <f>SUM($J$64,$AB$64,$AT$64,$BL$64)</f>
        <v>4</v>
      </c>
      <c r="CG64" s="77">
        <f>$BY$64*VLOOKUP($BY$11,'PCU Values'!$B$9:$C$16,2,FALSE)</f>
        <v>9</v>
      </c>
      <c r="CH64" s="77">
        <f>$BZ$64*VLOOKUP($BZ$11,'PCU Values'!$B$9:$C$16,2,FALSE)</f>
        <v>6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2.2000000000000002</v>
      </c>
      <c r="CM64" s="77">
        <f>$CE$64*VLOOKUP($CE$11,'PCU Values'!$B$9:$C$16,2,FALSE)</f>
        <v>0</v>
      </c>
      <c r="CN64" s="78">
        <f>$CF$64*VLOOKUP($CF$11,'PCU Values'!$B$9:$C$16,2,FALSE)</f>
        <v>6</v>
      </c>
      <c r="CO64" s="66">
        <f>SUM($CG$64,$CH$64,$CI$64,$CJ$64,$CK$64,$CL$64,$CM$64,$CN$64)</f>
        <v>23.2</v>
      </c>
      <c r="CP64" s="52">
        <f>SUM($BY$64,$BZ$64,$CA$64,$CB$64,$CC$64,$CD$64,$CE$64,$CF$64)</f>
        <v>30</v>
      </c>
      <c r="CQ64" s="89">
        <f>SUM('J1 A - (North) Bishopthorpe Roa'!$C$64,'J1 B - Butcher Terrace'!$BE$64,'J1 C - (South) Bishopthorpe Roa'!$AM$64,'J1 D - South Bank Avenue'!$U$64)</f>
        <v>5</v>
      </c>
      <c r="CR64" s="83">
        <f>SUM('J1 A - (North) Bishopthorpe Roa'!$D$64,'J1 B - Butcher Terrace'!$BF$64,'J1 C - (South) Bishopthorpe Roa'!$AN$64,'J1 D - South Bank Avenue'!$V$64)</f>
        <v>0</v>
      </c>
      <c r="CS64" s="83">
        <f>SUM('J1 A - (North) Bishopthorpe Roa'!$E$64,'J1 B - Butcher Terrace'!$BG$64,'J1 C - (South) Bishopthorpe Roa'!$AO$64,'J1 D - South Bank Avenue'!$W$64)</f>
        <v>0</v>
      </c>
      <c r="CT64" s="83">
        <f>SUM('J1 A - (North) Bishopthorpe Roa'!$F$64,'J1 B - Butcher Terrace'!$BH$64,'J1 C - (South) Bishopthorpe Roa'!$AP$64,'J1 D - South Bank Avenue'!$X$64)</f>
        <v>0</v>
      </c>
      <c r="CU64" s="83">
        <f>SUM('J1 A - (North) Bishopthorpe Roa'!$G$64,'J1 B - Butcher Terrace'!$BI$64,'J1 C - (South) Bishopthorpe Roa'!$AQ$64,'J1 D - South Bank Avenue'!$Y$64)</f>
        <v>0</v>
      </c>
      <c r="CV64" s="83">
        <f>SUM('J1 A - (North) Bishopthorpe Roa'!$H$64,'J1 B - Butcher Terrace'!$BJ$64,'J1 C - (South) Bishopthorpe Roa'!$AR$64,'J1 D - South Bank Avenue'!$Z$64)</f>
        <v>4</v>
      </c>
      <c r="CW64" s="83">
        <f>SUM('J1 A - (North) Bishopthorpe Roa'!$I$64,'J1 B - Butcher Terrace'!$BK$64,'J1 C - (South) Bishopthorpe Roa'!$AS$64,'J1 D - South Bank Avenue'!$AA$64)</f>
        <v>0</v>
      </c>
      <c r="CX64" s="86">
        <f>SUM('J1 A - (North) Bishopthorpe Roa'!$J$64,'J1 B - Butcher Terrace'!$BL$64,'J1 C - (South) Bishopthorpe Roa'!$AT$64,'J1 D - South Bank Avenue'!$AB$64)</f>
        <v>0</v>
      </c>
      <c r="CY64" s="77">
        <f>$CQ$64*VLOOKUP($CQ$11,'PCU Values'!$B$9:$C$16,2,FALSE)</f>
        <v>5</v>
      </c>
      <c r="CZ64" s="77">
        <f>$CR$64*VLOOKUP($CR$11,'PCU Values'!$B$9:$C$16,2,FALSE)</f>
        <v>0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0.8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5.8</v>
      </c>
      <c r="DH64" s="52">
        <f>SUM($CQ$64,$CR$64,$CS$64,$CT$64,$CU$64,$CV$64,$CW$64,$CX$64)</f>
        <v>9</v>
      </c>
    </row>
    <row r="65" spans="1:112" ht="21" customHeight="1">
      <c r="A65" s="46">
        <v>44395.447916666701</v>
      </c>
      <c r="B65" s="50" t="s">
        <v>74</v>
      </c>
      <c r="C65" s="51">
        <v>2</v>
      </c>
      <c r="D65" s="51">
        <v>0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9">
        <v>0</v>
      </c>
      <c r="K65" s="60">
        <f>$C$65*VLOOKUP($C$11,'PCU Values'!$B$9:$C$16,2,FALSE)</f>
        <v>2</v>
      </c>
      <c r="L65" s="60">
        <f>$D$65*VLOOKUP($D$11,'PCU Values'!$B$9:$C$16,2,FALSE)</f>
        <v>0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2</v>
      </c>
      <c r="T65" s="52">
        <f>SUM($C$65,$D$65,$E$65,$F$65,$G$65,$H$65,$I$65,$J$65)</f>
        <v>2</v>
      </c>
      <c r="U65" s="73">
        <v>0</v>
      </c>
      <c r="V65" s="51">
        <v>0</v>
      </c>
      <c r="W65" s="51">
        <v>0</v>
      </c>
      <c r="X65" s="51">
        <v>0</v>
      </c>
      <c r="Y65" s="51">
        <v>0</v>
      </c>
      <c r="Z65" s="51">
        <v>2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0.4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0.4</v>
      </c>
      <c r="AL65" s="52">
        <f>SUM($U$65,$V$65,$W$65,$X$65,$Y$65,$Z$65,$AA$65,$AB$65)</f>
        <v>2</v>
      </c>
      <c r="AM65" s="73">
        <v>2</v>
      </c>
      <c r="AN65" s="51">
        <v>3</v>
      </c>
      <c r="AO65" s="51">
        <v>0</v>
      </c>
      <c r="AP65" s="51">
        <v>0</v>
      </c>
      <c r="AQ65" s="51">
        <v>0</v>
      </c>
      <c r="AR65" s="51">
        <v>1</v>
      </c>
      <c r="AS65" s="51">
        <v>0</v>
      </c>
      <c r="AT65" s="59">
        <v>0</v>
      </c>
      <c r="AU65" s="60">
        <f>$AM$65*VLOOKUP($AM$11,'PCU Values'!$B$9:$C$16,2,FALSE)</f>
        <v>2</v>
      </c>
      <c r="AV65" s="60">
        <f>$AN$65*VLOOKUP($AN$11,'PCU Values'!$B$9:$C$16,2,FALSE)</f>
        <v>3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0.2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5.2</v>
      </c>
      <c r="BD65" s="52">
        <f>SUM($AM$65,$AN$65,$AO$65,$AP$65,$AQ$65,$AR$65,$AS$65,$AT$65)</f>
        <v>6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4</v>
      </c>
      <c r="BZ65" s="84">
        <f>SUM($D$65,$V$65,$AN$65,$BF$65)</f>
        <v>3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3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4</v>
      </c>
      <c r="CH65" s="79">
        <f>$BZ$65*VLOOKUP($BZ$11,'PCU Values'!$B$9:$C$16,2,FALSE)</f>
        <v>3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0.6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7.6</v>
      </c>
      <c r="CP65" s="52">
        <f>SUM($BY$65,$BZ$65,$CA$65,$CB$65,$CC$65,$CD$65,$CE$65,$CF$65)</f>
        <v>10</v>
      </c>
      <c r="CQ65" s="90">
        <f>SUM('J1 A - (North) Bishopthorpe Roa'!$C$65,'J1 B - Butcher Terrace'!$BE$65,'J1 C - (South) Bishopthorpe Roa'!$AM$65,'J1 D - South Bank Avenue'!$U$65)</f>
        <v>2</v>
      </c>
      <c r="CR65" s="84">
        <f>SUM('J1 A - (North) Bishopthorpe Roa'!$D$65,'J1 B - Butcher Terrace'!$BF$65,'J1 C - (South) Bishopthorpe Roa'!$AN$65,'J1 D - South Bank Avenue'!$V$65)</f>
        <v>1</v>
      </c>
      <c r="CS65" s="84">
        <f>SUM('J1 A - (North) Bishopthorpe Roa'!$E$65,'J1 B - Butcher Terrace'!$BG$65,'J1 C - (South) Bishopthorpe Roa'!$AO$65,'J1 D - South Bank Avenue'!$W$65)</f>
        <v>3</v>
      </c>
      <c r="CT65" s="84">
        <f>SUM('J1 A - (North) Bishopthorpe Roa'!$F$65,'J1 B - Butcher Terrace'!$BH$65,'J1 C - (South) Bishopthorpe Roa'!$AP$65,'J1 D - South Bank Avenue'!$X$65)</f>
        <v>0</v>
      </c>
      <c r="CU65" s="84">
        <f>SUM('J1 A - (North) Bishopthorpe Roa'!$G$65,'J1 B - Butcher Terrace'!$BI$65,'J1 C - (South) Bishopthorpe Roa'!$AQ$65,'J1 D - South Bank Avenue'!$Y$65)</f>
        <v>0</v>
      </c>
      <c r="CV65" s="84">
        <f>SUM('J1 A - (North) Bishopthorpe Roa'!$H$65,'J1 B - Butcher Terrace'!$BJ$65,'J1 C - (South) Bishopthorpe Roa'!$AR$65,'J1 D - South Bank Avenue'!$Z$65)</f>
        <v>10</v>
      </c>
      <c r="CW65" s="84">
        <f>SUM('J1 A - (North) Bishopthorpe Roa'!$I$65,'J1 B - Butcher Terrace'!$BK$65,'J1 C - (South) Bishopthorpe Roa'!$AS$65,'J1 D - South Bank Avenue'!$AA$65)</f>
        <v>0</v>
      </c>
      <c r="CX65" s="87">
        <f>SUM('J1 A - (North) Bishopthorpe Roa'!$J$65,'J1 B - Butcher Terrace'!$BL$65,'J1 C - (South) Bishopthorpe Roa'!$AT$65,'J1 D - South Bank Avenue'!$AB$65)</f>
        <v>0</v>
      </c>
      <c r="CY65" s="79">
        <f>$CQ$65*VLOOKUP($CQ$11,'PCU Values'!$B$9:$C$16,2,FALSE)</f>
        <v>2</v>
      </c>
      <c r="CZ65" s="79">
        <f>$CR$65*VLOOKUP($CR$11,'PCU Values'!$B$9:$C$16,2,FALSE)</f>
        <v>1</v>
      </c>
      <c r="DA65" s="79">
        <f>$CS$65*VLOOKUP($CS$11,'PCU Values'!$B$9:$C$16,2,FALSE)</f>
        <v>4.5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2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9.5</v>
      </c>
      <c r="DH65" s="52">
        <f>SUM($CQ$65,$CR$65,$CS$65,$CT$65,$CU$65,$CV$65,$CW$65,$CX$65)</f>
        <v>16</v>
      </c>
    </row>
    <row r="66" spans="1:112">
      <c r="B66" s="52" t="s">
        <v>34</v>
      </c>
      <c r="C66" s="52">
        <f>SUM($C$62:$C$65)</f>
        <v>14</v>
      </c>
      <c r="D66" s="52">
        <f>SUM($D$62:$D$65)</f>
        <v>5</v>
      </c>
      <c r="E66" s="52">
        <f>SUM($E$62:$E$65)</f>
        <v>0</v>
      </c>
      <c r="F66" s="52">
        <f>SUM($F$62:$F$65)</f>
        <v>0</v>
      </c>
      <c r="G66" s="52">
        <f>SUM($G$62:$G$65)</f>
        <v>0</v>
      </c>
      <c r="H66" s="52">
        <f>SUM($H$62:$H$65)</f>
        <v>4</v>
      </c>
      <c r="I66" s="52">
        <f>SUM($I$62:$I$65)</f>
        <v>0</v>
      </c>
      <c r="J66" s="52">
        <f>SUM($J$62:$J$65)</f>
        <v>4</v>
      </c>
      <c r="K66" s="52">
        <f>SUM($K$62:$K$65)</f>
        <v>14</v>
      </c>
      <c r="L66" s="52">
        <f>SUM($L$62:$L$65)</f>
        <v>5</v>
      </c>
      <c r="M66" s="52">
        <f>SUM($M$62:$M$65)</f>
        <v>0</v>
      </c>
      <c r="N66" s="52">
        <f>SUM($N$62:$N$65)</f>
        <v>0</v>
      </c>
      <c r="O66" s="52">
        <f>SUM($O$62:$O$65)</f>
        <v>0</v>
      </c>
      <c r="P66" s="52">
        <f>SUM($P$62:$P$65)</f>
        <v>1</v>
      </c>
      <c r="Q66" s="52">
        <f>SUM($Q$62:$Q$65)</f>
        <v>0</v>
      </c>
      <c r="R66" s="52">
        <f>SUM($R$62:$R$65)</f>
        <v>6</v>
      </c>
      <c r="S66" s="52">
        <f>SUM($K$66,$L$66,$M$66,$N$66,$O$66,$P$66,$Q$66,$R$66)</f>
        <v>26</v>
      </c>
      <c r="T66" s="52">
        <f>SUM($C$66,$D$66,$E$66,$F$66,$G$66,$H$66,$I$66,$J$66)</f>
        <v>27</v>
      </c>
      <c r="U66" s="52">
        <f>SUM($U$62:$U$65)</f>
        <v>0</v>
      </c>
      <c r="V66" s="52">
        <f>SUM($V$62:$V$65)</f>
        <v>1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28</v>
      </c>
      <c r="AA66" s="52">
        <f>SUM($AA$62:$AA$65)</f>
        <v>0</v>
      </c>
      <c r="AB66" s="52">
        <f>SUM($AB$62:$AB$65)</f>
        <v>0</v>
      </c>
      <c r="AC66" s="52">
        <f>SUM($AC$62:$AC$65)</f>
        <v>0</v>
      </c>
      <c r="AD66" s="52">
        <f>SUM($AD$62:$AD$65)</f>
        <v>1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6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7</v>
      </c>
      <c r="AL66" s="52">
        <f>SUM($U$66,$V$66,$W$66,$X$66,$Y$66,$Z$66,$AA$66,$AB$66)</f>
        <v>29</v>
      </c>
      <c r="AM66" s="52">
        <f>SUM($AM$62:$AM$65)</f>
        <v>12</v>
      </c>
      <c r="AN66" s="52">
        <f>SUM($AN$62:$AN$65)</f>
        <v>11</v>
      </c>
      <c r="AO66" s="52">
        <f>SUM($AO$62:$AO$65)</f>
        <v>2</v>
      </c>
      <c r="AP66" s="52">
        <f>SUM($AP$62:$AP$65)</f>
        <v>0</v>
      </c>
      <c r="AQ66" s="52">
        <f>SUM($AQ$62:$AQ$65)</f>
        <v>0</v>
      </c>
      <c r="AR66" s="52">
        <f>SUM($AR$62:$AR$65)</f>
        <v>9</v>
      </c>
      <c r="AS66" s="52">
        <f>SUM($AS$62:$AS$65)</f>
        <v>0</v>
      </c>
      <c r="AT66" s="52">
        <f>SUM($AT$62:$AT$65)</f>
        <v>3</v>
      </c>
      <c r="AU66" s="52">
        <f>SUM($AU$62:$AU$65)</f>
        <v>12</v>
      </c>
      <c r="AV66" s="52">
        <f>SUM($AV$62:$AV$65)</f>
        <v>11</v>
      </c>
      <c r="AW66" s="52">
        <f>SUM($AW$62:$AW$65)</f>
        <v>3</v>
      </c>
      <c r="AX66" s="52">
        <f>SUM($AX$62:$AX$65)</f>
        <v>0</v>
      </c>
      <c r="AY66" s="52">
        <f>SUM($AY$62:$AY$65)</f>
        <v>0</v>
      </c>
      <c r="AZ66" s="52">
        <f>SUM($AZ$62:$AZ$65)</f>
        <v>2</v>
      </c>
      <c r="BA66" s="52">
        <f>SUM($BA$62:$BA$65)</f>
        <v>0</v>
      </c>
      <c r="BB66" s="52">
        <f>SUM($BB$62:$BB$65)</f>
        <v>5</v>
      </c>
      <c r="BC66" s="52">
        <f>SUM($AU$66,$AV$66,$AW$66,$AX$66,$AY$66,$AZ$66,$BA$66,$BB$66)</f>
        <v>33</v>
      </c>
      <c r="BD66" s="52">
        <f>SUM($AM$66,$AN$66,$AO$66,$AP$66,$AQ$66,$AR$66,$AS$66,$AT$66)</f>
        <v>37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26</v>
      </c>
      <c r="BZ66" s="52">
        <f>SUM($BZ$62:$BZ$65)</f>
        <v>17</v>
      </c>
      <c r="CA66" s="52">
        <f>SUM($CA$62:$CA$65)</f>
        <v>2</v>
      </c>
      <c r="CB66" s="52">
        <f>SUM($CB$62:$CB$65)</f>
        <v>0</v>
      </c>
      <c r="CC66" s="52">
        <f>SUM($CC$62:$CC$65)</f>
        <v>0</v>
      </c>
      <c r="CD66" s="52">
        <f>SUM($CD$62:$CD$65)</f>
        <v>41</v>
      </c>
      <c r="CE66" s="52">
        <f>SUM($CE$62:$CE$65)</f>
        <v>0</v>
      </c>
      <c r="CF66" s="52">
        <f>SUM($CF$62:$CF$65)</f>
        <v>7</v>
      </c>
      <c r="CG66" s="52">
        <f>SUM($CG$62:$CG$65)</f>
        <v>26</v>
      </c>
      <c r="CH66" s="52">
        <f>SUM($CH$62:$CH$65)</f>
        <v>17</v>
      </c>
      <c r="CI66" s="52">
        <f>SUM($CI$62:$CI$65)</f>
        <v>3</v>
      </c>
      <c r="CJ66" s="52">
        <f>SUM($CJ$62:$CJ$65)</f>
        <v>0</v>
      </c>
      <c r="CK66" s="52">
        <f>SUM($CK$62:$CK$65)</f>
        <v>0</v>
      </c>
      <c r="CL66" s="52">
        <f>SUM($CL$62:$CL$65)</f>
        <v>8</v>
      </c>
      <c r="CM66" s="52">
        <f>SUM($CM$62:$CM$65)</f>
        <v>0</v>
      </c>
      <c r="CN66" s="52">
        <f>SUM($CN$62:$CN$65)</f>
        <v>11</v>
      </c>
      <c r="CO66" s="52">
        <f>SUM($CG$66,$CH$66,$CI$66,$CJ$66,$CK$66,$CL$66,$CM$66,$CN$66)</f>
        <v>65</v>
      </c>
      <c r="CP66" s="52">
        <f>SUM($BY$66,$BZ$66,$CA$66,$CB$66,$CC$66,$CD$66,$CE$66,$CF$66)</f>
        <v>93</v>
      </c>
      <c r="CQ66" s="52">
        <f>SUM($CQ$62:$CQ$65)</f>
        <v>20</v>
      </c>
      <c r="CR66" s="52">
        <f>SUM($CR$62:$CR$65)</f>
        <v>3</v>
      </c>
      <c r="CS66" s="52">
        <f>SUM($CS$62:$CS$65)</f>
        <v>3</v>
      </c>
      <c r="CT66" s="52">
        <f>SUM($CT$62:$CT$65)</f>
        <v>0</v>
      </c>
      <c r="CU66" s="52">
        <f>SUM($CU$62:$CU$65)</f>
        <v>0</v>
      </c>
      <c r="CV66" s="52">
        <f>SUM($CV$62:$CV$65)</f>
        <v>30</v>
      </c>
      <c r="CW66" s="52">
        <f>SUM($CW$62:$CW$65)</f>
        <v>0</v>
      </c>
      <c r="CX66" s="52">
        <f>SUM($CX$62:$CX$65)</f>
        <v>0</v>
      </c>
      <c r="CY66" s="52">
        <f>SUM($CY$62:$CY$65)</f>
        <v>20</v>
      </c>
      <c r="CZ66" s="52">
        <f>SUM($CZ$62:$CZ$65)</f>
        <v>3</v>
      </c>
      <c r="DA66" s="52">
        <f>SUM($DA$62:$DA$65)</f>
        <v>5</v>
      </c>
      <c r="DB66" s="52">
        <f>SUM($DB$62:$DB$65)</f>
        <v>0</v>
      </c>
      <c r="DC66" s="52">
        <f>SUM($DC$62:$DC$65)</f>
        <v>0</v>
      </c>
      <c r="DD66" s="52">
        <f>SUM($DD$62:$DD$65)</f>
        <v>6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34</v>
      </c>
      <c r="DH66" s="52">
        <f>SUM($CQ$66,$CR$66,$CS$66,$CT$66,$CU$66,$CV$66,$CW$66,$CX$66)</f>
        <v>56</v>
      </c>
    </row>
    <row r="67" spans="1:112" ht="21" customHeight="1">
      <c r="A67" s="46">
        <v>44395.458333333299</v>
      </c>
      <c r="B67" s="53" t="s">
        <v>75</v>
      </c>
      <c r="C67" s="54">
        <v>3</v>
      </c>
      <c r="D67" s="54">
        <v>1</v>
      </c>
      <c r="E67" s="54">
        <v>0</v>
      </c>
      <c r="F67" s="54">
        <v>0</v>
      </c>
      <c r="G67" s="54">
        <v>0</v>
      </c>
      <c r="H67" s="54">
        <v>1</v>
      </c>
      <c r="I67" s="54">
        <v>0</v>
      </c>
      <c r="J67" s="61">
        <v>0</v>
      </c>
      <c r="K67" s="62">
        <f>$C$67*VLOOKUP($C$11,'PCU Values'!$B$9:$C$16,2,FALSE)</f>
        <v>3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0.2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4.2</v>
      </c>
      <c r="T67" s="52">
        <f>SUM($C$67,$D$67,$E$67,$F$67,$G$67,$H$67,$I$67,$J$67)</f>
        <v>5</v>
      </c>
      <c r="U67" s="72">
        <v>0</v>
      </c>
      <c r="V67" s="54">
        <v>0</v>
      </c>
      <c r="W67" s="54">
        <v>0</v>
      </c>
      <c r="X67" s="54">
        <v>0</v>
      </c>
      <c r="Y67" s="54">
        <v>0</v>
      </c>
      <c r="Z67" s="54">
        <v>2</v>
      </c>
      <c r="AA67" s="54">
        <v>0</v>
      </c>
      <c r="AB67" s="61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0.4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0.4</v>
      </c>
      <c r="AL67" s="52">
        <f>SUM($U$67,$V$67,$W$67,$X$67,$Y$67,$Z$67,$AA$67,$AB$67)</f>
        <v>2</v>
      </c>
      <c r="AM67" s="72">
        <v>2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1</v>
      </c>
      <c r="AU67" s="62">
        <f>$AM$67*VLOOKUP($AM$11,'PCU Values'!$B$9:$C$16,2,FALSE)</f>
        <v>2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1.5</v>
      </c>
      <c r="BC67" s="71">
        <f>SUM($AU$67,$AV$67,$AW$67,$AX$67,$AY$67,$AZ$67,$BA$67,$BB$67)</f>
        <v>3.5</v>
      </c>
      <c r="BD67" s="52">
        <f>SUM($AM$67,$AN$67,$AO$67,$AP$67,$AQ$67,$AR$67,$AS$67,$AT$67)</f>
        <v>3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5</v>
      </c>
      <c r="BZ67" s="85">
        <f>SUM($D$67,$V$67,$AN$67,$BF$67)</f>
        <v>1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3</v>
      </c>
      <c r="CE67" s="85">
        <f>SUM($I$67,$AA$67,$AS$67,$BK$67)</f>
        <v>0</v>
      </c>
      <c r="CF67" s="88">
        <f>SUM($J$67,$AB$67,$AT$67,$BL$67)</f>
        <v>1</v>
      </c>
      <c r="CG67" s="81">
        <f>$BY$67*VLOOKUP($BY$11,'PCU Values'!$B$9:$C$16,2,FALSE)</f>
        <v>5</v>
      </c>
      <c r="CH67" s="81">
        <f>$BZ$67*VLOOKUP($BZ$11,'PCU Values'!$B$9:$C$16,2,FALSE)</f>
        <v>1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0.6</v>
      </c>
      <c r="CM67" s="81">
        <f>$CE$67*VLOOKUP($CE$11,'PCU Values'!$B$9:$C$16,2,FALSE)</f>
        <v>0</v>
      </c>
      <c r="CN67" s="82">
        <f>$CF$67*VLOOKUP($CF$11,'PCU Values'!$B$9:$C$16,2,FALSE)</f>
        <v>1.5</v>
      </c>
      <c r="CO67" s="71">
        <f>SUM($CG$67,$CH$67,$CI$67,$CJ$67,$CK$67,$CL$67,$CM$67,$CN$67)</f>
        <v>8.1</v>
      </c>
      <c r="CP67" s="52">
        <f>SUM($BY$67,$BZ$67,$CA$67,$CB$67,$CC$67,$CD$67,$CE$67,$CF$67)</f>
        <v>10</v>
      </c>
      <c r="CQ67" s="91">
        <f>SUM('J1 A - (North) Bishopthorpe Roa'!$C$67,'J1 B - Butcher Terrace'!$BE$67,'J1 C - (South) Bishopthorpe Roa'!$AM$67,'J1 D - South Bank Avenue'!$U$67)</f>
        <v>5</v>
      </c>
      <c r="CR67" s="85">
        <f>SUM('J1 A - (North) Bishopthorpe Roa'!$D$67,'J1 B - Butcher Terrace'!$BF$67,'J1 C - (South) Bishopthorpe Roa'!$AN$67,'J1 D - South Bank Avenue'!$V$67)</f>
        <v>2</v>
      </c>
      <c r="CS67" s="85">
        <f>SUM('J1 A - (North) Bishopthorpe Roa'!$E$67,'J1 B - Butcher Terrace'!$BG$67,'J1 C - (South) Bishopthorpe Roa'!$AO$67,'J1 D - South Bank Avenue'!$W$67)</f>
        <v>0</v>
      </c>
      <c r="CT67" s="85">
        <f>SUM('J1 A - (North) Bishopthorpe Roa'!$F$67,'J1 B - Butcher Terrace'!$BH$67,'J1 C - (South) Bishopthorpe Roa'!$AP$67,'J1 D - South Bank Avenue'!$X$67)</f>
        <v>0</v>
      </c>
      <c r="CU67" s="85">
        <f>SUM('J1 A - (North) Bishopthorpe Roa'!$G$67,'J1 B - Butcher Terrace'!$BI$67,'J1 C - (South) Bishopthorpe Roa'!$AQ$67,'J1 D - South Bank Avenue'!$Y$67)</f>
        <v>0</v>
      </c>
      <c r="CV67" s="85">
        <f>SUM('J1 A - (North) Bishopthorpe Roa'!$H$67,'J1 B - Butcher Terrace'!$BJ$67,'J1 C - (South) Bishopthorpe Roa'!$AR$67,'J1 D - South Bank Avenue'!$Z$67)</f>
        <v>2</v>
      </c>
      <c r="CW67" s="85">
        <f>SUM('J1 A - (North) Bishopthorpe Roa'!$I$67,'J1 B - Butcher Terrace'!$BK$67,'J1 C - (South) Bishopthorpe Roa'!$AS$67,'J1 D - South Bank Avenue'!$AA$67)</f>
        <v>0</v>
      </c>
      <c r="CX67" s="88">
        <f>SUM('J1 A - (North) Bishopthorpe Roa'!$J$67,'J1 B - Butcher Terrace'!$BL$67,'J1 C - (South) Bishopthorpe Roa'!$AT$67,'J1 D - South Bank Avenue'!$AB$67)</f>
        <v>0</v>
      </c>
      <c r="CY67" s="81">
        <f>$CQ$67*VLOOKUP($CQ$11,'PCU Values'!$B$9:$C$16,2,FALSE)</f>
        <v>5</v>
      </c>
      <c r="CZ67" s="81">
        <f>$CR$67*VLOOKUP($CR$11,'PCU Values'!$B$9:$C$16,2,FALSE)</f>
        <v>2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0.4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7.4</v>
      </c>
      <c r="DH67" s="52">
        <f>SUM($CQ$67,$CR$67,$CS$67,$CT$67,$CU$67,$CV$67,$CW$67,$CX$67)</f>
        <v>9</v>
      </c>
    </row>
    <row r="68" spans="1:112" ht="21" customHeight="1">
      <c r="A68" s="46">
        <v>44395.46875</v>
      </c>
      <c r="B68" s="47" t="s">
        <v>76</v>
      </c>
      <c r="C68" s="48">
        <v>2</v>
      </c>
      <c r="D68" s="48">
        <v>0</v>
      </c>
      <c r="E68" s="48">
        <v>0</v>
      </c>
      <c r="F68" s="48">
        <v>0</v>
      </c>
      <c r="G68" s="48">
        <v>0</v>
      </c>
      <c r="H68" s="48">
        <v>1</v>
      </c>
      <c r="I68" s="48">
        <v>0</v>
      </c>
      <c r="J68" s="56">
        <v>0</v>
      </c>
      <c r="K68" s="57">
        <f>$C$68*VLOOKUP($C$11,'PCU Values'!$B$9:$C$16,2,FALSE)</f>
        <v>2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0.2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2.2000000000000002</v>
      </c>
      <c r="T68" s="52">
        <f>SUM($C$68,$D$68,$E$68,$F$68,$G$68,$H$68,$I$68,$J$68)</f>
        <v>3</v>
      </c>
      <c r="U68" s="67">
        <v>0</v>
      </c>
      <c r="V68" s="48">
        <v>1</v>
      </c>
      <c r="W68" s="48">
        <v>0</v>
      </c>
      <c r="X68" s="48">
        <v>0</v>
      </c>
      <c r="Y68" s="48">
        <v>0</v>
      </c>
      <c r="Z68" s="48">
        <v>3</v>
      </c>
      <c r="AA68" s="48">
        <v>0</v>
      </c>
      <c r="AB68" s="56">
        <v>0</v>
      </c>
      <c r="AC68" s="57">
        <f>$U$68*VLOOKUP($U$11,'PCU Values'!$B$9:$C$16,2,FALSE)</f>
        <v>0</v>
      </c>
      <c r="AD68" s="57">
        <f>$V$68*VLOOKUP($V$11,'PCU Values'!$B$9:$C$16,2,FALSE)</f>
        <v>1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0.6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1.6</v>
      </c>
      <c r="AL68" s="52">
        <f>SUM($U$68,$V$68,$W$68,$X$68,$Y$68,$Z$68,$AA$68,$AB$68)</f>
        <v>4</v>
      </c>
      <c r="AM68" s="67">
        <v>4</v>
      </c>
      <c r="AN68" s="48">
        <v>2</v>
      </c>
      <c r="AO68" s="48">
        <v>1</v>
      </c>
      <c r="AP68" s="48">
        <v>0</v>
      </c>
      <c r="AQ68" s="48">
        <v>0</v>
      </c>
      <c r="AR68" s="48">
        <v>1</v>
      </c>
      <c r="AS68" s="48">
        <v>0</v>
      </c>
      <c r="AT68" s="56">
        <v>0</v>
      </c>
      <c r="AU68" s="57">
        <f>$AM$68*VLOOKUP($AM$11,'PCU Values'!$B$9:$C$16,2,FALSE)</f>
        <v>4</v>
      </c>
      <c r="AV68" s="57">
        <f>$AN$68*VLOOKUP($AN$11,'PCU Values'!$B$9:$C$16,2,FALSE)</f>
        <v>2</v>
      </c>
      <c r="AW68" s="57">
        <f>$AO$68*VLOOKUP($AO$11,'PCU Values'!$B$9:$C$16,2,FALSE)</f>
        <v>1.5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0.2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7.7</v>
      </c>
      <c r="BD68" s="52">
        <f>SUM($AM$68,$AN$68,$AO$68,$AP$68,$AQ$68,$AR$68,$AS$68,$AT$68)</f>
        <v>8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6</v>
      </c>
      <c r="BZ68" s="83">
        <f>SUM($D$68,$V$68,$AN$68,$BF$68)</f>
        <v>3</v>
      </c>
      <c r="CA68" s="83">
        <f>SUM($E$68,$W$68,$AO$68,$BG$68)</f>
        <v>1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5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6</v>
      </c>
      <c r="CH68" s="77">
        <f>$BZ$68*VLOOKUP($BZ$11,'PCU Values'!$B$9:$C$16,2,FALSE)</f>
        <v>3</v>
      </c>
      <c r="CI68" s="77">
        <f>$CA$68*VLOOKUP($CA$11,'PCU Values'!$B$9:$C$16,2,FALSE)</f>
        <v>1.5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1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11.5</v>
      </c>
      <c r="CP68" s="52">
        <f>SUM($BY$68,$BZ$68,$CA$68,$CB$68,$CC$68,$CD$68,$CE$68,$CF$68)</f>
        <v>15</v>
      </c>
      <c r="CQ68" s="89">
        <f>SUM('J1 A - (North) Bishopthorpe Roa'!$C$68,'J1 B - Butcher Terrace'!$BE$68,'J1 C - (South) Bishopthorpe Roa'!$AM$68,'J1 D - South Bank Avenue'!$U$68)</f>
        <v>2</v>
      </c>
      <c r="CR68" s="83">
        <f>SUM('J1 A - (North) Bishopthorpe Roa'!$D$68,'J1 B - Butcher Terrace'!$BF$68,'J1 C - (South) Bishopthorpe Roa'!$AN$68,'J1 D - South Bank Avenue'!$V$68)</f>
        <v>0</v>
      </c>
      <c r="CS68" s="83">
        <f>SUM('J1 A - (North) Bishopthorpe Roa'!$E$68,'J1 B - Butcher Terrace'!$BG$68,'J1 C - (South) Bishopthorpe Roa'!$AO$68,'J1 D - South Bank Avenue'!$W$68)</f>
        <v>0</v>
      </c>
      <c r="CT68" s="83">
        <f>SUM('J1 A - (North) Bishopthorpe Roa'!$F$68,'J1 B - Butcher Terrace'!$BH$68,'J1 C - (South) Bishopthorpe Roa'!$AP$68,'J1 D - South Bank Avenue'!$X$68)</f>
        <v>0</v>
      </c>
      <c r="CU68" s="83">
        <f>SUM('J1 A - (North) Bishopthorpe Roa'!$G$68,'J1 B - Butcher Terrace'!$BI$68,'J1 C - (South) Bishopthorpe Roa'!$AQ$68,'J1 D - South Bank Avenue'!$Y$68)</f>
        <v>0</v>
      </c>
      <c r="CV68" s="83">
        <f>SUM('J1 A - (North) Bishopthorpe Roa'!$H$68,'J1 B - Butcher Terrace'!$BJ$68,'J1 C - (South) Bishopthorpe Roa'!$AR$68,'J1 D - South Bank Avenue'!$Z$68)</f>
        <v>7</v>
      </c>
      <c r="CW68" s="83">
        <f>SUM('J1 A - (North) Bishopthorpe Roa'!$I$68,'J1 B - Butcher Terrace'!$BK$68,'J1 C - (South) Bishopthorpe Roa'!$AS$68,'J1 D - South Bank Avenue'!$AA$68)</f>
        <v>0</v>
      </c>
      <c r="CX68" s="86">
        <f>SUM('J1 A - (North) Bishopthorpe Roa'!$J$68,'J1 B - Butcher Terrace'!$BL$68,'J1 C - (South) Bishopthorpe Roa'!$AT$68,'J1 D - South Bank Avenue'!$AB$68)</f>
        <v>0</v>
      </c>
      <c r="CY68" s="77">
        <f>$CQ$68*VLOOKUP($CQ$11,'PCU Values'!$B$9:$C$16,2,FALSE)</f>
        <v>2</v>
      </c>
      <c r="CZ68" s="77">
        <f>$CR$68*VLOOKUP($CR$11,'PCU Values'!$B$9:$C$16,2,FALSE)</f>
        <v>0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1.4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3.4</v>
      </c>
      <c r="DH68" s="52">
        <f>SUM($CQ$68,$CR$68,$CS$68,$CT$68,$CU$68,$CV$68,$CW$68,$CX$68)</f>
        <v>9</v>
      </c>
    </row>
    <row r="69" spans="1:112" ht="21" customHeight="1">
      <c r="A69" s="46">
        <v>44395.479166666701</v>
      </c>
      <c r="B69" s="47" t="s">
        <v>77</v>
      </c>
      <c r="C69" s="48">
        <v>1</v>
      </c>
      <c r="D69" s="48">
        <v>1</v>
      </c>
      <c r="E69" s="48">
        <v>1</v>
      </c>
      <c r="F69" s="48">
        <v>0</v>
      </c>
      <c r="G69" s="48">
        <v>0</v>
      </c>
      <c r="H69" s="48">
        <v>2</v>
      </c>
      <c r="I69" s="48">
        <v>0</v>
      </c>
      <c r="J69" s="56">
        <v>0</v>
      </c>
      <c r="K69" s="57">
        <f>$C$69*VLOOKUP($C$11,'PCU Values'!$B$9:$C$16,2,FALSE)</f>
        <v>1</v>
      </c>
      <c r="L69" s="57">
        <f>$D$69*VLOOKUP($D$11,'PCU Values'!$B$9:$C$16,2,FALSE)</f>
        <v>1</v>
      </c>
      <c r="M69" s="57">
        <f>$E$69*VLOOKUP($E$11,'PCU Values'!$B$9:$C$16,2,FALSE)</f>
        <v>1.5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0.4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3.9</v>
      </c>
      <c r="T69" s="52">
        <f>SUM($C$69,$D$69,$E$69,$F$69,$G$69,$H$69,$I$69,$J$69)</f>
        <v>5</v>
      </c>
      <c r="U69" s="67">
        <v>0</v>
      </c>
      <c r="V69" s="48">
        <v>0</v>
      </c>
      <c r="W69" s="48">
        <v>0</v>
      </c>
      <c r="X69" s="48">
        <v>0</v>
      </c>
      <c r="Y69" s="48">
        <v>0</v>
      </c>
      <c r="Z69" s="48">
        <v>1</v>
      </c>
      <c r="AA69" s="48">
        <v>0</v>
      </c>
      <c r="AB69" s="56">
        <v>0</v>
      </c>
      <c r="AC69" s="57">
        <f>$U$69*VLOOKUP($U$11,'PCU Values'!$B$9:$C$16,2,FALSE)</f>
        <v>0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0.2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0.2</v>
      </c>
      <c r="AL69" s="52">
        <f>SUM($U$69,$V$69,$W$69,$X$69,$Y$69,$Z$69,$AA$69,$AB$69)</f>
        <v>1</v>
      </c>
      <c r="AM69" s="76">
        <v>4</v>
      </c>
      <c r="AN69" s="48">
        <v>2</v>
      </c>
      <c r="AO69" s="48">
        <v>0</v>
      </c>
      <c r="AP69" s="48">
        <v>0</v>
      </c>
      <c r="AQ69" s="48">
        <v>0</v>
      </c>
      <c r="AR69" s="49">
        <v>3</v>
      </c>
      <c r="AS69" s="48">
        <v>0</v>
      </c>
      <c r="AT69" s="56">
        <v>0</v>
      </c>
      <c r="AU69" s="57">
        <f>$AM$69*VLOOKUP($AM$11,'PCU Values'!$B$9:$C$16,2,FALSE)</f>
        <v>4</v>
      </c>
      <c r="AV69" s="57">
        <f>$AN$69*VLOOKUP($AN$11,'PCU Values'!$B$9:$C$16,2,FALSE)</f>
        <v>2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0.6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6.6</v>
      </c>
      <c r="BD69" s="52">
        <f>SUM($AM$69,$AN$69,$AO$69,$AP$69,$AQ$69,$AR$69,$AS$69,$AT$69)</f>
        <v>9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5</v>
      </c>
      <c r="BZ69" s="83">
        <f>SUM($D$69,$V$69,$AN$69,$BF$69)</f>
        <v>3</v>
      </c>
      <c r="CA69" s="83">
        <f>SUM($E$69,$W$69,$AO$69,$BG$69)</f>
        <v>1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6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5</v>
      </c>
      <c r="CH69" s="77">
        <f>$BZ$69*VLOOKUP($BZ$11,'PCU Values'!$B$9:$C$16,2,FALSE)</f>
        <v>3</v>
      </c>
      <c r="CI69" s="77">
        <f>$CA$69*VLOOKUP($CA$11,'PCU Values'!$B$9:$C$16,2,FALSE)</f>
        <v>1.5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1.2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10.7</v>
      </c>
      <c r="CP69" s="52">
        <f>SUM($BY$69,$BZ$69,$CA$69,$CB$69,$CC$69,$CD$69,$CE$69,$CF$69)</f>
        <v>15</v>
      </c>
      <c r="CQ69" s="89">
        <f>SUM('J1 A - (North) Bishopthorpe Roa'!$C$69,'J1 B - Butcher Terrace'!$BE$69,'J1 C - (South) Bishopthorpe Roa'!$AM$69,'J1 D - South Bank Avenue'!$U$69)</f>
        <v>7</v>
      </c>
      <c r="CR69" s="83">
        <f>SUM('J1 A - (North) Bishopthorpe Roa'!$D$69,'J1 B - Butcher Terrace'!$BF$69,'J1 C - (South) Bishopthorpe Roa'!$AN$69,'J1 D - South Bank Avenue'!$V$69)</f>
        <v>3</v>
      </c>
      <c r="CS69" s="83">
        <f>SUM('J1 A - (North) Bishopthorpe Roa'!$E$69,'J1 B - Butcher Terrace'!$BG$69,'J1 C - (South) Bishopthorpe Roa'!$AO$69,'J1 D - South Bank Avenue'!$W$69)</f>
        <v>0</v>
      </c>
      <c r="CT69" s="83">
        <f>SUM('J1 A - (North) Bishopthorpe Roa'!$F$69,'J1 B - Butcher Terrace'!$BH$69,'J1 C - (South) Bishopthorpe Roa'!$AP$69,'J1 D - South Bank Avenue'!$X$69)</f>
        <v>0</v>
      </c>
      <c r="CU69" s="83">
        <f>SUM('J1 A - (North) Bishopthorpe Roa'!$G$69,'J1 B - Butcher Terrace'!$BI$69,'J1 C - (South) Bishopthorpe Roa'!$AQ$69,'J1 D - South Bank Avenue'!$Y$69)</f>
        <v>0</v>
      </c>
      <c r="CV69" s="83">
        <f>SUM('J1 A - (North) Bishopthorpe Roa'!$H$69,'J1 B - Butcher Terrace'!$BJ$69,'J1 C - (South) Bishopthorpe Roa'!$AR$69,'J1 D - South Bank Avenue'!$Z$69)</f>
        <v>11</v>
      </c>
      <c r="CW69" s="83">
        <f>SUM('J1 A - (North) Bishopthorpe Roa'!$I$69,'J1 B - Butcher Terrace'!$BK$69,'J1 C - (South) Bishopthorpe Roa'!$AS$69,'J1 D - South Bank Avenue'!$AA$69)</f>
        <v>0</v>
      </c>
      <c r="CX69" s="86">
        <f>SUM('J1 A - (North) Bishopthorpe Roa'!$J$69,'J1 B - Butcher Terrace'!$BL$69,'J1 C - (South) Bishopthorpe Roa'!$AT$69,'J1 D - South Bank Avenue'!$AB$69)</f>
        <v>1</v>
      </c>
      <c r="CY69" s="77">
        <f>$CQ$69*VLOOKUP($CQ$11,'PCU Values'!$B$9:$C$16,2,FALSE)</f>
        <v>7</v>
      </c>
      <c r="CZ69" s="77">
        <f>$CR$69*VLOOKUP($CR$11,'PCU Values'!$B$9:$C$16,2,FALSE)</f>
        <v>3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2.2000000000000002</v>
      </c>
      <c r="DE69" s="77">
        <f>$CW$69*VLOOKUP($CW$11,'PCU Values'!$B$9:$C$16,2,FALSE)</f>
        <v>0</v>
      </c>
      <c r="DF69" s="78">
        <f>$CX$69*VLOOKUP($CX$11,'PCU Values'!$B$9:$C$16,2,FALSE)</f>
        <v>1.5</v>
      </c>
      <c r="DG69" s="66">
        <f>SUM($CY$69,$CZ$69,$DA$69,$DB$69,$DC$69,$DD$69,$DE$69,$DF$69)</f>
        <v>13.7</v>
      </c>
      <c r="DH69" s="52">
        <f>SUM($CQ$69,$CR$69,$CS$69,$CT$69,$CU$69,$CV$69,$CW$69,$CX$69)</f>
        <v>22</v>
      </c>
    </row>
    <row r="70" spans="1:112" ht="21" customHeight="1">
      <c r="A70" s="46">
        <v>44395.489583333299</v>
      </c>
      <c r="B70" s="50" t="s">
        <v>78</v>
      </c>
      <c r="C70" s="51">
        <v>5</v>
      </c>
      <c r="D70" s="51">
        <v>0</v>
      </c>
      <c r="E70" s="51">
        <v>0</v>
      </c>
      <c r="F70" s="51">
        <v>0</v>
      </c>
      <c r="G70" s="51">
        <v>0</v>
      </c>
      <c r="H70" s="51">
        <v>4</v>
      </c>
      <c r="I70" s="51">
        <v>0</v>
      </c>
      <c r="J70" s="59">
        <v>0</v>
      </c>
      <c r="K70" s="60">
        <f>$C$70*VLOOKUP($C$11,'PCU Values'!$B$9:$C$16,2,FALSE)</f>
        <v>5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0.8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5.8</v>
      </c>
      <c r="T70" s="52">
        <f>SUM($C$70,$D$70,$E$70,$F$70,$G$70,$H$70,$I$70,$J$70)</f>
        <v>9</v>
      </c>
      <c r="U70" s="73">
        <v>0</v>
      </c>
      <c r="V70" s="51">
        <v>0</v>
      </c>
      <c r="W70" s="51">
        <v>0</v>
      </c>
      <c r="X70" s="51">
        <v>0</v>
      </c>
      <c r="Y70" s="51">
        <v>0</v>
      </c>
      <c r="Z70" s="51">
        <v>4</v>
      </c>
      <c r="AA70" s="51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0.8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0.8</v>
      </c>
      <c r="AL70" s="52">
        <f>SUM($U$70,$V$70,$W$70,$X$70,$Y$70,$Z$70,$AA$70,$AB$70)</f>
        <v>4</v>
      </c>
      <c r="AM70" s="69">
        <v>3</v>
      </c>
      <c r="AN70" s="51">
        <v>0</v>
      </c>
      <c r="AO70" s="51">
        <v>1</v>
      </c>
      <c r="AP70" s="51">
        <v>0</v>
      </c>
      <c r="AQ70" s="51">
        <v>0</v>
      </c>
      <c r="AR70" s="55">
        <v>0</v>
      </c>
      <c r="AS70" s="51">
        <v>0</v>
      </c>
      <c r="AT70" s="59">
        <v>0</v>
      </c>
      <c r="AU70" s="60">
        <f>$AM$70*VLOOKUP($AM$11,'PCU Values'!$B$9:$C$16,2,FALSE)</f>
        <v>3</v>
      </c>
      <c r="AV70" s="60">
        <f>$AN$70*VLOOKUP($AN$11,'PCU Values'!$B$9:$C$16,2,FALSE)</f>
        <v>0</v>
      </c>
      <c r="AW70" s="60">
        <f>$AO$70*VLOOKUP($AO$11,'PCU Values'!$B$9:$C$16,2,FALSE)</f>
        <v>1.5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4.5</v>
      </c>
      <c r="BD70" s="52">
        <f>SUM($AM$70,$AN$70,$AO$70,$AP$70,$AQ$70,$AR$70,$AS$70,$AT$70)</f>
        <v>4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8</v>
      </c>
      <c r="BZ70" s="84">
        <f>SUM($D$70,$V$70,$AN$70,$BF$70)</f>
        <v>0</v>
      </c>
      <c r="CA70" s="84">
        <f>SUM($E$70,$W$70,$AO$70,$BG$70)</f>
        <v>1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8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8</v>
      </c>
      <c r="CH70" s="79">
        <f>$BZ$70*VLOOKUP($BZ$11,'PCU Values'!$B$9:$C$16,2,FALSE)</f>
        <v>0</v>
      </c>
      <c r="CI70" s="79">
        <f>$CA$70*VLOOKUP($CA$11,'PCU Values'!$B$9:$C$16,2,FALSE)</f>
        <v>1.5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1.6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11.1</v>
      </c>
      <c r="CP70" s="52">
        <f>SUM($BY$70,$BZ$70,$CA$70,$CB$70,$CC$70,$CD$70,$CE$70,$CF$70)</f>
        <v>17</v>
      </c>
      <c r="CQ70" s="90">
        <f>SUM('J1 A - (North) Bishopthorpe Roa'!$C$70,'J1 B - Butcher Terrace'!$BE$70,'J1 C - (South) Bishopthorpe Roa'!$AM$70,'J1 D - South Bank Avenue'!$U$70)</f>
        <v>4</v>
      </c>
      <c r="CR70" s="84">
        <f>SUM('J1 A - (North) Bishopthorpe Roa'!$D$70,'J1 B - Butcher Terrace'!$BF$70,'J1 C - (South) Bishopthorpe Roa'!$AN$70,'J1 D - South Bank Avenue'!$V$70)</f>
        <v>0</v>
      </c>
      <c r="CS70" s="84">
        <f>SUM('J1 A - (North) Bishopthorpe Roa'!$E$70,'J1 B - Butcher Terrace'!$BG$70,'J1 C - (South) Bishopthorpe Roa'!$AO$70,'J1 D - South Bank Avenue'!$W$70)</f>
        <v>0</v>
      </c>
      <c r="CT70" s="84">
        <f>SUM('J1 A - (North) Bishopthorpe Roa'!$F$70,'J1 B - Butcher Terrace'!$BH$70,'J1 C - (South) Bishopthorpe Roa'!$AP$70,'J1 D - South Bank Avenue'!$X$70)</f>
        <v>0</v>
      </c>
      <c r="CU70" s="84">
        <f>SUM('J1 A - (North) Bishopthorpe Roa'!$G$70,'J1 B - Butcher Terrace'!$BI$70,'J1 C - (South) Bishopthorpe Roa'!$AQ$70,'J1 D - South Bank Avenue'!$Y$70)</f>
        <v>0</v>
      </c>
      <c r="CV70" s="84">
        <f>SUM('J1 A - (North) Bishopthorpe Roa'!$H$70,'J1 B - Butcher Terrace'!$BJ$70,'J1 C - (South) Bishopthorpe Roa'!$AR$70,'J1 D - South Bank Avenue'!$Z$70)</f>
        <v>7</v>
      </c>
      <c r="CW70" s="84">
        <f>SUM('J1 A - (North) Bishopthorpe Roa'!$I$70,'J1 B - Butcher Terrace'!$BK$70,'J1 C - (South) Bishopthorpe Roa'!$AS$70,'J1 D - South Bank Avenue'!$AA$70)</f>
        <v>0</v>
      </c>
      <c r="CX70" s="87">
        <f>SUM('J1 A - (North) Bishopthorpe Roa'!$J$70,'J1 B - Butcher Terrace'!$BL$70,'J1 C - (South) Bishopthorpe Roa'!$AT$70,'J1 D - South Bank Avenue'!$AB$70)</f>
        <v>1</v>
      </c>
      <c r="CY70" s="79">
        <f>$CQ$70*VLOOKUP($CQ$11,'PCU Values'!$B$9:$C$16,2,FALSE)</f>
        <v>4</v>
      </c>
      <c r="CZ70" s="79">
        <f>$CR$70*VLOOKUP($CR$11,'PCU Values'!$B$9:$C$16,2,FALSE)</f>
        <v>0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1.4</v>
      </c>
      <c r="DE70" s="79">
        <f>$CW$70*VLOOKUP($CW$11,'PCU Values'!$B$9:$C$16,2,FALSE)</f>
        <v>0</v>
      </c>
      <c r="DF70" s="80">
        <f>$CX$70*VLOOKUP($CX$11,'PCU Values'!$B$9:$C$16,2,FALSE)</f>
        <v>1.5</v>
      </c>
      <c r="DG70" s="63">
        <f>SUM($CY$70,$CZ$70,$DA$70,$DB$70,$DC$70,$DD$70,$DE$70,$DF$70)</f>
        <v>6.9</v>
      </c>
      <c r="DH70" s="52">
        <f>SUM($CQ$70,$CR$70,$CS$70,$CT$70,$CU$70,$CV$70,$CW$70,$CX$70)</f>
        <v>12</v>
      </c>
    </row>
    <row r="71" spans="1:112">
      <c r="B71" s="52" t="s">
        <v>34</v>
      </c>
      <c r="C71" s="52">
        <f>SUM($C$67:$C$70)</f>
        <v>11</v>
      </c>
      <c r="D71" s="52">
        <f>SUM($D$67:$D$70)</f>
        <v>2</v>
      </c>
      <c r="E71" s="52">
        <f>SUM($E$67:$E$70)</f>
        <v>1</v>
      </c>
      <c r="F71" s="52">
        <f>SUM($F$67:$F$70)</f>
        <v>0</v>
      </c>
      <c r="G71" s="52">
        <f>SUM($G$67:$G$70)</f>
        <v>0</v>
      </c>
      <c r="H71" s="52">
        <f>SUM($H$67:$H$70)</f>
        <v>8</v>
      </c>
      <c r="I71" s="52">
        <f>SUM($I$67:$I$70)</f>
        <v>0</v>
      </c>
      <c r="J71" s="52">
        <f>SUM($J$67:$J$70)</f>
        <v>0</v>
      </c>
      <c r="K71" s="52">
        <f>SUM($K$67:$K$70)</f>
        <v>11</v>
      </c>
      <c r="L71" s="52">
        <f>SUM($L$67:$L$70)</f>
        <v>2</v>
      </c>
      <c r="M71" s="52">
        <f>SUM($M$67:$M$70)</f>
        <v>2</v>
      </c>
      <c r="N71" s="52">
        <f>SUM($N$67:$N$70)</f>
        <v>0</v>
      </c>
      <c r="O71" s="52">
        <f>SUM($O$67:$O$70)</f>
        <v>0</v>
      </c>
      <c r="P71" s="52">
        <f>SUM($P$67:$P$70)</f>
        <v>2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17</v>
      </c>
      <c r="T71" s="52">
        <f>SUM($C$71,$D$71,$E$71,$F$71,$G$71,$H$71,$I$71,$J$71)</f>
        <v>22</v>
      </c>
      <c r="U71" s="52">
        <f>SUM($U$67:$U$70)</f>
        <v>0</v>
      </c>
      <c r="V71" s="52">
        <f>SUM($V$67:$V$70)</f>
        <v>1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10</v>
      </c>
      <c r="AA71" s="52">
        <f>SUM($AA$67:$AA$70)</f>
        <v>0</v>
      </c>
      <c r="AB71" s="52">
        <f>SUM($AB$67:$AB$70)</f>
        <v>0</v>
      </c>
      <c r="AC71" s="52">
        <f>SUM($AC$67:$AC$70)</f>
        <v>0</v>
      </c>
      <c r="AD71" s="52">
        <f>SUM($AD$67:$AD$70)</f>
        <v>1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2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3</v>
      </c>
      <c r="AL71" s="52">
        <f>SUM($U$71,$V$71,$W$71,$X$71,$Y$71,$Z$71,$AA$71,$AB$71)</f>
        <v>11</v>
      </c>
      <c r="AM71" s="52">
        <f>SUM($AM$67:$AM$70)</f>
        <v>13</v>
      </c>
      <c r="AN71" s="52">
        <f>SUM($AN$67:$AN$70)</f>
        <v>4</v>
      </c>
      <c r="AO71" s="52">
        <f>SUM($AO$67:$AO$70)</f>
        <v>2</v>
      </c>
      <c r="AP71" s="52">
        <f>SUM($AP$67:$AP$70)</f>
        <v>0</v>
      </c>
      <c r="AQ71" s="52">
        <f>SUM($AQ$67:$AQ$70)</f>
        <v>0</v>
      </c>
      <c r="AR71" s="52">
        <f>SUM($AR$67:$AR$70)</f>
        <v>4</v>
      </c>
      <c r="AS71" s="52">
        <f>SUM($AS$67:$AS$70)</f>
        <v>0</v>
      </c>
      <c r="AT71" s="52">
        <f>SUM($AT$67:$AT$70)</f>
        <v>1</v>
      </c>
      <c r="AU71" s="52">
        <f>SUM($AU$67:$AU$70)</f>
        <v>13</v>
      </c>
      <c r="AV71" s="52">
        <f>SUM($AV$67:$AV$70)</f>
        <v>4</v>
      </c>
      <c r="AW71" s="52">
        <f>SUM($AW$67:$AW$70)</f>
        <v>3</v>
      </c>
      <c r="AX71" s="52">
        <f>SUM($AX$67:$AX$70)</f>
        <v>0</v>
      </c>
      <c r="AY71" s="52">
        <f>SUM($AY$67:$AY$70)</f>
        <v>0</v>
      </c>
      <c r="AZ71" s="52">
        <f>SUM($AZ$67:$AZ$70)</f>
        <v>1</v>
      </c>
      <c r="BA71" s="52">
        <f>SUM($BA$67:$BA$70)</f>
        <v>0</v>
      </c>
      <c r="BB71" s="52">
        <f>SUM($BB$67:$BB$70)</f>
        <v>2</v>
      </c>
      <c r="BC71" s="52">
        <f>SUM($AU$71,$AV$71,$AW$71,$AX$71,$AY$71,$AZ$71,$BA$71,$BB$71)</f>
        <v>23</v>
      </c>
      <c r="BD71" s="52">
        <f>SUM($AM$71,$AN$71,$AO$71,$AP$71,$AQ$71,$AR$71,$AS$71,$AT$71)</f>
        <v>24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24</v>
      </c>
      <c r="BZ71" s="52">
        <f>SUM($BZ$67:$BZ$70)</f>
        <v>7</v>
      </c>
      <c r="CA71" s="52">
        <f>SUM($CA$67:$CA$70)</f>
        <v>3</v>
      </c>
      <c r="CB71" s="52">
        <f>SUM($CB$67:$CB$70)</f>
        <v>0</v>
      </c>
      <c r="CC71" s="52">
        <f>SUM($CC$67:$CC$70)</f>
        <v>0</v>
      </c>
      <c r="CD71" s="52">
        <f>SUM($CD$67:$CD$70)</f>
        <v>22</v>
      </c>
      <c r="CE71" s="52">
        <f>SUM($CE$67:$CE$70)</f>
        <v>0</v>
      </c>
      <c r="CF71" s="52">
        <f>SUM($CF$67:$CF$70)</f>
        <v>1</v>
      </c>
      <c r="CG71" s="52">
        <f>SUM($CG$67:$CG$70)</f>
        <v>24</v>
      </c>
      <c r="CH71" s="52">
        <f>SUM($CH$67:$CH$70)</f>
        <v>7</v>
      </c>
      <c r="CI71" s="52">
        <f>SUM($CI$67:$CI$70)</f>
        <v>5</v>
      </c>
      <c r="CJ71" s="52">
        <f>SUM($CJ$67:$CJ$70)</f>
        <v>0</v>
      </c>
      <c r="CK71" s="52">
        <f>SUM($CK$67:$CK$70)</f>
        <v>0</v>
      </c>
      <c r="CL71" s="52">
        <f>SUM($CL$67:$CL$70)</f>
        <v>4</v>
      </c>
      <c r="CM71" s="52">
        <f>SUM($CM$67:$CM$70)</f>
        <v>0</v>
      </c>
      <c r="CN71" s="52">
        <f>SUM($CN$67:$CN$70)</f>
        <v>2</v>
      </c>
      <c r="CO71" s="52">
        <f>SUM($CG$71,$CH$71,$CI$71,$CJ$71,$CK$71,$CL$71,$CM$71,$CN$71)</f>
        <v>42</v>
      </c>
      <c r="CP71" s="52">
        <f>SUM($BY$71,$BZ$71,$CA$71,$CB$71,$CC$71,$CD$71,$CE$71,$CF$71)</f>
        <v>57</v>
      </c>
      <c r="CQ71" s="52">
        <f>SUM($CQ$67:$CQ$70)</f>
        <v>18</v>
      </c>
      <c r="CR71" s="52">
        <f>SUM($CR$67:$CR$70)</f>
        <v>5</v>
      </c>
      <c r="CS71" s="52">
        <f>SUM($CS$67:$CS$70)</f>
        <v>0</v>
      </c>
      <c r="CT71" s="52">
        <f>SUM($CT$67:$CT$70)</f>
        <v>0</v>
      </c>
      <c r="CU71" s="52">
        <f>SUM($CU$67:$CU$70)</f>
        <v>0</v>
      </c>
      <c r="CV71" s="52">
        <f>SUM($CV$67:$CV$70)</f>
        <v>27</v>
      </c>
      <c r="CW71" s="52">
        <f>SUM($CW$67:$CW$70)</f>
        <v>0</v>
      </c>
      <c r="CX71" s="52">
        <f>SUM($CX$67:$CX$70)</f>
        <v>2</v>
      </c>
      <c r="CY71" s="52">
        <f>SUM($CY$67:$CY$70)</f>
        <v>18</v>
      </c>
      <c r="CZ71" s="52">
        <f>SUM($CZ$67:$CZ$70)</f>
        <v>5</v>
      </c>
      <c r="DA71" s="52">
        <f>SUM($DA$67:$DA$70)</f>
        <v>0</v>
      </c>
      <c r="DB71" s="52">
        <f>SUM($DB$67:$DB$70)</f>
        <v>0</v>
      </c>
      <c r="DC71" s="52">
        <f>SUM($DC$67:$DC$70)</f>
        <v>0</v>
      </c>
      <c r="DD71" s="52">
        <f>SUM($DD$67:$DD$70)</f>
        <v>5</v>
      </c>
      <c r="DE71" s="52">
        <f>SUM($DE$67:$DE$70)</f>
        <v>0</v>
      </c>
      <c r="DF71" s="52">
        <f>SUM($DF$67:$DF$70)</f>
        <v>3</v>
      </c>
      <c r="DG71" s="52">
        <f>SUM($CY$71,$CZ$71,$DA$71,$DB$71,$DC$71,$DD$71,$DE$71,$DF$71)</f>
        <v>31</v>
      </c>
      <c r="DH71" s="52">
        <f>SUM($CQ$71,$CR$71,$CS$71,$CT$71,$CU$71,$CV$71,$CW$71,$CX$71)</f>
        <v>52</v>
      </c>
    </row>
    <row r="72" spans="1:112" ht="21" customHeight="1">
      <c r="A72" s="46">
        <v>44395.5</v>
      </c>
      <c r="B72" s="53" t="s">
        <v>79</v>
      </c>
      <c r="C72" s="54">
        <v>0</v>
      </c>
      <c r="D72" s="54">
        <v>0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0</v>
      </c>
      <c r="L72" s="62">
        <f>$D$72*VLOOKUP($D$11,'PCU Values'!$B$9:$C$16,2,FALSE)</f>
        <v>0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0</v>
      </c>
      <c r="T72" s="52">
        <f>SUM($C$72,$D$72,$E$72,$F$72,$G$72,$H$72,$I$72,$J$72)</f>
        <v>0</v>
      </c>
      <c r="U72" s="72">
        <v>0</v>
      </c>
      <c r="V72" s="75">
        <v>0</v>
      </c>
      <c r="W72" s="75">
        <v>0</v>
      </c>
      <c r="X72" s="75">
        <v>0</v>
      </c>
      <c r="Y72" s="75">
        <v>0</v>
      </c>
      <c r="Z72" s="75">
        <v>4</v>
      </c>
      <c r="AA72" s="54">
        <v>0</v>
      </c>
      <c r="AB72" s="61">
        <v>0</v>
      </c>
      <c r="AC72" s="62">
        <f>$U$72*VLOOKUP($U$11,'PCU Values'!$B$9:$C$16,2,FALSE)</f>
        <v>0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0.8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0.8</v>
      </c>
      <c r="AL72" s="52">
        <f>SUM($U$72,$V$72,$W$72,$X$72,$Y$72,$Z$72,$AA$72,$AB$72)</f>
        <v>4</v>
      </c>
      <c r="AM72" s="72">
        <v>4</v>
      </c>
      <c r="AN72" s="54">
        <v>0</v>
      </c>
      <c r="AO72" s="54">
        <v>0</v>
      </c>
      <c r="AP72" s="54">
        <v>0</v>
      </c>
      <c r="AQ72" s="54">
        <v>0</v>
      </c>
      <c r="AR72" s="54">
        <v>4</v>
      </c>
      <c r="AS72" s="54">
        <v>0</v>
      </c>
      <c r="AT72" s="61">
        <v>0</v>
      </c>
      <c r="AU72" s="62">
        <f>$AM$72*VLOOKUP($AM$11,'PCU Values'!$B$9:$C$16,2,FALSE)</f>
        <v>4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0.8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4.8</v>
      </c>
      <c r="BD72" s="52">
        <f>SUM($AM$72,$AN$72,$AO$72,$AP$72,$AQ$72,$AR$72,$AS$72,$AT$72)</f>
        <v>8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4</v>
      </c>
      <c r="BZ72" s="85">
        <f>SUM($D$72,$V$72,$AN$72,$BF$72)</f>
        <v>0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8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4</v>
      </c>
      <c r="CH72" s="81">
        <f>$BZ$72*VLOOKUP($BZ$11,'PCU Values'!$B$9:$C$16,2,FALSE)</f>
        <v>0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1.6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5.6</v>
      </c>
      <c r="CP72" s="52">
        <f>SUM($BY$72,$BZ$72,$CA$72,$CB$72,$CC$72,$CD$72,$CE$72,$CF$72)</f>
        <v>12</v>
      </c>
      <c r="CQ72" s="91">
        <f>SUM('J1 A - (North) Bishopthorpe Roa'!$C$72,'J1 B - Butcher Terrace'!$BE$72,'J1 C - (South) Bishopthorpe Roa'!$AM$72,'J1 D - South Bank Avenue'!$U$72)</f>
        <v>4</v>
      </c>
      <c r="CR72" s="85">
        <f>SUM('J1 A - (North) Bishopthorpe Roa'!$D$72,'J1 B - Butcher Terrace'!$BF$72,'J1 C - (South) Bishopthorpe Roa'!$AN$72,'J1 D - South Bank Avenue'!$V$72)</f>
        <v>2</v>
      </c>
      <c r="CS72" s="85">
        <f>SUM('J1 A - (North) Bishopthorpe Roa'!$E$72,'J1 B - Butcher Terrace'!$BG$72,'J1 C - (South) Bishopthorpe Roa'!$AO$72,'J1 D - South Bank Avenue'!$W$72)</f>
        <v>1</v>
      </c>
      <c r="CT72" s="85">
        <f>SUM('J1 A - (North) Bishopthorpe Roa'!$F$72,'J1 B - Butcher Terrace'!$BH$72,'J1 C - (South) Bishopthorpe Roa'!$AP$72,'J1 D - South Bank Avenue'!$X$72)</f>
        <v>0</v>
      </c>
      <c r="CU72" s="85">
        <f>SUM('J1 A - (North) Bishopthorpe Roa'!$G$72,'J1 B - Butcher Terrace'!$BI$72,'J1 C - (South) Bishopthorpe Roa'!$AQ$72,'J1 D - South Bank Avenue'!$Y$72)</f>
        <v>0</v>
      </c>
      <c r="CV72" s="85">
        <f>SUM('J1 A - (North) Bishopthorpe Roa'!$H$72,'J1 B - Butcher Terrace'!$BJ$72,'J1 C - (South) Bishopthorpe Roa'!$AR$72,'J1 D - South Bank Avenue'!$Z$72)</f>
        <v>7</v>
      </c>
      <c r="CW72" s="85">
        <f>SUM('J1 A - (North) Bishopthorpe Roa'!$I$72,'J1 B - Butcher Terrace'!$BK$72,'J1 C - (South) Bishopthorpe Roa'!$AS$72,'J1 D - South Bank Avenue'!$AA$72)</f>
        <v>0</v>
      </c>
      <c r="CX72" s="88">
        <f>SUM('J1 A - (North) Bishopthorpe Roa'!$J$72,'J1 B - Butcher Terrace'!$BL$72,'J1 C - (South) Bishopthorpe Roa'!$AT$72,'J1 D - South Bank Avenue'!$AB$72)</f>
        <v>0</v>
      </c>
      <c r="CY72" s="81">
        <f>$CQ$72*VLOOKUP($CQ$11,'PCU Values'!$B$9:$C$16,2,FALSE)</f>
        <v>4</v>
      </c>
      <c r="CZ72" s="81">
        <f>$CR$72*VLOOKUP($CR$11,'PCU Values'!$B$9:$C$16,2,FALSE)</f>
        <v>2</v>
      </c>
      <c r="DA72" s="81">
        <f>$CS$72*VLOOKUP($CS$11,'PCU Values'!$B$9:$C$16,2,FALSE)</f>
        <v>1.5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1.4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8.9</v>
      </c>
      <c r="DH72" s="52">
        <f>SUM($CQ$72,$CR$72,$CS$72,$CT$72,$CU$72,$CV$72,$CW$72,$CX$72)</f>
        <v>14</v>
      </c>
    </row>
    <row r="73" spans="1:112" ht="21" customHeight="1">
      <c r="A73" s="46">
        <v>44395.510416666701</v>
      </c>
      <c r="B73" s="47" t="s">
        <v>80</v>
      </c>
      <c r="C73" s="48">
        <v>1</v>
      </c>
      <c r="D73" s="48">
        <v>1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56">
        <v>0</v>
      </c>
      <c r="K73" s="57">
        <f>$C$73*VLOOKUP($C$11,'PCU Values'!$B$9:$C$16,2,FALSE)</f>
        <v>1</v>
      </c>
      <c r="L73" s="57">
        <f>$D$73*VLOOKUP($D$11,'PCU Values'!$B$9:$C$16,2,FALSE)</f>
        <v>1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2</v>
      </c>
      <c r="T73" s="52">
        <f>SUM($C$73,$D$73,$E$73,$F$73,$G$73,$H$73,$I$73,$J$73)</f>
        <v>2</v>
      </c>
      <c r="U73" s="67">
        <v>0</v>
      </c>
      <c r="V73" s="48">
        <v>0</v>
      </c>
      <c r="W73" s="48">
        <v>0</v>
      </c>
      <c r="X73" s="48">
        <v>0</v>
      </c>
      <c r="Y73" s="48">
        <v>0</v>
      </c>
      <c r="Z73" s="48">
        <v>4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0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0.8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0.8</v>
      </c>
      <c r="AL73" s="52">
        <f>SUM($U$73,$V$73,$W$73,$X$73,$Y$73,$Z$73,$AA$73,$AB$73)</f>
        <v>4</v>
      </c>
      <c r="AM73" s="67">
        <v>4</v>
      </c>
      <c r="AN73" s="48">
        <v>1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56">
        <v>0</v>
      </c>
      <c r="AU73" s="57">
        <f>$AM$73*VLOOKUP($AM$11,'PCU Values'!$B$9:$C$16,2,FALSE)</f>
        <v>4</v>
      </c>
      <c r="AV73" s="57">
        <f>$AN$73*VLOOKUP($AN$11,'PCU Values'!$B$9:$C$16,2,FALSE)</f>
        <v>1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5</v>
      </c>
      <c r="BD73" s="52">
        <f>SUM($AM$73,$AN$73,$AO$73,$AP$73,$AQ$73,$AR$73,$AS$73,$AT$73)</f>
        <v>5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5</v>
      </c>
      <c r="BZ73" s="83">
        <f>SUM($D$73,$V$73,$AN$73,$BF$73)</f>
        <v>2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4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5</v>
      </c>
      <c r="CH73" s="77">
        <f>$BZ$73*VLOOKUP($BZ$11,'PCU Values'!$B$9:$C$16,2,FALSE)</f>
        <v>2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0.8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7.8</v>
      </c>
      <c r="CP73" s="52">
        <f>SUM($BY$73,$BZ$73,$CA$73,$CB$73,$CC$73,$CD$73,$CE$73,$CF$73)</f>
        <v>11</v>
      </c>
      <c r="CQ73" s="89">
        <f>SUM('J1 A - (North) Bishopthorpe Roa'!$C$73,'J1 B - Butcher Terrace'!$BE$73,'J1 C - (South) Bishopthorpe Roa'!$AM$73,'J1 D - South Bank Avenue'!$U$73)</f>
        <v>4</v>
      </c>
      <c r="CR73" s="83">
        <f>SUM('J1 A - (North) Bishopthorpe Roa'!$D$73,'J1 B - Butcher Terrace'!$BF$73,'J1 C - (South) Bishopthorpe Roa'!$AN$73,'J1 D - South Bank Avenue'!$V$73)</f>
        <v>3</v>
      </c>
      <c r="CS73" s="83">
        <f>SUM('J1 A - (North) Bishopthorpe Roa'!$E$73,'J1 B - Butcher Terrace'!$BG$73,'J1 C - (South) Bishopthorpe Roa'!$AO$73,'J1 D - South Bank Avenue'!$W$73)</f>
        <v>0</v>
      </c>
      <c r="CT73" s="83">
        <f>SUM('J1 A - (North) Bishopthorpe Roa'!$F$73,'J1 B - Butcher Terrace'!$BH$73,'J1 C - (South) Bishopthorpe Roa'!$AP$73,'J1 D - South Bank Avenue'!$X$73)</f>
        <v>0</v>
      </c>
      <c r="CU73" s="83">
        <f>SUM('J1 A - (North) Bishopthorpe Roa'!$G$73,'J1 B - Butcher Terrace'!$BI$73,'J1 C - (South) Bishopthorpe Roa'!$AQ$73,'J1 D - South Bank Avenue'!$Y$73)</f>
        <v>0</v>
      </c>
      <c r="CV73" s="83">
        <f>SUM('J1 A - (North) Bishopthorpe Roa'!$H$73,'J1 B - Butcher Terrace'!$BJ$73,'J1 C - (South) Bishopthorpe Roa'!$AR$73,'J1 D - South Bank Avenue'!$Z$73)</f>
        <v>11</v>
      </c>
      <c r="CW73" s="83">
        <f>SUM('J1 A - (North) Bishopthorpe Roa'!$I$73,'J1 B - Butcher Terrace'!$BK$73,'J1 C - (South) Bishopthorpe Roa'!$AS$73,'J1 D - South Bank Avenue'!$AA$73)</f>
        <v>0</v>
      </c>
      <c r="CX73" s="86">
        <f>SUM('J1 A - (North) Bishopthorpe Roa'!$J$73,'J1 B - Butcher Terrace'!$BL$73,'J1 C - (South) Bishopthorpe Roa'!$AT$73,'J1 D - South Bank Avenue'!$AB$73)</f>
        <v>0</v>
      </c>
      <c r="CY73" s="77">
        <f>$CQ$73*VLOOKUP($CQ$11,'PCU Values'!$B$9:$C$16,2,FALSE)</f>
        <v>4</v>
      </c>
      <c r="CZ73" s="77">
        <f>$CR$73*VLOOKUP($CR$11,'PCU Values'!$B$9:$C$16,2,FALSE)</f>
        <v>3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2.2000000000000002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9.1999999999999993</v>
      </c>
      <c r="DH73" s="52">
        <f>SUM($CQ$73,$CR$73,$CS$73,$CT$73,$CU$73,$CV$73,$CW$73,$CX$73)</f>
        <v>18</v>
      </c>
    </row>
    <row r="74" spans="1:112" ht="21" customHeight="1">
      <c r="A74" s="46">
        <v>44395.520833333299</v>
      </c>
      <c r="B74" s="47" t="s">
        <v>81</v>
      </c>
      <c r="C74" s="49">
        <v>1</v>
      </c>
      <c r="D74" s="49">
        <v>0</v>
      </c>
      <c r="E74" s="49">
        <v>0</v>
      </c>
      <c r="F74" s="49">
        <v>0</v>
      </c>
      <c r="G74" s="49">
        <v>0</v>
      </c>
      <c r="H74" s="49">
        <v>3</v>
      </c>
      <c r="I74" s="49">
        <v>0</v>
      </c>
      <c r="J74" s="58">
        <v>0</v>
      </c>
      <c r="K74" s="57">
        <f>$C$74*VLOOKUP($C$11,'PCU Values'!$B$9:$C$16,2,FALSE)</f>
        <v>1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0.6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1.6</v>
      </c>
      <c r="T74" s="52">
        <f>SUM($C$74,$D$74,$E$74,$F$74,$G$74,$H$74,$I$74,$J$74)</f>
        <v>4</v>
      </c>
      <c r="U74" s="49">
        <v>0</v>
      </c>
      <c r="V74" s="49">
        <v>1</v>
      </c>
      <c r="W74" s="49">
        <v>0</v>
      </c>
      <c r="X74" s="49">
        <v>0</v>
      </c>
      <c r="Y74" s="49">
        <v>0</v>
      </c>
      <c r="Z74" s="49">
        <v>7</v>
      </c>
      <c r="AA74" s="49">
        <v>0</v>
      </c>
      <c r="AB74" s="58">
        <v>0</v>
      </c>
      <c r="AC74" s="57">
        <f>$U$74*VLOOKUP($U$11,'PCU Values'!$B$9:$C$16,2,FALSE)</f>
        <v>0</v>
      </c>
      <c r="AD74" s="57">
        <f>$V$74*VLOOKUP($V$11,'PCU Values'!$B$9:$C$16,2,FALSE)</f>
        <v>1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1.4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2.4</v>
      </c>
      <c r="AL74" s="52">
        <f>SUM($U$74,$V$74,$W$74,$X$74,$Y$74,$Z$74,$AA$74,$AB$74)</f>
        <v>8</v>
      </c>
      <c r="AM74" s="49">
        <v>3</v>
      </c>
      <c r="AN74" s="49">
        <v>1</v>
      </c>
      <c r="AO74" s="49">
        <v>0</v>
      </c>
      <c r="AP74" s="49">
        <v>0</v>
      </c>
      <c r="AQ74" s="49">
        <v>0</v>
      </c>
      <c r="AR74" s="49">
        <v>3</v>
      </c>
      <c r="AS74" s="49">
        <v>0</v>
      </c>
      <c r="AT74" s="58">
        <v>0</v>
      </c>
      <c r="AU74" s="57">
        <f>$AM$74*VLOOKUP($AM$11,'PCU Values'!$B$9:$C$16,2,FALSE)</f>
        <v>3</v>
      </c>
      <c r="AV74" s="57">
        <f>$AN$74*VLOOKUP($AN$11,'PCU Values'!$B$9:$C$16,2,FALSE)</f>
        <v>1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0.6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4.5999999999999996</v>
      </c>
      <c r="BD74" s="52">
        <f>SUM($AM$74,$AN$74,$AO$74,$AP$74,$AQ$74,$AR$74,$AS$74,$AT$74)</f>
        <v>7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4</v>
      </c>
      <c r="BZ74" s="83">
        <f>SUM($D$74,$V$74,$AN$74,$BF$74)</f>
        <v>2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13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4</v>
      </c>
      <c r="CH74" s="77">
        <f>$BZ$74*VLOOKUP($BZ$11,'PCU Values'!$B$9:$C$16,2,FALSE)</f>
        <v>2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2.6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8.6</v>
      </c>
      <c r="CP74" s="52">
        <f>SUM($BY$74,$BZ$74,$CA$74,$CB$74,$CC$74,$CD$74,$CE$74,$CF$74)</f>
        <v>19</v>
      </c>
      <c r="CQ74" s="89">
        <f>SUM('J1 A - (North) Bishopthorpe Roa'!$C$74,'J1 B - Butcher Terrace'!$BE$74,'J1 C - (South) Bishopthorpe Roa'!$AM$74,'J1 D - South Bank Avenue'!$U$74)</f>
        <v>7</v>
      </c>
      <c r="CR74" s="83">
        <f>SUM('J1 A - (North) Bishopthorpe Roa'!$D$74,'J1 B - Butcher Terrace'!$BF$74,'J1 C - (South) Bishopthorpe Roa'!$AN$74,'J1 D - South Bank Avenue'!$V$74)</f>
        <v>2</v>
      </c>
      <c r="CS74" s="83">
        <f>SUM('J1 A - (North) Bishopthorpe Roa'!$E$74,'J1 B - Butcher Terrace'!$BG$74,'J1 C - (South) Bishopthorpe Roa'!$AO$74,'J1 D - South Bank Avenue'!$W$74)</f>
        <v>0</v>
      </c>
      <c r="CT74" s="83">
        <f>SUM('J1 A - (North) Bishopthorpe Roa'!$F$74,'J1 B - Butcher Terrace'!$BH$74,'J1 C - (South) Bishopthorpe Roa'!$AP$74,'J1 D - South Bank Avenue'!$X$74)</f>
        <v>0</v>
      </c>
      <c r="CU74" s="83">
        <f>SUM('J1 A - (North) Bishopthorpe Roa'!$G$74,'J1 B - Butcher Terrace'!$BI$74,'J1 C - (South) Bishopthorpe Roa'!$AQ$74,'J1 D - South Bank Avenue'!$Y$74)</f>
        <v>0</v>
      </c>
      <c r="CV74" s="83">
        <f>SUM('J1 A - (North) Bishopthorpe Roa'!$H$74,'J1 B - Butcher Terrace'!$BJ$74,'J1 C - (South) Bishopthorpe Roa'!$AR$74,'J1 D - South Bank Avenue'!$Z$74)</f>
        <v>8</v>
      </c>
      <c r="CW74" s="83">
        <f>SUM('J1 A - (North) Bishopthorpe Roa'!$I$74,'J1 B - Butcher Terrace'!$BK$74,'J1 C - (South) Bishopthorpe Roa'!$AS$74,'J1 D - South Bank Avenue'!$AA$74)</f>
        <v>0</v>
      </c>
      <c r="CX74" s="86">
        <f>SUM('J1 A - (North) Bishopthorpe Roa'!$J$74,'J1 B - Butcher Terrace'!$BL$74,'J1 C - (South) Bishopthorpe Roa'!$AT$74,'J1 D - South Bank Avenue'!$AB$74)</f>
        <v>3</v>
      </c>
      <c r="CY74" s="77">
        <f>$CQ$74*VLOOKUP($CQ$11,'PCU Values'!$B$9:$C$16,2,FALSE)</f>
        <v>7</v>
      </c>
      <c r="CZ74" s="77">
        <f>$CR$74*VLOOKUP($CR$11,'PCU Values'!$B$9:$C$16,2,FALSE)</f>
        <v>2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1.6</v>
      </c>
      <c r="DE74" s="77">
        <f>$CW$74*VLOOKUP($CW$11,'PCU Values'!$B$9:$C$16,2,FALSE)</f>
        <v>0</v>
      </c>
      <c r="DF74" s="78">
        <f>$CX$74*VLOOKUP($CX$11,'PCU Values'!$B$9:$C$16,2,FALSE)</f>
        <v>4.5</v>
      </c>
      <c r="DG74" s="66">
        <f>SUM($CY$74,$CZ$74,$DA$74,$DB$74,$DC$74,$DD$74,$DE$74,$DF$74)</f>
        <v>15.1</v>
      </c>
      <c r="DH74" s="52">
        <f>SUM($CQ$74,$CR$74,$CS$74,$CT$74,$CU$74,$CV$74,$CW$74,$CX$74)</f>
        <v>20</v>
      </c>
    </row>
    <row r="75" spans="1:112" ht="21" customHeight="1">
      <c r="A75" s="46">
        <v>44395.53125</v>
      </c>
      <c r="B75" s="50" t="s">
        <v>82</v>
      </c>
      <c r="C75" s="51">
        <v>0</v>
      </c>
      <c r="D75" s="51">
        <v>0</v>
      </c>
      <c r="E75" s="51">
        <v>0</v>
      </c>
      <c r="F75" s="51">
        <v>0</v>
      </c>
      <c r="G75" s="51">
        <v>0</v>
      </c>
      <c r="H75" s="51">
        <v>4</v>
      </c>
      <c r="I75" s="51">
        <v>0</v>
      </c>
      <c r="J75" s="59">
        <v>0</v>
      </c>
      <c r="K75" s="60">
        <f>$C$75*VLOOKUP($C$11,'PCU Values'!$B$9:$C$16,2,FALSE)</f>
        <v>0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0.8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0.8</v>
      </c>
      <c r="T75" s="52">
        <f>SUM($C$75,$D$75,$E$75,$F$75,$G$75,$H$75,$I$75,$J$75)</f>
        <v>4</v>
      </c>
      <c r="U75" s="73">
        <v>0</v>
      </c>
      <c r="V75" s="51">
        <v>0</v>
      </c>
      <c r="W75" s="51">
        <v>0</v>
      </c>
      <c r="X75" s="51">
        <v>0</v>
      </c>
      <c r="Y75" s="51">
        <v>0</v>
      </c>
      <c r="Z75" s="51">
        <v>3</v>
      </c>
      <c r="AA75" s="51">
        <v>0</v>
      </c>
      <c r="AB75" s="59">
        <v>0</v>
      </c>
      <c r="AC75" s="60">
        <f>$U$75*VLOOKUP($U$11,'PCU Values'!$B$9:$C$16,2,FALSE)</f>
        <v>0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0.6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0.6</v>
      </c>
      <c r="AL75" s="52">
        <f>SUM($U$75,$V$75,$W$75,$X$75,$Y$75,$Z$75,$AA$75,$AB$75)</f>
        <v>3</v>
      </c>
      <c r="AM75" s="73">
        <v>4</v>
      </c>
      <c r="AN75" s="51">
        <v>0</v>
      </c>
      <c r="AO75" s="51">
        <v>0</v>
      </c>
      <c r="AP75" s="51">
        <v>0</v>
      </c>
      <c r="AQ75" s="51">
        <v>0</v>
      </c>
      <c r="AR75" s="51">
        <v>2</v>
      </c>
      <c r="AS75" s="51">
        <v>0</v>
      </c>
      <c r="AT75" s="59">
        <v>0</v>
      </c>
      <c r="AU75" s="60">
        <f>$AM$75*VLOOKUP($AM$11,'PCU Values'!$B$9:$C$16,2,FALSE)</f>
        <v>4</v>
      </c>
      <c r="AV75" s="60">
        <f>$AN$75*VLOOKUP($AN$11,'PCU Values'!$B$9:$C$16,2,FALSE)</f>
        <v>0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0.4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4.4000000000000004</v>
      </c>
      <c r="BD75" s="52">
        <f>SUM($AM$75,$AN$75,$AO$75,$AP$75,$AQ$75,$AR$75,$AS$75,$AT$75)</f>
        <v>6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4</v>
      </c>
      <c r="BZ75" s="84">
        <f>SUM($D$75,$V$75,$AN$75,$BF$75)</f>
        <v>0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9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4</v>
      </c>
      <c r="CH75" s="79">
        <f>$BZ$75*VLOOKUP($BZ$11,'PCU Values'!$B$9:$C$16,2,FALSE)</f>
        <v>0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1.8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5.8</v>
      </c>
      <c r="CP75" s="52">
        <f>SUM($BY$75,$BZ$75,$CA$75,$CB$75,$CC$75,$CD$75,$CE$75,$CF$75)</f>
        <v>13</v>
      </c>
      <c r="CQ75" s="90">
        <f>SUM('J1 A - (North) Bishopthorpe Roa'!$C$75,'J1 B - Butcher Terrace'!$BE$75,'J1 C - (South) Bishopthorpe Roa'!$AM$75,'J1 D - South Bank Avenue'!$U$75)</f>
        <v>6</v>
      </c>
      <c r="CR75" s="84">
        <f>SUM('J1 A - (North) Bishopthorpe Roa'!$D$75,'J1 B - Butcher Terrace'!$BF$75,'J1 C - (South) Bishopthorpe Roa'!$AN$75,'J1 D - South Bank Avenue'!$V$75)</f>
        <v>3</v>
      </c>
      <c r="CS75" s="84">
        <f>SUM('J1 A - (North) Bishopthorpe Roa'!$E$75,'J1 B - Butcher Terrace'!$BG$75,'J1 C - (South) Bishopthorpe Roa'!$AO$75,'J1 D - South Bank Avenue'!$W$75)</f>
        <v>0</v>
      </c>
      <c r="CT75" s="84">
        <f>SUM('J1 A - (North) Bishopthorpe Roa'!$F$75,'J1 B - Butcher Terrace'!$BH$75,'J1 C - (South) Bishopthorpe Roa'!$AP$75,'J1 D - South Bank Avenue'!$X$75)</f>
        <v>0</v>
      </c>
      <c r="CU75" s="84">
        <f>SUM('J1 A - (North) Bishopthorpe Roa'!$G$75,'J1 B - Butcher Terrace'!$BI$75,'J1 C - (South) Bishopthorpe Roa'!$AQ$75,'J1 D - South Bank Avenue'!$Y$75)</f>
        <v>0</v>
      </c>
      <c r="CV75" s="84">
        <f>SUM('J1 A - (North) Bishopthorpe Roa'!$H$75,'J1 B - Butcher Terrace'!$BJ$75,'J1 C - (South) Bishopthorpe Roa'!$AR$75,'J1 D - South Bank Avenue'!$Z$75)</f>
        <v>12</v>
      </c>
      <c r="CW75" s="84">
        <f>SUM('J1 A - (North) Bishopthorpe Roa'!$I$75,'J1 B - Butcher Terrace'!$BK$75,'J1 C - (South) Bishopthorpe Roa'!$AS$75,'J1 D - South Bank Avenue'!$AA$75)</f>
        <v>0</v>
      </c>
      <c r="CX75" s="87">
        <f>SUM('J1 A - (North) Bishopthorpe Roa'!$J$75,'J1 B - Butcher Terrace'!$BL$75,'J1 C - (South) Bishopthorpe Roa'!$AT$75,'J1 D - South Bank Avenue'!$AB$75)</f>
        <v>2</v>
      </c>
      <c r="CY75" s="79">
        <f>$CQ$75*VLOOKUP($CQ$11,'PCU Values'!$B$9:$C$16,2,FALSE)</f>
        <v>6</v>
      </c>
      <c r="CZ75" s="79">
        <f>$CR$75*VLOOKUP($CR$11,'PCU Values'!$B$9:$C$16,2,FALSE)</f>
        <v>3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2.4</v>
      </c>
      <c r="DE75" s="79">
        <f>$CW$75*VLOOKUP($CW$11,'PCU Values'!$B$9:$C$16,2,FALSE)</f>
        <v>0</v>
      </c>
      <c r="DF75" s="80">
        <f>$CX$75*VLOOKUP($CX$11,'PCU Values'!$B$9:$C$16,2,FALSE)</f>
        <v>3</v>
      </c>
      <c r="DG75" s="63">
        <f>SUM($CY$75,$CZ$75,$DA$75,$DB$75,$DC$75,$DD$75,$DE$75,$DF$75)</f>
        <v>14.4</v>
      </c>
      <c r="DH75" s="52">
        <f>SUM($CQ$75,$CR$75,$CS$75,$CT$75,$CU$75,$CV$75,$CW$75,$CX$75)</f>
        <v>23</v>
      </c>
    </row>
    <row r="76" spans="1:112">
      <c r="B76" s="52" t="s">
        <v>34</v>
      </c>
      <c r="C76" s="52">
        <f>SUM($C$72:$C$75)</f>
        <v>2</v>
      </c>
      <c r="D76" s="52">
        <f>SUM($D$72:$D$75)</f>
        <v>1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7</v>
      </c>
      <c r="I76" s="52">
        <f>SUM($I$72:$I$75)</f>
        <v>0</v>
      </c>
      <c r="J76" s="52">
        <f>SUM($J$72:$J$75)</f>
        <v>0</v>
      </c>
      <c r="K76" s="52">
        <f>SUM($K$72:$K$75)</f>
        <v>2</v>
      </c>
      <c r="L76" s="52">
        <f>SUM($L$72:$L$75)</f>
        <v>1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1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4</v>
      </c>
      <c r="T76" s="52">
        <f>SUM($C$76,$D$76,$E$76,$F$76,$G$76,$H$76,$I$76,$J$76)</f>
        <v>10</v>
      </c>
      <c r="U76" s="52">
        <f>SUM($U$72:$U$75)</f>
        <v>0</v>
      </c>
      <c r="V76" s="52">
        <f>SUM($V$72:$V$75)</f>
        <v>1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18</v>
      </c>
      <c r="AA76" s="52">
        <f>SUM($AA$72:$AA$75)</f>
        <v>0</v>
      </c>
      <c r="AB76" s="52">
        <f>SUM($AB$72:$AB$75)</f>
        <v>0</v>
      </c>
      <c r="AC76" s="52">
        <f>SUM($AC$72:$AC$75)</f>
        <v>0</v>
      </c>
      <c r="AD76" s="52">
        <f>SUM($AD$72:$AD$75)</f>
        <v>1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4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5</v>
      </c>
      <c r="AL76" s="52">
        <f>SUM($U$76,$V$76,$W$76,$X$76,$Y$76,$Z$76,$AA$76,$AB$76)</f>
        <v>19</v>
      </c>
      <c r="AM76" s="52">
        <f>SUM($AM$72:$AM$75)</f>
        <v>15</v>
      </c>
      <c r="AN76" s="52">
        <f>SUM($AN$72:$AN$75)</f>
        <v>2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9</v>
      </c>
      <c r="AS76" s="52">
        <f>SUM($AS$72:$AS$75)</f>
        <v>0</v>
      </c>
      <c r="AT76" s="52">
        <f>SUM($AT$72:$AT$75)</f>
        <v>0</v>
      </c>
      <c r="AU76" s="52">
        <f>SUM($AU$72:$AU$75)</f>
        <v>15</v>
      </c>
      <c r="AV76" s="52">
        <f>SUM($AV$72:$AV$75)</f>
        <v>2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2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19</v>
      </c>
      <c r="BD76" s="52">
        <f>SUM($AM$76,$AN$76,$AO$76,$AP$76,$AQ$76,$AR$76,$AS$76,$AT$76)</f>
        <v>26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17</v>
      </c>
      <c r="BZ76" s="52">
        <f>SUM($BZ$72:$BZ$75)</f>
        <v>4</v>
      </c>
      <c r="CA76" s="52">
        <f>SUM($CA$72:$CA$75)</f>
        <v>0</v>
      </c>
      <c r="CB76" s="52">
        <f>SUM($CB$72:$CB$75)</f>
        <v>0</v>
      </c>
      <c r="CC76" s="52">
        <f>SUM($CC$72:$CC$75)</f>
        <v>0</v>
      </c>
      <c r="CD76" s="52">
        <f>SUM($CD$72:$CD$75)</f>
        <v>34</v>
      </c>
      <c r="CE76" s="52">
        <f>SUM($CE$72:$CE$75)</f>
        <v>0</v>
      </c>
      <c r="CF76" s="52">
        <f>SUM($CF$72:$CF$75)</f>
        <v>0</v>
      </c>
      <c r="CG76" s="52">
        <f>SUM($CG$72:$CG$75)</f>
        <v>17</v>
      </c>
      <c r="CH76" s="52">
        <f>SUM($CH$72:$CH$75)</f>
        <v>4</v>
      </c>
      <c r="CI76" s="52">
        <f>SUM($CI$72:$CI$75)</f>
        <v>0</v>
      </c>
      <c r="CJ76" s="52">
        <f>SUM($CJ$72:$CJ$75)</f>
        <v>0</v>
      </c>
      <c r="CK76" s="52">
        <f>SUM($CK$72:$CK$75)</f>
        <v>0</v>
      </c>
      <c r="CL76" s="52">
        <f>SUM($CL$72:$CL$75)</f>
        <v>7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28</v>
      </c>
      <c r="CP76" s="52">
        <f>SUM($BY$76,$BZ$76,$CA$76,$CB$76,$CC$76,$CD$76,$CE$76,$CF$76)</f>
        <v>55</v>
      </c>
      <c r="CQ76" s="52">
        <f>SUM($CQ$72:$CQ$75)</f>
        <v>21</v>
      </c>
      <c r="CR76" s="52">
        <f>SUM($CR$72:$CR$75)</f>
        <v>10</v>
      </c>
      <c r="CS76" s="52">
        <f>SUM($CS$72:$CS$75)</f>
        <v>1</v>
      </c>
      <c r="CT76" s="52">
        <f>SUM($CT$72:$CT$75)</f>
        <v>0</v>
      </c>
      <c r="CU76" s="52">
        <f>SUM($CU$72:$CU$75)</f>
        <v>0</v>
      </c>
      <c r="CV76" s="52">
        <f>SUM($CV$72:$CV$75)</f>
        <v>38</v>
      </c>
      <c r="CW76" s="52">
        <f>SUM($CW$72:$CW$75)</f>
        <v>0</v>
      </c>
      <c r="CX76" s="52">
        <f>SUM($CX$72:$CX$75)</f>
        <v>5</v>
      </c>
      <c r="CY76" s="52">
        <f>SUM($CY$72:$CY$75)</f>
        <v>21</v>
      </c>
      <c r="CZ76" s="52">
        <f>SUM($CZ$72:$CZ$75)</f>
        <v>10</v>
      </c>
      <c r="DA76" s="52">
        <f>SUM($DA$72:$DA$75)</f>
        <v>2</v>
      </c>
      <c r="DB76" s="52">
        <f>SUM($DB$72:$DB$75)</f>
        <v>0</v>
      </c>
      <c r="DC76" s="52">
        <f>SUM($DC$72:$DC$75)</f>
        <v>0</v>
      </c>
      <c r="DD76" s="52">
        <f>SUM($DD$72:$DD$75)</f>
        <v>8</v>
      </c>
      <c r="DE76" s="52">
        <f>SUM($DE$72:$DE$75)</f>
        <v>0</v>
      </c>
      <c r="DF76" s="52">
        <f>SUM($DF$72:$DF$75)</f>
        <v>8</v>
      </c>
      <c r="DG76" s="52">
        <f>SUM($CY$76,$CZ$76,$DA$76,$DB$76,$DC$76,$DD$76,$DE$76,$DF$76)</f>
        <v>49</v>
      </c>
      <c r="DH76" s="52">
        <f>SUM($CQ$76,$CR$76,$CS$76,$CT$76,$CU$76,$CV$76,$CW$76,$CX$76)</f>
        <v>75</v>
      </c>
    </row>
    <row r="77" spans="1:112" ht="21" customHeight="1">
      <c r="A77" s="46">
        <v>44395.541666666701</v>
      </c>
      <c r="B77" s="53" t="s">
        <v>83</v>
      </c>
      <c r="C77" s="75">
        <v>3</v>
      </c>
      <c r="D77" s="75">
        <v>0</v>
      </c>
      <c r="E77" s="54">
        <v>0</v>
      </c>
      <c r="F77" s="54">
        <v>0</v>
      </c>
      <c r="G77" s="54">
        <v>0</v>
      </c>
      <c r="H77" s="75">
        <v>3</v>
      </c>
      <c r="I77" s="75">
        <v>1</v>
      </c>
      <c r="J77" s="92">
        <v>0</v>
      </c>
      <c r="K77" s="62">
        <f>$C$77*VLOOKUP($C$11,'PCU Values'!$B$9:$C$16,2,FALSE)</f>
        <v>3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0.6</v>
      </c>
      <c r="Q77" s="62">
        <f>$I$77*VLOOKUP($I$11,'PCU Values'!$B$9:$C$16,2,FALSE)</f>
        <v>0.4</v>
      </c>
      <c r="R77" s="70">
        <f>$J$77*VLOOKUP($J$11,'PCU Values'!$B$9:$C$16,2,FALSE)</f>
        <v>0</v>
      </c>
      <c r="S77" s="71">
        <f>SUM($K$77,$L$77,$M$77,$N$77,$O$77,$P$77,$Q$77,$R$77)</f>
        <v>4</v>
      </c>
      <c r="T77" s="52">
        <f>SUM($C$77,$D$77,$E$77,$F$77,$G$77,$H$77,$I$77,$J$77)</f>
        <v>7</v>
      </c>
      <c r="U77" s="72">
        <v>0</v>
      </c>
      <c r="V77" s="54">
        <v>0</v>
      </c>
      <c r="W77" s="54">
        <v>0</v>
      </c>
      <c r="X77" s="54">
        <v>0</v>
      </c>
      <c r="Y77" s="54">
        <v>0</v>
      </c>
      <c r="Z77" s="54">
        <v>4</v>
      </c>
      <c r="AA77" s="54">
        <v>0</v>
      </c>
      <c r="AB77" s="61">
        <v>0</v>
      </c>
      <c r="AC77" s="62">
        <f>$U$77*VLOOKUP($U$11,'PCU Values'!$B$9:$C$16,2,FALSE)</f>
        <v>0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0.8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0.8</v>
      </c>
      <c r="AL77" s="52">
        <f>SUM($U$77,$V$77,$W$77,$X$77,$Y$77,$Z$77,$AA$77,$AB$77)</f>
        <v>4</v>
      </c>
      <c r="AM77" s="72">
        <v>7</v>
      </c>
      <c r="AN77" s="54">
        <v>0</v>
      </c>
      <c r="AO77" s="54">
        <v>0</v>
      </c>
      <c r="AP77" s="54">
        <v>0</v>
      </c>
      <c r="AQ77" s="54">
        <v>0</v>
      </c>
      <c r="AR77" s="54">
        <v>2</v>
      </c>
      <c r="AS77" s="54">
        <v>0</v>
      </c>
      <c r="AT77" s="61">
        <v>0</v>
      </c>
      <c r="AU77" s="62">
        <f>$AM$77*VLOOKUP($AM$11,'PCU Values'!$B$9:$C$16,2,FALSE)</f>
        <v>7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0.4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7.4</v>
      </c>
      <c r="BD77" s="52">
        <f>SUM($AM$77,$AN$77,$AO$77,$AP$77,$AQ$77,$AR$77,$AS$77,$AT$77)</f>
        <v>9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10</v>
      </c>
      <c r="BZ77" s="85">
        <f>SUM($D$77,$V$77,$AN$77,$BF$77)</f>
        <v>0</v>
      </c>
      <c r="CA77" s="85">
        <f>SUM($E$77,$W$77,$AO$77,$BG$77)</f>
        <v>0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9</v>
      </c>
      <c r="CE77" s="85">
        <f>SUM($I$77,$AA$77,$AS$77,$BK$77)</f>
        <v>1</v>
      </c>
      <c r="CF77" s="88">
        <f>SUM($J$77,$AB$77,$AT$77,$BL$77)</f>
        <v>0</v>
      </c>
      <c r="CG77" s="81">
        <f>$BY$77*VLOOKUP($BY$11,'PCU Values'!$B$9:$C$16,2,FALSE)</f>
        <v>10</v>
      </c>
      <c r="CH77" s="81">
        <f>$BZ$77*VLOOKUP($BZ$11,'PCU Values'!$B$9:$C$16,2,FALSE)</f>
        <v>0</v>
      </c>
      <c r="CI77" s="81">
        <f>$CA$77*VLOOKUP($CA$11,'PCU Values'!$B$9:$C$16,2,FALSE)</f>
        <v>0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1.8</v>
      </c>
      <c r="CM77" s="81">
        <f>$CE$77*VLOOKUP($CE$11,'PCU Values'!$B$9:$C$16,2,FALSE)</f>
        <v>0.4</v>
      </c>
      <c r="CN77" s="82">
        <f>$CF$77*VLOOKUP($CF$11,'PCU Values'!$B$9:$C$16,2,FALSE)</f>
        <v>0</v>
      </c>
      <c r="CO77" s="71">
        <f>SUM($CG$77,$CH$77,$CI$77,$CJ$77,$CK$77,$CL$77,$CM$77,$CN$77)</f>
        <v>12.2</v>
      </c>
      <c r="CP77" s="52">
        <f>SUM($BY$77,$BZ$77,$CA$77,$CB$77,$CC$77,$CD$77,$CE$77,$CF$77)</f>
        <v>20</v>
      </c>
      <c r="CQ77" s="91">
        <f>SUM('J1 A - (North) Bishopthorpe Roa'!$C$77,'J1 B - Butcher Terrace'!$BE$77,'J1 C - (South) Bishopthorpe Roa'!$AM$77,'J1 D - South Bank Avenue'!$U$77)</f>
        <v>5</v>
      </c>
      <c r="CR77" s="85">
        <f>SUM('J1 A - (North) Bishopthorpe Roa'!$D$77,'J1 B - Butcher Terrace'!$BF$77,'J1 C - (South) Bishopthorpe Roa'!$AN$77,'J1 D - South Bank Avenue'!$V$77)</f>
        <v>2</v>
      </c>
      <c r="CS77" s="85">
        <f>SUM('J1 A - (North) Bishopthorpe Roa'!$E$77,'J1 B - Butcher Terrace'!$BG$77,'J1 C - (South) Bishopthorpe Roa'!$AO$77,'J1 D - South Bank Avenue'!$W$77)</f>
        <v>0</v>
      </c>
      <c r="CT77" s="85">
        <f>SUM('J1 A - (North) Bishopthorpe Roa'!$F$77,'J1 B - Butcher Terrace'!$BH$77,'J1 C - (South) Bishopthorpe Roa'!$AP$77,'J1 D - South Bank Avenue'!$X$77)</f>
        <v>0</v>
      </c>
      <c r="CU77" s="85">
        <f>SUM('J1 A - (North) Bishopthorpe Roa'!$G$77,'J1 B - Butcher Terrace'!$BI$77,'J1 C - (South) Bishopthorpe Roa'!$AQ$77,'J1 D - South Bank Avenue'!$Y$77)</f>
        <v>0</v>
      </c>
      <c r="CV77" s="85">
        <f>SUM('J1 A - (North) Bishopthorpe Roa'!$H$77,'J1 B - Butcher Terrace'!$BJ$77,'J1 C - (South) Bishopthorpe Roa'!$AR$77,'J1 D - South Bank Avenue'!$Z$77)</f>
        <v>10</v>
      </c>
      <c r="CW77" s="85">
        <f>SUM('J1 A - (North) Bishopthorpe Roa'!$I$77,'J1 B - Butcher Terrace'!$BK$77,'J1 C - (South) Bishopthorpe Roa'!$AS$77,'J1 D - South Bank Avenue'!$AA$77)</f>
        <v>0</v>
      </c>
      <c r="CX77" s="88">
        <f>SUM('J1 A - (North) Bishopthorpe Roa'!$J$77,'J1 B - Butcher Terrace'!$BL$77,'J1 C - (South) Bishopthorpe Roa'!$AT$77,'J1 D - South Bank Avenue'!$AB$77)</f>
        <v>1</v>
      </c>
      <c r="CY77" s="81">
        <f>$CQ$77*VLOOKUP($CQ$11,'PCU Values'!$B$9:$C$16,2,FALSE)</f>
        <v>5</v>
      </c>
      <c r="CZ77" s="81">
        <f>$CR$77*VLOOKUP($CR$11,'PCU Values'!$B$9:$C$16,2,FALSE)</f>
        <v>2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2</v>
      </c>
      <c r="DE77" s="81">
        <f>$CW$77*VLOOKUP($CW$11,'PCU Values'!$B$9:$C$16,2,FALSE)</f>
        <v>0</v>
      </c>
      <c r="DF77" s="82">
        <f>$CX$77*VLOOKUP($CX$11,'PCU Values'!$B$9:$C$16,2,FALSE)</f>
        <v>1.5</v>
      </c>
      <c r="DG77" s="71">
        <f>SUM($CY$77,$CZ$77,$DA$77,$DB$77,$DC$77,$DD$77,$DE$77,$DF$77)</f>
        <v>10.5</v>
      </c>
      <c r="DH77" s="52">
        <f>SUM($CQ$77,$CR$77,$CS$77,$CT$77,$CU$77,$CV$77,$CW$77,$CX$77)</f>
        <v>18</v>
      </c>
    </row>
    <row r="78" spans="1:112" ht="21" customHeight="1">
      <c r="A78" s="46">
        <v>44395.552083333299</v>
      </c>
      <c r="B78" s="47" t="s">
        <v>84</v>
      </c>
      <c r="C78" s="48">
        <v>1</v>
      </c>
      <c r="D78" s="48">
        <v>1</v>
      </c>
      <c r="E78" s="48">
        <v>0</v>
      </c>
      <c r="F78" s="48">
        <v>0</v>
      </c>
      <c r="G78" s="48">
        <v>0</v>
      </c>
      <c r="H78" s="48">
        <v>1</v>
      </c>
      <c r="I78" s="48">
        <v>0</v>
      </c>
      <c r="J78" s="56">
        <v>0</v>
      </c>
      <c r="K78" s="57">
        <f>$C$78*VLOOKUP($C$11,'PCU Values'!$B$9:$C$16,2,FALSE)</f>
        <v>1</v>
      </c>
      <c r="L78" s="57">
        <f>$D$78*VLOOKUP($D$11,'PCU Values'!$B$9:$C$16,2,FALSE)</f>
        <v>1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0.2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2.2000000000000002</v>
      </c>
      <c r="T78" s="52">
        <f>SUM($C$78,$D$78,$E$78,$F$78,$G$78,$H$78,$I$78,$J$78)</f>
        <v>3</v>
      </c>
      <c r="U78" s="67">
        <v>2</v>
      </c>
      <c r="V78" s="48">
        <v>0</v>
      </c>
      <c r="W78" s="48">
        <v>0</v>
      </c>
      <c r="X78" s="48">
        <v>0</v>
      </c>
      <c r="Y78" s="48">
        <v>0</v>
      </c>
      <c r="Z78" s="48">
        <v>12</v>
      </c>
      <c r="AA78" s="48">
        <v>0</v>
      </c>
      <c r="AB78" s="56">
        <v>0</v>
      </c>
      <c r="AC78" s="57">
        <f>$U$78*VLOOKUP($U$11,'PCU Values'!$B$9:$C$16,2,FALSE)</f>
        <v>2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2.4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4.4000000000000004</v>
      </c>
      <c r="AL78" s="52">
        <f>SUM($U$78,$V$78,$W$78,$X$78,$Y$78,$Z$78,$AA$78,$AB$78)</f>
        <v>14</v>
      </c>
      <c r="AM78" s="67">
        <v>3</v>
      </c>
      <c r="AN78" s="48">
        <v>3</v>
      </c>
      <c r="AO78" s="48">
        <v>0</v>
      </c>
      <c r="AP78" s="48">
        <v>0</v>
      </c>
      <c r="AQ78" s="48">
        <v>0</v>
      </c>
      <c r="AR78" s="48">
        <v>2</v>
      </c>
      <c r="AS78" s="48">
        <v>0</v>
      </c>
      <c r="AT78" s="56">
        <v>0</v>
      </c>
      <c r="AU78" s="57">
        <f>$AM$78*VLOOKUP($AM$11,'PCU Values'!$B$9:$C$16,2,FALSE)</f>
        <v>3</v>
      </c>
      <c r="AV78" s="57">
        <f>$AN$78*VLOOKUP($AN$11,'PCU Values'!$B$9:$C$16,2,FALSE)</f>
        <v>3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0.4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6.4</v>
      </c>
      <c r="BD78" s="52">
        <f>SUM($AM$78,$AN$78,$AO$78,$AP$78,$AQ$78,$AR$78,$AS$78,$AT$78)</f>
        <v>8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6</v>
      </c>
      <c r="BZ78" s="83">
        <f>SUM($D$78,$V$78,$AN$78,$BF$78)</f>
        <v>4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15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6</v>
      </c>
      <c r="CH78" s="77">
        <f>$BZ$78*VLOOKUP($BZ$11,'PCU Values'!$B$9:$C$16,2,FALSE)</f>
        <v>4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3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13</v>
      </c>
      <c r="CP78" s="52">
        <f>SUM($BY$78,$BZ$78,$CA$78,$CB$78,$CC$78,$CD$78,$CE$78,$CF$78)</f>
        <v>25</v>
      </c>
      <c r="CQ78" s="89">
        <f>SUM('J1 A - (North) Bishopthorpe Roa'!$C$78,'J1 B - Butcher Terrace'!$BE$78,'J1 C - (South) Bishopthorpe Roa'!$AM$78,'J1 D - South Bank Avenue'!$U$78)</f>
        <v>5</v>
      </c>
      <c r="CR78" s="83">
        <f>SUM('J1 A - (North) Bishopthorpe Roa'!$D$78,'J1 B - Butcher Terrace'!$BF$78,'J1 C - (South) Bishopthorpe Roa'!$AN$78,'J1 D - South Bank Avenue'!$V$78)</f>
        <v>4</v>
      </c>
      <c r="CS78" s="83">
        <f>SUM('J1 A - (North) Bishopthorpe Roa'!$E$78,'J1 B - Butcher Terrace'!$BG$78,'J1 C - (South) Bishopthorpe Roa'!$AO$78,'J1 D - South Bank Avenue'!$W$78)</f>
        <v>0</v>
      </c>
      <c r="CT78" s="83">
        <f>SUM('J1 A - (North) Bishopthorpe Roa'!$F$78,'J1 B - Butcher Terrace'!$BH$78,'J1 C - (South) Bishopthorpe Roa'!$AP$78,'J1 D - South Bank Avenue'!$X$78)</f>
        <v>0</v>
      </c>
      <c r="CU78" s="83">
        <f>SUM('J1 A - (North) Bishopthorpe Roa'!$G$78,'J1 B - Butcher Terrace'!$BI$78,'J1 C - (South) Bishopthorpe Roa'!$AQ$78,'J1 D - South Bank Avenue'!$Y$78)</f>
        <v>0</v>
      </c>
      <c r="CV78" s="83">
        <f>SUM('J1 A - (North) Bishopthorpe Roa'!$H$78,'J1 B - Butcher Terrace'!$BJ$78,'J1 C - (South) Bishopthorpe Roa'!$AR$78,'J1 D - South Bank Avenue'!$Z$78)</f>
        <v>10</v>
      </c>
      <c r="CW78" s="83">
        <f>SUM('J1 A - (North) Bishopthorpe Roa'!$I$78,'J1 B - Butcher Terrace'!$BK$78,'J1 C - (South) Bishopthorpe Roa'!$AS$78,'J1 D - South Bank Avenue'!$AA$78)</f>
        <v>0</v>
      </c>
      <c r="CX78" s="86">
        <f>SUM('J1 A - (North) Bishopthorpe Roa'!$J$78,'J1 B - Butcher Terrace'!$BL$78,'J1 C - (South) Bishopthorpe Roa'!$AT$78,'J1 D - South Bank Avenue'!$AB$78)</f>
        <v>0</v>
      </c>
      <c r="CY78" s="77">
        <f>$CQ$78*VLOOKUP($CQ$11,'PCU Values'!$B$9:$C$16,2,FALSE)</f>
        <v>5</v>
      </c>
      <c r="CZ78" s="77">
        <f>$CR$78*VLOOKUP($CR$11,'PCU Values'!$B$9:$C$16,2,FALSE)</f>
        <v>4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2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11</v>
      </c>
      <c r="DH78" s="52">
        <f>SUM($CQ$78,$CR$78,$CS$78,$CT$78,$CU$78,$CV$78,$CW$78,$CX$78)</f>
        <v>19</v>
      </c>
    </row>
    <row r="79" spans="1:112" ht="21" customHeight="1">
      <c r="A79" s="46">
        <v>44395.5625</v>
      </c>
      <c r="B79" s="47" t="s">
        <v>85</v>
      </c>
      <c r="C79" s="48">
        <v>2</v>
      </c>
      <c r="D79" s="48">
        <v>1</v>
      </c>
      <c r="E79" s="48">
        <v>0</v>
      </c>
      <c r="F79" s="48">
        <v>0</v>
      </c>
      <c r="G79" s="48">
        <v>0</v>
      </c>
      <c r="H79" s="48">
        <v>2</v>
      </c>
      <c r="I79" s="48">
        <v>0</v>
      </c>
      <c r="J79" s="56">
        <v>0</v>
      </c>
      <c r="K79" s="57">
        <f>$C$79*VLOOKUP($C$11,'PCU Values'!$B$9:$C$16,2,FALSE)</f>
        <v>2</v>
      </c>
      <c r="L79" s="57">
        <f>$D$79*VLOOKUP($D$11,'PCU Values'!$B$9:$C$16,2,FALSE)</f>
        <v>1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0.4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3.4</v>
      </c>
      <c r="T79" s="52">
        <f>SUM($C$79,$D$79,$E$79,$F$79,$G$79,$H$79,$I$79,$J$79)</f>
        <v>5</v>
      </c>
      <c r="U79" s="67">
        <v>0</v>
      </c>
      <c r="V79" s="48">
        <v>0</v>
      </c>
      <c r="W79" s="48">
        <v>0</v>
      </c>
      <c r="X79" s="48">
        <v>0</v>
      </c>
      <c r="Y79" s="48">
        <v>0</v>
      </c>
      <c r="Z79" s="48">
        <v>9</v>
      </c>
      <c r="AA79" s="48">
        <v>0</v>
      </c>
      <c r="AB79" s="56">
        <v>0</v>
      </c>
      <c r="AC79" s="57">
        <f>$U$79*VLOOKUP($U$11,'PCU Values'!$B$9:$C$16,2,FALSE)</f>
        <v>0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1.8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1.8</v>
      </c>
      <c r="AL79" s="52">
        <f>SUM($U$79,$V$79,$W$79,$X$79,$Y$79,$Z$79,$AA$79,$AB$79)</f>
        <v>9</v>
      </c>
      <c r="AM79" s="67">
        <v>1</v>
      </c>
      <c r="AN79" s="48">
        <v>1</v>
      </c>
      <c r="AO79" s="48">
        <v>0</v>
      </c>
      <c r="AP79" s="48">
        <v>0</v>
      </c>
      <c r="AQ79" s="48">
        <v>0</v>
      </c>
      <c r="AR79" s="48">
        <v>2</v>
      </c>
      <c r="AS79" s="48">
        <v>0</v>
      </c>
      <c r="AT79" s="56">
        <v>0</v>
      </c>
      <c r="AU79" s="57">
        <f>$AM$79*VLOOKUP($AM$11,'PCU Values'!$B$9:$C$16,2,FALSE)</f>
        <v>1</v>
      </c>
      <c r="AV79" s="57">
        <f>$AN$79*VLOOKUP($AN$11,'PCU Values'!$B$9:$C$16,2,FALSE)</f>
        <v>1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0.4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2.4</v>
      </c>
      <c r="BD79" s="52">
        <f>SUM($AM$79,$AN$79,$AO$79,$AP$79,$AQ$79,$AR$79,$AS$79,$AT$79)</f>
        <v>4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3</v>
      </c>
      <c r="BZ79" s="83">
        <f>SUM($D$79,$V$79,$AN$79,$BF$79)</f>
        <v>2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13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3</v>
      </c>
      <c r="CH79" s="77">
        <f>$BZ$79*VLOOKUP($BZ$11,'PCU Values'!$B$9:$C$16,2,FALSE)</f>
        <v>2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2.6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7.6</v>
      </c>
      <c r="CP79" s="52">
        <f>SUM($BY$79,$BZ$79,$CA$79,$CB$79,$CC$79,$CD$79,$CE$79,$CF$79)</f>
        <v>18</v>
      </c>
      <c r="CQ79" s="89">
        <f>SUM('J1 A - (North) Bishopthorpe Roa'!$C$79,'J1 B - Butcher Terrace'!$BE$79,'J1 C - (South) Bishopthorpe Roa'!$AM$79,'J1 D - South Bank Avenue'!$U$79)</f>
        <v>7</v>
      </c>
      <c r="CR79" s="83">
        <f>SUM('J1 A - (North) Bishopthorpe Roa'!$D$79,'J1 B - Butcher Terrace'!$BF$79,'J1 C - (South) Bishopthorpe Roa'!$AN$79,'J1 D - South Bank Avenue'!$V$79)</f>
        <v>1</v>
      </c>
      <c r="CS79" s="83">
        <f>SUM('J1 A - (North) Bishopthorpe Roa'!$E$79,'J1 B - Butcher Terrace'!$BG$79,'J1 C - (South) Bishopthorpe Roa'!$AO$79,'J1 D - South Bank Avenue'!$W$79)</f>
        <v>0</v>
      </c>
      <c r="CT79" s="83">
        <f>SUM('J1 A - (North) Bishopthorpe Roa'!$F$79,'J1 B - Butcher Terrace'!$BH$79,'J1 C - (South) Bishopthorpe Roa'!$AP$79,'J1 D - South Bank Avenue'!$X$79)</f>
        <v>0</v>
      </c>
      <c r="CU79" s="83">
        <f>SUM('J1 A - (North) Bishopthorpe Roa'!$G$79,'J1 B - Butcher Terrace'!$BI$79,'J1 C - (South) Bishopthorpe Roa'!$AQ$79,'J1 D - South Bank Avenue'!$Y$79)</f>
        <v>0</v>
      </c>
      <c r="CV79" s="83">
        <f>SUM('J1 A - (North) Bishopthorpe Roa'!$H$79,'J1 B - Butcher Terrace'!$BJ$79,'J1 C - (South) Bishopthorpe Roa'!$AR$79,'J1 D - South Bank Avenue'!$Z$79)</f>
        <v>11</v>
      </c>
      <c r="CW79" s="83">
        <f>SUM('J1 A - (North) Bishopthorpe Roa'!$I$79,'J1 B - Butcher Terrace'!$BK$79,'J1 C - (South) Bishopthorpe Roa'!$AS$79,'J1 D - South Bank Avenue'!$AA$79)</f>
        <v>1</v>
      </c>
      <c r="CX79" s="86">
        <f>SUM('J1 A - (North) Bishopthorpe Roa'!$J$79,'J1 B - Butcher Terrace'!$BL$79,'J1 C - (South) Bishopthorpe Roa'!$AT$79,'J1 D - South Bank Avenue'!$AB$79)</f>
        <v>0</v>
      </c>
      <c r="CY79" s="77">
        <f>$CQ$79*VLOOKUP($CQ$11,'PCU Values'!$B$9:$C$16,2,FALSE)</f>
        <v>7</v>
      </c>
      <c r="CZ79" s="77">
        <f>$CR$79*VLOOKUP($CR$11,'PCU Values'!$B$9:$C$16,2,FALSE)</f>
        <v>1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2.2000000000000002</v>
      </c>
      <c r="DE79" s="77">
        <f>$CW$79*VLOOKUP($CW$11,'PCU Values'!$B$9:$C$16,2,FALSE)</f>
        <v>0.4</v>
      </c>
      <c r="DF79" s="78">
        <f>$CX$79*VLOOKUP($CX$11,'PCU Values'!$B$9:$C$16,2,FALSE)</f>
        <v>0</v>
      </c>
      <c r="DG79" s="66">
        <f>SUM($CY$79,$CZ$79,$DA$79,$DB$79,$DC$79,$DD$79,$DE$79,$DF$79)</f>
        <v>10.6</v>
      </c>
      <c r="DH79" s="52">
        <f>SUM($CQ$79,$CR$79,$CS$79,$CT$79,$CU$79,$CV$79,$CW$79,$CX$79)</f>
        <v>20</v>
      </c>
    </row>
    <row r="80" spans="1:112" ht="21" customHeight="1">
      <c r="A80" s="46">
        <v>44395.572916666701</v>
      </c>
      <c r="B80" s="50" t="s">
        <v>86</v>
      </c>
      <c r="C80" s="51">
        <v>2</v>
      </c>
      <c r="D80" s="51">
        <v>2</v>
      </c>
      <c r="E80" s="51">
        <v>0</v>
      </c>
      <c r="F80" s="51">
        <v>0</v>
      </c>
      <c r="G80" s="51">
        <v>0</v>
      </c>
      <c r="H80" s="51">
        <v>1</v>
      </c>
      <c r="I80" s="51">
        <v>0</v>
      </c>
      <c r="J80" s="59">
        <v>0</v>
      </c>
      <c r="K80" s="60">
        <f>$C$80*VLOOKUP($C$11,'PCU Values'!$B$9:$C$16,2,FALSE)</f>
        <v>2</v>
      </c>
      <c r="L80" s="60">
        <f>$D$80*VLOOKUP($D$11,'PCU Values'!$B$9:$C$16,2,FALSE)</f>
        <v>2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0.2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4.2</v>
      </c>
      <c r="T80" s="52">
        <f>SUM($C$80,$D$80,$E$80,$F$80,$G$80,$H$80,$I$80,$J$80)</f>
        <v>5</v>
      </c>
      <c r="U80" s="73">
        <v>1</v>
      </c>
      <c r="V80" s="51">
        <v>0</v>
      </c>
      <c r="W80" s="51">
        <v>0</v>
      </c>
      <c r="X80" s="51">
        <v>0</v>
      </c>
      <c r="Y80" s="51">
        <v>0</v>
      </c>
      <c r="Z80" s="51">
        <v>2</v>
      </c>
      <c r="AA80" s="51">
        <v>0</v>
      </c>
      <c r="AB80" s="59">
        <v>0</v>
      </c>
      <c r="AC80" s="60">
        <f>$U$80*VLOOKUP($U$11,'PCU Values'!$B$9:$C$16,2,FALSE)</f>
        <v>1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0.4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1.4</v>
      </c>
      <c r="AL80" s="52">
        <f>SUM($U$80,$V$80,$W$80,$X$80,$Y$80,$Z$80,$AA$80,$AB$80)</f>
        <v>3</v>
      </c>
      <c r="AM80" s="73">
        <v>3</v>
      </c>
      <c r="AN80" s="51">
        <v>0</v>
      </c>
      <c r="AO80" s="51">
        <v>0</v>
      </c>
      <c r="AP80" s="51">
        <v>0</v>
      </c>
      <c r="AQ80" s="51">
        <v>0</v>
      </c>
      <c r="AR80" s="51">
        <v>2</v>
      </c>
      <c r="AS80" s="51">
        <v>0</v>
      </c>
      <c r="AT80" s="59">
        <v>0</v>
      </c>
      <c r="AU80" s="60">
        <f>$AM$80*VLOOKUP($AM$11,'PCU Values'!$B$9:$C$16,2,FALSE)</f>
        <v>3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0.4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3.4</v>
      </c>
      <c r="BD80" s="52">
        <f>SUM($AM$80,$AN$80,$AO$80,$AP$80,$AQ$80,$AR$80,$AS$80,$AT$80)</f>
        <v>5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6</v>
      </c>
      <c r="BZ80" s="84">
        <f>SUM($D$80,$V$80,$AN$80,$BF$80)</f>
        <v>2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5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6</v>
      </c>
      <c r="CH80" s="79">
        <f>$BZ$80*VLOOKUP($BZ$11,'PCU Values'!$B$9:$C$16,2,FALSE)</f>
        <v>2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9</v>
      </c>
      <c r="CP80" s="52">
        <f>SUM($BY$80,$BZ$80,$CA$80,$CB$80,$CC$80,$CD$80,$CE$80,$CF$80)</f>
        <v>13</v>
      </c>
      <c r="CQ80" s="90">
        <f>SUM('J1 A - (North) Bishopthorpe Roa'!$C$80,'J1 B - Butcher Terrace'!$BE$80,'J1 C - (South) Bishopthorpe Roa'!$AM$80,'J1 D - South Bank Avenue'!$U$80)</f>
        <v>10</v>
      </c>
      <c r="CR80" s="84">
        <f>SUM('J1 A - (North) Bishopthorpe Roa'!$D$80,'J1 B - Butcher Terrace'!$BF$80,'J1 C - (South) Bishopthorpe Roa'!$AN$80,'J1 D - South Bank Avenue'!$V$80)</f>
        <v>0</v>
      </c>
      <c r="CS80" s="84">
        <f>SUM('J1 A - (North) Bishopthorpe Roa'!$E$80,'J1 B - Butcher Terrace'!$BG$80,'J1 C - (South) Bishopthorpe Roa'!$AO$80,'J1 D - South Bank Avenue'!$W$80)</f>
        <v>0</v>
      </c>
      <c r="CT80" s="84">
        <f>SUM('J1 A - (North) Bishopthorpe Roa'!$F$80,'J1 B - Butcher Terrace'!$BH$80,'J1 C - (South) Bishopthorpe Roa'!$AP$80,'J1 D - South Bank Avenue'!$X$80)</f>
        <v>0</v>
      </c>
      <c r="CU80" s="84">
        <f>SUM('J1 A - (North) Bishopthorpe Roa'!$G$80,'J1 B - Butcher Terrace'!$BI$80,'J1 C - (South) Bishopthorpe Roa'!$AQ$80,'J1 D - South Bank Avenue'!$Y$80)</f>
        <v>0</v>
      </c>
      <c r="CV80" s="84">
        <f>SUM('J1 A - (North) Bishopthorpe Roa'!$H$80,'J1 B - Butcher Terrace'!$BJ$80,'J1 C - (South) Bishopthorpe Roa'!$AR$80,'J1 D - South Bank Avenue'!$Z$80)</f>
        <v>10</v>
      </c>
      <c r="CW80" s="84">
        <f>SUM('J1 A - (North) Bishopthorpe Roa'!$I$80,'J1 B - Butcher Terrace'!$BK$80,'J1 C - (South) Bishopthorpe Roa'!$AS$80,'J1 D - South Bank Avenue'!$AA$80)</f>
        <v>0</v>
      </c>
      <c r="CX80" s="87">
        <f>SUM('J1 A - (North) Bishopthorpe Roa'!$J$80,'J1 B - Butcher Terrace'!$BL$80,'J1 C - (South) Bishopthorpe Roa'!$AT$80,'J1 D - South Bank Avenue'!$AB$80)</f>
        <v>1</v>
      </c>
      <c r="CY80" s="79">
        <f>$CQ$80*VLOOKUP($CQ$11,'PCU Values'!$B$9:$C$16,2,FALSE)</f>
        <v>10</v>
      </c>
      <c r="CZ80" s="79">
        <f>$CR$80*VLOOKUP($CR$11,'PCU Values'!$B$9:$C$16,2,FALSE)</f>
        <v>0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2</v>
      </c>
      <c r="DE80" s="79">
        <f>$CW$80*VLOOKUP($CW$11,'PCU Values'!$B$9:$C$16,2,FALSE)</f>
        <v>0</v>
      </c>
      <c r="DF80" s="80">
        <f>$CX$80*VLOOKUP($CX$11,'PCU Values'!$B$9:$C$16,2,FALSE)</f>
        <v>1.5</v>
      </c>
      <c r="DG80" s="63">
        <f>SUM($CY$80,$CZ$80,$DA$80,$DB$80,$DC$80,$DD$80,$DE$80,$DF$80)</f>
        <v>13.5</v>
      </c>
      <c r="DH80" s="52">
        <f>SUM($CQ$80,$CR$80,$CS$80,$CT$80,$CU$80,$CV$80,$CW$80,$CX$80)</f>
        <v>21</v>
      </c>
    </row>
    <row r="81" spans="1:112">
      <c r="B81" s="52" t="s">
        <v>34</v>
      </c>
      <c r="C81" s="52">
        <f>SUM($C$77:$C$80)</f>
        <v>8</v>
      </c>
      <c r="D81" s="52">
        <f>SUM($D$77:$D$80)</f>
        <v>4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7</v>
      </c>
      <c r="I81" s="52">
        <f>SUM($I$77:$I$80)</f>
        <v>1</v>
      </c>
      <c r="J81" s="52">
        <f>SUM($J$77:$J$80)</f>
        <v>0</v>
      </c>
      <c r="K81" s="52">
        <f>SUM($K$77:$K$80)</f>
        <v>8</v>
      </c>
      <c r="L81" s="52">
        <f>SUM($L$77:$L$80)</f>
        <v>4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1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13</v>
      </c>
      <c r="T81" s="52">
        <f>SUM($C$81,$D$81,$E$81,$F$81,$G$81,$H$81,$I$81,$J$81)</f>
        <v>20</v>
      </c>
      <c r="U81" s="52">
        <f>SUM($U$77:$U$80)</f>
        <v>3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27</v>
      </c>
      <c r="AA81" s="52">
        <f>SUM($AA$77:$AA$80)</f>
        <v>0</v>
      </c>
      <c r="AB81" s="52">
        <f>SUM($AB$77:$AB$80)</f>
        <v>0</v>
      </c>
      <c r="AC81" s="52">
        <f>SUM($AC$77:$AC$80)</f>
        <v>3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5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8</v>
      </c>
      <c r="AL81" s="52">
        <f>SUM($U$81,$V$81,$W$81,$X$81,$Y$81,$Z$81,$AA$81,$AB$81)</f>
        <v>30</v>
      </c>
      <c r="AM81" s="52">
        <f>SUM($AM$77:$AM$80)</f>
        <v>14</v>
      </c>
      <c r="AN81" s="52">
        <f>SUM($AN$77:$AN$80)</f>
        <v>4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8</v>
      </c>
      <c r="AS81" s="52">
        <f>SUM($AS$77:$AS$80)</f>
        <v>0</v>
      </c>
      <c r="AT81" s="52">
        <f>SUM($AT$77:$AT$80)</f>
        <v>0</v>
      </c>
      <c r="AU81" s="52">
        <f>SUM($AU$77:$AU$80)</f>
        <v>14</v>
      </c>
      <c r="AV81" s="52">
        <f>SUM($AV$77:$AV$80)</f>
        <v>4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2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20</v>
      </c>
      <c r="BD81" s="52">
        <f>SUM($AM$81,$AN$81,$AO$81,$AP$81,$AQ$81,$AR$81,$AS$81,$AT$81)</f>
        <v>26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25</v>
      </c>
      <c r="BZ81" s="52">
        <f>SUM($BZ$77:$BZ$80)</f>
        <v>8</v>
      </c>
      <c r="CA81" s="52">
        <f>SUM($CA$77:$CA$80)</f>
        <v>0</v>
      </c>
      <c r="CB81" s="52">
        <f>SUM($CB$77:$CB$80)</f>
        <v>0</v>
      </c>
      <c r="CC81" s="52">
        <f>SUM($CC$77:$CC$80)</f>
        <v>0</v>
      </c>
      <c r="CD81" s="52">
        <f>SUM($CD$77:$CD$80)</f>
        <v>42</v>
      </c>
      <c r="CE81" s="52">
        <f>SUM($CE$77:$CE$80)</f>
        <v>1</v>
      </c>
      <c r="CF81" s="52">
        <f>SUM($CF$77:$CF$80)</f>
        <v>0</v>
      </c>
      <c r="CG81" s="52">
        <f>SUM($CG$77:$CG$80)</f>
        <v>25</v>
      </c>
      <c r="CH81" s="52">
        <f>SUM($CH$77:$CH$80)</f>
        <v>8</v>
      </c>
      <c r="CI81" s="52">
        <f>SUM($CI$77:$CI$80)</f>
        <v>0</v>
      </c>
      <c r="CJ81" s="52">
        <f>SUM($CJ$77:$CJ$80)</f>
        <v>0</v>
      </c>
      <c r="CK81" s="52">
        <f>SUM($CK$77:$CK$80)</f>
        <v>0</v>
      </c>
      <c r="CL81" s="52">
        <f>SUM($CL$77:$CL$80)</f>
        <v>8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41</v>
      </c>
      <c r="CP81" s="52">
        <f>SUM($BY$81,$BZ$81,$CA$81,$CB$81,$CC$81,$CD$81,$CE$81,$CF$81)</f>
        <v>76</v>
      </c>
      <c r="CQ81" s="52">
        <f>SUM($CQ$77:$CQ$80)</f>
        <v>27</v>
      </c>
      <c r="CR81" s="52">
        <f>SUM($CR$77:$CR$80)</f>
        <v>7</v>
      </c>
      <c r="CS81" s="52">
        <f>SUM($CS$77:$CS$80)</f>
        <v>0</v>
      </c>
      <c r="CT81" s="52">
        <f>SUM($CT$77:$CT$80)</f>
        <v>0</v>
      </c>
      <c r="CU81" s="52">
        <f>SUM($CU$77:$CU$80)</f>
        <v>0</v>
      </c>
      <c r="CV81" s="52">
        <f>SUM($CV$77:$CV$80)</f>
        <v>41</v>
      </c>
      <c r="CW81" s="52">
        <f>SUM($CW$77:$CW$80)</f>
        <v>1</v>
      </c>
      <c r="CX81" s="52">
        <f>SUM($CX$77:$CX$80)</f>
        <v>2</v>
      </c>
      <c r="CY81" s="52">
        <f>SUM($CY$77:$CY$80)</f>
        <v>27</v>
      </c>
      <c r="CZ81" s="52">
        <f>SUM($CZ$77:$CZ$80)</f>
        <v>7</v>
      </c>
      <c r="DA81" s="52">
        <f>SUM($DA$77:$DA$80)</f>
        <v>0</v>
      </c>
      <c r="DB81" s="52">
        <f>SUM($DB$77:$DB$80)</f>
        <v>0</v>
      </c>
      <c r="DC81" s="52">
        <f>SUM($DC$77:$DC$80)</f>
        <v>0</v>
      </c>
      <c r="DD81" s="52">
        <f>SUM($DD$77:$DD$80)</f>
        <v>8</v>
      </c>
      <c r="DE81" s="52">
        <f>SUM($DE$77:$DE$80)</f>
        <v>0</v>
      </c>
      <c r="DF81" s="52">
        <f>SUM($DF$77:$DF$80)</f>
        <v>3</v>
      </c>
      <c r="DG81" s="52">
        <f>SUM($CY$81,$CZ$81,$DA$81,$DB$81,$DC$81,$DD$81,$DE$81,$DF$81)</f>
        <v>45</v>
      </c>
      <c r="DH81" s="52">
        <f>SUM($CQ$81,$CR$81,$CS$81,$CT$81,$CU$81,$CV$81,$CW$81,$CX$81)</f>
        <v>78</v>
      </c>
    </row>
    <row r="82" spans="1:112" ht="21" customHeight="1">
      <c r="A82" s="46">
        <v>44395.583333333299</v>
      </c>
      <c r="B82" s="53" t="s">
        <v>87</v>
      </c>
      <c r="C82" s="54">
        <v>3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3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3</v>
      </c>
      <c r="T82" s="52">
        <f>SUM($C$82,$D$82,$E$82,$F$82,$G$82,$H$82,$I$82,$J$82)</f>
        <v>3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9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1.8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1.8</v>
      </c>
      <c r="AL82" s="52">
        <f>SUM($U$82,$V$82,$W$82,$X$82,$Y$82,$Z$82,$AA$82,$AB$82)</f>
        <v>9</v>
      </c>
      <c r="AM82" s="72">
        <v>4</v>
      </c>
      <c r="AN82" s="54">
        <v>0</v>
      </c>
      <c r="AO82" s="54">
        <v>0</v>
      </c>
      <c r="AP82" s="54">
        <v>0</v>
      </c>
      <c r="AQ82" s="54">
        <v>0</v>
      </c>
      <c r="AR82" s="54">
        <v>1</v>
      </c>
      <c r="AS82" s="54">
        <v>0</v>
      </c>
      <c r="AT82" s="61">
        <v>0</v>
      </c>
      <c r="AU82" s="62">
        <f>$AM$82*VLOOKUP($AM$11,'PCU Values'!$B$9:$C$16,2,FALSE)</f>
        <v>4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0.2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4.2</v>
      </c>
      <c r="BD82" s="52">
        <f>SUM($AM$82,$AN$82,$AO$82,$AP$82,$AQ$82,$AR$82,$AS$82,$AT$82)</f>
        <v>5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7</v>
      </c>
      <c r="BZ82" s="85">
        <f>SUM($D$82,$V$82,$AN$82,$BF$82)</f>
        <v>0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10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7</v>
      </c>
      <c r="CH82" s="81">
        <f>$BZ$82*VLOOKUP($BZ$11,'PCU Values'!$B$9:$C$16,2,FALSE)</f>
        <v>0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2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9</v>
      </c>
      <c r="CP82" s="52">
        <f>SUM($BY$82,$BZ$82,$CA$82,$CB$82,$CC$82,$CD$82,$CE$82,$CF$82)</f>
        <v>17</v>
      </c>
      <c r="CQ82" s="91">
        <f>SUM('J1 A - (North) Bishopthorpe Roa'!$C$82,'J1 B - Butcher Terrace'!$BE$82,'J1 C - (South) Bishopthorpe Roa'!$AM$82,'J1 D - South Bank Avenue'!$U$82)</f>
        <v>7</v>
      </c>
      <c r="CR82" s="85">
        <f>SUM('J1 A - (North) Bishopthorpe Roa'!$D$82,'J1 B - Butcher Terrace'!$BF$82,'J1 C - (South) Bishopthorpe Roa'!$AN$82,'J1 D - South Bank Avenue'!$V$82)</f>
        <v>3</v>
      </c>
      <c r="CS82" s="85">
        <f>SUM('J1 A - (North) Bishopthorpe Roa'!$E$82,'J1 B - Butcher Terrace'!$BG$82,'J1 C - (South) Bishopthorpe Roa'!$AO$82,'J1 D - South Bank Avenue'!$W$82)</f>
        <v>0</v>
      </c>
      <c r="CT82" s="85">
        <f>SUM('J1 A - (North) Bishopthorpe Roa'!$F$82,'J1 B - Butcher Terrace'!$BH$82,'J1 C - (South) Bishopthorpe Roa'!$AP$82,'J1 D - South Bank Avenue'!$X$82)</f>
        <v>0</v>
      </c>
      <c r="CU82" s="85">
        <f>SUM('J1 A - (North) Bishopthorpe Roa'!$G$82,'J1 B - Butcher Terrace'!$BI$82,'J1 C - (South) Bishopthorpe Roa'!$AQ$82,'J1 D - South Bank Avenue'!$Y$82)</f>
        <v>0</v>
      </c>
      <c r="CV82" s="85">
        <f>SUM('J1 A - (North) Bishopthorpe Roa'!$H$82,'J1 B - Butcher Terrace'!$BJ$82,'J1 C - (South) Bishopthorpe Roa'!$AR$82,'J1 D - South Bank Avenue'!$Z$82)</f>
        <v>4</v>
      </c>
      <c r="CW82" s="85">
        <f>SUM('J1 A - (North) Bishopthorpe Roa'!$I$82,'J1 B - Butcher Terrace'!$BK$82,'J1 C - (South) Bishopthorpe Roa'!$AS$82,'J1 D - South Bank Avenue'!$AA$82)</f>
        <v>1</v>
      </c>
      <c r="CX82" s="88">
        <f>SUM('J1 A - (North) Bishopthorpe Roa'!$J$82,'J1 B - Butcher Terrace'!$BL$82,'J1 C - (South) Bishopthorpe Roa'!$AT$82,'J1 D - South Bank Avenue'!$AB$82)</f>
        <v>0</v>
      </c>
      <c r="CY82" s="81">
        <f>$CQ$82*VLOOKUP($CQ$11,'PCU Values'!$B$9:$C$16,2,FALSE)</f>
        <v>7</v>
      </c>
      <c r="CZ82" s="81">
        <f>$CR$82*VLOOKUP($CR$11,'PCU Values'!$B$9:$C$16,2,FALSE)</f>
        <v>3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0.8</v>
      </c>
      <c r="DE82" s="81">
        <f>$CW$82*VLOOKUP($CW$11,'PCU Values'!$B$9:$C$16,2,FALSE)</f>
        <v>0.4</v>
      </c>
      <c r="DF82" s="82">
        <f>$CX$82*VLOOKUP($CX$11,'PCU Values'!$B$9:$C$16,2,FALSE)</f>
        <v>0</v>
      </c>
      <c r="DG82" s="71">
        <f>SUM($CY$82,$CZ$82,$DA$82,$DB$82,$DC$82,$DD$82,$DE$82,$DF$82)</f>
        <v>11.2</v>
      </c>
      <c r="DH82" s="52">
        <f>SUM($CQ$82,$CR$82,$CS$82,$CT$82,$CU$82,$CV$82,$CW$82,$CX$82)</f>
        <v>15</v>
      </c>
    </row>
    <row r="83" spans="1:112" ht="21" customHeight="1">
      <c r="A83" s="46">
        <v>44395.59375</v>
      </c>
      <c r="B83" s="47" t="s">
        <v>88</v>
      </c>
      <c r="C83" s="48">
        <v>3</v>
      </c>
      <c r="D83" s="48">
        <v>1</v>
      </c>
      <c r="E83" s="48">
        <v>0</v>
      </c>
      <c r="F83" s="48">
        <v>0</v>
      </c>
      <c r="G83" s="48">
        <v>0</v>
      </c>
      <c r="H83" s="48">
        <v>3</v>
      </c>
      <c r="I83" s="48">
        <v>0</v>
      </c>
      <c r="J83" s="56">
        <v>0</v>
      </c>
      <c r="K83" s="57">
        <f>$C$83*VLOOKUP($C$11,'PCU Values'!$B$9:$C$16,2,FALSE)</f>
        <v>3</v>
      </c>
      <c r="L83" s="57">
        <f>$D$83*VLOOKUP($D$11,'PCU Values'!$B$9:$C$16,2,FALSE)</f>
        <v>1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0.6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4.5999999999999996</v>
      </c>
      <c r="T83" s="52">
        <f>SUM($C$83,$D$83,$E$83,$F$83,$G$83,$H$83,$I$83,$J$83)</f>
        <v>7</v>
      </c>
      <c r="U83" s="67">
        <v>0</v>
      </c>
      <c r="V83" s="48">
        <v>0</v>
      </c>
      <c r="W83" s="48">
        <v>0</v>
      </c>
      <c r="X83" s="48">
        <v>0</v>
      </c>
      <c r="Y83" s="48">
        <v>0</v>
      </c>
      <c r="Z83" s="48">
        <v>6</v>
      </c>
      <c r="AA83" s="48">
        <v>0</v>
      </c>
      <c r="AB83" s="56">
        <v>0</v>
      </c>
      <c r="AC83" s="57">
        <f>$U$83*VLOOKUP($U$11,'PCU Values'!$B$9:$C$16,2,FALSE)</f>
        <v>0</v>
      </c>
      <c r="AD83" s="57">
        <f>$V$83*VLOOKUP($V$11,'PCU Values'!$B$9:$C$16,2,FALSE)</f>
        <v>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1.2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1.2</v>
      </c>
      <c r="AL83" s="52">
        <f>SUM($U$83,$V$83,$W$83,$X$83,$Y$83,$Z$83,$AA$83,$AB$83)</f>
        <v>6</v>
      </c>
      <c r="AM83" s="67">
        <v>4</v>
      </c>
      <c r="AN83" s="48">
        <v>1</v>
      </c>
      <c r="AO83" s="48">
        <v>0</v>
      </c>
      <c r="AP83" s="48">
        <v>0</v>
      </c>
      <c r="AQ83" s="48">
        <v>0</v>
      </c>
      <c r="AR83" s="48">
        <v>5</v>
      </c>
      <c r="AS83" s="48">
        <v>1</v>
      </c>
      <c r="AT83" s="56">
        <v>0</v>
      </c>
      <c r="AU83" s="57">
        <f>$AM$83*VLOOKUP($AM$11,'PCU Values'!$B$9:$C$16,2,FALSE)</f>
        <v>4</v>
      </c>
      <c r="AV83" s="57">
        <f>$AN$83*VLOOKUP($AN$11,'PCU Values'!$B$9:$C$16,2,FALSE)</f>
        <v>1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1</v>
      </c>
      <c r="BA83" s="57">
        <f>$AS$83*VLOOKUP($AS$11,'PCU Values'!$B$9:$C$16,2,FALSE)</f>
        <v>0.4</v>
      </c>
      <c r="BB83" s="65">
        <f>$AT$83*VLOOKUP($AT$11,'PCU Values'!$B$9:$C$16,2,FALSE)</f>
        <v>0</v>
      </c>
      <c r="BC83" s="66">
        <f>SUM($AU$83,$AV$83,$AW$83,$AX$83,$AY$83,$AZ$83,$BA$83,$BB$83)</f>
        <v>6.4</v>
      </c>
      <c r="BD83" s="52">
        <f>SUM($AM$83,$AN$83,$AO$83,$AP$83,$AQ$83,$AR$83,$AS$83,$AT$83)</f>
        <v>11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7</v>
      </c>
      <c r="BZ83" s="83">
        <f>SUM($D$83,$V$83,$AN$83,$BF$83)</f>
        <v>2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14</v>
      </c>
      <c r="CE83" s="83">
        <f>SUM($I$83,$AA$83,$AS$83,$BK$83)</f>
        <v>1</v>
      </c>
      <c r="CF83" s="86">
        <f>SUM($J$83,$AB$83,$AT$83,$BL$83)</f>
        <v>0</v>
      </c>
      <c r="CG83" s="77">
        <f>$BY$83*VLOOKUP($BY$11,'PCU Values'!$B$9:$C$16,2,FALSE)</f>
        <v>7</v>
      </c>
      <c r="CH83" s="77">
        <f>$BZ$83*VLOOKUP($BZ$11,'PCU Values'!$B$9:$C$16,2,FALSE)</f>
        <v>2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2.8</v>
      </c>
      <c r="CM83" s="77">
        <f>$CE$83*VLOOKUP($CE$11,'PCU Values'!$B$9:$C$16,2,FALSE)</f>
        <v>0.4</v>
      </c>
      <c r="CN83" s="78">
        <f>$CF$83*VLOOKUP($CF$11,'PCU Values'!$B$9:$C$16,2,FALSE)</f>
        <v>0</v>
      </c>
      <c r="CO83" s="66">
        <f>SUM($CG$83,$CH$83,$CI$83,$CJ$83,$CK$83,$CL$83,$CM$83,$CN$83)</f>
        <v>12.2</v>
      </c>
      <c r="CP83" s="52">
        <f>SUM($BY$83,$BZ$83,$CA$83,$CB$83,$CC$83,$CD$83,$CE$83,$CF$83)</f>
        <v>24</v>
      </c>
      <c r="CQ83" s="89">
        <f>SUM('J1 A - (North) Bishopthorpe Roa'!$C$83,'J1 B - Butcher Terrace'!$BE$83,'J1 C - (South) Bishopthorpe Roa'!$AM$83,'J1 D - South Bank Avenue'!$U$83)</f>
        <v>6</v>
      </c>
      <c r="CR83" s="83">
        <f>SUM('J1 A - (North) Bishopthorpe Roa'!$D$83,'J1 B - Butcher Terrace'!$BF$83,'J1 C - (South) Bishopthorpe Roa'!$AN$83,'J1 D - South Bank Avenue'!$V$83)</f>
        <v>3</v>
      </c>
      <c r="CS83" s="83">
        <f>SUM('J1 A - (North) Bishopthorpe Roa'!$E$83,'J1 B - Butcher Terrace'!$BG$83,'J1 C - (South) Bishopthorpe Roa'!$AO$83,'J1 D - South Bank Avenue'!$W$83)</f>
        <v>0</v>
      </c>
      <c r="CT83" s="83">
        <f>SUM('J1 A - (North) Bishopthorpe Roa'!$F$83,'J1 B - Butcher Terrace'!$BH$83,'J1 C - (South) Bishopthorpe Roa'!$AP$83,'J1 D - South Bank Avenue'!$X$83)</f>
        <v>0</v>
      </c>
      <c r="CU83" s="83">
        <f>SUM('J1 A - (North) Bishopthorpe Roa'!$G$83,'J1 B - Butcher Terrace'!$BI$83,'J1 C - (South) Bishopthorpe Roa'!$AQ$83,'J1 D - South Bank Avenue'!$Y$83)</f>
        <v>0</v>
      </c>
      <c r="CV83" s="83">
        <f>SUM('J1 A - (North) Bishopthorpe Roa'!$H$83,'J1 B - Butcher Terrace'!$BJ$83,'J1 C - (South) Bishopthorpe Roa'!$AR$83,'J1 D - South Bank Avenue'!$Z$83)</f>
        <v>9</v>
      </c>
      <c r="CW83" s="83">
        <f>SUM('J1 A - (North) Bishopthorpe Roa'!$I$83,'J1 B - Butcher Terrace'!$BK$83,'J1 C - (South) Bishopthorpe Roa'!$AS$83,'J1 D - South Bank Avenue'!$AA$83)</f>
        <v>0</v>
      </c>
      <c r="CX83" s="86">
        <f>SUM('J1 A - (North) Bishopthorpe Roa'!$J$83,'J1 B - Butcher Terrace'!$BL$83,'J1 C - (South) Bishopthorpe Roa'!$AT$83,'J1 D - South Bank Avenue'!$AB$83)</f>
        <v>2</v>
      </c>
      <c r="CY83" s="77">
        <f>$CQ$83*VLOOKUP($CQ$11,'PCU Values'!$B$9:$C$16,2,FALSE)</f>
        <v>6</v>
      </c>
      <c r="CZ83" s="77">
        <f>$CR$83*VLOOKUP($CR$11,'PCU Values'!$B$9:$C$16,2,FALSE)</f>
        <v>3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1.8</v>
      </c>
      <c r="DE83" s="77">
        <f>$CW$83*VLOOKUP($CW$11,'PCU Values'!$B$9:$C$16,2,FALSE)</f>
        <v>0</v>
      </c>
      <c r="DF83" s="78">
        <f>$CX$83*VLOOKUP($CX$11,'PCU Values'!$B$9:$C$16,2,FALSE)</f>
        <v>3</v>
      </c>
      <c r="DG83" s="66">
        <f>SUM($CY$83,$CZ$83,$DA$83,$DB$83,$DC$83,$DD$83,$DE$83,$DF$83)</f>
        <v>13.8</v>
      </c>
      <c r="DH83" s="52">
        <f>SUM($CQ$83,$CR$83,$CS$83,$CT$83,$CU$83,$CV$83,$CW$83,$CX$83)</f>
        <v>20</v>
      </c>
    </row>
    <row r="84" spans="1:112" ht="21" customHeight="1">
      <c r="A84" s="46">
        <v>44395.604166666701</v>
      </c>
      <c r="B84" s="47" t="s">
        <v>89</v>
      </c>
      <c r="C84" s="48">
        <v>2</v>
      </c>
      <c r="D84" s="48">
        <v>1</v>
      </c>
      <c r="E84" s="48">
        <v>0</v>
      </c>
      <c r="F84" s="48">
        <v>0</v>
      </c>
      <c r="G84" s="48">
        <v>0</v>
      </c>
      <c r="H84" s="48">
        <v>3</v>
      </c>
      <c r="I84" s="48">
        <v>0</v>
      </c>
      <c r="J84" s="56">
        <v>0</v>
      </c>
      <c r="K84" s="57">
        <f>$C$84*VLOOKUP($C$11,'PCU Values'!$B$9:$C$16,2,FALSE)</f>
        <v>2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0.6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3.6</v>
      </c>
      <c r="T84" s="52">
        <f>SUM($C$84,$D$84,$E$84,$F$84,$G$84,$H$84,$I$84,$J$84)</f>
        <v>6</v>
      </c>
      <c r="U84" s="76">
        <v>1</v>
      </c>
      <c r="V84" s="49">
        <v>0</v>
      </c>
      <c r="W84" s="48">
        <v>0</v>
      </c>
      <c r="X84" s="48">
        <v>0</v>
      </c>
      <c r="Y84" s="49">
        <v>0</v>
      </c>
      <c r="Z84" s="49">
        <v>3</v>
      </c>
      <c r="AA84" s="48">
        <v>0</v>
      </c>
      <c r="AB84" s="56">
        <v>0</v>
      </c>
      <c r="AC84" s="57">
        <f>$U$84*VLOOKUP($U$11,'PCU Values'!$B$9:$C$16,2,FALSE)</f>
        <v>1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0.6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1.6</v>
      </c>
      <c r="AL84" s="52">
        <f>SUM($U$84,$V$84,$W$84,$X$84,$Y$84,$Z$84,$AA$84,$AB$84)</f>
        <v>4</v>
      </c>
      <c r="AM84" s="67">
        <v>4</v>
      </c>
      <c r="AN84" s="48">
        <v>0</v>
      </c>
      <c r="AO84" s="48">
        <v>0</v>
      </c>
      <c r="AP84" s="48">
        <v>0</v>
      </c>
      <c r="AQ84" s="48">
        <v>0</v>
      </c>
      <c r="AR84" s="48">
        <v>5</v>
      </c>
      <c r="AS84" s="48">
        <v>0</v>
      </c>
      <c r="AT84" s="56">
        <v>0</v>
      </c>
      <c r="AU84" s="57">
        <f>$AM$84*VLOOKUP($AM$11,'PCU Values'!$B$9:$C$16,2,FALSE)</f>
        <v>4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1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5</v>
      </c>
      <c r="BD84" s="52">
        <f>SUM($AM$84,$AN$84,$AO$84,$AP$84,$AQ$84,$AR$84,$AS$84,$AT$84)</f>
        <v>9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7</v>
      </c>
      <c r="BZ84" s="83">
        <f>SUM($D$84,$V$84,$AN$84,$BF$84)</f>
        <v>1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11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7</v>
      </c>
      <c r="CH84" s="77">
        <f>$BZ$84*VLOOKUP($BZ$11,'PCU Values'!$B$9:$C$16,2,FALSE)</f>
        <v>1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2.2000000000000002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10.199999999999999</v>
      </c>
      <c r="CP84" s="52">
        <f>SUM($BY$84,$BZ$84,$CA$84,$CB$84,$CC$84,$CD$84,$CE$84,$CF$84)</f>
        <v>19</v>
      </c>
      <c r="CQ84" s="89">
        <f>SUM('J1 A - (North) Bishopthorpe Roa'!$C$84,'J1 B - Butcher Terrace'!$BE$84,'J1 C - (South) Bishopthorpe Roa'!$AM$84,'J1 D - South Bank Avenue'!$U$84)</f>
        <v>6</v>
      </c>
      <c r="CR84" s="83">
        <f>SUM('J1 A - (North) Bishopthorpe Roa'!$D$84,'J1 B - Butcher Terrace'!$BF$84,'J1 C - (South) Bishopthorpe Roa'!$AN$84,'J1 D - South Bank Avenue'!$V$84)</f>
        <v>1</v>
      </c>
      <c r="CS84" s="83">
        <f>SUM('J1 A - (North) Bishopthorpe Roa'!$E$84,'J1 B - Butcher Terrace'!$BG$84,'J1 C - (South) Bishopthorpe Roa'!$AO$84,'J1 D - South Bank Avenue'!$W$84)</f>
        <v>0</v>
      </c>
      <c r="CT84" s="83">
        <f>SUM('J1 A - (North) Bishopthorpe Roa'!$F$84,'J1 B - Butcher Terrace'!$BH$84,'J1 C - (South) Bishopthorpe Roa'!$AP$84,'J1 D - South Bank Avenue'!$X$84)</f>
        <v>0</v>
      </c>
      <c r="CU84" s="83">
        <f>SUM('J1 A - (North) Bishopthorpe Roa'!$G$84,'J1 B - Butcher Terrace'!$BI$84,'J1 C - (South) Bishopthorpe Roa'!$AQ$84,'J1 D - South Bank Avenue'!$Y$84)</f>
        <v>0</v>
      </c>
      <c r="CV84" s="83">
        <f>SUM('J1 A - (North) Bishopthorpe Roa'!$H$84,'J1 B - Butcher Terrace'!$BJ$84,'J1 C - (South) Bishopthorpe Roa'!$AR$84,'J1 D - South Bank Avenue'!$Z$84)</f>
        <v>10</v>
      </c>
      <c r="CW84" s="83">
        <f>SUM('J1 A - (North) Bishopthorpe Roa'!$I$84,'J1 B - Butcher Terrace'!$BK$84,'J1 C - (South) Bishopthorpe Roa'!$AS$84,'J1 D - South Bank Avenue'!$AA$84)</f>
        <v>0</v>
      </c>
      <c r="CX84" s="86">
        <f>SUM('J1 A - (North) Bishopthorpe Roa'!$J$84,'J1 B - Butcher Terrace'!$BL$84,'J1 C - (South) Bishopthorpe Roa'!$AT$84,'J1 D - South Bank Avenue'!$AB$84)</f>
        <v>0</v>
      </c>
      <c r="CY84" s="77">
        <f>$CQ$84*VLOOKUP($CQ$11,'PCU Values'!$B$9:$C$16,2,FALSE)</f>
        <v>6</v>
      </c>
      <c r="CZ84" s="77">
        <f>$CR$84*VLOOKUP($CR$11,'PCU Values'!$B$9:$C$16,2,FALSE)</f>
        <v>1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2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9</v>
      </c>
      <c r="DH84" s="52">
        <f>SUM($CQ$84,$CR$84,$CS$84,$CT$84,$CU$84,$CV$84,$CW$84,$CX$84)</f>
        <v>17</v>
      </c>
    </row>
    <row r="85" spans="1:112" ht="21" customHeight="1">
      <c r="A85" s="46">
        <v>44395.614583333299</v>
      </c>
      <c r="B85" s="50" t="s">
        <v>90</v>
      </c>
      <c r="C85" s="51">
        <v>1</v>
      </c>
      <c r="D85" s="51">
        <v>0</v>
      </c>
      <c r="E85" s="51">
        <v>0</v>
      </c>
      <c r="F85" s="51">
        <v>0</v>
      </c>
      <c r="G85" s="51">
        <v>0</v>
      </c>
      <c r="H85" s="51">
        <v>1</v>
      </c>
      <c r="I85" s="51">
        <v>0</v>
      </c>
      <c r="J85" s="59">
        <v>0</v>
      </c>
      <c r="K85" s="60">
        <f>$C$85*VLOOKUP($C$11,'PCU Values'!$B$9:$C$16,2,FALSE)</f>
        <v>1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0.2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1.2</v>
      </c>
      <c r="T85" s="52">
        <f>SUM($C$85,$D$85,$E$85,$F$85,$G$85,$H$85,$I$85,$J$85)</f>
        <v>2</v>
      </c>
      <c r="U85" s="73">
        <v>0</v>
      </c>
      <c r="V85" s="51">
        <v>0</v>
      </c>
      <c r="W85" s="51">
        <v>0</v>
      </c>
      <c r="X85" s="51">
        <v>0</v>
      </c>
      <c r="Y85" s="51">
        <v>0</v>
      </c>
      <c r="Z85" s="51">
        <v>4</v>
      </c>
      <c r="AA85" s="51">
        <v>0</v>
      </c>
      <c r="AB85" s="59">
        <v>0</v>
      </c>
      <c r="AC85" s="60">
        <f>$U$85*VLOOKUP($U$11,'PCU Values'!$B$9:$C$16,2,FALSE)</f>
        <v>0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0.8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0.8</v>
      </c>
      <c r="AL85" s="52">
        <f>SUM($U$85,$V$85,$W$85,$X$85,$Y$85,$Z$85,$AA$85,$AB$85)</f>
        <v>4</v>
      </c>
      <c r="AM85" s="73">
        <v>4</v>
      </c>
      <c r="AN85" s="51">
        <v>1</v>
      </c>
      <c r="AO85" s="51">
        <v>0</v>
      </c>
      <c r="AP85" s="51">
        <v>0</v>
      </c>
      <c r="AQ85" s="51">
        <v>0</v>
      </c>
      <c r="AR85" s="51">
        <v>7</v>
      </c>
      <c r="AS85" s="51">
        <v>0</v>
      </c>
      <c r="AT85" s="59">
        <v>0</v>
      </c>
      <c r="AU85" s="60">
        <f>$AM$85*VLOOKUP($AM$11,'PCU Values'!$B$9:$C$16,2,FALSE)</f>
        <v>4</v>
      </c>
      <c r="AV85" s="60">
        <f>$AN$85*VLOOKUP($AN$11,'PCU Values'!$B$9:$C$16,2,FALSE)</f>
        <v>1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1.4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6.4</v>
      </c>
      <c r="BD85" s="52">
        <f>SUM($AM$85,$AN$85,$AO$85,$AP$85,$AQ$85,$AR$85,$AS$85,$AT$85)</f>
        <v>12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5</v>
      </c>
      <c r="BZ85" s="84">
        <f>SUM($D$85,$V$85,$AN$85,$BF$85)</f>
        <v>1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12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5</v>
      </c>
      <c r="CH85" s="79">
        <f>$BZ$85*VLOOKUP($BZ$11,'PCU Values'!$B$9:$C$16,2,FALSE)</f>
        <v>1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2.4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8.4</v>
      </c>
      <c r="CP85" s="52">
        <f>SUM($BY$85,$BZ$85,$CA$85,$CB$85,$CC$85,$CD$85,$CE$85,$CF$85)</f>
        <v>18</v>
      </c>
      <c r="CQ85" s="90">
        <f>SUM('J1 A - (North) Bishopthorpe Roa'!$C$85,'J1 B - Butcher Terrace'!$BE$85,'J1 C - (South) Bishopthorpe Roa'!$AM$85,'J1 D - South Bank Avenue'!$U$85)</f>
        <v>8</v>
      </c>
      <c r="CR85" s="84">
        <f>SUM('J1 A - (North) Bishopthorpe Roa'!$D$85,'J1 B - Butcher Terrace'!$BF$85,'J1 C - (South) Bishopthorpe Roa'!$AN$85,'J1 D - South Bank Avenue'!$V$85)</f>
        <v>0</v>
      </c>
      <c r="CS85" s="84">
        <f>SUM('J1 A - (North) Bishopthorpe Roa'!$E$85,'J1 B - Butcher Terrace'!$BG$85,'J1 C - (South) Bishopthorpe Roa'!$AO$85,'J1 D - South Bank Avenue'!$W$85)</f>
        <v>1</v>
      </c>
      <c r="CT85" s="84">
        <f>SUM('J1 A - (North) Bishopthorpe Roa'!$F$85,'J1 B - Butcher Terrace'!$BH$85,'J1 C - (South) Bishopthorpe Roa'!$AP$85,'J1 D - South Bank Avenue'!$X$85)</f>
        <v>0</v>
      </c>
      <c r="CU85" s="84">
        <f>SUM('J1 A - (North) Bishopthorpe Roa'!$G$85,'J1 B - Butcher Terrace'!$BI$85,'J1 C - (South) Bishopthorpe Roa'!$AQ$85,'J1 D - South Bank Avenue'!$Y$85)</f>
        <v>0</v>
      </c>
      <c r="CV85" s="84">
        <f>SUM('J1 A - (North) Bishopthorpe Roa'!$H$85,'J1 B - Butcher Terrace'!$BJ$85,'J1 C - (South) Bishopthorpe Roa'!$AR$85,'J1 D - South Bank Avenue'!$Z$85)</f>
        <v>9</v>
      </c>
      <c r="CW85" s="84">
        <f>SUM('J1 A - (North) Bishopthorpe Roa'!$I$85,'J1 B - Butcher Terrace'!$BK$85,'J1 C - (South) Bishopthorpe Roa'!$AS$85,'J1 D - South Bank Avenue'!$AA$85)</f>
        <v>1</v>
      </c>
      <c r="CX85" s="87">
        <f>SUM('J1 A - (North) Bishopthorpe Roa'!$J$85,'J1 B - Butcher Terrace'!$BL$85,'J1 C - (South) Bishopthorpe Roa'!$AT$85,'J1 D - South Bank Avenue'!$AB$85)</f>
        <v>1</v>
      </c>
      <c r="CY85" s="79">
        <f>$CQ$85*VLOOKUP($CQ$11,'PCU Values'!$B$9:$C$16,2,FALSE)</f>
        <v>8</v>
      </c>
      <c r="CZ85" s="79">
        <f>$CR$85*VLOOKUP($CR$11,'PCU Values'!$B$9:$C$16,2,FALSE)</f>
        <v>0</v>
      </c>
      <c r="DA85" s="79">
        <f>$CS$85*VLOOKUP($CS$11,'PCU Values'!$B$9:$C$16,2,FALSE)</f>
        <v>1.5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1.8</v>
      </c>
      <c r="DE85" s="79">
        <f>$CW$85*VLOOKUP($CW$11,'PCU Values'!$B$9:$C$16,2,FALSE)</f>
        <v>0.4</v>
      </c>
      <c r="DF85" s="80">
        <f>$CX$85*VLOOKUP($CX$11,'PCU Values'!$B$9:$C$16,2,FALSE)</f>
        <v>1.5</v>
      </c>
      <c r="DG85" s="63">
        <f>SUM($CY$85,$CZ$85,$DA$85,$DB$85,$DC$85,$DD$85,$DE$85,$DF$85)</f>
        <v>13.2</v>
      </c>
      <c r="DH85" s="52">
        <f>SUM($CQ$85,$CR$85,$CS$85,$CT$85,$CU$85,$CV$85,$CW$85,$CX$85)</f>
        <v>20</v>
      </c>
    </row>
    <row r="86" spans="1:112">
      <c r="B86" s="52" t="s">
        <v>34</v>
      </c>
      <c r="C86" s="52">
        <f>SUM($C$82:$C$85)</f>
        <v>9</v>
      </c>
      <c r="D86" s="52">
        <f>SUM($D$82:$D$85)</f>
        <v>2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7</v>
      </c>
      <c r="I86" s="52">
        <f>SUM($I$82:$I$85)</f>
        <v>0</v>
      </c>
      <c r="J86" s="52">
        <f>SUM($J$82:$J$85)</f>
        <v>0</v>
      </c>
      <c r="K86" s="52">
        <f>SUM($K$82:$K$85)</f>
        <v>9</v>
      </c>
      <c r="L86" s="52">
        <f>SUM($L$82:$L$85)</f>
        <v>2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1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12</v>
      </c>
      <c r="T86" s="52">
        <f>SUM($C$86,$D$86,$E$86,$F$86,$G$86,$H$86,$I$86,$J$86)</f>
        <v>18</v>
      </c>
      <c r="U86" s="52">
        <f>SUM($U$82:$U$85)</f>
        <v>1</v>
      </c>
      <c r="V86" s="52">
        <f>SUM($V$82:$V$85)</f>
        <v>0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22</v>
      </c>
      <c r="AA86" s="52">
        <f>SUM($AA$82:$AA$85)</f>
        <v>0</v>
      </c>
      <c r="AB86" s="52">
        <f>SUM($AB$82:$AB$85)</f>
        <v>0</v>
      </c>
      <c r="AC86" s="52">
        <f>SUM($AC$82:$AC$85)</f>
        <v>1</v>
      </c>
      <c r="AD86" s="52">
        <f>SUM($AD$82:$AD$85)</f>
        <v>0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4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5</v>
      </c>
      <c r="AL86" s="52">
        <f>SUM($U$86,$V$86,$W$86,$X$86,$Y$86,$Z$86,$AA$86,$AB$86)</f>
        <v>23</v>
      </c>
      <c r="AM86" s="52">
        <f>SUM($AM$82:$AM$85)</f>
        <v>16</v>
      </c>
      <c r="AN86" s="52">
        <f>SUM($AN$82:$AN$85)</f>
        <v>2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18</v>
      </c>
      <c r="AS86" s="52">
        <f>SUM($AS$82:$AS$85)</f>
        <v>1</v>
      </c>
      <c r="AT86" s="52">
        <f>SUM($AT$82:$AT$85)</f>
        <v>0</v>
      </c>
      <c r="AU86" s="52">
        <f>SUM($AU$82:$AU$85)</f>
        <v>16</v>
      </c>
      <c r="AV86" s="52">
        <f>SUM($AV$82:$AV$85)</f>
        <v>2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4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22</v>
      </c>
      <c r="BD86" s="52">
        <f>SUM($AM$86,$AN$86,$AO$86,$AP$86,$AQ$86,$AR$86,$AS$86,$AT$86)</f>
        <v>37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26</v>
      </c>
      <c r="BZ86" s="52">
        <f>SUM($BZ$82:$BZ$85)</f>
        <v>4</v>
      </c>
      <c r="CA86" s="52">
        <f>SUM($CA$82:$CA$85)</f>
        <v>0</v>
      </c>
      <c r="CB86" s="52">
        <f>SUM($CB$82:$CB$85)</f>
        <v>0</v>
      </c>
      <c r="CC86" s="52">
        <f>SUM($CC$82:$CC$85)</f>
        <v>0</v>
      </c>
      <c r="CD86" s="52">
        <f>SUM($CD$82:$CD$85)</f>
        <v>47</v>
      </c>
      <c r="CE86" s="52">
        <f>SUM($CE$82:$CE$85)</f>
        <v>1</v>
      </c>
      <c r="CF86" s="52">
        <f>SUM($CF$82:$CF$85)</f>
        <v>0</v>
      </c>
      <c r="CG86" s="52">
        <f>SUM($CG$82:$CG$85)</f>
        <v>26</v>
      </c>
      <c r="CH86" s="52">
        <f>SUM($CH$82:$CH$85)</f>
        <v>4</v>
      </c>
      <c r="CI86" s="52">
        <f>SUM($CI$82:$CI$85)</f>
        <v>0</v>
      </c>
      <c r="CJ86" s="52">
        <f>SUM($CJ$82:$CJ$85)</f>
        <v>0</v>
      </c>
      <c r="CK86" s="52">
        <f>SUM($CK$82:$CK$85)</f>
        <v>0</v>
      </c>
      <c r="CL86" s="52">
        <f>SUM($CL$82:$CL$85)</f>
        <v>9</v>
      </c>
      <c r="CM86" s="52">
        <f>SUM($CM$82:$CM$85)</f>
        <v>0</v>
      </c>
      <c r="CN86" s="52">
        <f>SUM($CN$82:$CN$85)</f>
        <v>0</v>
      </c>
      <c r="CO86" s="52">
        <f>SUM($CG$86,$CH$86,$CI$86,$CJ$86,$CK$86,$CL$86,$CM$86,$CN$86)</f>
        <v>39</v>
      </c>
      <c r="CP86" s="52">
        <f>SUM($BY$86,$BZ$86,$CA$86,$CB$86,$CC$86,$CD$86,$CE$86,$CF$86)</f>
        <v>78</v>
      </c>
      <c r="CQ86" s="52">
        <f>SUM($CQ$82:$CQ$85)</f>
        <v>27</v>
      </c>
      <c r="CR86" s="52">
        <f>SUM($CR$82:$CR$85)</f>
        <v>7</v>
      </c>
      <c r="CS86" s="52">
        <f>SUM($CS$82:$CS$85)</f>
        <v>1</v>
      </c>
      <c r="CT86" s="52">
        <f>SUM($CT$82:$CT$85)</f>
        <v>0</v>
      </c>
      <c r="CU86" s="52">
        <f>SUM($CU$82:$CU$85)</f>
        <v>0</v>
      </c>
      <c r="CV86" s="52">
        <f>SUM($CV$82:$CV$85)</f>
        <v>32</v>
      </c>
      <c r="CW86" s="52">
        <f>SUM($CW$82:$CW$85)</f>
        <v>2</v>
      </c>
      <c r="CX86" s="52">
        <f>SUM($CX$82:$CX$85)</f>
        <v>3</v>
      </c>
      <c r="CY86" s="52">
        <f>SUM($CY$82:$CY$85)</f>
        <v>27</v>
      </c>
      <c r="CZ86" s="52">
        <f>SUM($CZ$82:$CZ$85)</f>
        <v>7</v>
      </c>
      <c r="DA86" s="52">
        <f>SUM($DA$82:$DA$85)</f>
        <v>2</v>
      </c>
      <c r="DB86" s="52">
        <f>SUM($DB$82:$DB$85)</f>
        <v>0</v>
      </c>
      <c r="DC86" s="52">
        <f>SUM($DC$82:$DC$85)</f>
        <v>0</v>
      </c>
      <c r="DD86" s="52">
        <f>SUM($DD$82:$DD$85)</f>
        <v>6</v>
      </c>
      <c r="DE86" s="52">
        <f>SUM($DE$82:$DE$85)</f>
        <v>1</v>
      </c>
      <c r="DF86" s="52">
        <f>SUM($DF$82:$DF$85)</f>
        <v>5</v>
      </c>
      <c r="DG86" s="52">
        <f>SUM($CY$86,$CZ$86,$DA$86,$DB$86,$DC$86,$DD$86,$DE$86,$DF$86)</f>
        <v>48</v>
      </c>
      <c r="DH86" s="52">
        <f>SUM($CQ$86,$CR$86,$CS$86,$CT$86,$CU$86,$CV$86,$CW$86,$CX$86)</f>
        <v>72</v>
      </c>
    </row>
    <row r="87" spans="1:112" ht="21" customHeight="1">
      <c r="A87" s="46">
        <v>44395.625</v>
      </c>
      <c r="B87" s="53" t="s">
        <v>91</v>
      </c>
      <c r="C87" s="54">
        <v>4</v>
      </c>
      <c r="D87" s="54">
        <v>0</v>
      </c>
      <c r="E87" s="54">
        <v>0</v>
      </c>
      <c r="F87" s="54">
        <v>0</v>
      </c>
      <c r="G87" s="54">
        <v>0</v>
      </c>
      <c r="H87" s="54">
        <v>3</v>
      </c>
      <c r="I87" s="54">
        <v>1</v>
      </c>
      <c r="J87" s="61">
        <v>0</v>
      </c>
      <c r="K87" s="62">
        <f>$C$87*VLOOKUP($C$11,'PCU Values'!$B$9:$C$16,2,FALSE)</f>
        <v>4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0.6</v>
      </c>
      <c r="Q87" s="62">
        <f>$I$87*VLOOKUP($I$11,'PCU Values'!$B$9:$C$16,2,FALSE)</f>
        <v>0.4</v>
      </c>
      <c r="R87" s="70">
        <f>$J$87*VLOOKUP($J$11,'PCU Values'!$B$9:$C$16,2,FALSE)</f>
        <v>0</v>
      </c>
      <c r="S87" s="71">
        <f>SUM($K$87,$L$87,$M$87,$N$87,$O$87,$P$87,$Q$87,$R$87)</f>
        <v>5</v>
      </c>
      <c r="T87" s="52">
        <f>SUM($C$87,$D$87,$E$87,$F$87,$G$87,$H$87,$I$87,$J$87)</f>
        <v>8</v>
      </c>
      <c r="U87" s="74">
        <v>0</v>
      </c>
      <c r="V87" s="75">
        <v>0</v>
      </c>
      <c r="W87" s="75">
        <v>0</v>
      </c>
      <c r="X87" s="75">
        <v>0</v>
      </c>
      <c r="Y87" s="75">
        <v>0</v>
      </c>
      <c r="Z87" s="75">
        <v>14</v>
      </c>
      <c r="AA87" s="54">
        <v>0</v>
      </c>
      <c r="AB87" s="61">
        <v>0</v>
      </c>
      <c r="AC87" s="62">
        <f>$U$87*VLOOKUP($U$11,'PCU Values'!$B$9:$C$16,2,FALSE)</f>
        <v>0</v>
      </c>
      <c r="AD87" s="62">
        <f>$V$87*VLOOKUP($V$11,'PCU Values'!$B$9:$C$16,2,FALSE)</f>
        <v>0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2.8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2.8</v>
      </c>
      <c r="AL87" s="52">
        <f>SUM($U$87,$V$87,$W$87,$X$87,$Y$87,$Z$87,$AA$87,$AB$87)</f>
        <v>14</v>
      </c>
      <c r="AM87" s="72">
        <v>2</v>
      </c>
      <c r="AN87" s="54">
        <v>0</v>
      </c>
      <c r="AO87" s="54">
        <v>0</v>
      </c>
      <c r="AP87" s="54">
        <v>0</v>
      </c>
      <c r="AQ87" s="54">
        <v>0</v>
      </c>
      <c r="AR87" s="54">
        <v>4</v>
      </c>
      <c r="AS87" s="54">
        <v>0</v>
      </c>
      <c r="AT87" s="61">
        <v>0</v>
      </c>
      <c r="AU87" s="62">
        <f>$AM$87*VLOOKUP($AM$11,'PCU Values'!$B$9:$C$16,2,FALSE)</f>
        <v>2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0.8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2.8</v>
      </c>
      <c r="BD87" s="52">
        <f>SUM($AM$87,$AN$87,$AO$87,$AP$87,$AQ$87,$AR$87,$AS$87,$AT$87)</f>
        <v>6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6</v>
      </c>
      <c r="BZ87" s="85">
        <f>SUM($D$87,$V$87,$AN$87,$BF$87)</f>
        <v>0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21</v>
      </c>
      <c r="CE87" s="85">
        <f>SUM($I$87,$AA$87,$AS$87,$BK$87)</f>
        <v>1</v>
      </c>
      <c r="CF87" s="88">
        <f>SUM($J$87,$AB$87,$AT$87,$BL$87)</f>
        <v>0</v>
      </c>
      <c r="CG87" s="81">
        <f>$BY$87*VLOOKUP($BY$11,'PCU Values'!$B$9:$C$16,2,FALSE)</f>
        <v>6</v>
      </c>
      <c r="CH87" s="81">
        <f>$BZ$87*VLOOKUP($BZ$11,'PCU Values'!$B$9:$C$16,2,FALSE)</f>
        <v>0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4.2</v>
      </c>
      <c r="CM87" s="81">
        <f>$CE$87*VLOOKUP($CE$11,'PCU Values'!$B$9:$C$16,2,FALSE)</f>
        <v>0.4</v>
      </c>
      <c r="CN87" s="82">
        <f>$CF$87*VLOOKUP($CF$11,'PCU Values'!$B$9:$C$16,2,FALSE)</f>
        <v>0</v>
      </c>
      <c r="CO87" s="71">
        <f>SUM($CG$87,$CH$87,$CI$87,$CJ$87,$CK$87,$CL$87,$CM$87,$CN$87)</f>
        <v>10.6</v>
      </c>
      <c r="CP87" s="52">
        <f>SUM($BY$87,$BZ$87,$CA$87,$CB$87,$CC$87,$CD$87,$CE$87,$CF$87)</f>
        <v>28</v>
      </c>
      <c r="CQ87" s="91">
        <f>SUM('J1 A - (North) Bishopthorpe Roa'!$C$87,'J1 B - Butcher Terrace'!$BE$87,'J1 C - (South) Bishopthorpe Roa'!$AM$87,'J1 D - South Bank Avenue'!$U$87)</f>
        <v>8</v>
      </c>
      <c r="CR87" s="85">
        <f>SUM('J1 A - (North) Bishopthorpe Roa'!$D$87,'J1 B - Butcher Terrace'!$BF$87,'J1 C - (South) Bishopthorpe Roa'!$AN$87,'J1 D - South Bank Avenue'!$V$87)</f>
        <v>4</v>
      </c>
      <c r="CS87" s="85">
        <f>SUM('J1 A - (North) Bishopthorpe Roa'!$E$87,'J1 B - Butcher Terrace'!$BG$87,'J1 C - (South) Bishopthorpe Roa'!$AO$87,'J1 D - South Bank Avenue'!$W$87)</f>
        <v>0</v>
      </c>
      <c r="CT87" s="85">
        <f>SUM('J1 A - (North) Bishopthorpe Roa'!$F$87,'J1 B - Butcher Terrace'!$BH$87,'J1 C - (South) Bishopthorpe Roa'!$AP$87,'J1 D - South Bank Avenue'!$X$87)</f>
        <v>0</v>
      </c>
      <c r="CU87" s="85">
        <f>SUM('J1 A - (North) Bishopthorpe Roa'!$G$87,'J1 B - Butcher Terrace'!$BI$87,'J1 C - (South) Bishopthorpe Roa'!$AQ$87,'J1 D - South Bank Avenue'!$Y$87)</f>
        <v>0</v>
      </c>
      <c r="CV87" s="85">
        <f>SUM('J1 A - (North) Bishopthorpe Roa'!$H$87,'J1 B - Butcher Terrace'!$BJ$87,'J1 C - (South) Bishopthorpe Roa'!$AR$87,'J1 D - South Bank Avenue'!$Z$87)</f>
        <v>2</v>
      </c>
      <c r="CW87" s="85">
        <f>SUM('J1 A - (North) Bishopthorpe Roa'!$I$87,'J1 B - Butcher Terrace'!$BK$87,'J1 C - (South) Bishopthorpe Roa'!$AS$87,'J1 D - South Bank Avenue'!$AA$87)</f>
        <v>1</v>
      </c>
      <c r="CX87" s="88">
        <f>SUM('J1 A - (North) Bishopthorpe Roa'!$J$87,'J1 B - Butcher Terrace'!$BL$87,'J1 C - (South) Bishopthorpe Roa'!$AT$87,'J1 D - South Bank Avenue'!$AB$87)</f>
        <v>1</v>
      </c>
      <c r="CY87" s="81">
        <f>$CQ$87*VLOOKUP($CQ$11,'PCU Values'!$B$9:$C$16,2,FALSE)</f>
        <v>8</v>
      </c>
      <c r="CZ87" s="81">
        <f>$CR$87*VLOOKUP($CR$11,'PCU Values'!$B$9:$C$16,2,FALSE)</f>
        <v>4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0.4</v>
      </c>
      <c r="DE87" s="81">
        <f>$CW$87*VLOOKUP($CW$11,'PCU Values'!$B$9:$C$16,2,FALSE)</f>
        <v>0.4</v>
      </c>
      <c r="DF87" s="82">
        <f>$CX$87*VLOOKUP($CX$11,'PCU Values'!$B$9:$C$16,2,FALSE)</f>
        <v>1.5</v>
      </c>
      <c r="DG87" s="71">
        <f>SUM($CY$87,$CZ$87,$DA$87,$DB$87,$DC$87,$DD$87,$DE$87,$DF$87)</f>
        <v>14.3</v>
      </c>
      <c r="DH87" s="52">
        <f>SUM($CQ$87,$CR$87,$CS$87,$CT$87,$CU$87,$CV$87,$CW$87,$CX$87)</f>
        <v>16</v>
      </c>
    </row>
    <row r="88" spans="1:112" ht="21" customHeight="1">
      <c r="A88" s="46">
        <v>44395.635416666701</v>
      </c>
      <c r="B88" s="47" t="s">
        <v>92</v>
      </c>
      <c r="C88" s="48">
        <v>1</v>
      </c>
      <c r="D88" s="48">
        <v>0</v>
      </c>
      <c r="E88" s="48">
        <v>0</v>
      </c>
      <c r="F88" s="48">
        <v>0</v>
      </c>
      <c r="G88" s="48">
        <v>0</v>
      </c>
      <c r="H88" s="48">
        <v>3</v>
      </c>
      <c r="I88" s="48">
        <v>0</v>
      </c>
      <c r="J88" s="56">
        <v>0</v>
      </c>
      <c r="K88" s="57">
        <f>$C$88*VLOOKUP($C$11,'PCU Values'!$B$9:$C$16,2,FALSE)</f>
        <v>1</v>
      </c>
      <c r="L88" s="57">
        <f>$D$88*VLOOKUP($D$11,'PCU Values'!$B$9:$C$16,2,FALSE)</f>
        <v>0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0.6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1.6</v>
      </c>
      <c r="T88" s="52">
        <f>SUM($C$88,$D$88,$E$88,$F$88,$G$88,$H$88,$I$88,$J$88)</f>
        <v>4</v>
      </c>
      <c r="U88" s="67">
        <v>0</v>
      </c>
      <c r="V88" s="48">
        <v>0</v>
      </c>
      <c r="W88" s="48">
        <v>0</v>
      </c>
      <c r="X88" s="48">
        <v>0</v>
      </c>
      <c r="Y88" s="48">
        <v>0</v>
      </c>
      <c r="Z88" s="48">
        <v>12</v>
      </c>
      <c r="AA88" s="48">
        <v>0</v>
      </c>
      <c r="AB88" s="56">
        <v>0</v>
      </c>
      <c r="AC88" s="57">
        <f>$U$88*VLOOKUP($U$11,'PCU Values'!$B$9:$C$16,2,FALSE)</f>
        <v>0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2.4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2.4</v>
      </c>
      <c r="AL88" s="52">
        <f>SUM($U$88,$V$88,$W$88,$X$88,$Y$88,$Z$88,$AA$88,$AB$88)</f>
        <v>12</v>
      </c>
      <c r="AM88" s="67">
        <v>4</v>
      </c>
      <c r="AN88" s="48">
        <v>2</v>
      </c>
      <c r="AO88" s="48">
        <v>0</v>
      </c>
      <c r="AP88" s="48">
        <v>0</v>
      </c>
      <c r="AQ88" s="48">
        <v>0</v>
      </c>
      <c r="AR88" s="48">
        <v>1</v>
      </c>
      <c r="AS88" s="48">
        <v>0</v>
      </c>
      <c r="AT88" s="56">
        <v>0</v>
      </c>
      <c r="AU88" s="57">
        <f>$AM$88*VLOOKUP($AM$11,'PCU Values'!$B$9:$C$16,2,FALSE)</f>
        <v>4</v>
      </c>
      <c r="AV88" s="57">
        <f>$AN$88*VLOOKUP($AN$11,'PCU Values'!$B$9:$C$16,2,FALSE)</f>
        <v>2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0.2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6.2</v>
      </c>
      <c r="BD88" s="52">
        <f>SUM($AM$88,$AN$88,$AO$88,$AP$88,$AQ$88,$AR$88,$AS$88,$AT$88)</f>
        <v>7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5</v>
      </c>
      <c r="BZ88" s="83">
        <f>SUM($D$88,$V$88,$AN$88,$BF$88)</f>
        <v>2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16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5</v>
      </c>
      <c r="CH88" s="77">
        <f>$BZ$88*VLOOKUP($BZ$11,'PCU Values'!$B$9:$C$16,2,FALSE)</f>
        <v>2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3.2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10.199999999999999</v>
      </c>
      <c r="CP88" s="52">
        <f>SUM($BY$88,$BZ$88,$CA$88,$CB$88,$CC$88,$CD$88,$CE$88,$CF$88)</f>
        <v>23</v>
      </c>
      <c r="CQ88" s="89">
        <f>SUM('J1 A - (North) Bishopthorpe Roa'!$C$88,'J1 B - Butcher Terrace'!$BE$88,'J1 C - (South) Bishopthorpe Roa'!$AM$88,'J1 D - South Bank Avenue'!$U$88)</f>
        <v>6</v>
      </c>
      <c r="CR88" s="83">
        <f>SUM('J1 A - (North) Bishopthorpe Roa'!$D$88,'J1 B - Butcher Terrace'!$BF$88,'J1 C - (South) Bishopthorpe Roa'!$AN$88,'J1 D - South Bank Avenue'!$V$88)</f>
        <v>1</v>
      </c>
      <c r="CS88" s="83">
        <f>SUM('J1 A - (North) Bishopthorpe Roa'!$E$88,'J1 B - Butcher Terrace'!$BG$88,'J1 C - (South) Bishopthorpe Roa'!$AO$88,'J1 D - South Bank Avenue'!$W$88)</f>
        <v>0</v>
      </c>
      <c r="CT88" s="83">
        <f>SUM('J1 A - (North) Bishopthorpe Roa'!$F$88,'J1 B - Butcher Terrace'!$BH$88,'J1 C - (South) Bishopthorpe Roa'!$AP$88,'J1 D - South Bank Avenue'!$X$88)</f>
        <v>0</v>
      </c>
      <c r="CU88" s="83">
        <f>SUM('J1 A - (North) Bishopthorpe Roa'!$G$88,'J1 B - Butcher Terrace'!$BI$88,'J1 C - (South) Bishopthorpe Roa'!$AQ$88,'J1 D - South Bank Avenue'!$Y$88)</f>
        <v>0</v>
      </c>
      <c r="CV88" s="83">
        <f>SUM('J1 A - (North) Bishopthorpe Roa'!$H$88,'J1 B - Butcher Terrace'!$BJ$88,'J1 C - (South) Bishopthorpe Roa'!$AR$88,'J1 D - South Bank Avenue'!$Z$88)</f>
        <v>6</v>
      </c>
      <c r="CW88" s="83">
        <f>SUM('J1 A - (North) Bishopthorpe Roa'!$I$88,'J1 B - Butcher Terrace'!$BK$88,'J1 C - (South) Bishopthorpe Roa'!$AS$88,'J1 D - South Bank Avenue'!$AA$88)</f>
        <v>0</v>
      </c>
      <c r="CX88" s="86">
        <f>SUM('J1 A - (North) Bishopthorpe Roa'!$J$88,'J1 B - Butcher Terrace'!$BL$88,'J1 C - (South) Bishopthorpe Roa'!$AT$88,'J1 D - South Bank Avenue'!$AB$88)</f>
        <v>1</v>
      </c>
      <c r="CY88" s="77">
        <f>$CQ$88*VLOOKUP($CQ$11,'PCU Values'!$B$9:$C$16,2,FALSE)</f>
        <v>6</v>
      </c>
      <c r="CZ88" s="77">
        <f>$CR$88*VLOOKUP($CR$11,'PCU Values'!$B$9:$C$16,2,FALSE)</f>
        <v>1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1.2</v>
      </c>
      <c r="DE88" s="77">
        <f>$CW$88*VLOOKUP($CW$11,'PCU Values'!$B$9:$C$16,2,FALSE)</f>
        <v>0</v>
      </c>
      <c r="DF88" s="78">
        <f>$CX$88*VLOOKUP($CX$11,'PCU Values'!$B$9:$C$16,2,FALSE)</f>
        <v>1.5</v>
      </c>
      <c r="DG88" s="66">
        <f>SUM($CY$88,$CZ$88,$DA$88,$DB$88,$DC$88,$DD$88,$DE$88,$DF$88)</f>
        <v>9.6999999999999993</v>
      </c>
      <c r="DH88" s="52">
        <f>SUM($CQ$88,$CR$88,$CS$88,$CT$88,$CU$88,$CV$88,$CW$88,$CX$88)</f>
        <v>14</v>
      </c>
    </row>
    <row r="89" spans="1:112" ht="21" customHeight="1">
      <c r="A89" s="46">
        <v>44395.645833333299</v>
      </c>
      <c r="B89" s="47" t="s">
        <v>93</v>
      </c>
      <c r="C89" s="49">
        <v>1</v>
      </c>
      <c r="D89" s="49">
        <v>0</v>
      </c>
      <c r="E89" s="49">
        <v>0</v>
      </c>
      <c r="F89" s="49">
        <v>0</v>
      </c>
      <c r="G89" s="49">
        <v>0</v>
      </c>
      <c r="H89" s="49">
        <v>3</v>
      </c>
      <c r="I89" s="49">
        <v>0</v>
      </c>
      <c r="J89" s="58">
        <v>0</v>
      </c>
      <c r="K89" s="57">
        <f>$C$89*VLOOKUP($C$11,'PCU Values'!$B$9:$C$16,2,FALSE)</f>
        <v>1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0.6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1.6</v>
      </c>
      <c r="T89" s="52">
        <f>SUM($C$89,$D$89,$E$89,$F$89,$G$89,$H$89,$I$89,$J$89)</f>
        <v>4</v>
      </c>
      <c r="U89" s="49">
        <v>1</v>
      </c>
      <c r="V89" s="49">
        <v>0</v>
      </c>
      <c r="W89" s="49">
        <v>0</v>
      </c>
      <c r="X89" s="49">
        <v>0</v>
      </c>
      <c r="Y89" s="49">
        <v>0</v>
      </c>
      <c r="Z89" s="49">
        <v>9</v>
      </c>
      <c r="AA89" s="49">
        <v>0</v>
      </c>
      <c r="AB89" s="58">
        <v>0</v>
      </c>
      <c r="AC89" s="57">
        <f>$U$89*VLOOKUP($U$11,'PCU Values'!$B$9:$C$16,2,FALSE)</f>
        <v>1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1.8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2.8</v>
      </c>
      <c r="AL89" s="52">
        <f>SUM($U$89,$V$89,$W$89,$X$89,$Y$89,$Z$89,$AA$89,$AB$89)</f>
        <v>10</v>
      </c>
      <c r="AM89" s="49">
        <v>2</v>
      </c>
      <c r="AN89" s="49">
        <v>0</v>
      </c>
      <c r="AO89" s="49">
        <v>0</v>
      </c>
      <c r="AP89" s="49">
        <v>0</v>
      </c>
      <c r="AQ89" s="49">
        <v>0</v>
      </c>
      <c r="AR89" s="49">
        <v>1</v>
      </c>
      <c r="AS89" s="49">
        <v>0</v>
      </c>
      <c r="AT89" s="58">
        <v>0</v>
      </c>
      <c r="AU89" s="57">
        <f>$AM$89*VLOOKUP($AM$11,'PCU Values'!$B$9:$C$16,2,FALSE)</f>
        <v>2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0.2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2.2000000000000002</v>
      </c>
      <c r="BD89" s="52">
        <f>SUM($AM$89,$AN$89,$AO$89,$AP$89,$AQ$89,$AR$89,$AS$89,$AT$89)</f>
        <v>3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4</v>
      </c>
      <c r="BZ89" s="83">
        <f>SUM($D$89,$V$89,$AN$89,$BF$89)</f>
        <v>0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13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4</v>
      </c>
      <c r="CH89" s="77">
        <f>$BZ$89*VLOOKUP($BZ$11,'PCU Values'!$B$9:$C$16,2,FALSE)</f>
        <v>0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2.6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6.6</v>
      </c>
      <c r="CP89" s="52">
        <f>SUM($BY$89,$BZ$89,$CA$89,$CB$89,$CC$89,$CD$89,$CE$89,$CF$89)</f>
        <v>17</v>
      </c>
      <c r="CQ89" s="89">
        <f>SUM('J1 A - (North) Bishopthorpe Roa'!$C$89,'J1 B - Butcher Terrace'!$BE$89,'J1 C - (South) Bishopthorpe Roa'!$AM$89,'J1 D - South Bank Avenue'!$U$89)</f>
        <v>9</v>
      </c>
      <c r="CR89" s="83">
        <f>SUM('J1 A - (North) Bishopthorpe Roa'!$D$89,'J1 B - Butcher Terrace'!$BF$89,'J1 C - (South) Bishopthorpe Roa'!$AN$89,'J1 D - South Bank Avenue'!$V$89)</f>
        <v>0</v>
      </c>
      <c r="CS89" s="83">
        <f>SUM('J1 A - (North) Bishopthorpe Roa'!$E$89,'J1 B - Butcher Terrace'!$BG$89,'J1 C - (South) Bishopthorpe Roa'!$AO$89,'J1 D - South Bank Avenue'!$W$89)</f>
        <v>0</v>
      </c>
      <c r="CT89" s="83">
        <f>SUM('J1 A - (North) Bishopthorpe Roa'!$F$89,'J1 B - Butcher Terrace'!$BH$89,'J1 C - (South) Bishopthorpe Roa'!$AP$89,'J1 D - South Bank Avenue'!$X$89)</f>
        <v>0</v>
      </c>
      <c r="CU89" s="83">
        <f>SUM('J1 A - (North) Bishopthorpe Roa'!$G$89,'J1 B - Butcher Terrace'!$BI$89,'J1 C - (South) Bishopthorpe Roa'!$AQ$89,'J1 D - South Bank Avenue'!$Y$89)</f>
        <v>0</v>
      </c>
      <c r="CV89" s="83">
        <f>SUM('J1 A - (North) Bishopthorpe Roa'!$H$89,'J1 B - Butcher Terrace'!$BJ$89,'J1 C - (South) Bishopthorpe Roa'!$AR$89,'J1 D - South Bank Avenue'!$Z$89)</f>
        <v>9</v>
      </c>
      <c r="CW89" s="83">
        <f>SUM('J1 A - (North) Bishopthorpe Roa'!$I$89,'J1 B - Butcher Terrace'!$BK$89,'J1 C - (South) Bishopthorpe Roa'!$AS$89,'J1 D - South Bank Avenue'!$AA$89)</f>
        <v>0</v>
      </c>
      <c r="CX89" s="86">
        <f>SUM('J1 A - (North) Bishopthorpe Roa'!$J$89,'J1 B - Butcher Terrace'!$BL$89,'J1 C - (South) Bishopthorpe Roa'!$AT$89,'J1 D - South Bank Avenue'!$AB$89)</f>
        <v>0</v>
      </c>
      <c r="CY89" s="77">
        <f>$CQ$89*VLOOKUP($CQ$11,'PCU Values'!$B$9:$C$16,2,FALSE)</f>
        <v>9</v>
      </c>
      <c r="CZ89" s="77">
        <f>$CR$89*VLOOKUP($CR$11,'PCU Values'!$B$9:$C$16,2,FALSE)</f>
        <v>0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1.8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10.8</v>
      </c>
      <c r="DH89" s="52">
        <f>SUM($CQ$89,$CR$89,$CS$89,$CT$89,$CU$89,$CV$89,$CW$89,$CX$89)</f>
        <v>18</v>
      </c>
    </row>
    <row r="90" spans="1:112" ht="21" customHeight="1">
      <c r="A90" s="46">
        <v>44395.65625</v>
      </c>
      <c r="B90" s="50" t="s">
        <v>94</v>
      </c>
      <c r="C90" s="51">
        <v>2</v>
      </c>
      <c r="D90" s="51">
        <v>0</v>
      </c>
      <c r="E90" s="51">
        <v>0</v>
      </c>
      <c r="F90" s="51">
        <v>0</v>
      </c>
      <c r="G90" s="51">
        <v>0</v>
      </c>
      <c r="H90" s="51">
        <v>2</v>
      </c>
      <c r="I90" s="51">
        <v>0</v>
      </c>
      <c r="J90" s="59">
        <v>0</v>
      </c>
      <c r="K90" s="60">
        <f>$C$90*VLOOKUP($C$11,'PCU Values'!$B$9:$C$16,2,FALSE)</f>
        <v>2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0.4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2.4</v>
      </c>
      <c r="T90" s="52">
        <f>SUM($C$90,$D$90,$E$90,$F$90,$G$90,$H$90,$I$90,$J$90)</f>
        <v>4</v>
      </c>
      <c r="U90" s="73">
        <v>0</v>
      </c>
      <c r="V90" s="51">
        <v>1</v>
      </c>
      <c r="W90" s="51">
        <v>0</v>
      </c>
      <c r="X90" s="51">
        <v>0</v>
      </c>
      <c r="Y90" s="51">
        <v>0</v>
      </c>
      <c r="Z90" s="51">
        <v>8</v>
      </c>
      <c r="AA90" s="51">
        <v>0</v>
      </c>
      <c r="AB90" s="59">
        <v>0</v>
      </c>
      <c r="AC90" s="60">
        <f>$U$90*VLOOKUP($U$11,'PCU Values'!$B$9:$C$16,2,FALSE)</f>
        <v>0</v>
      </c>
      <c r="AD90" s="60">
        <f>$V$90*VLOOKUP($V$11,'PCU Values'!$B$9:$C$16,2,FALSE)</f>
        <v>1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1.6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2.6</v>
      </c>
      <c r="AL90" s="52">
        <f>SUM($U$90,$V$90,$W$90,$X$90,$Y$90,$Z$90,$AA$90,$AB$90)</f>
        <v>9</v>
      </c>
      <c r="AM90" s="73">
        <v>2</v>
      </c>
      <c r="AN90" s="51">
        <v>1</v>
      </c>
      <c r="AO90" s="51">
        <v>0</v>
      </c>
      <c r="AP90" s="51">
        <v>0</v>
      </c>
      <c r="AQ90" s="51">
        <v>0</v>
      </c>
      <c r="AR90" s="51">
        <v>8</v>
      </c>
      <c r="AS90" s="51">
        <v>0</v>
      </c>
      <c r="AT90" s="59">
        <v>0</v>
      </c>
      <c r="AU90" s="60">
        <f>$AM$90*VLOOKUP($AM$11,'PCU Values'!$B$9:$C$16,2,FALSE)</f>
        <v>2</v>
      </c>
      <c r="AV90" s="60">
        <f>$AN$90*VLOOKUP($AN$11,'PCU Values'!$B$9:$C$16,2,FALSE)</f>
        <v>1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1.6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4.5999999999999996</v>
      </c>
      <c r="BD90" s="52">
        <f>SUM($AM$90,$AN$90,$AO$90,$AP$90,$AQ$90,$AR$90,$AS$90,$AT$90)</f>
        <v>11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4</v>
      </c>
      <c r="BZ90" s="84">
        <f>SUM($D$90,$V$90,$AN$90,$BF$90)</f>
        <v>2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18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4</v>
      </c>
      <c r="CH90" s="79">
        <f>$BZ$90*VLOOKUP($BZ$11,'PCU Values'!$B$9:$C$16,2,FALSE)</f>
        <v>2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3.6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9.6</v>
      </c>
      <c r="CP90" s="52">
        <f>SUM($BY$90,$BZ$90,$CA$90,$CB$90,$CC$90,$CD$90,$CE$90,$CF$90)</f>
        <v>24</v>
      </c>
      <c r="CQ90" s="90">
        <f>SUM('J1 A - (North) Bishopthorpe Roa'!$C$90,'J1 B - Butcher Terrace'!$BE$90,'J1 C - (South) Bishopthorpe Roa'!$AM$90,'J1 D - South Bank Avenue'!$U$90)</f>
        <v>8</v>
      </c>
      <c r="CR90" s="84">
        <f>SUM('J1 A - (North) Bishopthorpe Roa'!$D$90,'J1 B - Butcher Terrace'!$BF$90,'J1 C - (South) Bishopthorpe Roa'!$AN$90,'J1 D - South Bank Avenue'!$V$90)</f>
        <v>0</v>
      </c>
      <c r="CS90" s="84">
        <f>SUM('J1 A - (North) Bishopthorpe Roa'!$E$90,'J1 B - Butcher Terrace'!$BG$90,'J1 C - (South) Bishopthorpe Roa'!$AO$90,'J1 D - South Bank Avenue'!$W$90)</f>
        <v>0</v>
      </c>
      <c r="CT90" s="84">
        <f>SUM('J1 A - (North) Bishopthorpe Roa'!$F$90,'J1 B - Butcher Terrace'!$BH$90,'J1 C - (South) Bishopthorpe Roa'!$AP$90,'J1 D - South Bank Avenue'!$X$90)</f>
        <v>0</v>
      </c>
      <c r="CU90" s="84">
        <f>SUM('J1 A - (North) Bishopthorpe Roa'!$G$90,'J1 B - Butcher Terrace'!$BI$90,'J1 C - (South) Bishopthorpe Roa'!$AQ$90,'J1 D - South Bank Avenue'!$Y$90)</f>
        <v>0</v>
      </c>
      <c r="CV90" s="84">
        <f>SUM('J1 A - (North) Bishopthorpe Roa'!$H$90,'J1 B - Butcher Terrace'!$BJ$90,'J1 C - (South) Bishopthorpe Roa'!$AR$90,'J1 D - South Bank Avenue'!$Z$90)</f>
        <v>10</v>
      </c>
      <c r="CW90" s="84">
        <f>SUM('J1 A - (North) Bishopthorpe Roa'!$I$90,'J1 B - Butcher Terrace'!$BK$90,'J1 C - (South) Bishopthorpe Roa'!$AS$90,'J1 D - South Bank Avenue'!$AA$90)</f>
        <v>0</v>
      </c>
      <c r="CX90" s="87">
        <f>SUM('J1 A - (North) Bishopthorpe Roa'!$J$90,'J1 B - Butcher Terrace'!$BL$90,'J1 C - (South) Bishopthorpe Roa'!$AT$90,'J1 D - South Bank Avenue'!$AB$90)</f>
        <v>1</v>
      </c>
      <c r="CY90" s="79">
        <f>$CQ$90*VLOOKUP($CQ$11,'PCU Values'!$B$9:$C$16,2,FALSE)</f>
        <v>8</v>
      </c>
      <c r="CZ90" s="79">
        <f>$CR$90*VLOOKUP($CR$11,'PCU Values'!$B$9:$C$16,2,FALSE)</f>
        <v>0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2</v>
      </c>
      <c r="DE90" s="79">
        <f>$CW$90*VLOOKUP($CW$11,'PCU Values'!$B$9:$C$16,2,FALSE)</f>
        <v>0</v>
      </c>
      <c r="DF90" s="80">
        <f>$CX$90*VLOOKUP($CX$11,'PCU Values'!$B$9:$C$16,2,FALSE)</f>
        <v>1.5</v>
      </c>
      <c r="DG90" s="63">
        <f>SUM($CY$90,$CZ$90,$DA$90,$DB$90,$DC$90,$DD$90,$DE$90,$DF$90)</f>
        <v>11.5</v>
      </c>
      <c r="DH90" s="52">
        <f>SUM($CQ$90,$CR$90,$CS$90,$CT$90,$CU$90,$CV$90,$CW$90,$CX$90)</f>
        <v>19</v>
      </c>
    </row>
    <row r="91" spans="1:112">
      <c r="B91" s="52" t="s">
        <v>34</v>
      </c>
      <c r="C91" s="52">
        <f>SUM($C$87:$C$90)</f>
        <v>8</v>
      </c>
      <c r="D91" s="52">
        <f>SUM($D$87:$D$90)</f>
        <v>0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11</v>
      </c>
      <c r="I91" s="52">
        <f>SUM($I$87:$I$90)</f>
        <v>1</v>
      </c>
      <c r="J91" s="52">
        <f>SUM($J$87:$J$90)</f>
        <v>0</v>
      </c>
      <c r="K91" s="52">
        <f>SUM($K$87:$K$90)</f>
        <v>8</v>
      </c>
      <c r="L91" s="52">
        <f>SUM($L$87:$L$90)</f>
        <v>0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2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10</v>
      </c>
      <c r="T91" s="52">
        <f>SUM($C$91,$D$91,$E$91,$F$91,$G$91,$H$91,$I$91,$J$91)</f>
        <v>20</v>
      </c>
      <c r="U91" s="52">
        <f>SUM($U$87:$U$90)</f>
        <v>1</v>
      </c>
      <c r="V91" s="52">
        <f>SUM($V$87:$V$90)</f>
        <v>1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43</v>
      </c>
      <c r="AA91" s="52">
        <f>SUM($AA$87:$AA$90)</f>
        <v>0</v>
      </c>
      <c r="AB91" s="52">
        <f>SUM($AB$87:$AB$90)</f>
        <v>0</v>
      </c>
      <c r="AC91" s="52">
        <f>SUM($AC$87:$AC$90)</f>
        <v>1</v>
      </c>
      <c r="AD91" s="52">
        <f>SUM($AD$87:$AD$90)</f>
        <v>1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9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11</v>
      </c>
      <c r="AL91" s="52">
        <f>SUM($U$91,$V$91,$W$91,$X$91,$Y$91,$Z$91,$AA$91,$AB$91)</f>
        <v>45</v>
      </c>
      <c r="AM91" s="52">
        <f>SUM($AM$87:$AM$90)</f>
        <v>10</v>
      </c>
      <c r="AN91" s="52">
        <f>SUM($AN$87:$AN$90)</f>
        <v>3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14</v>
      </c>
      <c r="AS91" s="52">
        <f>SUM($AS$87:$AS$90)</f>
        <v>0</v>
      </c>
      <c r="AT91" s="52">
        <f>SUM($AT$87:$AT$90)</f>
        <v>0</v>
      </c>
      <c r="AU91" s="52">
        <f>SUM($AU$87:$AU$90)</f>
        <v>10</v>
      </c>
      <c r="AV91" s="52">
        <f>SUM($AV$87:$AV$90)</f>
        <v>3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3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16</v>
      </c>
      <c r="BD91" s="52">
        <f>SUM($AM$91,$AN$91,$AO$91,$AP$91,$AQ$91,$AR$91,$AS$91,$AT$91)</f>
        <v>27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19</v>
      </c>
      <c r="BZ91" s="52">
        <f>SUM($BZ$87:$BZ$90)</f>
        <v>4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68</v>
      </c>
      <c r="CE91" s="52">
        <f>SUM($CE$87:$CE$90)</f>
        <v>1</v>
      </c>
      <c r="CF91" s="52">
        <f>SUM($CF$87:$CF$90)</f>
        <v>0</v>
      </c>
      <c r="CG91" s="52">
        <f>SUM($CG$87:$CG$90)</f>
        <v>19</v>
      </c>
      <c r="CH91" s="52">
        <f>SUM($CH$87:$CH$90)</f>
        <v>4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14</v>
      </c>
      <c r="CM91" s="52">
        <f>SUM($CM$87:$CM$90)</f>
        <v>0</v>
      </c>
      <c r="CN91" s="52">
        <f>SUM($CN$87:$CN$90)</f>
        <v>0</v>
      </c>
      <c r="CO91" s="52">
        <f>SUM($CG$91,$CH$91,$CI$91,$CJ$91,$CK$91,$CL$91,$CM$91,$CN$91)</f>
        <v>37</v>
      </c>
      <c r="CP91" s="52">
        <f>SUM($BY$91,$BZ$91,$CA$91,$CB$91,$CC$91,$CD$91,$CE$91,$CF$91)</f>
        <v>92</v>
      </c>
      <c r="CQ91" s="52">
        <f>SUM($CQ$87:$CQ$90)</f>
        <v>31</v>
      </c>
      <c r="CR91" s="52">
        <f>SUM($CR$87:$CR$90)</f>
        <v>5</v>
      </c>
      <c r="CS91" s="52">
        <f>SUM($CS$87:$CS$90)</f>
        <v>0</v>
      </c>
      <c r="CT91" s="52">
        <f>SUM($CT$87:$CT$90)</f>
        <v>0</v>
      </c>
      <c r="CU91" s="52">
        <f>SUM($CU$87:$CU$90)</f>
        <v>0</v>
      </c>
      <c r="CV91" s="52">
        <f>SUM($CV$87:$CV$90)</f>
        <v>27</v>
      </c>
      <c r="CW91" s="52">
        <f>SUM($CW$87:$CW$90)</f>
        <v>1</v>
      </c>
      <c r="CX91" s="52">
        <f>SUM($CX$87:$CX$90)</f>
        <v>3</v>
      </c>
      <c r="CY91" s="52">
        <f>SUM($CY$87:$CY$90)</f>
        <v>31</v>
      </c>
      <c r="CZ91" s="52">
        <f>SUM($CZ$87:$CZ$90)</f>
        <v>5</v>
      </c>
      <c r="DA91" s="52">
        <f>SUM($DA$87:$DA$90)</f>
        <v>0</v>
      </c>
      <c r="DB91" s="52">
        <f>SUM($DB$87:$DB$90)</f>
        <v>0</v>
      </c>
      <c r="DC91" s="52">
        <f>SUM($DC$87:$DC$90)</f>
        <v>0</v>
      </c>
      <c r="DD91" s="52">
        <f>SUM($DD$87:$DD$90)</f>
        <v>5</v>
      </c>
      <c r="DE91" s="52">
        <f>SUM($DE$87:$DE$90)</f>
        <v>0</v>
      </c>
      <c r="DF91" s="52">
        <f>SUM($DF$87:$DF$90)</f>
        <v>5</v>
      </c>
      <c r="DG91" s="52">
        <f>SUM($CY$91,$CZ$91,$DA$91,$DB$91,$DC$91,$DD$91,$DE$91,$DF$91)</f>
        <v>46</v>
      </c>
      <c r="DH91" s="52">
        <f>SUM($CQ$91,$CR$91,$CS$91,$CT$91,$CU$91,$CV$91,$CW$91,$CX$91)</f>
        <v>67</v>
      </c>
    </row>
    <row r="92" spans="1:112" ht="21" customHeight="1">
      <c r="A92" s="46">
        <v>44395.666666666701</v>
      </c>
      <c r="B92" s="53" t="s">
        <v>95</v>
      </c>
      <c r="C92" s="54">
        <v>0</v>
      </c>
      <c r="D92" s="54">
        <v>0</v>
      </c>
      <c r="E92" s="54">
        <v>0</v>
      </c>
      <c r="F92" s="54">
        <v>0</v>
      </c>
      <c r="G92" s="54">
        <v>0</v>
      </c>
      <c r="H92" s="54">
        <v>3</v>
      </c>
      <c r="I92" s="54">
        <v>0</v>
      </c>
      <c r="J92" s="61">
        <v>0</v>
      </c>
      <c r="K92" s="62">
        <f>$C$92*VLOOKUP($C$11,'PCU Values'!$B$9:$C$16,2,FALSE)</f>
        <v>0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0.6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0.6</v>
      </c>
      <c r="T92" s="52">
        <f>SUM($C$92,$D$92,$E$92,$F$92,$G$92,$H$92,$I$92,$J$92)</f>
        <v>3</v>
      </c>
      <c r="U92" s="72">
        <v>0</v>
      </c>
      <c r="V92" s="54">
        <v>0</v>
      </c>
      <c r="W92" s="54">
        <v>0</v>
      </c>
      <c r="X92" s="54">
        <v>0</v>
      </c>
      <c r="Y92" s="54">
        <v>0</v>
      </c>
      <c r="Z92" s="54">
        <v>6</v>
      </c>
      <c r="AA92" s="54">
        <v>0</v>
      </c>
      <c r="AB92" s="61">
        <v>0</v>
      </c>
      <c r="AC92" s="62">
        <f>$U$92*VLOOKUP($U$11,'PCU Values'!$B$9:$C$16,2,FALSE)</f>
        <v>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1.2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1.2</v>
      </c>
      <c r="AL92" s="52">
        <f>SUM($U$92,$V$92,$W$92,$X$92,$Y$92,$Z$92,$AA$92,$AB$92)</f>
        <v>6</v>
      </c>
      <c r="AM92" s="72">
        <v>4</v>
      </c>
      <c r="AN92" s="54">
        <v>0</v>
      </c>
      <c r="AO92" s="54">
        <v>0</v>
      </c>
      <c r="AP92" s="54">
        <v>0</v>
      </c>
      <c r="AQ92" s="54">
        <v>0</v>
      </c>
      <c r="AR92" s="54">
        <v>2</v>
      </c>
      <c r="AS92" s="54">
        <v>0</v>
      </c>
      <c r="AT92" s="61">
        <v>0</v>
      </c>
      <c r="AU92" s="62">
        <f>$AM$92*VLOOKUP($AM$11,'PCU Values'!$B$9:$C$16,2,FALSE)</f>
        <v>4</v>
      </c>
      <c r="AV92" s="62">
        <f>$AN$92*VLOOKUP($AN$11,'PCU Values'!$B$9:$C$16,2,FALSE)</f>
        <v>0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0.4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4.4000000000000004</v>
      </c>
      <c r="BD92" s="52">
        <f>SUM($AM$92,$AN$92,$AO$92,$AP$92,$AQ$92,$AR$92,$AS$92,$AT$92)</f>
        <v>6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4</v>
      </c>
      <c r="BZ92" s="85">
        <f>SUM($D$92,$V$92,$AN$92,$BF$92)</f>
        <v>0</v>
      </c>
      <c r="CA92" s="85">
        <f>SUM($E$92,$W$92,$AO$92,$BG$92)</f>
        <v>0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11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4</v>
      </c>
      <c r="CH92" s="81">
        <f>$BZ$92*VLOOKUP($BZ$11,'PCU Values'!$B$9:$C$16,2,FALSE)</f>
        <v>0</v>
      </c>
      <c r="CI92" s="81">
        <f>$CA$92*VLOOKUP($CA$11,'PCU Values'!$B$9:$C$16,2,FALSE)</f>
        <v>0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2.2000000000000002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6.2</v>
      </c>
      <c r="CP92" s="52">
        <f>SUM($BY$92,$BZ$92,$CA$92,$CB$92,$CC$92,$CD$92,$CE$92,$CF$92)</f>
        <v>15</v>
      </c>
      <c r="CQ92" s="91">
        <f>SUM('J1 A - (North) Bishopthorpe Roa'!$C$92,'J1 B - Butcher Terrace'!$BE$92,'J1 C - (South) Bishopthorpe Roa'!$AM$92,'J1 D - South Bank Avenue'!$U$92)</f>
        <v>5</v>
      </c>
      <c r="CR92" s="85">
        <f>SUM('J1 A - (North) Bishopthorpe Roa'!$D$92,'J1 B - Butcher Terrace'!$BF$92,'J1 C - (South) Bishopthorpe Roa'!$AN$92,'J1 D - South Bank Avenue'!$V$92)</f>
        <v>1</v>
      </c>
      <c r="CS92" s="85">
        <f>SUM('J1 A - (North) Bishopthorpe Roa'!$E$92,'J1 B - Butcher Terrace'!$BG$92,'J1 C - (South) Bishopthorpe Roa'!$AO$92,'J1 D - South Bank Avenue'!$W$92)</f>
        <v>0</v>
      </c>
      <c r="CT92" s="85">
        <f>SUM('J1 A - (North) Bishopthorpe Roa'!$F$92,'J1 B - Butcher Terrace'!$BH$92,'J1 C - (South) Bishopthorpe Roa'!$AP$92,'J1 D - South Bank Avenue'!$X$92)</f>
        <v>0</v>
      </c>
      <c r="CU92" s="85">
        <f>SUM('J1 A - (North) Bishopthorpe Roa'!$G$92,'J1 B - Butcher Terrace'!$BI$92,'J1 C - (South) Bishopthorpe Roa'!$AQ$92,'J1 D - South Bank Avenue'!$Y$92)</f>
        <v>0</v>
      </c>
      <c r="CV92" s="85">
        <f>SUM('J1 A - (North) Bishopthorpe Roa'!$H$92,'J1 B - Butcher Terrace'!$BJ$92,'J1 C - (South) Bishopthorpe Roa'!$AR$92,'J1 D - South Bank Avenue'!$Z$92)</f>
        <v>4</v>
      </c>
      <c r="CW92" s="85">
        <f>SUM('J1 A - (North) Bishopthorpe Roa'!$I$92,'J1 B - Butcher Terrace'!$BK$92,'J1 C - (South) Bishopthorpe Roa'!$AS$92,'J1 D - South Bank Avenue'!$AA$92)</f>
        <v>1</v>
      </c>
      <c r="CX92" s="88">
        <f>SUM('J1 A - (North) Bishopthorpe Roa'!$J$92,'J1 B - Butcher Terrace'!$BL$92,'J1 C - (South) Bishopthorpe Roa'!$AT$92,'J1 D - South Bank Avenue'!$AB$92)</f>
        <v>0</v>
      </c>
      <c r="CY92" s="81">
        <f>$CQ$92*VLOOKUP($CQ$11,'PCU Values'!$B$9:$C$16,2,FALSE)</f>
        <v>5</v>
      </c>
      <c r="CZ92" s="81">
        <f>$CR$92*VLOOKUP($CR$11,'PCU Values'!$B$9:$C$16,2,FALSE)</f>
        <v>1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0.8</v>
      </c>
      <c r="DE92" s="81">
        <f>$CW$92*VLOOKUP($CW$11,'PCU Values'!$B$9:$C$16,2,FALSE)</f>
        <v>0.4</v>
      </c>
      <c r="DF92" s="82">
        <f>$CX$92*VLOOKUP($CX$11,'PCU Values'!$B$9:$C$16,2,FALSE)</f>
        <v>0</v>
      </c>
      <c r="DG92" s="71">
        <f>SUM($CY$92,$CZ$92,$DA$92,$DB$92,$DC$92,$DD$92,$DE$92,$DF$92)</f>
        <v>7.2</v>
      </c>
      <c r="DH92" s="52">
        <f>SUM($CQ$92,$CR$92,$CS$92,$CT$92,$CU$92,$CV$92,$CW$92,$CX$92)</f>
        <v>11</v>
      </c>
    </row>
    <row r="93" spans="1:112" ht="21" customHeight="1">
      <c r="A93" s="46">
        <v>44395.677083333299</v>
      </c>
      <c r="B93" s="47" t="s">
        <v>96</v>
      </c>
      <c r="C93" s="48">
        <v>2</v>
      </c>
      <c r="D93" s="48">
        <v>0</v>
      </c>
      <c r="E93" s="48">
        <v>0</v>
      </c>
      <c r="F93" s="48">
        <v>0</v>
      </c>
      <c r="G93" s="48">
        <v>0</v>
      </c>
      <c r="H93" s="48">
        <v>1</v>
      </c>
      <c r="I93" s="48">
        <v>0</v>
      </c>
      <c r="J93" s="56">
        <v>0</v>
      </c>
      <c r="K93" s="57">
        <f>$C$93*VLOOKUP($C$11,'PCU Values'!$B$9:$C$16,2,FALSE)</f>
        <v>2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0.2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2.2000000000000002</v>
      </c>
      <c r="T93" s="52">
        <f>SUM($C$93,$D$93,$E$93,$F$93,$G$93,$H$93,$I$93,$J$93)</f>
        <v>3</v>
      </c>
      <c r="U93" s="67">
        <v>0</v>
      </c>
      <c r="V93" s="48">
        <v>0</v>
      </c>
      <c r="W93" s="48">
        <v>0</v>
      </c>
      <c r="X93" s="48">
        <v>0</v>
      </c>
      <c r="Y93" s="48">
        <v>0</v>
      </c>
      <c r="Z93" s="48">
        <v>11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0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2.2000000000000002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2.2000000000000002</v>
      </c>
      <c r="AL93" s="52">
        <f>SUM($U$93,$V$93,$W$93,$X$93,$Y$93,$Z$93,$AA$93,$AB$93)</f>
        <v>11</v>
      </c>
      <c r="AM93" s="67">
        <v>6</v>
      </c>
      <c r="AN93" s="48">
        <v>1</v>
      </c>
      <c r="AO93" s="48">
        <v>0</v>
      </c>
      <c r="AP93" s="48">
        <v>0</v>
      </c>
      <c r="AQ93" s="48">
        <v>0</v>
      </c>
      <c r="AR93" s="48">
        <v>1</v>
      </c>
      <c r="AS93" s="48">
        <v>0</v>
      </c>
      <c r="AT93" s="56">
        <v>0</v>
      </c>
      <c r="AU93" s="57">
        <f>$AM$93*VLOOKUP($AM$11,'PCU Values'!$B$9:$C$16,2,FALSE)</f>
        <v>6</v>
      </c>
      <c r="AV93" s="57">
        <f>$AN$93*VLOOKUP($AN$11,'PCU Values'!$B$9:$C$16,2,FALSE)</f>
        <v>1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0.2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7.2</v>
      </c>
      <c r="BD93" s="52">
        <f>SUM($AM$93,$AN$93,$AO$93,$AP$93,$AQ$93,$AR$93,$AS$93,$AT$93)</f>
        <v>8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8</v>
      </c>
      <c r="BZ93" s="83">
        <f>SUM($D$93,$V$93,$AN$93,$BF$93)</f>
        <v>1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13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8</v>
      </c>
      <c r="CH93" s="77">
        <f>$BZ$93*VLOOKUP($BZ$11,'PCU Values'!$B$9:$C$16,2,FALSE)</f>
        <v>1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2.6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11.6</v>
      </c>
      <c r="CP93" s="52">
        <f>SUM($BY$93,$BZ$93,$CA$93,$CB$93,$CC$93,$CD$93,$CE$93,$CF$93)</f>
        <v>22</v>
      </c>
      <c r="CQ93" s="89">
        <f>SUM('J1 A - (North) Bishopthorpe Roa'!$C$93,'J1 B - Butcher Terrace'!$BE$93,'J1 C - (South) Bishopthorpe Roa'!$AM$93,'J1 D - South Bank Avenue'!$U$93)</f>
        <v>4</v>
      </c>
      <c r="CR93" s="83">
        <f>SUM('J1 A - (North) Bishopthorpe Roa'!$D$93,'J1 B - Butcher Terrace'!$BF$93,'J1 C - (South) Bishopthorpe Roa'!$AN$93,'J1 D - South Bank Avenue'!$V$93)</f>
        <v>0</v>
      </c>
      <c r="CS93" s="83">
        <f>SUM('J1 A - (North) Bishopthorpe Roa'!$E$93,'J1 B - Butcher Terrace'!$BG$93,'J1 C - (South) Bishopthorpe Roa'!$AO$93,'J1 D - South Bank Avenue'!$W$93)</f>
        <v>0</v>
      </c>
      <c r="CT93" s="83">
        <f>SUM('J1 A - (North) Bishopthorpe Roa'!$F$93,'J1 B - Butcher Terrace'!$BH$93,'J1 C - (South) Bishopthorpe Roa'!$AP$93,'J1 D - South Bank Avenue'!$X$93)</f>
        <v>0</v>
      </c>
      <c r="CU93" s="83">
        <f>SUM('J1 A - (North) Bishopthorpe Roa'!$G$93,'J1 B - Butcher Terrace'!$BI$93,'J1 C - (South) Bishopthorpe Roa'!$AQ$93,'J1 D - South Bank Avenue'!$Y$93)</f>
        <v>0</v>
      </c>
      <c r="CV93" s="83">
        <f>SUM('J1 A - (North) Bishopthorpe Roa'!$H$93,'J1 B - Butcher Terrace'!$BJ$93,'J1 C - (South) Bishopthorpe Roa'!$AR$93,'J1 D - South Bank Avenue'!$Z$93)</f>
        <v>10</v>
      </c>
      <c r="CW93" s="83">
        <f>SUM('J1 A - (North) Bishopthorpe Roa'!$I$93,'J1 B - Butcher Terrace'!$BK$93,'J1 C - (South) Bishopthorpe Roa'!$AS$93,'J1 D - South Bank Avenue'!$AA$93)</f>
        <v>0</v>
      </c>
      <c r="CX93" s="86">
        <f>SUM('J1 A - (North) Bishopthorpe Roa'!$J$93,'J1 B - Butcher Terrace'!$BL$93,'J1 C - (South) Bishopthorpe Roa'!$AT$93,'J1 D - South Bank Avenue'!$AB$93)</f>
        <v>1</v>
      </c>
      <c r="CY93" s="77">
        <f>$CQ$93*VLOOKUP($CQ$11,'PCU Values'!$B$9:$C$16,2,FALSE)</f>
        <v>4</v>
      </c>
      <c r="CZ93" s="77">
        <f>$CR$93*VLOOKUP($CR$11,'PCU Values'!$B$9:$C$16,2,FALSE)</f>
        <v>0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2</v>
      </c>
      <c r="DE93" s="77">
        <f>$CW$93*VLOOKUP($CW$11,'PCU Values'!$B$9:$C$16,2,FALSE)</f>
        <v>0</v>
      </c>
      <c r="DF93" s="78">
        <f>$CX$93*VLOOKUP($CX$11,'PCU Values'!$B$9:$C$16,2,FALSE)</f>
        <v>1.5</v>
      </c>
      <c r="DG93" s="66">
        <f>SUM($CY$93,$CZ$93,$DA$93,$DB$93,$DC$93,$DD$93,$DE$93,$DF$93)</f>
        <v>7.5</v>
      </c>
      <c r="DH93" s="52">
        <f>SUM($CQ$93,$CR$93,$CS$93,$CT$93,$CU$93,$CV$93,$CW$93,$CX$93)</f>
        <v>15</v>
      </c>
    </row>
    <row r="94" spans="1:112" ht="21" customHeight="1">
      <c r="A94" s="46">
        <v>44395.6875</v>
      </c>
      <c r="B94" s="47" t="s">
        <v>97</v>
      </c>
      <c r="C94" s="48">
        <v>2</v>
      </c>
      <c r="D94" s="48">
        <v>1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56">
        <v>0</v>
      </c>
      <c r="K94" s="57">
        <f>$C$94*VLOOKUP($C$11,'PCU Values'!$B$9:$C$16,2,FALSE)</f>
        <v>2</v>
      </c>
      <c r="L94" s="57">
        <f>$D$94*VLOOKUP($D$11,'PCU Values'!$B$9:$C$16,2,FALSE)</f>
        <v>1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3</v>
      </c>
      <c r="T94" s="52">
        <f>SUM($C$94,$D$94,$E$94,$F$94,$G$94,$H$94,$I$94,$J$94)</f>
        <v>3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12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2.4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2.4</v>
      </c>
      <c r="AL94" s="52">
        <f>SUM($U$94,$V$94,$W$94,$X$94,$Y$94,$Z$94,$AA$94,$AB$94)</f>
        <v>12</v>
      </c>
      <c r="AM94" s="67">
        <v>6</v>
      </c>
      <c r="AN94" s="48">
        <v>0</v>
      </c>
      <c r="AO94" s="48">
        <v>0</v>
      </c>
      <c r="AP94" s="48">
        <v>0</v>
      </c>
      <c r="AQ94" s="48">
        <v>0</v>
      </c>
      <c r="AR94" s="48">
        <v>2</v>
      </c>
      <c r="AS94" s="48">
        <v>0</v>
      </c>
      <c r="AT94" s="56">
        <v>0</v>
      </c>
      <c r="AU94" s="57">
        <f>$AM$94*VLOOKUP($AM$11,'PCU Values'!$B$9:$C$16,2,FALSE)</f>
        <v>6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0.4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6.4</v>
      </c>
      <c r="BD94" s="52">
        <f>SUM($AM$94,$AN$94,$AO$94,$AP$94,$AQ$94,$AR$94,$AS$94,$AT$94)</f>
        <v>8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8</v>
      </c>
      <c r="BZ94" s="83">
        <f>SUM($D$94,$V$94,$AN$94,$BF$94)</f>
        <v>1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14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8</v>
      </c>
      <c r="CH94" s="77">
        <f>$BZ$94*VLOOKUP($BZ$11,'PCU Values'!$B$9:$C$16,2,FALSE)</f>
        <v>1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2.8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11.8</v>
      </c>
      <c r="CP94" s="52">
        <f>SUM($BY$94,$BZ$94,$CA$94,$CB$94,$CC$94,$CD$94,$CE$94,$CF$94)</f>
        <v>23</v>
      </c>
      <c r="CQ94" s="89">
        <f>SUM('J1 A - (North) Bishopthorpe Roa'!$C$94,'J1 B - Butcher Terrace'!$BE$94,'J1 C - (South) Bishopthorpe Roa'!$AM$94,'J1 D - South Bank Avenue'!$U$94)</f>
        <v>4</v>
      </c>
      <c r="CR94" s="83">
        <f>SUM('J1 A - (North) Bishopthorpe Roa'!$D$94,'J1 B - Butcher Terrace'!$BF$94,'J1 C - (South) Bishopthorpe Roa'!$AN$94,'J1 D - South Bank Avenue'!$V$94)</f>
        <v>1</v>
      </c>
      <c r="CS94" s="83">
        <f>SUM('J1 A - (North) Bishopthorpe Roa'!$E$94,'J1 B - Butcher Terrace'!$BG$94,'J1 C - (South) Bishopthorpe Roa'!$AO$94,'J1 D - South Bank Avenue'!$W$94)</f>
        <v>0</v>
      </c>
      <c r="CT94" s="83">
        <f>SUM('J1 A - (North) Bishopthorpe Roa'!$F$94,'J1 B - Butcher Terrace'!$BH$94,'J1 C - (South) Bishopthorpe Roa'!$AP$94,'J1 D - South Bank Avenue'!$X$94)</f>
        <v>0</v>
      </c>
      <c r="CU94" s="83">
        <f>SUM('J1 A - (North) Bishopthorpe Roa'!$G$94,'J1 B - Butcher Terrace'!$BI$94,'J1 C - (South) Bishopthorpe Roa'!$AQ$94,'J1 D - South Bank Avenue'!$Y$94)</f>
        <v>0</v>
      </c>
      <c r="CV94" s="83">
        <f>SUM('J1 A - (North) Bishopthorpe Roa'!$H$94,'J1 B - Butcher Terrace'!$BJ$94,'J1 C - (South) Bishopthorpe Roa'!$AR$94,'J1 D - South Bank Avenue'!$Z$94)</f>
        <v>13</v>
      </c>
      <c r="CW94" s="83">
        <f>SUM('J1 A - (North) Bishopthorpe Roa'!$I$94,'J1 B - Butcher Terrace'!$BK$94,'J1 C - (South) Bishopthorpe Roa'!$AS$94,'J1 D - South Bank Avenue'!$AA$94)</f>
        <v>0</v>
      </c>
      <c r="CX94" s="86">
        <f>SUM('J1 A - (North) Bishopthorpe Roa'!$J$94,'J1 B - Butcher Terrace'!$BL$94,'J1 C - (South) Bishopthorpe Roa'!$AT$94,'J1 D - South Bank Avenue'!$AB$94)</f>
        <v>1</v>
      </c>
      <c r="CY94" s="77">
        <f>$CQ$94*VLOOKUP($CQ$11,'PCU Values'!$B$9:$C$16,2,FALSE)</f>
        <v>4</v>
      </c>
      <c r="CZ94" s="77">
        <f>$CR$94*VLOOKUP($CR$11,'PCU Values'!$B$9:$C$16,2,FALSE)</f>
        <v>1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2.6</v>
      </c>
      <c r="DE94" s="77">
        <f>$CW$94*VLOOKUP($CW$11,'PCU Values'!$B$9:$C$16,2,FALSE)</f>
        <v>0</v>
      </c>
      <c r="DF94" s="78">
        <f>$CX$94*VLOOKUP($CX$11,'PCU Values'!$B$9:$C$16,2,FALSE)</f>
        <v>1.5</v>
      </c>
      <c r="DG94" s="66">
        <f>SUM($CY$94,$CZ$94,$DA$94,$DB$94,$DC$94,$DD$94,$DE$94,$DF$94)</f>
        <v>9.1</v>
      </c>
      <c r="DH94" s="52">
        <f>SUM($CQ$94,$CR$94,$CS$94,$CT$94,$CU$94,$CV$94,$CW$94,$CX$94)</f>
        <v>19</v>
      </c>
    </row>
    <row r="95" spans="1:112" ht="21" customHeight="1">
      <c r="A95" s="46">
        <v>44395.697916666701</v>
      </c>
      <c r="B95" s="50" t="s">
        <v>98</v>
      </c>
      <c r="C95" s="51">
        <v>4</v>
      </c>
      <c r="D95" s="51">
        <v>0</v>
      </c>
      <c r="E95" s="51">
        <v>0</v>
      </c>
      <c r="F95" s="51">
        <v>0</v>
      </c>
      <c r="G95" s="51">
        <v>0</v>
      </c>
      <c r="H95" s="51">
        <v>2</v>
      </c>
      <c r="I95" s="51">
        <v>0</v>
      </c>
      <c r="J95" s="59">
        <v>0</v>
      </c>
      <c r="K95" s="60">
        <f>$C$95*VLOOKUP($C$11,'PCU Values'!$B$9:$C$16,2,FALSE)</f>
        <v>4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0.4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4.4000000000000004</v>
      </c>
      <c r="T95" s="52">
        <f>SUM($C$95,$D$95,$E$95,$F$95,$G$95,$H$95,$I$95,$J$95)</f>
        <v>6</v>
      </c>
      <c r="U95" s="73">
        <v>0</v>
      </c>
      <c r="V95" s="51">
        <v>0</v>
      </c>
      <c r="W95" s="51">
        <v>0</v>
      </c>
      <c r="X95" s="51">
        <v>0</v>
      </c>
      <c r="Y95" s="51">
        <v>0</v>
      </c>
      <c r="Z95" s="51">
        <v>10</v>
      </c>
      <c r="AA95" s="51">
        <v>1</v>
      </c>
      <c r="AB95" s="59">
        <v>0</v>
      </c>
      <c r="AC95" s="60">
        <f>$U$95*VLOOKUP($U$11,'PCU Values'!$B$9:$C$16,2,FALSE)</f>
        <v>0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2</v>
      </c>
      <c r="AI95" s="60">
        <f>$AA$95*VLOOKUP($AA$11,'PCU Values'!$B$9:$C$16,2,FALSE)</f>
        <v>0.4</v>
      </c>
      <c r="AJ95" s="68">
        <f>$AB$95*VLOOKUP($AB$11,'PCU Values'!$B$9:$C$16,2,FALSE)</f>
        <v>0</v>
      </c>
      <c r="AK95" s="63">
        <f>SUM($AC$95,$AD$95,$AE$95,$AF$95,$AG$95,$AH$95,$AI$95,$AJ$95)</f>
        <v>2.4</v>
      </c>
      <c r="AL95" s="52">
        <f>SUM($U$95,$V$95,$W$95,$X$95,$Y$95,$Z$95,$AA$95,$AB$95)</f>
        <v>11</v>
      </c>
      <c r="AM95" s="73">
        <v>2</v>
      </c>
      <c r="AN95" s="51">
        <v>0</v>
      </c>
      <c r="AO95" s="51">
        <v>0</v>
      </c>
      <c r="AP95" s="51">
        <v>0</v>
      </c>
      <c r="AQ95" s="51">
        <v>0</v>
      </c>
      <c r="AR95" s="51">
        <v>3</v>
      </c>
      <c r="AS95" s="51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0.6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2.6</v>
      </c>
      <c r="BD95" s="52">
        <f>SUM($AM$95,$AN$95,$AO$95,$AP$95,$AQ$95,$AR$95,$AS$95,$AT$95)</f>
        <v>5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6</v>
      </c>
      <c r="BZ95" s="84">
        <f>SUM($D$95,$V$95,$AN$95,$BF$95)</f>
        <v>0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15</v>
      </c>
      <c r="CE95" s="84">
        <f>SUM($I$95,$AA$95,$AS$95,$BK$95)</f>
        <v>1</v>
      </c>
      <c r="CF95" s="87">
        <f>SUM($J$95,$AB$95,$AT$95,$BL$95)</f>
        <v>0</v>
      </c>
      <c r="CG95" s="79">
        <f>$BY$95*VLOOKUP($BY$11,'PCU Values'!$B$9:$C$16,2,FALSE)</f>
        <v>6</v>
      </c>
      <c r="CH95" s="79">
        <f>$BZ$95*VLOOKUP($BZ$11,'PCU Values'!$B$9:$C$16,2,FALSE)</f>
        <v>0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3</v>
      </c>
      <c r="CM95" s="79">
        <f>$CE$95*VLOOKUP($CE$11,'PCU Values'!$B$9:$C$16,2,FALSE)</f>
        <v>0.4</v>
      </c>
      <c r="CN95" s="80">
        <f>$CF$95*VLOOKUP($CF$11,'PCU Values'!$B$9:$C$16,2,FALSE)</f>
        <v>0</v>
      </c>
      <c r="CO95" s="63">
        <f>SUM($CG$95,$CH$95,$CI$95,$CJ$95,$CK$95,$CL$95,$CM$95,$CN$95)</f>
        <v>9.4</v>
      </c>
      <c r="CP95" s="52">
        <f>SUM($BY$95,$BZ$95,$CA$95,$CB$95,$CC$95,$CD$95,$CE$95,$CF$95)</f>
        <v>22</v>
      </c>
      <c r="CQ95" s="90">
        <f>SUM('J1 A - (North) Bishopthorpe Roa'!$C$95,'J1 B - Butcher Terrace'!$BE$95,'J1 C - (South) Bishopthorpe Roa'!$AM$95,'J1 D - South Bank Avenue'!$U$95)</f>
        <v>8</v>
      </c>
      <c r="CR95" s="84">
        <f>SUM('J1 A - (North) Bishopthorpe Roa'!$D$95,'J1 B - Butcher Terrace'!$BF$95,'J1 C - (South) Bishopthorpe Roa'!$AN$95,'J1 D - South Bank Avenue'!$V$95)</f>
        <v>1</v>
      </c>
      <c r="CS95" s="84">
        <f>SUM('J1 A - (North) Bishopthorpe Roa'!$E$95,'J1 B - Butcher Terrace'!$BG$95,'J1 C - (South) Bishopthorpe Roa'!$AO$95,'J1 D - South Bank Avenue'!$W$95)</f>
        <v>0</v>
      </c>
      <c r="CT95" s="84">
        <f>SUM('J1 A - (North) Bishopthorpe Roa'!$F$95,'J1 B - Butcher Terrace'!$BH$95,'J1 C - (South) Bishopthorpe Roa'!$AP$95,'J1 D - South Bank Avenue'!$X$95)</f>
        <v>0</v>
      </c>
      <c r="CU95" s="84">
        <f>SUM('J1 A - (North) Bishopthorpe Roa'!$G$95,'J1 B - Butcher Terrace'!$BI$95,'J1 C - (South) Bishopthorpe Roa'!$AQ$95,'J1 D - South Bank Avenue'!$Y$95)</f>
        <v>0</v>
      </c>
      <c r="CV95" s="84">
        <f>SUM('J1 A - (North) Bishopthorpe Roa'!$H$95,'J1 B - Butcher Terrace'!$BJ$95,'J1 C - (South) Bishopthorpe Roa'!$AR$95,'J1 D - South Bank Avenue'!$Z$95)</f>
        <v>9</v>
      </c>
      <c r="CW95" s="84">
        <f>SUM('J1 A - (North) Bishopthorpe Roa'!$I$95,'J1 B - Butcher Terrace'!$BK$95,'J1 C - (South) Bishopthorpe Roa'!$AS$95,'J1 D - South Bank Avenue'!$AA$95)</f>
        <v>0</v>
      </c>
      <c r="CX95" s="87">
        <f>SUM('J1 A - (North) Bishopthorpe Roa'!$J$95,'J1 B - Butcher Terrace'!$BL$95,'J1 C - (South) Bishopthorpe Roa'!$AT$95,'J1 D - South Bank Avenue'!$AB$95)</f>
        <v>0</v>
      </c>
      <c r="CY95" s="79">
        <f>$CQ$95*VLOOKUP($CQ$11,'PCU Values'!$B$9:$C$16,2,FALSE)</f>
        <v>8</v>
      </c>
      <c r="CZ95" s="79">
        <f>$CR$95*VLOOKUP($CR$11,'PCU Values'!$B$9:$C$16,2,FALSE)</f>
        <v>1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1.8</v>
      </c>
      <c r="DE95" s="79">
        <f>$CW$95*VLOOKUP($CW$11,'PCU Values'!$B$9:$C$16,2,FALSE)</f>
        <v>0</v>
      </c>
      <c r="DF95" s="80">
        <f>$CX$95*VLOOKUP($CX$11,'PCU Values'!$B$9:$C$16,2,FALSE)</f>
        <v>0</v>
      </c>
      <c r="DG95" s="63">
        <f>SUM($CY$95,$CZ$95,$DA$95,$DB$95,$DC$95,$DD$95,$DE$95,$DF$95)</f>
        <v>10.8</v>
      </c>
      <c r="DH95" s="52">
        <f>SUM($CQ$95,$CR$95,$CS$95,$CT$95,$CU$95,$CV$95,$CW$95,$CX$95)</f>
        <v>18</v>
      </c>
    </row>
    <row r="96" spans="1:112">
      <c r="B96" s="52" t="s">
        <v>34</v>
      </c>
      <c r="C96" s="52">
        <f>SUM($C$92:$C$95)</f>
        <v>8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6</v>
      </c>
      <c r="I96" s="52">
        <f>SUM($I$92:$I$95)</f>
        <v>0</v>
      </c>
      <c r="J96" s="52">
        <f>SUM($J$92:$J$95)</f>
        <v>0</v>
      </c>
      <c r="K96" s="52">
        <f>SUM($K$92:$K$95)</f>
        <v>8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1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10</v>
      </c>
      <c r="T96" s="52">
        <f>SUM($C$96,$D$96,$E$96,$F$96,$G$96,$H$96,$I$96,$J$96)</f>
        <v>15</v>
      </c>
      <c r="U96" s="52">
        <f>SUM($U$92:$U$95)</f>
        <v>0</v>
      </c>
      <c r="V96" s="52">
        <f>SUM($V$92:$V$95)</f>
        <v>0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39</v>
      </c>
      <c r="AA96" s="52">
        <f>SUM($AA$92:$AA$95)</f>
        <v>1</v>
      </c>
      <c r="AB96" s="52">
        <f>SUM($AB$92:$AB$95)</f>
        <v>0</v>
      </c>
      <c r="AC96" s="52">
        <f>SUM($AC$92:$AC$95)</f>
        <v>0</v>
      </c>
      <c r="AD96" s="52">
        <f>SUM($AD$92:$AD$95)</f>
        <v>0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8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8</v>
      </c>
      <c r="AL96" s="52">
        <f>SUM($U$96,$V$96,$W$96,$X$96,$Y$96,$Z$96,$AA$96,$AB$96)</f>
        <v>40</v>
      </c>
      <c r="AM96" s="52">
        <f>SUM($AM$92:$AM$95)</f>
        <v>18</v>
      </c>
      <c r="AN96" s="52">
        <f>SUM($AN$92:$AN$95)</f>
        <v>1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8</v>
      </c>
      <c r="AS96" s="52">
        <f>SUM($AS$92:$AS$95)</f>
        <v>0</v>
      </c>
      <c r="AT96" s="52">
        <f>SUM($AT$92:$AT$95)</f>
        <v>0</v>
      </c>
      <c r="AU96" s="52">
        <f>SUM($AU$92:$AU$95)</f>
        <v>18</v>
      </c>
      <c r="AV96" s="52">
        <f>SUM($AV$92:$AV$95)</f>
        <v>1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2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21</v>
      </c>
      <c r="BD96" s="52">
        <f>SUM($AM$96,$AN$96,$AO$96,$AP$96,$AQ$96,$AR$96,$AS$96,$AT$96)</f>
        <v>27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26</v>
      </c>
      <c r="BZ96" s="52">
        <f>SUM($BZ$92:$BZ$95)</f>
        <v>2</v>
      </c>
      <c r="CA96" s="52">
        <f>SUM($CA$92:$CA$95)</f>
        <v>0</v>
      </c>
      <c r="CB96" s="52">
        <f>SUM($CB$92:$CB$95)</f>
        <v>0</v>
      </c>
      <c r="CC96" s="52">
        <f>SUM($CC$92:$CC$95)</f>
        <v>0</v>
      </c>
      <c r="CD96" s="52">
        <f>SUM($CD$92:$CD$95)</f>
        <v>53</v>
      </c>
      <c r="CE96" s="52">
        <f>SUM($CE$92:$CE$95)</f>
        <v>1</v>
      </c>
      <c r="CF96" s="52">
        <f>SUM($CF$92:$CF$95)</f>
        <v>0</v>
      </c>
      <c r="CG96" s="52">
        <f>SUM($CG$92:$CG$95)</f>
        <v>26</v>
      </c>
      <c r="CH96" s="52">
        <f>SUM($CH$92:$CH$95)</f>
        <v>2</v>
      </c>
      <c r="CI96" s="52">
        <f>SUM($CI$92:$CI$95)</f>
        <v>0</v>
      </c>
      <c r="CJ96" s="52">
        <f>SUM($CJ$92:$CJ$95)</f>
        <v>0</v>
      </c>
      <c r="CK96" s="52">
        <f>SUM($CK$92:$CK$95)</f>
        <v>0</v>
      </c>
      <c r="CL96" s="52">
        <f>SUM($CL$92:$CL$95)</f>
        <v>11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39</v>
      </c>
      <c r="CP96" s="52">
        <f>SUM($BY$96,$BZ$96,$CA$96,$CB$96,$CC$96,$CD$96,$CE$96,$CF$96)</f>
        <v>82</v>
      </c>
      <c r="CQ96" s="52">
        <f>SUM($CQ$92:$CQ$95)</f>
        <v>21</v>
      </c>
      <c r="CR96" s="52">
        <f>SUM($CR$92:$CR$95)</f>
        <v>3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36</v>
      </c>
      <c r="CW96" s="52">
        <f>SUM($CW$92:$CW$95)</f>
        <v>1</v>
      </c>
      <c r="CX96" s="52">
        <f>SUM($CX$92:$CX$95)</f>
        <v>2</v>
      </c>
      <c r="CY96" s="52">
        <f>SUM($CY$92:$CY$95)</f>
        <v>21</v>
      </c>
      <c r="CZ96" s="52">
        <f>SUM($CZ$92:$CZ$95)</f>
        <v>3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7</v>
      </c>
      <c r="DE96" s="52">
        <f>SUM($DE$92:$DE$95)</f>
        <v>0</v>
      </c>
      <c r="DF96" s="52">
        <f>SUM($DF$92:$DF$95)</f>
        <v>3</v>
      </c>
      <c r="DG96" s="52">
        <f>SUM($CY$96,$CZ$96,$DA$96,$DB$96,$DC$96,$DD$96,$DE$96,$DF$96)</f>
        <v>34</v>
      </c>
      <c r="DH96" s="52">
        <f>SUM($CQ$96,$CR$96,$CS$96,$CT$96,$CU$96,$CV$96,$CW$96,$CX$96)</f>
        <v>63</v>
      </c>
    </row>
    <row r="97" spans="1:112" ht="21" customHeight="1">
      <c r="A97" s="46">
        <v>44395.708333333299</v>
      </c>
      <c r="B97" s="53" t="s">
        <v>99</v>
      </c>
      <c r="C97" s="54">
        <v>1</v>
      </c>
      <c r="D97" s="54">
        <v>1</v>
      </c>
      <c r="E97" s="54">
        <v>0</v>
      </c>
      <c r="F97" s="54">
        <v>0</v>
      </c>
      <c r="G97" s="54">
        <v>0</v>
      </c>
      <c r="H97" s="54">
        <v>1</v>
      </c>
      <c r="I97" s="54">
        <v>0</v>
      </c>
      <c r="J97" s="61">
        <v>0</v>
      </c>
      <c r="K97" s="62">
        <f>$C$97*VLOOKUP($C$11,'PCU Values'!$B$9:$C$16,2,FALSE)</f>
        <v>1</v>
      </c>
      <c r="L97" s="62">
        <f>$D$97*VLOOKUP($D$11,'PCU Values'!$B$9:$C$16,2,FALSE)</f>
        <v>1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0.2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2.2000000000000002</v>
      </c>
      <c r="T97" s="52">
        <f>SUM($C$97,$D$97,$E$97,$F$97,$G$97,$H$97,$I$97,$J$97)</f>
        <v>3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12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2.4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2.4</v>
      </c>
      <c r="AL97" s="52">
        <f>SUM($U$97,$V$97,$W$97,$X$97,$Y$97,$Z$97,$AA$97,$AB$97)</f>
        <v>12</v>
      </c>
      <c r="AM97" s="72">
        <v>1</v>
      </c>
      <c r="AN97" s="54">
        <v>0</v>
      </c>
      <c r="AO97" s="54">
        <v>0</v>
      </c>
      <c r="AP97" s="54">
        <v>0</v>
      </c>
      <c r="AQ97" s="54">
        <v>0</v>
      </c>
      <c r="AR97" s="54">
        <v>1</v>
      </c>
      <c r="AS97" s="54">
        <v>0</v>
      </c>
      <c r="AT97" s="61">
        <v>0</v>
      </c>
      <c r="AU97" s="62">
        <f>$AM$97*VLOOKUP($AM$11,'PCU Values'!$B$9:$C$16,2,FALSE)</f>
        <v>1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0.2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1.2</v>
      </c>
      <c r="BD97" s="52">
        <f>SUM($AM$97,$AN$97,$AO$97,$AP$97,$AQ$97,$AR$97,$AS$97,$AT$97)</f>
        <v>2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2</v>
      </c>
      <c r="BZ97" s="85">
        <f>SUM($D$97,$V$97,$AN$97,$BF$97)</f>
        <v>1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14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2</v>
      </c>
      <c r="CH97" s="81">
        <f>$BZ$97*VLOOKUP($BZ$11,'PCU Values'!$B$9:$C$16,2,FALSE)</f>
        <v>1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2.8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5.8</v>
      </c>
      <c r="CP97" s="52">
        <f>SUM($BY$97,$BZ$97,$CA$97,$CB$97,$CC$97,$CD$97,$CE$97,$CF$97)</f>
        <v>17</v>
      </c>
      <c r="CQ97" s="91">
        <f>SUM('J1 A - (North) Bishopthorpe Roa'!$C$97,'J1 B - Butcher Terrace'!$BE$97,'J1 C - (South) Bishopthorpe Roa'!$AM$97,'J1 D - South Bank Avenue'!$U$97)</f>
        <v>5</v>
      </c>
      <c r="CR97" s="85">
        <f>SUM('J1 A - (North) Bishopthorpe Roa'!$D$97,'J1 B - Butcher Terrace'!$BF$97,'J1 C - (South) Bishopthorpe Roa'!$AN$97,'J1 D - South Bank Avenue'!$V$97)</f>
        <v>0</v>
      </c>
      <c r="CS97" s="85">
        <f>SUM('J1 A - (North) Bishopthorpe Roa'!$E$97,'J1 B - Butcher Terrace'!$BG$97,'J1 C - (South) Bishopthorpe Roa'!$AO$97,'J1 D - South Bank Avenue'!$W$97)</f>
        <v>0</v>
      </c>
      <c r="CT97" s="85">
        <f>SUM('J1 A - (North) Bishopthorpe Roa'!$F$97,'J1 B - Butcher Terrace'!$BH$97,'J1 C - (South) Bishopthorpe Roa'!$AP$97,'J1 D - South Bank Avenue'!$X$97)</f>
        <v>0</v>
      </c>
      <c r="CU97" s="85">
        <f>SUM('J1 A - (North) Bishopthorpe Roa'!$G$97,'J1 B - Butcher Terrace'!$BI$97,'J1 C - (South) Bishopthorpe Roa'!$AQ$97,'J1 D - South Bank Avenue'!$Y$97)</f>
        <v>0</v>
      </c>
      <c r="CV97" s="85">
        <f>SUM('J1 A - (North) Bishopthorpe Roa'!$H$97,'J1 B - Butcher Terrace'!$BJ$97,'J1 C - (South) Bishopthorpe Roa'!$AR$97,'J1 D - South Bank Avenue'!$Z$97)</f>
        <v>7</v>
      </c>
      <c r="CW97" s="85">
        <f>SUM('J1 A - (North) Bishopthorpe Roa'!$I$97,'J1 B - Butcher Terrace'!$BK$97,'J1 C - (South) Bishopthorpe Roa'!$AS$97,'J1 D - South Bank Avenue'!$AA$97)</f>
        <v>0</v>
      </c>
      <c r="CX97" s="88">
        <f>SUM('J1 A - (North) Bishopthorpe Roa'!$J$97,'J1 B - Butcher Terrace'!$BL$97,'J1 C - (South) Bishopthorpe Roa'!$AT$97,'J1 D - South Bank Avenue'!$AB$97)</f>
        <v>0</v>
      </c>
      <c r="CY97" s="81">
        <f>$CQ$97*VLOOKUP($CQ$11,'PCU Values'!$B$9:$C$16,2,FALSE)</f>
        <v>5</v>
      </c>
      <c r="CZ97" s="81">
        <f>$CR$97*VLOOKUP($CR$11,'PCU Values'!$B$9:$C$16,2,FALSE)</f>
        <v>0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1.4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6.4</v>
      </c>
      <c r="DH97" s="52">
        <f>SUM($CQ$97,$CR$97,$CS$97,$CT$97,$CU$97,$CV$97,$CW$97,$CX$97)</f>
        <v>12</v>
      </c>
    </row>
    <row r="98" spans="1:112" ht="21" customHeight="1">
      <c r="A98" s="46">
        <v>44395.71875</v>
      </c>
      <c r="B98" s="47" t="s">
        <v>100</v>
      </c>
      <c r="C98" s="49">
        <v>2</v>
      </c>
      <c r="D98" s="48">
        <v>0</v>
      </c>
      <c r="E98" s="48">
        <v>0</v>
      </c>
      <c r="F98" s="48">
        <v>0</v>
      </c>
      <c r="G98" s="48">
        <v>0</v>
      </c>
      <c r="H98" s="49">
        <v>0</v>
      </c>
      <c r="I98" s="48">
        <v>0</v>
      </c>
      <c r="J98" s="56">
        <v>0</v>
      </c>
      <c r="K98" s="57">
        <f>$C$98*VLOOKUP($C$11,'PCU Values'!$B$9:$C$16,2,FALSE)</f>
        <v>2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2</v>
      </c>
      <c r="T98" s="52">
        <f>SUM($C$98,$D$98,$E$98,$F$98,$G$98,$H$98,$I$98,$J$98)</f>
        <v>2</v>
      </c>
      <c r="U98" s="67">
        <v>0</v>
      </c>
      <c r="V98" s="48">
        <v>0</v>
      </c>
      <c r="W98" s="48">
        <v>0</v>
      </c>
      <c r="X98" s="48">
        <v>0</v>
      </c>
      <c r="Y98" s="48">
        <v>0</v>
      </c>
      <c r="Z98" s="48">
        <v>8</v>
      </c>
      <c r="AA98" s="48">
        <v>0</v>
      </c>
      <c r="AB98" s="56">
        <v>0</v>
      </c>
      <c r="AC98" s="57">
        <f>$U$98*VLOOKUP($U$11,'PCU Values'!$B$9:$C$16,2,FALSE)</f>
        <v>0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1.6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1.6</v>
      </c>
      <c r="AL98" s="52">
        <f>SUM($U$98,$V$98,$W$98,$X$98,$Y$98,$Z$98,$AA$98,$AB$98)</f>
        <v>8</v>
      </c>
      <c r="AM98" s="67">
        <v>1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56">
        <v>0</v>
      </c>
      <c r="AU98" s="57">
        <f>$AM$98*VLOOKUP($AM$11,'PCU Values'!$B$9:$C$16,2,FALSE)</f>
        <v>1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1</v>
      </c>
      <c r="BD98" s="52">
        <f>SUM($AM$98,$AN$98,$AO$98,$AP$98,$AQ$98,$AR$98,$AS$98,$AT$98)</f>
        <v>1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3</v>
      </c>
      <c r="BZ98" s="83">
        <f>SUM($D$98,$V$98,$AN$98,$BF$98)</f>
        <v>0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8</v>
      </c>
      <c r="CE98" s="83">
        <f>SUM($I$98,$AA$98,$AS$98,$BK$98)</f>
        <v>0</v>
      </c>
      <c r="CF98" s="86">
        <f>SUM($J$98,$AB$98,$AT$98,$BL$98)</f>
        <v>0</v>
      </c>
      <c r="CG98" s="77">
        <f>$BY$98*VLOOKUP($BY$11,'PCU Values'!$B$9:$C$16,2,FALSE)</f>
        <v>3</v>
      </c>
      <c r="CH98" s="77">
        <f>$BZ$98*VLOOKUP($BZ$11,'PCU Values'!$B$9:$C$16,2,FALSE)</f>
        <v>0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1.6</v>
      </c>
      <c r="CM98" s="77">
        <f>$CE$98*VLOOKUP($CE$11,'PCU Values'!$B$9:$C$16,2,FALSE)</f>
        <v>0</v>
      </c>
      <c r="CN98" s="78">
        <f>$CF$98*VLOOKUP($CF$11,'PCU Values'!$B$9:$C$16,2,FALSE)</f>
        <v>0</v>
      </c>
      <c r="CO98" s="66">
        <f>SUM($CG$98,$CH$98,$CI$98,$CJ$98,$CK$98,$CL$98,$CM$98,$CN$98)</f>
        <v>4.5999999999999996</v>
      </c>
      <c r="CP98" s="52">
        <f>SUM($BY$98,$BZ$98,$CA$98,$CB$98,$CC$98,$CD$98,$CE$98,$CF$98)</f>
        <v>11</v>
      </c>
      <c r="CQ98" s="89">
        <f>SUM('J1 A - (North) Bishopthorpe Roa'!$C$98,'J1 B - Butcher Terrace'!$BE$98,'J1 C - (South) Bishopthorpe Roa'!$AM$98,'J1 D - South Bank Avenue'!$U$98)</f>
        <v>6</v>
      </c>
      <c r="CR98" s="83">
        <f>SUM('J1 A - (North) Bishopthorpe Roa'!$D$98,'J1 B - Butcher Terrace'!$BF$98,'J1 C - (South) Bishopthorpe Roa'!$AN$98,'J1 D - South Bank Avenue'!$V$98)</f>
        <v>1</v>
      </c>
      <c r="CS98" s="83">
        <f>SUM('J1 A - (North) Bishopthorpe Roa'!$E$98,'J1 B - Butcher Terrace'!$BG$98,'J1 C - (South) Bishopthorpe Roa'!$AO$98,'J1 D - South Bank Avenue'!$W$98)</f>
        <v>0</v>
      </c>
      <c r="CT98" s="83">
        <f>SUM('J1 A - (North) Bishopthorpe Roa'!$F$98,'J1 B - Butcher Terrace'!$BH$98,'J1 C - (South) Bishopthorpe Roa'!$AP$98,'J1 D - South Bank Avenue'!$X$98)</f>
        <v>0</v>
      </c>
      <c r="CU98" s="83">
        <f>SUM('J1 A - (North) Bishopthorpe Roa'!$G$98,'J1 B - Butcher Terrace'!$BI$98,'J1 C - (South) Bishopthorpe Roa'!$AQ$98,'J1 D - South Bank Avenue'!$Y$98)</f>
        <v>0</v>
      </c>
      <c r="CV98" s="83">
        <f>SUM('J1 A - (North) Bishopthorpe Roa'!$H$98,'J1 B - Butcher Terrace'!$BJ$98,'J1 C - (South) Bishopthorpe Roa'!$AR$98,'J1 D - South Bank Avenue'!$Z$98)</f>
        <v>11</v>
      </c>
      <c r="CW98" s="83">
        <f>SUM('J1 A - (North) Bishopthorpe Roa'!$I$98,'J1 B - Butcher Terrace'!$BK$98,'J1 C - (South) Bishopthorpe Roa'!$AS$98,'J1 D - South Bank Avenue'!$AA$98)</f>
        <v>0</v>
      </c>
      <c r="CX98" s="86">
        <f>SUM('J1 A - (North) Bishopthorpe Roa'!$J$98,'J1 B - Butcher Terrace'!$BL$98,'J1 C - (South) Bishopthorpe Roa'!$AT$98,'J1 D - South Bank Avenue'!$AB$98)</f>
        <v>1</v>
      </c>
      <c r="CY98" s="77">
        <f>$CQ$98*VLOOKUP($CQ$11,'PCU Values'!$B$9:$C$16,2,FALSE)</f>
        <v>6</v>
      </c>
      <c r="CZ98" s="77">
        <f>$CR$98*VLOOKUP($CR$11,'PCU Values'!$B$9:$C$16,2,FALSE)</f>
        <v>1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2.2000000000000002</v>
      </c>
      <c r="DE98" s="77">
        <f>$CW$98*VLOOKUP($CW$11,'PCU Values'!$B$9:$C$16,2,FALSE)</f>
        <v>0</v>
      </c>
      <c r="DF98" s="78">
        <f>$CX$98*VLOOKUP($CX$11,'PCU Values'!$B$9:$C$16,2,FALSE)</f>
        <v>1.5</v>
      </c>
      <c r="DG98" s="66">
        <f>SUM($CY$98,$CZ$98,$DA$98,$DB$98,$DC$98,$DD$98,$DE$98,$DF$98)</f>
        <v>10.7</v>
      </c>
      <c r="DH98" s="52">
        <f>SUM($CQ$98,$CR$98,$CS$98,$CT$98,$CU$98,$CV$98,$CW$98,$CX$98)</f>
        <v>19</v>
      </c>
    </row>
    <row r="99" spans="1:112" ht="21" customHeight="1">
      <c r="A99" s="46">
        <v>44395.729166666701</v>
      </c>
      <c r="B99" s="47" t="s">
        <v>101</v>
      </c>
      <c r="C99" s="48">
        <v>5</v>
      </c>
      <c r="D99" s="48">
        <v>0</v>
      </c>
      <c r="E99" s="48">
        <v>0</v>
      </c>
      <c r="F99" s="48">
        <v>0</v>
      </c>
      <c r="G99" s="48">
        <v>0</v>
      </c>
      <c r="H99" s="48">
        <v>6</v>
      </c>
      <c r="I99" s="48">
        <v>0</v>
      </c>
      <c r="J99" s="56">
        <v>0</v>
      </c>
      <c r="K99" s="57">
        <f>$C$99*VLOOKUP($C$11,'PCU Values'!$B$9:$C$16,2,FALSE)</f>
        <v>5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1.2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6.2</v>
      </c>
      <c r="T99" s="52">
        <f>SUM($C$99,$D$99,$E$99,$F$99,$G$99,$H$99,$I$99,$J$99)</f>
        <v>11</v>
      </c>
      <c r="U99" s="67">
        <v>0</v>
      </c>
      <c r="V99" s="48">
        <v>0</v>
      </c>
      <c r="W99" s="48">
        <v>0</v>
      </c>
      <c r="X99" s="48">
        <v>0</v>
      </c>
      <c r="Y99" s="48">
        <v>0</v>
      </c>
      <c r="Z99" s="48">
        <v>8</v>
      </c>
      <c r="AA99" s="48">
        <v>0</v>
      </c>
      <c r="AB99" s="56">
        <v>0</v>
      </c>
      <c r="AC99" s="57">
        <f>$U$99*VLOOKUP($U$11,'PCU Values'!$B$9:$C$16,2,FALSE)</f>
        <v>0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1.6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1.6</v>
      </c>
      <c r="AL99" s="52">
        <f>SUM($U$99,$V$99,$W$99,$X$99,$Y$99,$Z$99,$AA$99,$AB$99)</f>
        <v>8</v>
      </c>
      <c r="AM99" s="76">
        <v>3</v>
      </c>
      <c r="AN99" s="49">
        <v>0</v>
      </c>
      <c r="AO99" s="48">
        <v>0</v>
      </c>
      <c r="AP99" s="48">
        <v>0</v>
      </c>
      <c r="AQ99" s="48">
        <v>0</v>
      </c>
      <c r="AR99" s="49">
        <v>2</v>
      </c>
      <c r="AS99" s="48">
        <v>0</v>
      </c>
      <c r="AT99" s="56">
        <v>0</v>
      </c>
      <c r="AU99" s="57">
        <f>$AM$99*VLOOKUP($AM$11,'PCU Values'!$B$9:$C$16,2,FALSE)</f>
        <v>3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0.4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3.4</v>
      </c>
      <c r="BD99" s="52">
        <f>SUM($AM$99,$AN$99,$AO$99,$AP$99,$AQ$99,$AR$99,$AS$99,$AT$99)</f>
        <v>5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8</v>
      </c>
      <c r="BZ99" s="83">
        <f>SUM($D$99,$V$99,$AN$99,$BF$99)</f>
        <v>0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16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8</v>
      </c>
      <c r="CH99" s="77">
        <f>$BZ$99*VLOOKUP($BZ$11,'PCU Values'!$B$9:$C$16,2,FALSE)</f>
        <v>0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3.2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11.2</v>
      </c>
      <c r="CP99" s="52">
        <f>SUM($BY$99,$BZ$99,$CA$99,$CB$99,$CC$99,$CD$99,$CE$99,$CF$99)</f>
        <v>24</v>
      </c>
      <c r="CQ99" s="89">
        <f>SUM('J1 A - (North) Bishopthorpe Roa'!$C$99,'J1 B - Butcher Terrace'!$BE$99,'J1 C - (South) Bishopthorpe Roa'!$AM$99,'J1 D - South Bank Avenue'!$U$99)</f>
        <v>13</v>
      </c>
      <c r="CR99" s="83">
        <f>SUM('J1 A - (North) Bishopthorpe Roa'!$D$99,'J1 B - Butcher Terrace'!$BF$99,'J1 C - (South) Bishopthorpe Roa'!$AN$99,'J1 D - South Bank Avenue'!$V$99)</f>
        <v>1</v>
      </c>
      <c r="CS99" s="83">
        <f>SUM('J1 A - (North) Bishopthorpe Roa'!$E$99,'J1 B - Butcher Terrace'!$BG$99,'J1 C - (South) Bishopthorpe Roa'!$AO$99,'J1 D - South Bank Avenue'!$W$99)</f>
        <v>0</v>
      </c>
      <c r="CT99" s="83">
        <f>SUM('J1 A - (North) Bishopthorpe Roa'!$F$99,'J1 B - Butcher Terrace'!$BH$99,'J1 C - (South) Bishopthorpe Roa'!$AP$99,'J1 D - South Bank Avenue'!$X$99)</f>
        <v>0</v>
      </c>
      <c r="CU99" s="83">
        <f>SUM('J1 A - (North) Bishopthorpe Roa'!$G$99,'J1 B - Butcher Terrace'!$BI$99,'J1 C - (South) Bishopthorpe Roa'!$AQ$99,'J1 D - South Bank Avenue'!$Y$99)</f>
        <v>0</v>
      </c>
      <c r="CV99" s="83">
        <f>SUM('J1 A - (North) Bishopthorpe Roa'!$H$99,'J1 B - Butcher Terrace'!$BJ$99,'J1 C - (South) Bishopthorpe Roa'!$AR$99,'J1 D - South Bank Avenue'!$Z$99)</f>
        <v>8</v>
      </c>
      <c r="CW99" s="83">
        <f>SUM('J1 A - (North) Bishopthorpe Roa'!$I$99,'J1 B - Butcher Terrace'!$BK$99,'J1 C - (South) Bishopthorpe Roa'!$AS$99,'J1 D - South Bank Avenue'!$AA$99)</f>
        <v>0</v>
      </c>
      <c r="CX99" s="86">
        <f>SUM('J1 A - (North) Bishopthorpe Roa'!$J$99,'J1 B - Butcher Terrace'!$BL$99,'J1 C - (South) Bishopthorpe Roa'!$AT$99,'J1 D - South Bank Avenue'!$AB$99)</f>
        <v>1</v>
      </c>
      <c r="CY99" s="77">
        <f>$CQ$99*VLOOKUP($CQ$11,'PCU Values'!$B$9:$C$16,2,FALSE)</f>
        <v>13</v>
      </c>
      <c r="CZ99" s="77">
        <f>$CR$99*VLOOKUP($CR$11,'PCU Values'!$B$9:$C$16,2,FALSE)</f>
        <v>1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1.6</v>
      </c>
      <c r="DE99" s="77">
        <f>$CW$99*VLOOKUP($CW$11,'PCU Values'!$B$9:$C$16,2,FALSE)</f>
        <v>0</v>
      </c>
      <c r="DF99" s="78">
        <f>$CX$99*VLOOKUP($CX$11,'PCU Values'!$B$9:$C$16,2,FALSE)</f>
        <v>1.5</v>
      </c>
      <c r="DG99" s="66">
        <f>SUM($CY$99,$CZ$99,$DA$99,$DB$99,$DC$99,$DD$99,$DE$99,$DF$99)</f>
        <v>17.100000000000001</v>
      </c>
      <c r="DH99" s="52">
        <f>SUM($CQ$99,$CR$99,$CS$99,$CT$99,$CU$99,$CV$99,$CW$99,$CX$99)</f>
        <v>23</v>
      </c>
    </row>
    <row r="100" spans="1:112" ht="21" customHeight="1">
      <c r="A100" s="46">
        <v>44395.739583333299</v>
      </c>
      <c r="B100" s="50" t="s">
        <v>102</v>
      </c>
      <c r="C100" s="51">
        <v>0</v>
      </c>
      <c r="D100" s="51">
        <v>0</v>
      </c>
      <c r="E100" s="51">
        <v>0</v>
      </c>
      <c r="F100" s="51">
        <v>0</v>
      </c>
      <c r="G100" s="51">
        <v>0</v>
      </c>
      <c r="H100" s="51">
        <v>1</v>
      </c>
      <c r="I100" s="51">
        <v>0</v>
      </c>
      <c r="J100" s="59">
        <v>0</v>
      </c>
      <c r="K100" s="60">
        <f>$C$100*VLOOKUP($C$11,'PCU Values'!$B$9:$C$16,2,FALSE)</f>
        <v>0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0.2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0.2</v>
      </c>
      <c r="T100" s="52">
        <f>SUM($C$100,$D$100,$E$100,$F$100,$G$100,$H$100,$I$100,$J$100)</f>
        <v>1</v>
      </c>
      <c r="U100" s="73">
        <v>0</v>
      </c>
      <c r="V100" s="51">
        <v>0</v>
      </c>
      <c r="W100" s="51">
        <v>0</v>
      </c>
      <c r="X100" s="51">
        <v>0</v>
      </c>
      <c r="Y100" s="51">
        <v>0</v>
      </c>
      <c r="Z100" s="51">
        <v>8</v>
      </c>
      <c r="AA100" s="51">
        <v>0</v>
      </c>
      <c r="AB100" s="59">
        <v>0</v>
      </c>
      <c r="AC100" s="60">
        <f>$U$100*VLOOKUP($U$11,'PCU Values'!$B$9:$C$16,2,FALSE)</f>
        <v>0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1.6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1.6</v>
      </c>
      <c r="AL100" s="52">
        <f>SUM($U$100,$V$100,$W$100,$X$100,$Y$100,$Z$100,$AA$100,$AB$100)</f>
        <v>8</v>
      </c>
      <c r="AM100" s="73">
        <v>6</v>
      </c>
      <c r="AN100" s="51">
        <v>0</v>
      </c>
      <c r="AO100" s="51">
        <v>0</v>
      </c>
      <c r="AP100" s="51">
        <v>0</v>
      </c>
      <c r="AQ100" s="51">
        <v>0</v>
      </c>
      <c r="AR100" s="51">
        <v>1</v>
      </c>
      <c r="AS100" s="51">
        <v>0</v>
      </c>
      <c r="AT100" s="59">
        <v>0</v>
      </c>
      <c r="AU100" s="60">
        <f>$AM$100*VLOOKUP($AM$11,'PCU Values'!$B$9:$C$16,2,FALSE)</f>
        <v>6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0.2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6.2</v>
      </c>
      <c r="BD100" s="52">
        <f>SUM($AM$100,$AN$100,$AO$100,$AP$100,$AQ$100,$AR$100,$AS$100,$AT$100)</f>
        <v>7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6</v>
      </c>
      <c r="BZ100" s="84">
        <f>SUM($D$100,$V$100,$AN$100,$BF$100)</f>
        <v>0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10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6</v>
      </c>
      <c r="CH100" s="79">
        <f>$BZ$100*VLOOKUP($BZ$11,'PCU Values'!$B$9:$C$16,2,FALSE)</f>
        <v>0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2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8</v>
      </c>
      <c r="CP100" s="52">
        <f>SUM($BY$100,$BZ$100,$CA$100,$CB$100,$CC$100,$CD$100,$CE$100,$CF$100)</f>
        <v>16</v>
      </c>
      <c r="CQ100" s="90">
        <f>SUM('J1 A - (North) Bishopthorpe Roa'!$C$100,'J1 B - Butcher Terrace'!$BE$100,'J1 C - (South) Bishopthorpe Roa'!$AM$100,'J1 D - South Bank Avenue'!$U$100)</f>
        <v>8</v>
      </c>
      <c r="CR100" s="84">
        <f>SUM('J1 A - (North) Bishopthorpe Roa'!$D$100,'J1 B - Butcher Terrace'!$BF$100,'J1 C - (South) Bishopthorpe Roa'!$AN$100,'J1 D - South Bank Avenue'!$V$100)</f>
        <v>1</v>
      </c>
      <c r="CS100" s="84">
        <f>SUM('J1 A - (North) Bishopthorpe Roa'!$E$100,'J1 B - Butcher Terrace'!$BG$100,'J1 C - (South) Bishopthorpe Roa'!$AO$100,'J1 D - South Bank Avenue'!$W$100)</f>
        <v>1</v>
      </c>
      <c r="CT100" s="84">
        <f>SUM('J1 A - (North) Bishopthorpe Roa'!$F$100,'J1 B - Butcher Terrace'!$BH$100,'J1 C - (South) Bishopthorpe Roa'!$AP$100,'J1 D - South Bank Avenue'!$X$100)</f>
        <v>0</v>
      </c>
      <c r="CU100" s="84">
        <f>SUM('J1 A - (North) Bishopthorpe Roa'!$G$100,'J1 B - Butcher Terrace'!$BI$100,'J1 C - (South) Bishopthorpe Roa'!$AQ$100,'J1 D - South Bank Avenue'!$Y$100)</f>
        <v>0</v>
      </c>
      <c r="CV100" s="84">
        <f>SUM('J1 A - (North) Bishopthorpe Roa'!$H$100,'J1 B - Butcher Terrace'!$BJ$100,'J1 C - (South) Bishopthorpe Roa'!$AR$100,'J1 D - South Bank Avenue'!$Z$100)</f>
        <v>4</v>
      </c>
      <c r="CW100" s="84">
        <f>SUM('J1 A - (North) Bishopthorpe Roa'!$I$100,'J1 B - Butcher Terrace'!$BK$100,'J1 C - (South) Bishopthorpe Roa'!$AS$100,'J1 D - South Bank Avenue'!$AA$100)</f>
        <v>0</v>
      </c>
      <c r="CX100" s="87">
        <f>SUM('J1 A - (North) Bishopthorpe Roa'!$J$100,'J1 B - Butcher Terrace'!$BL$100,'J1 C - (South) Bishopthorpe Roa'!$AT$100,'J1 D - South Bank Avenue'!$AB$100)</f>
        <v>1</v>
      </c>
      <c r="CY100" s="79">
        <f>$CQ$100*VLOOKUP($CQ$11,'PCU Values'!$B$9:$C$16,2,FALSE)</f>
        <v>8</v>
      </c>
      <c r="CZ100" s="79">
        <f>$CR$100*VLOOKUP($CR$11,'PCU Values'!$B$9:$C$16,2,FALSE)</f>
        <v>1</v>
      </c>
      <c r="DA100" s="79">
        <f>$CS$100*VLOOKUP($CS$11,'PCU Values'!$B$9:$C$16,2,FALSE)</f>
        <v>1.5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0.8</v>
      </c>
      <c r="DE100" s="79">
        <f>$CW$100*VLOOKUP($CW$11,'PCU Values'!$B$9:$C$16,2,FALSE)</f>
        <v>0</v>
      </c>
      <c r="DF100" s="80">
        <f>$CX$100*VLOOKUP($CX$11,'PCU Values'!$B$9:$C$16,2,FALSE)</f>
        <v>1.5</v>
      </c>
      <c r="DG100" s="63">
        <f>SUM($CY$100,$CZ$100,$DA$100,$DB$100,$DC$100,$DD$100,$DE$100,$DF$100)</f>
        <v>12.8</v>
      </c>
      <c r="DH100" s="52">
        <f>SUM($CQ$100,$CR$100,$CS$100,$CT$100,$CU$100,$CV$100,$CW$100,$CX$100)</f>
        <v>15</v>
      </c>
    </row>
    <row r="101" spans="1:112">
      <c r="B101" s="52" t="s">
        <v>34</v>
      </c>
      <c r="C101" s="52">
        <f>SUM($C$97:$C$100)</f>
        <v>8</v>
      </c>
      <c r="D101" s="52">
        <f>SUM($D$97:$D$100)</f>
        <v>1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8</v>
      </c>
      <c r="I101" s="52">
        <f>SUM($I$97:$I$100)</f>
        <v>0</v>
      </c>
      <c r="J101" s="52">
        <f>SUM($J$97:$J$100)</f>
        <v>0</v>
      </c>
      <c r="K101" s="52">
        <f>SUM($K$97:$K$100)</f>
        <v>8</v>
      </c>
      <c r="L101" s="52">
        <f>SUM($L$97:$L$100)</f>
        <v>1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2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11</v>
      </c>
      <c r="T101" s="52">
        <f>SUM($C$101,$D$101,$E$101,$F$101,$G$101,$H$101,$I$101,$J$101)</f>
        <v>17</v>
      </c>
      <c r="U101" s="52">
        <f>SUM($U$97:$U$100)</f>
        <v>0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36</v>
      </c>
      <c r="AA101" s="52">
        <f>SUM($AA$97:$AA$100)</f>
        <v>0</v>
      </c>
      <c r="AB101" s="52">
        <f>SUM($AB$97:$AB$100)</f>
        <v>0</v>
      </c>
      <c r="AC101" s="52">
        <f>SUM($AC$97:$AC$100)</f>
        <v>0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7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7</v>
      </c>
      <c r="AL101" s="52">
        <f>SUM($U$101,$V$101,$W$101,$X$101,$Y$101,$Z$101,$AA$101,$AB$101)</f>
        <v>36</v>
      </c>
      <c r="AM101" s="52">
        <f>SUM($AM$97:$AM$100)</f>
        <v>11</v>
      </c>
      <c r="AN101" s="52">
        <f>SUM($AN$97:$AN$100)</f>
        <v>0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4</v>
      </c>
      <c r="AS101" s="52">
        <f>SUM($AS$97:$AS$100)</f>
        <v>0</v>
      </c>
      <c r="AT101" s="52">
        <f>SUM($AT$97:$AT$100)</f>
        <v>0</v>
      </c>
      <c r="AU101" s="52">
        <f>SUM($AU$97:$AU$100)</f>
        <v>11</v>
      </c>
      <c r="AV101" s="52">
        <f>SUM($AV$97:$AV$100)</f>
        <v>0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12</v>
      </c>
      <c r="BD101" s="52">
        <f>SUM($AM$101,$AN$101,$AO$101,$AP$101,$AQ$101,$AR$101,$AS$101,$AT$101)</f>
        <v>15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19</v>
      </c>
      <c r="BZ101" s="52">
        <f>SUM($BZ$97:$BZ$100)</f>
        <v>1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48</v>
      </c>
      <c r="CE101" s="52">
        <f>SUM($CE$97:$CE$100)</f>
        <v>0</v>
      </c>
      <c r="CF101" s="52">
        <f>SUM($CF$97:$CF$100)</f>
        <v>0</v>
      </c>
      <c r="CG101" s="52">
        <f>SUM($CG$97:$CG$100)</f>
        <v>19</v>
      </c>
      <c r="CH101" s="52">
        <f>SUM($CH$97:$CH$100)</f>
        <v>1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10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30</v>
      </c>
      <c r="CP101" s="52">
        <f>SUM($BY$101,$BZ$101,$CA$101,$CB$101,$CC$101,$CD$101,$CE$101,$CF$101)</f>
        <v>68</v>
      </c>
      <c r="CQ101" s="52">
        <f>SUM($CQ$97:$CQ$100)</f>
        <v>32</v>
      </c>
      <c r="CR101" s="52">
        <f>SUM($CR$97:$CR$100)</f>
        <v>3</v>
      </c>
      <c r="CS101" s="52">
        <f>SUM($CS$97:$CS$100)</f>
        <v>1</v>
      </c>
      <c r="CT101" s="52">
        <f>SUM($CT$97:$CT$100)</f>
        <v>0</v>
      </c>
      <c r="CU101" s="52">
        <f>SUM($CU$97:$CU$100)</f>
        <v>0</v>
      </c>
      <c r="CV101" s="52">
        <f>SUM($CV$97:$CV$100)</f>
        <v>30</v>
      </c>
      <c r="CW101" s="52">
        <f>SUM($CW$97:$CW$100)</f>
        <v>0</v>
      </c>
      <c r="CX101" s="52">
        <f>SUM($CX$97:$CX$100)</f>
        <v>3</v>
      </c>
      <c r="CY101" s="52">
        <f>SUM($CY$97:$CY$100)</f>
        <v>32</v>
      </c>
      <c r="CZ101" s="52">
        <f>SUM($CZ$97:$CZ$100)</f>
        <v>3</v>
      </c>
      <c r="DA101" s="52">
        <f>SUM($DA$97:$DA$100)</f>
        <v>2</v>
      </c>
      <c r="DB101" s="52">
        <f>SUM($DB$97:$DB$100)</f>
        <v>0</v>
      </c>
      <c r="DC101" s="52">
        <f>SUM($DC$97:$DC$100)</f>
        <v>0</v>
      </c>
      <c r="DD101" s="52">
        <f>SUM($DD$97:$DD$100)</f>
        <v>6</v>
      </c>
      <c r="DE101" s="52">
        <f>SUM($DE$97:$DE$100)</f>
        <v>0</v>
      </c>
      <c r="DF101" s="52">
        <f>SUM($DF$97:$DF$100)</f>
        <v>5</v>
      </c>
      <c r="DG101" s="52">
        <f>SUM($CY$101,$CZ$101,$DA$101,$DB$101,$DC$101,$DD$101,$DE$101,$DF$101)</f>
        <v>48</v>
      </c>
      <c r="DH101" s="52">
        <f>SUM($CQ$101,$CR$101,$CS$101,$CT$101,$CU$101,$CV$101,$CW$101,$CX$101)</f>
        <v>69</v>
      </c>
    </row>
    <row r="102" spans="1:112" ht="21" customHeight="1">
      <c r="A102" s="46">
        <v>44395.75</v>
      </c>
      <c r="B102" s="53" t="s">
        <v>103</v>
      </c>
      <c r="C102" s="54">
        <v>2</v>
      </c>
      <c r="D102" s="54">
        <v>0</v>
      </c>
      <c r="E102" s="54">
        <v>0</v>
      </c>
      <c r="F102" s="54">
        <v>0</v>
      </c>
      <c r="G102" s="54">
        <v>0</v>
      </c>
      <c r="H102" s="54">
        <v>1</v>
      </c>
      <c r="I102" s="54">
        <v>0</v>
      </c>
      <c r="J102" s="61">
        <v>0</v>
      </c>
      <c r="K102" s="62">
        <f>$C$102*VLOOKUP($C$11,'PCU Values'!$B$9:$C$16,2,FALSE)</f>
        <v>2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0.2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2.2000000000000002</v>
      </c>
      <c r="T102" s="52">
        <f>SUM($C$102,$D$102,$E$102,$F$102,$G$102,$H$102,$I$102,$J$102)</f>
        <v>3</v>
      </c>
      <c r="U102" s="72">
        <v>1</v>
      </c>
      <c r="V102" s="54">
        <v>0</v>
      </c>
      <c r="W102" s="54">
        <v>0</v>
      </c>
      <c r="X102" s="54">
        <v>0</v>
      </c>
      <c r="Y102" s="54">
        <v>0</v>
      </c>
      <c r="Z102" s="54">
        <v>3</v>
      </c>
      <c r="AA102" s="54">
        <v>0</v>
      </c>
      <c r="AB102" s="61">
        <v>0</v>
      </c>
      <c r="AC102" s="62">
        <f>$U$102*VLOOKUP($U$11,'PCU Values'!$B$9:$C$16,2,FALSE)</f>
        <v>1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0.6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1.6</v>
      </c>
      <c r="AL102" s="52">
        <f>SUM($U$102,$V$102,$W$102,$X$102,$Y$102,$Z$102,$AA$102,$AB$102)</f>
        <v>4</v>
      </c>
      <c r="AM102" s="72">
        <v>2</v>
      </c>
      <c r="AN102" s="54">
        <v>0</v>
      </c>
      <c r="AO102" s="54">
        <v>0</v>
      </c>
      <c r="AP102" s="54">
        <v>0</v>
      </c>
      <c r="AQ102" s="54">
        <v>0</v>
      </c>
      <c r="AR102" s="54">
        <v>3</v>
      </c>
      <c r="AS102" s="54">
        <v>0</v>
      </c>
      <c r="AT102" s="61">
        <v>0</v>
      </c>
      <c r="AU102" s="62">
        <f>$AM$102*VLOOKUP($AM$11,'PCU Values'!$B$9:$C$16,2,FALSE)</f>
        <v>2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0.6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2.6</v>
      </c>
      <c r="BD102" s="52">
        <f>SUM($AM$102,$AN$102,$AO$102,$AP$102,$AQ$102,$AR$102,$AS$102,$AT$102)</f>
        <v>5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5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7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5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1.4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6.4</v>
      </c>
      <c r="CP102" s="52">
        <f>SUM($BY$102,$BZ$102,$CA$102,$CB$102,$CC$102,$CD$102,$CE$102,$CF$102)</f>
        <v>12</v>
      </c>
      <c r="CQ102" s="91">
        <f>SUM('J1 A - (North) Bishopthorpe Roa'!$C$102,'J1 B - Butcher Terrace'!$BE$102,'J1 C - (South) Bishopthorpe Roa'!$AM$102,'J1 D - South Bank Avenue'!$U$102)</f>
        <v>8</v>
      </c>
      <c r="CR102" s="85">
        <f>SUM('J1 A - (North) Bishopthorpe Roa'!$D$102,'J1 B - Butcher Terrace'!$BF$102,'J1 C - (South) Bishopthorpe Roa'!$AN$102,'J1 D - South Bank Avenue'!$V$102)</f>
        <v>1</v>
      </c>
      <c r="CS102" s="85">
        <f>SUM('J1 A - (North) Bishopthorpe Roa'!$E$102,'J1 B - Butcher Terrace'!$BG$102,'J1 C - (South) Bishopthorpe Roa'!$AO$102,'J1 D - South Bank Avenue'!$W$102)</f>
        <v>0</v>
      </c>
      <c r="CT102" s="85">
        <f>SUM('J1 A - (North) Bishopthorpe Roa'!$F$102,'J1 B - Butcher Terrace'!$BH$102,'J1 C - (South) Bishopthorpe Roa'!$AP$102,'J1 D - South Bank Avenue'!$X$102)</f>
        <v>0</v>
      </c>
      <c r="CU102" s="85">
        <f>SUM('J1 A - (North) Bishopthorpe Roa'!$G$102,'J1 B - Butcher Terrace'!$BI$102,'J1 C - (South) Bishopthorpe Roa'!$AQ$102,'J1 D - South Bank Avenue'!$Y$102)</f>
        <v>0</v>
      </c>
      <c r="CV102" s="85">
        <f>SUM('J1 A - (North) Bishopthorpe Roa'!$H$102,'J1 B - Butcher Terrace'!$BJ$102,'J1 C - (South) Bishopthorpe Roa'!$AR$102,'J1 D - South Bank Avenue'!$Z$102)</f>
        <v>15</v>
      </c>
      <c r="CW102" s="85">
        <f>SUM('J1 A - (North) Bishopthorpe Roa'!$I$102,'J1 B - Butcher Terrace'!$BK$102,'J1 C - (South) Bishopthorpe Roa'!$AS$102,'J1 D - South Bank Avenue'!$AA$102)</f>
        <v>1</v>
      </c>
      <c r="CX102" s="88">
        <f>SUM('J1 A - (North) Bishopthorpe Roa'!$J$102,'J1 B - Butcher Terrace'!$BL$102,'J1 C - (South) Bishopthorpe Roa'!$AT$102,'J1 D - South Bank Avenue'!$AB$102)</f>
        <v>0</v>
      </c>
      <c r="CY102" s="81">
        <f>$CQ$102*VLOOKUP($CQ$11,'PCU Values'!$B$9:$C$16,2,FALSE)</f>
        <v>8</v>
      </c>
      <c r="CZ102" s="81">
        <f>$CR$102*VLOOKUP($CR$11,'PCU Values'!$B$9:$C$16,2,FALSE)</f>
        <v>1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3</v>
      </c>
      <c r="DE102" s="81">
        <f>$CW$102*VLOOKUP($CW$11,'PCU Values'!$B$9:$C$16,2,FALSE)</f>
        <v>0.4</v>
      </c>
      <c r="DF102" s="82">
        <f>$CX$102*VLOOKUP($CX$11,'PCU Values'!$B$9:$C$16,2,FALSE)</f>
        <v>0</v>
      </c>
      <c r="DG102" s="71">
        <f>SUM($CY$102,$CZ$102,$DA$102,$DB$102,$DC$102,$DD$102,$DE$102,$DF$102)</f>
        <v>12.4</v>
      </c>
      <c r="DH102" s="52">
        <f>SUM($CQ$102,$CR$102,$CS$102,$CT$102,$CU$102,$CV$102,$CW$102,$CX$102)</f>
        <v>25</v>
      </c>
    </row>
    <row r="103" spans="1:112" ht="21" customHeight="1">
      <c r="A103" s="46">
        <v>44395.760416666701</v>
      </c>
      <c r="B103" s="47" t="s">
        <v>104</v>
      </c>
      <c r="C103" s="48">
        <v>1</v>
      </c>
      <c r="D103" s="48">
        <v>1</v>
      </c>
      <c r="E103" s="48">
        <v>0</v>
      </c>
      <c r="F103" s="48">
        <v>0</v>
      </c>
      <c r="G103" s="48">
        <v>0</v>
      </c>
      <c r="H103" s="48">
        <v>4</v>
      </c>
      <c r="I103" s="48">
        <v>0</v>
      </c>
      <c r="J103" s="56">
        <v>0</v>
      </c>
      <c r="K103" s="57">
        <f>$C$103*VLOOKUP($C$11,'PCU Values'!$B$9:$C$16,2,FALSE)</f>
        <v>1</v>
      </c>
      <c r="L103" s="57">
        <f>$D$103*VLOOKUP($D$11,'PCU Values'!$B$9:$C$16,2,FALSE)</f>
        <v>1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0.8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2.8</v>
      </c>
      <c r="T103" s="52">
        <f>SUM($C$103,$D$103,$E$103,$F$103,$G$103,$H$103,$I$103,$J$103)</f>
        <v>6</v>
      </c>
      <c r="U103" s="67">
        <v>0</v>
      </c>
      <c r="V103" s="48">
        <v>0</v>
      </c>
      <c r="W103" s="48">
        <v>0</v>
      </c>
      <c r="X103" s="48">
        <v>0</v>
      </c>
      <c r="Y103" s="48">
        <v>0</v>
      </c>
      <c r="Z103" s="48">
        <v>10</v>
      </c>
      <c r="AA103" s="48">
        <v>0</v>
      </c>
      <c r="AB103" s="56">
        <v>0</v>
      </c>
      <c r="AC103" s="57">
        <f>$U$103*VLOOKUP($U$11,'PCU Values'!$B$9:$C$16,2,FALSE)</f>
        <v>0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2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2</v>
      </c>
      <c r="AL103" s="52">
        <f>SUM($U$103,$V$103,$W$103,$X$103,$Y$103,$Z$103,$AA$103,$AB$103)</f>
        <v>10</v>
      </c>
      <c r="AM103" s="67">
        <v>2</v>
      </c>
      <c r="AN103" s="48">
        <v>0</v>
      </c>
      <c r="AO103" s="48">
        <v>0</v>
      </c>
      <c r="AP103" s="48">
        <v>0</v>
      </c>
      <c r="AQ103" s="48">
        <v>0</v>
      </c>
      <c r="AR103" s="48">
        <v>2</v>
      </c>
      <c r="AS103" s="48">
        <v>0</v>
      </c>
      <c r="AT103" s="56">
        <v>0</v>
      </c>
      <c r="AU103" s="57">
        <f>$AM$103*VLOOKUP($AM$11,'PCU Values'!$B$9:$C$16,2,FALSE)</f>
        <v>2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0.4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2.4</v>
      </c>
      <c r="BD103" s="52">
        <f>SUM($AM$103,$AN$103,$AO$103,$AP$103,$AQ$103,$AR$103,$AS$103,$AT$103)</f>
        <v>4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3</v>
      </c>
      <c r="BZ103" s="83">
        <f>SUM($D$103,$V$103,$AN$103,$BF$103)</f>
        <v>1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16</v>
      </c>
      <c r="CE103" s="83">
        <f>SUM($I$103,$AA$103,$AS$103,$BK$103)</f>
        <v>0</v>
      </c>
      <c r="CF103" s="86">
        <f>SUM($J$103,$AB$103,$AT$103,$BL$103)</f>
        <v>0</v>
      </c>
      <c r="CG103" s="77">
        <f>$BY$103*VLOOKUP($BY$11,'PCU Values'!$B$9:$C$16,2,FALSE)</f>
        <v>3</v>
      </c>
      <c r="CH103" s="77">
        <f>$BZ$103*VLOOKUP($BZ$11,'PCU Values'!$B$9:$C$16,2,FALSE)</f>
        <v>1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3.2</v>
      </c>
      <c r="CM103" s="77">
        <f>$CE$103*VLOOKUP($CE$11,'PCU Values'!$B$9:$C$16,2,FALSE)</f>
        <v>0</v>
      </c>
      <c r="CN103" s="78">
        <f>$CF$103*VLOOKUP($CF$11,'PCU Values'!$B$9:$C$16,2,FALSE)</f>
        <v>0</v>
      </c>
      <c r="CO103" s="66">
        <f>SUM($CG$103,$CH$103,$CI$103,$CJ$103,$CK$103,$CL$103,$CM$103,$CN$103)</f>
        <v>7.2</v>
      </c>
      <c r="CP103" s="52">
        <f>SUM($BY$103,$BZ$103,$CA$103,$CB$103,$CC$103,$CD$103,$CE$103,$CF$103)</f>
        <v>20</v>
      </c>
      <c r="CQ103" s="89">
        <f>SUM('J1 A - (North) Bishopthorpe Roa'!$C$103,'J1 B - Butcher Terrace'!$BE$103,'J1 C - (South) Bishopthorpe Roa'!$AM$103,'J1 D - South Bank Avenue'!$U$103)</f>
        <v>9</v>
      </c>
      <c r="CR103" s="83">
        <f>SUM('J1 A - (North) Bishopthorpe Roa'!$D$103,'J1 B - Butcher Terrace'!$BF$103,'J1 C - (South) Bishopthorpe Roa'!$AN$103,'J1 D - South Bank Avenue'!$V$103)</f>
        <v>0</v>
      </c>
      <c r="CS103" s="83">
        <f>SUM('J1 A - (North) Bishopthorpe Roa'!$E$103,'J1 B - Butcher Terrace'!$BG$103,'J1 C - (South) Bishopthorpe Roa'!$AO$103,'J1 D - South Bank Avenue'!$W$103)</f>
        <v>0</v>
      </c>
      <c r="CT103" s="83">
        <f>SUM('J1 A - (North) Bishopthorpe Roa'!$F$103,'J1 B - Butcher Terrace'!$BH$103,'J1 C - (South) Bishopthorpe Roa'!$AP$103,'J1 D - South Bank Avenue'!$X$103)</f>
        <v>0</v>
      </c>
      <c r="CU103" s="83">
        <f>SUM('J1 A - (North) Bishopthorpe Roa'!$G$103,'J1 B - Butcher Terrace'!$BI$103,'J1 C - (South) Bishopthorpe Roa'!$AQ$103,'J1 D - South Bank Avenue'!$Y$103)</f>
        <v>0</v>
      </c>
      <c r="CV103" s="83">
        <f>SUM('J1 A - (North) Bishopthorpe Roa'!$H$103,'J1 B - Butcher Terrace'!$BJ$103,'J1 C - (South) Bishopthorpe Roa'!$AR$103,'J1 D - South Bank Avenue'!$Z$103)</f>
        <v>7</v>
      </c>
      <c r="CW103" s="83">
        <f>SUM('J1 A - (North) Bishopthorpe Roa'!$I$103,'J1 B - Butcher Terrace'!$BK$103,'J1 C - (South) Bishopthorpe Roa'!$AS$103,'J1 D - South Bank Avenue'!$AA$103)</f>
        <v>0</v>
      </c>
      <c r="CX103" s="86">
        <f>SUM('J1 A - (North) Bishopthorpe Roa'!$J$103,'J1 B - Butcher Terrace'!$BL$103,'J1 C - (South) Bishopthorpe Roa'!$AT$103,'J1 D - South Bank Avenue'!$AB$103)</f>
        <v>0</v>
      </c>
      <c r="CY103" s="77">
        <f>$CQ$103*VLOOKUP($CQ$11,'PCU Values'!$B$9:$C$16,2,FALSE)</f>
        <v>9</v>
      </c>
      <c r="CZ103" s="77">
        <f>$CR$103*VLOOKUP($CR$11,'PCU Values'!$B$9:$C$16,2,FALSE)</f>
        <v>0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1.4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10.4</v>
      </c>
      <c r="DH103" s="52">
        <f>SUM($CQ$103,$CR$103,$CS$103,$CT$103,$CU$103,$CV$103,$CW$103,$CX$103)</f>
        <v>16</v>
      </c>
    </row>
    <row r="104" spans="1:112" ht="21" customHeight="1">
      <c r="A104" s="46">
        <v>44395.770833333299</v>
      </c>
      <c r="B104" s="47" t="s">
        <v>105</v>
      </c>
      <c r="C104" s="49">
        <v>2</v>
      </c>
      <c r="D104" s="49">
        <v>0</v>
      </c>
      <c r="E104" s="49">
        <v>0</v>
      </c>
      <c r="F104" s="49">
        <v>0</v>
      </c>
      <c r="G104" s="49">
        <v>0</v>
      </c>
      <c r="H104" s="49">
        <v>5</v>
      </c>
      <c r="I104" s="49">
        <v>0</v>
      </c>
      <c r="J104" s="58">
        <v>0</v>
      </c>
      <c r="K104" s="57">
        <f>$C$104*VLOOKUP($C$11,'PCU Values'!$B$9:$C$16,2,FALSE)</f>
        <v>2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1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3</v>
      </c>
      <c r="T104" s="52">
        <f>SUM($C$104,$D$104,$E$104,$F$104,$G$104,$H$104,$I$104,$J$104)</f>
        <v>7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2</v>
      </c>
      <c r="AA104" s="49">
        <v>1</v>
      </c>
      <c r="AB104" s="58">
        <v>0</v>
      </c>
      <c r="AC104" s="57">
        <f>$U$104*VLOOKUP($U$11,'PCU Values'!$B$9:$C$16,2,FALSE)</f>
        <v>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0.4</v>
      </c>
      <c r="AI104" s="57">
        <f>$AA$104*VLOOKUP($AA$11,'PCU Values'!$B$9:$C$16,2,FALSE)</f>
        <v>0.4</v>
      </c>
      <c r="AJ104" s="65">
        <f>$AB$104*VLOOKUP($AB$11,'PCU Values'!$B$9:$C$16,2,FALSE)</f>
        <v>0</v>
      </c>
      <c r="AK104" s="66">
        <f>SUM($AC$104,$AD$104,$AE$104,$AF$104,$AG$104,$AH$104,$AI$104,$AJ$104)</f>
        <v>0.8</v>
      </c>
      <c r="AL104" s="52">
        <f>SUM($U$104,$V$104,$W$104,$X$104,$Y$104,$Z$104,$AA$104,$AB$104)</f>
        <v>3</v>
      </c>
      <c r="AM104" s="49">
        <v>6</v>
      </c>
      <c r="AN104" s="49">
        <v>0</v>
      </c>
      <c r="AO104" s="49">
        <v>0</v>
      </c>
      <c r="AP104" s="49">
        <v>0</v>
      </c>
      <c r="AQ104" s="49">
        <v>0</v>
      </c>
      <c r="AR104" s="49">
        <v>2</v>
      </c>
      <c r="AS104" s="49">
        <v>1</v>
      </c>
      <c r="AT104" s="58">
        <v>0</v>
      </c>
      <c r="AU104" s="57">
        <f>$AM$104*VLOOKUP($AM$11,'PCU Values'!$B$9:$C$16,2,FALSE)</f>
        <v>6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0.4</v>
      </c>
      <c r="BA104" s="57">
        <f>$AS$104*VLOOKUP($AS$11,'PCU Values'!$B$9:$C$16,2,FALSE)</f>
        <v>0.4</v>
      </c>
      <c r="BB104" s="65">
        <f>$AT$104*VLOOKUP($AT$11,'PCU Values'!$B$9:$C$16,2,FALSE)</f>
        <v>0</v>
      </c>
      <c r="BC104" s="66">
        <f>SUM($AU$104,$AV$104,$AW$104,$AX$104,$AY$104,$AZ$104,$BA$104,$BB$104)</f>
        <v>6.8</v>
      </c>
      <c r="BD104" s="52">
        <f>SUM($AM$104,$AN$104,$AO$104,$AP$104,$AQ$104,$AR$104,$AS$104,$AT$104)</f>
        <v>9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8</v>
      </c>
      <c r="BZ104" s="83">
        <f>SUM($D$104,$V$104,$AN$104,$BF$104)</f>
        <v>0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9</v>
      </c>
      <c r="CE104" s="83">
        <f>SUM($I$104,$AA$104,$AS$104,$BK$104)</f>
        <v>2</v>
      </c>
      <c r="CF104" s="86">
        <f>SUM($J$104,$AB$104,$AT$104,$BL$104)</f>
        <v>0</v>
      </c>
      <c r="CG104" s="77">
        <f>$BY$104*VLOOKUP($BY$11,'PCU Values'!$B$9:$C$16,2,FALSE)</f>
        <v>8</v>
      </c>
      <c r="CH104" s="77">
        <f>$BZ$104*VLOOKUP($BZ$11,'PCU Values'!$B$9:$C$16,2,FALSE)</f>
        <v>0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1.8</v>
      </c>
      <c r="CM104" s="77">
        <f>$CE$104*VLOOKUP($CE$11,'PCU Values'!$B$9:$C$16,2,FALSE)</f>
        <v>0.8</v>
      </c>
      <c r="CN104" s="78">
        <f>$CF$104*VLOOKUP($CF$11,'PCU Values'!$B$9:$C$16,2,FALSE)</f>
        <v>0</v>
      </c>
      <c r="CO104" s="66">
        <f>SUM($CG$104,$CH$104,$CI$104,$CJ$104,$CK$104,$CL$104,$CM$104,$CN$104)</f>
        <v>10.6</v>
      </c>
      <c r="CP104" s="52">
        <f>SUM($BY$104,$BZ$104,$CA$104,$CB$104,$CC$104,$CD$104,$CE$104,$CF$104)</f>
        <v>19</v>
      </c>
      <c r="CQ104" s="89">
        <f>SUM('J1 A - (North) Bishopthorpe Roa'!$C$104,'J1 B - Butcher Terrace'!$BE$104,'J1 C - (South) Bishopthorpe Roa'!$AM$104,'J1 D - South Bank Avenue'!$U$104)</f>
        <v>8</v>
      </c>
      <c r="CR104" s="83">
        <f>SUM('J1 A - (North) Bishopthorpe Roa'!$D$104,'J1 B - Butcher Terrace'!$BF$104,'J1 C - (South) Bishopthorpe Roa'!$AN$104,'J1 D - South Bank Avenue'!$V$104)</f>
        <v>1</v>
      </c>
      <c r="CS104" s="83">
        <f>SUM('J1 A - (North) Bishopthorpe Roa'!$E$104,'J1 B - Butcher Terrace'!$BG$104,'J1 C - (South) Bishopthorpe Roa'!$AO$104,'J1 D - South Bank Avenue'!$W$104)</f>
        <v>0</v>
      </c>
      <c r="CT104" s="83">
        <f>SUM('J1 A - (North) Bishopthorpe Roa'!$F$104,'J1 B - Butcher Terrace'!$BH$104,'J1 C - (South) Bishopthorpe Roa'!$AP$104,'J1 D - South Bank Avenue'!$X$104)</f>
        <v>0</v>
      </c>
      <c r="CU104" s="83">
        <f>SUM('J1 A - (North) Bishopthorpe Roa'!$G$104,'J1 B - Butcher Terrace'!$BI$104,'J1 C - (South) Bishopthorpe Roa'!$AQ$104,'J1 D - South Bank Avenue'!$Y$104)</f>
        <v>0</v>
      </c>
      <c r="CV104" s="83">
        <f>SUM('J1 A - (North) Bishopthorpe Roa'!$H$104,'J1 B - Butcher Terrace'!$BJ$104,'J1 C - (South) Bishopthorpe Roa'!$AR$104,'J1 D - South Bank Avenue'!$Z$104)</f>
        <v>9</v>
      </c>
      <c r="CW104" s="83">
        <f>SUM('J1 A - (North) Bishopthorpe Roa'!$I$104,'J1 B - Butcher Terrace'!$BK$104,'J1 C - (South) Bishopthorpe Roa'!$AS$104,'J1 D - South Bank Avenue'!$AA$104)</f>
        <v>1</v>
      </c>
      <c r="CX104" s="86">
        <f>SUM('J1 A - (North) Bishopthorpe Roa'!$J$104,'J1 B - Butcher Terrace'!$BL$104,'J1 C - (South) Bishopthorpe Roa'!$AT$104,'J1 D - South Bank Avenue'!$AB$104)</f>
        <v>0</v>
      </c>
      <c r="CY104" s="77">
        <f>$CQ$104*VLOOKUP($CQ$11,'PCU Values'!$B$9:$C$16,2,FALSE)</f>
        <v>8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1.8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11.2</v>
      </c>
      <c r="DH104" s="52">
        <f>SUM($CQ$104,$CR$104,$CS$104,$CT$104,$CU$104,$CV$104,$CW$104,$CX$104)</f>
        <v>19</v>
      </c>
    </row>
    <row r="105" spans="1:112" ht="21" customHeight="1">
      <c r="A105" s="46">
        <v>44395.78125</v>
      </c>
      <c r="B105" s="50" t="s">
        <v>106</v>
      </c>
      <c r="C105" s="51">
        <v>2</v>
      </c>
      <c r="D105" s="51">
        <v>0</v>
      </c>
      <c r="E105" s="51">
        <v>0</v>
      </c>
      <c r="F105" s="51">
        <v>0</v>
      </c>
      <c r="G105" s="51">
        <v>0</v>
      </c>
      <c r="H105" s="51">
        <v>4</v>
      </c>
      <c r="I105" s="51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0.8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2.8</v>
      </c>
      <c r="T105" s="52">
        <f>SUM($C$105,$D$105,$E$105,$F$105,$G$105,$H$105,$I$105,$J$105)</f>
        <v>6</v>
      </c>
      <c r="U105" s="73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4</v>
      </c>
      <c r="AA105" s="51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0.8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0.8</v>
      </c>
      <c r="AL105" s="52">
        <f>SUM($U$105,$V$105,$W$105,$X$105,$Y$105,$Z$105,$AA$105,$AB$105)</f>
        <v>4</v>
      </c>
      <c r="AM105" s="73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4</v>
      </c>
      <c r="AS105" s="51">
        <v>0</v>
      </c>
      <c r="AT105" s="59">
        <v>0</v>
      </c>
      <c r="AU105" s="60">
        <f>$AM$105*VLOOKUP($AM$11,'PCU Values'!$B$9:$C$16,2,FALSE)</f>
        <v>0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0.8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0.8</v>
      </c>
      <c r="BD105" s="52">
        <f>SUM($AM$105,$AN$105,$AO$105,$AP$105,$AQ$105,$AR$105,$AS$105,$AT$105)</f>
        <v>4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2</v>
      </c>
      <c r="BZ105" s="84">
        <f>SUM($D$105,$V$105,$AN$105,$BF$105)</f>
        <v>0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12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2</v>
      </c>
      <c r="CH105" s="79">
        <f>$BZ$105*VLOOKUP($BZ$11,'PCU Values'!$B$9:$C$16,2,FALSE)</f>
        <v>0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2.4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4.4000000000000004</v>
      </c>
      <c r="CP105" s="52">
        <f>SUM($BY$105,$BZ$105,$CA$105,$CB$105,$CC$105,$CD$105,$CE$105,$CF$105)</f>
        <v>14</v>
      </c>
      <c r="CQ105" s="90">
        <f>SUM('J1 A - (North) Bishopthorpe Roa'!$C$105,'J1 B - Butcher Terrace'!$BE$105,'J1 C - (South) Bishopthorpe Roa'!$AM$105,'J1 D - South Bank Avenue'!$U$105)</f>
        <v>9</v>
      </c>
      <c r="CR105" s="84">
        <f>SUM('J1 A - (North) Bishopthorpe Roa'!$D$105,'J1 B - Butcher Terrace'!$BF$105,'J1 C - (South) Bishopthorpe Roa'!$AN$105,'J1 D - South Bank Avenue'!$V$105)</f>
        <v>0</v>
      </c>
      <c r="CS105" s="84">
        <f>SUM('J1 A - (North) Bishopthorpe Roa'!$E$105,'J1 B - Butcher Terrace'!$BG$105,'J1 C - (South) Bishopthorpe Roa'!$AO$105,'J1 D - South Bank Avenue'!$W$105)</f>
        <v>0</v>
      </c>
      <c r="CT105" s="84">
        <f>SUM('J1 A - (North) Bishopthorpe Roa'!$F$105,'J1 B - Butcher Terrace'!$BH$105,'J1 C - (South) Bishopthorpe Roa'!$AP$105,'J1 D - South Bank Avenue'!$X$105)</f>
        <v>0</v>
      </c>
      <c r="CU105" s="84">
        <f>SUM('J1 A - (North) Bishopthorpe Roa'!$G$105,'J1 B - Butcher Terrace'!$BI$105,'J1 C - (South) Bishopthorpe Roa'!$AQ$105,'J1 D - South Bank Avenue'!$Y$105)</f>
        <v>0</v>
      </c>
      <c r="CV105" s="84">
        <f>SUM('J1 A - (North) Bishopthorpe Roa'!$H$105,'J1 B - Butcher Terrace'!$BJ$105,'J1 C - (South) Bishopthorpe Roa'!$AR$105,'J1 D - South Bank Avenue'!$Z$105)</f>
        <v>5</v>
      </c>
      <c r="CW105" s="84">
        <f>SUM('J1 A - (North) Bishopthorpe Roa'!$I$105,'J1 B - Butcher Terrace'!$BK$105,'J1 C - (South) Bishopthorpe Roa'!$AS$105,'J1 D - South Bank Avenue'!$AA$105)</f>
        <v>0</v>
      </c>
      <c r="CX105" s="87">
        <f>SUM('J1 A - (North) Bishopthorpe Roa'!$J$105,'J1 B - Butcher Terrace'!$BL$105,'J1 C - (South) Bishopthorpe Roa'!$AT$105,'J1 D - South Bank Avenue'!$AB$105)</f>
        <v>0</v>
      </c>
      <c r="CY105" s="79">
        <f>$CQ$105*VLOOKUP($CQ$11,'PCU Values'!$B$9:$C$16,2,FALSE)</f>
        <v>9</v>
      </c>
      <c r="CZ105" s="79">
        <f>$CR$105*VLOOKUP($CR$11,'PCU Values'!$B$9:$C$16,2,FALSE)</f>
        <v>0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</v>
      </c>
      <c r="DE105" s="79">
        <f>$CW$105*VLOOKUP($CW$11,'PCU Values'!$B$9:$C$16,2,FALSE)</f>
        <v>0</v>
      </c>
      <c r="DF105" s="80">
        <f>$CX$105*VLOOKUP($CX$11,'PCU Values'!$B$9:$C$16,2,FALSE)</f>
        <v>0</v>
      </c>
      <c r="DG105" s="63">
        <f>SUM($CY$105,$CZ$105,$DA$105,$DB$105,$DC$105,$DD$105,$DE$105,$DF$105)</f>
        <v>10</v>
      </c>
      <c r="DH105" s="52">
        <f>SUM($CQ$105,$CR$105,$CS$105,$CT$105,$CU$105,$CV$105,$CW$105,$CX$105)</f>
        <v>14</v>
      </c>
    </row>
    <row r="106" spans="1:112">
      <c r="B106" s="52" t="s">
        <v>34</v>
      </c>
      <c r="C106" s="52">
        <f>SUM($C$102:$C$105)</f>
        <v>7</v>
      </c>
      <c r="D106" s="52">
        <f>SUM($D$102:$D$105)</f>
        <v>1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14</v>
      </c>
      <c r="I106" s="52">
        <f>SUM($I$102:$I$105)</f>
        <v>0</v>
      </c>
      <c r="J106" s="52">
        <f>SUM($J$102:$J$105)</f>
        <v>0</v>
      </c>
      <c r="K106" s="52">
        <f>SUM($K$102:$K$105)</f>
        <v>7</v>
      </c>
      <c r="L106" s="52">
        <f>SUM($L$102:$L$105)</f>
        <v>1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3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11</v>
      </c>
      <c r="T106" s="52">
        <f>SUM($C$106,$D$106,$E$106,$F$106,$G$106,$H$106,$I$106,$J$106)</f>
        <v>22</v>
      </c>
      <c r="U106" s="52">
        <f>SUM($U$102:$U$105)</f>
        <v>1</v>
      </c>
      <c r="V106" s="52">
        <f>SUM($V$102:$V$105)</f>
        <v>0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19</v>
      </c>
      <c r="AA106" s="52">
        <f>SUM($AA$102:$AA$105)</f>
        <v>1</v>
      </c>
      <c r="AB106" s="52">
        <f>SUM($AB$102:$AB$105)</f>
        <v>0</v>
      </c>
      <c r="AC106" s="52">
        <f>SUM($AC$102:$AC$105)</f>
        <v>1</v>
      </c>
      <c r="AD106" s="52">
        <f>SUM($AD$102:$AD$105)</f>
        <v>0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4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5</v>
      </c>
      <c r="AL106" s="52">
        <f>SUM($U$106,$V$106,$W$106,$X$106,$Y$106,$Z$106,$AA$106,$AB$106)</f>
        <v>21</v>
      </c>
      <c r="AM106" s="52">
        <f>SUM($AM$102:$AM$105)</f>
        <v>10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11</v>
      </c>
      <c r="AS106" s="52">
        <f>SUM($AS$102:$AS$105)</f>
        <v>1</v>
      </c>
      <c r="AT106" s="52">
        <f>SUM($AT$102:$AT$105)</f>
        <v>0</v>
      </c>
      <c r="AU106" s="52">
        <f>SUM($AU$102:$AU$105)</f>
        <v>10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2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12</v>
      </c>
      <c r="BD106" s="52">
        <f>SUM($AM$106,$AN$106,$AO$106,$AP$106,$AQ$106,$AR$106,$AS$106,$AT$106)</f>
        <v>22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18</v>
      </c>
      <c r="BZ106" s="52">
        <f>SUM($BZ$102:$BZ$105)</f>
        <v>1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44</v>
      </c>
      <c r="CE106" s="52">
        <f>SUM($CE$102:$CE$105)</f>
        <v>2</v>
      </c>
      <c r="CF106" s="52">
        <f>SUM($CF$102:$CF$105)</f>
        <v>0</v>
      </c>
      <c r="CG106" s="52">
        <f>SUM($CG$102:$CG$105)</f>
        <v>18</v>
      </c>
      <c r="CH106" s="52">
        <f>SUM($CH$102:$CH$105)</f>
        <v>1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9</v>
      </c>
      <c r="CM106" s="52">
        <f>SUM($CM$102:$CM$105)</f>
        <v>1</v>
      </c>
      <c r="CN106" s="52">
        <f>SUM($CN$102:$CN$105)</f>
        <v>0</v>
      </c>
      <c r="CO106" s="52">
        <f>SUM($CG$106,$CH$106,$CI$106,$CJ$106,$CK$106,$CL$106,$CM$106,$CN$106)</f>
        <v>29</v>
      </c>
      <c r="CP106" s="52">
        <f>SUM($BY$106,$BZ$106,$CA$106,$CB$106,$CC$106,$CD$106,$CE$106,$CF$106)</f>
        <v>65</v>
      </c>
      <c r="CQ106" s="52">
        <f>SUM($CQ$102:$CQ$105)</f>
        <v>34</v>
      </c>
      <c r="CR106" s="52">
        <f>SUM($CR$102:$CR$105)</f>
        <v>2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36</v>
      </c>
      <c r="CW106" s="52">
        <f>SUM($CW$102:$CW$105)</f>
        <v>2</v>
      </c>
      <c r="CX106" s="52">
        <f>SUM($CX$102:$CX$105)</f>
        <v>0</v>
      </c>
      <c r="CY106" s="52">
        <f>SUM($CY$102:$CY$105)</f>
        <v>34</v>
      </c>
      <c r="CZ106" s="52">
        <f>SUM($CZ$102:$CZ$105)</f>
        <v>2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7</v>
      </c>
      <c r="DE106" s="52">
        <f>SUM($DE$102:$DE$105)</f>
        <v>1</v>
      </c>
      <c r="DF106" s="52">
        <f>SUM($DF$102:$DF$105)</f>
        <v>0</v>
      </c>
      <c r="DG106" s="52">
        <f>SUM($CY$106,$CZ$106,$DA$106,$DB$106,$DC$106,$DD$106,$DE$106,$DF$106)</f>
        <v>44</v>
      </c>
      <c r="DH106" s="52">
        <f>SUM($CQ$106,$CR$106,$CS$106,$CT$106,$CU$106,$CV$106,$CW$106,$CX$106)</f>
        <v>74</v>
      </c>
    </row>
    <row r="107" spans="1:112" ht="21" customHeight="1">
      <c r="A107" s="46">
        <v>44395.791666666701</v>
      </c>
      <c r="B107" s="53" t="s">
        <v>107</v>
      </c>
      <c r="C107" s="54">
        <v>3</v>
      </c>
      <c r="D107" s="54">
        <v>0</v>
      </c>
      <c r="E107" s="54">
        <v>0</v>
      </c>
      <c r="F107" s="54">
        <v>0</v>
      </c>
      <c r="G107" s="54">
        <v>0</v>
      </c>
      <c r="H107" s="54">
        <v>1</v>
      </c>
      <c r="I107" s="54">
        <v>0</v>
      </c>
      <c r="J107" s="61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0.2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3.2</v>
      </c>
      <c r="T107" s="52">
        <f>SUM($C$107,$D$107,$E$107,$F$107,$G$107,$H$107,$I$107,$J$107)</f>
        <v>4</v>
      </c>
      <c r="U107" s="72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3</v>
      </c>
      <c r="AA107" s="54">
        <v>0</v>
      </c>
      <c r="AB107" s="61">
        <v>0</v>
      </c>
      <c r="AC107" s="62">
        <f>$U$107*VLOOKUP($U$11,'PCU Values'!$B$9:$C$16,2,FALSE)</f>
        <v>0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0.6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0.6</v>
      </c>
      <c r="AL107" s="52">
        <f>SUM($U$107,$V$107,$W$107,$X$107,$Y$107,$Z$107,$AA$107,$AB$107)</f>
        <v>3</v>
      </c>
      <c r="AM107" s="72">
        <v>3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3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3</v>
      </c>
      <c r="BD107" s="52">
        <f>SUM($AM$107,$AN$107,$AO$107,$AP$107,$AQ$107,$AR$107,$AS$107,$AT$107)</f>
        <v>3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6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4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6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0.8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6.8</v>
      </c>
      <c r="CP107" s="52">
        <f>SUM($BY$107,$BZ$107,$CA$107,$CB$107,$CC$107,$CD$107,$CE$107,$CF$107)</f>
        <v>10</v>
      </c>
      <c r="CQ107" s="91">
        <f>SUM('J1 A - (North) Bishopthorpe Roa'!$C$107,'J1 B - Butcher Terrace'!$BE$107,'J1 C - (South) Bishopthorpe Roa'!$AM$107,'J1 D - South Bank Avenue'!$U$107)</f>
        <v>5</v>
      </c>
      <c r="CR107" s="85">
        <f>SUM('J1 A - (North) Bishopthorpe Roa'!$D$107,'J1 B - Butcher Terrace'!$BF$107,'J1 C - (South) Bishopthorpe Roa'!$AN$107,'J1 D - South Bank Avenue'!$V$107)</f>
        <v>0</v>
      </c>
      <c r="CS107" s="85">
        <f>SUM('J1 A - (North) Bishopthorpe Roa'!$E$107,'J1 B - Butcher Terrace'!$BG$107,'J1 C - (South) Bishopthorpe Roa'!$AO$107,'J1 D - South Bank Avenue'!$W$107)</f>
        <v>0</v>
      </c>
      <c r="CT107" s="85">
        <f>SUM('J1 A - (North) Bishopthorpe Roa'!$F$107,'J1 B - Butcher Terrace'!$BH$107,'J1 C - (South) Bishopthorpe Roa'!$AP$107,'J1 D - South Bank Avenue'!$X$107)</f>
        <v>0</v>
      </c>
      <c r="CU107" s="85">
        <f>SUM('J1 A - (North) Bishopthorpe Roa'!$G$107,'J1 B - Butcher Terrace'!$BI$107,'J1 C - (South) Bishopthorpe Roa'!$AQ$107,'J1 D - South Bank Avenue'!$Y$107)</f>
        <v>0</v>
      </c>
      <c r="CV107" s="85">
        <f>SUM('J1 A - (North) Bishopthorpe Roa'!$H$107,'J1 B - Butcher Terrace'!$BJ$107,'J1 C - (South) Bishopthorpe Roa'!$AR$107,'J1 D - South Bank Avenue'!$Z$107)</f>
        <v>5</v>
      </c>
      <c r="CW107" s="85">
        <f>SUM('J1 A - (North) Bishopthorpe Roa'!$I$107,'J1 B - Butcher Terrace'!$BK$107,'J1 C - (South) Bishopthorpe Roa'!$AS$107,'J1 D - South Bank Avenue'!$AA$107)</f>
        <v>1</v>
      </c>
      <c r="CX107" s="88">
        <f>SUM('J1 A - (North) Bishopthorpe Roa'!$J$107,'J1 B - Butcher Terrace'!$BL$107,'J1 C - (South) Bishopthorpe Roa'!$AT$107,'J1 D - South Bank Avenue'!$AB$107)</f>
        <v>0</v>
      </c>
      <c r="CY107" s="81">
        <f>$CQ$107*VLOOKUP($CQ$11,'PCU Values'!$B$9:$C$16,2,FALSE)</f>
        <v>5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1</v>
      </c>
      <c r="DE107" s="81">
        <f>$CW$107*VLOOKUP($CW$11,'PCU Values'!$B$9:$C$16,2,FALSE)</f>
        <v>0.4</v>
      </c>
      <c r="DF107" s="82">
        <f>$CX$107*VLOOKUP($CX$11,'PCU Values'!$B$9:$C$16,2,FALSE)</f>
        <v>0</v>
      </c>
      <c r="DG107" s="71">
        <f>SUM($CY$107,$CZ$107,$DA$107,$DB$107,$DC$107,$DD$107,$DE$107,$DF$107)</f>
        <v>6.4</v>
      </c>
      <c r="DH107" s="52">
        <f>SUM($CQ$107,$CR$107,$CS$107,$CT$107,$CU$107,$CV$107,$CW$107,$CX$107)</f>
        <v>11</v>
      </c>
    </row>
    <row r="108" spans="1:112" ht="21" customHeight="1">
      <c r="A108" s="46">
        <v>44395.802083333299</v>
      </c>
      <c r="B108" s="47" t="s">
        <v>108</v>
      </c>
      <c r="C108" s="48">
        <v>1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1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1</v>
      </c>
      <c r="T108" s="52">
        <f>SUM($C$108,$D$108,$E$108,$F$108,$G$108,$H$108,$I$108,$J$108)</f>
        <v>1</v>
      </c>
      <c r="U108" s="67">
        <v>0</v>
      </c>
      <c r="V108" s="48">
        <v>0</v>
      </c>
      <c r="W108" s="48">
        <v>0</v>
      </c>
      <c r="X108" s="48">
        <v>0</v>
      </c>
      <c r="Y108" s="48">
        <v>0</v>
      </c>
      <c r="Z108" s="48">
        <v>6</v>
      </c>
      <c r="AA108" s="48">
        <v>0</v>
      </c>
      <c r="AB108" s="56">
        <v>0</v>
      </c>
      <c r="AC108" s="57">
        <f>$U$108*VLOOKUP($U$11,'PCU Values'!$B$9:$C$16,2,FALSE)</f>
        <v>0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1.2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1.2</v>
      </c>
      <c r="AL108" s="52">
        <f>SUM($U$108,$V$108,$W$108,$X$108,$Y$108,$Z$108,$AA$108,$AB$108)</f>
        <v>6</v>
      </c>
      <c r="AM108" s="67">
        <v>2</v>
      </c>
      <c r="AN108" s="48">
        <v>0</v>
      </c>
      <c r="AO108" s="48">
        <v>0</v>
      </c>
      <c r="AP108" s="48">
        <v>0</v>
      </c>
      <c r="AQ108" s="48">
        <v>0</v>
      </c>
      <c r="AR108" s="48">
        <v>2</v>
      </c>
      <c r="AS108" s="48">
        <v>1</v>
      </c>
      <c r="AT108" s="56">
        <v>0</v>
      </c>
      <c r="AU108" s="57">
        <f>$AM$108*VLOOKUP($AM$11,'PCU Values'!$B$9:$C$16,2,FALSE)</f>
        <v>2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0.4</v>
      </c>
      <c r="BA108" s="57">
        <f>$AS$108*VLOOKUP($AS$11,'PCU Values'!$B$9:$C$16,2,FALSE)</f>
        <v>0.4</v>
      </c>
      <c r="BB108" s="65">
        <f>$AT$108*VLOOKUP($AT$11,'PCU Values'!$B$9:$C$16,2,FALSE)</f>
        <v>0</v>
      </c>
      <c r="BC108" s="66">
        <f>SUM($AU$108,$AV$108,$AW$108,$AX$108,$AY$108,$AZ$108,$BA$108,$BB$108)</f>
        <v>2.8</v>
      </c>
      <c r="BD108" s="52">
        <f>SUM($AM$108,$AN$108,$AO$108,$AP$108,$AQ$108,$AR$108,$AS$108,$AT$108)</f>
        <v>5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3</v>
      </c>
      <c r="BZ108" s="83">
        <f>SUM($D$108,$V$108,$AN$108,$BF$108)</f>
        <v>0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8</v>
      </c>
      <c r="CE108" s="83">
        <f>SUM($I$108,$AA$108,$AS$108,$BK$108)</f>
        <v>1</v>
      </c>
      <c r="CF108" s="86">
        <f>SUM($J$108,$AB$108,$AT$108,$BL$108)</f>
        <v>0</v>
      </c>
      <c r="CG108" s="77">
        <f>$BY$108*VLOOKUP($BY$11,'PCU Values'!$B$9:$C$16,2,FALSE)</f>
        <v>3</v>
      </c>
      <c r="CH108" s="77">
        <f>$BZ$108*VLOOKUP($BZ$11,'PCU Values'!$B$9:$C$16,2,FALSE)</f>
        <v>0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1.6</v>
      </c>
      <c r="CM108" s="77">
        <f>$CE$108*VLOOKUP($CE$11,'PCU Values'!$B$9:$C$16,2,FALSE)</f>
        <v>0.4</v>
      </c>
      <c r="CN108" s="78">
        <f>$CF$108*VLOOKUP($CF$11,'PCU Values'!$B$9:$C$16,2,FALSE)</f>
        <v>0</v>
      </c>
      <c r="CO108" s="66">
        <f>SUM($CG$108,$CH$108,$CI$108,$CJ$108,$CK$108,$CL$108,$CM$108,$CN$108)</f>
        <v>5</v>
      </c>
      <c r="CP108" s="52">
        <f>SUM($BY$108,$BZ$108,$CA$108,$CB$108,$CC$108,$CD$108,$CE$108,$CF$108)</f>
        <v>12</v>
      </c>
      <c r="CQ108" s="89">
        <f>SUM('J1 A - (North) Bishopthorpe Roa'!$C$108,'J1 B - Butcher Terrace'!$BE$108,'J1 C - (South) Bishopthorpe Roa'!$AM$108,'J1 D - South Bank Avenue'!$U$108)</f>
        <v>12</v>
      </c>
      <c r="CR108" s="83">
        <f>SUM('J1 A - (North) Bishopthorpe Roa'!$D$108,'J1 B - Butcher Terrace'!$BF$108,'J1 C - (South) Bishopthorpe Roa'!$AN$108,'J1 D - South Bank Avenue'!$V$108)</f>
        <v>0</v>
      </c>
      <c r="CS108" s="83">
        <f>SUM('J1 A - (North) Bishopthorpe Roa'!$E$108,'J1 B - Butcher Terrace'!$BG$108,'J1 C - (South) Bishopthorpe Roa'!$AO$108,'J1 D - South Bank Avenue'!$W$108)</f>
        <v>0</v>
      </c>
      <c r="CT108" s="83">
        <f>SUM('J1 A - (North) Bishopthorpe Roa'!$F$108,'J1 B - Butcher Terrace'!$BH$108,'J1 C - (South) Bishopthorpe Roa'!$AP$108,'J1 D - South Bank Avenue'!$X$108)</f>
        <v>0</v>
      </c>
      <c r="CU108" s="83">
        <f>SUM('J1 A - (North) Bishopthorpe Roa'!$G$108,'J1 B - Butcher Terrace'!$BI$108,'J1 C - (South) Bishopthorpe Roa'!$AQ$108,'J1 D - South Bank Avenue'!$Y$108)</f>
        <v>0</v>
      </c>
      <c r="CV108" s="83">
        <f>SUM('J1 A - (North) Bishopthorpe Roa'!$H$108,'J1 B - Butcher Terrace'!$BJ$108,'J1 C - (South) Bishopthorpe Roa'!$AR$108,'J1 D - South Bank Avenue'!$Z$108)</f>
        <v>5</v>
      </c>
      <c r="CW108" s="83">
        <f>SUM('J1 A - (North) Bishopthorpe Roa'!$I$108,'J1 B - Butcher Terrace'!$BK$108,'J1 C - (South) Bishopthorpe Roa'!$AS$108,'J1 D - South Bank Avenue'!$AA$108)</f>
        <v>0</v>
      </c>
      <c r="CX108" s="86">
        <f>SUM('J1 A - (North) Bishopthorpe Roa'!$J$108,'J1 B - Butcher Terrace'!$BL$108,'J1 C - (South) Bishopthorpe Roa'!$AT$108,'J1 D - South Bank Avenue'!$AB$108)</f>
        <v>0</v>
      </c>
      <c r="CY108" s="77">
        <f>$CQ$108*VLOOKUP($CQ$11,'PCU Values'!$B$9:$C$16,2,FALSE)</f>
        <v>12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13</v>
      </c>
      <c r="DH108" s="52">
        <f>SUM($CQ$108,$CR$108,$CS$108,$CT$108,$CU$108,$CV$108,$CW$108,$CX$108)</f>
        <v>17</v>
      </c>
    </row>
    <row r="109" spans="1:112" ht="21" customHeight="1">
      <c r="A109" s="46">
        <v>44395.8125</v>
      </c>
      <c r="B109" s="47" t="s">
        <v>109</v>
      </c>
      <c r="C109" s="48">
        <v>3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3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3</v>
      </c>
      <c r="T109" s="52">
        <f>SUM($C$109,$D$109,$E$109,$F$109,$G$109,$H$109,$I$109,$J$109)</f>
        <v>3</v>
      </c>
      <c r="U109" s="67">
        <v>0</v>
      </c>
      <c r="V109" s="48">
        <v>0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56">
        <v>0</v>
      </c>
      <c r="AC109" s="57">
        <f>$U$109*VLOOKUP($U$11,'PCU Values'!$B$9:$C$16,2,FALSE)</f>
        <v>0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0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0</v>
      </c>
      <c r="AL109" s="52">
        <f>SUM($U$109,$V$109,$W$109,$X$109,$Y$109,$Z$109,$AA$109,$AB$109)</f>
        <v>0</v>
      </c>
      <c r="AM109" s="67">
        <v>3</v>
      </c>
      <c r="AN109" s="48">
        <v>0</v>
      </c>
      <c r="AO109" s="48">
        <v>0</v>
      </c>
      <c r="AP109" s="48">
        <v>0</v>
      </c>
      <c r="AQ109" s="48">
        <v>0</v>
      </c>
      <c r="AR109" s="48">
        <v>3</v>
      </c>
      <c r="AS109" s="48">
        <v>0</v>
      </c>
      <c r="AT109" s="56">
        <v>0</v>
      </c>
      <c r="AU109" s="57">
        <f>$AM$109*VLOOKUP($AM$11,'PCU Values'!$B$9:$C$16,2,FALSE)</f>
        <v>3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0.6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3.6</v>
      </c>
      <c r="BD109" s="52">
        <f>SUM($AM$109,$AN$109,$AO$109,$AP$109,$AQ$109,$AR$109,$AS$109,$AT$109)</f>
        <v>6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6</v>
      </c>
      <c r="BZ109" s="83">
        <f>SUM($D$109,$V$109,$AN$109,$BF$109)</f>
        <v>0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3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6</v>
      </c>
      <c r="CH109" s="77">
        <f>$BZ$109*VLOOKUP($BZ$11,'PCU Values'!$B$9:$C$16,2,FALSE)</f>
        <v>0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0.6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6.6</v>
      </c>
      <c r="CP109" s="52">
        <f>SUM($BY$109,$BZ$109,$CA$109,$CB$109,$CC$109,$CD$109,$CE$109,$CF$109)</f>
        <v>9</v>
      </c>
      <c r="CQ109" s="89">
        <f>SUM('J1 A - (North) Bishopthorpe Roa'!$C$109,'J1 B - Butcher Terrace'!$BE$109,'J1 C - (South) Bishopthorpe Roa'!$AM$109,'J1 D - South Bank Avenue'!$U$109)</f>
        <v>4</v>
      </c>
      <c r="CR109" s="83">
        <f>SUM('J1 A - (North) Bishopthorpe Roa'!$D$109,'J1 B - Butcher Terrace'!$BF$109,'J1 C - (South) Bishopthorpe Roa'!$AN$109,'J1 D - South Bank Avenue'!$V$109)</f>
        <v>1</v>
      </c>
      <c r="CS109" s="83">
        <f>SUM('J1 A - (North) Bishopthorpe Roa'!$E$109,'J1 B - Butcher Terrace'!$BG$109,'J1 C - (South) Bishopthorpe Roa'!$AO$109,'J1 D - South Bank Avenue'!$W$109)</f>
        <v>0</v>
      </c>
      <c r="CT109" s="83">
        <f>SUM('J1 A - (North) Bishopthorpe Roa'!$F$109,'J1 B - Butcher Terrace'!$BH$109,'J1 C - (South) Bishopthorpe Roa'!$AP$109,'J1 D - South Bank Avenue'!$X$109)</f>
        <v>0</v>
      </c>
      <c r="CU109" s="83">
        <f>SUM('J1 A - (North) Bishopthorpe Roa'!$G$109,'J1 B - Butcher Terrace'!$BI$109,'J1 C - (South) Bishopthorpe Roa'!$AQ$109,'J1 D - South Bank Avenue'!$Y$109)</f>
        <v>0</v>
      </c>
      <c r="CV109" s="83">
        <f>SUM('J1 A - (North) Bishopthorpe Roa'!$H$109,'J1 B - Butcher Terrace'!$BJ$109,'J1 C - (South) Bishopthorpe Roa'!$AR$109,'J1 D - South Bank Avenue'!$Z$109)</f>
        <v>8</v>
      </c>
      <c r="CW109" s="83">
        <f>SUM('J1 A - (North) Bishopthorpe Roa'!$I$109,'J1 B - Butcher Terrace'!$BK$109,'J1 C - (South) Bishopthorpe Roa'!$AS$109,'J1 D - South Bank Avenue'!$AA$109)</f>
        <v>0</v>
      </c>
      <c r="CX109" s="86">
        <f>SUM('J1 A - (North) Bishopthorpe Roa'!$J$109,'J1 B - Butcher Terrace'!$BL$109,'J1 C - (South) Bishopthorpe Roa'!$AT$109,'J1 D - South Bank Avenue'!$AB$109)</f>
        <v>0</v>
      </c>
      <c r="CY109" s="77">
        <f>$CQ$109*VLOOKUP($CQ$11,'PCU Values'!$B$9:$C$16,2,FALSE)</f>
        <v>4</v>
      </c>
      <c r="CZ109" s="77">
        <f>$CR$109*VLOOKUP($CR$11,'PCU Values'!$B$9:$C$16,2,FALSE)</f>
        <v>1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1.6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6.6</v>
      </c>
      <c r="DH109" s="52">
        <f>SUM($CQ$109,$CR$109,$CS$109,$CT$109,$CU$109,$CV$109,$CW$109,$CX$109)</f>
        <v>13</v>
      </c>
    </row>
    <row r="110" spans="1:112" ht="21" customHeight="1">
      <c r="A110" s="46">
        <v>44395.822916666701</v>
      </c>
      <c r="B110" s="50" t="s">
        <v>110</v>
      </c>
      <c r="C110" s="51">
        <v>6</v>
      </c>
      <c r="D110" s="51">
        <v>1</v>
      </c>
      <c r="E110" s="51">
        <v>0</v>
      </c>
      <c r="F110" s="51">
        <v>0</v>
      </c>
      <c r="G110" s="51">
        <v>0</v>
      </c>
      <c r="H110" s="51">
        <v>6</v>
      </c>
      <c r="I110" s="51">
        <v>0</v>
      </c>
      <c r="J110" s="59">
        <v>0</v>
      </c>
      <c r="K110" s="60">
        <f>$C$110*VLOOKUP($C$11,'PCU Values'!$B$9:$C$16,2,FALSE)</f>
        <v>6</v>
      </c>
      <c r="L110" s="60">
        <f>$D$110*VLOOKUP($D$11,'PCU Values'!$B$9:$C$16,2,FALSE)</f>
        <v>1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1.2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8.1999999999999993</v>
      </c>
      <c r="T110" s="52">
        <f>SUM($C$110,$D$110,$E$110,$F$110,$G$110,$H$110,$I$110,$J$110)</f>
        <v>13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4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0.8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0.8</v>
      </c>
      <c r="AL110" s="52">
        <f>SUM($U$110,$V$110,$W$110,$X$110,$Y$110,$Z$110,$AA$110,$AB$110)</f>
        <v>4</v>
      </c>
      <c r="AM110" s="73">
        <v>2</v>
      </c>
      <c r="AN110" s="51">
        <v>0</v>
      </c>
      <c r="AO110" s="51">
        <v>0</v>
      </c>
      <c r="AP110" s="51">
        <v>0</v>
      </c>
      <c r="AQ110" s="51">
        <v>0</v>
      </c>
      <c r="AR110" s="51">
        <v>2</v>
      </c>
      <c r="AS110" s="51">
        <v>1</v>
      </c>
      <c r="AT110" s="59">
        <v>0</v>
      </c>
      <c r="AU110" s="60">
        <f>$AM$110*VLOOKUP($AM$11,'PCU Values'!$B$9:$C$16,2,FALSE)</f>
        <v>2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0.4</v>
      </c>
      <c r="BA110" s="60">
        <f>$AS$110*VLOOKUP($AS$11,'PCU Values'!$B$9:$C$16,2,FALSE)</f>
        <v>0.4</v>
      </c>
      <c r="BB110" s="68">
        <f>$AT$110*VLOOKUP($AT$11,'PCU Values'!$B$9:$C$16,2,FALSE)</f>
        <v>0</v>
      </c>
      <c r="BC110" s="63">
        <f>SUM($AU$110,$AV$110,$AW$110,$AX$110,$AY$110,$AZ$110,$BA$110,$BB$110)</f>
        <v>2.8</v>
      </c>
      <c r="BD110" s="52">
        <f>SUM($AM$110,$AN$110,$AO$110,$AP$110,$AQ$110,$AR$110,$AS$110,$AT$110)</f>
        <v>5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8</v>
      </c>
      <c r="BZ110" s="84">
        <f>SUM($D$110,$V$110,$AN$110,$BF$110)</f>
        <v>1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12</v>
      </c>
      <c r="CE110" s="84">
        <f>SUM($I$110,$AA$110,$AS$110,$BK$110)</f>
        <v>1</v>
      </c>
      <c r="CF110" s="87">
        <f>SUM($J$110,$AB$110,$AT$110,$BL$110)</f>
        <v>0</v>
      </c>
      <c r="CG110" s="79">
        <f>$BY$110*VLOOKUP($BY$11,'PCU Values'!$B$9:$C$16,2,FALSE)</f>
        <v>8</v>
      </c>
      <c r="CH110" s="79">
        <f>$BZ$110*VLOOKUP($BZ$11,'PCU Values'!$B$9:$C$16,2,FALSE)</f>
        <v>1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2.4</v>
      </c>
      <c r="CM110" s="79">
        <f>$CE$110*VLOOKUP($CE$11,'PCU Values'!$B$9:$C$16,2,FALSE)</f>
        <v>0.4</v>
      </c>
      <c r="CN110" s="80">
        <f>$CF$110*VLOOKUP($CF$11,'PCU Values'!$B$9:$C$16,2,FALSE)</f>
        <v>0</v>
      </c>
      <c r="CO110" s="63">
        <f>SUM($CG$110,$CH$110,$CI$110,$CJ$110,$CK$110,$CL$110,$CM$110,$CN$110)</f>
        <v>11.8</v>
      </c>
      <c r="CP110" s="52">
        <f>SUM($BY$110,$BZ$110,$CA$110,$CB$110,$CC$110,$CD$110,$CE$110,$CF$110)</f>
        <v>22</v>
      </c>
      <c r="CQ110" s="90">
        <f>SUM('J1 A - (North) Bishopthorpe Roa'!$C$110,'J1 B - Butcher Terrace'!$BE$110,'J1 C - (South) Bishopthorpe Roa'!$AM$110,'J1 D - South Bank Avenue'!$U$110)</f>
        <v>9</v>
      </c>
      <c r="CR110" s="84">
        <f>SUM('J1 A - (North) Bishopthorpe Roa'!$D$110,'J1 B - Butcher Terrace'!$BF$110,'J1 C - (South) Bishopthorpe Roa'!$AN$110,'J1 D - South Bank Avenue'!$V$110)</f>
        <v>1</v>
      </c>
      <c r="CS110" s="84">
        <f>SUM('J1 A - (North) Bishopthorpe Roa'!$E$110,'J1 B - Butcher Terrace'!$BG$110,'J1 C - (South) Bishopthorpe Roa'!$AO$110,'J1 D - South Bank Avenue'!$W$110)</f>
        <v>0</v>
      </c>
      <c r="CT110" s="84">
        <f>SUM('J1 A - (North) Bishopthorpe Roa'!$F$110,'J1 B - Butcher Terrace'!$BH$110,'J1 C - (South) Bishopthorpe Roa'!$AP$110,'J1 D - South Bank Avenue'!$X$110)</f>
        <v>0</v>
      </c>
      <c r="CU110" s="84">
        <f>SUM('J1 A - (North) Bishopthorpe Roa'!$G$110,'J1 B - Butcher Terrace'!$BI$110,'J1 C - (South) Bishopthorpe Roa'!$AQ$110,'J1 D - South Bank Avenue'!$Y$110)</f>
        <v>0</v>
      </c>
      <c r="CV110" s="84">
        <f>SUM('J1 A - (North) Bishopthorpe Roa'!$H$110,'J1 B - Butcher Terrace'!$BJ$110,'J1 C - (South) Bishopthorpe Roa'!$AR$110,'J1 D - South Bank Avenue'!$Z$110)</f>
        <v>8</v>
      </c>
      <c r="CW110" s="84">
        <f>SUM('J1 A - (North) Bishopthorpe Roa'!$I$110,'J1 B - Butcher Terrace'!$BK$110,'J1 C - (South) Bishopthorpe Roa'!$AS$110,'J1 D - South Bank Avenue'!$AA$110)</f>
        <v>1</v>
      </c>
      <c r="CX110" s="87">
        <f>SUM('J1 A - (North) Bishopthorpe Roa'!$J$110,'J1 B - Butcher Terrace'!$BL$110,'J1 C - (South) Bishopthorpe Roa'!$AT$110,'J1 D - South Bank Avenue'!$AB$110)</f>
        <v>0</v>
      </c>
      <c r="CY110" s="79">
        <f>$CQ$110*VLOOKUP($CQ$11,'PCU Values'!$B$9:$C$16,2,FALSE)</f>
        <v>9</v>
      </c>
      <c r="CZ110" s="79">
        <f>$CR$110*VLOOKUP($CR$11,'PCU Values'!$B$9:$C$16,2,FALSE)</f>
        <v>1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1.6</v>
      </c>
      <c r="DE110" s="79">
        <f>$CW$110*VLOOKUP($CW$11,'PCU Values'!$B$9:$C$16,2,FALSE)</f>
        <v>0.4</v>
      </c>
      <c r="DF110" s="80">
        <f>$CX$110*VLOOKUP($CX$11,'PCU Values'!$B$9:$C$16,2,FALSE)</f>
        <v>0</v>
      </c>
      <c r="DG110" s="63">
        <f>SUM($CY$110,$CZ$110,$DA$110,$DB$110,$DC$110,$DD$110,$DE$110,$DF$110)</f>
        <v>12</v>
      </c>
      <c r="DH110" s="52">
        <f>SUM($CQ$110,$CR$110,$CS$110,$CT$110,$CU$110,$CV$110,$CW$110,$CX$110)</f>
        <v>19</v>
      </c>
    </row>
    <row r="111" spans="1:112">
      <c r="B111" s="52" t="s">
        <v>34</v>
      </c>
      <c r="C111" s="52">
        <f>SUM($C$107:$C$110)</f>
        <v>13</v>
      </c>
      <c r="D111" s="52">
        <f>SUM($D$107:$D$110)</f>
        <v>1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7</v>
      </c>
      <c r="I111" s="52">
        <f>SUM($I$107:$I$110)</f>
        <v>0</v>
      </c>
      <c r="J111" s="52">
        <f>SUM($J$107:$J$110)</f>
        <v>0</v>
      </c>
      <c r="K111" s="52">
        <f>SUM($K$107:$K$110)</f>
        <v>13</v>
      </c>
      <c r="L111" s="52">
        <f>SUM($L$107:$L$110)</f>
        <v>1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15</v>
      </c>
      <c r="T111" s="52">
        <f>SUM($C$111,$D$111,$E$111,$F$111,$G$111,$H$111,$I$111,$J$111)</f>
        <v>21</v>
      </c>
      <c r="U111" s="52">
        <f>SUM($U$107:$U$110)</f>
        <v>0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13</v>
      </c>
      <c r="AA111" s="52">
        <f>SUM($AA$107:$AA$110)</f>
        <v>0</v>
      </c>
      <c r="AB111" s="52">
        <f>SUM($AB$107:$AB$110)</f>
        <v>0</v>
      </c>
      <c r="AC111" s="52">
        <f>SUM($AC$107:$AC$110)</f>
        <v>0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3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3</v>
      </c>
      <c r="AL111" s="52">
        <f>SUM($U$111,$V$111,$W$111,$X$111,$Y$111,$Z$111,$AA$111,$AB$111)</f>
        <v>13</v>
      </c>
      <c r="AM111" s="52">
        <f>SUM($AM$107:$AM$110)</f>
        <v>10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7</v>
      </c>
      <c r="AS111" s="52">
        <f>SUM($AS$107:$AS$110)</f>
        <v>2</v>
      </c>
      <c r="AT111" s="52">
        <f>SUM($AT$107:$AT$110)</f>
        <v>0</v>
      </c>
      <c r="AU111" s="52">
        <f>SUM($AU$107:$AU$110)</f>
        <v>10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1</v>
      </c>
      <c r="BA111" s="52">
        <f>SUM($BA$107:$BA$110)</f>
        <v>1</v>
      </c>
      <c r="BB111" s="52">
        <f>SUM($BB$107:$BB$110)</f>
        <v>0</v>
      </c>
      <c r="BC111" s="52">
        <f>SUM($AU$111,$AV$111,$AW$111,$AX$111,$AY$111,$AZ$111,$BA$111,$BB$111)</f>
        <v>12</v>
      </c>
      <c r="BD111" s="52">
        <f>SUM($AM$111,$AN$111,$AO$111,$AP$111,$AQ$111,$AR$111,$AS$111,$AT$111)</f>
        <v>19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23</v>
      </c>
      <c r="BZ111" s="52">
        <f>SUM($BZ$107:$BZ$110)</f>
        <v>1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27</v>
      </c>
      <c r="CE111" s="52">
        <f>SUM($CE$107:$CE$110)</f>
        <v>2</v>
      </c>
      <c r="CF111" s="52">
        <f>SUM($CF$107:$CF$110)</f>
        <v>0</v>
      </c>
      <c r="CG111" s="52">
        <f>SUM($CG$107:$CG$110)</f>
        <v>23</v>
      </c>
      <c r="CH111" s="52">
        <f>SUM($CH$107:$CH$110)</f>
        <v>1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5</v>
      </c>
      <c r="CM111" s="52">
        <f>SUM($CM$107:$CM$110)</f>
        <v>1</v>
      </c>
      <c r="CN111" s="52">
        <f>SUM($CN$107:$CN$110)</f>
        <v>0</v>
      </c>
      <c r="CO111" s="52">
        <f>SUM($CG$111,$CH$111,$CI$111,$CJ$111,$CK$111,$CL$111,$CM$111,$CN$111)</f>
        <v>30</v>
      </c>
      <c r="CP111" s="52">
        <f>SUM($BY$111,$BZ$111,$CA$111,$CB$111,$CC$111,$CD$111,$CE$111,$CF$111)</f>
        <v>53</v>
      </c>
      <c r="CQ111" s="52">
        <f>SUM($CQ$107:$CQ$110)</f>
        <v>30</v>
      </c>
      <c r="CR111" s="52">
        <f>SUM($CR$107:$CR$110)</f>
        <v>2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26</v>
      </c>
      <c r="CW111" s="52">
        <f>SUM($CW$107:$CW$110)</f>
        <v>2</v>
      </c>
      <c r="CX111" s="52">
        <f>SUM($CX$107:$CX$110)</f>
        <v>0</v>
      </c>
      <c r="CY111" s="52">
        <f>SUM($CY$107:$CY$110)</f>
        <v>30</v>
      </c>
      <c r="CZ111" s="52">
        <f>SUM($CZ$107:$CZ$110)</f>
        <v>2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5</v>
      </c>
      <c r="DE111" s="52">
        <f>SUM($DE$107:$DE$110)</f>
        <v>1</v>
      </c>
      <c r="DF111" s="52">
        <f>SUM($DF$107:$DF$110)</f>
        <v>0</v>
      </c>
      <c r="DG111" s="52">
        <f>SUM($CY$111,$CZ$111,$DA$111,$DB$111,$DC$111,$DD$111,$DE$111,$DF$111)</f>
        <v>38</v>
      </c>
      <c r="DH111" s="52">
        <f>SUM($CQ$111,$CR$111,$CS$111,$CT$111,$CU$111,$CV$111,$CW$111,$CX$111)</f>
        <v>60</v>
      </c>
    </row>
    <row r="112" spans="1:112" ht="21" customHeight="1">
      <c r="A112" s="46">
        <v>44395.833333333299</v>
      </c>
      <c r="B112" s="53" t="s">
        <v>111</v>
      </c>
      <c r="C112" s="54">
        <v>0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1</v>
      </c>
      <c r="J112" s="61">
        <v>0</v>
      </c>
      <c r="K112" s="62">
        <f>$C$112*VLOOKUP($C$11,'PCU Values'!$B$9:$C$16,2,FALSE)</f>
        <v>0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0.4</v>
      </c>
      <c r="R112" s="70">
        <f>$J$112*VLOOKUP($J$11,'PCU Values'!$B$9:$C$16,2,FALSE)</f>
        <v>0</v>
      </c>
      <c r="S112" s="71">
        <f>SUM($K$112,$L$112,$M$112,$N$112,$O$112,$P$112,$Q$112,$R$112)</f>
        <v>0.4</v>
      </c>
      <c r="T112" s="52">
        <f>SUM($C$112,$D$112,$E$112,$F$112,$G$112,$H$112,$I$112,$J$112)</f>
        <v>1</v>
      </c>
      <c r="U112" s="72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6</v>
      </c>
      <c r="AA112" s="54">
        <v>0</v>
      </c>
      <c r="AB112" s="61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1.2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1.2</v>
      </c>
      <c r="AL112" s="52">
        <f>SUM($U$112,$V$112,$W$112,$X$112,$Y$112,$Z$112,$AA$112,$AB$112)</f>
        <v>6</v>
      </c>
      <c r="AM112" s="72">
        <v>2</v>
      </c>
      <c r="AN112" s="54">
        <v>0</v>
      </c>
      <c r="AO112" s="54">
        <v>0</v>
      </c>
      <c r="AP112" s="54">
        <v>0</v>
      </c>
      <c r="AQ112" s="54">
        <v>0</v>
      </c>
      <c r="AR112" s="54">
        <v>0</v>
      </c>
      <c r="AS112" s="54">
        <v>1</v>
      </c>
      <c r="AT112" s="61">
        <v>0</v>
      </c>
      <c r="AU112" s="62">
        <f>$AM$112*VLOOKUP($AM$11,'PCU Values'!$B$9:$C$16,2,FALSE)</f>
        <v>2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</v>
      </c>
      <c r="BA112" s="62">
        <f>$AS$112*VLOOKUP($AS$11,'PCU Values'!$B$9:$C$16,2,FALSE)</f>
        <v>0.4</v>
      </c>
      <c r="BB112" s="70">
        <f>$AT$112*VLOOKUP($AT$11,'PCU Values'!$B$9:$C$16,2,FALSE)</f>
        <v>0</v>
      </c>
      <c r="BC112" s="71">
        <f>SUM($AU$112,$AV$112,$AW$112,$AX$112,$AY$112,$AZ$112,$BA$112,$BB$112)</f>
        <v>2.4</v>
      </c>
      <c r="BD112" s="52">
        <f>SUM($AM$112,$AN$112,$AO$112,$AP$112,$AQ$112,$AR$112,$AS$112,$AT$112)</f>
        <v>3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2</v>
      </c>
      <c r="BZ112" s="85">
        <f>SUM($D$112,$V$112,$AN$112,$BF$112)</f>
        <v>0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6</v>
      </c>
      <c r="CE112" s="85">
        <f>SUM($I$112,$AA$112,$AS$112,$BK$112)</f>
        <v>2</v>
      </c>
      <c r="CF112" s="88">
        <f>SUM($J$112,$AB$112,$AT$112,$BL$112)</f>
        <v>0</v>
      </c>
      <c r="CG112" s="81">
        <f>$BY$112*VLOOKUP($BY$11,'PCU Values'!$B$9:$C$16,2,FALSE)</f>
        <v>2</v>
      </c>
      <c r="CH112" s="81">
        <f>$BZ$112*VLOOKUP($BZ$11,'PCU Values'!$B$9:$C$16,2,FALSE)</f>
        <v>0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1.2</v>
      </c>
      <c r="CM112" s="81">
        <f>$CE$112*VLOOKUP($CE$11,'PCU Values'!$B$9:$C$16,2,FALSE)</f>
        <v>0.8</v>
      </c>
      <c r="CN112" s="82">
        <f>$CF$112*VLOOKUP($CF$11,'PCU Values'!$B$9:$C$16,2,FALSE)</f>
        <v>0</v>
      </c>
      <c r="CO112" s="71">
        <f>SUM($CG$112,$CH$112,$CI$112,$CJ$112,$CK$112,$CL$112,$CM$112,$CN$112)</f>
        <v>4</v>
      </c>
      <c r="CP112" s="52">
        <f>SUM($BY$112,$BZ$112,$CA$112,$CB$112,$CC$112,$CD$112,$CE$112,$CF$112)</f>
        <v>10</v>
      </c>
      <c r="CQ112" s="91">
        <f>SUM('J1 A - (North) Bishopthorpe Roa'!$C$112,'J1 B - Butcher Terrace'!$BE$112,'J1 C - (South) Bishopthorpe Roa'!$AM$112,'J1 D - South Bank Avenue'!$U$112)</f>
        <v>4</v>
      </c>
      <c r="CR112" s="85">
        <f>SUM('J1 A - (North) Bishopthorpe Roa'!$D$112,'J1 B - Butcher Terrace'!$BF$112,'J1 C - (South) Bishopthorpe Roa'!$AN$112,'J1 D - South Bank Avenue'!$V$112)</f>
        <v>0</v>
      </c>
      <c r="CS112" s="85">
        <f>SUM('J1 A - (North) Bishopthorpe Roa'!$E$112,'J1 B - Butcher Terrace'!$BG$112,'J1 C - (South) Bishopthorpe Roa'!$AO$112,'J1 D - South Bank Avenue'!$W$112)</f>
        <v>0</v>
      </c>
      <c r="CT112" s="85">
        <f>SUM('J1 A - (North) Bishopthorpe Roa'!$F$112,'J1 B - Butcher Terrace'!$BH$112,'J1 C - (South) Bishopthorpe Roa'!$AP$112,'J1 D - South Bank Avenue'!$X$112)</f>
        <v>0</v>
      </c>
      <c r="CU112" s="85">
        <f>SUM('J1 A - (North) Bishopthorpe Roa'!$G$112,'J1 B - Butcher Terrace'!$BI$112,'J1 C - (South) Bishopthorpe Roa'!$AQ$112,'J1 D - South Bank Avenue'!$Y$112)</f>
        <v>0</v>
      </c>
      <c r="CV112" s="85">
        <f>SUM('J1 A - (North) Bishopthorpe Roa'!$H$112,'J1 B - Butcher Terrace'!$BJ$112,'J1 C - (South) Bishopthorpe Roa'!$AR$112,'J1 D - South Bank Avenue'!$Z$112)</f>
        <v>8</v>
      </c>
      <c r="CW112" s="85">
        <f>SUM('J1 A - (North) Bishopthorpe Roa'!$I$112,'J1 B - Butcher Terrace'!$BK$112,'J1 C - (South) Bishopthorpe Roa'!$AS$112,'J1 D - South Bank Avenue'!$AA$112)</f>
        <v>0</v>
      </c>
      <c r="CX112" s="88">
        <f>SUM('J1 A - (North) Bishopthorpe Roa'!$J$112,'J1 B - Butcher Terrace'!$BL$112,'J1 C - (South) Bishopthorpe Roa'!$AT$112,'J1 D - South Bank Avenue'!$AB$112)</f>
        <v>0</v>
      </c>
      <c r="CY112" s="81">
        <f>$CQ$112*VLOOKUP($CQ$11,'PCU Values'!$B$9:$C$16,2,FALSE)</f>
        <v>4</v>
      </c>
      <c r="CZ112" s="81">
        <f>$CR$112*VLOOKUP($CR$11,'PCU Values'!$B$9:$C$16,2,FALSE)</f>
        <v>0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1.6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5.6</v>
      </c>
      <c r="DH112" s="52">
        <f>SUM($CQ$112,$CR$112,$CS$112,$CT$112,$CU$112,$CV$112,$CW$112,$CX$112)</f>
        <v>12</v>
      </c>
    </row>
    <row r="113" spans="1:112" ht="21" customHeight="1">
      <c r="A113" s="46">
        <v>44395.84375</v>
      </c>
      <c r="B113" s="47" t="s">
        <v>112</v>
      </c>
      <c r="C113" s="48">
        <v>3</v>
      </c>
      <c r="D113" s="48">
        <v>0</v>
      </c>
      <c r="E113" s="48">
        <v>0</v>
      </c>
      <c r="F113" s="48">
        <v>0</v>
      </c>
      <c r="G113" s="48">
        <v>0</v>
      </c>
      <c r="H113" s="48">
        <v>2</v>
      </c>
      <c r="I113" s="48">
        <v>0</v>
      </c>
      <c r="J113" s="56">
        <v>0</v>
      </c>
      <c r="K113" s="57">
        <f>$C$113*VLOOKUP($C$11,'PCU Values'!$B$9:$C$16,2,FALSE)</f>
        <v>3</v>
      </c>
      <c r="L113" s="57">
        <f>$D$113*VLOOKUP($D$11,'PCU Values'!$B$9:$C$16,2,FALSE)</f>
        <v>0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0.4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3.4</v>
      </c>
      <c r="T113" s="52">
        <f>SUM($C$113,$D$113,$E$113,$F$113,$G$113,$H$113,$I$113,$J$113)</f>
        <v>5</v>
      </c>
      <c r="U113" s="67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1</v>
      </c>
      <c r="AA113" s="48">
        <v>0</v>
      </c>
      <c r="AB113" s="56">
        <v>0</v>
      </c>
      <c r="AC113" s="57">
        <f>$U$113*VLOOKUP($U$11,'PCU Values'!$B$9:$C$16,2,FALSE)</f>
        <v>0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0.2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0.2</v>
      </c>
      <c r="AL113" s="52">
        <f>SUM($U$113,$V$113,$W$113,$X$113,$Y$113,$Z$113,$AA$113,$AB$113)</f>
        <v>1</v>
      </c>
      <c r="AM113" s="67">
        <v>2</v>
      </c>
      <c r="AN113" s="48">
        <v>0</v>
      </c>
      <c r="AO113" s="48">
        <v>0</v>
      </c>
      <c r="AP113" s="48">
        <v>0</v>
      </c>
      <c r="AQ113" s="48">
        <v>0</v>
      </c>
      <c r="AR113" s="48">
        <v>2</v>
      </c>
      <c r="AS113" s="48">
        <v>0</v>
      </c>
      <c r="AT113" s="56">
        <v>0</v>
      </c>
      <c r="AU113" s="57">
        <f>$AM$113*VLOOKUP($AM$11,'PCU Values'!$B$9:$C$16,2,FALSE)</f>
        <v>2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0.4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2.4</v>
      </c>
      <c r="BD113" s="52">
        <f>SUM($AM$113,$AN$113,$AO$113,$AP$113,$AQ$113,$AR$113,$AS$113,$AT$113)</f>
        <v>4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5</v>
      </c>
      <c r="BZ113" s="83">
        <f>SUM($D$113,$V$113,$AN$113,$BF$113)</f>
        <v>0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5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5</v>
      </c>
      <c r="CH113" s="77">
        <f>$BZ$113*VLOOKUP($BZ$11,'PCU Values'!$B$9:$C$16,2,FALSE)</f>
        <v>0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1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6</v>
      </c>
      <c r="CP113" s="52">
        <f>SUM($BY$113,$BZ$113,$CA$113,$CB$113,$CC$113,$CD$113,$CE$113,$CF$113)</f>
        <v>10</v>
      </c>
      <c r="CQ113" s="89">
        <f>SUM('J1 A - (North) Bishopthorpe Roa'!$C$113,'J1 B - Butcher Terrace'!$BE$113,'J1 C - (South) Bishopthorpe Roa'!$AM$113,'J1 D - South Bank Avenue'!$U$113)</f>
        <v>4</v>
      </c>
      <c r="CR113" s="83">
        <f>SUM('J1 A - (North) Bishopthorpe Roa'!$D$113,'J1 B - Butcher Terrace'!$BF$113,'J1 C - (South) Bishopthorpe Roa'!$AN$113,'J1 D - South Bank Avenue'!$V$113)</f>
        <v>0</v>
      </c>
      <c r="CS113" s="83">
        <f>SUM('J1 A - (North) Bishopthorpe Roa'!$E$113,'J1 B - Butcher Terrace'!$BG$113,'J1 C - (South) Bishopthorpe Roa'!$AO$113,'J1 D - South Bank Avenue'!$W$113)</f>
        <v>0</v>
      </c>
      <c r="CT113" s="83">
        <f>SUM('J1 A - (North) Bishopthorpe Roa'!$F$113,'J1 B - Butcher Terrace'!$BH$113,'J1 C - (South) Bishopthorpe Roa'!$AP$113,'J1 D - South Bank Avenue'!$X$113)</f>
        <v>0</v>
      </c>
      <c r="CU113" s="83">
        <f>SUM('J1 A - (North) Bishopthorpe Roa'!$G$113,'J1 B - Butcher Terrace'!$BI$113,'J1 C - (South) Bishopthorpe Roa'!$AQ$113,'J1 D - South Bank Avenue'!$Y$113)</f>
        <v>0</v>
      </c>
      <c r="CV113" s="83">
        <f>SUM('J1 A - (North) Bishopthorpe Roa'!$H$113,'J1 B - Butcher Terrace'!$BJ$113,'J1 C - (South) Bishopthorpe Roa'!$AR$113,'J1 D - South Bank Avenue'!$Z$113)</f>
        <v>6</v>
      </c>
      <c r="CW113" s="83">
        <f>SUM('J1 A - (North) Bishopthorpe Roa'!$I$113,'J1 B - Butcher Terrace'!$BK$113,'J1 C - (South) Bishopthorpe Roa'!$AS$113,'J1 D - South Bank Avenue'!$AA$113)</f>
        <v>0</v>
      </c>
      <c r="CX113" s="86">
        <f>SUM('J1 A - (North) Bishopthorpe Roa'!$J$113,'J1 B - Butcher Terrace'!$BL$113,'J1 C - (South) Bishopthorpe Roa'!$AT$113,'J1 D - South Bank Avenue'!$AB$113)</f>
        <v>0</v>
      </c>
      <c r="CY113" s="77">
        <f>$CQ$113*VLOOKUP($CQ$11,'PCU Values'!$B$9:$C$16,2,FALSE)</f>
        <v>4</v>
      </c>
      <c r="CZ113" s="77">
        <f>$CR$113*VLOOKUP($CR$11,'PCU Values'!$B$9:$C$16,2,FALSE)</f>
        <v>0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1.2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5.2</v>
      </c>
      <c r="DH113" s="52">
        <f>SUM($CQ$113,$CR$113,$CS$113,$CT$113,$CU$113,$CV$113,$CW$113,$CX$113)</f>
        <v>10</v>
      </c>
    </row>
    <row r="114" spans="1:112" ht="21" customHeight="1">
      <c r="A114" s="46">
        <v>44395.854166666701</v>
      </c>
      <c r="B114" s="47" t="s">
        <v>113</v>
      </c>
      <c r="C114" s="48">
        <v>1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56">
        <v>0</v>
      </c>
      <c r="K114" s="57">
        <f>$C$114*VLOOKUP($C$11,'PCU Values'!$B$9:$C$16,2,FALSE)</f>
        <v>1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1</v>
      </c>
      <c r="T114" s="52">
        <f>SUM($C$114,$D$114,$E$114,$F$114,$G$114,$H$114,$I$114,$J$114)</f>
        <v>1</v>
      </c>
      <c r="U114" s="67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3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0.6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0.6</v>
      </c>
      <c r="AL114" s="52">
        <f>SUM($U$114,$V$114,$W$114,$X$114,$Y$114,$Z$114,$AA$114,$AB$114)</f>
        <v>3</v>
      </c>
      <c r="AM114" s="67">
        <v>3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56">
        <v>0</v>
      </c>
      <c r="AU114" s="57">
        <f>$AM$114*VLOOKUP($AM$11,'PCU Values'!$B$9:$C$16,2,FALSE)</f>
        <v>3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3</v>
      </c>
      <c r="BD114" s="52">
        <f>SUM($AM$114,$AN$114,$AO$114,$AP$114,$AQ$114,$AR$114,$AS$114,$AT$114)</f>
        <v>3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4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3</v>
      </c>
      <c r="CE114" s="83">
        <f>SUM($I$114,$AA$114,$AS$114,$BK$114)</f>
        <v>0</v>
      </c>
      <c r="CF114" s="86">
        <f>SUM($J$114,$AB$114,$AT$114,$BL$114)</f>
        <v>0</v>
      </c>
      <c r="CG114" s="77">
        <f>$BY$114*VLOOKUP($BY$11,'PCU Values'!$B$9:$C$16,2,FALSE)</f>
        <v>4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0.6</v>
      </c>
      <c r="CM114" s="77">
        <f>$CE$114*VLOOKUP($CE$11,'PCU Values'!$B$9:$C$16,2,FALSE)</f>
        <v>0</v>
      </c>
      <c r="CN114" s="78">
        <f>$CF$114*VLOOKUP($CF$11,'PCU Values'!$B$9:$C$16,2,FALSE)</f>
        <v>0</v>
      </c>
      <c r="CO114" s="66">
        <f>SUM($CG$114,$CH$114,$CI$114,$CJ$114,$CK$114,$CL$114,$CM$114,$CN$114)</f>
        <v>4.5999999999999996</v>
      </c>
      <c r="CP114" s="52">
        <f>SUM($BY$114,$BZ$114,$CA$114,$CB$114,$CC$114,$CD$114,$CE$114,$CF$114)</f>
        <v>7</v>
      </c>
      <c r="CQ114" s="89">
        <f>SUM('J1 A - (North) Bishopthorpe Roa'!$C$114,'J1 B - Butcher Terrace'!$BE$114,'J1 C - (South) Bishopthorpe Roa'!$AM$114,'J1 D - South Bank Avenue'!$U$114)</f>
        <v>6</v>
      </c>
      <c r="CR114" s="83">
        <f>SUM('J1 A - (North) Bishopthorpe Roa'!$D$114,'J1 B - Butcher Terrace'!$BF$114,'J1 C - (South) Bishopthorpe Roa'!$AN$114,'J1 D - South Bank Avenue'!$V$114)</f>
        <v>0</v>
      </c>
      <c r="CS114" s="83">
        <f>SUM('J1 A - (North) Bishopthorpe Roa'!$E$114,'J1 B - Butcher Terrace'!$BG$114,'J1 C - (South) Bishopthorpe Roa'!$AO$114,'J1 D - South Bank Avenue'!$W$114)</f>
        <v>0</v>
      </c>
      <c r="CT114" s="83">
        <f>SUM('J1 A - (North) Bishopthorpe Roa'!$F$114,'J1 B - Butcher Terrace'!$BH$114,'J1 C - (South) Bishopthorpe Roa'!$AP$114,'J1 D - South Bank Avenue'!$X$114)</f>
        <v>0</v>
      </c>
      <c r="CU114" s="83">
        <f>SUM('J1 A - (North) Bishopthorpe Roa'!$G$114,'J1 B - Butcher Terrace'!$BI$114,'J1 C - (South) Bishopthorpe Roa'!$AQ$114,'J1 D - South Bank Avenue'!$Y$114)</f>
        <v>0</v>
      </c>
      <c r="CV114" s="83">
        <f>SUM('J1 A - (North) Bishopthorpe Roa'!$H$114,'J1 B - Butcher Terrace'!$BJ$114,'J1 C - (South) Bishopthorpe Roa'!$AR$114,'J1 D - South Bank Avenue'!$Z$114)</f>
        <v>7</v>
      </c>
      <c r="CW114" s="83">
        <f>SUM('J1 A - (North) Bishopthorpe Roa'!$I$114,'J1 B - Butcher Terrace'!$BK$114,'J1 C - (South) Bishopthorpe Roa'!$AS$114,'J1 D - South Bank Avenue'!$AA$114)</f>
        <v>0</v>
      </c>
      <c r="CX114" s="86">
        <f>SUM('J1 A - (North) Bishopthorpe Roa'!$J$114,'J1 B - Butcher Terrace'!$BL$114,'J1 C - (South) Bishopthorpe Roa'!$AT$114,'J1 D - South Bank Avenue'!$AB$114)</f>
        <v>0</v>
      </c>
      <c r="CY114" s="77">
        <f>$CQ$114*VLOOKUP($CQ$11,'PCU Values'!$B$9:$C$16,2,FALSE)</f>
        <v>6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1.4</v>
      </c>
      <c r="DE114" s="77">
        <f>$CW$114*VLOOKUP($CW$11,'PCU Values'!$B$9:$C$16,2,FALSE)</f>
        <v>0</v>
      </c>
      <c r="DF114" s="78">
        <f>$CX$114*VLOOKUP($CX$11,'PCU Values'!$B$9:$C$16,2,FALSE)</f>
        <v>0</v>
      </c>
      <c r="DG114" s="66">
        <f>SUM($CY$114,$CZ$114,$DA$114,$DB$114,$DC$114,$DD$114,$DE$114,$DF$114)</f>
        <v>7.4</v>
      </c>
      <c r="DH114" s="52">
        <f>SUM($CQ$114,$CR$114,$CS$114,$CT$114,$CU$114,$CV$114,$CW$114,$CX$114)</f>
        <v>13</v>
      </c>
    </row>
    <row r="115" spans="1:112" ht="21" customHeight="1">
      <c r="A115" s="46">
        <v>44395.864583333299</v>
      </c>
      <c r="B115" s="50" t="s">
        <v>114</v>
      </c>
      <c r="C115" s="51">
        <v>1</v>
      </c>
      <c r="D115" s="51">
        <v>0</v>
      </c>
      <c r="E115" s="51">
        <v>0</v>
      </c>
      <c r="F115" s="51">
        <v>0</v>
      </c>
      <c r="G115" s="51">
        <v>0</v>
      </c>
      <c r="H115" s="51">
        <v>2</v>
      </c>
      <c r="I115" s="51">
        <v>0</v>
      </c>
      <c r="J115" s="59">
        <v>0</v>
      </c>
      <c r="K115" s="60">
        <f>$C$115*VLOOKUP($C$11,'PCU Values'!$B$9:$C$16,2,FALSE)</f>
        <v>1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0.4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1.4</v>
      </c>
      <c r="T115" s="52">
        <f>SUM($C$115,$D$115,$E$115,$F$115,$G$115,$H$115,$I$115,$J$115)</f>
        <v>3</v>
      </c>
      <c r="U115" s="73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0</v>
      </c>
      <c r="AA115" s="51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0</v>
      </c>
      <c r="AL115" s="52">
        <f>SUM($U$115,$V$115,$W$115,$X$115,$Y$115,$Z$115,$AA$115,$AB$115)</f>
        <v>0</v>
      </c>
      <c r="AM115" s="73">
        <v>2</v>
      </c>
      <c r="AN115" s="51">
        <v>0</v>
      </c>
      <c r="AO115" s="51">
        <v>0</v>
      </c>
      <c r="AP115" s="51">
        <v>0</v>
      </c>
      <c r="AQ115" s="51">
        <v>0</v>
      </c>
      <c r="AR115" s="51">
        <v>2</v>
      </c>
      <c r="AS115" s="51">
        <v>0</v>
      </c>
      <c r="AT115" s="59">
        <v>0</v>
      </c>
      <c r="AU115" s="60">
        <f>$AM$115*VLOOKUP($AM$11,'PCU Values'!$B$9:$C$16,2,FALSE)</f>
        <v>2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0.4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2.4</v>
      </c>
      <c r="BD115" s="52">
        <f>SUM($AM$115,$AN$115,$AO$115,$AP$115,$AQ$115,$AR$115,$AS$115,$AT$115)</f>
        <v>4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3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4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3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0.8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3.8</v>
      </c>
      <c r="CP115" s="52">
        <f>SUM($BY$115,$BZ$115,$CA$115,$CB$115,$CC$115,$CD$115,$CE$115,$CF$115)</f>
        <v>7</v>
      </c>
      <c r="CQ115" s="90">
        <f>SUM('J1 A - (North) Bishopthorpe Roa'!$C$115,'J1 B - Butcher Terrace'!$BE$115,'J1 C - (South) Bishopthorpe Roa'!$AM$115,'J1 D - South Bank Avenue'!$U$115)</f>
        <v>3</v>
      </c>
      <c r="CR115" s="84">
        <f>SUM('J1 A - (North) Bishopthorpe Roa'!$D$115,'J1 B - Butcher Terrace'!$BF$115,'J1 C - (South) Bishopthorpe Roa'!$AN$115,'J1 D - South Bank Avenue'!$V$115)</f>
        <v>0</v>
      </c>
      <c r="CS115" s="84">
        <f>SUM('J1 A - (North) Bishopthorpe Roa'!$E$115,'J1 B - Butcher Terrace'!$BG$115,'J1 C - (South) Bishopthorpe Roa'!$AO$115,'J1 D - South Bank Avenue'!$W$115)</f>
        <v>0</v>
      </c>
      <c r="CT115" s="84">
        <f>SUM('J1 A - (North) Bishopthorpe Roa'!$F$115,'J1 B - Butcher Terrace'!$BH$115,'J1 C - (South) Bishopthorpe Roa'!$AP$115,'J1 D - South Bank Avenue'!$X$115)</f>
        <v>0</v>
      </c>
      <c r="CU115" s="84">
        <f>SUM('J1 A - (North) Bishopthorpe Roa'!$G$115,'J1 B - Butcher Terrace'!$BI$115,'J1 C - (South) Bishopthorpe Roa'!$AQ$115,'J1 D - South Bank Avenue'!$Y$115)</f>
        <v>0</v>
      </c>
      <c r="CV115" s="84">
        <f>SUM('J1 A - (North) Bishopthorpe Roa'!$H$115,'J1 B - Butcher Terrace'!$BJ$115,'J1 C - (South) Bishopthorpe Roa'!$AR$115,'J1 D - South Bank Avenue'!$Z$115)</f>
        <v>3</v>
      </c>
      <c r="CW115" s="84">
        <f>SUM('J1 A - (North) Bishopthorpe Roa'!$I$115,'J1 B - Butcher Terrace'!$BK$115,'J1 C - (South) Bishopthorpe Roa'!$AS$115,'J1 D - South Bank Avenue'!$AA$115)</f>
        <v>0</v>
      </c>
      <c r="CX115" s="87">
        <f>SUM('J1 A - (North) Bishopthorpe Roa'!$J$115,'J1 B - Butcher Terrace'!$BL$115,'J1 C - (South) Bishopthorpe Roa'!$AT$115,'J1 D - South Bank Avenue'!$AB$115)</f>
        <v>0</v>
      </c>
      <c r="CY115" s="79">
        <f>$CQ$115*VLOOKUP($CQ$11,'PCU Values'!$B$9:$C$16,2,FALSE)</f>
        <v>3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0.6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3.6</v>
      </c>
      <c r="DH115" s="52">
        <f>SUM($CQ$115,$CR$115,$CS$115,$CT$115,$CU$115,$CV$115,$CW$115,$CX$115)</f>
        <v>6</v>
      </c>
    </row>
    <row r="116" spans="1:112">
      <c r="B116" s="52" t="s">
        <v>34</v>
      </c>
      <c r="C116" s="52">
        <f>SUM($C$112:$C$115)</f>
        <v>5</v>
      </c>
      <c r="D116" s="52">
        <f>SUM($D$112:$D$115)</f>
        <v>0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4</v>
      </c>
      <c r="I116" s="52">
        <f>SUM($I$112:$I$115)</f>
        <v>1</v>
      </c>
      <c r="J116" s="52">
        <f>SUM($J$112:$J$115)</f>
        <v>0</v>
      </c>
      <c r="K116" s="52">
        <f>SUM($K$112:$K$115)</f>
        <v>5</v>
      </c>
      <c r="L116" s="52">
        <f>SUM($L$112:$L$115)</f>
        <v>0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6</v>
      </c>
      <c r="T116" s="52">
        <f>SUM($C$116,$D$116,$E$116,$F$116,$G$116,$H$116,$I$116,$J$116)</f>
        <v>10</v>
      </c>
      <c r="U116" s="52">
        <f>SUM($U$112:$U$115)</f>
        <v>0</v>
      </c>
      <c r="V116" s="52">
        <f>SUM($V$112:$V$115)</f>
        <v>0</v>
      </c>
      <c r="W116" s="52">
        <f>SUM($W$112:$W$115)</f>
        <v>0</v>
      </c>
      <c r="X116" s="52">
        <f>SUM($X$112:$X$115)</f>
        <v>0</v>
      </c>
      <c r="Y116" s="52">
        <f>SUM($Y$112:$Y$115)</f>
        <v>0</v>
      </c>
      <c r="Z116" s="52">
        <f>SUM($Z$112:$Z$115)</f>
        <v>10</v>
      </c>
      <c r="AA116" s="52">
        <f>SUM($AA$112:$AA$115)</f>
        <v>0</v>
      </c>
      <c r="AB116" s="52">
        <f>SUM($AB$112:$AB$115)</f>
        <v>0</v>
      </c>
      <c r="AC116" s="52">
        <f>SUM($AC$112:$AC$115)</f>
        <v>0</v>
      </c>
      <c r="AD116" s="52">
        <f>SUM($AD$112:$AD$115)</f>
        <v>0</v>
      </c>
      <c r="AE116" s="52">
        <f>SUM($AE$112:$AE$115)</f>
        <v>0</v>
      </c>
      <c r="AF116" s="52">
        <f>SUM($AF$112:$AF$115)</f>
        <v>0</v>
      </c>
      <c r="AG116" s="52">
        <f>SUM($AG$112:$AG$115)</f>
        <v>0</v>
      </c>
      <c r="AH116" s="52">
        <f>SUM($AH$112:$AH$115)</f>
        <v>2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2</v>
      </c>
      <c r="AL116" s="52">
        <f>SUM($U$116,$V$116,$W$116,$X$116,$Y$116,$Z$116,$AA$116,$AB$116)</f>
        <v>10</v>
      </c>
      <c r="AM116" s="52">
        <f>SUM($AM$112:$AM$115)</f>
        <v>9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4</v>
      </c>
      <c r="AS116" s="52">
        <f>SUM($AS$112:$AS$115)</f>
        <v>1</v>
      </c>
      <c r="AT116" s="52">
        <f>SUM($AT$112:$AT$115)</f>
        <v>0</v>
      </c>
      <c r="AU116" s="52">
        <f>SUM($AU$112:$AU$115)</f>
        <v>9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1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10</v>
      </c>
      <c r="BD116" s="52">
        <f>SUM($AM$116,$AN$116,$AO$116,$AP$116,$AQ$116,$AR$116,$AS$116,$AT$116)</f>
        <v>14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14</v>
      </c>
      <c r="BZ116" s="52">
        <f>SUM($BZ$112:$BZ$115)</f>
        <v>0</v>
      </c>
      <c r="CA116" s="52">
        <f>SUM($CA$112:$CA$115)</f>
        <v>0</v>
      </c>
      <c r="CB116" s="52">
        <f>SUM($CB$112:$CB$115)</f>
        <v>0</v>
      </c>
      <c r="CC116" s="52">
        <f>SUM($CC$112:$CC$115)</f>
        <v>0</v>
      </c>
      <c r="CD116" s="52">
        <f>SUM($CD$112:$CD$115)</f>
        <v>18</v>
      </c>
      <c r="CE116" s="52">
        <f>SUM($CE$112:$CE$115)</f>
        <v>2</v>
      </c>
      <c r="CF116" s="52">
        <f>SUM($CF$112:$CF$115)</f>
        <v>0</v>
      </c>
      <c r="CG116" s="52">
        <f>SUM($CG$112:$CG$115)</f>
        <v>14</v>
      </c>
      <c r="CH116" s="52">
        <f>SUM($CH$112:$CH$115)</f>
        <v>0</v>
      </c>
      <c r="CI116" s="52">
        <f>SUM($CI$112:$CI$115)</f>
        <v>0</v>
      </c>
      <c r="CJ116" s="52">
        <f>SUM($CJ$112:$CJ$115)</f>
        <v>0</v>
      </c>
      <c r="CK116" s="52">
        <f>SUM($CK$112:$CK$115)</f>
        <v>0</v>
      </c>
      <c r="CL116" s="52">
        <f>SUM($CL$112:$CL$115)</f>
        <v>4</v>
      </c>
      <c r="CM116" s="52">
        <f>SUM($CM$112:$CM$115)</f>
        <v>1</v>
      </c>
      <c r="CN116" s="52">
        <f>SUM($CN$112:$CN$115)</f>
        <v>0</v>
      </c>
      <c r="CO116" s="52">
        <f>SUM($CG$116,$CH$116,$CI$116,$CJ$116,$CK$116,$CL$116,$CM$116,$CN$116)</f>
        <v>19</v>
      </c>
      <c r="CP116" s="52">
        <f>SUM($BY$116,$BZ$116,$CA$116,$CB$116,$CC$116,$CD$116,$CE$116,$CF$116)</f>
        <v>34</v>
      </c>
      <c r="CQ116" s="52">
        <f>SUM($CQ$112:$CQ$115)</f>
        <v>17</v>
      </c>
      <c r="CR116" s="52">
        <f>SUM($CR$112:$CR$115)</f>
        <v>0</v>
      </c>
      <c r="CS116" s="52">
        <f>SUM($CS$112:$CS$115)</f>
        <v>0</v>
      </c>
      <c r="CT116" s="52">
        <f>SUM($CT$112:$CT$115)</f>
        <v>0</v>
      </c>
      <c r="CU116" s="52">
        <f>SUM($CU$112:$CU$115)</f>
        <v>0</v>
      </c>
      <c r="CV116" s="52">
        <f>SUM($CV$112:$CV$115)</f>
        <v>24</v>
      </c>
      <c r="CW116" s="52">
        <f>SUM($CW$112:$CW$115)</f>
        <v>0</v>
      </c>
      <c r="CX116" s="52">
        <f>SUM($CX$112:$CX$115)</f>
        <v>0</v>
      </c>
      <c r="CY116" s="52">
        <f>SUM($CY$112:$CY$115)</f>
        <v>17</v>
      </c>
      <c r="CZ116" s="52">
        <f>SUM($CZ$112:$CZ$115)</f>
        <v>0</v>
      </c>
      <c r="DA116" s="52">
        <f>SUM($DA$112:$DA$115)</f>
        <v>0</v>
      </c>
      <c r="DB116" s="52">
        <f>SUM($DB$112:$DB$115)</f>
        <v>0</v>
      </c>
      <c r="DC116" s="52">
        <f>SUM($DC$112:$DC$115)</f>
        <v>0</v>
      </c>
      <c r="DD116" s="52">
        <f>SUM($DD$112:$DD$115)</f>
        <v>5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22</v>
      </c>
      <c r="DH116" s="52">
        <f>SUM($CQ$116,$CR$116,$CS$116,$CT$116,$CU$116,$CV$116,$CW$116,$CX$116)</f>
        <v>41</v>
      </c>
    </row>
    <row r="117" spans="1:112" ht="21" customHeight="1">
      <c r="A117" s="46">
        <v>44395.875</v>
      </c>
      <c r="B117" s="53" t="s">
        <v>115</v>
      </c>
      <c r="C117" s="54">
        <v>0</v>
      </c>
      <c r="D117" s="54">
        <v>0</v>
      </c>
      <c r="E117" s="54">
        <v>0</v>
      </c>
      <c r="F117" s="54">
        <v>0</v>
      </c>
      <c r="G117" s="54">
        <v>0</v>
      </c>
      <c r="H117" s="54">
        <v>3</v>
      </c>
      <c r="I117" s="54">
        <v>0</v>
      </c>
      <c r="J117" s="61">
        <v>0</v>
      </c>
      <c r="K117" s="62">
        <f>$C$117*VLOOKUP($C$11,'PCU Values'!$B$9:$C$16,2,FALSE)</f>
        <v>0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0.6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0.6</v>
      </c>
      <c r="T117" s="52">
        <f>SUM($C$117,$D$117,$E$117,$F$117,$G$117,$H$117,$I$117,$J$117)</f>
        <v>3</v>
      </c>
      <c r="U117" s="72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6</v>
      </c>
      <c r="AA117" s="54">
        <v>0</v>
      </c>
      <c r="AB117" s="61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1.2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1.2</v>
      </c>
      <c r="AL117" s="52">
        <f>SUM($U$117,$V$117,$W$117,$X$117,$Y$117,$Z$117,$AA$117,$AB$117)</f>
        <v>6</v>
      </c>
      <c r="AM117" s="72">
        <v>1</v>
      </c>
      <c r="AN117" s="54">
        <v>0</v>
      </c>
      <c r="AO117" s="54">
        <v>0</v>
      </c>
      <c r="AP117" s="54">
        <v>0</v>
      </c>
      <c r="AQ117" s="54">
        <v>0</v>
      </c>
      <c r="AR117" s="54">
        <v>2</v>
      </c>
      <c r="AS117" s="54">
        <v>0</v>
      </c>
      <c r="AT117" s="61">
        <v>0</v>
      </c>
      <c r="AU117" s="62">
        <f>$AM$117*VLOOKUP($AM$11,'PCU Values'!$B$9:$C$16,2,FALSE)</f>
        <v>1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0.4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1.4</v>
      </c>
      <c r="BD117" s="52">
        <f>SUM($AM$117,$AN$117,$AO$117,$AP$117,$AQ$117,$AR$117,$AS$117,$AT$117)</f>
        <v>3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1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11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1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2.2000000000000002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3.2</v>
      </c>
      <c r="CP117" s="52">
        <f>SUM($BY$117,$BZ$117,$CA$117,$CB$117,$CC$117,$CD$117,$CE$117,$CF$117)</f>
        <v>12</v>
      </c>
      <c r="CQ117" s="91">
        <f>SUM('J1 A - (North) Bishopthorpe Roa'!$C$117,'J1 B - Butcher Terrace'!$BE$117,'J1 C - (South) Bishopthorpe Roa'!$AM$117,'J1 D - South Bank Avenue'!$U$117)</f>
        <v>2</v>
      </c>
      <c r="CR117" s="85">
        <f>SUM('J1 A - (North) Bishopthorpe Roa'!$D$117,'J1 B - Butcher Terrace'!$BF$117,'J1 C - (South) Bishopthorpe Roa'!$AN$117,'J1 D - South Bank Avenue'!$V$117)</f>
        <v>0</v>
      </c>
      <c r="CS117" s="85">
        <f>SUM('J1 A - (North) Bishopthorpe Roa'!$E$117,'J1 B - Butcher Terrace'!$BG$117,'J1 C - (South) Bishopthorpe Roa'!$AO$117,'J1 D - South Bank Avenue'!$W$117)</f>
        <v>0</v>
      </c>
      <c r="CT117" s="85">
        <f>SUM('J1 A - (North) Bishopthorpe Roa'!$F$117,'J1 B - Butcher Terrace'!$BH$117,'J1 C - (South) Bishopthorpe Roa'!$AP$117,'J1 D - South Bank Avenue'!$X$117)</f>
        <v>0</v>
      </c>
      <c r="CU117" s="85">
        <f>SUM('J1 A - (North) Bishopthorpe Roa'!$G$117,'J1 B - Butcher Terrace'!$BI$117,'J1 C - (South) Bishopthorpe Roa'!$AQ$117,'J1 D - South Bank Avenue'!$Y$117)</f>
        <v>0</v>
      </c>
      <c r="CV117" s="85">
        <f>SUM('J1 A - (North) Bishopthorpe Roa'!$H$117,'J1 B - Butcher Terrace'!$BJ$117,'J1 C - (South) Bishopthorpe Roa'!$AR$117,'J1 D - South Bank Avenue'!$Z$117)</f>
        <v>0</v>
      </c>
      <c r="CW117" s="85">
        <f>SUM('J1 A - (North) Bishopthorpe Roa'!$I$117,'J1 B - Butcher Terrace'!$BK$117,'J1 C - (South) Bishopthorpe Roa'!$AS$117,'J1 D - South Bank Avenue'!$AA$117)</f>
        <v>0</v>
      </c>
      <c r="CX117" s="88">
        <f>SUM('J1 A - (North) Bishopthorpe Roa'!$J$117,'J1 B - Butcher Terrace'!$BL$117,'J1 C - (South) Bishopthorpe Roa'!$AT$117,'J1 D - South Bank Avenue'!$AB$117)</f>
        <v>0</v>
      </c>
      <c r="CY117" s="81">
        <f>$CQ$117*VLOOKUP($CQ$11,'PCU Values'!$B$9:$C$16,2,FALSE)</f>
        <v>2</v>
      </c>
      <c r="CZ117" s="81">
        <f>$CR$117*VLOOKUP($CR$11,'PCU Values'!$B$9:$C$16,2,FALSE)</f>
        <v>0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0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2</v>
      </c>
      <c r="DH117" s="52">
        <f>SUM($CQ$117,$CR$117,$CS$117,$CT$117,$CU$117,$CV$117,$CW$117,$CX$117)</f>
        <v>2</v>
      </c>
    </row>
    <row r="118" spans="1:112" ht="21" customHeight="1">
      <c r="A118" s="46">
        <v>44395.885416666701</v>
      </c>
      <c r="B118" s="47" t="s">
        <v>116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0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0</v>
      </c>
      <c r="T118" s="52">
        <f>SUM($C$118,$D$118,$E$118,$F$118,$G$118,$H$118,$I$118,$J$118)</f>
        <v>0</v>
      </c>
      <c r="U118" s="67">
        <v>9</v>
      </c>
      <c r="V118" s="48">
        <v>0</v>
      </c>
      <c r="W118" s="48">
        <v>0</v>
      </c>
      <c r="X118" s="48">
        <v>0</v>
      </c>
      <c r="Y118" s="48">
        <v>0</v>
      </c>
      <c r="Z118" s="48">
        <v>6</v>
      </c>
      <c r="AA118" s="48">
        <v>0</v>
      </c>
      <c r="AB118" s="56">
        <v>0</v>
      </c>
      <c r="AC118" s="57">
        <f>$U$118*VLOOKUP($U$11,'PCU Values'!$B$9:$C$16,2,FALSE)</f>
        <v>9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1.2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10.199999999999999</v>
      </c>
      <c r="AL118" s="52">
        <f>SUM($U$118,$V$118,$W$118,$X$118,$Y$118,$Z$118,$AA$118,$AB$118)</f>
        <v>15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6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1.2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1.2</v>
      </c>
      <c r="BD118" s="52">
        <f>SUM($AM$118,$AN$118,$AO$118,$AP$118,$AQ$118,$AR$118,$AS$118,$AT$118)</f>
        <v>6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9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12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9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2.4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11.4</v>
      </c>
      <c r="CP118" s="52">
        <f>SUM($BY$118,$BZ$118,$CA$118,$CB$118,$CC$118,$CD$118,$CE$118,$CF$118)</f>
        <v>21</v>
      </c>
      <c r="CQ118" s="89">
        <f>SUM('J1 A - (North) Bishopthorpe Roa'!$C$118,'J1 B - Butcher Terrace'!$BE$118,'J1 C - (South) Bishopthorpe Roa'!$AM$118,'J1 D - South Bank Avenue'!$U$118)</f>
        <v>2</v>
      </c>
      <c r="CR118" s="83">
        <f>SUM('J1 A - (North) Bishopthorpe Roa'!$D$118,'J1 B - Butcher Terrace'!$BF$118,'J1 C - (South) Bishopthorpe Roa'!$AN$118,'J1 D - South Bank Avenue'!$V$118)</f>
        <v>0</v>
      </c>
      <c r="CS118" s="83">
        <f>SUM('J1 A - (North) Bishopthorpe Roa'!$E$118,'J1 B - Butcher Terrace'!$BG$118,'J1 C - (South) Bishopthorpe Roa'!$AO$118,'J1 D - South Bank Avenue'!$W$118)</f>
        <v>0</v>
      </c>
      <c r="CT118" s="83">
        <f>SUM('J1 A - (North) Bishopthorpe Roa'!$F$118,'J1 B - Butcher Terrace'!$BH$118,'J1 C - (South) Bishopthorpe Roa'!$AP$118,'J1 D - South Bank Avenue'!$X$118)</f>
        <v>0</v>
      </c>
      <c r="CU118" s="83">
        <f>SUM('J1 A - (North) Bishopthorpe Roa'!$G$118,'J1 B - Butcher Terrace'!$BI$118,'J1 C - (South) Bishopthorpe Roa'!$AQ$118,'J1 D - South Bank Avenue'!$Y$118)</f>
        <v>0</v>
      </c>
      <c r="CV118" s="83">
        <f>SUM('J1 A - (North) Bishopthorpe Roa'!$H$118,'J1 B - Butcher Terrace'!$BJ$118,'J1 C - (South) Bishopthorpe Roa'!$AR$118,'J1 D - South Bank Avenue'!$Z$118)</f>
        <v>6</v>
      </c>
      <c r="CW118" s="83">
        <f>SUM('J1 A - (North) Bishopthorpe Roa'!$I$118,'J1 B - Butcher Terrace'!$BK$118,'J1 C - (South) Bishopthorpe Roa'!$AS$118,'J1 D - South Bank Avenue'!$AA$118)</f>
        <v>0</v>
      </c>
      <c r="CX118" s="86">
        <f>SUM('J1 A - (North) Bishopthorpe Roa'!$J$118,'J1 B - Butcher Terrace'!$BL$118,'J1 C - (South) Bishopthorpe Roa'!$AT$118,'J1 D - South Bank Avenue'!$AB$118)</f>
        <v>0</v>
      </c>
      <c r="CY118" s="77">
        <f>$CQ$118*VLOOKUP($CQ$11,'PCU Values'!$B$9:$C$16,2,FALSE)</f>
        <v>2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1.2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3.2</v>
      </c>
      <c r="DH118" s="52">
        <f>SUM($CQ$118,$CR$118,$CS$118,$CT$118,$CU$118,$CV$118,$CW$118,$CX$118)</f>
        <v>8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1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0.2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0.2</v>
      </c>
      <c r="T119" s="52">
        <f>SUM($C$119,$D$119,$E$119,$F$119,$G$119,$H$119,$I$119,$J$119)</f>
        <v>1</v>
      </c>
      <c r="U119" s="49">
        <v>0</v>
      </c>
      <c r="V119" s="49">
        <v>1</v>
      </c>
      <c r="W119" s="49">
        <v>0</v>
      </c>
      <c r="X119" s="49">
        <v>0</v>
      </c>
      <c r="Y119" s="49">
        <v>0</v>
      </c>
      <c r="Z119" s="49">
        <v>4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1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0.8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1.8</v>
      </c>
      <c r="AL119" s="52">
        <f>SUM($U$119,$V$119,$W$119,$X$119,$Y$119,$Z$119,$AA$119,$AB$119)</f>
        <v>5</v>
      </c>
      <c r="AM119" s="49">
        <v>1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1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1</v>
      </c>
      <c r="BD119" s="52">
        <f>SUM($AM$119,$AN$119,$AO$119,$AP$119,$AQ$119,$AR$119,$AS$119,$AT$119)</f>
        <v>1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1</v>
      </c>
      <c r="BZ119" s="83">
        <f>SUM($D$119,$V$119,$AN$119,$BF$119)</f>
        <v>1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5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1</v>
      </c>
      <c r="CH119" s="77">
        <f>$BZ$119*VLOOKUP($BZ$11,'PCU Values'!$B$9:$C$16,2,FALSE)</f>
        <v>1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1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3</v>
      </c>
      <c r="CP119" s="52">
        <f>SUM($BY$119,$BZ$119,$CA$119,$CB$119,$CC$119,$CD$119,$CE$119,$CF$119)</f>
        <v>7</v>
      </c>
      <c r="CQ119" s="89">
        <f>SUM('J1 A - (North) Bishopthorpe Roa'!$C$119,'J1 B - Butcher Terrace'!$BE$119,'J1 C - (South) Bishopthorpe Roa'!$AM$119,'J1 D - South Bank Avenue'!$U$119)</f>
        <v>0</v>
      </c>
      <c r="CR119" s="83">
        <f>SUM('J1 A - (North) Bishopthorpe Roa'!$D$119,'J1 B - Butcher Terrace'!$BF$119,'J1 C - (South) Bishopthorpe Roa'!$AN$119,'J1 D - South Bank Avenue'!$V$119)</f>
        <v>0</v>
      </c>
      <c r="CS119" s="83">
        <f>SUM('J1 A - (North) Bishopthorpe Roa'!$E$119,'J1 B - Butcher Terrace'!$BG$119,'J1 C - (South) Bishopthorpe Roa'!$AO$119,'J1 D - South Bank Avenue'!$W$119)</f>
        <v>0</v>
      </c>
      <c r="CT119" s="83">
        <f>SUM('J1 A - (North) Bishopthorpe Roa'!$F$119,'J1 B - Butcher Terrace'!$BH$119,'J1 C - (South) Bishopthorpe Roa'!$AP$119,'J1 D - South Bank Avenue'!$X$119)</f>
        <v>0</v>
      </c>
      <c r="CU119" s="83">
        <f>SUM('J1 A - (North) Bishopthorpe Roa'!$G$119,'J1 B - Butcher Terrace'!$BI$119,'J1 C - (South) Bishopthorpe Roa'!$AQ$119,'J1 D - South Bank Avenue'!$Y$119)</f>
        <v>0</v>
      </c>
      <c r="CV119" s="83">
        <f>SUM('J1 A - (North) Bishopthorpe Roa'!$H$119,'J1 B - Butcher Terrace'!$BJ$119,'J1 C - (South) Bishopthorpe Roa'!$AR$119,'J1 D - South Bank Avenue'!$Z$119)</f>
        <v>4</v>
      </c>
      <c r="CW119" s="83">
        <f>SUM('J1 A - (North) Bishopthorpe Roa'!$I$119,'J1 B - Butcher Terrace'!$BK$119,'J1 C - (South) Bishopthorpe Roa'!$AS$119,'J1 D - South Bank Avenue'!$AA$119)</f>
        <v>0</v>
      </c>
      <c r="CX119" s="86">
        <f>SUM('J1 A - (North) Bishopthorpe Roa'!$J$119,'J1 B - Butcher Terrace'!$BL$119,'J1 C - (South) Bishopthorpe Roa'!$AT$119,'J1 D - South Bank Avenue'!$AB$119)</f>
        <v>0</v>
      </c>
      <c r="CY119" s="77">
        <f>$CQ$119*VLOOKUP($CQ$11,'PCU Values'!$B$9:$C$16,2,FALSE)</f>
        <v>0</v>
      </c>
      <c r="CZ119" s="77">
        <f>$CR$119*VLOOKUP($CR$11,'PCU Values'!$B$9:$C$16,2,FALSE)</f>
        <v>0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0.8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0.8</v>
      </c>
      <c r="DH119" s="52">
        <f>SUM($CQ$119,$CR$119,$CS$119,$CT$119,$CU$119,$CV$119,$CW$119,$CX$119)</f>
        <v>4</v>
      </c>
    </row>
    <row r="120" spans="1:112" ht="21" customHeight="1">
      <c r="A120" s="46">
        <v>44395.90625</v>
      </c>
      <c r="B120" s="50" t="s">
        <v>118</v>
      </c>
      <c r="C120" s="51">
        <v>0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0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0</v>
      </c>
      <c r="T120" s="52">
        <f>SUM($C$120,$D$120,$E$120,$F$120,$G$120,$H$120,$I$120,$J$120)</f>
        <v>0</v>
      </c>
      <c r="U120" s="73">
        <v>1</v>
      </c>
      <c r="V120" s="51">
        <v>0</v>
      </c>
      <c r="W120" s="51">
        <v>0</v>
      </c>
      <c r="X120" s="51">
        <v>0</v>
      </c>
      <c r="Y120" s="51">
        <v>0</v>
      </c>
      <c r="Z120" s="51">
        <v>2</v>
      </c>
      <c r="AA120" s="51">
        <v>0</v>
      </c>
      <c r="AB120" s="59">
        <v>0</v>
      </c>
      <c r="AC120" s="60">
        <f>$U$120*VLOOKUP($U$11,'PCU Values'!$B$9:$C$16,2,FALSE)</f>
        <v>1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0.4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1.4</v>
      </c>
      <c r="AL120" s="52">
        <f>SUM($U$120,$V$120,$W$120,$X$120,$Y$120,$Z$120,$AA$120,$AB$120)</f>
        <v>3</v>
      </c>
      <c r="AM120" s="73">
        <v>1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1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1</v>
      </c>
      <c r="BD120" s="52">
        <f>SUM($AM$120,$AN$120,$AO$120,$AP$120,$AQ$120,$AR$120,$AS$120,$AT$120)</f>
        <v>1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2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2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2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0.4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2.4</v>
      </c>
      <c r="CP120" s="52">
        <f>SUM($BY$120,$BZ$120,$CA$120,$CB$120,$CC$120,$CD$120,$CE$120,$CF$120)</f>
        <v>4</v>
      </c>
      <c r="CQ120" s="90">
        <f>SUM('J1 A - (North) Bishopthorpe Roa'!$C$120,'J1 B - Butcher Terrace'!$BE$120,'J1 C - (South) Bishopthorpe Roa'!$AM$120,'J1 D - South Bank Avenue'!$U$120)</f>
        <v>6</v>
      </c>
      <c r="CR120" s="84">
        <f>SUM('J1 A - (North) Bishopthorpe Roa'!$D$120,'J1 B - Butcher Terrace'!$BF$120,'J1 C - (South) Bishopthorpe Roa'!$AN$120,'J1 D - South Bank Avenue'!$V$120)</f>
        <v>0</v>
      </c>
      <c r="CS120" s="84">
        <f>SUM('J1 A - (North) Bishopthorpe Roa'!$E$120,'J1 B - Butcher Terrace'!$BG$120,'J1 C - (South) Bishopthorpe Roa'!$AO$120,'J1 D - South Bank Avenue'!$W$120)</f>
        <v>0</v>
      </c>
      <c r="CT120" s="84">
        <f>SUM('J1 A - (North) Bishopthorpe Roa'!$F$120,'J1 B - Butcher Terrace'!$BH$120,'J1 C - (South) Bishopthorpe Roa'!$AP$120,'J1 D - South Bank Avenue'!$X$120)</f>
        <v>0</v>
      </c>
      <c r="CU120" s="84">
        <f>SUM('J1 A - (North) Bishopthorpe Roa'!$G$120,'J1 B - Butcher Terrace'!$BI$120,'J1 C - (South) Bishopthorpe Roa'!$AQ$120,'J1 D - South Bank Avenue'!$Y$120)</f>
        <v>0</v>
      </c>
      <c r="CV120" s="84">
        <f>SUM('J1 A - (North) Bishopthorpe Roa'!$H$120,'J1 B - Butcher Terrace'!$BJ$120,'J1 C - (South) Bishopthorpe Roa'!$AR$120,'J1 D - South Bank Avenue'!$Z$120)</f>
        <v>3</v>
      </c>
      <c r="CW120" s="84">
        <f>SUM('J1 A - (North) Bishopthorpe Roa'!$I$120,'J1 B - Butcher Terrace'!$BK$120,'J1 C - (South) Bishopthorpe Roa'!$AS$120,'J1 D - South Bank Avenue'!$AA$120)</f>
        <v>2</v>
      </c>
      <c r="CX120" s="87">
        <f>SUM('J1 A - (North) Bishopthorpe Roa'!$J$120,'J1 B - Butcher Terrace'!$BL$120,'J1 C - (South) Bishopthorpe Roa'!$AT$120,'J1 D - South Bank Avenue'!$AB$120)</f>
        <v>0</v>
      </c>
      <c r="CY120" s="79">
        <f>$CQ$120*VLOOKUP($CQ$11,'PCU Values'!$B$9:$C$16,2,FALSE)</f>
        <v>6</v>
      </c>
      <c r="CZ120" s="79">
        <f>$CR$120*VLOOKUP($CR$11,'PCU Values'!$B$9:$C$16,2,FALSE)</f>
        <v>0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0.6</v>
      </c>
      <c r="DE120" s="79">
        <f>$CW$120*VLOOKUP($CW$11,'PCU Values'!$B$9:$C$16,2,FALSE)</f>
        <v>0.8</v>
      </c>
      <c r="DF120" s="80">
        <f>$CX$120*VLOOKUP($CX$11,'PCU Values'!$B$9:$C$16,2,FALSE)</f>
        <v>0</v>
      </c>
      <c r="DG120" s="63">
        <f>SUM($CY$120,$CZ$120,$DA$120,$DB$120,$DC$120,$DD$120,$DE$120,$DF$120)</f>
        <v>7.4</v>
      </c>
      <c r="DH120" s="52">
        <f>SUM($CQ$120,$CR$120,$CS$120,$CT$120,$CU$120,$CV$120,$CW$120,$CX$120)</f>
        <v>11</v>
      </c>
    </row>
    <row r="121" spans="1:112">
      <c r="B121" s="52" t="s">
        <v>34</v>
      </c>
      <c r="C121" s="52">
        <f>SUM($C$117:$C$120)</f>
        <v>0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4</v>
      </c>
      <c r="I121" s="52">
        <f>SUM($I$117:$I$120)</f>
        <v>0</v>
      </c>
      <c r="J121" s="52">
        <f>SUM($J$117:$J$120)</f>
        <v>0</v>
      </c>
      <c r="K121" s="52">
        <f>SUM($K$117:$K$120)</f>
        <v>0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1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1</v>
      </c>
      <c r="T121" s="52">
        <f>SUM($C$121,$D$121,$E$121,$F$121,$G$121,$H$121,$I$121,$J$121)</f>
        <v>4</v>
      </c>
      <c r="U121" s="52">
        <f>SUM($U$117:$U$120)</f>
        <v>10</v>
      </c>
      <c r="V121" s="52">
        <f>SUM($V$117:$V$120)</f>
        <v>1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18</v>
      </c>
      <c r="AA121" s="52">
        <f>SUM($AA$117:$AA$120)</f>
        <v>0</v>
      </c>
      <c r="AB121" s="52">
        <f>SUM($AB$117:$AB$120)</f>
        <v>0</v>
      </c>
      <c r="AC121" s="52">
        <f>SUM($AC$117:$AC$120)</f>
        <v>10</v>
      </c>
      <c r="AD121" s="52">
        <f>SUM($AD$117:$AD$120)</f>
        <v>1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4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15</v>
      </c>
      <c r="AL121" s="52">
        <f>SUM($U$121,$V$121,$W$121,$X$121,$Y$121,$Z$121,$AA$121,$AB$121)</f>
        <v>29</v>
      </c>
      <c r="AM121" s="52">
        <f>SUM($AM$117:$AM$120)</f>
        <v>3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8</v>
      </c>
      <c r="AS121" s="52">
        <f>SUM($AS$117:$AS$120)</f>
        <v>0</v>
      </c>
      <c r="AT121" s="52">
        <f>SUM($AT$117:$AT$120)</f>
        <v>0</v>
      </c>
      <c r="AU121" s="52">
        <f>SUM($AU$117:$AU$120)</f>
        <v>3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2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5</v>
      </c>
      <c r="BD121" s="52">
        <f>SUM($AM$121,$AN$121,$AO$121,$AP$121,$AQ$121,$AR$121,$AS$121,$AT$121)</f>
        <v>11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13</v>
      </c>
      <c r="BZ121" s="52">
        <f>SUM($BZ$117:$BZ$120)</f>
        <v>1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30</v>
      </c>
      <c r="CE121" s="52">
        <f>SUM($CE$117:$CE$120)</f>
        <v>0</v>
      </c>
      <c r="CF121" s="52">
        <f>SUM($CF$117:$CF$120)</f>
        <v>0</v>
      </c>
      <c r="CG121" s="52">
        <f>SUM($CG$117:$CG$120)</f>
        <v>13</v>
      </c>
      <c r="CH121" s="52">
        <f>SUM($CH$117:$CH$120)</f>
        <v>1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6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20</v>
      </c>
      <c r="CP121" s="52">
        <f>SUM($BY$121,$BZ$121,$CA$121,$CB$121,$CC$121,$CD$121,$CE$121,$CF$121)</f>
        <v>44</v>
      </c>
      <c r="CQ121" s="52">
        <f>SUM($CQ$117:$CQ$120)</f>
        <v>10</v>
      </c>
      <c r="CR121" s="52">
        <f>SUM($CR$117:$CR$120)</f>
        <v>0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13</v>
      </c>
      <c r="CW121" s="52">
        <f>SUM($CW$117:$CW$120)</f>
        <v>2</v>
      </c>
      <c r="CX121" s="52">
        <f>SUM($CX$117:$CX$120)</f>
        <v>0</v>
      </c>
      <c r="CY121" s="52">
        <f>SUM($CY$117:$CY$120)</f>
        <v>10</v>
      </c>
      <c r="CZ121" s="52">
        <f>SUM($CZ$117:$CZ$120)</f>
        <v>0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3</v>
      </c>
      <c r="DE121" s="52">
        <f>SUM($DE$117:$DE$120)</f>
        <v>1</v>
      </c>
      <c r="DF121" s="52">
        <f>SUM($DF$117:$DF$120)</f>
        <v>0</v>
      </c>
      <c r="DG121" s="52">
        <f>SUM($CY$121,$CZ$121,$DA$121,$DB$121,$DC$121,$DD$121,$DE$121,$DF$121)</f>
        <v>14</v>
      </c>
      <c r="DH121" s="52">
        <f>SUM($CQ$121,$CR$121,$CS$121,$CT$121,$CU$121,$CV$121,$CW$121,$CX$121)</f>
        <v>25</v>
      </c>
    </row>
    <row r="122" spans="1:112" ht="21" customHeight="1">
      <c r="A122" s="46">
        <v>44395.916666666701</v>
      </c>
      <c r="B122" s="53" t="s">
        <v>119</v>
      </c>
      <c r="C122" s="54">
        <v>0</v>
      </c>
      <c r="D122" s="54">
        <v>0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0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0</v>
      </c>
      <c r="T122" s="52">
        <f>SUM($C$122,$D$122,$E$122,$F$122,$G$122,$H$122,$I$122,$J$122)</f>
        <v>0</v>
      </c>
      <c r="U122" s="72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4</v>
      </c>
      <c r="AA122" s="54">
        <v>2</v>
      </c>
      <c r="AB122" s="61">
        <v>0</v>
      </c>
      <c r="AC122" s="62">
        <f>$U$122*VLOOKUP($U$11,'PCU Values'!$B$9:$C$16,2,FALSE)</f>
        <v>0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0.8</v>
      </c>
      <c r="AI122" s="62">
        <f>$AA$122*VLOOKUP($AA$11,'PCU Values'!$B$9:$C$16,2,FALSE)</f>
        <v>0.8</v>
      </c>
      <c r="AJ122" s="70">
        <f>$AB$122*VLOOKUP($AB$11,'PCU Values'!$B$9:$C$16,2,FALSE)</f>
        <v>0</v>
      </c>
      <c r="AK122" s="71">
        <f>SUM($AC$122,$AD$122,$AE$122,$AF$122,$AG$122,$AH$122,$AI$122,$AJ$122)</f>
        <v>1.6</v>
      </c>
      <c r="AL122" s="52">
        <f>SUM($U$122,$V$122,$W$122,$X$122,$Y$122,$Z$122,$AA$122,$AB$122)</f>
        <v>6</v>
      </c>
      <c r="AM122" s="72">
        <v>2</v>
      </c>
      <c r="AN122" s="54">
        <v>1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2</v>
      </c>
      <c r="AV122" s="62">
        <f>$AN$122*VLOOKUP($AN$11,'PCU Values'!$B$9:$C$16,2,FALSE)</f>
        <v>1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3</v>
      </c>
      <c r="BD122" s="52">
        <f>SUM($AM$122,$AN$122,$AO$122,$AP$122,$AQ$122,$AR$122,$AS$122,$AT$122)</f>
        <v>3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2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4</v>
      </c>
      <c r="CE122" s="85">
        <f>SUM($I$122,$AA$122,$AS$122,$BK$122)</f>
        <v>2</v>
      </c>
      <c r="CF122" s="88">
        <f>SUM($J$122,$AB$122,$AT$122,$BL$122)</f>
        <v>0</v>
      </c>
      <c r="CG122" s="81">
        <f>$BY$122*VLOOKUP($BY$11,'PCU Values'!$B$9:$C$16,2,FALSE)</f>
        <v>2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0.8</v>
      </c>
      <c r="CM122" s="81">
        <f>$CE$122*VLOOKUP($CE$11,'PCU Values'!$B$9:$C$16,2,FALSE)</f>
        <v>0.8</v>
      </c>
      <c r="CN122" s="82">
        <f>$CF$122*VLOOKUP($CF$11,'PCU Values'!$B$9:$C$16,2,FALSE)</f>
        <v>0</v>
      </c>
      <c r="CO122" s="71">
        <f>SUM($CG$122,$CH$122,$CI$122,$CJ$122,$CK$122,$CL$122,$CM$122,$CN$122)</f>
        <v>4.5999999999999996</v>
      </c>
      <c r="CP122" s="52">
        <f>SUM($BY$122,$BZ$122,$CA$122,$CB$122,$CC$122,$CD$122,$CE$122,$CF$122)</f>
        <v>9</v>
      </c>
      <c r="CQ122" s="91">
        <f>SUM('J1 A - (North) Bishopthorpe Roa'!$C$122,'J1 B - Butcher Terrace'!$BE$122,'J1 C - (South) Bishopthorpe Roa'!$AM$122,'J1 D - South Bank Avenue'!$U$122)</f>
        <v>5</v>
      </c>
      <c r="CR122" s="85">
        <f>SUM('J1 A - (North) Bishopthorpe Roa'!$D$122,'J1 B - Butcher Terrace'!$BF$122,'J1 C - (South) Bishopthorpe Roa'!$AN$122,'J1 D - South Bank Avenue'!$V$122)</f>
        <v>1</v>
      </c>
      <c r="CS122" s="85">
        <f>SUM('J1 A - (North) Bishopthorpe Roa'!$E$122,'J1 B - Butcher Terrace'!$BG$122,'J1 C - (South) Bishopthorpe Roa'!$AO$122,'J1 D - South Bank Avenue'!$W$122)</f>
        <v>0</v>
      </c>
      <c r="CT122" s="85">
        <f>SUM('J1 A - (North) Bishopthorpe Roa'!$F$122,'J1 B - Butcher Terrace'!$BH$122,'J1 C - (South) Bishopthorpe Roa'!$AP$122,'J1 D - South Bank Avenue'!$X$122)</f>
        <v>0</v>
      </c>
      <c r="CU122" s="85">
        <f>SUM('J1 A - (North) Bishopthorpe Roa'!$G$122,'J1 B - Butcher Terrace'!$BI$122,'J1 C - (South) Bishopthorpe Roa'!$AQ$122,'J1 D - South Bank Avenue'!$Y$122)</f>
        <v>0</v>
      </c>
      <c r="CV122" s="85">
        <f>SUM('J1 A - (North) Bishopthorpe Roa'!$H$122,'J1 B - Butcher Terrace'!$BJ$122,'J1 C - (South) Bishopthorpe Roa'!$AR$122,'J1 D - South Bank Avenue'!$Z$122)</f>
        <v>1</v>
      </c>
      <c r="CW122" s="85">
        <f>SUM('J1 A - (North) Bishopthorpe Roa'!$I$122,'J1 B - Butcher Terrace'!$BK$122,'J1 C - (South) Bishopthorpe Roa'!$AS$122,'J1 D - South Bank Avenue'!$AA$122)</f>
        <v>0</v>
      </c>
      <c r="CX122" s="88">
        <f>SUM('J1 A - (North) Bishopthorpe Roa'!$J$122,'J1 B - Butcher Terrace'!$BL$122,'J1 C - (South) Bishopthorpe Roa'!$AT$122,'J1 D - South Bank Avenue'!$AB$122)</f>
        <v>0</v>
      </c>
      <c r="CY122" s="81">
        <f>$CQ$122*VLOOKUP($CQ$11,'PCU Values'!$B$9:$C$16,2,FALSE)</f>
        <v>5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0.2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6.2</v>
      </c>
      <c r="DH122" s="52">
        <f>SUM($CQ$122,$CR$122,$CS$122,$CT$122,$CU$122,$CV$122,$CW$122,$CX$122)</f>
        <v>7</v>
      </c>
    </row>
    <row r="123" spans="1:112" ht="21" customHeight="1">
      <c r="A123" s="46">
        <v>44395.927083333299</v>
      </c>
      <c r="B123" s="47" t="s">
        <v>120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0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0</v>
      </c>
      <c r="T123" s="52">
        <f>SUM($C$123,$D$123,$E$123,$F$123,$G$123,$H$123,$I$123,$J$123)</f>
        <v>0</v>
      </c>
      <c r="U123" s="67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6</v>
      </c>
      <c r="AA123" s="48">
        <v>0</v>
      </c>
      <c r="AB123" s="56">
        <v>0</v>
      </c>
      <c r="AC123" s="57">
        <f>$U$123*VLOOKUP($U$11,'PCU Values'!$B$9:$C$16,2,FALSE)</f>
        <v>0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1.2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1.2</v>
      </c>
      <c r="AL123" s="52">
        <f>SUM($U$123,$V$123,$W$123,$X$123,$Y$123,$Z$123,$AA$123,$AB$123)</f>
        <v>6</v>
      </c>
      <c r="AM123" s="67">
        <v>2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2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2</v>
      </c>
      <c r="BD123" s="52">
        <f>SUM($AM$123,$AN$123,$AO$123,$AP$123,$AQ$123,$AR$123,$AS$123,$AT$123)</f>
        <v>2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2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6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2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1.2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3.2</v>
      </c>
      <c r="CP123" s="52">
        <f>SUM($BY$123,$BZ$123,$CA$123,$CB$123,$CC$123,$CD$123,$CE$123,$CF$123)</f>
        <v>8</v>
      </c>
      <c r="CQ123" s="89">
        <f>SUM('J1 A - (North) Bishopthorpe Roa'!$C$123,'J1 B - Butcher Terrace'!$BE$123,'J1 C - (South) Bishopthorpe Roa'!$AM$123,'J1 D - South Bank Avenue'!$U$123)</f>
        <v>0</v>
      </c>
      <c r="CR123" s="83">
        <f>SUM('J1 A - (North) Bishopthorpe Roa'!$D$123,'J1 B - Butcher Terrace'!$BF$123,'J1 C - (South) Bishopthorpe Roa'!$AN$123,'J1 D - South Bank Avenue'!$V$123)</f>
        <v>0</v>
      </c>
      <c r="CS123" s="83">
        <f>SUM('J1 A - (North) Bishopthorpe Roa'!$E$123,'J1 B - Butcher Terrace'!$BG$123,'J1 C - (South) Bishopthorpe Roa'!$AO$123,'J1 D - South Bank Avenue'!$W$123)</f>
        <v>0</v>
      </c>
      <c r="CT123" s="83">
        <f>SUM('J1 A - (North) Bishopthorpe Roa'!$F$123,'J1 B - Butcher Terrace'!$BH$123,'J1 C - (South) Bishopthorpe Roa'!$AP$123,'J1 D - South Bank Avenue'!$X$123)</f>
        <v>0</v>
      </c>
      <c r="CU123" s="83">
        <f>SUM('J1 A - (North) Bishopthorpe Roa'!$G$123,'J1 B - Butcher Terrace'!$BI$123,'J1 C - (South) Bishopthorpe Roa'!$AQ$123,'J1 D - South Bank Avenue'!$Y$123)</f>
        <v>0</v>
      </c>
      <c r="CV123" s="83">
        <f>SUM('J1 A - (North) Bishopthorpe Roa'!$H$123,'J1 B - Butcher Terrace'!$BJ$123,'J1 C - (South) Bishopthorpe Roa'!$AR$123,'J1 D - South Bank Avenue'!$Z$123)</f>
        <v>1</v>
      </c>
      <c r="CW123" s="83">
        <f>SUM('J1 A - (North) Bishopthorpe Roa'!$I$123,'J1 B - Butcher Terrace'!$BK$123,'J1 C - (South) Bishopthorpe Roa'!$AS$123,'J1 D - South Bank Avenue'!$AA$123)</f>
        <v>0</v>
      </c>
      <c r="CX123" s="86">
        <f>SUM('J1 A - (North) Bishopthorpe Roa'!$J$123,'J1 B - Butcher Terrace'!$BL$123,'J1 C - (South) Bishopthorpe Roa'!$AT$123,'J1 D - South Bank Avenue'!$AB$123)</f>
        <v>0</v>
      </c>
      <c r="CY123" s="77">
        <f>$CQ$123*VLOOKUP($CQ$11,'PCU Values'!$B$9:$C$16,2,FALSE)</f>
        <v>0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0.2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0.2</v>
      </c>
      <c r="DH123" s="52">
        <f>SUM($CQ$123,$CR$123,$CS$123,$CT$123,$CU$123,$CV$123,$CW$123,$CX$123)</f>
        <v>1</v>
      </c>
    </row>
    <row r="124" spans="1:112" ht="21" customHeight="1">
      <c r="A124" s="46">
        <v>44395.9375</v>
      </c>
      <c r="B124" s="47" t="s">
        <v>121</v>
      </c>
      <c r="C124" s="48">
        <v>0</v>
      </c>
      <c r="D124" s="48">
        <v>1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0</v>
      </c>
      <c r="L124" s="57">
        <f>$D$124*VLOOKUP($D$11,'PCU Values'!$B$9:$C$16,2,FALSE)</f>
        <v>1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1</v>
      </c>
      <c r="T124" s="52">
        <f>SUM($C$124,$D$124,$E$124,$F$124,$G$124,$H$124,$I$124,$J$124)</f>
        <v>1</v>
      </c>
      <c r="U124" s="76">
        <v>0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0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0.2</v>
      </c>
      <c r="AL124" s="52">
        <f>SUM($U$124,$V$124,$W$124,$X$124,$Y$124,$Z$124,$AA$124,$AB$124)</f>
        <v>1</v>
      </c>
      <c r="AM124" s="67">
        <v>1</v>
      </c>
      <c r="AN124" s="48">
        <v>0</v>
      </c>
      <c r="AO124" s="48">
        <v>0</v>
      </c>
      <c r="AP124" s="48">
        <v>0</v>
      </c>
      <c r="AQ124" s="48">
        <v>0</v>
      </c>
      <c r="AR124" s="48">
        <v>2</v>
      </c>
      <c r="AS124" s="48">
        <v>0</v>
      </c>
      <c r="AT124" s="56">
        <v>0</v>
      </c>
      <c r="AU124" s="57">
        <f>$AM$124*VLOOKUP($AM$11,'PCU Values'!$B$9:$C$16,2,FALSE)</f>
        <v>1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0.4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1.4</v>
      </c>
      <c r="BD124" s="52">
        <f>SUM($AM$124,$AN$124,$AO$124,$AP$124,$AQ$124,$AR$124,$AS$124,$AT$124)</f>
        <v>3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</v>
      </c>
      <c r="BZ124" s="83">
        <f>SUM($D$124,$V$124,$AN$124,$BF$124)</f>
        <v>1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3</v>
      </c>
      <c r="CE124" s="83">
        <f>SUM($I$124,$AA$124,$AS$124,$BK$124)</f>
        <v>0</v>
      </c>
      <c r="CF124" s="86">
        <f>SUM($J$124,$AB$124,$AT$124,$BL$124)</f>
        <v>0</v>
      </c>
      <c r="CG124" s="77">
        <f>$BY$124*VLOOKUP($BY$11,'PCU Values'!$B$9:$C$16,2,FALSE)</f>
        <v>1</v>
      </c>
      <c r="CH124" s="77">
        <f>$BZ$124*VLOOKUP($BZ$11,'PCU Values'!$B$9:$C$16,2,FALSE)</f>
        <v>1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0.6</v>
      </c>
      <c r="CM124" s="77">
        <f>$CE$124*VLOOKUP($CE$11,'PCU Values'!$B$9:$C$16,2,FALSE)</f>
        <v>0</v>
      </c>
      <c r="CN124" s="78">
        <f>$CF$124*VLOOKUP($CF$11,'PCU Values'!$B$9:$C$16,2,FALSE)</f>
        <v>0</v>
      </c>
      <c r="CO124" s="66">
        <f>SUM($CG$124,$CH$124,$CI$124,$CJ$124,$CK$124,$CL$124,$CM$124,$CN$124)</f>
        <v>2.6</v>
      </c>
      <c r="CP124" s="52">
        <f>SUM($BY$124,$BZ$124,$CA$124,$CB$124,$CC$124,$CD$124,$CE$124,$CF$124)</f>
        <v>5</v>
      </c>
      <c r="CQ124" s="89">
        <f>SUM('J1 A - (North) Bishopthorpe Roa'!$C$124,'J1 B - Butcher Terrace'!$BE$124,'J1 C - (South) Bishopthorpe Roa'!$AM$124,'J1 D - South Bank Avenue'!$U$124)</f>
        <v>3</v>
      </c>
      <c r="CR124" s="83">
        <f>SUM('J1 A - (North) Bishopthorpe Roa'!$D$124,'J1 B - Butcher Terrace'!$BF$124,'J1 C - (South) Bishopthorpe Roa'!$AN$124,'J1 D - South Bank Avenue'!$V$124)</f>
        <v>0</v>
      </c>
      <c r="CS124" s="83">
        <f>SUM('J1 A - (North) Bishopthorpe Roa'!$E$124,'J1 B - Butcher Terrace'!$BG$124,'J1 C - (South) Bishopthorpe Roa'!$AO$124,'J1 D - South Bank Avenue'!$W$124)</f>
        <v>0</v>
      </c>
      <c r="CT124" s="83">
        <f>SUM('J1 A - (North) Bishopthorpe Roa'!$F$124,'J1 B - Butcher Terrace'!$BH$124,'J1 C - (South) Bishopthorpe Roa'!$AP$124,'J1 D - South Bank Avenue'!$X$124)</f>
        <v>0</v>
      </c>
      <c r="CU124" s="83">
        <f>SUM('J1 A - (North) Bishopthorpe Roa'!$G$124,'J1 B - Butcher Terrace'!$BI$124,'J1 C - (South) Bishopthorpe Roa'!$AQ$124,'J1 D - South Bank Avenue'!$Y$124)</f>
        <v>0</v>
      </c>
      <c r="CV124" s="83">
        <f>SUM('J1 A - (North) Bishopthorpe Roa'!$H$124,'J1 B - Butcher Terrace'!$BJ$124,'J1 C - (South) Bishopthorpe Roa'!$AR$124,'J1 D - South Bank Avenue'!$Z$124)</f>
        <v>1</v>
      </c>
      <c r="CW124" s="83">
        <f>SUM('J1 A - (North) Bishopthorpe Roa'!$I$124,'J1 B - Butcher Terrace'!$BK$124,'J1 C - (South) Bishopthorpe Roa'!$AS$124,'J1 D - South Bank Avenue'!$AA$124)</f>
        <v>1</v>
      </c>
      <c r="CX124" s="86">
        <f>SUM('J1 A - (North) Bishopthorpe Roa'!$J$124,'J1 B - Butcher Terrace'!$BL$124,'J1 C - (South) Bishopthorpe Roa'!$AT$124,'J1 D - South Bank Avenue'!$AB$124)</f>
        <v>0</v>
      </c>
      <c r="CY124" s="77">
        <f>$CQ$124*VLOOKUP($CQ$11,'PCU Values'!$B$9:$C$16,2,FALSE)</f>
        <v>3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0.4</v>
      </c>
      <c r="DF124" s="78">
        <f>$CX$124*VLOOKUP($CX$11,'PCU Values'!$B$9:$C$16,2,FALSE)</f>
        <v>0</v>
      </c>
      <c r="DG124" s="66">
        <f>SUM($CY$124,$CZ$124,$DA$124,$DB$124,$DC$124,$DD$124,$DE$124,$DF$124)</f>
        <v>3.6</v>
      </c>
      <c r="DH124" s="52">
        <f>SUM($CQ$124,$CR$124,$CS$124,$CT$124,$CU$124,$CV$124,$CW$124,$CX$124)</f>
        <v>5</v>
      </c>
    </row>
    <row r="125" spans="1:112" ht="21" customHeight="1">
      <c r="A125" s="46">
        <v>44395.947916666701</v>
      </c>
      <c r="B125" s="50" t="s">
        <v>122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0</v>
      </c>
      <c r="T125" s="52">
        <f>SUM($C$125,$D$125,$E$125,$F$125,$G$125,$H$125,$I$125,$J$125)</f>
        <v>0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1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0.2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0.2</v>
      </c>
      <c r="AL125" s="52">
        <f>SUM($U$125,$V$125,$W$125,$X$125,$Y$125,$Z$125,$AA$125,$AB$125)</f>
        <v>1</v>
      </c>
      <c r="AM125" s="73">
        <v>2</v>
      </c>
      <c r="AN125" s="51">
        <v>0</v>
      </c>
      <c r="AO125" s="51">
        <v>0</v>
      </c>
      <c r="AP125" s="51">
        <v>0</v>
      </c>
      <c r="AQ125" s="51">
        <v>0</v>
      </c>
      <c r="AR125" s="51">
        <v>2</v>
      </c>
      <c r="AS125" s="51">
        <v>1</v>
      </c>
      <c r="AT125" s="59">
        <v>0</v>
      </c>
      <c r="AU125" s="60">
        <f>$AM$125*VLOOKUP($AM$11,'PCU Values'!$B$9:$C$16,2,FALSE)</f>
        <v>2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0.4</v>
      </c>
      <c r="BA125" s="60">
        <f>$AS$125*VLOOKUP($AS$11,'PCU Values'!$B$9:$C$16,2,FALSE)</f>
        <v>0.4</v>
      </c>
      <c r="BB125" s="68">
        <f>$AT$125*VLOOKUP($AT$11,'PCU Values'!$B$9:$C$16,2,FALSE)</f>
        <v>0</v>
      </c>
      <c r="BC125" s="63">
        <f>SUM($AU$125,$AV$125,$AW$125,$AX$125,$AY$125,$AZ$125,$BA$125,$BB$125)</f>
        <v>2.8</v>
      </c>
      <c r="BD125" s="52">
        <f>SUM($AM$125,$AN$125,$AO$125,$AP$125,$AQ$125,$AR$125,$AS$125,$AT$125)</f>
        <v>5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2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3</v>
      </c>
      <c r="CE125" s="84">
        <f>SUM($I$125,$AA$125,$AS$125,$BK$125)</f>
        <v>1</v>
      </c>
      <c r="CF125" s="87">
        <f>SUM($J$125,$AB$125,$AT$125,$BL$125)</f>
        <v>0</v>
      </c>
      <c r="CG125" s="79">
        <f>$BY$125*VLOOKUP($BY$11,'PCU Values'!$B$9:$C$16,2,FALSE)</f>
        <v>2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0.6</v>
      </c>
      <c r="CM125" s="79">
        <f>$CE$125*VLOOKUP($CE$11,'PCU Values'!$B$9:$C$16,2,FALSE)</f>
        <v>0.4</v>
      </c>
      <c r="CN125" s="80">
        <f>$CF$125*VLOOKUP($CF$11,'PCU Values'!$B$9:$C$16,2,FALSE)</f>
        <v>0</v>
      </c>
      <c r="CO125" s="63">
        <f>SUM($CG$125,$CH$125,$CI$125,$CJ$125,$CK$125,$CL$125,$CM$125,$CN$125)</f>
        <v>3</v>
      </c>
      <c r="CP125" s="52">
        <f>SUM($BY$125,$BZ$125,$CA$125,$CB$125,$CC$125,$CD$125,$CE$125,$CF$125)</f>
        <v>6</v>
      </c>
      <c r="CQ125" s="90">
        <f>SUM('J1 A - (North) Bishopthorpe Roa'!$C$125,'J1 B - Butcher Terrace'!$BE$125,'J1 C - (South) Bishopthorpe Roa'!$AM$125,'J1 D - South Bank Avenue'!$U$125)</f>
        <v>3</v>
      </c>
      <c r="CR125" s="84">
        <f>SUM('J1 A - (North) Bishopthorpe Roa'!$D$125,'J1 B - Butcher Terrace'!$BF$125,'J1 C - (South) Bishopthorpe Roa'!$AN$125,'J1 D - South Bank Avenue'!$V$125)</f>
        <v>0</v>
      </c>
      <c r="CS125" s="84">
        <f>SUM('J1 A - (North) Bishopthorpe Roa'!$E$125,'J1 B - Butcher Terrace'!$BG$125,'J1 C - (South) Bishopthorpe Roa'!$AO$125,'J1 D - South Bank Avenue'!$W$125)</f>
        <v>0</v>
      </c>
      <c r="CT125" s="84">
        <f>SUM('J1 A - (North) Bishopthorpe Roa'!$F$125,'J1 B - Butcher Terrace'!$BH$125,'J1 C - (South) Bishopthorpe Roa'!$AP$125,'J1 D - South Bank Avenue'!$X$125)</f>
        <v>0</v>
      </c>
      <c r="CU125" s="84">
        <f>SUM('J1 A - (North) Bishopthorpe Roa'!$G$125,'J1 B - Butcher Terrace'!$BI$125,'J1 C - (South) Bishopthorpe Roa'!$AQ$125,'J1 D - South Bank Avenue'!$Y$125)</f>
        <v>0</v>
      </c>
      <c r="CV125" s="84">
        <f>SUM('J1 A - (North) Bishopthorpe Roa'!$H$125,'J1 B - Butcher Terrace'!$BJ$125,'J1 C - (South) Bishopthorpe Roa'!$AR$125,'J1 D - South Bank Avenue'!$Z$125)</f>
        <v>0</v>
      </c>
      <c r="CW125" s="84">
        <f>SUM('J1 A - (North) Bishopthorpe Roa'!$I$125,'J1 B - Butcher Terrace'!$BK$125,'J1 C - (South) Bishopthorpe Roa'!$AS$125,'J1 D - South Bank Avenue'!$AA$125)</f>
        <v>0</v>
      </c>
      <c r="CX125" s="87">
        <f>SUM('J1 A - (North) Bishopthorpe Roa'!$J$125,'J1 B - Butcher Terrace'!$BL$125,'J1 C - (South) Bishopthorpe Roa'!$AT$125,'J1 D - South Bank Avenue'!$AB$125)</f>
        <v>0</v>
      </c>
      <c r="CY125" s="79">
        <f>$CQ$125*VLOOKUP($CQ$11,'PCU Values'!$B$9:$C$16,2,FALSE)</f>
        <v>3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3</v>
      </c>
      <c r="DH125" s="52">
        <f>SUM($CQ$125,$CR$125,$CS$125,$CT$125,$CU$125,$CV$125,$CW$125,$CX$125)</f>
        <v>3</v>
      </c>
    </row>
    <row r="126" spans="1:112">
      <c r="B126" s="52" t="s">
        <v>34</v>
      </c>
      <c r="C126" s="52">
        <f>SUM($C$122:$C$125)</f>
        <v>0</v>
      </c>
      <c r="D126" s="52">
        <f>SUM($D$122:$D$125)</f>
        <v>1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0</v>
      </c>
      <c r="I126" s="52">
        <f>SUM($I$122:$I$125)</f>
        <v>0</v>
      </c>
      <c r="J126" s="52">
        <f>SUM($J$122:$J$125)</f>
        <v>0</v>
      </c>
      <c r="K126" s="52">
        <f>SUM($K$122:$K$125)</f>
        <v>0</v>
      </c>
      <c r="L126" s="52">
        <f>SUM($L$122:$L$125)</f>
        <v>1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1</v>
      </c>
      <c r="T126" s="52">
        <f>SUM($C$126,$D$126,$E$126,$F$126,$G$126,$H$126,$I$126,$J$126)</f>
        <v>1</v>
      </c>
      <c r="U126" s="52">
        <f>SUM($U$122:$U$125)</f>
        <v>0</v>
      </c>
      <c r="V126" s="52">
        <f>SUM($V$122:$V$125)</f>
        <v>0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12</v>
      </c>
      <c r="AA126" s="52">
        <f>SUM($AA$122:$AA$125)</f>
        <v>2</v>
      </c>
      <c r="AB126" s="52">
        <f>SUM($AB$122:$AB$125)</f>
        <v>0</v>
      </c>
      <c r="AC126" s="52">
        <f>SUM($AC$122:$AC$125)</f>
        <v>0</v>
      </c>
      <c r="AD126" s="52">
        <f>SUM($AD$122:$AD$125)</f>
        <v>0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2</v>
      </c>
      <c r="AI126" s="52">
        <f>SUM($AI$122:$AI$125)</f>
        <v>1</v>
      </c>
      <c r="AJ126" s="52">
        <f>SUM($AJ$122:$AJ$125)</f>
        <v>0</v>
      </c>
      <c r="AK126" s="52">
        <f>SUM($AC$126,$AD$126,$AE$126,$AF$126,$AG$126,$AH$126,$AI$126,$AJ$126)</f>
        <v>3</v>
      </c>
      <c r="AL126" s="52">
        <f>SUM($U$126,$V$126,$W$126,$X$126,$Y$126,$Z$126,$AA$126,$AB$126)</f>
        <v>14</v>
      </c>
      <c r="AM126" s="52">
        <f>SUM($AM$122:$AM$125)</f>
        <v>7</v>
      </c>
      <c r="AN126" s="52">
        <f>SUM($AN$122:$AN$125)</f>
        <v>1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4</v>
      </c>
      <c r="AS126" s="52">
        <f>SUM($AS$122:$AS$125)</f>
        <v>1</v>
      </c>
      <c r="AT126" s="52">
        <f>SUM($AT$122:$AT$125)</f>
        <v>0</v>
      </c>
      <c r="AU126" s="52">
        <f>SUM($AU$122:$AU$125)</f>
        <v>7</v>
      </c>
      <c r="AV126" s="52">
        <f>SUM($AV$122:$AV$125)</f>
        <v>1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1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9</v>
      </c>
      <c r="BD126" s="52">
        <f>SUM($AM$126,$AN$126,$AO$126,$AP$126,$AQ$126,$AR$126,$AS$126,$AT$126)</f>
        <v>13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7</v>
      </c>
      <c r="BZ126" s="52">
        <f>SUM($BZ$122:$BZ$125)</f>
        <v>2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16</v>
      </c>
      <c r="CE126" s="52">
        <f>SUM($CE$122:$CE$125)</f>
        <v>3</v>
      </c>
      <c r="CF126" s="52">
        <f>SUM($CF$122:$CF$125)</f>
        <v>0</v>
      </c>
      <c r="CG126" s="52">
        <f>SUM($CG$122:$CG$125)</f>
        <v>7</v>
      </c>
      <c r="CH126" s="52">
        <f>SUM($CH$122:$CH$125)</f>
        <v>2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3</v>
      </c>
      <c r="CM126" s="52">
        <f>SUM($CM$122:$CM$125)</f>
        <v>1</v>
      </c>
      <c r="CN126" s="52">
        <f>SUM($CN$122:$CN$125)</f>
        <v>0</v>
      </c>
      <c r="CO126" s="52">
        <f>SUM($CG$126,$CH$126,$CI$126,$CJ$126,$CK$126,$CL$126,$CM$126,$CN$126)</f>
        <v>13</v>
      </c>
      <c r="CP126" s="52">
        <f>SUM($BY$126,$BZ$126,$CA$126,$CB$126,$CC$126,$CD$126,$CE$126,$CF$126)</f>
        <v>28</v>
      </c>
      <c r="CQ126" s="52">
        <f>SUM($CQ$122:$CQ$125)</f>
        <v>11</v>
      </c>
      <c r="CR126" s="52">
        <f>SUM($CR$122:$CR$125)</f>
        <v>1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3</v>
      </c>
      <c r="CW126" s="52">
        <f>SUM($CW$122:$CW$125)</f>
        <v>1</v>
      </c>
      <c r="CX126" s="52">
        <f>SUM($CX$122:$CX$125)</f>
        <v>0</v>
      </c>
      <c r="CY126" s="52">
        <f>SUM($CY$122:$CY$125)</f>
        <v>11</v>
      </c>
      <c r="CZ126" s="52">
        <f>SUM($CZ$122:$CZ$125)</f>
        <v>1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1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13</v>
      </c>
      <c r="DH126" s="52">
        <f>SUM($CQ$126,$CR$126,$CS$126,$CT$126,$CU$126,$CV$126,$CW$126,$CX$126)</f>
        <v>16</v>
      </c>
    </row>
    <row r="127" spans="1:112" ht="21" customHeight="1">
      <c r="A127" s="46">
        <v>44395.958333333299</v>
      </c>
      <c r="B127" s="53" t="s">
        <v>123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1</v>
      </c>
      <c r="I127" s="54">
        <v>0</v>
      </c>
      <c r="J127" s="61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0.2</v>
      </c>
      <c r="T127" s="52">
        <f>SUM($C$127,$D$127,$E$127,$F$127,$G$127,$H$127,$I$127,$J$127)</f>
        <v>1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2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0.4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0.4</v>
      </c>
      <c r="AL127" s="52">
        <f>SUM($U$127,$V$127,$W$127,$X$127,$Y$127,$Z$127,$AA$127,$AB$127)</f>
        <v>2</v>
      </c>
      <c r="AM127" s="72">
        <v>1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1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1</v>
      </c>
      <c r="BD127" s="52">
        <f>SUM($AM$127,$AN$127,$AO$127,$AP$127,$AQ$127,$AR$127,$AS$127,$AT$127)</f>
        <v>1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3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0.6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1.6</v>
      </c>
      <c r="CP127" s="52">
        <f>SUM($BY$127,$BZ$127,$CA$127,$CB$127,$CC$127,$CD$127,$CE$127,$CF$127)</f>
        <v>4</v>
      </c>
      <c r="CQ127" s="91">
        <f>SUM('J1 A - (North) Bishopthorpe Roa'!$C$127,'J1 B - Butcher Terrace'!$BE$127,'J1 C - (South) Bishopthorpe Roa'!$AM$127,'J1 D - South Bank Avenue'!$U$127)</f>
        <v>1</v>
      </c>
      <c r="CR127" s="85">
        <f>SUM('J1 A - (North) Bishopthorpe Roa'!$D$127,'J1 B - Butcher Terrace'!$BF$127,'J1 C - (South) Bishopthorpe Roa'!$AN$127,'J1 D - South Bank Avenue'!$V$127)</f>
        <v>0</v>
      </c>
      <c r="CS127" s="85">
        <f>SUM('J1 A - (North) Bishopthorpe Roa'!$E$127,'J1 B - Butcher Terrace'!$BG$127,'J1 C - (South) Bishopthorpe Roa'!$AO$127,'J1 D - South Bank Avenue'!$W$127)</f>
        <v>0</v>
      </c>
      <c r="CT127" s="85">
        <f>SUM('J1 A - (North) Bishopthorpe Roa'!$F$127,'J1 B - Butcher Terrace'!$BH$127,'J1 C - (South) Bishopthorpe Roa'!$AP$127,'J1 D - South Bank Avenue'!$X$127)</f>
        <v>0</v>
      </c>
      <c r="CU127" s="85">
        <f>SUM('J1 A - (North) Bishopthorpe Roa'!$G$127,'J1 B - Butcher Terrace'!$BI$127,'J1 C - (South) Bishopthorpe Roa'!$AQ$127,'J1 D - South Bank Avenue'!$Y$127)</f>
        <v>0</v>
      </c>
      <c r="CV127" s="85">
        <f>SUM('J1 A - (North) Bishopthorpe Roa'!$H$127,'J1 B - Butcher Terrace'!$BJ$127,'J1 C - (South) Bishopthorpe Roa'!$AR$127,'J1 D - South Bank Avenue'!$Z$127)</f>
        <v>1</v>
      </c>
      <c r="CW127" s="85">
        <f>SUM('J1 A - (North) Bishopthorpe Roa'!$I$127,'J1 B - Butcher Terrace'!$BK$127,'J1 C - (South) Bishopthorpe Roa'!$AS$127,'J1 D - South Bank Avenue'!$AA$127)</f>
        <v>0</v>
      </c>
      <c r="CX127" s="88">
        <f>SUM('J1 A - (North) Bishopthorpe Roa'!$J$127,'J1 B - Butcher Terrace'!$BL$127,'J1 C - (South) Bishopthorpe Roa'!$AT$127,'J1 D - South Bank Avenue'!$AB$127)</f>
        <v>0</v>
      </c>
      <c r="CY127" s="81">
        <f>$CQ$127*VLOOKUP($CQ$11,'PCU Values'!$B$9:$C$16,2,FALSE)</f>
        <v>1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0.2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1.2</v>
      </c>
      <c r="DH127" s="52">
        <f>SUM($CQ$127,$CR$127,$CS$127,$CT$127,$CU$127,$CV$127,$CW$127,$CX$127)</f>
        <v>2</v>
      </c>
    </row>
    <row r="128" spans="1:112" ht="21" customHeight="1">
      <c r="A128" s="46">
        <v>44395.96875</v>
      </c>
      <c r="B128" s="47" t="s">
        <v>124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0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2">
        <f>SUM($C$128,$D$128,$E$128,$F$128,$G$128,$H$128,$I$128,$J$128)</f>
        <v>0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5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1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1</v>
      </c>
      <c r="AL128" s="52">
        <f>SUM($U$128,$V$128,$W$128,$X$128,$Y$128,$Z$128,$AA$128,$AB$128)</f>
        <v>5</v>
      </c>
      <c r="AM128" s="67">
        <v>4</v>
      </c>
      <c r="AN128" s="48">
        <v>0</v>
      </c>
      <c r="AO128" s="48">
        <v>0</v>
      </c>
      <c r="AP128" s="48">
        <v>0</v>
      </c>
      <c r="AQ128" s="48">
        <v>0</v>
      </c>
      <c r="AR128" s="48">
        <v>1</v>
      </c>
      <c r="AS128" s="48">
        <v>0</v>
      </c>
      <c r="AT128" s="56">
        <v>0</v>
      </c>
      <c r="AU128" s="57">
        <f>$AM$128*VLOOKUP($AM$11,'PCU Values'!$B$9:$C$16,2,FALSE)</f>
        <v>4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0.2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4.2</v>
      </c>
      <c r="BD128" s="52">
        <f>SUM($AM$128,$AN$128,$AO$128,$AP$128,$AQ$128,$AR$128,$AS$128,$AT$128)</f>
        <v>5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4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6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4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1.2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5.2</v>
      </c>
      <c r="CP128" s="52">
        <f>SUM($BY$128,$BZ$128,$CA$128,$CB$128,$CC$128,$CD$128,$CE$128,$CF$128)</f>
        <v>10</v>
      </c>
      <c r="CQ128" s="89">
        <f>SUM('J1 A - (North) Bishopthorpe Roa'!$C$128,'J1 B - Butcher Terrace'!$BE$128,'J1 C - (South) Bishopthorpe Roa'!$AM$128,'J1 D - South Bank Avenue'!$U$128)</f>
        <v>4</v>
      </c>
      <c r="CR128" s="83">
        <f>SUM('J1 A - (North) Bishopthorpe Roa'!$D$128,'J1 B - Butcher Terrace'!$BF$128,'J1 C - (South) Bishopthorpe Roa'!$AN$128,'J1 D - South Bank Avenue'!$V$128)</f>
        <v>0</v>
      </c>
      <c r="CS128" s="83">
        <f>SUM('J1 A - (North) Bishopthorpe Roa'!$E$128,'J1 B - Butcher Terrace'!$BG$128,'J1 C - (South) Bishopthorpe Roa'!$AO$128,'J1 D - South Bank Avenue'!$W$128)</f>
        <v>0</v>
      </c>
      <c r="CT128" s="83">
        <f>SUM('J1 A - (North) Bishopthorpe Roa'!$F$128,'J1 B - Butcher Terrace'!$BH$128,'J1 C - (South) Bishopthorpe Roa'!$AP$128,'J1 D - South Bank Avenue'!$X$128)</f>
        <v>0</v>
      </c>
      <c r="CU128" s="83">
        <f>SUM('J1 A - (North) Bishopthorpe Roa'!$G$128,'J1 B - Butcher Terrace'!$BI$128,'J1 C - (South) Bishopthorpe Roa'!$AQ$128,'J1 D - South Bank Avenue'!$Y$128)</f>
        <v>0</v>
      </c>
      <c r="CV128" s="83">
        <f>SUM('J1 A - (North) Bishopthorpe Roa'!$H$128,'J1 B - Butcher Terrace'!$BJ$128,'J1 C - (South) Bishopthorpe Roa'!$AR$128,'J1 D - South Bank Avenue'!$Z$128)</f>
        <v>1</v>
      </c>
      <c r="CW128" s="83">
        <f>SUM('J1 A - (North) Bishopthorpe Roa'!$I$128,'J1 B - Butcher Terrace'!$BK$128,'J1 C - (South) Bishopthorpe Roa'!$AS$128,'J1 D - South Bank Avenue'!$AA$128)</f>
        <v>0</v>
      </c>
      <c r="CX128" s="86">
        <f>SUM('J1 A - (North) Bishopthorpe Roa'!$J$128,'J1 B - Butcher Terrace'!$BL$128,'J1 C - (South) Bishopthorpe Roa'!$AT$128,'J1 D - South Bank Avenue'!$AB$128)</f>
        <v>0</v>
      </c>
      <c r="CY128" s="77">
        <f>$CQ$128*VLOOKUP($CQ$11,'PCU Values'!$B$9:$C$16,2,FALSE)</f>
        <v>4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0.2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4.2</v>
      </c>
      <c r="DH128" s="52">
        <f>SUM($CQ$128,$CR$128,$CS$128,$CT$128,$CU$128,$CV$128,$CW$128,$CX$128)</f>
        <v>5</v>
      </c>
    </row>
    <row r="129" spans="1:112" ht="21" customHeight="1">
      <c r="A129" s="46">
        <v>44395.979166666701</v>
      </c>
      <c r="B129" s="47" t="s">
        <v>125</v>
      </c>
      <c r="C129" s="48">
        <v>1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1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1</v>
      </c>
      <c r="T129" s="52">
        <f>SUM($C$129,$D$129,$E$129,$F$129,$G$129,$H$129,$I$129,$J$129)</f>
        <v>1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4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0.8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0.8</v>
      </c>
      <c r="AL129" s="52">
        <f>SUM($U$129,$V$129,$W$129,$X$129,$Y$129,$Z$129,$AA$129,$AB$129)</f>
        <v>4</v>
      </c>
      <c r="AM129" s="67">
        <v>1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1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1</v>
      </c>
      <c r="BD129" s="52">
        <f>SUM($AM$129,$AN$129,$AO$129,$AP$129,$AQ$129,$AR$129,$AS$129,$AT$129)</f>
        <v>1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2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4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2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0.8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2.8</v>
      </c>
      <c r="CP129" s="52">
        <f>SUM($BY$129,$BZ$129,$CA$129,$CB$129,$CC$129,$CD$129,$CE$129,$CF$129)</f>
        <v>6</v>
      </c>
      <c r="CQ129" s="89">
        <f>SUM('J1 A - (North) Bishopthorpe Roa'!$C$129,'J1 B - Butcher Terrace'!$BE$129,'J1 C - (South) Bishopthorpe Roa'!$AM$129,'J1 D - South Bank Avenue'!$U$129)</f>
        <v>1</v>
      </c>
      <c r="CR129" s="83">
        <f>SUM('J1 A - (North) Bishopthorpe Roa'!$D$129,'J1 B - Butcher Terrace'!$BF$129,'J1 C - (South) Bishopthorpe Roa'!$AN$129,'J1 D - South Bank Avenue'!$V$129)</f>
        <v>0</v>
      </c>
      <c r="CS129" s="83">
        <f>SUM('J1 A - (North) Bishopthorpe Roa'!$E$129,'J1 B - Butcher Terrace'!$BG$129,'J1 C - (South) Bishopthorpe Roa'!$AO$129,'J1 D - South Bank Avenue'!$W$129)</f>
        <v>0</v>
      </c>
      <c r="CT129" s="83">
        <f>SUM('J1 A - (North) Bishopthorpe Roa'!$F$129,'J1 B - Butcher Terrace'!$BH$129,'J1 C - (South) Bishopthorpe Roa'!$AP$129,'J1 D - South Bank Avenue'!$X$129)</f>
        <v>0</v>
      </c>
      <c r="CU129" s="83">
        <f>SUM('J1 A - (North) Bishopthorpe Roa'!$G$129,'J1 B - Butcher Terrace'!$BI$129,'J1 C - (South) Bishopthorpe Roa'!$AQ$129,'J1 D - South Bank Avenue'!$Y$129)</f>
        <v>0</v>
      </c>
      <c r="CV129" s="83">
        <f>SUM('J1 A - (North) Bishopthorpe Roa'!$H$129,'J1 B - Butcher Terrace'!$BJ$129,'J1 C - (South) Bishopthorpe Roa'!$AR$129,'J1 D - South Bank Avenue'!$Z$129)</f>
        <v>0</v>
      </c>
      <c r="CW129" s="83">
        <f>SUM('J1 A - (North) Bishopthorpe Roa'!$I$129,'J1 B - Butcher Terrace'!$BK$129,'J1 C - (South) Bishopthorpe Roa'!$AS$129,'J1 D - South Bank Avenue'!$AA$129)</f>
        <v>0</v>
      </c>
      <c r="CX129" s="86">
        <f>SUM('J1 A - (North) Bishopthorpe Roa'!$J$129,'J1 B - Butcher Terrace'!$BL$129,'J1 C - (South) Bishopthorpe Roa'!$AT$129,'J1 D - South Bank Avenue'!$AB$129)</f>
        <v>0</v>
      </c>
      <c r="CY129" s="77">
        <f>$CQ$129*VLOOKUP($CQ$11,'PCU Values'!$B$9:$C$16,2,FALSE)</f>
        <v>1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</v>
      </c>
      <c r="DH129" s="52">
        <f>SUM($CQ$129,$CR$129,$CS$129,$CT$129,$CU$129,$CV$129,$CW$129,$CX$129)</f>
        <v>1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2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0.4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0.4</v>
      </c>
      <c r="AL130" s="52">
        <f>SUM($U$130,$V$130,$W$130,$X$130,$Y$130,$Z$130,$AA$130,$AB$130)</f>
        <v>2</v>
      </c>
      <c r="AM130" s="73">
        <v>2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2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2</v>
      </c>
      <c r="BD130" s="52">
        <f>SUM($AM$130,$AN$130,$AO$130,$AP$130,$AQ$130,$AR$130,$AS$130,$AT$130)</f>
        <v>2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2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2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2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0.4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2.4</v>
      </c>
      <c r="CP130" s="52">
        <f>SUM($BY$130,$BZ$130,$CA$130,$CB$130,$CC$130,$CD$130,$CE$130,$CF$130)</f>
        <v>4</v>
      </c>
      <c r="CQ130" s="90">
        <f>SUM('J1 A - (North) Bishopthorpe Roa'!$C$130,'J1 B - Butcher Terrace'!$BE$130,'J1 C - (South) Bishopthorpe Roa'!$AM$130,'J1 D - South Bank Avenue'!$U$130)</f>
        <v>3</v>
      </c>
      <c r="CR130" s="84">
        <f>SUM('J1 A - (North) Bishopthorpe Roa'!$D$130,'J1 B - Butcher Terrace'!$BF$130,'J1 C - (South) Bishopthorpe Roa'!$AN$130,'J1 D - South Bank Avenue'!$V$130)</f>
        <v>0</v>
      </c>
      <c r="CS130" s="84">
        <f>SUM('J1 A - (North) Bishopthorpe Roa'!$E$130,'J1 B - Butcher Terrace'!$BG$130,'J1 C - (South) Bishopthorpe Roa'!$AO$130,'J1 D - South Bank Avenue'!$W$130)</f>
        <v>0</v>
      </c>
      <c r="CT130" s="84">
        <f>SUM('J1 A - (North) Bishopthorpe Roa'!$F$130,'J1 B - Butcher Terrace'!$BH$130,'J1 C - (South) Bishopthorpe Roa'!$AP$130,'J1 D - South Bank Avenue'!$X$130)</f>
        <v>0</v>
      </c>
      <c r="CU130" s="84">
        <f>SUM('J1 A - (North) Bishopthorpe Roa'!$G$130,'J1 B - Butcher Terrace'!$BI$130,'J1 C - (South) Bishopthorpe Roa'!$AQ$130,'J1 D - South Bank Avenue'!$Y$130)</f>
        <v>0</v>
      </c>
      <c r="CV130" s="84">
        <f>SUM('J1 A - (North) Bishopthorpe Roa'!$H$130,'J1 B - Butcher Terrace'!$BJ$130,'J1 C - (South) Bishopthorpe Roa'!$AR$130,'J1 D - South Bank Avenue'!$Z$130)</f>
        <v>3</v>
      </c>
      <c r="CW130" s="84">
        <f>SUM('J1 A - (North) Bishopthorpe Roa'!$I$130,'J1 B - Butcher Terrace'!$BK$130,'J1 C - (South) Bishopthorpe Roa'!$AS$130,'J1 D - South Bank Avenue'!$AA$130)</f>
        <v>0</v>
      </c>
      <c r="CX130" s="87">
        <f>SUM('J1 A - (North) Bishopthorpe Roa'!$J$130,'J1 B - Butcher Terrace'!$BL$130,'J1 C - (South) Bishopthorpe Roa'!$AT$130,'J1 D - South Bank Avenue'!$AB$130)</f>
        <v>0</v>
      </c>
      <c r="CY130" s="79">
        <f>$CQ$130*VLOOKUP($CQ$11,'PCU Values'!$B$9:$C$16,2,FALSE)</f>
        <v>3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0.6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3.6</v>
      </c>
      <c r="DH130" s="52">
        <f>SUM($CQ$130,$CR$130,$CS$130,$CT$130,$CU$130,$CV$130,$CW$130,$CX$130)</f>
        <v>6</v>
      </c>
    </row>
    <row r="131" spans="1:112">
      <c r="B131" s="52" t="s">
        <v>34</v>
      </c>
      <c r="C131" s="52">
        <f>SUM($C$127:$C$130)</f>
        <v>1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1</v>
      </c>
      <c r="I131" s="52">
        <f>SUM($I$127:$I$130)</f>
        <v>0</v>
      </c>
      <c r="J131" s="52">
        <f>SUM($J$127:$J$130)</f>
        <v>0</v>
      </c>
      <c r="K131" s="52">
        <f>SUM($K$127:$K$130)</f>
        <v>1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1</v>
      </c>
      <c r="T131" s="52">
        <f>SUM($C$131,$D$131,$E$131,$F$131,$G$131,$H$131,$I$131,$J$131)</f>
        <v>2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13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3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3</v>
      </c>
      <c r="AL131" s="52">
        <f>SUM($U$131,$V$131,$W$131,$X$131,$Y$131,$Z$131,$AA$131,$AB$131)</f>
        <v>13</v>
      </c>
      <c r="AM131" s="52">
        <f>SUM($AM$127:$AM$130)</f>
        <v>8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1</v>
      </c>
      <c r="AS131" s="52">
        <f>SUM($AS$127:$AS$130)</f>
        <v>0</v>
      </c>
      <c r="AT131" s="52">
        <f>SUM($AT$127:$AT$130)</f>
        <v>0</v>
      </c>
      <c r="AU131" s="52">
        <f>SUM($AU$127:$AU$130)</f>
        <v>8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8</v>
      </c>
      <c r="BD131" s="52">
        <f>SUM($AM$131,$AN$131,$AO$131,$AP$131,$AQ$131,$AR$131,$AS$131,$AT$131)</f>
        <v>9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9</v>
      </c>
      <c r="BZ131" s="52">
        <f>SUM($BZ$127:$BZ$130)</f>
        <v>0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15</v>
      </c>
      <c r="CE131" s="52">
        <f>SUM($CE$127:$CE$130)</f>
        <v>0</v>
      </c>
      <c r="CF131" s="52">
        <f>SUM($CF$127:$CF$130)</f>
        <v>0</v>
      </c>
      <c r="CG131" s="52">
        <f>SUM($CG$127:$CG$130)</f>
        <v>9</v>
      </c>
      <c r="CH131" s="52">
        <f>SUM($CH$127:$CH$130)</f>
        <v>0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3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12</v>
      </c>
      <c r="CP131" s="52">
        <f>SUM($BY$131,$BZ$131,$CA$131,$CB$131,$CC$131,$CD$131,$CE$131,$CF$131)</f>
        <v>24</v>
      </c>
      <c r="CQ131" s="52">
        <f>SUM($CQ$127:$CQ$130)</f>
        <v>9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5</v>
      </c>
      <c r="CW131" s="52">
        <f>SUM($CW$127:$CW$130)</f>
        <v>0</v>
      </c>
      <c r="CX131" s="52">
        <f>SUM($CX$127:$CX$130)</f>
        <v>0</v>
      </c>
      <c r="CY131" s="52">
        <f>SUM($CY$127:$CY$130)</f>
        <v>9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10</v>
      </c>
      <c r="DH131" s="52">
        <f>SUM($CQ$131,$CR$131,$CS$131,$CT$131,$CU$131,$CV$131,$CW$131,$CX$131)</f>
        <v>14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111</v>
      </c>
      <c r="D133" s="52">
        <f>SUM($D$16,$D$21,$D$26,$D$31,$D$36,$D$41,$D$46,$D$51,$D$56,$D$61,$D$66,$D$71,$D$76,$D$81,$D$86,$D$91,$D$96,$D$101,$D$106,$D$111,$D$116,$D$121,$D$126,$D$131)</f>
        <v>28</v>
      </c>
      <c r="E133" s="52">
        <f>SUM($E$16,$E$21,$E$26,$E$31,$E$36,$E$41,$E$46,$E$51,$E$56,$E$61,$E$66,$E$71,$E$76,$E$81,$E$86,$E$91,$E$96,$E$101,$E$106,$E$111,$E$116,$E$121,$E$126,$E$131)</f>
        <v>1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107</v>
      </c>
      <c r="I133" s="52">
        <f>SUM($I$16,$I$21,$I$26,$I$31,$I$36,$I$41,$I$46,$I$51,$I$56,$I$61,$I$66,$I$71,$I$76,$I$81,$I$86,$I$91,$I$96,$I$101,$I$106,$I$111,$I$116,$I$121,$I$126,$I$131)</f>
        <v>3</v>
      </c>
      <c r="J133" s="52">
        <f>SUM($J$16,$J$21,$J$26,$J$31,$J$36,$J$41,$J$46,$J$51,$J$56,$J$61,$J$66,$J$71,$J$76,$J$81,$J$86,$J$91,$J$96,$J$101,$J$106,$J$111,$J$116,$J$121,$J$126,$J$131)</f>
        <v>6</v>
      </c>
      <c r="K133" s="52">
        <f>SUM($K$16,$K$21,$K$26,$K$31,$K$36,$K$41,$K$46,$K$51,$K$56,$K$61,$K$66,$K$71,$K$76,$K$81,$K$86,$K$91,$K$96,$K$101,$K$106,$K$111,$K$116,$K$121,$K$126,$K$131)</f>
        <v>111</v>
      </c>
      <c r="L133" s="52">
        <f>SUM($L$16,$L$21,$L$26,$L$31,$L$36,$L$41,$L$46,$L$51,$L$56,$L$61,$L$66,$L$71,$L$76,$L$81,$L$86,$L$91,$L$96,$L$101,$L$106,$L$111,$L$116,$L$121,$L$126,$L$131)</f>
        <v>28</v>
      </c>
      <c r="M133" s="52">
        <f>SUM($M$16,$M$21,$M$26,$M$31,$M$36,$M$41,$M$46,$M$51,$M$56,$M$61,$M$66,$M$71,$M$76,$M$81,$M$86,$M$91,$M$96,$M$101,$M$106,$M$111,$M$116,$M$121,$M$126,$M$131)</f>
        <v>2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21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9</v>
      </c>
      <c r="S133" s="52">
        <f>SUM($S$16,$S$21,$S$26,$S$31,$S$36,$S$41,$S$46,$S$51,$S$56,$S$61,$S$66,$S$71,$S$76,$S$81,$S$86,$S$91,$S$96,$S$101,$S$106,$S$111,$S$116,$S$121,$S$126,$S$131)</f>
        <v>171</v>
      </c>
      <c r="T133" s="52">
        <f>SUM($T$16,$T$21,$T$26,$T$31,$T$36,$T$41,$T$46,$T$51,$T$56,$T$61,$T$66,$T$71,$T$76,$T$81,$T$86,$T$91,$T$96,$T$101,$T$106,$T$111,$T$116,$T$121,$T$126,$T$131)</f>
        <v>256</v>
      </c>
      <c r="U133" s="52">
        <f>SUM($U$16,$U$21,$U$26,$U$31,$U$36,$U$41,$U$46,$U$51,$U$56,$U$61,$U$66,$U$71,$U$76,$U$81,$U$86,$U$91,$U$96,$U$101,$U$106,$U$111,$U$116,$U$121,$U$126,$U$131)</f>
        <v>19</v>
      </c>
      <c r="V133" s="52">
        <f>SUM($V$16,$V$21,$V$26,$V$31,$V$36,$V$41,$V$46,$V$51,$V$56,$V$61,$V$66,$V$71,$V$76,$V$81,$V$86,$V$91,$V$96,$V$101,$V$106,$V$111,$V$116,$V$121,$V$126,$V$131)</f>
        <v>5</v>
      </c>
      <c r="W133" s="52">
        <f>SUM($W$16,$W$21,$W$26,$W$31,$W$36,$W$41,$W$46,$W$51,$W$56,$W$61,$W$66,$W$71,$W$76,$W$81,$W$86,$W$91,$W$96,$W$101,$W$106,$W$111,$W$116,$W$121,$W$126,$W$131)</f>
        <v>0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337</v>
      </c>
      <c r="AA133" s="52">
        <f>SUM($AA$16,$AA$21,$AA$26,$AA$31,$AA$36,$AA$41,$AA$46,$AA$51,$AA$56,$AA$61,$AA$66,$AA$71,$AA$76,$AA$81,$AA$86,$AA$91,$AA$96,$AA$101,$AA$106,$AA$111,$AA$116,$AA$121,$AA$126,$AA$131)</f>
        <v>4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19</v>
      </c>
      <c r="AD133" s="52">
        <f>SUM($AD$16,$AD$21,$AD$26,$AD$31,$AD$36,$AD$41,$AD$46,$AD$51,$AD$56,$AD$61,$AD$66,$AD$71,$AD$76,$AD$81,$AD$86,$AD$91,$AD$96,$AD$101,$AD$106,$AD$111,$AD$116,$AD$121,$AD$126,$AD$131)</f>
        <v>5</v>
      </c>
      <c r="AE133" s="52">
        <f>SUM($AE$16,$AE$21,$AE$26,$AE$31,$AE$36,$AE$41,$AE$46,$AE$51,$AE$56,$AE$61,$AE$66,$AE$71,$AE$76,$AE$81,$AE$86,$AE$91,$AE$96,$AE$101,$AE$106,$AE$111,$AE$116,$AE$121,$AE$126,$AE$131)</f>
        <v>0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69</v>
      </c>
      <c r="AI133" s="52">
        <f>SUM($AI$16,$AI$21,$AI$26,$AI$31,$AI$36,$AI$41,$AI$46,$AI$51,$AI$56,$AI$61,$AI$66,$AI$71,$AI$76,$AI$81,$AI$86,$AI$91,$AI$96,$AI$101,$AI$106,$AI$111,$AI$116,$AI$121,$AI$126,$AI$131)</f>
        <v>1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94</v>
      </c>
      <c r="AL133" s="52">
        <f>SUM($AL$16,$AL$21,$AL$26,$AL$31,$AL$36,$AL$41,$AL$46,$AL$51,$AL$56,$AL$61,$AL$66,$AL$71,$AL$76,$AL$81,$AL$86,$AL$91,$AL$96,$AL$101,$AL$106,$AL$111,$AL$116,$AL$121,$AL$126,$AL$131)</f>
        <v>365</v>
      </c>
      <c r="AM133" s="52">
        <f>SUM($AM$16,$AM$21,$AM$26,$AM$31,$AM$36,$AM$41,$AM$46,$AM$51,$AM$56,$AM$61,$AM$66,$AM$71,$AM$76,$AM$81,$AM$86,$AM$91,$AM$96,$AM$101,$AM$106,$AM$111,$AM$116,$AM$121,$AM$126,$AM$131)</f>
        <v>198</v>
      </c>
      <c r="AN133" s="52">
        <f>SUM($AN$16,$AN$21,$AN$26,$AN$31,$AN$36,$AN$41,$AN$46,$AN$51,$AN$56,$AN$61,$AN$66,$AN$71,$AN$76,$AN$81,$AN$86,$AN$91,$AN$96,$AN$101,$AN$106,$AN$111,$AN$116,$AN$121,$AN$126,$AN$131)</f>
        <v>38</v>
      </c>
      <c r="AO133" s="52">
        <f>SUM($AO$16,$AO$21,$AO$26,$AO$31,$AO$36,$AO$41,$AO$46,$AO$51,$AO$56,$AO$61,$AO$66,$AO$71,$AO$76,$AO$81,$AO$86,$AO$91,$AO$96,$AO$101,$AO$106,$AO$111,$AO$116,$AO$121,$AO$126,$AO$131)</f>
        <v>7</v>
      </c>
      <c r="AP133" s="52">
        <f>SUM($AP$16,$AP$21,$AP$26,$AP$31,$AP$36,$AP$41,$AP$46,$AP$51,$AP$56,$AP$61,$AP$66,$AP$71,$AP$76,$AP$81,$AP$86,$AP$91,$AP$96,$AP$101,$AP$106,$AP$111,$AP$116,$AP$121,$AP$126,$AP$131)</f>
        <v>1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128</v>
      </c>
      <c r="AS133" s="52">
        <f>SUM($AS$16,$AS$21,$AS$26,$AS$31,$AS$36,$AS$41,$AS$46,$AS$51,$AS$56,$AS$61,$AS$66,$AS$71,$AS$76,$AS$81,$AS$86,$AS$91,$AS$96,$AS$101,$AS$106,$AS$111,$AS$116,$AS$121,$AS$126,$AS$131)</f>
        <v>7</v>
      </c>
      <c r="AT133" s="52">
        <f>SUM($AT$16,$AT$21,$AT$26,$AT$31,$AT$36,$AT$41,$AT$46,$AT$51,$AT$56,$AT$61,$AT$66,$AT$71,$AT$76,$AT$81,$AT$86,$AT$91,$AT$96,$AT$101,$AT$106,$AT$111,$AT$116,$AT$121,$AT$126,$AT$131)</f>
        <v>11</v>
      </c>
      <c r="AU133" s="52">
        <f>SUM($AU$16,$AU$21,$AU$26,$AU$31,$AU$36,$AU$41,$AU$46,$AU$51,$AU$56,$AU$61,$AU$66,$AU$71,$AU$76,$AU$81,$AU$86,$AU$91,$AU$96,$AU$101,$AU$106,$AU$111,$AU$116,$AU$121,$AU$126,$AU$131)</f>
        <v>198</v>
      </c>
      <c r="AV133" s="52">
        <f>SUM($AV$16,$AV$21,$AV$26,$AV$31,$AV$36,$AV$41,$AV$46,$AV$51,$AV$56,$AV$61,$AV$66,$AV$71,$AV$76,$AV$81,$AV$86,$AV$91,$AV$96,$AV$101,$AV$106,$AV$111,$AV$116,$AV$121,$AV$126,$AV$131)</f>
        <v>38</v>
      </c>
      <c r="AW133" s="52">
        <f>SUM($AW$16,$AW$21,$AW$26,$AW$31,$AW$36,$AW$41,$AW$46,$AW$51,$AW$56,$AW$61,$AW$66,$AW$71,$AW$76,$AW$81,$AW$86,$AW$91,$AW$96,$AW$101,$AW$106,$AW$111,$AW$116,$AW$121,$AW$126,$AW$131)</f>
        <v>11</v>
      </c>
      <c r="AX133" s="52">
        <f>SUM($AX$16,$AX$21,$AX$26,$AX$31,$AX$36,$AX$41,$AX$46,$AX$51,$AX$56,$AX$61,$AX$66,$AX$71,$AX$76,$AX$81,$AX$86,$AX$91,$AX$96,$AX$101,$AX$106,$AX$111,$AX$116,$AX$121,$AX$126,$AX$131)</f>
        <v>2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27</v>
      </c>
      <c r="BA133" s="52">
        <f>SUM($BA$16,$BA$21,$BA$26,$BA$31,$BA$36,$BA$41,$BA$46,$BA$51,$BA$56,$BA$61,$BA$66,$BA$71,$BA$76,$BA$81,$BA$86,$BA$91,$BA$96,$BA$101,$BA$106,$BA$111,$BA$116,$BA$121,$BA$126,$BA$131)</f>
        <v>1</v>
      </c>
      <c r="BB133" s="52">
        <f>SUM($BB$16,$BB$21,$BB$26,$BB$31,$BB$36,$BB$41,$BB$46,$BB$51,$BB$56,$BB$61,$BB$66,$BB$71,$BB$76,$BB$81,$BB$86,$BB$91,$BB$96,$BB$101,$BB$106,$BB$111,$BB$116,$BB$121,$BB$126,$BB$131)</f>
        <v>18</v>
      </c>
      <c r="BC133" s="52">
        <f>SUM($BC$16,$BC$21,$BC$26,$BC$31,$BC$36,$BC$41,$BC$46,$BC$51,$BC$56,$BC$61,$BC$66,$BC$71,$BC$76,$BC$81,$BC$86,$BC$91,$BC$96,$BC$101,$BC$106,$BC$111,$BC$116,$BC$121,$BC$126,$BC$131)</f>
        <v>295</v>
      </c>
      <c r="BD133" s="52">
        <f>SUM($BD$16,$BD$21,$BD$26,$BD$31,$BD$36,$BD$41,$BD$46,$BD$51,$BD$56,$BD$61,$BD$66,$BD$71,$BD$76,$BD$81,$BD$86,$BD$91,$BD$96,$BD$101,$BD$106,$BD$111,$BD$116,$BD$121,$BD$126,$BD$131)</f>
        <v>390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0</v>
      </c>
      <c r="BV133" s="52">
        <f>SUM($BV$16,$BV$21,$BV$26,$BV$31,$BV$36,$BV$41,$BV$46,$BV$51,$BV$56,$BV$61,$BV$66,$BV$71,$BV$76,$BV$81,$BV$86,$BV$91,$BV$96,$BV$101,$BV$106,$BV$111,$BV$116,$BV$121,$BV$126,$BV$131)</f>
        <v>0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328</v>
      </c>
      <c r="BZ133" s="52">
        <f>SUM($BZ$16,$BZ$21,$BZ$26,$BZ$31,$BZ$36,$BZ$41,$BZ$46,$BZ$51,$BZ$56,$BZ$61,$BZ$66,$BZ$71,$BZ$76,$BZ$81,$BZ$86,$BZ$91,$BZ$96,$BZ$101,$BZ$106,$BZ$111,$BZ$116,$BZ$121,$BZ$126,$BZ$131)</f>
        <v>71</v>
      </c>
      <c r="CA133" s="52">
        <f>SUM($CA$16,$CA$21,$CA$26,$CA$31,$CA$36,$CA$41,$CA$46,$CA$51,$CA$56,$CA$61,$CA$66,$CA$71,$CA$76,$CA$81,$CA$86,$CA$91,$CA$96,$CA$101,$CA$106,$CA$111,$CA$116,$CA$121,$CA$126,$CA$131)</f>
        <v>8</v>
      </c>
      <c r="CB133" s="52">
        <f>SUM($CB$16,$CB$21,$CB$26,$CB$31,$CB$36,$CB$41,$CB$46,$CB$51,$CB$56,$CB$61,$CB$66,$CB$71,$CB$76,$CB$81,$CB$86,$CB$91,$CB$96,$CB$101,$CB$106,$CB$111,$CB$116,$CB$121,$CB$126,$CB$131)</f>
        <v>1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572</v>
      </c>
      <c r="CE133" s="52">
        <f>SUM($CE$16,$CE$21,$CE$26,$CE$31,$CE$36,$CE$41,$CE$46,$CE$51,$CE$56,$CE$61,$CE$66,$CE$71,$CE$76,$CE$81,$CE$86,$CE$91,$CE$96,$CE$101,$CE$106,$CE$111,$CE$116,$CE$121,$CE$126,$CE$131)</f>
        <v>14</v>
      </c>
      <c r="CF133" s="52">
        <f>SUM($CF$16,$CF$21,$CF$26,$CF$31,$CF$36,$CF$41,$CF$46,$CF$51,$CF$56,$CF$61,$CF$66,$CF$71,$CF$76,$CF$81,$CF$86,$CF$91,$CF$96,$CF$101,$CF$106,$CF$111,$CF$116,$CF$121,$CF$126,$CF$131)</f>
        <v>17</v>
      </c>
      <c r="CG133" s="52">
        <f>SUM($CG$16,$CG$21,$CG$26,$CG$31,$CG$36,$CG$41,$CG$46,$CG$51,$CG$56,$CG$61,$CG$66,$CG$71,$CG$76,$CG$81,$CG$86,$CG$91,$CG$96,$CG$101,$CG$106,$CG$111,$CG$116,$CG$121,$CG$126,$CG$131)</f>
        <v>328</v>
      </c>
      <c r="CH133" s="52">
        <f>SUM($CH$16,$CH$21,$CH$26,$CH$31,$CH$36,$CH$41,$CH$46,$CH$51,$CH$56,$CH$61,$CH$66,$CH$71,$CH$76,$CH$81,$CH$86,$CH$91,$CH$96,$CH$101,$CH$106,$CH$111,$CH$116,$CH$121,$CH$126,$CH$131)</f>
        <v>71</v>
      </c>
      <c r="CI133" s="52">
        <f>SUM($CI$16,$CI$21,$CI$26,$CI$31,$CI$36,$CI$41,$CI$46,$CI$51,$CI$56,$CI$61,$CI$66,$CI$71,$CI$76,$CI$81,$CI$86,$CI$91,$CI$96,$CI$101,$CI$106,$CI$111,$CI$116,$CI$121,$CI$126,$CI$131)</f>
        <v>13</v>
      </c>
      <c r="CJ133" s="52">
        <f>SUM($CJ$16,$CJ$21,$CJ$26,$CJ$31,$CJ$36,$CJ$41,$CJ$46,$CJ$51,$CJ$56,$CJ$61,$CJ$66,$CJ$71,$CJ$76,$CJ$81,$CJ$86,$CJ$91,$CJ$96,$CJ$101,$CJ$106,$CJ$111,$CJ$116,$CJ$121,$CJ$126,$CJ$131)</f>
        <v>2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113</v>
      </c>
      <c r="CM133" s="52">
        <f>SUM($CM$16,$CM$21,$CM$26,$CM$31,$CM$36,$CM$41,$CM$46,$CM$51,$CM$56,$CM$61,$CM$66,$CM$71,$CM$76,$CM$81,$CM$86,$CM$91,$CM$96,$CM$101,$CM$106,$CM$111,$CM$116,$CM$121,$CM$126,$CM$131)</f>
        <v>4</v>
      </c>
      <c r="CN133" s="52">
        <f>SUM($CN$16,$CN$21,$CN$26,$CN$31,$CN$36,$CN$41,$CN$46,$CN$51,$CN$56,$CN$61,$CN$66,$CN$71,$CN$76,$CN$81,$CN$86,$CN$91,$CN$96,$CN$101,$CN$106,$CN$111,$CN$116,$CN$121,$CN$126,$CN$131)</f>
        <v>27</v>
      </c>
      <c r="CO133" s="52">
        <f>SUM($CO$16,$CO$21,$CO$26,$CO$31,$CO$36,$CO$41,$CO$46,$CO$51,$CO$56,$CO$61,$CO$66,$CO$71,$CO$76,$CO$81,$CO$86,$CO$91,$CO$96,$CO$101,$CO$106,$CO$111,$CO$116,$CO$121,$CO$126,$CO$131)</f>
        <v>558</v>
      </c>
      <c r="CP133" s="52">
        <f>SUM($CP$16,$CP$21,$CP$26,$CP$31,$CP$36,$CP$41,$CP$46,$CP$51,$CP$56,$CP$61,$CP$66,$CP$71,$CP$76,$CP$81,$CP$86,$CP$91,$CP$96,$CP$101,$CP$106,$CP$111,$CP$116,$CP$121,$CP$126,$CP$131)</f>
        <v>1011</v>
      </c>
      <c r="CQ133" s="52">
        <f>SUM($CQ$16,$CQ$21,$CQ$26,$CQ$31,$CQ$36,$CQ$41,$CQ$46,$CQ$51,$CQ$56,$CQ$61,$CQ$66,$CQ$71,$CQ$76,$CQ$81,$CQ$86,$CQ$91,$CQ$96,$CQ$101,$CQ$106,$CQ$111,$CQ$116,$CQ$121,$CQ$126,$CQ$131)</f>
        <v>339</v>
      </c>
      <c r="CR133" s="52">
        <f>SUM($CR$16,$CR$21,$CR$26,$CR$31,$CR$36,$CR$41,$CR$46,$CR$51,$CR$56,$CR$61,$CR$66,$CR$71,$CR$76,$CR$81,$CR$86,$CR$91,$CR$96,$CR$101,$CR$106,$CR$111,$CR$116,$CR$121,$CR$126,$CR$131)</f>
        <v>60</v>
      </c>
      <c r="CS133" s="52">
        <f>SUM($CS$16,$CS$21,$CS$26,$CS$31,$CS$36,$CS$41,$CS$46,$CS$51,$CS$56,$CS$61,$CS$66,$CS$71,$CS$76,$CS$81,$CS$86,$CS$91,$CS$96,$CS$101,$CS$106,$CS$111,$CS$116,$CS$121,$CS$126,$CS$131)</f>
        <v>11</v>
      </c>
      <c r="CT133" s="52">
        <f>SUM($CT$16,$CT$21,$CT$26,$CT$31,$CT$36,$CT$41,$CT$46,$CT$51,$CT$56,$CT$61,$CT$66,$CT$71,$CT$76,$CT$81,$CT$86,$CT$91,$CT$96,$CT$101,$CT$106,$CT$111,$CT$116,$CT$121,$CT$126,$CT$131)</f>
        <v>1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509</v>
      </c>
      <c r="CW133" s="52">
        <f>SUM($CW$16,$CW$21,$CW$26,$CW$31,$CW$36,$CW$41,$CW$46,$CW$51,$CW$56,$CW$61,$CW$66,$CW$71,$CW$76,$CW$81,$CW$86,$CW$91,$CW$96,$CW$101,$CW$106,$CW$111,$CW$116,$CW$121,$CW$126,$CW$131)</f>
        <v>14</v>
      </c>
      <c r="CX133" s="52">
        <f>SUM($CX$16,$CX$21,$CX$26,$CX$31,$CX$36,$CX$41,$CX$46,$CX$51,$CX$56,$CX$61,$CX$66,$CX$71,$CX$76,$CX$81,$CX$86,$CX$91,$CX$96,$CX$101,$CX$106,$CX$111,$CX$116,$CX$121,$CX$126,$CX$131)</f>
        <v>20</v>
      </c>
      <c r="CY133" s="52">
        <f>SUM($CY$16,$CY$21,$CY$26,$CY$31,$CY$36,$CY$41,$CY$46,$CY$51,$CY$56,$CY$61,$CY$66,$CY$71,$CY$76,$CY$81,$CY$86,$CY$91,$CY$96,$CY$101,$CY$106,$CY$111,$CY$116,$CY$121,$CY$126,$CY$131)</f>
        <v>339</v>
      </c>
      <c r="CZ133" s="52">
        <f>SUM($CZ$16,$CZ$21,$CZ$26,$CZ$31,$CZ$36,$CZ$41,$CZ$46,$CZ$51,$CZ$56,$CZ$61,$CZ$66,$CZ$71,$CZ$76,$CZ$81,$CZ$86,$CZ$91,$CZ$96,$CZ$101,$CZ$106,$CZ$111,$CZ$116,$CZ$121,$CZ$126,$CZ$131)</f>
        <v>60</v>
      </c>
      <c r="DA133" s="52">
        <f>SUM($DA$16,$DA$21,$DA$26,$DA$31,$DA$36,$DA$41,$DA$46,$DA$51,$DA$56,$DA$61,$DA$66,$DA$71,$DA$76,$DA$81,$DA$86,$DA$91,$DA$96,$DA$101,$DA$106,$DA$111,$DA$116,$DA$121,$DA$126,$DA$131)</f>
        <v>20</v>
      </c>
      <c r="DB133" s="52">
        <f>SUM($DB$16,$DB$21,$DB$26,$DB$31,$DB$36,$DB$41,$DB$46,$DB$51,$DB$56,$DB$61,$DB$66,$DB$71,$DB$76,$DB$81,$DB$86,$DB$91,$DB$96,$DB$101,$DB$106,$DB$111,$DB$116,$DB$121,$DB$126,$DB$131)</f>
        <v>2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101</v>
      </c>
      <c r="DE133" s="52">
        <f>SUM($DE$16,$DE$21,$DE$26,$DE$31,$DE$36,$DE$41,$DE$46,$DE$51,$DE$56,$DE$61,$DE$66,$DE$71,$DE$76,$DE$81,$DE$86,$DE$91,$DE$96,$DE$101,$DE$106,$DE$111,$DE$116,$DE$121,$DE$126,$DE$131)</f>
        <v>4</v>
      </c>
      <c r="DF133" s="52">
        <f>SUM($DF$16,$DF$21,$DF$26,$DF$31,$DF$36,$DF$41,$DF$46,$DF$51,$DF$56,$DF$61,$DF$66,$DF$71,$DF$76,$DF$81,$DF$86,$DF$91,$DF$96,$DF$101,$DF$106,$DF$111,$DF$116,$DF$121,$DF$126,$DF$131)</f>
        <v>32</v>
      </c>
      <c r="DG133" s="52">
        <f>SUM($DG$16,$DG$21,$DG$26,$DG$31,$DG$36,$DG$41,$DG$46,$DG$51,$DG$56,$DG$61,$DG$66,$DG$71,$DG$76,$DG$81,$DG$86,$DG$91,$DG$96,$DG$101,$DG$106,$DG$111,$DG$116,$DG$121,$DG$126,$DG$131)</f>
        <v>558</v>
      </c>
      <c r="DH133" s="52">
        <f>SUM($DH$16,$DH$21,$DH$26,$DH$31,$DH$36,$DH$41,$DH$46,$DH$51,$DH$56,$DH$61,$DH$66,$DH$71,$DH$76,$DH$81,$DH$86,$DH$91,$DH$96,$DH$101,$DH$106,$DH$111,$DH$116,$DH$121,$DH$126,$DH$131)</f>
        <v>954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135</v>
      </c>
    </row>
    <row r="9" spans="1:112" ht="15.75" customHeight="1"/>
    <row r="10" spans="1:112" ht="21" customHeight="1">
      <c r="C10" s="100" t="s">
        <v>136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137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138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139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140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141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0</v>
      </c>
      <c r="D12" s="48">
        <v>0</v>
      </c>
      <c r="E12" s="48">
        <v>0</v>
      </c>
      <c r="F12" s="48">
        <v>0</v>
      </c>
      <c r="G12" s="48">
        <v>0</v>
      </c>
      <c r="H12" s="48">
        <v>1</v>
      </c>
      <c r="I12" s="48">
        <v>0</v>
      </c>
      <c r="J12" s="56">
        <v>0</v>
      </c>
      <c r="K12" s="57">
        <f>$C$12*VLOOKUP($C$11,'PCU Values'!$B$9:$C$16,2,FALSE)</f>
        <v>0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0.2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0.2</v>
      </c>
      <c r="T12" s="52">
        <f>SUM($C$12,$D$12,$E$12,$F$12,$G$12,$H$12,$I$12,$J$12)</f>
        <v>1</v>
      </c>
      <c r="U12" s="67">
        <v>5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5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5</v>
      </c>
      <c r="AL12" s="52">
        <f>SUM($U$12,$V$12,$W$12,$X$12,$Y$12,$Z$12,$AA$12,$AB$12)</f>
        <v>5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5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1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5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0.2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5.2</v>
      </c>
      <c r="CP12" s="52">
        <f>SUM($BY$12,$BZ$12,$CA$12,$CB$12,$CC$12,$CD$12,$CE$12,$CF$12)</f>
        <v>6</v>
      </c>
      <c r="CQ12" s="89">
        <f>SUM('J1 A - (North) Bishopthorpe Roa'!$U$12,'J1 B - Butcher Terrace'!$C$12,'J1 C - (South) Bishopthorpe Roa'!$BE$12,'J1 D - South Bank Avenue'!$AM$12)</f>
        <v>3</v>
      </c>
      <c r="CR12" s="83">
        <f>SUM('J1 A - (North) Bishopthorpe Roa'!$V$12,'J1 B - Butcher Terrace'!$D$12,'J1 C - (South) Bishopthorpe Roa'!$BF$12,'J1 D - South Bank Avenue'!$AN$12)</f>
        <v>0</v>
      </c>
      <c r="CS12" s="83">
        <f>SUM('J1 A - (North) Bishopthorpe Roa'!$W$12,'J1 B - Butcher Terrace'!$E$12,'J1 C - (South) Bishopthorpe Roa'!$BG$12,'J1 D - South Bank Avenue'!$AO$12)</f>
        <v>0</v>
      </c>
      <c r="CT12" s="83">
        <f>SUM('J1 A - (North) Bishopthorpe Roa'!$X$12,'J1 B - Butcher Terrace'!$F$12,'J1 C - (South) Bishopthorpe Roa'!$BH$12,'J1 D - South Bank Avenue'!$AP$12)</f>
        <v>0</v>
      </c>
      <c r="CU12" s="83">
        <f>SUM('J1 A - (North) Bishopthorpe Roa'!$Y$12,'J1 B - Butcher Terrace'!$G$12,'J1 C - (South) Bishopthorpe Roa'!$BI$12,'J1 D - South Bank Avenue'!$AQ$12)</f>
        <v>0</v>
      </c>
      <c r="CV12" s="83">
        <f>SUM('J1 A - (North) Bishopthorpe Roa'!$Z$12,'J1 B - Butcher Terrace'!$H$12,'J1 C - (South) Bishopthorpe Roa'!$BJ$12,'J1 D - South Bank Avenue'!$AR$12)</f>
        <v>0</v>
      </c>
      <c r="CW12" s="83">
        <f>SUM('J1 A - (North) Bishopthorpe Roa'!$AA$12,'J1 B - Butcher Terrace'!$I$12,'J1 C - (South) Bishopthorpe Roa'!$BK$12,'J1 D - South Bank Avenue'!$AS$12)</f>
        <v>0</v>
      </c>
      <c r="CX12" s="86">
        <f>SUM('J1 A - (North) Bishopthorpe Roa'!$AB$12,'J1 B - Butcher Terrace'!$J$12,'J1 C - (South) Bishopthorpe Roa'!$BL$12,'J1 D - South Bank Avenue'!$AT$12)</f>
        <v>0</v>
      </c>
      <c r="CY12" s="77">
        <f>$CQ$12*VLOOKUP($CQ$11,'PCU Values'!$B$9:$C$16,2,FALSE)</f>
        <v>3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3</v>
      </c>
      <c r="DH12" s="52">
        <f>SUM($CQ$12,$CR$12,$CS$12,$CT$12,$CU$12,$CV$12,$CW$12,$CX$12)</f>
        <v>3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3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3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3</v>
      </c>
      <c r="AL13" s="52">
        <f>SUM($U$13,$V$13,$W$13,$X$13,$Y$13,$Z$13,$AA$13,$AB$13)</f>
        <v>3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3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3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3</v>
      </c>
      <c r="CP13" s="52">
        <f>SUM($BY$13,$BZ$13,$CA$13,$CB$13,$CC$13,$CD$13,$CE$13,$CF$13)</f>
        <v>3</v>
      </c>
      <c r="CQ13" s="89">
        <f>SUM('J1 A - (North) Bishopthorpe Roa'!$U$13,'J1 B - Butcher Terrace'!$C$13,'J1 C - (South) Bishopthorpe Roa'!$BE$13,'J1 D - South Bank Avenue'!$AM$13)</f>
        <v>1</v>
      </c>
      <c r="CR13" s="83">
        <f>SUM('J1 A - (North) Bishopthorpe Roa'!$V$13,'J1 B - Butcher Terrace'!$D$13,'J1 C - (South) Bishopthorpe Roa'!$BF$13,'J1 D - South Bank Avenue'!$AN$13)</f>
        <v>0</v>
      </c>
      <c r="CS13" s="83">
        <f>SUM('J1 A - (North) Bishopthorpe Roa'!$W$13,'J1 B - Butcher Terrace'!$E$13,'J1 C - (South) Bishopthorpe Roa'!$BG$13,'J1 D - South Bank Avenue'!$AO$13)</f>
        <v>0</v>
      </c>
      <c r="CT13" s="83">
        <f>SUM('J1 A - (North) Bishopthorpe Roa'!$X$13,'J1 B - Butcher Terrace'!$F$13,'J1 C - (South) Bishopthorpe Roa'!$BH$13,'J1 D - South Bank Avenue'!$AP$13)</f>
        <v>0</v>
      </c>
      <c r="CU13" s="83">
        <f>SUM('J1 A - (North) Bishopthorpe Roa'!$Y$13,'J1 B - Butcher Terrace'!$G$13,'J1 C - (South) Bishopthorpe Roa'!$BI$13,'J1 D - South Bank Avenue'!$AQ$13)</f>
        <v>0</v>
      </c>
      <c r="CV13" s="83">
        <f>SUM('J1 A - (North) Bishopthorpe Roa'!$Z$13,'J1 B - Butcher Terrace'!$H$13,'J1 C - (South) Bishopthorpe Roa'!$BJ$13,'J1 D - South Bank Avenue'!$AR$13)</f>
        <v>0</v>
      </c>
      <c r="CW13" s="83">
        <f>SUM('J1 A - (North) Bishopthorpe Roa'!$AA$13,'J1 B - Butcher Terrace'!$I$13,'J1 C - (South) Bishopthorpe Roa'!$BK$13,'J1 D - South Bank Avenue'!$AS$13)</f>
        <v>0</v>
      </c>
      <c r="CX13" s="86">
        <f>SUM('J1 A - (North) Bishopthorpe Roa'!$AB$13,'J1 B - Butcher Terrace'!$J$13,'J1 C - (South) Bishopthorpe Roa'!$BL$13,'J1 D - South Bank Avenue'!$AT$13)</f>
        <v>0</v>
      </c>
      <c r="CY13" s="77">
        <f>$CQ$13*VLOOKUP($CQ$11,'PCU Values'!$B$9:$C$16,2,FALSE)</f>
        <v>1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1</v>
      </c>
      <c r="DH13" s="52">
        <f>SUM($CQ$13,$CR$13,$CS$13,$CT$13,$CU$13,$CV$13,$CW$13,$CX$13)</f>
        <v>1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2">
        <f>SUM($U$14,$V$14,$W$14,$X$14,$Y$14,$Z$14,$AA$14,$AB$14)</f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</v>
      </c>
      <c r="CP14" s="52">
        <f>SUM($BY$14,$BZ$14,$CA$14,$CB$14,$CC$14,$CD$14,$CE$14,$CF$14)</f>
        <v>0</v>
      </c>
      <c r="CQ14" s="89">
        <f>SUM('J1 A - (North) Bishopthorpe Roa'!$U$14,'J1 B - Butcher Terrace'!$C$14,'J1 C - (South) Bishopthorpe Roa'!$BE$14,'J1 D - South Bank Avenue'!$AM$14)</f>
        <v>6</v>
      </c>
      <c r="CR14" s="83">
        <f>SUM('J1 A - (North) Bishopthorpe Roa'!$V$14,'J1 B - Butcher Terrace'!$D$14,'J1 C - (South) Bishopthorpe Roa'!$BF$14,'J1 D - South Bank Avenue'!$AN$14)</f>
        <v>1</v>
      </c>
      <c r="CS14" s="83">
        <f>SUM('J1 A - (North) Bishopthorpe Roa'!$W$14,'J1 B - Butcher Terrace'!$E$14,'J1 C - (South) Bishopthorpe Roa'!$BG$14,'J1 D - South Bank Avenue'!$AO$14)</f>
        <v>0</v>
      </c>
      <c r="CT14" s="83">
        <f>SUM('J1 A - (North) Bishopthorpe Roa'!$X$14,'J1 B - Butcher Terrace'!$F$14,'J1 C - (South) Bishopthorpe Roa'!$BH$14,'J1 D - South Bank Avenue'!$AP$14)</f>
        <v>0</v>
      </c>
      <c r="CU14" s="83">
        <f>SUM('J1 A - (North) Bishopthorpe Roa'!$Y$14,'J1 B - Butcher Terrace'!$G$14,'J1 C - (South) Bishopthorpe Roa'!$BI$14,'J1 D - South Bank Avenue'!$AQ$14)</f>
        <v>0</v>
      </c>
      <c r="CV14" s="83">
        <f>SUM('J1 A - (North) Bishopthorpe Roa'!$Z$14,'J1 B - Butcher Terrace'!$H$14,'J1 C - (South) Bishopthorpe Roa'!$BJ$14,'J1 D - South Bank Avenue'!$AR$14)</f>
        <v>2</v>
      </c>
      <c r="CW14" s="83">
        <f>SUM('J1 A - (North) Bishopthorpe Roa'!$AA$14,'J1 B - Butcher Terrace'!$I$14,'J1 C - (South) Bishopthorpe Roa'!$BK$14,'J1 D - South Bank Avenue'!$AS$14)</f>
        <v>1</v>
      </c>
      <c r="CX14" s="86">
        <f>SUM('J1 A - (North) Bishopthorpe Roa'!$AB$14,'J1 B - Butcher Terrace'!$J$14,'J1 C - (South) Bishopthorpe Roa'!$BL$14,'J1 D - South Bank Avenue'!$AT$14)</f>
        <v>0</v>
      </c>
      <c r="CY14" s="77">
        <f>$CQ$14*VLOOKUP($CQ$11,'PCU Values'!$B$9:$C$16,2,FALSE)</f>
        <v>6</v>
      </c>
      <c r="CZ14" s="77">
        <f>$CR$14*VLOOKUP($CR$11,'PCU Values'!$B$9:$C$16,2,FALSE)</f>
        <v>1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0.4</v>
      </c>
      <c r="DE14" s="77">
        <f>$CW$14*VLOOKUP($CW$11,'PCU Values'!$B$9:$C$16,2,FALSE)</f>
        <v>0.4</v>
      </c>
      <c r="DF14" s="78">
        <f>$CX$14*VLOOKUP($CX$11,'PCU Values'!$B$9:$C$16,2,FALSE)</f>
        <v>0</v>
      </c>
      <c r="DG14" s="66">
        <f>SUM($CY$14,$CZ$14,$DA$14,$DB$14,$DC$14,$DD$14,$DE$14,$DF$14)</f>
        <v>7.8</v>
      </c>
      <c r="DH14" s="52">
        <f>SUM($CQ$14,$CR$14,$CS$14,$CT$14,$CU$14,$CV$14,$CW$14,$CX$14)</f>
        <v>10</v>
      </c>
    </row>
    <row r="15" spans="1:112" ht="21" customHeight="1">
      <c r="A15" s="46">
        <v>44395.03125</v>
      </c>
      <c r="B15" s="50" t="s">
        <v>33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0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0</v>
      </c>
      <c r="T15" s="52">
        <f>SUM($C$15,$D$15,$E$15,$F$15,$G$15,$H$15,$I$15,$J$15)</f>
        <v>0</v>
      </c>
      <c r="U15" s="69">
        <v>5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5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5</v>
      </c>
      <c r="AL15" s="52">
        <f>SUM($U$15,$V$15,$W$15,$X$15,$Y$15,$Z$15,$AA$15,$AB$15)</f>
        <v>5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5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5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5</v>
      </c>
      <c r="CP15" s="52">
        <f>SUM($BY$15,$BZ$15,$CA$15,$CB$15,$CC$15,$CD$15,$CE$15,$CF$15)</f>
        <v>5</v>
      </c>
      <c r="CQ15" s="90">
        <f>SUM('J1 A - (North) Bishopthorpe Roa'!$U$15,'J1 B - Butcher Terrace'!$C$15,'J1 C - (South) Bishopthorpe Roa'!$BE$15,'J1 D - South Bank Avenue'!$AM$15)</f>
        <v>4</v>
      </c>
      <c r="CR15" s="84">
        <f>SUM('J1 A - (North) Bishopthorpe Roa'!$V$15,'J1 B - Butcher Terrace'!$D$15,'J1 C - (South) Bishopthorpe Roa'!$BF$15,'J1 D - South Bank Avenue'!$AN$15)</f>
        <v>0</v>
      </c>
      <c r="CS15" s="84">
        <f>SUM('J1 A - (North) Bishopthorpe Roa'!$W$15,'J1 B - Butcher Terrace'!$E$15,'J1 C - (South) Bishopthorpe Roa'!$BG$15,'J1 D - South Bank Avenue'!$AO$15)</f>
        <v>0</v>
      </c>
      <c r="CT15" s="84">
        <f>SUM('J1 A - (North) Bishopthorpe Roa'!$X$15,'J1 B - Butcher Terrace'!$F$15,'J1 C - (South) Bishopthorpe Roa'!$BH$15,'J1 D - South Bank Avenue'!$AP$15)</f>
        <v>0</v>
      </c>
      <c r="CU15" s="84">
        <f>SUM('J1 A - (North) Bishopthorpe Roa'!$Y$15,'J1 B - Butcher Terrace'!$G$15,'J1 C - (South) Bishopthorpe Roa'!$BI$15,'J1 D - South Bank Avenue'!$AQ$15)</f>
        <v>0</v>
      </c>
      <c r="CV15" s="84">
        <f>SUM('J1 A - (North) Bishopthorpe Roa'!$Z$15,'J1 B - Butcher Terrace'!$H$15,'J1 C - (South) Bishopthorpe Roa'!$BJ$15,'J1 D - South Bank Avenue'!$AR$15)</f>
        <v>1</v>
      </c>
      <c r="CW15" s="84">
        <f>SUM('J1 A - (North) Bishopthorpe Roa'!$AA$15,'J1 B - Butcher Terrace'!$I$15,'J1 C - (South) Bishopthorpe Roa'!$BK$15,'J1 D - South Bank Avenue'!$AS$15)</f>
        <v>0</v>
      </c>
      <c r="CX15" s="87">
        <f>SUM('J1 A - (North) Bishopthorpe Roa'!$AB$15,'J1 B - Butcher Terrace'!$J$15,'J1 C - (South) Bishopthorpe Roa'!$BL$15,'J1 D - South Bank Avenue'!$AT$15)</f>
        <v>0</v>
      </c>
      <c r="CY15" s="79">
        <f>$CQ$15*VLOOKUP($CQ$11,'PCU Values'!$B$9:$C$16,2,FALSE)</f>
        <v>4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0.2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4.2</v>
      </c>
      <c r="DH15" s="52">
        <f>SUM($CQ$15,$CR$15,$CS$15,$CT$15,$CU$15,$CV$15,$CW$15,$CX$15)</f>
        <v>5</v>
      </c>
    </row>
    <row r="16" spans="1:112">
      <c r="B16" s="52" t="s">
        <v>34</v>
      </c>
      <c r="C16" s="52">
        <f>SUM($C$12:$C$15)</f>
        <v>0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1</v>
      </c>
      <c r="I16" s="52">
        <f>SUM($I$12:$I$15)</f>
        <v>0</v>
      </c>
      <c r="J16" s="52">
        <f>SUM($J$12:$J$15)</f>
        <v>0</v>
      </c>
      <c r="K16" s="52">
        <f>SUM($K$12:$K$15)</f>
        <v>0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0</v>
      </c>
      <c r="T16" s="52">
        <f>SUM($C$16,$D$16,$E$16,$F$16,$G$16,$H$16,$I$16,$J$16)</f>
        <v>1</v>
      </c>
      <c r="U16" s="52">
        <f>SUM($U$12:$U$15)</f>
        <v>13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0</v>
      </c>
      <c r="AA16" s="52">
        <f>SUM($AA$12:$AA$15)</f>
        <v>0</v>
      </c>
      <c r="AB16" s="52">
        <f>SUM($AB$12:$AB$15)</f>
        <v>0</v>
      </c>
      <c r="AC16" s="52">
        <f>SUM($AC$12:$AC$15)</f>
        <v>13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13</v>
      </c>
      <c r="AL16" s="52">
        <f>SUM($U$16,$V$16,$W$16,$X$16,$Y$16,$Z$16,$AA$16,$AB$16)</f>
        <v>13</v>
      </c>
      <c r="AM16" s="52">
        <f>SUM($AM$12:$AM$15)</f>
        <v>0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0</v>
      </c>
      <c r="BD16" s="52">
        <f>SUM($AM$16,$AN$16,$AO$16,$AP$16,$AQ$16,$AR$16,$AS$16,$AT$16)</f>
        <v>0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13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1</v>
      </c>
      <c r="CE16" s="52">
        <f>SUM($CE$12:$CE$15)</f>
        <v>0</v>
      </c>
      <c r="CF16" s="52">
        <f>SUM($CF$12:$CF$15)</f>
        <v>0</v>
      </c>
      <c r="CG16" s="52">
        <f>SUM($CG$12:$CG$15)</f>
        <v>13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13</v>
      </c>
      <c r="CP16" s="52">
        <f>SUM($BY$16,$BZ$16,$CA$16,$CB$16,$CC$16,$CD$16,$CE$16,$CF$16)</f>
        <v>14</v>
      </c>
      <c r="CQ16" s="52">
        <f>SUM($CQ$12:$CQ$15)</f>
        <v>14</v>
      </c>
      <c r="CR16" s="52">
        <f>SUM($CR$12:$CR$15)</f>
        <v>1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3</v>
      </c>
      <c r="CW16" s="52">
        <f>SUM($CW$12:$CW$15)</f>
        <v>1</v>
      </c>
      <c r="CX16" s="52">
        <f>SUM($CX$12:$CX$15)</f>
        <v>0</v>
      </c>
      <c r="CY16" s="52">
        <f>SUM($CY$12:$CY$15)</f>
        <v>14</v>
      </c>
      <c r="CZ16" s="52">
        <f>SUM($CZ$12:$CZ$15)</f>
        <v>1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1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16</v>
      </c>
      <c r="DH16" s="52">
        <f>SUM($CQ$16,$CR$16,$CS$16,$CT$16,$CU$16,$CV$16,$CW$16,$CX$16)</f>
        <v>19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2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2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2</v>
      </c>
      <c r="AL17" s="52">
        <f>SUM($U$17,$V$17,$W$17,$X$17,$Y$17,$Z$17,$AA$17,$AB$17)</f>
        <v>2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2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2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2</v>
      </c>
      <c r="CP17" s="52">
        <f>SUM($BY$17,$BZ$17,$CA$17,$CB$17,$CC$17,$CD$17,$CE$17,$CF$17)</f>
        <v>2</v>
      </c>
      <c r="CQ17" s="91">
        <f>SUM('J1 A - (North) Bishopthorpe Roa'!$U$17,'J1 B - Butcher Terrace'!$C$17,'J1 C - (South) Bishopthorpe Roa'!$BE$17,'J1 D - South Bank Avenue'!$AM$17)</f>
        <v>3</v>
      </c>
      <c r="CR17" s="85">
        <f>SUM('J1 A - (North) Bishopthorpe Roa'!$V$17,'J1 B - Butcher Terrace'!$D$17,'J1 C - (South) Bishopthorpe Roa'!$BF$17,'J1 D - South Bank Avenue'!$AN$17)</f>
        <v>0</v>
      </c>
      <c r="CS17" s="85">
        <f>SUM('J1 A - (North) Bishopthorpe Roa'!$W$17,'J1 B - Butcher Terrace'!$E$17,'J1 C - (South) Bishopthorpe Roa'!$BG$17,'J1 D - South Bank Avenue'!$AO$17)</f>
        <v>0</v>
      </c>
      <c r="CT17" s="85">
        <f>SUM('J1 A - (North) Bishopthorpe Roa'!$X$17,'J1 B - Butcher Terrace'!$F$17,'J1 C - (South) Bishopthorpe Roa'!$BH$17,'J1 D - South Bank Avenue'!$AP$17)</f>
        <v>0</v>
      </c>
      <c r="CU17" s="85">
        <f>SUM('J1 A - (North) Bishopthorpe Roa'!$Y$17,'J1 B - Butcher Terrace'!$G$17,'J1 C - (South) Bishopthorpe Roa'!$BI$17,'J1 D - South Bank Avenue'!$AQ$17)</f>
        <v>0</v>
      </c>
      <c r="CV17" s="85">
        <f>SUM('J1 A - (North) Bishopthorpe Roa'!$Z$17,'J1 B - Butcher Terrace'!$H$17,'J1 C - (South) Bishopthorpe Roa'!$BJ$17,'J1 D - South Bank Avenue'!$AR$17)</f>
        <v>2</v>
      </c>
      <c r="CW17" s="85">
        <f>SUM('J1 A - (North) Bishopthorpe Roa'!$AA$17,'J1 B - Butcher Terrace'!$I$17,'J1 C - (South) Bishopthorpe Roa'!$BK$17,'J1 D - South Bank Avenue'!$AS$17)</f>
        <v>0</v>
      </c>
      <c r="CX17" s="88">
        <f>SUM('J1 A - (North) Bishopthorpe Roa'!$AB$17,'J1 B - Butcher Terrace'!$J$17,'J1 C - (South) Bishopthorpe Roa'!$BL$17,'J1 D - South Bank Avenue'!$AT$17)</f>
        <v>0</v>
      </c>
      <c r="CY17" s="81">
        <f>$CQ$17*VLOOKUP($CQ$11,'PCU Values'!$B$9:$C$16,2,FALSE)</f>
        <v>3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0.4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3.4</v>
      </c>
      <c r="DH17" s="52">
        <f>SUM($CQ$17,$CR$17,$CS$17,$CT$17,$CU$17,$CV$17,$CW$17,$CX$17)</f>
        <v>5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Roa'!$U$18,'J1 B - Butcher Terrace'!$C$18,'J1 C - (South) Bishopthorpe Roa'!$BE$18,'J1 D - South Bank Avenue'!$AM$18)</f>
        <v>0</v>
      </c>
      <c r="CR18" s="83">
        <f>SUM('J1 A - (North) Bishopthorpe Roa'!$V$18,'J1 B - Butcher Terrace'!$D$18,'J1 C - (South) Bishopthorpe Roa'!$BF$18,'J1 D - South Bank Avenue'!$AN$18)</f>
        <v>0</v>
      </c>
      <c r="CS18" s="83">
        <f>SUM('J1 A - (North) Bishopthorpe Roa'!$W$18,'J1 B - Butcher Terrace'!$E$18,'J1 C - (South) Bishopthorpe Roa'!$BG$18,'J1 D - South Bank Avenue'!$AO$18)</f>
        <v>0</v>
      </c>
      <c r="CT18" s="83">
        <f>SUM('J1 A - (North) Bishopthorpe Roa'!$X$18,'J1 B - Butcher Terrace'!$F$18,'J1 C - (South) Bishopthorpe Roa'!$BH$18,'J1 D - South Bank Avenue'!$AP$18)</f>
        <v>0</v>
      </c>
      <c r="CU18" s="83">
        <f>SUM('J1 A - (North) Bishopthorpe Roa'!$Y$18,'J1 B - Butcher Terrace'!$G$18,'J1 C - (South) Bishopthorpe Roa'!$BI$18,'J1 D - South Bank Avenue'!$AQ$18)</f>
        <v>0</v>
      </c>
      <c r="CV18" s="83">
        <f>SUM('J1 A - (North) Bishopthorpe Roa'!$Z$18,'J1 B - Butcher Terrace'!$H$18,'J1 C - (South) Bishopthorpe Roa'!$BJ$18,'J1 D - South Bank Avenue'!$AR$18)</f>
        <v>0</v>
      </c>
      <c r="CW18" s="83">
        <f>SUM('J1 A - (North) Bishopthorpe Roa'!$AA$18,'J1 B - Butcher Terrace'!$I$18,'J1 C - (South) Bishopthorpe Roa'!$BK$18,'J1 D - South Bank Avenue'!$AS$18)</f>
        <v>0</v>
      </c>
      <c r="CX18" s="86">
        <f>SUM('J1 A - (North) Bishopthorpe Roa'!$AB$18,'J1 B - Butcher Terrace'!$J$18,'J1 C - (South) Bishopthorpe Roa'!$BL$18,'J1 D - South Bank Avenue'!$AT$18)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</v>
      </c>
      <c r="DH18" s="52">
        <f>SUM($CQ$18,$CR$18,$CS$18,$CT$18,$CU$18,$CV$18,$CW$18,$CX$18)</f>
        <v>0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1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1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1</v>
      </c>
      <c r="AL19" s="52">
        <f>SUM($U$19,$V$19,$W$19,$X$19,$Y$19,$Z$19,$AA$19,$AB$19)</f>
        <v>1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1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1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1</v>
      </c>
      <c r="CP19" s="52">
        <f>SUM($BY$19,$BZ$19,$CA$19,$CB$19,$CC$19,$CD$19,$CE$19,$CF$19)</f>
        <v>1</v>
      </c>
      <c r="CQ19" s="89">
        <f>SUM('J1 A - (North) Bishopthorpe Roa'!$U$19,'J1 B - Butcher Terrace'!$C$19,'J1 C - (South) Bishopthorpe Roa'!$BE$19,'J1 D - South Bank Avenue'!$AM$19)</f>
        <v>1</v>
      </c>
      <c r="CR19" s="83">
        <f>SUM('J1 A - (North) Bishopthorpe Roa'!$V$19,'J1 B - Butcher Terrace'!$D$19,'J1 C - (South) Bishopthorpe Roa'!$BF$19,'J1 D - South Bank Avenue'!$AN$19)</f>
        <v>0</v>
      </c>
      <c r="CS19" s="83">
        <f>SUM('J1 A - (North) Bishopthorpe Roa'!$W$19,'J1 B - Butcher Terrace'!$E$19,'J1 C - (South) Bishopthorpe Roa'!$BG$19,'J1 D - South Bank Avenue'!$AO$19)</f>
        <v>0</v>
      </c>
      <c r="CT19" s="83">
        <f>SUM('J1 A - (North) Bishopthorpe Roa'!$X$19,'J1 B - Butcher Terrace'!$F$19,'J1 C - (South) Bishopthorpe Roa'!$BH$19,'J1 D - South Bank Avenue'!$AP$19)</f>
        <v>0</v>
      </c>
      <c r="CU19" s="83">
        <f>SUM('J1 A - (North) Bishopthorpe Roa'!$Y$19,'J1 B - Butcher Terrace'!$G$19,'J1 C - (South) Bishopthorpe Roa'!$BI$19,'J1 D - South Bank Avenue'!$AQ$19)</f>
        <v>0</v>
      </c>
      <c r="CV19" s="83">
        <f>SUM('J1 A - (North) Bishopthorpe Roa'!$Z$19,'J1 B - Butcher Terrace'!$H$19,'J1 C - (South) Bishopthorpe Roa'!$BJ$19,'J1 D - South Bank Avenue'!$AR$19)</f>
        <v>0</v>
      </c>
      <c r="CW19" s="83">
        <f>SUM('J1 A - (North) Bishopthorpe Roa'!$AA$19,'J1 B - Butcher Terrace'!$I$19,'J1 C - (South) Bishopthorpe Roa'!$BK$19,'J1 D - South Bank Avenue'!$AS$19)</f>
        <v>0</v>
      </c>
      <c r="CX19" s="86">
        <f>SUM('J1 A - (North) Bishopthorpe Roa'!$AB$19,'J1 B - Butcher Terrace'!$J$19,'J1 C - (South) Bishopthorpe Roa'!$BL$19,'J1 D - South Bank Avenue'!$AT$19)</f>
        <v>0</v>
      </c>
      <c r="CY19" s="77">
        <f>$CQ$19*VLOOKUP($CQ$11,'PCU Values'!$B$9:$C$16,2,FALSE)</f>
        <v>1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1</v>
      </c>
      <c r="DH19" s="52">
        <f>SUM($CQ$19,$CR$19,$CS$19,$CT$19,$CU$19,$CV$19,$CW$19,$CX$19)</f>
        <v>1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1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1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1</v>
      </c>
      <c r="AL20" s="52">
        <f>SUM($U$20,$V$20,$W$20,$X$20,$Y$20,$Z$20,$AA$20,$AB$20)</f>
        <v>1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1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1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1</v>
      </c>
      <c r="CP20" s="52">
        <f>SUM($BY$20,$BZ$20,$CA$20,$CB$20,$CC$20,$CD$20,$CE$20,$CF$20)</f>
        <v>1</v>
      </c>
      <c r="CQ20" s="90">
        <f>SUM('J1 A - (North) Bishopthorpe Roa'!$U$20,'J1 B - Butcher Terrace'!$C$20,'J1 C - (South) Bishopthorpe Roa'!$BE$20,'J1 D - South Bank Avenue'!$AM$20)</f>
        <v>2</v>
      </c>
      <c r="CR20" s="84">
        <f>SUM('J1 A - (North) Bishopthorpe Roa'!$V$20,'J1 B - Butcher Terrace'!$D$20,'J1 C - (South) Bishopthorpe Roa'!$BF$20,'J1 D - South Bank Avenue'!$AN$20)</f>
        <v>0</v>
      </c>
      <c r="CS20" s="84">
        <f>SUM('J1 A - (North) Bishopthorpe Roa'!$W$20,'J1 B - Butcher Terrace'!$E$20,'J1 C - (South) Bishopthorpe Roa'!$BG$20,'J1 D - South Bank Avenue'!$AO$20)</f>
        <v>0</v>
      </c>
      <c r="CT20" s="84">
        <f>SUM('J1 A - (North) Bishopthorpe Roa'!$X$20,'J1 B - Butcher Terrace'!$F$20,'J1 C - (South) Bishopthorpe Roa'!$BH$20,'J1 D - South Bank Avenue'!$AP$20)</f>
        <v>0</v>
      </c>
      <c r="CU20" s="84">
        <f>SUM('J1 A - (North) Bishopthorpe Roa'!$Y$20,'J1 B - Butcher Terrace'!$G$20,'J1 C - (South) Bishopthorpe Roa'!$BI$20,'J1 D - South Bank Avenue'!$AQ$20)</f>
        <v>0</v>
      </c>
      <c r="CV20" s="84">
        <f>SUM('J1 A - (North) Bishopthorpe Roa'!$Z$20,'J1 B - Butcher Terrace'!$H$20,'J1 C - (South) Bishopthorpe Roa'!$BJ$20,'J1 D - South Bank Avenue'!$AR$20)</f>
        <v>0</v>
      </c>
      <c r="CW20" s="84">
        <f>SUM('J1 A - (North) Bishopthorpe Roa'!$AA$20,'J1 B - Butcher Terrace'!$I$20,'J1 C - (South) Bishopthorpe Roa'!$BK$20,'J1 D - South Bank Avenue'!$AS$20)</f>
        <v>0</v>
      </c>
      <c r="CX20" s="87">
        <f>SUM('J1 A - (North) Bishopthorpe Roa'!$AB$20,'J1 B - Butcher Terrace'!$J$20,'J1 C - (South) Bishopthorpe Roa'!$BL$20,'J1 D - South Bank Avenue'!$AT$20)</f>
        <v>0</v>
      </c>
      <c r="CY20" s="79">
        <f>$CQ$20*VLOOKUP($CQ$11,'PCU Values'!$B$9:$C$16,2,FALSE)</f>
        <v>2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2</v>
      </c>
      <c r="DH20" s="52">
        <f>SUM($CQ$20,$CR$20,$CS$20,$CT$20,$CU$20,$CV$20,$CW$20,$CX$20)</f>
        <v>2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4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4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4</v>
      </c>
      <c r="AL21" s="52">
        <f>SUM($U$21,$V$21,$W$21,$X$21,$Y$21,$Z$21,$AA$21,$AB$21)</f>
        <v>4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4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0</v>
      </c>
      <c r="CE21" s="52">
        <f>SUM($CE$17:$CE$20)</f>
        <v>0</v>
      </c>
      <c r="CF21" s="52">
        <f>SUM($CF$17:$CF$20)</f>
        <v>0</v>
      </c>
      <c r="CG21" s="52">
        <f>SUM($CG$17:$CG$20)</f>
        <v>4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4</v>
      </c>
      <c r="CP21" s="52">
        <f>SUM($BY$21,$BZ$21,$CA$21,$CB$21,$CC$21,$CD$21,$CE$21,$CF$21)</f>
        <v>4</v>
      </c>
      <c r="CQ21" s="52">
        <f>SUM($CQ$17:$CQ$20)</f>
        <v>6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2</v>
      </c>
      <c r="CW21" s="52">
        <f>SUM($CW$17:$CW$20)</f>
        <v>0</v>
      </c>
      <c r="CX21" s="52">
        <f>SUM($CX$17:$CX$20)</f>
        <v>0</v>
      </c>
      <c r="CY21" s="52">
        <f>SUM($CY$17:$CY$20)</f>
        <v>6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6</v>
      </c>
      <c r="DH21" s="52">
        <f>SUM($CQ$21,$CR$21,$CS$21,$CT$21,$CU$21,$CV$21,$CW$21,$CX$21)</f>
        <v>8</v>
      </c>
    </row>
    <row r="22" spans="1:112" ht="21" customHeight="1">
      <c r="A22" s="46">
        <v>44395.083333333299</v>
      </c>
      <c r="B22" s="53" t="s">
        <v>39</v>
      </c>
      <c r="C22" s="54">
        <v>0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0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0</v>
      </c>
      <c r="T22" s="52">
        <f>SUM($C$22,$D$22,$E$22,$F$22,$G$22,$H$22,$I$22,$J$22)</f>
        <v>0</v>
      </c>
      <c r="U22" s="72">
        <v>1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1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1</v>
      </c>
      <c r="AL22" s="52">
        <f>SUM($U$22,$V$22,$W$22,$X$22,$Y$22,$Z$22,$AA$22,$AB$22)</f>
        <v>1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1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1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1</v>
      </c>
      <c r="CP22" s="52">
        <f>SUM($BY$22,$BZ$22,$CA$22,$CB$22,$CC$22,$CD$22,$CE$22,$CF$22)</f>
        <v>1</v>
      </c>
      <c r="CQ22" s="91">
        <f>SUM('J1 A - (North) Bishopthorpe Roa'!$U$22,'J1 B - Butcher Terrace'!$C$22,'J1 C - (South) Bishopthorpe Roa'!$BE$22,'J1 D - South Bank Avenue'!$AM$22)</f>
        <v>1</v>
      </c>
      <c r="CR22" s="85">
        <f>SUM('J1 A - (North) Bishopthorpe Roa'!$V$22,'J1 B - Butcher Terrace'!$D$22,'J1 C - (South) Bishopthorpe Roa'!$BF$22,'J1 D - South Bank Avenue'!$AN$22)</f>
        <v>0</v>
      </c>
      <c r="CS22" s="85">
        <f>SUM('J1 A - (North) Bishopthorpe Roa'!$W$22,'J1 B - Butcher Terrace'!$E$22,'J1 C - (South) Bishopthorpe Roa'!$BG$22,'J1 D - South Bank Avenue'!$AO$22)</f>
        <v>0</v>
      </c>
      <c r="CT22" s="85">
        <f>SUM('J1 A - (North) Bishopthorpe Roa'!$X$22,'J1 B - Butcher Terrace'!$F$22,'J1 C - (South) Bishopthorpe Roa'!$BH$22,'J1 D - South Bank Avenue'!$AP$22)</f>
        <v>0</v>
      </c>
      <c r="CU22" s="85">
        <f>SUM('J1 A - (North) Bishopthorpe Roa'!$Y$22,'J1 B - Butcher Terrace'!$G$22,'J1 C - (South) Bishopthorpe Roa'!$BI$22,'J1 D - South Bank Avenue'!$AQ$22)</f>
        <v>0</v>
      </c>
      <c r="CV22" s="85">
        <f>SUM('J1 A - (North) Bishopthorpe Roa'!$Z$22,'J1 B - Butcher Terrace'!$H$22,'J1 C - (South) Bishopthorpe Roa'!$BJ$22,'J1 D - South Bank Avenue'!$AR$22)</f>
        <v>0</v>
      </c>
      <c r="CW22" s="85">
        <f>SUM('J1 A - (North) Bishopthorpe Roa'!$AA$22,'J1 B - Butcher Terrace'!$I$22,'J1 C - (South) Bishopthorpe Roa'!$BK$22,'J1 D - South Bank Avenue'!$AS$22)</f>
        <v>0</v>
      </c>
      <c r="CX22" s="88">
        <f>SUM('J1 A - (North) Bishopthorpe Roa'!$AB$22,'J1 B - Butcher Terrace'!$J$22,'J1 C - (South) Bishopthorpe Roa'!$BL$22,'J1 D - South Bank Avenue'!$AT$22)</f>
        <v>0</v>
      </c>
      <c r="CY22" s="81">
        <f>$CQ$22*VLOOKUP($CQ$11,'PCU Values'!$B$9:$C$16,2,FALSE)</f>
        <v>1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1</v>
      </c>
      <c r="DH22" s="52">
        <f>SUM($CQ$22,$CR$22,$CS$22,$CT$22,$CU$22,$CV$22,$CW$22,$CX$22)</f>
        <v>1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2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2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2</v>
      </c>
      <c r="AL23" s="52">
        <f>SUM($U$23,$V$23,$W$23,$X$23,$Y$23,$Z$23,$AA$23,$AB$23)</f>
        <v>2</v>
      </c>
      <c r="AM23" s="67">
        <v>1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1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1</v>
      </c>
      <c r="BD23" s="52">
        <f>SUM($AM$23,$AN$23,$AO$23,$AP$23,$AQ$23,$AR$23,$AS$23,$AT$23)</f>
        <v>1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3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3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3</v>
      </c>
      <c r="CP23" s="52">
        <f>SUM($BY$23,$BZ$23,$CA$23,$CB$23,$CC$23,$CD$23,$CE$23,$CF$23)</f>
        <v>3</v>
      </c>
      <c r="CQ23" s="89">
        <f>SUM('J1 A - (North) Bishopthorpe Roa'!$U$23,'J1 B - Butcher Terrace'!$C$23,'J1 C - (South) Bishopthorpe Roa'!$BE$23,'J1 D - South Bank Avenue'!$AM$23)</f>
        <v>4</v>
      </c>
      <c r="CR23" s="83">
        <f>SUM('J1 A - (North) Bishopthorpe Roa'!$V$23,'J1 B - Butcher Terrace'!$D$23,'J1 C - (South) Bishopthorpe Roa'!$BF$23,'J1 D - South Bank Avenue'!$AN$23)</f>
        <v>0</v>
      </c>
      <c r="CS23" s="83">
        <f>SUM('J1 A - (North) Bishopthorpe Roa'!$W$23,'J1 B - Butcher Terrace'!$E$23,'J1 C - (South) Bishopthorpe Roa'!$BG$23,'J1 D - South Bank Avenue'!$AO$23)</f>
        <v>0</v>
      </c>
      <c r="CT23" s="83">
        <f>SUM('J1 A - (North) Bishopthorpe Roa'!$X$23,'J1 B - Butcher Terrace'!$F$23,'J1 C - (South) Bishopthorpe Roa'!$BH$23,'J1 D - South Bank Avenue'!$AP$23)</f>
        <v>0</v>
      </c>
      <c r="CU23" s="83">
        <f>SUM('J1 A - (North) Bishopthorpe Roa'!$Y$23,'J1 B - Butcher Terrace'!$G$23,'J1 C - (South) Bishopthorpe Roa'!$BI$23,'J1 D - South Bank Avenue'!$AQ$23)</f>
        <v>0</v>
      </c>
      <c r="CV23" s="83">
        <f>SUM('J1 A - (North) Bishopthorpe Roa'!$Z$23,'J1 B - Butcher Terrace'!$H$23,'J1 C - (South) Bishopthorpe Roa'!$BJ$23,'J1 D - South Bank Avenue'!$AR$23)</f>
        <v>0</v>
      </c>
      <c r="CW23" s="83">
        <f>SUM('J1 A - (North) Bishopthorpe Roa'!$AA$23,'J1 B - Butcher Terrace'!$I$23,'J1 C - (South) Bishopthorpe Roa'!$BK$23,'J1 D - South Bank Avenue'!$AS$23)</f>
        <v>0</v>
      </c>
      <c r="CX23" s="86">
        <f>SUM('J1 A - (North) Bishopthorpe Roa'!$AB$23,'J1 B - Butcher Terrace'!$J$23,'J1 C - (South) Bishopthorpe Roa'!$BL$23,'J1 D - South Bank Avenue'!$AT$23)</f>
        <v>0</v>
      </c>
      <c r="CY23" s="77">
        <f>$CQ$23*VLOOKUP($CQ$11,'PCU Values'!$B$9:$C$16,2,FALSE)</f>
        <v>4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4</v>
      </c>
      <c r="DH23" s="52">
        <f>SUM($CQ$23,$CR$23,$CS$23,$CT$23,$CU$23,$CV$23,$CW$23,$CX$23)</f>
        <v>4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Roa'!$U$24,'J1 B - Butcher Terrace'!$C$24,'J1 C - (South) Bishopthorpe Roa'!$BE$24,'J1 D - South Bank Avenue'!$AM$24)</f>
        <v>0</v>
      </c>
      <c r="CR24" s="83">
        <f>SUM('J1 A - (North) Bishopthorpe Roa'!$V$24,'J1 B - Butcher Terrace'!$D$24,'J1 C - (South) Bishopthorpe Roa'!$BF$24,'J1 D - South Bank Avenue'!$AN$24)</f>
        <v>0</v>
      </c>
      <c r="CS24" s="83">
        <f>SUM('J1 A - (North) Bishopthorpe Roa'!$W$24,'J1 B - Butcher Terrace'!$E$24,'J1 C - (South) Bishopthorpe Roa'!$BG$24,'J1 D - South Bank Avenue'!$AO$24)</f>
        <v>0</v>
      </c>
      <c r="CT24" s="83">
        <f>SUM('J1 A - (North) Bishopthorpe Roa'!$X$24,'J1 B - Butcher Terrace'!$F$24,'J1 C - (South) Bishopthorpe Roa'!$BH$24,'J1 D - South Bank Avenue'!$AP$24)</f>
        <v>0</v>
      </c>
      <c r="CU24" s="83">
        <f>SUM('J1 A - (North) Bishopthorpe Roa'!$Y$24,'J1 B - Butcher Terrace'!$G$24,'J1 C - (South) Bishopthorpe Roa'!$BI$24,'J1 D - South Bank Avenue'!$AQ$24)</f>
        <v>0</v>
      </c>
      <c r="CV24" s="83">
        <f>SUM('J1 A - (North) Bishopthorpe Roa'!$Z$24,'J1 B - Butcher Terrace'!$H$24,'J1 C - (South) Bishopthorpe Roa'!$BJ$24,'J1 D - South Bank Avenue'!$AR$24)</f>
        <v>0</v>
      </c>
      <c r="CW24" s="83">
        <f>SUM('J1 A - (North) Bishopthorpe Roa'!$AA$24,'J1 B - Butcher Terrace'!$I$24,'J1 C - (South) Bishopthorpe Roa'!$BK$24,'J1 D - South Bank Avenue'!$AS$24)</f>
        <v>0</v>
      </c>
      <c r="CX24" s="86">
        <f>SUM('J1 A - (North) Bishopthorpe Roa'!$AB$24,'J1 B - Butcher Terrace'!$J$24,'J1 C - (South) Bishopthorpe Roa'!$BL$24,'J1 D - South Bank Avenue'!$AT$24)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Roa'!$U$25,'J1 B - Butcher Terrace'!$C$25,'J1 C - (South) Bishopthorpe Roa'!$BE$25,'J1 D - South Bank Avenue'!$AM$25)</f>
        <v>0</v>
      </c>
      <c r="CR25" s="84">
        <f>SUM('J1 A - (North) Bishopthorpe Roa'!$V$25,'J1 B - Butcher Terrace'!$D$25,'J1 C - (South) Bishopthorpe Roa'!$BF$25,'J1 D - South Bank Avenue'!$AN$25)</f>
        <v>0</v>
      </c>
      <c r="CS25" s="84">
        <f>SUM('J1 A - (North) Bishopthorpe Roa'!$W$25,'J1 B - Butcher Terrace'!$E$25,'J1 C - (South) Bishopthorpe Roa'!$BG$25,'J1 D - South Bank Avenue'!$AO$25)</f>
        <v>0</v>
      </c>
      <c r="CT25" s="84">
        <f>SUM('J1 A - (North) Bishopthorpe Roa'!$X$25,'J1 B - Butcher Terrace'!$F$25,'J1 C - (South) Bishopthorpe Roa'!$BH$25,'J1 D - South Bank Avenue'!$AP$25)</f>
        <v>0</v>
      </c>
      <c r="CU25" s="84">
        <f>SUM('J1 A - (North) Bishopthorpe Roa'!$Y$25,'J1 B - Butcher Terrace'!$G$25,'J1 C - (South) Bishopthorpe Roa'!$BI$25,'J1 D - South Bank Avenue'!$AQ$25)</f>
        <v>0</v>
      </c>
      <c r="CV25" s="84">
        <f>SUM('J1 A - (North) Bishopthorpe Roa'!$Z$25,'J1 B - Butcher Terrace'!$H$25,'J1 C - (South) Bishopthorpe Roa'!$BJ$25,'J1 D - South Bank Avenue'!$AR$25)</f>
        <v>0</v>
      </c>
      <c r="CW25" s="84">
        <f>SUM('J1 A - (North) Bishopthorpe Roa'!$AA$25,'J1 B - Butcher Terrace'!$I$25,'J1 C - (South) Bishopthorpe Roa'!$BK$25,'J1 D - South Bank Avenue'!$AS$25)</f>
        <v>0</v>
      </c>
      <c r="CX25" s="87">
        <f>SUM('J1 A - (North) Bishopthorpe Roa'!$AB$25,'J1 B - Butcher Terrace'!$J$25,'J1 C - (South) Bishopthorpe Roa'!$BL$25,'J1 D - South Bank Avenue'!$AT$25)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0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0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0</v>
      </c>
      <c r="T26" s="52">
        <f>SUM($C$26,$D$26,$E$26,$F$26,$G$26,$H$26,$I$26,$J$26)</f>
        <v>0</v>
      </c>
      <c r="U26" s="52">
        <f>SUM($U$22:$U$25)</f>
        <v>3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3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3</v>
      </c>
      <c r="AL26" s="52">
        <f>SUM($U$26,$V$26,$W$26,$X$26,$Y$26,$Z$26,$AA$26,$AB$26)</f>
        <v>3</v>
      </c>
      <c r="AM26" s="52">
        <f>SUM($AM$22:$AM$25)</f>
        <v>1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1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1</v>
      </c>
      <c r="BD26" s="52">
        <f>SUM($AM$26,$AN$26,$AO$26,$AP$26,$AQ$26,$AR$26,$AS$26,$AT$26)</f>
        <v>1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4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4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4</v>
      </c>
      <c r="CP26" s="52">
        <f>SUM($BY$26,$BZ$26,$CA$26,$CB$26,$CC$26,$CD$26,$CE$26,$CF$26)</f>
        <v>4</v>
      </c>
      <c r="CQ26" s="52">
        <f>SUM($CQ$22:$CQ$25)</f>
        <v>5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5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5</v>
      </c>
      <c r="DH26" s="52">
        <f>SUM($CQ$26,$CR$26,$CS$26,$CT$26,$CU$26,$CV$26,$CW$26,$CX$26)</f>
        <v>5</v>
      </c>
    </row>
    <row r="27" spans="1:112" ht="21" customHeight="1">
      <c r="A27" s="46">
        <v>44395.125</v>
      </c>
      <c r="B27" s="53" t="s">
        <v>43</v>
      </c>
      <c r="C27" s="54">
        <v>1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1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1</v>
      </c>
      <c r="T27" s="52">
        <f>SUM($C$27,$D$27,$E$27,$F$27,$G$27,$H$27,$I$27,$J$27)</f>
        <v>1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1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1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1</v>
      </c>
      <c r="CP27" s="52">
        <f>SUM($BY$27,$BZ$27,$CA$27,$CB$27,$CC$27,$CD$27,$CE$27,$CF$27)</f>
        <v>1</v>
      </c>
      <c r="CQ27" s="91">
        <f>SUM('J1 A - (North) Bishopthorpe Roa'!$U$27,'J1 B - Butcher Terrace'!$C$27,'J1 C - (South) Bishopthorpe Roa'!$BE$27,'J1 D - South Bank Avenue'!$AM$27)</f>
        <v>2</v>
      </c>
      <c r="CR27" s="85">
        <f>SUM('J1 A - (North) Bishopthorpe Roa'!$V$27,'J1 B - Butcher Terrace'!$D$27,'J1 C - (South) Bishopthorpe Roa'!$BF$27,'J1 D - South Bank Avenue'!$AN$27)</f>
        <v>0</v>
      </c>
      <c r="CS27" s="85">
        <f>SUM('J1 A - (North) Bishopthorpe Roa'!$W$27,'J1 B - Butcher Terrace'!$E$27,'J1 C - (South) Bishopthorpe Roa'!$BG$27,'J1 D - South Bank Avenue'!$AO$27)</f>
        <v>0</v>
      </c>
      <c r="CT27" s="85">
        <f>SUM('J1 A - (North) Bishopthorpe Roa'!$X$27,'J1 B - Butcher Terrace'!$F$27,'J1 C - (South) Bishopthorpe Roa'!$BH$27,'J1 D - South Bank Avenue'!$AP$27)</f>
        <v>0</v>
      </c>
      <c r="CU27" s="85">
        <f>SUM('J1 A - (North) Bishopthorpe Roa'!$Y$27,'J1 B - Butcher Terrace'!$G$27,'J1 C - (South) Bishopthorpe Roa'!$BI$27,'J1 D - South Bank Avenue'!$AQ$27)</f>
        <v>0</v>
      </c>
      <c r="CV27" s="85">
        <f>SUM('J1 A - (North) Bishopthorpe Roa'!$Z$27,'J1 B - Butcher Terrace'!$H$27,'J1 C - (South) Bishopthorpe Roa'!$BJ$27,'J1 D - South Bank Avenue'!$AR$27)</f>
        <v>0</v>
      </c>
      <c r="CW27" s="85">
        <f>SUM('J1 A - (North) Bishopthorpe Roa'!$AA$27,'J1 B - Butcher Terrace'!$I$27,'J1 C - (South) Bishopthorpe Roa'!$BK$27,'J1 D - South Bank Avenue'!$AS$27)</f>
        <v>0</v>
      </c>
      <c r="CX27" s="88">
        <f>SUM('J1 A - (North) Bishopthorpe Roa'!$AB$27,'J1 B - Butcher Terrace'!$J$27,'J1 C - (South) Bishopthorpe Roa'!$BL$27,'J1 D - South Bank Avenue'!$AT$27)</f>
        <v>0</v>
      </c>
      <c r="CY27" s="81">
        <f>$CQ$27*VLOOKUP($CQ$11,'PCU Values'!$B$9:$C$16,2,FALSE)</f>
        <v>2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2</v>
      </c>
      <c r="DH27" s="52">
        <f>SUM($CQ$27,$CR$27,$CS$27,$CT$27,$CU$27,$CV$27,$CW$27,$CX$27)</f>
        <v>2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1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1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1</v>
      </c>
      <c r="AL28" s="52">
        <f>SUM($U$28,$V$28,$W$28,$X$28,$Y$28,$Z$28,$AA$28,$AB$28)</f>
        <v>1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1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1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1</v>
      </c>
      <c r="CP28" s="52">
        <f>SUM($BY$28,$BZ$28,$CA$28,$CB$28,$CC$28,$CD$28,$CE$28,$CF$28)</f>
        <v>1</v>
      </c>
      <c r="CQ28" s="89">
        <f>SUM('J1 A - (North) Bishopthorpe Roa'!$U$28,'J1 B - Butcher Terrace'!$C$28,'J1 C - (South) Bishopthorpe Roa'!$BE$28,'J1 D - South Bank Avenue'!$AM$28)</f>
        <v>0</v>
      </c>
      <c r="CR28" s="83">
        <f>SUM('J1 A - (North) Bishopthorpe Roa'!$V$28,'J1 B - Butcher Terrace'!$D$28,'J1 C - (South) Bishopthorpe Roa'!$BF$28,'J1 D - South Bank Avenue'!$AN$28)</f>
        <v>1</v>
      </c>
      <c r="CS28" s="83">
        <f>SUM('J1 A - (North) Bishopthorpe Roa'!$W$28,'J1 B - Butcher Terrace'!$E$28,'J1 C - (South) Bishopthorpe Roa'!$BG$28,'J1 D - South Bank Avenue'!$AO$28)</f>
        <v>0</v>
      </c>
      <c r="CT28" s="83">
        <f>SUM('J1 A - (North) Bishopthorpe Roa'!$X$28,'J1 B - Butcher Terrace'!$F$28,'J1 C - (South) Bishopthorpe Roa'!$BH$28,'J1 D - South Bank Avenue'!$AP$28)</f>
        <v>0</v>
      </c>
      <c r="CU28" s="83">
        <f>SUM('J1 A - (North) Bishopthorpe Roa'!$Y$28,'J1 B - Butcher Terrace'!$G$28,'J1 C - (South) Bishopthorpe Roa'!$BI$28,'J1 D - South Bank Avenue'!$AQ$28)</f>
        <v>0</v>
      </c>
      <c r="CV28" s="83">
        <f>SUM('J1 A - (North) Bishopthorpe Roa'!$Z$28,'J1 B - Butcher Terrace'!$H$28,'J1 C - (South) Bishopthorpe Roa'!$BJ$28,'J1 D - South Bank Avenue'!$AR$28)</f>
        <v>0</v>
      </c>
      <c r="CW28" s="83">
        <f>SUM('J1 A - (North) Bishopthorpe Roa'!$AA$28,'J1 B - Butcher Terrace'!$I$28,'J1 C - (South) Bishopthorpe Roa'!$BK$28,'J1 D - South Bank Avenue'!$AS$28)</f>
        <v>0</v>
      </c>
      <c r="CX28" s="86">
        <f>SUM('J1 A - (North) Bishopthorpe Roa'!$AB$28,'J1 B - Butcher Terrace'!$J$28,'J1 C - (South) Bishopthorpe Roa'!$BL$28,'J1 D - South Bank Avenue'!$AT$28)</f>
        <v>0</v>
      </c>
      <c r="CY28" s="77">
        <f>$CQ$28*VLOOKUP($CQ$11,'PCU Values'!$B$9:$C$16,2,FALSE)</f>
        <v>0</v>
      </c>
      <c r="CZ28" s="77">
        <f>$CR$28*VLOOKUP($CR$11,'PCU Values'!$B$9:$C$16,2,FALSE)</f>
        <v>1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1</v>
      </c>
      <c r="DH28" s="52">
        <f>SUM($CQ$28,$CR$28,$CS$28,$CT$28,$CU$28,$CV$28,$CW$28,$CX$28)</f>
        <v>1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Roa'!$U$29,'J1 B - Butcher Terrace'!$C$29,'J1 C - (South) Bishopthorpe Roa'!$BE$29,'J1 D - South Bank Avenue'!$AM$29)</f>
        <v>1</v>
      </c>
      <c r="CR29" s="83">
        <f>SUM('J1 A - (North) Bishopthorpe Roa'!$V$29,'J1 B - Butcher Terrace'!$D$29,'J1 C - (South) Bishopthorpe Roa'!$BF$29,'J1 D - South Bank Avenue'!$AN$29)</f>
        <v>0</v>
      </c>
      <c r="CS29" s="83">
        <f>SUM('J1 A - (North) Bishopthorpe Roa'!$W$29,'J1 B - Butcher Terrace'!$E$29,'J1 C - (South) Bishopthorpe Roa'!$BG$29,'J1 D - South Bank Avenue'!$AO$29)</f>
        <v>0</v>
      </c>
      <c r="CT29" s="83">
        <f>SUM('J1 A - (North) Bishopthorpe Roa'!$X$29,'J1 B - Butcher Terrace'!$F$29,'J1 C - (South) Bishopthorpe Roa'!$BH$29,'J1 D - South Bank Avenue'!$AP$29)</f>
        <v>0</v>
      </c>
      <c r="CU29" s="83">
        <f>SUM('J1 A - (North) Bishopthorpe Roa'!$Y$29,'J1 B - Butcher Terrace'!$G$29,'J1 C - (South) Bishopthorpe Roa'!$BI$29,'J1 D - South Bank Avenue'!$AQ$29)</f>
        <v>0</v>
      </c>
      <c r="CV29" s="83">
        <f>SUM('J1 A - (North) Bishopthorpe Roa'!$Z$29,'J1 B - Butcher Terrace'!$H$29,'J1 C - (South) Bishopthorpe Roa'!$BJ$29,'J1 D - South Bank Avenue'!$AR$29)</f>
        <v>0</v>
      </c>
      <c r="CW29" s="83">
        <f>SUM('J1 A - (North) Bishopthorpe Roa'!$AA$29,'J1 B - Butcher Terrace'!$I$29,'J1 C - (South) Bishopthorpe Roa'!$BK$29,'J1 D - South Bank Avenue'!$AS$29)</f>
        <v>0</v>
      </c>
      <c r="CX29" s="86">
        <f>SUM('J1 A - (North) Bishopthorpe Roa'!$AB$29,'J1 B - Butcher Terrace'!$J$29,'J1 C - (South) Bishopthorpe Roa'!$BL$29,'J1 D - South Bank Avenue'!$AT$29)</f>
        <v>0</v>
      </c>
      <c r="CY29" s="77">
        <f>$CQ$29*VLOOKUP($CQ$11,'PCU Values'!$B$9:$C$16,2,FALSE)</f>
        <v>1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1</v>
      </c>
      <c r="DH29" s="52">
        <f>SUM($CQ$29,$CR$29,$CS$29,$CT$29,$CU$29,$CV$29,$CW$29,$CX$29)</f>
        <v>1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2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2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2</v>
      </c>
      <c r="AL30" s="52">
        <f>SUM($U$30,$V$30,$W$30,$X$30,$Y$30,$Z$30,$AA$30,$AB$30)</f>
        <v>2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2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2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2</v>
      </c>
      <c r="CP30" s="52">
        <f>SUM($BY$30,$BZ$30,$CA$30,$CB$30,$CC$30,$CD$30,$CE$30,$CF$30)</f>
        <v>2</v>
      </c>
      <c r="CQ30" s="90">
        <f>SUM('J1 A - (North) Bishopthorpe Roa'!$U$30,'J1 B - Butcher Terrace'!$C$30,'J1 C - (South) Bishopthorpe Roa'!$BE$30,'J1 D - South Bank Avenue'!$AM$30)</f>
        <v>1</v>
      </c>
      <c r="CR30" s="84">
        <f>SUM('J1 A - (North) Bishopthorpe Roa'!$V$30,'J1 B - Butcher Terrace'!$D$30,'J1 C - (South) Bishopthorpe Roa'!$BF$30,'J1 D - South Bank Avenue'!$AN$30)</f>
        <v>0</v>
      </c>
      <c r="CS30" s="84">
        <f>SUM('J1 A - (North) Bishopthorpe Roa'!$W$30,'J1 B - Butcher Terrace'!$E$30,'J1 C - (South) Bishopthorpe Roa'!$BG$30,'J1 D - South Bank Avenue'!$AO$30)</f>
        <v>0</v>
      </c>
      <c r="CT30" s="84">
        <f>SUM('J1 A - (North) Bishopthorpe Roa'!$X$30,'J1 B - Butcher Terrace'!$F$30,'J1 C - (South) Bishopthorpe Roa'!$BH$30,'J1 D - South Bank Avenue'!$AP$30)</f>
        <v>0</v>
      </c>
      <c r="CU30" s="84">
        <f>SUM('J1 A - (North) Bishopthorpe Roa'!$Y$30,'J1 B - Butcher Terrace'!$G$30,'J1 C - (South) Bishopthorpe Roa'!$BI$30,'J1 D - South Bank Avenue'!$AQ$30)</f>
        <v>0</v>
      </c>
      <c r="CV30" s="84">
        <f>SUM('J1 A - (North) Bishopthorpe Roa'!$Z$30,'J1 B - Butcher Terrace'!$H$30,'J1 C - (South) Bishopthorpe Roa'!$BJ$30,'J1 D - South Bank Avenue'!$AR$30)</f>
        <v>0</v>
      </c>
      <c r="CW30" s="84">
        <f>SUM('J1 A - (North) Bishopthorpe Roa'!$AA$30,'J1 B - Butcher Terrace'!$I$30,'J1 C - (South) Bishopthorpe Roa'!$BK$30,'J1 D - South Bank Avenue'!$AS$30)</f>
        <v>0</v>
      </c>
      <c r="CX30" s="87">
        <f>SUM('J1 A - (North) Bishopthorpe Roa'!$AB$30,'J1 B - Butcher Terrace'!$J$30,'J1 C - (South) Bishopthorpe Roa'!$BL$30,'J1 D - South Bank Avenue'!$AT$30)</f>
        <v>0</v>
      </c>
      <c r="CY30" s="79">
        <f>$CQ$30*VLOOKUP($CQ$11,'PCU Values'!$B$9:$C$16,2,FALSE)</f>
        <v>1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1</v>
      </c>
      <c r="DH30" s="52">
        <f>SUM($CQ$30,$CR$30,$CS$30,$CT$30,$CU$30,$CV$30,$CW$30,$CX$30)</f>
        <v>1</v>
      </c>
    </row>
    <row r="31" spans="1:112">
      <c r="B31" s="52" t="s">
        <v>34</v>
      </c>
      <c r="C31" s="52">
        <f>SUM($C$27:$C$30)</f>
        <v>1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1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1</v>
      </c>
      <c r="T31" s="52">
        <f>SUM($C$31,$D$31,$E$31,$F$31,$G$31,$H$31,$I$31,$J$31)</f>
        <v>1</v>
      </c>
      <c r="U31" s="52">
        <f>SUM($U$27:$U$30)</f>
        <v>3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3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3</v>
      </c>
      <c r="AL31" s="52">
        <f>SUM($U$31,$V$31,$W$31,$X$31,$Y$31,$Z$31,$AA$31,$AB$31)</f>
        <v>3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4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4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4</v>
      </c>
      <c r="CP31" s="52">
        <f>SUM($BY$31,$BZ$31,$CA$31,$CB$31,$CC$31,$CD$31,$CE$31,$CF$31)</f>
        <v>4</v>
      </c>
      <c r="CQ31" s="52">
        <f>SUM($CQ$27:$CQ$30)</f>
        <v>4</v>
      </c>
      <c r="CR31" s="52">
        <f>SUM($CR$27:$CR$30)</f>
        <v>1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4</v>
      </c>
      <c r="CZ31" s="52">
        <f>SUM($CZ$27:$CZ$30)</f>
        <v>1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5</v>
      </c>
      <c r="DH31" s="52">
        <f>SUM($CQ$31,$CR$31,$CS$31,$CT$31,$CU$31,$CV$31,$CW$31,$CX$31)</f>
        <v>5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Roa'!$U$32,'J1 B - Butcher Terrace'!$C$32,'J1 C - (South) Bishopthorpe Roa'!$BE$32,'J1 D - South Bank Avenue'!$AM$32)</f>
        <v>2</v>
      </c>
      <c r="CR32" s="85">
        <f>SUM('J1 A - (North) Bishopthorpe Roa'!$V$32,'J1 B - Butcher Terrace'!$D$32,'J1 C - (South) Bishopthorpe Roa'!$BF$32,'J1 D - South Bank Avenue'!$AN$32)</f>
        <v>0</v>
      </c>
      <c r="CS32" s="85">
        <f>SUM('J1 A - (North) Bishopthorpe Roa'!$W$32,'J1 B - Butcher Terrace'!$E$32,'J1 C - (South) Bishopthorpe Roa'!$BG$32,'J1 D - South Bank Avenue'!$AO$32)</f>
        <v>0</v>
      </c>
      <c r="CT32" s="85">
        <f>SUM('J1 A - (North) Bishopthorpe Roa'!$X$32,'J1 B - Butcher Terrace'!$F$32,'J1 C - (South) Bishopthorpe Roa'!$BH$32,'J1 D - South Bank Avenue'!$AP$32)</f>
        <v>0</v>
      </c>
      <c r="CU32" s="85">
        <f>SUM('J1 A - (North) Bishopthorpe Roa'!$Y$32,'J1 B - Butcher Terrace'!$G$32,'J1 C - (South) Bishopthorpe Roa'!$BI$32,'J1 D - South Bank Avenue'!$AQ$32)</f>
        <v>0</v>
      </c>
      <c r="CV32" s="85">
        <f>SUM('J1 A - (North) Bishopthorpe Roa'!$Z$32,'J1 B - Butcher Terrace'!$H$32,'J1 C - (South) Bishopthorpe Roa'!$BJ$32,'J1 D - South Bank Avenue'!$AR$32)</f>
        <v>0</v>
      </c>
      <c r="CW32" s="85">
        <f>SUM('J1 A - (North) Bishopthorpe Roa'!$AA$32,'J1 B - Butcher Terrace'!$I$32,'J1 C - (South) Bishopthorpe Roa'!$BK$32,'J1 D - South Bank Avenue'!$AS$32)</f>
        <v>0</v>
      </c>
      <c r="CX32" s="88">
        <f>SUM('J1 A - (North) Bishopthorpe Roa'!$AB$32,'J1 B - Butcher Terrace'!$J$32,'J1 C - (South) Bishopthorpe Roa'!$BL$32,'J1 D - South Bank Avenue'!$AT$32)</f>
        <v>0</v>
      </c>
      <c r="CY32" s="81">
        <f>$CQ$32*VLOOKUP($CQ$11,'PCU Values'!$B$9:$C$16,2,FALSE)</f>
        <v>2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2</v>
      </c>
      <c r="DH32" s="52">
        <f>SUM($CQ$32,$CR$32,$CS$32,$CT$32,$CU$32,$CV$32,$CW$32,$CX$32)</f>
        <v>2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Roa'!$U$33,'J1 B - Butcher Terrace'!$C$33,'J1 C - (South) Bishopthorpe Roa'!$BE$33,'J1 D - South Bank Avenue'!$AM$33)</f>
        <v>0</v>
      </c>
      <c r="CR33" s="83">
        <f>SUM('J1 A - (North) Bishopthorpe Roa'!$V$33,'J1 B - Butcher Terrace'!$D$33,'J1 C - (South) Bishopthorpe Roa'!$BF$33,'J1 D - South Bank Avenue'!$AN$33)</f>
        <v>0</v>
      </c>
      <c r="CS33" s="83">
        <f>SUM('J1 A - (North) Bishopthorpe Roa'!$W$33,'J1 B - Butcher Terrace'!$E$33,'J1 C - (South) Bishopthorpe Roa'!$BG$33,'J1 D - South Bank Avenue'!$AO$33)</f>
        <v>1</v>
      </c>
      <c r="CT33" s="83">
        <f>SUM('J1 A - (North) Bishopthorpe Roa'!$X$33,'J1 B - Butcher Terrace'!$F$33,'J1 C - (South) Bishopthorpe Roa'!$BH$33,'J1 D - South Bank Avenue'!$AP$33)</f>
        <v>0</v>
      </c>
      <c r="CU33" s="83">
        <f>SUM('J1 A - (North) Bishopthorpe Roa'!$Y$33,'J1 B - Butcher Terrace'!$G$33,'J1 C - (South) Bishopthorpe Roa'!$BI$33,'J1 D - South Bank Avenue'!$AQ$33)</f>
        <v>0</v>
      </c>
      <c r="CV33" s="83">
        <f>SUM('J1 A - (North) Bishopthorpe Roa'!$Z$33,'J1 B - Butcher Terrace'!$H$33,'J1 C - (South) Bishopthorpe Roa'!$BJ$33,'J1 D - South Bank Avenue'!$AR$33)</f>
        <v>0</v>
      </c>
      <c r="CW33" s="83">
        <f>SUM('J1 A - (North) Bishopthorpe Roa'!$AA$33,'J1 B - Butcher Terrace'!$I$33,'J1 C - (South) Bishopthorpe Roa'!$BK$33,'J1 D - South Bank Avenue'!$AS$33)</f>
        <v>0</v>
      </c>
      <c r="CX33" s="86">
        <f>SUM('J1 A - (North) Bishopthorpe Roa'!$AB$33,'J1 B - Butcher Terrace'!$J$33,'J1 C - (South) Bishopthorpe Roa'!$BL$33,'J1 D - South Bank Avenue'!$AT$33)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1.5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1.5</v>
      </c>
      <c r="DH33" s="52">
        <f>SUM($CQ$33,$CR$33,$CS$33,$CT$33,$CU$33,$CV$33,$CW$33,$CX$33)</f>
        <v>1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0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</v>
      </c>
      <c r="T34" s="52">
        <f>SUM($C$34,$D$34,$E$34,$F$34,$G$34,$H$34,$I$34,$J$34)</f>
        <v>0</v>
      </c>
      <c r="U34" s="67">
        <v>2</v>
      </c>
      <c r="V34" s="48">
        <v>1</v>
      </c>
      <c r="W34" s="48">
        <v>1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2</v>
      </c>
      <c r="AD34" s="57">
        <f>$V$34*VLOOKUP($V$11,'PCU Values'!$B$9:$C$16,2,FALSE)</f>
        <v>1</v>
      </c>
      <c r="AE34" s="57">
        <f>$W$34*VLOOKUP($W$11,'PCU Values'!$B$9:$C$16,2,FALSE)</f>
        <v>1.5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4.5</v>
      </c>
      <c r="AL34" s="52">
        <f>SUM($U$34,$V$34,$W$34,$X$34,$Y$34,$Z$34,$AA$34,$AB$34)</f>
        <v>4</v>
      </c>
      <c r="AM34" s="67">
        <v>0</v>
      </c>
      <c r="AN34" s="48">
        <v>0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0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0</v>
      </c>
      <c r="BD34" s="52">
        <f>SUM($AM$34,$AN$34,$AO$34,$AP$34,$AQ$34,$AR$34,$AS$34,$AT$34)</f>
        <v>0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2</v>
      </c>
      <c r="BZ34" s="83">
        <f>SUM($D$34,$V$34,$AN$34,$BF$34)</f>
        <v>1</v>
      </c>
      <c r="CA34" s="83">
        <f>SUM($E$34,$W$34,$AO$34,$BG$34)</f>
        <v>1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0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2</v>
      </c>
      <c r="CH34" s="77">
        <f>$BZ$34*VLOOKUP($BZ$11,'PCU Values'!$B$9:$C$16,2,FALSE)</f>
        <v>1</v>
      </c>
      <c r="CI34" s="77">
        <f>$CA$34*VLOOKUP($CA$11,'PCU Values'!$B$9:$C$16,2,FALSE)</f>
        <v>1.5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4.5</v>
      </c>
      <c r="CP34" s="52">
        <f>SUM($BY$34,$BZ$34,$CA$34,$CB$34,$CC$34,$CD$34,$CE$34,$CF$34)</f>
        <v>4</v>
      </c>
      <c r="CQ34" s="89">
        <f>SUM('J1 A - (North) Bishopthorpe Roa'!$U$34,'J1 B - Butcher Terrace'!$C$34,'J1 C - (South) Bishopthorpe Roa'!$BE$34,'J1 D - South Bank Avenue'!$AM$34)</f>
        <v>3</v>
      </c>
      <c r="CR34" s="83">
        <f>SUM('J1 A - (North) Bishopthorpe Roa'!$V$34,'J1 B - Butcher Terrace'!$D$34,'J1 C - (South) Bishopthorpe Roa'!$BF$34,'J1 D - South Bank Avenue'!$AN$34)</f>
        <v>1</v>
      </c>
      <c r="CS34" s="83">
        <f>SUM('J1 A - (North) Bishopthorpe Roa'!$W$34,'J1 B - Butcher Terrace'!$E$34,'J1 C - (South) Bishopthorpe Roa'!$BG$34,'J1 D - South Bank Avenue'!$AO$34)</f>
        <v>0</v>
      </c>
      <c r="CT34" s="83">
        <f>SUM('J1 A - (North) Bishopthorpe Roa'!$X$34,'J1 B - Butcher Terrace'!$F$34,'J1 C - (South) Bishopthorpe Roa'!$BH$34,'J1 D - South Bank Avenue'!$AP$34)</f>
        <v>0</v>
      </c>
      <c r="CU34" s="83">
        <f>SUM('J1 A - (North) Bishopthorpe Roa'!$Y$34,'J1 B - Butcher Terrace'!$G$34,'J1 C - (South) Bishopthorpe Roa'!$BI$34,'J1 D - South Bank Avenue'!$AQ$34)</f>
        <v>0</v>
      </c>
      <c r="CV34" s="83">
        <f>SUM('J1 A - (North) Bishopthorpe Roa'!$Z$34,'J1 B - Butcher Terrace'!$H$34,'J1 C - (South) Bishopthorpe Roa'!$BJ$34,'J1 D - South Bank Avenue'!$AR$34)</f>
        <v>0</v>
      </c>
      <c r="CW34" s="83">
        <f>SUM('J1 A - (North) Bishopthorpe Roa'!$AA$34,'J1 B - Butcher Terrace'!$I$34,'J1 C - (South) Bishopthorpe Roa'!$BK$34,'J1 D - South Bank Avenue'!$AS$34)</f>
        <v>0</v>
      </c>
      <c r="CX34" s="86">
        <f>SUM('J1 A - (North) Bishopthorpe Roa'!$AB$34,'J1 B - Butcher Terrace'!$J$34,'J1 C - (South) Bishopthorpe Roa'!$BL$34,'J1 D - South Bank Avenue'!$AT$34)</f>
        <v>0</v>
      </c>
      <c r="CY34" s="77">
        <f>$CQ$34*VLOOKUP($CQ$11,'PCU Values'!$B$9:$C$16,2,FALSE)</f>
        <v>3</v>
      </c>
      <c r="CZ34" s="77">
        <f>$CR$34*VLOOKUP($CR$11,'PCU Values'!$B$9:$C$16,2,FALSE)</f>
        <v>1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4</v>
      </c>
      <c r="DH34" s="52">
        <f>SUM($CQ$34,$CR$34,$CS$34,$CT$34,$CU$34,$CV$34,$CW$34,$CX$34)</f>
        <v>4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2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2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2</v>
      </c>
      <c r="AL35" s="52">
        <f>SUM($U$35,$V$35,$W$35,$X$35,$Y$35,$Z$35,$AA$35,$AB$35)</f>
        <v>2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2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2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2</v>
      </c>
      <c r="CP35" s="52">
        <f>SUM($BY$35,$BZ$35,$CA$35,$CB$35,$CC$35,$CD$35,$CE$35,$CF$35)</f>
        <v>2</v>
      </c>
      <c r="CQ35" s="90">
        <f>SUM('J1 A - (North) Bishopthorpe Roa'!$U$35,'J1 B - Butcher Terrace'!$C$35,'J1 C - (South) Bishopthorpe Roa'!$BE$35,'J1 D - South Bank Avenue'!$AM$35)</f>
        <v>2</v>
      </c>
      <c r="CR35" s="84">
        <f>SUM('J1 A - (North) Bishopthorpe Roa'!$V$35,'J1 B - Butcher Terrace'!$D$35,'J1 C - (South) Bishopthorpe Roa'!$BF$35,'J1 D - South Bank Avenue'!$AN$35)</f>
        <v>1</v>
      </c>
      <c r="CS35" s="84">
        <f>SUM('J1 A - (North) Bishopthorpe Roa'!$W$35,'J1 B - Butcher Terrace'!$E$35,'J1 C - (South) Bishopthorpe Roa'!$BG$35,'J1 D - South Bank Avenue'!$AO$35)</f>
        <v>0</v>
      </c>
      <c r="CT35" s="84">
        <f>SUM('J1 A - (North) Bishopthorpe Roa'!$X$35,'J1 B - Butcher Terrace'!$F$35,'J1 C - (South) Bishopthorpe Roa'!$BH$35,'J1 D - South Bank Avenue'!$AP$35)</f>
        <v>0</v>
      </c>
      <c r="CU35" s="84">
        <f>SUM('J1 A - (North) Bishopthorpe Roa'!$Y$35,'J1 B - Butcher Terrace'!$G$35,'J1 C - (South) Bishopthorpe Roa'!$BI$35,'J1 D - South Bank Avenue'!$AQ$35)</f>
        <v>0</v>
      </c>
      <c r="CV35" s="84">
        <f>SUM('J1 A - (North) Bishopthorpe Roa'!$Z$35,'J1 B - Butcher Terrace'!$H$35,'J1 C - (South) Bishopthorpe Roa'!$BJ$35,'J1 D - South Bank Avenue'!$AR$35)</f>
        <v>1</v>
      </c>
      <c r="CW35" s="84">
        <f>SUM('J1 A - (North) Bishopthorpe Roa'!$AA$35,'J1 B - Butcher Terrace'!$I$35,'J1 C - (South) Bishopthorpe Roa'!$BK$35,'J1 D - South Bank Avenue'!$AS$35)</f>
        <v>0</v>
      </c>
      <c r="CX35" s="87">
        <f>SUM('J1 A - (North) Bishopthorpe Roa'!$AB$35,'J1 B - Butcher Terrace'!$J$35,'J1 C - (South) Bishopthorpe Roa'!$BL$35,'J1 D - South Bank Avenue'!$AT$35)</f>
        <v>0</v>
      </c>
      <c r="CY35" s="79">
        <f>$CQ$35*VLOOKUP($CQ$11,'PCU Values'!$B$9:$C$16,2,FALSE)</f>
        <v>2</v>
      </c>
      <c r="CZ35" s="79">
        <f>$CR$35*VLOOKUP($CR$11,'PCU Values'!$B$9:$C$16,2,FALSE)</f>
        <v>1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0.2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3.2</v>
      </c>
      <c r="DH35" s="52">
        <f>SUM($CQ$35,$CR$35,$CS$35,$CT$35,$CU$35,$CV$35,$CW$35,$CX$35)</f>
        <v>4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0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0</v>
      </c>
      <c r="U36" s="52">
        <f>SUM($U$32:$U$35)</f>
        <v>4</v>
      </c>
      <c r="V36" s="52">
        <f>SUM($V$32:$V$35)</f>
        <v>1</v>
      </c>
      <c r="W36" s="52">
        <f>SUM($W$32:$W$35)</f>
        <v>1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4</v>
      </c>
      <c r="AD36" s="52">
        <f>SUM($AD$32:$AD$35)</f>
        <v>1</v>
      </c>
      <c r="AE36" s="52">
        <f>SUM($AE$32:$AE$35)</f>
        <v>2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7</v>
      </c>
      <c r="AL36" s="52">
        <f>SUM($U$36,$V$36,$W$36,$X$36,$Y$36,$Z$36,$AA$36,$AB$36)</f>
        <v>6</v>
      </c>
      <c r="AM36" s="52">
        <f>SUM($AM$32:$AM$35)</f>
        <v>0</v>
      </c>
      <c r="AN36" s="52">
        <f>SUM($AN$32:$AN$35)</f>
        <v>0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0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0</v>
      </c>
      <c r="BD36" s="52">
        <f>SUM($AM$36,$AN$36,$AO$36,$AP$36,$AQ$36,$AR$36,$AS$36,$AT$36)</f>
        <v>0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4</v>
      </c>
      <c r="BZ36" s="52">
        <f>SUM($BZ$32:$BZ$35)</f>
        <v>1</v>
      </c>
      <c r="CA36" s="52">
        <f>SUM($CA$32:$CA$35)</f>
        <v>1</v>
      </c>
      <c r="CB36" s="52">
        <f>SUM($CB$32:$CB$35)</f>
        <v>0</v>
      </c>
      <c r="CC36" s="52">
        <f>SUM($CC$32:$CC$35)</f>
        <v>0</v>
      </c>
      <c r="CD36" s="52">
        <f>SUM($CD$32:$CD$35)</f>
        <v>0</v>
      </c>
      <c r="CE36" s="52">
        <f>SUM($CE$32:$CE$35)</f>
        <v>0</v>
      </c>
      <c r="CF36" s="52">
        <f>SUM($CF$32:$CF$35)</f>
        <v>0</v>
      </c>
      <c r="CG36" s="52">
        <f>SUM($CG$32:$CG$35)</f>
        <v>4</v>
      </c>
      <c r="CH36" s="52">
        <f>SUM($CH$32:$CH$35)</f>
        <v>1</v>
      </c>
      <c r="CI36" s="52">
        <f>SUM($CI$32:$CI$35)</f>
        <v>2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7</v>
      </c>
      <c r="CP36" s="52">
        <f>SUM($BY$36,$BZ$36,$CA$36,$CB$36,$CC$36,$CD$36,$CE$36,$CF$36)</f>
        <v>6</v>
      </c>
      <c r="CQ36" s="52">
        <f>SUM($CQ$32:$CQ$35)</f>
        <v>7</v>
      </c>
      <c r="CR36" s="52">
        <f>SUM($CR$32:$CR$35)</f>
        <v>2</v>
      </c>
      <c r="CS36" s="52">
        <f>SUM($CS$32:$CS$35)</f>
        <v>1</v>
      </c>
      <c r="CT36" s="52">
        <f>SUM($CT$32:$CT$35)</f>
        <v>0</v>
      </c>
      <c r="CU36" s="52">
        <f>SUM($CU$32:$CU$35)</f>
        <v>0</v>
      </c>
      <c r="CV36" s="52">
        <f>SUM($CV$32:$CV$35)</f>
        <v>1</v>
      </c>
      <c r="CW36" s="52">
        <f>SUM($CW$32:$CW$35)</f>
        <v>0</v>
      </c>
      <c r="CX36" s="52">
        <f>SUM($CX$32:$CX$35)</f>
        <v>0</v>
      </c>
      <c r="CY36" s="52">
        <f>SUM($CY$32:$CY$35)</f>
        <v>7</v>
      </c>
      <c r="CZ36" s="52">
        <f>SUM($CZ$32:$CZ$35)</f>
        <v>2</v>
      </c>
      <c r="DA36" s="52">
        <f>SUM($DA$32:$DA$35)</f>
        <v>2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11</v>
      </c>
      <c r="DH36" s="52">
        <f>SUM($CQ$36,$CR$36,$CS$36,$CT$36,$CU$36,$CV$36,$CW$36,$CX$36)</f>
        <v>11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2</v>
      </c>
      <c r="V37" s="54">
        <v>0</v>
      </c>
      <c r="W37" s="54">
        <v>0</v>
      </c>
      <c r="X37" s="54">
        <v>0</v>
      </c>
      <c r="Y37" s="54">
        <v>0</v>
      </c>
      <c r="Z37" s="54">
        <v>1</v>
      </c>
      <c r="AA37" s="54">
        <v>0</v>
      </c>
      <c r="AB37" s="61">
        <v>0</v>
      </c>
      <c r="AC37" s="62">
        <f>$U$37*VLOOKUP($U$11,'PCU Values'!$B$9:$C$16,2,FALSE)</f>
        <v>2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0.2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2.2000000000000002</v>
      </c>
      <c r="AL37" s="52">
        <f>SUM($U$37,$V$37,$W$37,$X$37,$Y$37,$Z$37,$AA$37,$AB$37)</f>
        <v>3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2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1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2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0.2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2.2000000000000002</v>
      </c>
      <c r="CP37" s="52">
        <f>SUM($BY$37,$BZ$37,$CA$37,$CB$37,$CC$37,$CD$37,$CE$37,$CF$37)</f>
        <v>3</v>
      </c>
      <c r="CQ37" s="91">
        <f>SUM('J1 A - (North) Bishopthorpe Roa'!$U$37,'J1 B - Butcher Terrace'!$C$37,'J1 C - (South) Bishopthorpe Roa'!$BE$37,'J1 D - South Bank Avenue'!$AM$37)</f>
        <v>1</v>
      </c>
      <c r="CR37" s="85">
        <f>SUM('J1 A - (North) Bishopthorpe Roa'!$V$37,'J1 B - Butcher Terrace'!$D$37,'J1 C - (South) Bishopthorpe Roa'!$BF$37,'J1 D - South Bank Avenue'!$AN$37)</f>
        <v>0</v>
      </c>
      <c r="CS37" s="85">
        <f>SUM('J1 A - (North) Bishopthorpe Roa'!$W$37,'J1 B - Butcher Terrace'!$E$37,'J1 C - (South) Bishopthorpe Roa'!$BG$37,'J1 D - South Bank Avenue'!$AO$37)</f>
        <v>0</v>
      </c>
      <c r="CT37" s="85">
        <f>SUM('J1 A - (North) Bishopthorpe Roa'!$X$37,'J1 B - Butcher Terrace'!$F$37,'J1 C - (South) Bishopthorpe Roa'!$BH$37,'J1 D - South Bank Avenue'!$AP$37)</f>
        <v>0</v>
      </c>
      <c r="CU37" s="85">
        <f>SUM('J1 A - (North) Bishopthorpe Roa'!$Y$37,'J1 B - Butcher Terrace'!$G$37,'J1 C - (South) Bishopthorpe Roa'!$BI$37,'J1 D - South Bank Avenue'!$AQ$37)</f>
        <v>0</v>
      </c>
      <c r="CV37" s="85">
        <f>SUM('J1 A - (North) Bishopthorpe Roa'!$Z$37,'J1 B - Butcher Terrace'!$H$37,'J1 C - (South) Bishopthorpe Roa'!$BJ$37,'J1 D - South Bank Avenue'!$AR$37)</f>
        <v>0</v>
      </c>
      <c r="CW37" s="85">
        <f>SUM('J1 A - (North) Bishopthorpe Roa'!$AA$37,'J1 B - Butcher Terrace'!$I$37,'J1 C - (South) Bishopthorpe Roa'!$BK$37,'J1 D - South Bank Avenue'!$AS$37)</f>
        <v>0</v>
      </c>
      <c r="CX37" s="88">
        <f>SUM('J1 A - (North) Bishopthorpe Roa'!$AB$37,'J1 B - Butcher Terrace'!$J$37,'J1 C - (South) Bishopthorpe Roa'!$BL$37,'J1 D - South Bank Avenue'!$AT$37)</f>
        <v>0</v>
      </c>
      <c r="CY37" s="81">
        <f>$CQ$37*VLOOKUP($CQ$11,'PCU Values'!$B$9:$C$16,2,FALSE)</f>
        <v>1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1</v>
      </c>
      <c r="DH37" s="52">
        <f>SUM($CQ$37,$CR$37,$CS$37,$CT$37,$CU$37,$CV$37,$CW$37,$CX$37)</f>
        <v>1</v>
      </c>
    </row>
    <row r="38" spans="1:112" ht="21" customHeight="1">
      <c r="A38" s="46">
        <v>44395.21875</v>
      </c>
      <c r="B38" s="47" t="s">
        <v>52</v>
      </c>
      <c r="C38" s="48">
        <v>0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0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0</v>
      </c>
      <c r="T38" s="52">
        <f>SUM($C$38,$D$38,$E$38,$F$38,$G$38,$H$38,$I$38,$J$38)</f>
        <v>0</v>
      </c>
      <c r="U38" s="67">
        <v>3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3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3</v>
      </c>
      <c r="AL38" s="52">
        <f>SUM($U$38,$V$38,$W$38,$X$38,$Y$38,$Z$38,$AA$38,$AB$38)</f>
        <v>3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3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3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3</v>
      </c>
      <c r="CP38" s="52">
        <f>SUM($BY$38,$BZ$38,$CA$38,$CB$38,$CC$38,$CD$38,$CE$38,$CF$38)</f>
        <v>3</v>
      </c>
      <c r="CQ38" s="89">
        <f>SUM('J1 A - (North) Bishopthorpe Roa'!$U$38,'J1 B - Butcher Terrace'!$C$38,'J1 C - (South) Bishopthorpe Roa'!$BE$38,'J1 D - South Bank Avenue'!$AM$38)</f>
        <v>4</v>
      </c>
      <c r="CR38" s="83">
        <f>SUM('J1 A - (North) Bishopthorpe Roa'!$V$38,'J1 B - Butcher Terrace'!$D$38,'J1 C - (South) Bishopthorpe Roa'!$BF$38,'J1 D - South Bank Avenue'!$AN$38)</f>
        <v>0</v>
      </c>
      <c r="CS38" s="83">
        <f>SUM('J1 A - (North) Bishopthorpe Roa'!$W$38,'J1 B - Butcher Terrace'!$E$38,'J1 C - (South) Bishopthorpe Roa'!$BG$38,'J1 D - South Bank Avenue'!$AO$38)</f>
        <v>0</v>
      </c>
      <c r="CT38" s="83">
        <f>SUM('J1 A - (North) Bishopthorpe Roa'!$X$38,'J1 B - Butcher Terrace'!$F$38,'J1 C - (South) Bishopthorpe Roa'!$BH$38,'J1 D - South Bank Avenue'!$AP$38)</f>
        <v>0</v>
      </c>
      <c r="CU38" s="83">
        <f>SUM('J1 A - (North) Bishopthorpe Roa'!$Y$38,'J1 B - Butcher Terrace'!$G$38,'J1 C - (South) Bishopthorpe Roa'!$BI$38,'J1 D - South Bank Avenue'!$AQ$38)</f>
        <v>0</v>
      </c>
      <c r="CV38" s="83">
        <f>SUM('J1 A - (North) Bishopthorpe Roa'!$Z$38,'J1 B - Butcher Terrace'!$H$38,'J1 C - (South) Bishopthorpe Roa'!$BJ$38,'J1 D - South Bank Avenue'!$AR$38)</f>
        <v>1</v>
      </c>
      <c r="CW38" s="83">
        <f>SUM('J1 A - (North) Bishopthorpe Roa'!$AA$38,'J1 B - Butcher Terrace'!$I$38,'J1 C - (South) Bishopthorpe Roa'!$BK$38,'J1 D - South Bank Avenue'!$AS$38)</f>
        <v>0</v>
      </c>
      <c r="CX38" s="86">
        <f>SUM('J1 A - (North) Bishopthorpe Roa'!$AB$38,'J1 B - Butcher Terrace'!$J$38,'J1 C - (South) Bishopthorpe Roa'!$BL$38,'J1 D - South Bank Avenue'!$AT$38)</f>
        <v>0</v>
      </c>
      <c r="CY38" s="77">
        <f>$CQ$38*VLOOKUP($CQ$11,'PCU Values'!$B$9:$C$16,2,FALSE)</f>
        <v>4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0.2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4.2</v>
      </c>
      <c r="DH38" s="52">
        <f>SUM($CQ$38,$CR$38,$CS$38,$CT$38,$CU$38,$CV$38,$CW$38,$CX$38)</f>
        <v>5</v>
      </c>
    </row>
    <row r="39" spans="1:112" ht="21" customHeight="1">
      <c r="A39" s="46">
        <v>44395.229166666701</v>
      </c>
      <c r="B39" s="47" t="s">
        <v>53</v>
      </c>
      <c r="C39" s="48">
        <v>0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0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0</v>
      </c>
      <c r="T39" s="52">
        <f>SUM($C$39,$D$39,$E$39,$F$39,$G$39,$H$39,$I$39,$J$39)</f>
        <v>0</v>
      </c>
      <c r="U39" s="67">
        <v>5</v>
      </c>
      <c r="V39" s="48">
        <v>1</v>
      </c>
      <c r="W39" s="48">
        <v>0</v>
      </c>
      <c r="X39" s="48">
        <v>0</v>
      </c>
      <c r="Y39" s="48">
        <v>0</v>
      </c>
      <c r="Z39" s="48">
        <v>1</v>
      </c>
      <c r="AA39" s="48">
        <v>0</v>
      </c>
      <c r="AB39" s="56">
        <v>0</v>
      </c>
      <c r="AC39" s="57">
        <f>$U$39*VLOOKUP($U$11,'PCU Values'!$B$9:$C$16,2,FALSE)</f>
        <v>5</v>
      </c>
      <c r="AD39" s="57">
        <f>$V$39*VLOOKUP($V$11,'PCU Values'!$B$9:$C$16,2,FALSE)</f>
        <v>1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0.2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6.2</v>
      </c>
      <c r="AL39" s="52">
        <f>SUM($U$39,$V$39,$W$39,$X$39,$Y$39,$Z$39,$AA$39,$AB$39)</f>
        <v>7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5</v>
      </c>
      <c r="BZ39" s="83">
        <f>SUM($D$39,$V$39,$AN$39,$BF$39)</f>
        <v>1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1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5</v>
      </c>
      <c r="CH39" s="77">
        <f>$BZ$39*VLOOKUP($BZ$11,'PCU Values'!$B$9:$C$16,2,FALSE)</f>
        <v>1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0.2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6.2</v>
      </c>
      <c r="CP39" s="52">
        <f>SUM($BY$39,$BZ$39,$CA$39,$CB$39,$CC$39,$CD$39,$CE$39,$CF$39)</f>
        <v>7</v>
      </c>
      <c r="CQ39" s="89">
        <f>SUM('J1 A - (North) Bishopthorpe Roa'!$U$39,'J1 B - Butcher Terrace'!$C$39,'J1 C - (South) Bishopthorpe Roa'!$BE$39,'J1 D - South Bank Avenue'!$AM$39)</f>
        <v>1</v>
      </c>
      <c r="CR39" s="83">
        <f>SUM('J1 A - (North) Bishopthorpe Roa'!$V$39,'J1 B - Butcher Terrace'!$D$39,'J1 C - (South) Bishopthorpe Roa'!$BF$39,'J1 D - South Bank Avenue'!$AN$39)</f>
        <v>1</v>
      </c>
      <c r="CS39" s="83">
        <f>SUM('J1 A - (North) Bishopthorpe Roa'!$W$39,'J1 B - Butcher Terrace'!$E$39,'J1 C - (South) Bishopthorpe Roa'!$BG$39,'J1 D - South Bank Avenue'!$AO$39)</f>
        <v>0</v>
      </c>
      <c r="CT39" s="83">
        <f>SUM('J1 A - (North) Bishopthorpe Roa'!$X$39,'J1 B - Butcher Terrace'!$F$39,'J1 C - (South) Bishopthorpe Roa'!$BH$39,'J1 D - South Bank Avenue'!$AP$39)</f>
        <v>0</v>
      </c>
      <c r="CU39" s="83">
        <f>SUM('J1 A - (North) Bishopthorpe Roa'!$Y$39,'J1 B - Butcher Terrace'!$G$39,'J1 C - (South) Bishopthorpe Roa'!$BI$39,'J1 D - South Bank Avenue'!$AQ$39)</f>
        <v>0</v>
      </c>
      <c r="CV39" s="83">
        <f>SUM('J1 A - (North) Bishopthorpe Roa'!$Z$39,'J1 B - Butcher Terrace'!$H$39,'J1 C - (South) Bishopthorpe Roa'!$BJ$39,'J1 D - South Bank Avenue'!$AR$39)</f>
        <v>3</v>
      </c>
      <c r="CW39" s="83">
        <f>SUM('J1 A - (North) Bishopthorpe Roa'!$AA$39,'J1 B - Butcher Terrace'!$I$39,'J1 C - (South) Bishopthorpe Roa'!$BK$39,'J1 D - South Bank Avenue'!$AS$39)</f>
        <v>0</v>
      </c>
      <c r="CX39" s="86">
        <f>SUM('J1 A - (North) Bishopthorpe Roa'!$AB$39,'J1 B - Butcher Terrace'!$J$39,'J1 C - (South) Bishopthorpe Roa'!$BL$39,'J1 D - South Bank Avenue'!$AT$39)</f>
        <v>0</v>
      </c>
      <c r="CY39" s="77">
        <f>$CQ$39*VLOOKUP($CQ$11,'PCU Values'!$B$9:$C$16,2,FALSE)</f>
        <v>1</v>
      </c>
      <c r="CZ39" s="77">
        <f>$CR$39*VLOOKUP($CR$11,'PCU Values'!$B$9:$C$16,2,FALSE)</f>
        <v>1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0.6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2.6</v>
      </c>
      <c r="DH39" s="52">
        <f>SUM($CQ$39,$CR$39,$CS$39,$CT$39,$CU$39,$CV$39,$CW$39,$CX$39)</f>
        <v>5</v>
      </c>
    </row>
    <row r="40" spans="1:112" ht="21" customHeight="1">
      <c r="A40" s="46">
        <v>44395.239583333299</v>
      </c>
      <c r="B40" s="50" t="s">
        <v>54</v>
      </c>
      <c r="C40" s="51">
        <v>0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0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0</v>
      </c>
      <c r="T40" s="52">
        <f>SUM($C$40,$D$40,$E$40,$F$40,$G$40,$H$40,$I$40,$J$40)</f>
        <v>0</v>
      </c>
      <c r="U40" s="73">
        <v>8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8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8</v>
      </c>
      <c r="AL40" s="52">
        <f>SUM($U$40,$V$40,$W$40,$X$40,$Y$40,$Z$40,$AA$40,$AB$40)</f>
        <v>8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8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8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8</v>
      </c>
      <c r="CP40" s="52">
        <f>SUM($BY$40,$BZ$40,$CA$40,$CB$40,$CC$40,$CD$40,$CE$40,$CF$40)</f>
        <v>8</v>
      </c>
      <c r="CQ40" s="90">
        <f>SUM('J1 A - (North) Bishopthorpe Roa'!$U$40,'J1 B - Butcher Terrace'!$C$40,'J1 C - (South) Bishopthorpe Roa'!$BE$40,'J1 D - South Bank Avenue'!$AM$40)</f>
        <v>3</v>
      </c>
      <c r="CR40" s="84">
        <f>SUM('J1 A - (North) Bishopthorpe Roa'!$V$40,'J1 B - Butcher Terrace'!$D$40,'J1 C - (South) Bishopthorpe Roa'!$BF$40,'J1 D - South Bank Avenue'!$AN$40)</f>
        <v>1</v>
      </c>
      <c r="CS40" s="84">
        <f>SUM('J1 A - (North) Bishopthorpe Roa'!$W$40,'J1 B - Butcher Terrace'!$E$40,'J1 C - (South) Bishopthorpe Roa'!$BG$40,'J1 D - South Bank Avenue'!$AO$40)</f>
        <v>0</v>
      </c>
      <c r="CT40" s="84">
        <f>SUM('J1 A - (North) Bishopthorpe Roa'!$X$40,'J1 B - Butcher Terrace'!$F$40,'J1 C - (South) Bishopthorpe Roa'!$BH$40,'J1 D - South Bank Avenue'!$AP$40)</f>
        <v>0</v>
      </c>
      <c r="CU40" s="84">
        <f>SUM('J1 A - (North) Bishopthorpe Roa'!$Y$40,'J1 B - Butcher Terrace'!$G$40,'J1 C - (South) Bishopthorpe Roa'!$BI$40,'J1 D - South Bank Avenue'!$AQ$40)</f>
        <v>0</v>
      </c>
      <c r="CV40" s="84">
        <f>SUM('J1 A - (North) Bishopthorpe Roa'!$Z$40,'J1 B - Butcher Terrace'!$H$40,'J1 C - (South) Bishopthorpe Roa'!$BJ$40,'J1 D - South Bank Avenue'!$AR$40)</f>
        <v>1</v>
      </c>
      <c r="CW40" s="84">
        <f>SUM('J1 A - (North) Bishopthorpe Roa'!$AA$40,'J1 B - Butcher Terrace'!$I$40,'J1 C - (South) Bishopthorpe Roa'!$BK$40,'J1 D - South Bank Avenue'!$AS$40)</f>
        <v>0</v>
      </c>
      <c r="CX40" s="87">
        <f>SUM('J1 A - (North) Bishopthorpe Roa'!$AB$40,'J1 B - Butcher Terrace'!$J$40,'J1 C - (South) Bishopthorpe Roa'!$BL$40,'J1 D - South Bank Avenue'!$AT$40)</f>
        <v>0</v>
      </c>
      <c r="CY40" s="79">
        <f>$CQ$40*VLOOKUP($CQ$11,'PCU Values'!$B$9:$C$16,2,FALSE)</f>
        <v>3</v>
      </c>
      <c r="CZ40" s="79">
        <f>$CR$40*VLOOKUP($CR$11,'PCU Values'!$B$9:$C$16,2,FALSE)</f>
        <v>1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0.2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4.2</v>
      </c>
      <c r="DH40" s="52">
        <f>SUM($CQ$40,$CR$40,$CS$40,$CT$40,$CU$40,$CV$40,$CW$40,$CX$40)</f>
        <v>5</v>
      </c>
    </row>
    <row r="41" spans="1:112">
      <c r="B41" s="52" t="s">
        <v>34</v>
      </c>
      <c r="C41" s="52">
        <f>SUM($C$37:$C$40)</f>
        <v>0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0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0</v>
      </c>
      <c r="T41" s="52">
        <f>SUM($C$41,$D$41,$E$41,$F$41,$G$41,$H$41,$I$41,$J$41)</f>
        <v>0</v>
      </c>
      <c r="U41" s="52">
        <f>SUM($U$37:$U$40)</f>
        <v>18</v>
      </c>
      <c r="V41" s="52">
        <f>SUM($V$37:$V$40)</f>
        <v>1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2</v>
      </c>
      <c r="AA41" s="52">
        <f>SUM($AA$37:$AA$40)</f>
        <v>0</v>
      </c>
      <c r="AB41" s="52">
        <f>SUM($AB$37:$AB$40)</f>
        <v>0</v>
      </c>
      <c r="AC41" s="52">
        <f>SUM($AC$37:$AC$40)</f>
        <v>18</v>
      </c>
      <c r="AD41" s="52">
        <f>SUM($AD$37:$AD$40)</f>
        <v>1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19</v>
      </c>
      <c r="AL41" s="52">
        <f>SUM($U$41,$V$41,$W$41,$X$41,$Y$41,$Z$41,$AA$41,$AB$41)</f>
        <v>21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18</v>
      </c>
      <c r="BZ41" s="52">
        <f>SUM($BZ$37:$BZ$40)</f>
        <v>1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2</v>
      </c>
      <c r="CE41" s="52">
        <f>SUM($CE$37:$CE$40)</f>
        <v>0</v>
      </c>
      <c r="CF41" s="52">
        <f>SUM($CF$37:$CF$40)</f>
        <v>0</v>
      </c>
      <c r="CG41" s="52">
        <f>SUM($CG$37:$CG$40)</f>
        <v>18</v>
      </c>
      <c r="CH41" s="52">
        <f>SUM($CH$37:$CH$40)</f>
        <v>1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19</v>
      </c>
      <c r="CP41" s="52">
        <f>SUM($BY$41,$BZ$41,$CA$41,$CB$41,$CC$41,$CD$41,$CE$41,$CF$41)</f>
        <v>21</v>
      </c>
      <c r="CQ41" s="52">
        <f>SUM($CQ$37:$CQ$40)</f>
        <v>9</v>
      </c>
      <c r="CR41" s="52">
        <f>SUM($CR$37:$CR$40)</f>
        <v>2</v>
      </c>
      <c r="CS41" s="52">
        <f>SUM($CS$37:$CS$40)</f>
        <v>0</v>
      </c>
      <c r="CT41" s="52">
        <f>SUM($CT$37:$CT$40)</f>
        <v>0</v>
      </c>
      <c r="CU41" s="52">
        <f>SUM($CU$37:$CU$40)</f>
        <v>0</v>
      </c>
      <c r="CV41" s="52">
        <f>SUM($CV$37:$CV$40)</f>
        <v>5</v>
      </c>
      <c r="CW41" s="52">
        <f>SUM($CW$37:$CW$40)</f>
        <v>0</v>
      </c>
      <c r="CX41" s="52">
        <f>SUM($CX$37:$CX$40)</f>
        <v>0</v>
      </c>
      <c r="CY41" s="52">
        <f>SUM($CY$37:$CY$40)</f>
        <v>9</v>
      </c>
      <c r="CZ41" s="52">
        <f>SUM($CZ$37:$CZ$40)</f>
        <v>2</v>
      </c>
      <c r="DA41" s="52">
        <f>SUM($DA$37:$DA$40)</f>
        <v>0</v>
      </c>
      <c r="DB41" s="52">
        <f>SUM($DB$37:$DB$40)</f>
        <v>0</v>
      </c>
      <c r="DC41" s="52">
        <f>SUM($DC$37:$DC$40)</f>
        <v>0</v>
      </c>
      <c r="DD41" s="52">
        <f>SUM($DD$37:$DD$40)</f>
        <v>1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12</v>
      </c>
      <c r="DH41" s="52">
        <f>SUM($CQ$41,$CR$41,$CS$41,$CT$41,$CU$41,$CV$41,$CW$41,$CX$41)</f>
        <v>16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8</v>
      </c>
      <c r="V42" s="54">
        <v>0</v>
      </c>
      <c r="W42" s="54">
        <v>0</v>
      </c>
      <c r="X42" s="54">
        <v>0</v>
      </c>
      <c r="Y42" s="54">
        <v>0</v>
      </c>
      <c r="Z42" s="54">
        <v>1</v>
      </c>
      <c r="AA42" s="54">
        <v>0</v>
      </c>
      <c r="AB42" s="61">
        <v>0</v>
      </c>
      <c r="AC42" s="62">
        <f>$U$42*VLOOKUP($U$11,'PCU Values'!$B$9:$C$16,2,FALSE)</f>
        <v>8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8.1999999999999993</v>
      </c>
      <c r="AL42" s="52">
        <f>SUM($U$42,$V$42,$W$42,$X$42,$Y$42,$Z$42,$AA$42,$AB$42)</f>
        <v>9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8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1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8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0.2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8.1999999999999993</v>
      </c>
      <c r="CP42" s="52">
        <f>SUM($BY$42,$BZ$42,$CA$42,$CB$42,$CC$42,$CD$42,$CE$42,$CF$42)</f>
        <v>9</v>
      </c>
      <c r="CQ42" s="91">
        <f>SUM('J1 A - (North) Bishopthorpe Roa'!$U$42,'J1 B - Butcher Terrace'!$C$42,'J1 C - (South) Bishopthorpe Roa'!$BE$42,'J1 D - South Bank Avenue'!$AM$42)</f>
        <v>2</v>
      </c>
      <c r="CR42" s="85">
        <f>SUM('J1 A - (North) Bishopthorpe Roa'!$V$42,'J1 B - Butcher Terrace'!$D$42,'J1 C - (South) Bishopthorpe Roa'!$BF$42,'J1 D - South Bank Avenue'!$AN$42)</f>
        <v>0</v>
      </c>
      <c r="CS42" s="85">
        <f>SUM('J1 A - (North) Bishopthorpe Roa'!$W$42,'J1 B - Butcher Terrace'!$E$42,'J1 C - (South) Bishopthorpe Roa'!$BG$42,'J1 D - South Bank Avenue'!$AO$42)</f>
        <v>0</v>
      </c>
      <c r="CT42" s="85">
        <f>SUM('J1 A - (North) Bishopthorpe Roa'!$X$42,'J1 B - Butcher Terrace'!$F$42,'J1 C - (South) Bishopthorpe Roa'!$BH$42,'J1 D - South Bank Avenue'!$AP$42)</f>
        <v>0</v>
      </c>
      <c r="CU42" s="85">
        <f>SUM('J1 A - (North) Bishopthorpe Roa'!$Y$42,'J1 B - Butcher Terrace'!$G$42,'J1 C - (South) Bishopthorpe Roa'!$BI$42,'J1 D - South Bank Avenue'!$AQ$42)</f>
        <v>1</v>
      </c>
      <c r="CV42" s="85">
        <f>SUM('J1 A - (North) Bishopthorpe Roa'!$Z$42,'J1 B - Butcher Terrace'!$H$42,'J1 C - (South) Bishopthorpe Roa'!$BJ$42,'J1 D - South Bank Avenue'!$AR$42)</f>
        <v>1</v>
      </c>
      <c r="CW42" s="85">
        <f>SUM('J1 A - (North) Bishopthorpe Roa'!$AA$42,'J1 B - Butcher Terrace'!$I$42,'J1 C - (South) Bishopthorpe Roa'!$BK$42,'J1 D - South Bank Avenue'!$AS$42)</f>
        <v>0</v>
      </c>
      <c r="CX42" s="88">
        <f>SUM('J1 A - (North) Bishopthorpe Roa'!$AB$42,'J1 B - Butcher Terrace'!$J$42,'J1 C - (South) Bishopthorpe Roa'!$BL$42,'J1 D - South Bank Avenue'!$AT$42)</f>
        <v>0</v>
      </c>
      <c r="CY42" s="81">
        <f>$CQ$42*VLOOKUP($CQ$11,'PCU Values'!$B$9:$C$16,2,FALSE)</f>
        <v>2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2</v>
      </c>
      <c r="DD42" s="81">
        <f>$CV$42*VLOOKUP($CV$11,'PCU Values'!$B$9:$C$16,2,FALSE)</f>
        <v>0.2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4.2</v>
      </c>
      <c r="DH42" s="52">
        <f>SUM($CQ$42,$CR$42,$CS$42,$CT$42,$CU$42,$CV$42,$CW$42,$CX$42)</f>
        <v>4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4</v>
      </c>
      <c r="V43" s="48">
        <v>1</v>
      </c>
      <c r="W43" s="48">
        <v>0</v>
      </c>
      <c r="X43" s="48">
        <v>0</v>
      </c>
      <c r="Y43" s="48">
        <v>0</v>
      </c>
      <c r="Z43" s="48">
        <v>1</v>
      </c>
      <c r="AA43" s="48">
        <v>0</v>
      </c>
      <c r="AB43" s="56">
        <v>0</v>
      </c>
      <c r="AC43" s="57">
        <f>$U$43*VLOOKUP($U$11,'PCU Values'!$B$9:$C$16,2,FALSE)</f>
        <v>4</v>
      </c>
      <c r="AD43" s="57">
        <f>$V$43*VLOOKUP($V$11,'PCU Values'!$B$9:$C$16,2,FALSE)</f>
        <v>1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0.2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5.2</v>
      </c>
      <c r="AL43" s="52">
        <f>SUM($U$43,$V$43,$W$43,$X$43,$Y$43,$Z$43,$AA$43,$AB$43)</f>
        <v>6</v>
      </c>
      <c r="AM43" s="67">
        <v>0</v>
      </c>
      <c r="AN43" s="48">
        <v>0</v>
      </c>
      <c r="AO43" s="48">
        <v>0</v>
      </c>
      <c r="AP43" s="48">
        <v>0</v>
      </c>
      <c r="AQ43" s="48">
        <v>0</v>
      </c>
      <c r="AR43" s="48">
        <v>1</v>
      </c>
      <c r="AS43" s="48">
        <v>0</v>
      </c>
      <c r="AT43" s="56">
        <v>0</v>
      </c>
      <c r="AU43" s="57">
        <f>$AM$43*VLOOKUP($AM$11,'PCU Values'!$B$9:$C$16,2,FALSE)</f>
        <v>0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0.2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0.2</v>
      </c>
      <c r="BD43" s="52">
        <f>SUM($AM$43,$AN$43,$AO$43,$AP$43,$AQ$43,$AR$43,$AS$43,$AT$43)</f>
        <v>1</v>
      </c>
      <c r="BE43" s="67">
        <v>1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1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1</v>
      </c>
      <c r="BV43" s="52">
        <f>SUM($BE$43,$BF$43,$BG$43,$BH$43,$BI$43,$BJ$43,$BK$43,$BL$43)</f>
        <v>1</v>
      </c>
      <c r="BX43" s="47" t="s">
        <v>56</v>
      </c>
      <c r="BY43" s="83">
        <f>SUM($C$43,$U$43,$AM$43,$BE$43)</f>
        <v>5</v>
      </c>
      <c r="BZ43" s="83">
        <f>SUM($D$43,$V$43,$AN$43,$BF$43)</f>
        <v>1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2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5</v>
      </c>
      <c r="CH43" s="77">
        <f>$BZ$43*VLOOKUP($BZ$11,'PCU Values'!$B$9:$C$16,2,FALSE)</f>
        <v>1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0.4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6.4</v>
      </c>
      <c r="CP43" s="52">
        <f>SUM($BY$43,$BZ$43,$CA$43,$CB$43,$CC$43,$CD$43,$CE$43,$CF$43)</f>
        <v>8</v>
      </c>
      <c r="CQ43" s="89">
        <f>SUM('J1 A - (North) Bishopthorpe Roa'!$U$43,'J1 B - Butcher Terrace'!$C$43,'J1 C - (South) Bishopthorpe Roa'!$BE$43,'J1 D - South Bank Avenue'!$AM$43)</f>
        <v>6</v>
      </c>
      <c r="CR43" s="83">
        <f>SUM('J1 A - (North) Bishopthorpe Roa'!$V$43,'J1 B - Butcher Terrace'!$D$43,'J1 C - (South) Bishopthorpe Roa'!$BF$43,'J1 D - South Bank Avenue'!$AN$43)</f>
        <v>1</v>
      </c>
      <c r="CS43" s="83">
        <f>SUM('J1 A - (North) Bishopthorpe Roa'!$W$43,'J1 B - Butcher Terrace'!$E$43,'J1 C - (South) Bishopthorpe Roa'!$BG$43,'J1 D - South Bank Avenue'!$AO$43)</f>
        <v>0</v>
      </c>
      <c r="CT43" s="83">
        <f>SUM('J1 A - (North) Bishopthorpe Roa'!$X$43,'J1 B - Butcher Terrace'!$F$43,'J1 C - (South) Bishopthorpe Roa'!$BH$43,'J1 D - South Bank Avenue'!$AP$43)</f>
        <v>0</v>
      </c>
      <c r="CU43" s="83">
        <f>SUM('J1 A - (North) Bishopthorpe Roa'!$Y$43,'J1 B - Butcher Terrace'!$G$43,'J1 C - (South) Bishopthorpe Roa'!$BI$43,'J1 D - South Bank Avenue'!$AQ$43)</f>
        <v>0</v>
      </c>
      <c r="CV43" s="83">
        <f>SUM('J1 A - (North) Bishopthorpe Roa'!$Z$43,'J1 B - Butcher Terrace'!$H$43,'J1 C - (South) Bishopthorpe Roa'!$BJ$43,'J1 D - South Bank Avenue'!$AR$43)</f>
        <v>1</v>
      </c>
      <c r="CW43" s="83">
        <f>SUM('J1 A - (North) Bishopthorpe Roa'!$AA$43,'J1 B - Butcher Terrace'!$I$43,'J1 C - (South) Bishopthorpe Roa'!$BK$43,'J1 D - South Bank Avenue'!$AS$43)</f>
        <v>0</v>
      </c>
      <c r="CX43" s="86">
        <f>SUM('J1 A - (North) Bishopthorpe Roa'!$AB$43,'J1 B - Butcher Terrace'!$J$43,'J1 C - (South) Bishopthorpe Roa'!$BL$43,'J1 D - South Bank Avenue'!$AT$43)</f>
        <v>0</v>
      </c>
      <c r="CY43" s="77">
        <f>$CQ$43*VLOOKUP($CQ$11,'PCU Values'!$B$9:$C$16,2,FALSE)</f>
        <v>6</v>
      </c>
      <c r="CZ43" s="77">
        <f>$CR$43*VLOOKUP($CR$11,'PCU Values'!$B$9:$C$16,2,FALSE)</f>
        <v>1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0.2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7.2</v>
      </c>
      <c r="DH43" s="52">
        <f>SUM($CQ$43,$CR$43,$CS$43,$CT$43,$CU$43,$CV$43,$CW$43,$CX$43)</f>
        <v>8</v>
      </c>
    </row>
    <row r="44" spans="1:112" ht="21" customHeight="1">
      <c r="A44" s="46">
        <v>44395.270833333299</v>
      </c>
      <c r="B44" s="47" t="s">
        <v>57</v>
      </c>
      <c r="C44" s="49">
        <v>0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0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0</v>
      </c>
      <c r="T44" s="52">
        <f>SUM($C$44,$D$44,$E$44,$F$44,$G$44,$H$44,$I$44,$J$44)</f>
        <v>0</v>
      </c>
      <c r="U44" s="49">
        <v>17</v>
      </c>
      <c r="V44" s="49">
        <v>0</v>
      </c>
      <c r="W44" s="49">
        <v>0</v>
      </c>
      <c r="X44" s="49">
        <v>0</v>
      </c>
      <c r="Y44" s="49">
        <v>1</v>
      </c>
      <c r="Z44" s="49">
        <v>2</v>
      </c>
      <c r="AA44" s="49">
        <v>0</v>
      </c>
      <c r="AB44" s="58">
        <v>0</v>
      </c>
      <c r="AC44" s="57">
        <f>$U$44*VLOOKUP($U$11,'PCU Values'!$B$9:$C$16,2,FALSE)</f>
        <v>17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2</v>
      </c>
      <c r="AH44" s="57">
        <f>$Z$44*VLOOKUP($Z$11,'PCU Values'!$B$9:$C$16,2,FALSE)</f>
        <v>0.4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19.399999999999999</v>
      </c>
      <c r="AL44" s="52">
        <f>SUM($U$44,$V$44,$W$44,$X$44,$Y$44,$Z$44,$AA$44,$AB$44)</f>
        <v>20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</v>
      </c>
      <c r="BD44" s="52">
        <f>SUM($AM$44,$AN$44,$AO$44,$AP$44,$AQ$44,$AR$44,$AS$44,$AT$44)</f>
        <v>1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18</v>
      </c>
      <c r="BZ44" s="83">
        <f>SUM($D$44,$V$44,$AN$44,$BF$44)</f>
        <v>0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1</v>
      </c>
      <c r="CD44" s="83">
        <f>SUM($H$44,$Z$44,$AR$44,$BJ$44)</f>
        <v>2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18</v>
      </c>
      <c r="CH44" s="77">
        <f>$BZ$44*VLOOKUP($BZ$11,'PCU Values'!$B$9:$C$16,2,FALSE)</f>
        <v>0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2</v>
      </c>
      <c r="CL44" s="77">
        <f>$CD$44*VLOOKUP($CD$11,'PCU Values'!$B$9:$C$16,2,FALSE)</f>
        <v>0.4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20.399999999999999</v>
      </c>
      <c r="CP44" s="52">
        <f>SUM($BY$44,$BZ$44,$CA$44,$CB$44,$CC$44,$CD$44,$CE$44,$CF$44)</f>
        <v>21</v>
      </c>
      <c r="CQ44" s="89">
        <f>SUM('J1 A - (North) Bishopthorpe Roa'!$U$44,'J1 B - Butcher Terrace'!$C$44,'J1 C - (South) Bishopthorpe Roa'!$BE$44,'J1 D - South Bank Avenue'!$AM$44)</f>
        <v>8</v>
      </c>
      <c r="CR44" s="83">
        <f>SUM('J1 A - (North) Bishopthorpe Roa'!$V$44,'J1 B - Butcher Terrace'!$D$44,'J1 C - (South) Bishopthorpe Roa'!$BF$44,'J1 D - South Bank Avenue'!$AN$44)</f>
        <v>2</v>
      </c>
      <c r="CS44" s="83">
        <f>SUM('J1 A - (North) Bishopthorpe Roa'!$W$44,'J1 B - Butcher Terrace'!$E$44,'J1 C - (South) Bishopthorpe Roa'!$BG$44,'J1 D - South Bank Avenue'!$AO$44)</f>
        <v>0</v>
      </c>
      <c r="CT44" s="83">
        <f>SUM('J1 A - (North) Bishopthorpe Roa'!$X$44,'J1 B - Butcher Terrace'!$F$44,'J1 C - (South) Bishopthorpe Roa'!$BH$44,'J1 D - South Bank Avenue'!$AP$44)</f>
        <v>0</v>
      </c>
      <c r="CU44" s="83">
        <f>SUM('J1 A - (North) Bishopthorpe Roa'!$Y$44,'J1 B - Butcher Terrace'!$G$44,'J1 C - (South) Bishopthorpe Roa'!$BI$44,'J1 D - South Bank Avenue'!$AQ$44)</f>
        <v>1</v>
      </c>
      <c r="CV44" s="83">
        <f>SUM('J1 A - (North) Bishopthorpe Roa'!$Z$44,'J1 B - Butcher Terrace'!$H$44,'J1 C - (South) Bishopthorpe Roa'!$BJ$44,'J1 D - South Bank Avenue'!$AR$44)</f>
        <v>0</v>
      </c>
      <c r="CW44" s="83">
        <f>SUM('J1 A - (North) Bishopthorpe Roa'!$AA$44,'J1 B - Butcher Terrace'!$I$44,'J1 C - (South) Bishopthorpe Roa'!$BK$44,'J1 D - South Bank Avenue'!$AS$44)</f>
        <v>0</v>
      </c>
      <c r="CX44" s="86">
        <f>SUM('J1 A - (North) Bishopthorpe Roa'!$AB$44,'J1 B - Butcher Terrace'!$J$44,'J1 C - (South) Bishopthorpe Roa'!$BL$44,'J1 D - South Bank Avenue'!$AT$44)</f>
        <v>0</v>
      </c>
      <c r="CY44" s="77">
        <f>$CQ$44*VLOOKUP($CQ$11,'PCU Values'!$B$9:$C$16,2,FALSE)</f>
        <v>8</v>
      </c>
      <c r="CZ44" s="77">
        <f>$CR$44*VLOOKUP($CR$11,'PCU Values'!$B$9:$C$16,2,FALSE)</f>
        <v>2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2</v>
      </c>
      <c r="DD44" s="77">
        <f>$CV$44*VLOOKUP($CV$11,'PCU Values'!$B$9:$C$16,2,FALSE)</f>
        <v>0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12</v>
      </c>
      <c r="DH44" s="52">
        <f>SUM($CQ$44,$CR$44,$CS$44,$CT$44,$CU$44,$CV$44,$CW$44,$CX$44)</f>
        <v>11</v>
      </c>
    </row>
    <row r="45" spans="1:112" ht="21" customHeight="1">
      <c r="A45" s="46">
        <v>44395.28125</v>
      </c>
      <c r="B45" s="50" t="s">
        <v>58</v>
      </c>
      <c r="C45" s="51">
        <v>0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0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0</v>
      </c>
      <c r="T45" s="52">
        <f>SUM($C$45,$D$45,$E$45,$F$45,$G$45,$H$45,$I$45,$J$45)</f>
        <v>0</v>
      </c>
      <c r="U45" s="73">
        <v>16</v>
      </c>
      <c r="V45" s="51">
        <v>3</v>
      </c>
      <c r="W45" s="51">
        <v>1</v>
      </c>
      <c r="X45" s="51">
        <v>0</v>
      </c>
      <c r="Y45" s="51">
        <v>0</v>
      </c>
      <c r="Z45" s="51">
        <v>2</v>
      </c>
      <c r="AA45" s="51">
        <v>0</v>
      </c>
      <c r="AB45" s="59">
        <v>0</v>
      </c>
      <c r="AC45" s="60">
        <f>$U$45*VLOOKUP($U$11,'PCU Values'!$B$9:$C$16,2,FALSE)</f>
        <v>16</v>
      </c>
      <c r="AD45" s="60">
        <f>$V$45*VLOOKUP($V$11,'PCU Values'!$B$9:$C$16,2,FALSE)</f>
        <v>3</v>
      </c>
      <c r="AE45" s="60">
        <f>$W$45*VLOOKUP($W$11,'PCU Values'!$B$9:$C$16,2,FALSE)</f>
        <v>1.5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0.4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20.9</v>
      </c>
      <c r="AL45" s="52">
        <f>SUM($U$45,$V$45,$W$45,$X$45,$Y$45,$Z$45,$AA$45,$AB$45)</f>
        <v>22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1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0.2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0.2</v>
      </c>
      <c r="BD45" s="52">
        <f>SUM($AM$45,$AN$45,$AO$45,$AP$45,$AQ$45,$AR$45,$AS$45,$AT$45)</f>
        <v>1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16</v>
      </c>
      <c r="BZ45" s="84">
        <f>SUM($D$45,$V$45,$AN$45,$BF$45)</f>
        <v>3</v>
      </c>
      <c r="CA45" s="84">
        <f>SUM($E$45,$W$45,$AO$45,$BG$45)</f>
        <v>1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3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16</v>
      </c>
      <c r="CH45" s="79">
        <f>$BZ$45*VLOOKUP($BZ$11,'PCU Values'!$B$9:$C$16,2,FALSE)</f>
        <v>3</v>
      </c>
      <c r="CI45" s="79">
        <f>$CA$45*VLOOKUP($CA$11,'PCU Values'!$B$9:$C$16,2,FALSE)</f>
        <v>1.5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0.6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21.1</v>
      </c>
      <c r="CP45" s="52">
        <f>SUM($BY$45,$BZ$45,$CA$45,$CB$45,$CC$45,$CD$45,$CE$45,$CF$45)</f>
        <v>23</v>
      </c>
      <c r="CQ45" s="90">
        <f>SUM('J1 A - (North) Bishopthorpe Roa'!$U$45,'J1 B - Butcher Terrace'!$C$45,'J1 C - (South) Bishopthorpe Roa'!$BE$45,'J1 D - South Bank Avenue'!$AM$45)</f>
        <v>19</v>
      </c>
      <c r="CR45" s="84">
        <f>SUM('J1 A - (North) Bishopthorpe Roa'!$V$45,'J1 B - Butcher Terrace'!$D$45,'J1 C - (South) Bishopthorpe Roa'!$BF$45,'J1 D - South Bank Avenue'!$AN$45)</f>
        <v>1</v>
      </c>
      <c r="CS45" s="84">
        <f>SUM('J1 A - (North) Bishopthorpe Roa'!$W$45,'J1 B - Butcher Terrace'!$E$45,'J1 C - (South) Bishopthorpe Roa'!$BG$45,'J1 D - South Bank Avenue'!$AO$45)</f>
        <v>0</v>
      </c>
      <c r="CT45" s="84">
        <f>SUM('J1 A - (North) Bishopthorpe Roa'!$X$45,'J1 B - Butcher Terrace'!$F$45,'J1 C - (South) Bishopthorpe Roa'!$BH$45,'J1 D - South Bank Avenue'!$AP$45)</f>
        <v>0</v>
      </c>
      <c r="CU45" s="84">
        <f>SUM('J1 A - (North) Bishopthorpe Roa'!$Y$45,'J1 B - Butcher Terrace'!$G$45,'J1 C - (South) Bishopthorpe Roa'!$BI$45,'J1 D - South Bank Avenue'!$AQ$45)</f>
        <v>0</v>
      </c>
      <c r="CV45" s="84">
        <f>SUM('J1 A - (North) Bishopthorpe Roa'!$Z$45,'J1 B - Butcher Terrace'!$H$45,'J1 C - (South) Bishopthorpe Roa'!$BJ$45,'J1 D - South Bank Avenue'!$AR$45)</f>
        <v>1</v>
      </c>
      <c r="CW45" s="84">
        <f>SUM('J1 A - (North) Bishopthorpe Roa'!$AA$45,'J1 B - Butcher Terrace'!$I$45,'J1 C - (South) Bishopthorpe Roa'!$BK$45,'J1 D - South Bank Avenue'!$AS$45)</f>
        <v>0</v>
      </c>
      <c r="CX45" s="87">
        <f>SUM('J1 A - (North) Bishopthorpe Roa'!$AB$45,'J1 B - Butcher Terrace'!$J$45,'J1 C - (South) Bishopthorpe Roa'!$BL$45,'J1 D - South Bank Avenue'!$AT$45)</f>
        <v>0</v>
      </c>
      <c r="CY45" s="79">
        <f>$CQ$45*VLOOKUP($CQ$11,'PCU Values'!$B$9:$C$16,2,FALSE)</f>
        <v>19</v>
      </c>
      <c r="CZ45" s="79">
        <f>$CR$45*VLOOKUP($CR$11,'PCU Values'!$B$9:$C$16,2,FALSE)</f>
        <v>1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0.2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20.2</v>
      </c>
      <c r="DH45" s="52">
        <f>SUM($CQ$45,$CR$45,$CS$45,$CT$45,$CU$45,$CV$45,$CW$45,$CX$45)</f>
        <v>21</v>
      </c>
    </row>
    <row r="46" spans="1:112">
      <c r="B46" s="52" t="s">
        <v>34</v>
      </c>
      <c r="C46" s="52">
        <f>SUM($C$42:$C$45)</f>
        <v>0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0</v>
      </c>
      <c r="I46" s="52">
        <f>SUM($I$42:$I$45)</f>
        <v>0</v>
      </c>
      <c r="J46" s="52">
        <f>SUM($J$42:$J$45)</f>
        <v>0</v>
      </c>
      <c r="K46" s="52">
        <f>SUM($K$42:$K$45)</f>
        <v>0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0</v>
      </c>
      <c r="T46" s="52">
        <f>SUM($C$46,$D$46,$E$46,$F$46,$G$46,$H$46,$I$46,$J$46)</f>
        <v>0</v>
      </c>
      <c r="U46" s="52">
        <f>SUM($U$42:$U$45)</f>
        <v>45</v>
      </c>
      <c r="V46" s="52">
        <f>SUM($V$42:$V$45)</f>
        <v>4</v>
      </c>
      <c r="W46" s="52">
        <f>SUM($W$42:$W$45)</f>
        <v>1</v>
      </c>
      <c r="X46" s="52">
        <f>SUM($X$42:$X$45)</f>
        <v>0</v>
      </c>
      <c r="Y46" s="52">
        <f>SUM($Y$42:$Y$45)</f>
        <v>1</v>
      </c>
      <c r="Z46" s="52">
        <f>SUM($Z$42:$Z$45)</f>
        <v>6</v>
      </c>
      <c r="AA46" s="52">
        <f>SUM($AA$42:$AA$45)</f>
        <v>0</v>
      </c>
      <c r="AB46" s="52">
        <f>SUM($AB$42:$AB$45)</f>
        <v>0</v>
      </c>
      <c r="AC46" s="52">
        <f>SUM($AC$42:$AC$45)</f>
        <v>45</v>
      </c>
      <c r="AD46" s="52">
        <f>SUM($AD$42:$AD$45)</f>
        <v>4</v>
      </c>
      <c r="AE46" s="52">
        <f>SUM($AE$42:$AE$45)</f>
        <v>2</v>
      </c>
      <c r="AF46" s="52">
        <f>SUM($AF$42:$AF$45)</f>
        <v>0</v>
      </c>
      <c r="AG46" s="52">
        <f>SUM($AG$42:$AG$45)</f>
        <v>2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54</v>
      </c>
      <c r="AL46" s="52">
        <f>SUM($U$46,$V$46,$W$46,$X$46,$Y$46,$Z$46,$AA$46,$AB$46)</f>
        <v>57</v>
      </c>
      <c r="AM46" s="52">
        <f>SUM($AM$42:$AM$45)</f>
        <v>1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2</v>
      </c>
      <c r="AS46" s="52">
        <f>SUM($AS$42:$AS$45)</f>
        <v>0</v>
      </c>
      <c r="AT46" s="52">
        <f>SUM($AT$42:$AT$45)</f>
        <v>0</v>
      </c>
      <c r="AU46" s="52">
        <f>SUM($AU$42:$AU$45)</f>
        <v>1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1</v>
      </c>
      <c r="BD46" s="52">
        <f>SUM($AM$46,$AN$46,$AO$46,$AP$46,$AQ$46,$AR$46,$AS$46,$AT$46)</f>
        <v>3</v>
      </c>
      <c r="BE46" s="52">
        <f>SUM($BE$42:$BE$45)</f>
        <v>1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1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1</v>
      </c>
      <c r="BV46" s="52">
        <f>SUM($BE$46,$BF$46,$BG$46,$BH$46,$BI$46,$BJ$46,$BK$46,$BL$46)</f>
        <v>1</v>
      </c>
      <c r="BX46" s="52" t="s">
        <v>34</v>
      </c>
      <c r="BY46" s="52">
        <f>SUM($BY$42:$BY$45)</f>
        <v>47</v>
      </c>
      <c r="BZ46" s="52">
        <f>SUM($BZ$42:$BZ$45)</f>
        <v>4</v>
      </c>
      <c r="CA46" s="52">
        <f>SUM($CA$42:$CA$45)</f>
        <v>1</v>
      </c>
      <c r="CB46" s="52">
        <f>SUM($CB$42:$CB$45)</f>
        <v>0</v>
      </c>
      <c r="CC46" s="52">
        <f>SUM($CC$42:$CC$45)</f>
        <v>1</v>
      </c>
      <c r="CD46" s="52">
        <f>SUM($CD$42:$CD$45)</f>
        <v>8</v>
      </c>
      <c r="CE46" s="52">
        <f>SUM($CE$42:$CE$45)</f>
        <v>0</v>
      </c>
      <c r="CF46" s="52">
        <f>SUM($CF$42:$CF$45)</f>
        <v>0</v>
      </c>
      <c r="CG46" s="52">
        <f>SUM($CG$42:$CG$45)</f>
        <v>47</v>
      </c>
      <c r="CH46" s="52">
        <f>SUM($CH$42:$CH$45)</f>
        <v>4</v>
      </c>
      <c r="CI46" s="52">
        <f>SUM($CI$42:$CI$45)</f>
        <v>2</v>
      </c>
      <c r="CJ46" s="52">
        <f>SUM($CJ$42:$CJ$45)</f>
        <v>0</v>
      </c>
      <c r="CK46" s="52">
        <f>SUM($CK$42:$CK$45)</f>
        <v>2</v>
      </c>
      <c r="CL46" s="52">
        <f>SUM($CL$42:$CL$45)</f>
        <v>2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57</v>
      </c>
      <c r="CP46" s="52">
        <f>SUM($BY$46,$BZ$46,$CA$46,$CB$46,$CC$46,$CD$46,$CE$46,$CF$46)</f>
        <v>61</v>
      </c>
      <c r="CQ46" s="52">
        <f>SUM($CQ$42:$CQ$45)</f>
        <v>35</v>
      </c>
      <c r="CR46" s="52">
        <f>SUM($CR$42:$CR$45)</f>
        <v>4</v>
      </c>
      <c r="CS46" s="52">
        <f>SUM($CS$42:$CS$45)</f>
        <v>0</v>
      </c>
      <c r="CT46" s="52">
        <f>SUM($CT$42:$CT$45)</f>
        <v>0</v>
      </c>
      <c r="CU46" s="52">
        <f>SUM($CU$42:$CU$45)</f>
        <v>2</v>
      </c>
      <c r="CV46" s="52">
        <f>SUM($CV$42:$CV$45)</f>
        <v>3</v>
      </c>
      <c r="CW46" s="52">
        <f>SUM($CW$42:$CW$45)</f>
        <v>0</v>
      </c>
      <c r="CX46" s="52">
        <f>SUM($CX$42:$CX$45)</f>
        <v>0</v>
      </c>
      <c r="CY46" s="52">
        <f>SUM($CY$42:$CY$45)</f>
        <v>35</v>
      </c>
      <c r="CZ46" s="52">
        <f>SUM($CZ$42:$CZ$45)</f>
        <v>4</v>
      </c>
      <c r="DA46" s="52">
        <f>SUM($DA$42:$DA$45)</f>
        <v>0</v>
      </c>
      <c r="DB46" s="52">
        <f>SUM($DB$42:$DB$45)</f>
        <v>0</v>
      </c>
      <c r="DC46" s="52">
        <f>SUM($DC$42:$DC$45)</f>
        <v>4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44</v>
      </c>
      <c r="DH46" s="52">
        <f>SUM($CQ$46,$CR$46,$CS$46,$CT$46,$CU$46,$CV$46,$CW$46,$CX$46)</f>
        <v>44</v>
      </c>
    </row>
    <row r="47" spans="1:112" ht="21" customHeight="1">
      <c r="A47" s="46">
        <v>44395.291666666701</v>
      </c>
      <c r="B47" s="53" t="s">
        <v>59</v>
      </c>
      <c r="C47" s="54">
        <v>1</v>
      </c>
      <c r="D47" s="54">
        <v>0</v>
      </c>
      <c r="E47" s="54">
        <v>0</v>
      </c>
      <c r="F47" s="54">
        <v>0</v>
      </c>
      <c r="G47" s="54">
        <v>0</v>
      </c>
      <c r="H47" s="54">
        <v>0</v>
      </c>
      <c r="I47" s="54">
        <v>0</v>
      </c>
      <c r="J47" s="61">
        <v>0</v>
      </c>
      <c r="K47" s="62">
        <f>$C$47*VLOOKUP($C$11,'PCU Values'!$B$9:$C$16,2,FALSE)</f>
        <v>1</v>
      </c>
      <c r="L47" s="62">
        <f>$D$47*VLOOKUP($D$11,'PCU Values'!$B$9:$C$16,2,FALSE)</f>
        <v>0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</v>
      </c>
      <c r="Q47" s="62">
        <f>$I$47*VLOOKUP($I$11,'PCU Values'!$B$9:$C$16,2,FALSE)</f>
        <v>0</v>
      </c>
      <c r="R47" s="70">
        <f>$J$47*VLOOKUP($J$11,'PCU Values'!$B$9:$C$16,2,FALSE)</f>
        <v>0</v>
      </c>
      <c r="S47" s="71">
        <f>SUM($K$47,$L$47,$M$47,$N$47,$O$47,$P$47,$Q$47,$R$47)</f>
        <v>1</v>
      </c>
      <c r="T47" s="52">
        <f>SUM($C$47,$D$47,$E$47,$F$47,$G$47,$H$47,$I$47,$J$47)</f>
        <v>1</v>
      </c>
      <c r="U47" s="72">
        <v>27</v>
      </c>
      <c r="V47" s="54">
        <v>5</v>
      </c>
      <c r="W47" s="54">
        <v>2</v>
      </c>
      <c r="X47" s="54">
        <v>0</v>
      </c>
      <c r="Y47" s="54">
        <v>1</v>
      </c>
      <c r="Z47" s="54">
        <v>3</v>
      </c>
      <c r="AA47" s="54">
        <v>0</v>
      </c>
      <c r="AB47" s="61">
        <v>0</v>
      </c>
      <c r="AC47" s="62">
        <f>$U$47*VLOOKUP($U$11,'PCU Values'!$B$9:$C$16,2,FALSE)</f>
        <v>27</v>
      </c>
      <c r="AD47" s="62">
        <f>$V$47*VLOOKUP($V$11,'PCU Values'!$B$9:$C$16,2,FALSE)</f>
        <v>5</v>
      </c>
      <c r="AE47" s="62">
        <f>$W$47*VLOOKUP($W$11,'PCU Values'!$B$9:$C$16,2,FALSE)</f>
        <v>3</v>
      </c>
      <c r="AF47" s="62">
        <f>$X$47*VLOOKUP($X$11,'PCU Values'!$B$9:$C$16,2,FALSE)</f>
        <v>0</v>
      </c>
      <c r="AG47" s="62">
        <f>$Y$47*VLOOKUP($Y$11,'PCU Values'!$B$9:$C$16,2,FALSE)</f>
        <v>2</v>
      </c>
      <c r="AH47" s="62">
        <f>$Z$47*VLOOKUP($Z$11,'PCU Values'!$B$9:$C$16,2,FALSE)</f>
        <v>0.6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37.6</v>
      </c>
      <c r="AL47" s="52">
        <f>SUM($U$47,$V$47,$W$47,$X$47,$Y$47,$Z$47,$AA$47,$AB$47)</f>
        <v>38</v>
      </c>
      <c r="AM47" s="72">
        <v>1</v>
      </c>
      <c r="AN47" s="54">
        <v>0</v>
      </c>
      <c r="AO47" s="54">
        <v>0</v>
      </c>
      <c r="AP47" s="54">
        <v>0</v>
      </c>
      <c r="AQ47" s="54">
        <v>0</v>
      </c>
      <c r="AR47" s="54">
        <v>3</v>
      </c>
      <c r="AS47" s="54">
        <v>1</v>
      </c>
      <c r="AT47" s="61">
        <v>0</v>
      </c>
      <c r="AU47" s="62">
        <f>$AM$47*VLOOKUP($AM$11,'PCU Values'!$B$9:$C$16,2,FALSE)</f>
        <v>1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0.6</v>
      </c>
      <c r="BA47" s="62">
        <f>$AS$47*VLOOKUP($AS$11,'PCU Values'!$B$9:$C$16,2,FALSE)</f>
        <v>0.4</v>
      </c>
      <c r="BB47" s="70">
        <f>$AT$47*VLOOKUP($AT$11,'PCU Values'!$B$9:$C$16,2,FALSE)</f>
        <v>0</v>
      </c>
      <c r="BC47" s="71">
        <f>SUM($AU$47,$AV$47,$AW$47,$AX$47,$AY$47,$AZ$47,$BA$47,$BB$47)</f>
        <v>2</v>
      </c>
      <c r="BD47" s="52">
        <f>SUM($AM$47,$AN$47,$AO$47,$AP$47,$AQ$47,$AR$47,$AS$47,$AT$47)</f>
        <v>5</v>
      </c>
      <c r="BE47" s="72">
        <v>1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1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1</v>
      </c>
      <c r="BV47" s="52">
        <f>SUM($BE$47,$BF$47,$BG$47,$BH$47,$BI$47,$BJ$47,$BK$47,$BL$47)</f>
        <v>1</v>
      </c>
      <c r="BX47" s="53" t="s">
        <v>59</v>
      </c>
      <c r="BY47" s="85">
        <f>SUM($C$47,$U$47,$AM$47,$BE$47)</f>
        <v>30</v>
      </c>
      <c r="BZ47" s="85">
        <f>SUM($D$47,$V$47,$AN$47,$BF$47)</f>
        <v>5</v>
      </c>
      <c r="CA47" s="85">
        <f>SUM($E$47,$W$47,$AO$47,$BG$47)</f>
        <v>2</v>
      </c>
      <c r="CB47" s="85">
        <f>SUM($F$47,$X$47,$AP$47,$BH$47)</f>
        <v>0</v>
      </c>
      <c r="CC47" s="85">
        <f>SUM($G$47,$Y$47,$AQ$47,$BI$47)</f>
        <v>1</v>
      </c>
      <c r="CD47" s="85">
        <f>SUM($H$47,$Z$47,$AR$47,$BJ$47)</f>
        <v>6</v>
      </c>
      <c r="CE47" s="85">
        <f>SUM($I$47,$AA$47,$AS$47,$BK$47)</f>
        <v>1</v>
      </c>
      <c r="CF47" s="88">
        <f>SUM($J$47,$AB$47,$AT$47,$BL$47)</f>
        <v>0</v>
      </c>
      <c r="CG47" s="81">
        <f>$BY$47*VLOOKUP($BY$11,'PCU Values'!$B$9:$C$16,2,FALSE)</f>
        <v>30</v>
      </c>
      <c r="CH47" s="81">
        <f>$BZ$47*VLOOKUP($BZ$11,'PCU Values'!$B$9:$C$16,2,FALSE)</f>
        <v>5</v>
      </c>
      <c r="CI47" s="81">
        <f>$CA$47*VLOOKUP($CA$11,'PCU Values'!$B$9:$C$16,2,FALSE)</f>
        <v>3</v>
      </c>
      <c r="CJ47" s="81">
        <f>$CB$47*VLOOKUP($CB$11,'PCU Values'!$B$9:$C$16,2,FALSE)</f>
        <v>0</v>
      </c>
      <c r="CK47" s="81">
        <f>$CC$47*VLOOKUP($CC$11,'PCU Values'!$B$9:$C$16,2,FALSE)</f>
        <v>2</v>
      </c>
      <c r="CL47" s="81">
        <f>$CD$47*VLOOKUP($CD$11,'PCU Values'!$B$9:$C$16,2,FALSE)</f>
        <v>1.2</v>
      </c>
      <c r="CM47" s="81">
        <f>$CE$47*VLOOKUP($CE$11,'PCU Values'!$B$9:$C$16,2,FALSE)</f>
        <v>0.4</v>
      </c>
      <c r="CN47" s="82">
        <f>$CF$47*VLOOKUP($CF$11,'PCU Values'!$B$9:$C$16,2,FALSE)</f>
        <v>0</v>
      </c>
      <c r="CO47" s="71">
        <f>SUM($CG$47,$CH$47,$CI$47,$CJ$47,$CK$47,$CL$47,$CM$47,$CN$47)</f>
        <v>41.6</v>
      </c>
      <c r="CP47" s="52">
        <f>SUM($BY$47,$BZ$47,$CA$47,$CB$47,$CC$47,$CD$47,$CE$47,$CF$47)</f>
        <v>45</v>
      </c>
      <c r="CQ47" s="91">
        <f>SUM('J1 A - (North) Bishopthorpe Roa'!$U$47,'J1 B - Butcher Terrace'!$C$47,'J1 C - (South) Bishopthorpe Roa'!$BE$47,'J1 D - South Bank Avenue'!$AM$47)</f>
        <v>21</v>
      </c>
      <c r="CR47" s="85">
        <f>SUM('J1 A - (North) Bishopthorpe Roa'!$V$47,'J1 B - Butcher Terrace'!$D$47,'J1 C - (South) Bishopthorpe Roa'!$BF$47,'J1 D - South Bank Avenue'!$AN$47)</f>
        <v>5</v>
      </c>
      <c r="CS47" s="85">
        <f>SUM('J1 A - (North) Bishopthorpe Roa'!$W$47,'J1 B - Butcher Terrace'!$E$47,'J1 C - (South) Bishopthorpe Roa'!$BG$47,'J1 D - South Bank Avenue'!$AO$47)</f>
        <v>0</v>
      </c>
      <c r="CT47" s="85">
        <f>SUM('J1 A - (North) Bishopthorpe Roa'!$X$47,'J1 B - Butcher Terrace'!$F$47,'J1 C - (South) Bishopthorpe Roa'!$BH$47,'J1 D - South Bank Avenue'!$AP$47)</f>
        <v>0</v>
      </c>
      <c r="CU47" s="85">
        <f>SUM('J1 A - (North) Bishopthorpe Roa'!$Y$47,'J1 B - Butcher Terrace'!$G$47,'J1 C - (South) Bishopthorpe Roa'!$BI$47,'J1 D - South Bank Avenue'!$AQ$47)</f>
        <v>1</v>
      </c>
      <c r="CV47" s="85">
        <f>SUM('J1 A - (North) Bishopthorpe Roa'!$Z$47,'J1 B - Butcher Terrace'!$H$47,'J1 C - (South) Bishopthorpe Roa'!$BJ$47,'J1 D - South Bank Avenue'!$AR$47)</f>
        <v>4</v>
      </c>
      <c r="CW47" s="85">
        <f>SUM('J1 A - (North) Bishopthorpe Roa'!$AA$47,'J1 B - Butcher Terrace'!$I$47,'J1 C - (South) Bishopthorpe Roa'!$BK$47,'J1 D - South Bank Avenue'!$AS$47)</f>
        <v>0</v>
      </c>
      <c r="CX47" s="88">
        <f>SUM('J1 A - (North) Bishopthorpe Roa'!$AB$47,'J1 B - Butcher Terrace'!$J$47,'J1 C - (South) Bishopthorpe Roa'!$BL$47,'J1 D - South Bank Avenue'!$AT$47)</f>
        <v>0</v>
      </c>
      <c r="CY47" s="81">
        <f>$CQ$47*VLOOKUP($CQ$11,'PCU Values'!$B$9:$C$16,2,FALSE)</f>
        <v>21</v>
      </c>
      <c r="CZ47" s="81">
        <f>$CR$47*VLOOKUP($CR$11,'PCU Values'!$B$9:$C$16,2,FALSE)</f>
        <v>5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2</v>
      </c>
      <c r="DD47" s="81">
        <f>$CV$47*VLOOKUP($CV$11,'PCU Values'!$B$9:$C$16,2,FALSE)</f>
        <v>0.8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28.8</v>
      </c>
      <c r="DH47" s="52">
        <f>SUM($CQ$47,$CR$47,$CS$47,$CT$47,$CU$47,$CV$47,$CW$47,$CX$47)</f>
        <v>31</v>
      </c>
    </row>
    <row r="48" spans="1:112" ht="21" customHeight="1">
      <c r="A48" s="46">
        <v>44395.302083333299</v>
      </c>
      <c r="B48" s="47" t="s">
        <v>60</v>
      </c>
      <c r="C48" s="48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0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0</v>
      </c>
      <c r="T48" s="52">
        <f>SUM($C$48,$D$48,$E$48,$F$48,$G$48,$H$48,$I$48,$J$48)</f>
        <v>0</v>
      </c>
      <c r="U48" s="67">
        <v>35</v>
      </c>
      <c r="V48" s="48">
        <v>4</v>
      </c>
      <c r="W48" s="48">
        <v>0</v>
      </c>
      <c r="X48" s="48">
        <v>0</v>
      </c>
      <c r="Y48" s="48">
        <v>0</v>
      </c>
      <c r="Z48" s="48">
        <v>3</v>
      </c>
      <c r="AA48" s="48">
        <v>2</v>
      </c>
      <c r="AB48" s="56">
        <v>0</v>
      </c>
      <c r="AC48" s="57">
        <f>$U$48*VLOOKUP($U$11,'PCU Values'!$B$9:$C$16,2,FALSE)</f>
        <v>35</v>
      </c>
      <c r="AD48" s="57">
        <f>$V$48*VLOOKUP($V$11,'PCU Values'!$B$9:$C$16,2,FALSE)</f>
        <v>4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0.6</v>
      </c>
      <c r="AI48" s="57">
        <f>$AA$48*VLOOKUP($AA$11,'PCU Values'!$B$9:$C$16,2,FALSE)</f>
        <v>0.8</v>
      </c>
      <c r="AJ48" s="65">
        <f>$AB$48*VLOOKUP($AB$11,'PCU Values'!$B$9:$C$16,2,FALSE)</f>
        <v>0</v>
      </c>
      <c r="AK48" s="66">
        <f>SUM($AC$48,$AD$48,$AE$48,$AF$48,$AG$48,$AH$48,$AI$48,$AJ$48)</f>
        <v>40.4</v>
      </c>
      <c r="AL48" s="52">
        <f>SUM($U$48,$V$48,$W$48,$X$48,$Y$48,$Z$48,$AA$48,$AB$48)</f>
        <v>44</v>
      </c>
      <c r="AM48" s="67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1</v>
      </c>
      <c r="AS48" s="48">
        <v>0</v>
      </c>
      <c r="AT48" s="56">
        <v>0</v>
      </c>
      <c r="AU48" s="57">
        <f>$AM$48*VLOOKUP($AM$11,'PCU Values'!$B$9:$C$16,2,FALSE)</f>
        <v>0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0.2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0.2</v>
      </c>
      <c r="BD48" s="52">
        <f>SUM($AM$48,$AN$48,$AO$48,$AP$48,$AQ$48,$AR$48,$AS$48,$AT$48)</f>
        <v>1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35</v>
      </c>
      <c r="BZ48" s="83">
        <f>SUM($D$48,$V$48,$AN$48,$BF$48)</f>
        <v>4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4</v>
      </c>
      <c r="CE48" s="83">
        <f>SUM($I$48,$AA$48,$AS$48,$BK$48)</f>
        <v>2</v>
      </c>
      <c r="CF48" s="86">
        <f>SUM($J$48,$AB$48,$AT$48,$BL$48)</f>
        <v>0</v>
      </c>
      <c r="CG48" s="77">
        <f>$BY$48*VLOOKUP($BY$11,'PCU Values'!$B$9:$C$16,2,FALSE)</f>
        <v>35</v>
      </c>
      <c r="CH48" s="77">
        <f>$BZ$48*VLOOKUP($BZ$11,'PCU Values'!$B$9:$C$16,2,FALSE)</f>
        <v>4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0.8</v>
      </c>
      <c r="CM48" s="77">
        <f>$CE$48*VLOOKUP($CE$11,'PCU Values'!$B$9:$C$16,2,FALSE)</f>
        <v>0.8</v>
      </c>
      <c r="CN48" s="78">
        <f>$CF$48*VLOOKUP($CF$11,'PCU Values'!$B$9:$C$16,2,FALSE)</f>
        <v>0</v>
      </c>
      <c r="CO48" s="66">
        <f>SUM($CG$48,$CH$48,$CI$48,$CJ$48,$CK$48,$CL$48,$CM$48,$CN$48)</f>
        <v>40.6</v>
      </c>
      <c r="CP48" s="52">
        <f>SUM($BY$48,$BZ$48,$CA$48,$CB$48,$CC$48,$CD$48,$CE$48,$CF$48)</f>
        <v>45</v>
      </c>
      <c r="CQ48" s="89">
        <f>SUM('J1 A - (North) Bishopthorpe Roa'!$U$48,'J1 B - Butcher Terrace'!$C$48,'J1 C - (South) Bishopthorpe Roa'!$BE$48,'J1 D - South Bank Avenue'!$AM$48)</f>
        <v>29</v>
      </c>
      <c r="CR48" s="83">
        <f>SUM('J1 A - (North) Bishopthorpe Roa'!$V$48,'J1 B - Butcher Terrace'!$D$48,'J1 C - (South) Bishopthorpe Roa'!$BF$48,'J1 D - South Bank Avenue'!$AN$48)</f>
        <v>7</v>
      </c>
      <c r="CS48" s="83">
        <f>SUM('J1 A - (North) Bishopthorpe Roa'!$W$48,'J1 B - Butcher Terrace'!$E$48,'J1 C - (South) Bishopthorpe Roa'!$BG$48,'J1 D - South Bank Avenue'!$AO$48)</f>
        <v>1</v>
      </c>
      <c r="CT48" s="83">
        <f>SUM('J1 A - (North) Bishopthorpe Roa'!$X$48,'J1 B - Butcher Terrace'!$F$48,'J1 C - (South) Bishopthorpe Roa'!$BH$48,'J1 D - South Bank Avenue'!$AP$48)</f>
        <v>0</v>
      </c>
      <c r="CU48" s="83">
        <f>SUM('J1 A - (North) Bishopthorpe Roa'!$Y$48,'J1 B - Butcher Terrace'!$G$48,'J1 C - (South) Bishopthorpe Roa'!$BI$48,'J1 D - South Bank Avenue'!$AQ$48)</f>
        <v>0</v>
      </c>
      <c r="CV48" s="83">
        <f>SUM('J1 A - (North) Bishopthorpe Roa'!$Z$48,'J1 B - Butcher Terrace'!$H$48,'J1 C - (South) Bishopthorpe Roa'!$BJ$48,'J1 D - South Bank Avenue'!$AR$48)</f>
        <v>1</v>
      </c>
      <c r="CW48" s="83">
        <f>SUM('J1 A - (North) Bishopthorpe Roa'!$AA$48,'J1 B - Butcher Terrace'!$I$48,'J1 C - (South) Bishopthorpe Roa'!$BK$48,'J1 D - South Bank Avenue'!$AS$48)</f>
        <v>0</v>
      </c>
      <c r="CX48" s="86">
        <f>SUM('J1 A - (North) Bishopthorpe Roa'!$AB$48,'J1 B - Butcher Terrace'!$J$48,'J1 C - (South) Bishopthorpe Roa'!$BL$48,'J1 D - South Bank Avenue'!$AT$48)</f>
        <v>0</v>
      </c>
      <c r="CY48" s="77">
        <f>$CQ$48*VLOOKUP($CQ$11,'PCU Values'!$B$9:$C$16,2,FALSE)</f>
        <v>29</v>
      </c>
      <c r="CZ48" s="77">
        <f>$CR$48*VLOOKUP($CR$11,'PCU Values'!$B$9:$C$16,2,FALSE)</f>
        <v>7</v>
      </c>
      <c r="DA48" s="77">
        <f>$CS$48*VLOOKUP($CS$11,'PCU Values'!$B$9:$C$16,2,FALSE)</f>
        <v>1.5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0.2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37.700000000000003</v>
      </c>
      <c r="DH48" s="52">
        <f>SUM($CQ$48,$CR$48,$CS$48,$CT$48,$CU$48,$CV$48,$CW$48,$CX$48)</f>
        <v>38</v>
      </c>
    </row>
    <row r="49" spans="1:112" ht="21" customHeight="1">
      <c r="A49" s="46">
        <v>44395.3125</v>
      </c>
      <c r="B49" s="47" t="s">
        <v>61</v>
      </c>
      <c r="C49" s="48">
        <v>1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1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1</v>
      </c>
      <c r="T49" s="52">
        <f>SUM($C$49,$D$49,$E$49,$F$49,$G$49,$H$49,$I$49,$J$49)</f>
        <v>1</v>
      </c>
      <c r="U49" s="67">
        <v>34</v>
      </c>
      <c r="V49" s="48">
        <v>5</v>
      </c>
      <c r="W49" s="48">
        <v>0</v>
      </c>
      <c r="X49" s="48">
        <v>0</v>
      </c>
      <c r="Y49" s="48">
        <v>1</v>
      </c>
      <c r="Z49" s="48">
        <v>7</v>
      </c>
      <c r="AA49" s="48">
        <v>0</v>
      </c>
      <c r="AB49" s="56">
        <v>0</v>
      </c>
      <c r="AC49" s="57">
        <f>$U$49*VLOOKUP($U$11,'PCU Values'!$B$9:$C$16,2,FALSE)</f>
        <v>34</v>
      </c>
      <c r="AD49" s="57">
        <f>$V$49*VLOOKUP($V$11,'PCU Values'!$B$9:$C$16,2,FALSE)</f>
        <v>5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2</v>
      </c>
      <c r="AH49" s="57">
        <f>$Z$49*VLOOKUP($Z$11,'PCU Values'!$B$9:$C$16,2,FALSE)</f>
        <v>1.4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42.4</v>
      </c>
      <c r="AL49" s="52">
        <f>SUM($U$49,$V$49,$W$49,$X$49,$Y$49,$Z$49,$AA$49,$AB$49)</f>
        <v>47</v>
      </c>
      <c r="AM49" s="67">
        <v>1</v>
      </c>
      <c r="AN49" s="48">
        <v>0</v>
      </c>
      <c r="AO49" s="48">
        <v>0</v>
      </c>
      <c r="AP49" s="48">
        <v>0</v>
      </c>
      <c r="AQ49" s="48">
        <v>0</v>
      </c>
      <c r="AR49" s="48">
        <v>1</v>
      </c>
      <c r="AS49" s="48">
        <v>0</v>
      </c>
      <c r="AT49" s="56">
        <v>0</v>
      </c>
      <c r="AU49" s="57">
        <f>$AM$49*VLOOKUP($AM$11,'PCU Values'!$B$9:$C$16,2,FALSE)</f>
        <v>1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0.2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1.2</v>
      </c>
      <c r="BD49" s="52">
        <f>SUM($AM$49,$AN$49,$AO$49,$AP$49,$AQ$49,$AR$49,$AS$49,$AT$49)</f>
        <v>2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36</v>
      </c>
      <c r="BZ49" s="83">
        <f>SUM($D$49,$V$49,$AN$49,$BF$49)</f>
        <v>5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1</v>
      </c>
      <c r="CD49" s="83">
        <f>SUM($H$49,$Z$49,$AR$49,$BJ$49)</f>
        <v>8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36</v>
      </c>
      <c r="CH49" s="77">
        <f>$BZ$49*VLOOKUP($BZ$11,'PCU Values'!$B$9:$C$16,2,FALSE)</f>
        <v>5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2</v>
      </c>
      <c r="CL49" s="77">
        <f>$CD$49*VLOOKUP($CD$11,'PCU Values'!$B$9:$C$16,2,FALSE)</f>
        <v>1.6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44.6</v>
      </c>
      <c r="CP49" s="52">
        <f>SUM($BY$49,$BZ$49,$CA$49,$CB$49,$CC$49,$CD$49,$CE$49,$CF$49)</f>
        <v>50</v>
      </c>
      <c r="CQ49" s="89">
        <f>SUM('J1 A - (North) Bishopthorpe Roa'!$U$49,'J1 B - Butcher Terrace'!$C$49,'J1 C - (South) Bishopthorpe Roa'!$BE$49,'J1 D - South Bank Avenue'!$AM$49)</f>
        <v>28</v>
      </c>
      <c r="CR49" s="83">
        <f>SUM('J1 A - (North) Bishopthorpe Roa'!$V$49,'J1 B - Butcher Terrace'!$D$49,'J1 C - (South) Bishopthorpe Roa'!$BF$49,'J1 D - South Bank Avenue'!$AN$49)</f>
        <v>6</v>
      </c>
      <c r="CS49" s="83">
        <f>SUM('J1 A - (North) Bishopthorpe Roa'!$W$49,'J1 B - Butcher Terrace'!$E$49,'J1 C - (South) Bishopthorpe Roa'!$BG$49,'J1 D - South Bank Avenue'!$AO$49)</f>
        <v>4</v>
      </c>
      <c r="CT49" s="83">
        <f>SUM('J1 A - (North) Bishopthorpe Roa'!$X$49,'J1 B - Butcher Terrace'!$F$49,'J1 C - (South) Bishopthorpe Roa'!$BH$49,'J1 D - South Bank Avenue'!$AP$49)</f>
        <v>0</v>
      </c>
      <c r="CU49" s="83">
        <f>SUM('J1 A - (North) Bishopthorpe Roa'!$Y$49,'J1 B - Butcher Terrace'!$G$49,'J1 C - (South) Bishopthorpe Roa'!$BI$49,'J1 D - South Bank Avenue'!$AQ$49)</f>
        <v>0</v>
      </c>
      <c r="CV49" s="83">
        <f>SUM('J1 A - (North) Bishopthorpe Roa'!$Z$49,'J1 B - Butcher Terrace'!$H$49,'J1 C - (South) Bishopthorpe Roa'!$BJ$49,'J1 D - South Bank Avenue'!$AR$49)</f>
        <v>7</v>
      </c>
      <c r="CW49" s="83">
        <f>SUM('J1 A - (North) Bishopthorpe Roa'!$AA$49,'J1 B - Butcher Terrace'!$I$49,'J1 C - (South) Bishopthorpe Roa'!$BK$49,'J1 D - South Bank Avenue'!$AS$49)</f>
        <v>0</v>
      </c>
      <c r="CX49" s="86">
        <f>SUM('J1 A - (North) Bishopthorpe Roa'!$AB$49,'J1 B - Butcher Terrace'!$J$49,'J1 C - (South) Bishopthorpe Roa'!$BL$49,'J1 D - South Bank Avenue'!$AT$49)</f>
        <v>0</v>
      </c>
      <c r="CY49" s="77">
        <f>$CQ$49*VLOOKUP($CQ$11,'PCU Values'!$B$9:$C$16,2,FALSE)</f>
        <v>28</v>
      </c>
      <c r="CZ49" s="77">
        <f>$CR$49*VLOOKUP($CR$11,'PCU Values'!$B$9:$C$16,2,FALSE)</f>
        <v>6</v>
      </c>
      <c r="DA49" s="77">
        <f>$CS$49*VLOOKUP($CS$11,'PCU Values'!$B$9:$C$16,2,FALSE)</f>
        <v>6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1.4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41.4</v>
      </c>
      <c r="DH49" s="52">
        <f>SUM($CQ$49,$CR$49,$CS$49,$CT$49,$CU$49,$CV$49,$CW$49,$CX$49)</f>
        <v>45</v>
      </c>
    </row>
    <row r="50" spans="1:112" ht="21" customHeight="1">
      <c r="A50" s="46">
        <v>44395.322916666701</v>
      </c>
      <c r="B50" s="50" t="s">
        <v>62</v>
      </c>
      <c r="C50" s="51">
        <v>2</v>
      </c>
      <c r="D50" s="51">
        <v>0</v>
      </c>
      <c r="E50" s="51">
        <v>0</v>
      </c>
      <c r="F50" s="51">
        <v>0</v>
      </c>
      <c r="G50" s="51">
        <v>0</v>
      </c>
      <c r="H50" s="51">
        <v>0</v>
      </c>
      <c r="I50" s="51">
        <v>0</v>
      </c>
      <c r="J50" s="59">
        <v>0</v>
      </c>
      <c r="K50" s="60">
        <f>$C$50*VLOOKUP($C$11,'PCU Values'!$B$9:$C$16,2,FALSE)</f>
        <v>2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2</v>
      </c>
      <c r="T50" s="52">
        <f>SUM($C$50,$D$50,$E$50,$F$50,$G$50,$H$50,$I$50,$J$50)</f>
        <v>2</v>
      </c>
      <c r="U50" s="73">
        <v>54</v>
      </c>
      <c r="V50" s="51">
        <v>15</v>
      </c>
      <c r="W50" s="51">
        <v>0</v>
      </c>
      <c r="X50" s="51">
        <v>0</v>
      </c>
      <c r="Y50" s="51">
        <v>0</v>
      </c>
      <c r="Z50" s="51">
        <v>8</v>
      </c>
      <c r="AA50" s="51">
        <v>0</v>
      </c>
      <c r="AB50" s="59">
        <v>0</v>
      </c>
      <c r="AC50" s="60">
        <f>$U$50*VLOOKUP($U$11,'PCU Values'!$B$9:$C$16,2,FALSE)</f>
        <v>54</v>
      </c>
      <c r="AD50" s="60">
        <f>$V$50*VLOOKUP($V$11,'PCU Values'!$B$9:$C$16,2,FALSE)</f>
        <v>15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1.6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70.599999999999994</v>
      </c>
      <c r="AL50" s="52">
        <f>SUM($U$50,$V$50,$W$50,$X$50,$Y$50,$Z$50,$AA$50,$AB$50)</f>
        <v>77</v>
      </c>
      <c r="AM50" s="73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2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0.4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0.4</v>
      </c>
      <c r="BD50" s="52">
        <f>SUM($AM$50,$AN$50,$AO$50,$AP$50,$AQ$50,$AR$50,$AS$50,$AT$50)</f>
        <v>2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56</v>
      </c>
      <c r="BZ50" s="84">
        <f>SUM($D$50,$V$50,$AN$50,$BF$50)</f>
        <v>15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10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56</v>
      </c>
      <c r="CH50" s="79">
        <f>$BZ$50*VLOOKUP($BZ$11,'PCU Values'!$B$9:$C$16,2,FALSE)</f>
        <v>15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2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73</v>
      </c>
      <c r="CP50" s="52">
        <f>SUM($BY$50,$BZ$50,$CA$50,$CB$50,$CC$50,$CD$50,$CE$50,$CF$50)</f>
        <v>81</v>
      </c>
      <c r="CQ50" s="90">
        <f>SUM('J1 A - (North) Bishopthorpe Roa'!$U$50,'J1 B - Butcher Terrace'!$C$50,'J1 C - (South) Bishopthorpe Roa'!$BE$50,'J1 D - South Bank Avenue'!$AM$50)</f>
        <v>34</v>
      </c>
      <c r="CR50" s="84">
        <f>SUM('J1 A - (North) Bishopthorpe Roa'!$V$50,'J1 B - Butcher Terrace'!$D$50,'J1 C - (South) Bishopthorpe Roa'!$BF$50,'J1 D - South Bank Avenue'!$AN$50)</f>
        <v>9</v>
      </c>
      <c r="CS50" s="84">
        <f>SUM('J1 A - (North) Bishopthorpe Roa'!$W$50,'J1 B - Butcher Terrace'!$E$50,'J1 C - (South) Bishopthorpe Roa'!$BG$50,'J1 D - South Bank Avenue'!$AO$50)</f>
        <v>2</v>
      </c>
      <c r="CT50" s="84">
        <f>SUM('J1 A - (North) Bishopthorpe Roa'!$X$50,'J1 B - Butcher Terrace'!$F$50,'J1 C - (South) Bishopthorpe Roa'!$BH$50,'J1 D - South Bank Avenue'!$AP$50)</f>
        <v>0</v>
      </c>
      <c r="CU50" s="84">
        <f>SUM('J1 A - (North) Bishopthorpe Roa'!$Y$50,'J1 B - Butcher Terrace'!$G$50,'J1 C - (South) Bishopthorpe Roa'!$BI$50,'J1 D - South Bank Avenue'!$AQ$50)</f>
        <v>1</v>
      </c>
      <c r="CV50" s="84">
        <f>SUM('J1 A - (North) Bishopthorpe Roa'!$Z$50,'J1 B - Butcher Terrace'!$H$50,'J1 C - (South) Bishopthorpe Roa'!$BJ$50,'J1 D - South Bank Avenue'!$AR$50)</f>
        <v>0</v>
      </c>
      <c r="CW50" s="84">
        <f>SUM('J1 A - (North) Bishopthorpe Roa'!$AA$50,'J1 B - Butcher Terrace'!$I$50,'J1 C - (South) Bishopthorpe Roa'!$BK$50,'J1 D - South Bank Avenue'!$AS$50)</f>
        <v>0</v>
      </c>
      <c r="CX50" s="87">
        <f>SUM('J1 A - (North) Bishopthorpe Roa'!$AB$50,'J1 B - Butcher Terrace'!$J$50,'J1 C - (South) Bishopthorpe Roa'!$BL$50,'J1 D - South Bank Avenue'!$AT$50)</f>
        <v>0</v>
      </c>
      <c r="CY50" s="79">
        <f>$CQ$50*VLOOKUP($CQ$11,'PCU Values'!$B$9:$C$16,2,FALSE)</f>
        <v>34</v>
      </c>
      <c r="CZ50" s="79">
        <f>$CR$50*VLOOKUP($CR$11,'PCU Values'!$B$9:$C$16,2,FALSE)</f>
        <v>9</v>
      </c>
      <c r="DA50" s="79">
        <f>$CS$50*VLOOKUP($CS$11,'PCU Values'!$B$9:$C$16,2,FALSE)</f>
        <v>3</v>
      </c>
      <c r="DB50" s="79">
        <f>$CT$50*VLOOKUP($CT$11,'PCU Values'!$B$9:$C$16,2,FALSE)</f>
        <v>0</v>
      </c>
      <c r="DC50" s="79">
        <f>$CU$50*VLOOKUP($CU$11,'PCU Values'!$B$9:$C$16,2,FALSE)</f>
        <v>2</v>
      </c>
      <c r="DD50" s="79">
        <f>$CV$50*VLOOKUP($CV$11,'PCU Values'!$B$9:$C$16,2,FALSE)</f>
        <v>0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48</v>
      </c>
      <c r="DH50" s="52">
        <f>SUM($CQ$50,$CR$50,$CS$50,$CT$50,$CU$50,$CV$50,$CW$50,$CX$50)</f>
        <v>46</v>
      </c>
    </row>
    <row r="51" spans="1:112">
      <c r="B51" s="52" t="s">
        <v>34</v>
      </c>
      <c r="C51" s="52">
        <f>SUM($C$47:$C$50)</f>
        <v>4</v>
      </c>
      <c r="D51" s="52">
        <f>SUM($D$47:$D$50)</f>
        <v>0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0</v>
      </c>
      <c r="I51" s="52">
        <f>SUM($I$47:$I$50)</f>
        <v>0</v>
      </c>
      <c r="J51" s="52">
        <f>SUM($J$47:$J$50)</f>
        <v>0</v>
      </c>
      <c r="K51" s="52">
        <f>SUM($K$47:$K$50)</f>
        <v>4</v>
      </c>
      <c r="L51" s="52">
        <f>SUM($L$47:$L$50)</f>
        <v>0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0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4</v>
      </c>
      <c r="T51" s="52">
        <f>SUM($C$51,$D$51,$E$51,$F$51,$G$51,$H$51,$I$51,$J$51)</f>
        <v>4</v>
      </c>
      <c r="U51" s="52">
        <f>SUM($U$47:$U$50)</f>
        <v>150</v>
      </c>
      <c r="V51" s="52">
        <f>SUM($V$47:$V$50)</f>
        <v>29</v>
      </c>
      <c r="W51" s="52">
        <f>SUM($W$47:$W$50)</f>
        <v>2</v>
      </c>
      <c r="X51" s="52">
        <f>SUM($X$47:$X$50)</f>
        <v>0</v>
      </c>
      <c r="Y51" s="52">
        <f>SUM($Y$47:$Y$50)</f>
        <v>2</v>
      </c>
      <c r="Z51" s="52">
        <f>SUM($Z$47:$Z$50)</f>
        <v>21</v>
      </c>
      <c r="AA51" s="52">
        <f>SUM($AA$47:$AA$50)</f>
        <v>2</v>
      </c>
      <c r="AB51" s="52">
        <f>SUM($AB$47:$AB$50)</f>
        <v>0</v>
      </c>
      <c r="AC51" s="52">
        <f>SUM($AC$47:$AC$50)</f>
        <v>150</v>
      </c>
      <c r="AD51" s="52">
        <f>SUM($AD$47:$AD$50)</f>
        <v>29</v>
      </c>
      <c r="AE51" s="52">
        <f>SUM($AE$47:$AE$50)</f>
        <v>3</v>
      </c>
      <c r="AF51" s="52">
        <f>SUM($AF$47:$AF$50)</f>
        <v>0</v>
      </c>
      <c r="AG51" s="52">
        <f>SUM($AG$47:$AG$50)</f>
        <v>4</v>
      </c>
      <c r="AH51" s="52">
        <f>SUM($AH$47:$AH$50)</f>
        <v>4</v>
      </c>
      <c r="AI51" s="52">
        <f>SUM($AI$47:$AI$50)</f>
        <v>1</v>
      </c>
      <c r="AJ51" s="52">
        <f>SUM($AJ$47:$AJ$50)</f>
        <v>0</v>
      </c>
      <c r="AK51" s="52">
        <f>SUM($AC$51,$AD$51,$AE$51,$AF$51,$AG$51,$AH$51,$AI$51,$AJ$51)</f>
        <v>191</v>
      </c>
      <c r="AL51" s="52">
        <f>SUM($U$51,$V$51,$W$51,$X$51,$Y$51,$Z$51,$AA$51,$AB$51)</f>
        <v>206</v>
      </c>
      <c r="AM51" s="52">
        <f>SUM($AM$47:$AM$50)</f>
        <v>2</v>
      </c>
      <c r="AN51" s="52">
        <f>SUM($AN$47:$AN$50)</f>
        <v>0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7</v>
      </c>
      <c r="AS51" s="52">
        <f>SUM($AS$47:$AS$50)</f>
        <v>1</v>
      </c>
      <c r="AT51" s="52">
        <f>SUM($AT$47:$AT$50)</f>
        <v>0</v>
      </c>
      <c r="AU51" s="52">
        <f>SUM($AU$47:$AU$50)</f>
        <v>2</v>
      </c>
      <c r="AV51" s="52">
        <f>SUM($AV$47:$AV$50)</f>
        <v>0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1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3</v>
      </c>
      <c r="BD51" s="52">
        <f>SUM($AM$51,$AN$51,$AO$51,$AP$51,$AQ$51,$AR$51,$AS$51,$AT$51)</f>
        <v>10</v>
      </c>
      <c r="BE51" s="52">
        <f>SUM($BE$47:$BE$50)</f>
        <v>1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1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1</v>
      </c>
      <c r="BV51" s="52">
        <f>SUM($BE$51,$BF$51,$BG$51,$BH$51,$BI$51,$BJ$51,$BK$51,$BL$51)</f>
        <v>1</v>
      </c>
      <c r="BX51" s="52" t="s">
        <v>34</v>
      </c>
      <c r="BY51" s="52">
        <f>SUM($BY$47:$BY$50)</f>
        <v>157</v>
      </c>
      <c r="BZ51" s="52">
        <f>SUM($BZ$47:$BZ$50)</f>
        <v>29</v>
      </c>
      <c r="CA51" s="52">
        <f>SUM($CA$47:$CA$50)</f>
        <v>2</v>
      </c>
      <c r="CB51" s="52">
        <f>SUM($CB$47:$CB$50)</f>
        <v>0</v>
      </c>
      <c r="CC51" s="52">
        <f>SUM($CC$47:$CC$50)</f>
        <v>2</v>
      </c>
      <c r="CD51" s="52">
        <f>SUM($CD$47:$CD$50)</f>
        <v>28</v>
      </c>
      <c r="CE51" s="52">
        <f>SUM($CE$47:$CE$50)</f>
        <v>3</v>
      </c>
      <c r="CF51" s="52">
        <f>SUM($CF$47:$CF$50)</f>
        <v>0</v>
      </c>
      <c r="CG51" s="52">
        <f>SUM($CG$47:$CG$50)</f>
        <v>157</v>
      </c>
      <c r="CH51" s="52">
        <f>SUM($CH$47:$CH$50)</f>
        <v>29</v>
      </c>
      <c r="CI51" s="52">
        <f>SUM($CI$47:$CI$50)</f>
        <v>3</v>
      </c>
      <c r="CJ51" s="52">
        <f>SUM($CJ$47:$CJ$50)</f>
        <v>0</v>
      </c>
      <c r="CK51" s="52">
        <f>SUM($CK$47:$CK$50)</f>
        <v>4</v>
      </c>
      <c r="CL51" s="52">
        <f>SUM($CL$47:$CL$50)</f>
        <v>6</v>
      </c>
      <c r="CM51" s="52">
        <f>SUM($CM$47:$CM$50)</f>
        <v>1</v>
      </c>
      <c r="CN51" s="52">
        <f>SUM($CN$47:$CN$50)</f>
        <v>0</v>
      </c>
      <c r="CO51" s="52">
        <f>SUM($CG$51,$CH$51,$CI$51,$CJ$51,$CK$51,$CL$51,$CM$51,$CN$51)</f>
        <v>200</v>
      </c>
      <c r="CP51" s="52">
        <f>SUM($BY$51,$BZ$51,$CA$51,$CB$51,$CC$51,$CD$51,$CE$51,$CF$51)</f>
        <v>221</v>
      </c>
      <c r="CQ51" s="52">
        <f>SUM($CQ$47:$CQ$50)</f>
        <v>112</v>
      </c>
      <c r="CR51" s="52">
        <f>SUM($CR$47:$CR$50)</f>
        <v>27</v>
      </c>
      <c r="CS51" s="52">
        <f>SUM($CS$47:$CS$50)</f>
        <v>7</v>
      </c>
      <c r="CT51" s="52">
        <f>SUM($CT$47:$CT$50)</f>
        <v>0</v>
      </c>
      <c r="CU51" s="52">
        <f>SUM($CU$47:$CU$50)</f>
        <v>2</v>
      </c>
      <c r="CV51" s="52">
        <f>SUM($CV$47:$CV$50)</f>
        <v>12</v>
      </c>
      <c r="CW51" s="52">
        <f>SUM($CW$47:$CW$50)</f>
        <v>0</v>
      </c>
      <c r="CX51" s="52">
        <f>SUM($CX$47:$CX$50)</f>
        <v>0</v>
      </c>
      <c r="CY51" s="52">
        <f>SUM($CY$47:$CY$50)</f>
        <v>112</v>
      </c>
      <c r="CZ51" s="52">
        <f>SUM($CZ$47:$CZ$50)</f>
        <v>27</v>
      </c>
      <c r="DA51" s="52">
        <f>SUM($DA$47:$DA$50)</f>
        <v>11</v>
      </c>
      <c r="DB51" s="52">
        <f>SUM($DB$47:$DB$50)</f>
        <v>0</v>
      </c>
      <c r="DC51" s="52">
        <f>SUM($DC$47:$DC$50)</f>
        <v>4</v>
      </c>
      <c r="DD51" s="52">
        <f>SUM($DD$47:$DD$50)</f>
        <v>2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156</v>
      </c>
      <c r="DH51" s="52">
        <f>SUM($CQ$51,$CR$51,$CS$51,$CT$51,$CU$51,$CV$51,$CW$51,$CX$51)</f>
        <v>160</v>
      </c>
    </row>
    <row r="52" spans="1:112" ht="21" customHeight="1">
      <c r="A52" s="46">
        <v>44395.333333333299</v>
      </c>
      <c r="B52" s="53" t="s">
        <v>63</v>
      </c>
      <c r="C52" s="54">
        <v>2</v>
      </c>
      <c r="D52" s="54">
        <v>1</v>
      </c>
      <c r="E52" s="54">
        <v>0</v>
      </c>
      <c r="F52" s="54">
        <v>0</v>
      </c>
      <c r="G52" s="54">
        <v>0</v>
      </c>
      <c r="H52" s="54">
        <v>0</v>
      </c>
      <c r="I52" s="54">
        <v>0</v>
      </c>
      <c r="J52" s="61">
        <v>0</v>
      </c>
      <c r="K52" s="62">
        <f>$C$52*VLOOKUP($C$11,'PCU Values'!$B$9:$C$16,2,FALSE)</f>
        <v>2</v>
      </c>
      <c r="L52" s="62">
        <f>$D$52*VLOOKUP($D$11,'PCU Values'!$B$9:$C$16,2,FALSE)</f>
        <v>1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3</v>
      </c>
      <c r="T52" s="52">
        <f>SUM($C$52,$D$52,$E$52,$F$52,$G$52,$H$52,$I$52,$J$52)</f>
        <v>3</v>
      </c>
      <c r="U52" s="74">
        <v>60</v>
      </c>
      <c r="V52" s="75">
        <v>9</v>
      </c>
      <c r="W52" s="54">
        <v>1</v>
      </c>
      <c r="X52" s="54">
        <v>0</v>
      </c>
      <c r="Y52" s="75">
        <v>1</v>
      </c>
      <c r="Z52" s="75">
        <v>3</v>
      </c>
      <c r="AA52" s="54">
        <v>0</v>
      </c>
      <c r="AB52" s="61">
        <v>0</v>
      </c>
      <c r="AC52" s="62">
        <f>$U$52*VLOOKUP($U$11,'PCU Values'!$B$9:$C$16,2,FALSE)</f>
        <v>60</v>
      </c>
      <c r="AD52" s="62">
        <f>$V$52*VLOOKUP($V$11,'PCU Values'!$B$9:$C$16,2,FALSE)</f>
        <v>9</v>
      </c>
      <c r="AE52" s="62">
        <f>$W$52*VLOOKUP($W$11,'PCU Values'!$B$9:$C$16,2,FALSE)</f>
        <v>1.5</v>
      </c>
      <c r="AF52" s="62">
        <f>$X$52*VLOOKUP($X$11,'PCU Values'!$B$9:$C$16,2,FALSE)</f>
        <v>0</v>
      </c>
      <c r="AG52" s="62">
        <f>$Y$52*VLOOKUP($Y$11,'PCU Values'!$B$9:$C$16,2,FALSE)</f>
        <v>2</v>
      </c>
      <c r="AH52" s="62">
        <f>$Z$52*VLOOKUP($Z$11,'PCU Values'!$B$9:$C$16,2,FALSE)</f>
        <v>0.6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73.099999999999994</v>
      </c>
      <c r="AL52" s="52">
        <f>SUM($U$52,$V$52,$W$52,$X$52,$Y$52,$Z$52,$AA$52,$AB$52)</f>
        <v>74</v>
      </c>
      <c r="AM52" s="72">
        <v>2</v>
      </c>
      <c r="AN52" s="54">
        <v>1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2</v>
      </c>
      <c r="AV52" s="62">
        <f>$AN$52*VLOOKUP($AN$11,'PCU Values'!$B$9:$C$16,2,FALSE)</f>
        <v>1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3</v>
      </c>
      <c r="BD52" s="52">
        <f>SUM($AM$52,$AN$52,$AO$52,$AP$52,$AQ$52,$AR$52,$AS$52,$AT$52)</f>
        <v>3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64</v>
      </c>
      <c r="BZ52" s="85">
        <f>SUM($D$52,$V$52,$AN$52,$BF$52)</f>
        <v>11</v>
      </c>
      <c r="CA52" s="85">
        <f>SUM($E$52,$W$52,$AO$52,$BG$52)</f>
        <v>1</v>
      </c>
      <c r="CB52" s="85">
        <f>SUM($F$52,$X$52,$AP$52,$BH$52)</f>
        <v>0</v>
      </c>
      <c r="CC52" s="85">
        <f>SUM($G$52,$Y$52,$AQ$52,$BI$52)</f>
        <v>1</v>
      </c>
      <c r="CD52" s="85">
        <f>SUM($H$52,$Z$52,$AR$52,$BJ$52)</f>
        <v>3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64</v>
      </c>
      <c r="CH52" s="81">
        <f>$BZ$52*VLOOKUP($BZ$11,'PCU Values'!$B$9:$C$16,2,FALSE)</f>
        <v>11</v>
      </c>
      <c r="CI52" s="81">
        <f>$CA$52*VLOOKUP($CA$11,'PCU Values'!$B$9:$C$16,2,FALSE)</f>
        <v>1.5</v>
      </c>
      <c r="CJ52" s="81">
        <f>$CB$52*VLOOKUP($CB$11,'PCU Values'!$B$9:$C$16,2,FALSE)</f>
        <v>0</v>
      </c>
      <c r="CK52" s="81">
        <f>$CC$52*VLOOKUP($CC$11,'PCU Values'!$B$9:$C$16,2,FALSE)</f>
        <v>2</v>
      </c>
      <c r="CL52" s="81">
        <f>$CD$52*VLOOKUP($CD$11,'PCU Values'!$B$9:$C$16,2,FALSE)</f>
        <v>0.6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79.099999999999994</v>
      </c>
      <c r="CP52" s="52">
        <f>SUM($BY$52,$BZ$52,$CA$52,$CB$52,$CC$52,$CD$52,$CE$52,$CF$52)</f>
        <v>80</v>
      </c>
      <c r="CQ52" s="91">
        <f>SUM('J1 A - (North) Bishopthorpe Roa'!$U$52,'J1 B - Butcher Terrace'!$C$52,'J1 C - (South) Bishopthorpe Roa'!$BE$52,'J1 D - South Bank Avenue'!$AM$52)</f>
        <v>43</v>
      </c>
      <c r="CR52" s="85">
        <f>SUM('J1 A - (North) Bishopthorpe Roa'!$V$52,'J1 B - Butcher Terrace'!$D$52,'J1 C - (South) Bishopthorpe Roa'!$BF$52,'J1 D - South Bank Avenue'!$AN$52)</f>
        <v>9</v>
      </c>
      <c r="CS52" s="85">
        <f>SUM('J1 A - (North) Bishopthorpe Roa'!$W$52,'J1 B - Butcher Terrace'!$E$52,'J1 C - (South) Bishopthorpe Roa'!$BG$52,'J1 D - South Bank Avenue'!$AO$52)</f>
        <v>1</v>
      </c>
      <c r="CT52" s="85">
        <f>SUM('J1 A - (North) Bishopthorpe Roa'!$X$52,'J1 B - Butcher Terrace'!$F$52,'J1 C - (South) Bishopthorpe Roa'!$BH$52,'J1 D - South Bank Avenue'!$AP$52)</f>
        <v>0</v>
      </c>
      <c r="CU52" s="85">
        <f>SUM('J1 A - (North) Bishopthorpe Roa'!$Y$52,'J1 B - Butcher Terrace'!$G$52,'J1 C - (South) Bishopthorpe Roa'!$BI$52,'J1 D - South Bank Avenue'!$AQ$52)</f>
        <v>1</v>
      </c>
      <c r="CV52" s="85">
        <f>SUM('J1 A - (North) Bishopthorpe Roa'!$Z$52,'J1 B - Butcher Terrace'!$H$52,'J1 C - (South) Bishopthorpe Roa'!$BJ$52,'J1 D - South Bank Avenue'!$AR$52)</f>
        <v>2</v>
      </c>
      <c r="CW52" s="85">
        <f>SUM('J1 A - (North) Bishopthorpe Roa'!$AA$52,'J1 B - Butcher Terrace'!$I$52,'J1 C - (South) Bishopthorpe Roa'!$BK$52,'J1 D - South Bank Avenue'!$AS$52)</f>
        <v>0</v>
      </c>
      <c r="CX52" s="88">
        <f>SUM('J1 A - (North) Bishopthorpe Roa'!$AB$52,'J1 B - Butcher Terrace'!$J$52,'J1 C - (South) Bishopthorpe Roa'!$BL$52,'J1 D - South Bank Avenue'!$AT$52)</f>
        <v>0</v>
      </c>
      <c r="CY52" s="81">
        <f>$CQ$52*VLOOKUP($CQ$11,'PCU Values'!$B$9:$C$16,2,FALSE)</f>
        <v>43</v>
      </c>
      <c r="CZ52" s="81">
        <f>$CR$52*VLOOKUP($CR$11,'PCU Values'!$B$9:$C$16,2,FALSE)</f>
        <v>9</v>
      </c>
      <c r="DA52" s="81">
        <f>$CS$52*VLOOKUP($CS$11,'PCU Values'!$B$9:$C$16,2,FALSE)</f>
        <v>1.5</v>
      </c>
      <c r="DB52" s="81">
        <f>$CT$52*VLOOKUP($CT$11,'PCU Values'!$B$9:$C$16,2,FALSE)</f>
        <v>0</v>
      </c>
      <c r="DC52" s="81">
        <f>$CU$52*VLOOKUP($CU$11,'PCU Values'!$B$9:$C$16,2,FALSE)</f>
        <v>2</v>
      </c>
      <c r="DD52" s="81">
        <f>$CV$52*VLOOKUP($CV$11,'PCU Values'!$B$9:$C$16,2,FALSE)</f>
        <v>0.4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55.9</v>
      </c>
      <c r="DH52" s="52">
        <f>SUM($CQ$52,$CR$52,$CS$52,$CT$52,$CU$52,$CV$52,$CW$52,$CX$52)</f>
        <v>56</v>
      </c>
    </row>
    <row r="53" spans="1:112" ht="21" customHeight="1">
      <c r="A53" s="46">
        <v>44395.34375</v>
      </c>
      <c r="B53" s="47" t="s">
        <v>64</v>
      </c>
      <c r="C53" s="48">
        <v>5</v>
      </c>
      <c r="D53" s="48">
        <v>2</v>
      </c>
      <c r="E53" s="48">
        <v>0</v>
      </c>
      <c r="F53" s="48">
        <v>0</v>
      </c>
      <c r="G53" s="48">
        <v>0</v>
      </c>
      <c r="H53" s="48">
        <v>1</v>
      </c>
      <c r="I53" s="48">
        <v>0</v>
      </c>
      <c r="J53" s="56">
        <v>0</v>
      </c>
      <c r="K53" s="57">
        <f>$C$53*VLOOKUP($C$11,'PCU Values'!$B$9:$C$16,2,FALSE)</f>
        <v>5</v>
      </c>
      <c r="L53" s="57">
        <f>$D$53*VLOOKUP($D$11,'PCU Values'!$B$9:$C$16,2,FALSE)</f>
        <v>2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0.2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7.2</v>
      </c>
      <c r="T53" s="52">
        <f>SUM($C$53,$D$53,$E$53,$F$53,$G$53,$H$53,$I$53,$J$53)</f>
        <v>8</v>
      </c>
      <c r="U53" s="67">
        <v>75</v>
      </c>
      <c r="V53" s="49">
        <v>6</v>
      </c>
      <c r="W53" s="48">
        <v>0</v>
      </c>
      <c r="X53" s="48">
        <v>0</v>
      </c>
      <c r="Y53" s="49">
        <v>1</v>
      </c>
      <c r="Z53" s="49">
        <v>6</v>
      </c>
      <c r="AA53" s="48">
        <v>1</v>
      </c>
      <c r="AB53" s="56">
        <v>0</v>
      </c>
      <c r="AC53" s="57">
        <f>$U$53*VLOOKUP($U$11,'PCU Values'!$B$9:$C$16,2,FALSE)</f>
        <v>75</v>
      </c>
      <c r="AD53" s="57">
        <f>$V$53*VLOOKUP($V$11,'PCU Values'!$B$9:$C$16,2,FALSE)</f>
        <v>6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2</v>
      </c>
      <c r="AH53" s="57">
        <f>$Z$53*VLOOKUP($Z$11,'PCU Values'!$B$9:$C$16,2,FALSE)</f>
        <v>1.2</v>
      </c>
      <c r="AI53" s="57">
        <f>$AA$53*VLOOKUP($AA$11,'PCU Values'!$B$9:$C$16,2,FALSE)</f>
        <v>0.4</v>
      </c>
      <c r="AJ53" s="65">
        <f>$AB$53*VLOOKUP($AB$11,'PCU Values'!$B$9:$C$16,2,FALSE)</f>
        <v>0</v>
      </c>
      <c r="AK53" s="66">
        <f>SUM($AC$53,$AD$53,$AE$53,$AF$53,$AG$53,$AH$53,$AI$53,$AJ$53)</f>
        <v>84.6</v>
      </c>
      <c r="AL53" s="52">
        <f>SUM($U$53,$V$53,$W$53,$X$53,$Y$53,$Z$53,$AA$53,$AB$53)</f>
        <v>89</v>
      </c>
      <c r="AM53" s="67">
        <v>2</v>
      </c>
      <c r="AN53" s="48">
        <v>0</v>
      </c>
      <c r="AO53" s="48">
        <v>0</v>
      </c>
      <c r="AP53" s="48">
        <v>0</v>
      </c>
      <c r="AQ53" s="48">
        <v>0</v>
      </c>
      <c r="AR53" s="48">
        <v>2</v>
      </c>
      <c r="AS53" s="48">
        <v>0</v>
      </c>
      <c r="AT53" s="56">
        <v>0</v>
      </c>
      <c r="AU53" s="57">
        <f>$AM$53*VLOOKUP($AM$11,'PCU Values'!$B$9:$C$16,2,FALSE)</f>
        <v>2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0.4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2.4</v>
      </c>
      <c r="BD53" s="52">
        <f>SUM($AM$53,$AN$53,$AO$53,$AP$53,$AQ$53,$AR$53,$AS$53,$AT$53)</f>
        <v>4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82</v>
      </c>
      <c r="BZ53" s="83">
        <f>SUM($D$53,$V$53,$AN$53,$BF$53)</f>
        <v>8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1</v>
      </c>
      <c r="CD53" s="83">
        <f>SUM($H$53,$Z$53,$AR$53,$BJ$53)</f>
        <v>9</v>
      </c>
      <c r="CE53" s="83">
        <f>SUM($I$53,$AA$53,$AS$53,$BK$53)</f>
        <v>1</v>
      </c>
      <c r="CF53" s="86">
        <f>SUM($J$53,$AB$53,$AT$53,$BL$53)</f>
        <v>0</v>
      </c>
      <c r="CG53" s="77">
        <f>$BY$53*VLOOKUP($BY$11,'PCU Values'!$B$9:$C$16,2,FALSE)</f>
        <v>82</v>
      </c>
      <c r="CH53" s="77">
        <f>$BZ$53*VLOOKUP($BZ$11,'PCU Values'!$B$9:$C$16,2,FALSE)</f>
        <v>8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2</v>
      </c>
      <c r="CL53" s="77">
        <f>$CD$53*VLOOKUP($CD$11,'PCU Values'!$B$9:$C$16,2,FALSE)</f>
        <v>1.8</v>
      </c>
      <c r="CM53" s="77">
        <f>$CE$53*VLOOKUP($CE$11,'PCU Values'!$B$9:$C$16,2,FALSE)</f>
        <v>0.4</v>
      </c>
      <c r="CN53" s="78">
        <f>$CF$53*VLOOKUP($CF$11,'PCU Values'!$B$9:$C$16,2,FALSE)</f>
        <v>0</v>
      </c>
      <c r="CO53" s="66">
        <f>SUM($CG$53,$CH$53,$CI$53,$CJ$53,$CK$53,$CL$53,$CM$53,$CN$53)</f>
        <v>94.2</v>
      </c>
      <c r="CP53" s="52">
        <f>SUM($BY$53,$BZ$53,$CA$53,$CB$53,$CC$53,$CD$53,$CE$53,$CF$53)</f>
        <v>101</v>
      </c>
      <c r="CQ53" s="89">
        <f>SUM('J1 A - (North) Bishopthorpe Roa'!$U$53,'J1 B - Butcher Terrace'!$C$53,'J1 C - (South) Bishopthorpe Roa'!$BE$53,'J1 D - South Bank Avenue'!$AM$53)</f>
        <v>41</v>
      </c>
      <c r="CR53" s="83">
        <f>SUM('J1 A - (North) Bishopthorpe Roa'!$V$53,'J1 B - Butcher Terrace'!$D$53,'J1 C - (South) Bishopthorpe Roa'!$BF$53,'J1 D - South Bank Avenue'!$AN$53)</f>
        <v>5</v>
      </c>
      <c r="CS53" s="83">
        <f>SUM('J1 A - (North) Bishopthorpe Roa'!$W$53,'J1 B - Butcher Terrace'!$E$53,'J1 C - (South) Bishopthorpe Roa'!$BG$53,'J1 D - South Bank Avenue'!$AO$53)</f>
        <v>2</v>
      </c>
      <c r="CT53" s="83">
        <f>SUM('J1 A - (North) Bishopthorpe Roa'!$X$53,'J1 B - Butcher Terrace'!$F$53,'J1 C - (South) Bishopthorpe Roa'!$BH$53,'J1 D - South Bank Avenue'!$AP$53)</f>
        <v>0</v>
      </c>
      <c r="CU53" s="83">
        <f>SUM('J1 A - (North) Bishopthorpe Roa'!$Y$53,'J1 B - Butcher Terrace'!$G$53,'J1 C - (South) Bishopthorpe Roa'!$BI$53,'J1 D - South Bank Avenue'!$AQ$53)</f>
        <v>0</v>
      </c>
      <c r="CV53" s="83">
        <f>SUM('J1 A - (North) Bishopthorpe Roa'!$Z$53,'J1 B - Butcher Terrace'!$H$53,'J1 C - (South) Bishopthorpe Roa'!$BJ$53,'J1 D - South Bank Avenue'!$AR$53)</f>
        <v>4</v>
      </c>
      <c r="CW53" s="83">
        <f>SUM('J1 A - (North) Bishopthorpe Roa'!$AA$53,'J1 B - Butcher Terrace'!$I$53,'J1 C - (South) Bishopthorpe Roa'!$BK$53,'J1 D - South Bank Avenue'!$AS$53)</f>
        <v>0</v>
      </c>
      <c r="CX53" s="86">
        <f>SUM('J1 A - (North) Bishopthorpe Roa'!$AB$53,'J1 B - Butcher Terrace'!$J$53,'J1 C - (South) Bishopthorpe Roa'!$BL$53,'J1 D - South Bank Avenue'!$AT$53)</f>
        <v>0</v>
      </c>
      <c r="CY53" s="77">
        <f>$CQ$53*VLOOKUP($CQ$11,'PCU Values'!$B$9:$C$16,2,FALSE)</f>
        <v>41</v>
      </c>
      <c r="CZ53" s="77">
        <f>$CR$53*VLOOKUP($CR$11,'PCU Values'!$B$9:$C$16,2,FALSE)</f>
        <v>5</v>
      </c>
      <c r="DA53" s="77">
        <f>$CS$53*VLOOKUP($CS$11,'PCU Values'!$B$9:$C$16,2,FALSE)</f>
        <v>3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0.8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49.8</v>
      </c>
      <c r="DH53" s="52">
        <f>SUM($CQ$53,$CR$53,$CS$53,$CT$53,$CU$53,$CV$53,$CW$53,$CX$53)</f>
        <v>52</v>
      </c>
    </row>
    <row r="54" spans="1:112" ht="21" customHeight="1">
      <c r="A54" s="46">
        <v>44395.354166666701</v>
      </c>
      <c r="B54" s="47" t="s">
        <v>65</v>
      </c>
      <c r="C54" s="48">
        <v>4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4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4</v>
      </c>
      <c r="T54" s="52">
        <f>SUM($C$54,$D$54,$E$54,$F$54,$G$54,$H$54,$I$54,$J$54)</f>
        <v>4</v>
      </c>
      <c r="U54" s="67">
        <v>67</v>
      </c>
      <c r="V54" s="48">
        <v>10</v>
      </c>
      <c r="W54" s="48">
        <v>2</v>
      </c>
      <c r="X54" s="48">
        <v>0</v>
      </c>
      <c r="Y54" s="48">
        <v>2</v>
      </c>
      <c r="Z54" s="48">
        <v>4</v>
      </c>
      <c r="AA54" s="48">
        <v>0</v>
      </c>
      <c r="AB54" s="56">
        <v>0</v>
      </c>
      <c r="AC54" s="57">
        <f>$U$54*VLOOKUP($U$11,'PCU Values'!$B$9:$C$16,2,FALSE)</f>
        <v>67</v>
      </c>
      <c r="AD54" s="57">
        <f>$V$54*VLOOKUP($V$11,'PCU Values'!$B$9:$C$16,2,FALSE)</f>
        <v>10</v>
      </c>
      <c r="AE54" s="57">
        <f>$W$54*VLOOKUP($W$11,'PCU Values'!$B$9:$C$16,2,FALSE)</f>
        <v>3</v>
      </c>
      <c r="AF54" s="57">
        <f>$X$54*VLOOKUP($X$11,'PCU Values'!$B$9:$C$16,2,FALSE)</f>
        <v>0</v>
      </c>
      <c r="AG54" s="57">
        <f>$Y$54*VLOOKUP($Y$11,'PCU Values'!$B$9:$C$16,2,FALSE)</f>
        <v>4</v>
      </c>
      <c r="AH54" s="57">
        <f>$Z$54*VLOOKUP($Z$11,'PCU Values'!$B$9:$C$16,2,FALSE)</f>
        <v>0.8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84.8</v>
      </c>
      <c r="AL54" s="52">
        <f>SUM($U$54,$V$54,$W$54,$X$54,$Y$54,$Z$54,$AA$54,$AB$54)</f>
        <v>85</v>
      </c>
      <c r="AM54" s="76">
        <v>2</v>
      </c>
      <c r="AN54" s="49">
        <v>0</v>
      </c>
      <c r="AO54" s="48">
        <v>0</v>
      </c>
      <c r="AP54" s="48">
        <v>0</v>
      </c>
      <c r="AQ54" s="48">
        <v>0</v>
      </c>
      <c r="AR54" s="48">
        <v>2</v>
      </c>
      <c r="AS54" s="48">
        <v>0</v>
      </c>
      <c r="AT54" s="56">
        <v>0</v>
      </c>
      <c r="AU54" s="57">
        <f>$AM$54*VLOOKUP($AM$11,'PCU Values'!$B$9:$C$16,2,FALSE)</f>
        <v>2</v>
      </c>
      <c r="AV54" s="57">
        <f>$AN$54*VLOOKUP($AN$11,'PCU Values'!$B$9:$C$16,2,FALSE)</f>
        <v>0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0.4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2.4</v>
      </c>
      <c r="BD54" s="52">
        <f>SUM($AM$54,$AN$54,$AO$54,$AP$54,$AQ$54,$AR$54,$AS$54,$AT$54)</f>
        <v>4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73</v>
      </c>
      <c r="BZ54" s="83">
        <f>SUM($D$54,$V$54,$AN$54,$BF$54)</f>
        <v>10</v>
      </c>
      <c r="CA54" s="83">
        <f>SUM($E$54,$W$54,$AO$54,$BG$54)</f>
        <v>2</v>
      </c>
      <c r="CB54" s="83">
        <f>SUM($F$54,$X$54,$AP$54,$BH$54)</f>
        <v>0</v>
      </c>
      <c r="CC54" s="83">
        <f>SUM($G$54,$Y$54,$AQ$54,$BI$54)</f>
        <v>2</v>
      </c>
      <c r="CD54" s="83">
        <f>SUM($H$54,$Z$54,$AR$54,$BJ$54)</f>
        <v>6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73</v>
      </c>
      <c r="CH54" s="77">
        <f>$BZ$54*VLOOKUP($BZ$11,'PCU Values'!$B$9:$C$16,2,FALSE)</f>
        <v>10</v>
      </c>
      <c r="CI54" s="77">
        <f>$CA$54*VLOOKUP($CA$11,'PCU Values'!$B$9:$C$16,2,FALSE)</f>
        <v>3</v>
      </c>
      <c r="CJ54" s="77">
        <f>$CB$54*VLOOKUP($CB$11,'PCU Values'!$B$9:$C$16,2,FALSE)</f>
        <v>0</v>
      </c>
      <c r="CK54" s="77">
        <f>$CC$54*VLOOKUP($CC$11,'PCU Values'!$B$9:$C$16,2,FALSE)</f>
        <v>4</v>
      </c>
      <c r="CL54" s="77">
        <f>$CD$54*VLOOKUP($CD$11,'PCU Values'!$B$9:$C$16,2,FALSE)</f>
        <v>1.2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91.2</v>
      </c>
      <c r="CP54" s="52">
        <f>SUM($BY$54,$BZ$54,$CA$54,$CB$54,$CC$54,$CD$54,$CE$54,$CF$54)</f>
        <v>93</v>
      </c>
      <c r="CQ54" s="89">
        <f>SUM('J1 A - (North) Bishopthorpe Roa'!$U$54,'J1 B - Butcher Terrace'!$C$54,'J1 C - (South) Bishopthorpe Roa'!$BE$54,'J1 D - South Bank Avenue'!$AM$54)</f>
        <v>53</v>
      </c>
      <c r="CR54" s="83">
        <f>SUM('J1 A - (North) Bishopthorpe Roa'!$V$54,'J1 B - Butcher Terrace'!$D$54,'J1 C - (South) Bishopthorpe Roa'!$BF$54,'J1 D - South Bank Avenue'!$AN$54)</f>
        <v>9</v>
      </c>
      <c r="CS54" s="83">
        <f>SUM('J1 A - (North) Bishopthorpe Roa'!$W$54,'J1 B - Butcher Terrace'!$E$54,'J1 C - (South) Bishopthorpe Roa'!$BG$54,'J1 D - South Bank Avenue'!$AO$54)</f>
        <v>1</v>
      </c>
      <c r="CT54" s="83">
        <f>SUM('J1 A - (North) Bishopthorpe Roa'!$X$54,'J1 B - Butcher Terrace'!$F$54,'J1 C - (South) Bishopthorpe Roa'!$BH$54,'J1 D - South Bank Avenue'!$AP$54)</f>
        <v>0</v>
      </c>
      <c r="CU54" s="83">
        <f>SUM('J1 A - (North) Bishopthorpe Roa'!$Y$54,'J1 B - Butcher Terrace'!$G$54,'J1 C - (South) Bishopthorpe Roa'!$BI$54,'J1 D - South Bank Avenue'!$AQ$54)</f>
        <v>2</v>
      </c>
      <c r="CV54" s="83">
        <f>SUM('J1 A - (North) Bishopthorpe Roa'!$Z$54,'J1 B - Butcher Terrace'!$H$54,'J1 C - (South) Bishopthorpe Roa'!$BJ$54,'J1 D - South Bank Avenue'!$AR$54)</f>
        <v>1</v>
      </c>
      <c r="CW54" s="83">
        <f>SUM('J1 A - (North) Bishopthorpe Roa'!$AA$54,'J1 B - Butcher Terrace'!$I$54,'J1 C - (South) Bishopthorpe Roa'!$BK$54,'J1 D - South Bank Avenue'!$AS$54)</f>
        <v>1</v>
      </c>
      <c r="CX54" s="86">
        <f>SUM('J1 A - (North) Bishopthorpe Roa'!$AB$54,'J1 B - Butcher Terrace'!$J$54,'J1 C - (South) Bishopthorpe Roa'!$BL$54,'J1 D - South Bank Avenue'!$AT$54)</f>
        <v>2</v>
      </c>
      <c r="CY54" s="77">
        <f>$CQ$54*VLOOKUP($CQ$11,'PCU Values'!$B$9:$C$16,2,FALSE)</f>
        <v>53</v>
      </c>
      <c r="CZ54" s="77">
        <f>$CR$54*VLOOKUP($CR$11,'PCU Values'!$B$9:$C$16,2,FALSE)</f>
        <v>9</v>
      </c>
      <c r="DA54" s="77">
        <f>$CS$54*VLOOKUP($CS$11,'PCU Values'!$B$9:$C$16,2,FALSE)</f>
        <v>1.5</v>
      </c>
      <c r="DB54" s="77">
        <f>$CT$54*VLOOKUP($CT$11,'PCU Values'!$B$9:$C$16,2,FALSE)</f>
        <v>0</v>
      </c>
      <c r="DC54" s="77">
        <f>$CU$54*VLOOKUP($CU$11,'PCU Values'!$B$9:$C$16,2,FALSE)</f>
        <v>4</v>
      </c>
      <c r="DD54" s="77">
        <f>$CV$54*VLOOKUP($CV$11,'PCU Values'!$B$9:$C$16,2,FALSE)</f>
        <v>0.2</v>
      </c>
      <c r="DE54" s="77">
        <f>$CW$54*VLOOKUP($CW$11,'PCU Values'!$B$9:$C$16,2,FALSE)</f>
        <v>0.4</v>
      </c>
      <c r="DF54" s="78">
        <f>$CX$54*VLOOKUP($CX$11,'PCU Values'!$B$9:$C$16,2,FALSE)</f>
        <v>3</v>
      </c>
      <c r="DG54" s="66">
        <f>SUM($CY$54,$CZ$54,$DA$54,$DB$54,$DC$54,$DD$54,$DE$54,$DF$54)</f>
        <v>71.099999999999994</v>
      </c>
      <c r="DH54" s="52">
        <f>SUM($CQ$54,$CR$54,$CS$54,$CT$54,$CU$54,$CV$54,$CW$54,$CX$54)</f>
        <v>69</v>
      </c>
    </row>
    <row r="55" spans="1:112" ht="21" customHeight="1">
      <c r="A55" s="46">
        <v>44395.364583333299</v>
      </c>
      <c r="B55" s="50" t="s">
        <v>66</v>
      </c>
      <c r="C55" s="55">
        <v>2</v>
      </c>
      <c r="D55" s="55">
        <v>2</v>
      </c>
      <c r="E55" s="51">
        <v>0</v>
      </c>
      <c r="F55" s="51">
        <v>0</v>
      </c>
      <c r="G55" s="51">
        <v>0</v>
      </c>
      <c r="H55" s="55">
        <v>0</v>
      </c>
      <c r="I55" s="51">
        <v>0</v>
      </c>
      <c r="J55" s="59">
        <v>0</v>
      </c>
      <c r="K55" s="60">
        <f>$C$55*VLOOKUP($C$11,'PCU Values'!$B$9:$C$16,2,FALSE)</f>
        <v>2</v>
      </c>
      <c r="L55" s="60">
        <f>$D$55*VLOOKUP($D$11,'PCU Values'!$B$9:$C$16,2,FALSE)</f>
        <v>2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4</v>
      </c>
      <c r="T55" s="52">
        <f>SUM($C$55,$D$55,$E$55,$F$55,$G$55,$H$55,$I$55,$J$55)</f>
        <v>4</v>
      </c>
      <c r="U55" s="73">
        <v>59</v>
      </c>
      <c r="V55" s="51">
        <v>13</v>
      </c>
      <c r="W55" s="51">
        <v>1</v>
      </c>
      <c r="X55" s="51">
        <v>0</v>
      </c>
      <c r="Y55" s="51">
        <v>1</v>
      </c>
      <c r="Z55" s="51">
        <v>4</v>
      </c>
      <c r="AA55" s="51">
        <v>0</v>
      </c>
      <c r="AB55" s="59">
        <v>0</v>
      </c>
      <c r="AC55" s="60">
        <f>$U$55*VLOOKUP($U$11,'PCU Values'!$B$9:$C$16,2,FALSE)</f>
        <v>59</v>
      </c>
      <c r="AD55" s="60">
        <f>$V$55*VLOOKUP($V$11,'PCU Values'!$B$9:$C$16,2,FALSE)</f>
        <v>13</v>
      </c>
      <c r="AE55" s="60">
        <f>$W$55*VLOOKUP($W$11,'PCU Values'!$B$9:$C$16,2,FALSE)</f>
        <v>1.5</v>
      </c>
      <c r="AF55" s="60">
        <f>$X$55*VLOOKUP($X$11,'PCU Values'!$B$9:$C$16,2,FALSE)</f>
        <v>0</v>
      </c>
      <c r="AG55" s="60">
        <f>$Y$55*VLOOKUP($Y$11,'PCU Values'!$B$9:$C$16,2,FALSE)</f>
        <v>2</v>
      </c>
      <c r="AH55" s="60">
        <f>$Z$55*VLOOKUP($Z$11,'PCU Values'!$B$9:$C$16,2,FALSE)</f>
        <v>0.8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76.3</v>
      </c>
      <c r="AL55" s="52">
        <f>SUM($U$55,$V$55,$W$55,$X$55,$Y$55,$Z$55,$AA$55,$AB$55)</f>
        <v>78</v>
      </c>
      <c r="AM55" s="73">
        <v>0</v>
      </c>
      <c r="AN55" s="51">
        <v>0</v>
      </c>
      <c r="AO55" s="51">
        <v>0</v>
      </c>
      <c r="AP55" s="51">
        <v>0</v>
      </c>
      <c r="AQ55" s="51">
        <v>0</v>
      </c>
      <c r="AR55" s="51">
        <v>4</v>
      </c>
      <c r="AS55" s="51">
        <v>0</v>
      </c>
      <c r="AT55" s="59">
        <v>0</v>
      </c>
      <c r="AU55" s="60">
        <f>$AM$55*VLOOKUP($AM$11,'PCU Values'!$B$9:$C$16,2,FALSE)</f>
        <v>0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0.8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0.8</v>
      </c>
      <c r="BD55" s="52">
        <f>SUM($AM$55,$AN$55,$AO$55,$AP$55,$AQ$55,$AR$55,$AS$55,$AT$55)</f>
        <v>4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61</v>
      </c>
      <c r="BZ55" s="84">
        <f>SUM($D$55,$V$55,$AN$55,$BF$55)</f>
        <v>15</v>
      </c>
      <c r="CA55" s="84">
        <f>SUM($E$55,$W$55,$AO$55,$BG$55)</f>
        <v>1</v>
      </c>
      <c r="CB55" s="84">
        <f>SUM($F$55,$X$55,$AP$55,$BH$55)</f>
        <v>0</v>
      </c>
      <c r="CC55" s="84">
        <f>SUM($G$55,$Y$55,$AQ$55,$BI$55)</f>
        <v>1</v>
      </c>
      <c r="CD55" s="84">
        <f>SUM($H$55,$Z$55,$AR$55,$BJ$55)</f>
        <v>8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61</v>
      </c>
      <c r="CH55" s="79">
        <f>$BZ$55*VLOOKUP($BZ$11,'PCU Values'!$B$9:$C$16,2,FALSE)</f>
        <v>15</v>
      </c>
      <c r="CI55" s="79">
        <f>$CA$55*VLOOKUP($CA$11,'PCU Values'!$B$9:$C$16,2,FALSE)</f>
        <v>1.5</v>
      </c>
      <c r="CJ55" s="79">
        <f>$CB$55*VLOOKUP($CB$11,'PCU Values'!$B$9:$C$16,2,FALSE)</f>
        <v>0</v>
      </c>
      <c r="CK55" s="79">
        <f>$CC$55*VLOOKUP($CC$11,'PCU Values'!$B$9:$C$16,2,FALSE)</f>
        <v>2</v>
      </c>
      <c r="CL55" s="79">
        <f>$CD$55*VLOOKUP($CD$11,'PCU Values'!$B$9:$C$16,2,FALSE)</f>
        <v>1.6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81.099999999999994</v>
      </c>
      <c r="CP55" s="52">
        <f>SUM($BY$55,$BZ$55,$CA$55,$CB$55,$CC$55,$CD$55,$CE$55,$CF$55)</f>
        <v>86</v>
      </c>
      <c r="CQ55" s="90">
        <f>SUM('J1 A - (North) Bishopthorpe Roa'!$U$55,'J1 B - Butcher Terrace'!$C$55,'J1 C - (South) Bishopthorpe Roa'!$BE$55,'J1 D - South Bank Avenue'!$AM$55)</f>
        <v>50</v>
      </c>
      <c r="CR55" s="84">
        <f>SUM('J1 A - (North) Bishopthorpe Roa'!$V$55,'J1 B - Butcher Terrace'!$D$55,'J1 C - (South) Bishopthorpe Roa'!$BF$55,'J1 D - South Bank Avenue'!$AN$55)</f>
        <v>13</v>
      </c>
      <c r="CS55" s="84">
        <f>SUM('J1 A - (North) Bishopthorpe Roa'!$W$55,'J1 B - Butcher Terrace'!$E$55,'J1 C - (South) Bishopthorpe Roa'!$BG$55,'J1 D - South Bank Avenue'!$AO$55)</f>
        <v>1</v>
      </c>
      <c r="CT55" s="84">
        <f>SUM('J1 A - (North) Bishopthorpe Roa'!$X$55,'J1 B - Butcher Terrace'!$F$55,'J1 C - (South) Bishopthorpe Roa'!$BH$55,'J1 D - South Bank Avenue'!$AP$55)</f>
        <v>0</v>
      </c>
      <c r="CU55" s="84">
        <f>SUM('J1 A - (North) Bishopthorpe Roa'!$Y$55,'J1 B - Butcher Terrace'!$G$55,'J1 C - (South) Bishopthorpe Roa'!$BI$55,'J1 D - South Bank Avenue'!$AQ$55)</f>
        <v>0</v>
      </c>
      <c r="CV55" s="84">
        <f>SUM('J1 A - (North) Bishopthorpe Roa'!$Z$55,'J1 B - Butcher Terrace'!$H$55,'J1 C - (South) Bishopthorpe Roa'!$BJ$55,'J1 D - South Bank Avenue'!$AR$55)</f>
        <v>4</v>
      </c>
      <c r="CW55" s="84">
        <f>SUM('J1 A - (North) Bishopthorpe Roa'!$AA$55,'J1 B - Butcher Terrace'!$I$55,'J1 C - (South) Bishopthorpe Roa'!$BK$55,'J1 D - South Bank Avenue'!$AS$55)</f>
        <v>0</v>
      </c>
      <c r="CX55" s="87">
        <f>SUM('J1 A - (North) Bishopthorpe Roa'!$AB$55,'J1 B - Butcher Terrace'!$J$55,'J1 C - (South) Bishopthorpe Roa'!$BL$55,'J1 D - South Bank Avenue'!$AT$55)</f>
        <v>0</v>
      </c>
      <c r="CY55" s="79">
        <f>$CQ$55*VLOOKUP($CQ$11,'PCU Values'!$B$9:$C$16,2,FALSE)</f>
        <v>50</v>
      </c>
      <c r="CZ55" s="79">
        <f>$CR$55*VLOOKUP($CR$11,'PCU Values'!$B$9:$C$16,2,FALSE)</f>
        <v>13</v>
      </c>
      <c r="DA55" s="79">
        <f>$CS$55*VLOOKUP($CS$11,'PCU Values'!$B$9:$C$16,2,FALSE)</f>
        <v>1.5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0.8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65.3</v>
      </c>
      <c r="DH55" s="52">
        <f>SUM($CQ$55,$CR$55,$CS$55,$CT$55,$CU$55,$CV$55,$CW$55,$CX$55)</f>
        <v>68</v>
      </c>
    </row>
    <row r="56" spans="1:112">
      <c r="B56" s="52" t="s">
        <v>34</v>
      </c>
      <c r="C56" s="52">
        <f>SUM($C$52:$C$55)</f>
        <v>13</v>
      </c>
      <c r="D56" s="52">
        <f>SUM($D$52:$D$55)</f>
        <v>5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1</v>
      </c>
      <c r="I56" s="52">
        <f>SUM($I$52:$I$55)</f>
        <v>0</v>
      </c>
      <c r="J56" s="52">
        <f>SUM($J$52:$J$55)</f>
        <v>0</v>
      </c>
      <c r="K56" s="52">
        <f>SUM($K$52:$K$55)</f>
        <v>13</v>
      </c>
      <c r="L56" s="52">
        <f>SUM($L$52:$L$55)</f>
        <v>5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0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18</v>
      </c>
      <c r="T56" s="52">
        <f>SUM($C$56,$D$56,$E$56,$F$56,$G$56,$H$56,$I$56,$J$56)</f>
        <v>19</v>
      </c>
      <c r="U56" s="52">
        <f>SUM($U$52:$U$55)</f>
        <v>261</v>
      </c>
      <c r="V56" s="52">
        <f>SUM($V$52:$V$55)</f>
        <v>38</v>
      </c>
      <c r="W56" s="52">
        <f>SUM($W$52:$W$55)</f>
        <v>4</v>
      </c>
      <c r="X56" s="52">
        <f>SUM($X$52:$X$55)</f>
        <v>0</v>
      </c>
      <c r="Y56" s="52">
        <f>SUM($Y$52:$Y$55)</f>
        <v>5</v>
      </c>
      <c r="Z56" s="52">
        <f>SUM($Z$52:$Z$55)</f>
        <v>17</v>
      </c>
      <c r="AA56" s="52">
        <f>SUM($AA$52:$AA$55)</f>
        <v>1</v>
      </c>
      <c r="AB56" s="52">
        <f>SUM($AB$52:$AB$55)</f>
        <v>0</v>
      </c>
      <c r="AC56" s="52">
        <f>SUM($AC$52:$AC$55)</f>
        <v>261</v>
      </c>
      <c r="AD56" s="52">
        <f>SUM($AD$52:$AD$55)</f>
        <v>38</v>
      </c>
      <c r="AE56" s="52">
        <f>SUM($AE$52:$AE$55)</f>
        <v>6</v>
      </c>
      <c r="AF56" s="52">
        <f>SUM($AF$52:$AF$55)</f>
        <v>0</v>
      </c>
      <c r="AG56" s="52">
        <f>SUM($AG$52:$AG$55)</f>
        <v>10</v>
      </c>
      <c r="AH56" s="52">
        <f>SUM($AH$52:$AH$55)</f>
        <v>3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318</v>
      </c>
      <c r="AL56" s="52">
        <f>SUM($U$56,$V$56,$W$56,$X$56,$Y$56,$Z$56,$AA$56,$AB$56)</f>
        <v>326</v>
      </c>
      <c r="AM56" s="52">
        <f>SUM($AM$52:$AM$55)</f>
        <v>6</v>
      </c>
      <c r="AN56" s="52">
        <f>SUM($AN$52:$AN$55)</f>
        <v>1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8</v>
      </c>
      <c r="AS56" s="52">
        <f>SUM($AS$52:$AS$55)</f>
        <v>0</v>
      </c>
      <c r="AT56" s="52">
        <f>SUM($AT$52:$AT$55)</f>
        <v>0</v>
      </c>
      <c r="AU56" s="52">
        <f>SUM($AU$52:$AU$55)</f>
        <v>6</v>
      </c>
      <c r="AV56" s="52">
        <f>SUM($AV$52:$AV$55)</f>
        <v>1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2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9</v>
      </c>
      <c r="BD56" s="52">
        <f>SUM($AM$56,$AN$56,$AO$56,$AP$56,$AQ$56,$AR$56,$AS$56,$AT$56)</f>
        <v>15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280</v>
      </c>
      <c r="BZ56" s="52">
        <f>SUM($BZ$52:$BZ$55)</f>
        <v>44</v>
      </c>
      <c r="CA56" s="52">
        <f>SUM($CA$52:$CA$55)</f>
        <v>4</v>
      </c>
      <c r="CB56" s="52">
        <f>SUM($CB$52:$CB$55)</f>
        <v>0</v>
      </c>
      <c r="CC56" s="52">
        <f>SUM($CC$52:$CC$55)</f>
        <v>5</v>
      </c>
      <c r="CD56" s="52">
        <f>SUM($CD$52:$CD$55)</f>
        <v>26</v>
      </c>
      <c r="CE56" s="52">
        <f>SUM($CE$52:$CE$55)</f>
        <v>1</v>
      </c>
      <c r="CF56" s="52">
        <f>SUM($CF$52:$CF$55)</f>
        <v>0</v>
      </c>
      <c r="CG56" s="52">
        <f>SUM($CG$52:$CG$55)</f>
        <v>280</v>
      </c>
      <c r="CH56" s="52">
        <f>SUM($CH$52:$CH$55)</f>
        <v>44</v>
      </c>
      <c r="CI56" s="52">
        <f>SUM($CI$52:$CI$55)</f>
        <v>6</v>
      </c>
      <c r="CJ56" s="52">
        <f>SUM($CJ$52:$CJ$55)</f>
        <v>0</v>
      </c>
      <c r="CK56" s="52">
        <f>SUM($CK$52:$CK$55)</f>
        <v>10</v>
      </c>
      <c r="CL56" s="52">
        <f>SUM($CL$52:$CL$55)</f>
        <v>5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345</v>
      </c>
      <c r="CP56" s="52">
        <f>SUM($BY$56,$BZ$56,$CA$56,$CB$56,$CC$56,$CD$56,$CE$56,$CF$56)</f>
        <v>360</v>
      </c>
      <c r="CQ56" s="52">
        <f>SUM($CQ$52:$CQ$55)</f>
        <v>187</v>
      </c>
      <c r="CR56" s="52">
        <f>SUM($CR$52:$CR$55)</f>
        <v>36</v>
      </c>
      <c r="CS56" s="52">
        <f>SUM($CS$52:$CS$55)</f>
        <v>5</v>
      </c>
      <c r="CT56" s="52">
        <f>SUM($CT$52:$CT$55)</f>
        <v>0</v>
      </c>
      <c r="CU56" s="52">
        <f>SUM($CU$52:$CU$55)</f>
        <v>3</v>
      </c>
      <c r="CV56" s="52">
        <f>SUM($CV$52:$CV$55)</f>
        <v>11</v>
      </c>
      <c r="CW56" s="52">
        <f>SUM($CW$52:$CW$55)</f>
        <v>1</v>
      </c>
      <c r="CX56" s="52">
        <f>SUM($CX$52:$CX$55)</f>
        <v>2</v>
      </c>
      <c r="CY56" s="52">
        <f>SUM($CY$52:$CY$55)</f>
        <v>187</v>
      </c>
      <c r="CZ56" s="52">
        <f>SUM($CZ$52:$CZ$55)</f>
        <v>36</v>
      </c>
      <c r="DA56" s="52">
        <f>SUM($DA$52:$DA$55)</f>
        <v>8</v>
      </c>
      <c r="DB56" s="52">
        <f>SUM($DB$52:$DB$55)</f>
        <v>0</v>
      </c>
      <c r="DC56" s="52">
        <f>SUM($DC$52:$DC$55)</f>
        <v>6</v>
      </c>
      <c r="DD56" s="52">
        <f>SUM($DD$52:$DD$55)</f>
        <v>2</v>
      </c>
      <c r="DE56" s="52">
        <f>SUM($DE$52:$DE$55)</f>
        <v>0</v>
      </c>
      <c r="DF56" s="52">
        <f>SUM($DF$52:$DF$55)</f>
        <v>3</v>
      </c>
      <c r="DG56" s="52">
        <f>SUM($CY$56,$CZ$56,$DA$56,$DB$56,$DC$56,$DD$56,$DE$56,$DF$56)</f>
        <v>242</v>
      </c>
      <c r="DH56" s="52">
        <f>SUM($CQ$56,$CR$56,$CS$56,$CT$56,$CU$56,$CV$56,$CW$56,$CX$56)</f>
        <v>245</v>
      </c>
    </row>
    <row r="57" spans="1:112" ht="21" customHeight="1">
      <c r="A57" s="46">
        <v>44395.375</v>
      </c>
      <c r="B57" s="53" t="s">
        <v>67</v>
      </c>
      <c r="C57" s="54">
        <v>1</v>
      </c>
      <c r="D57" s="54">
        <v>1</v>
      </c>
      <c r="E57" s="54">
        <v>0</v>
      </c>
      <c r="F57" s="54">
        <v>0</v>
      </c>
      <c r="G57" s="54">
        <v>0</v>
      </c>
      <c r="H57" s="54">
        <v>1</v>
      </c>
      <c r="I57" s="54">
        <v>0</v>
      </c>
      <c r="J57" s="61">
        <v>0</v>
      </c>
      <c r="K57" s="62">
        <f>$C$57*VLOOKUP($C$11,'PCU Values'!$B$9:$C$16,2,FALSE)</f>
        <v>1</v>
      </c>
      <c r="L57" s="62">
        <f>$D$57*VLOOKUP($D$11,'PCU Values'!$B$9:$C$16,2,FALSE)</f>
        <v>1</v>
      </c>
      <c r="M57" s="62">
        <f>$E$57*VLOOKUP($E$11,'PCU Values'!$B$9:$C$16,2,FALSE)</f>
        <v>0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0.2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2.2000000000000002</v>
      </c>
      <c r="T57" s="52">
        <f>SUM($C$57,$D$57,$E$57,$F$57,$G$57,$H$57,$I$57,$J$57)</f>
        <v>3</v>
      </c>
      <c r="U57" s="72">
        <v>54</v>
      </c>
      <c r="V57" s="54">
        <v>6</v>
      </c>
      <c r="W57" s="54">
        <v>0</v>
      </c>
      <c r="X57" s="54">
        <v>0</v>
      </c>
      <c r="Y57" s="54">
        <v>1</v>
      </c>
      <c r="Z57" s="54">
        <v>2</v>
      </c>
      <c r="AA57" s="54">
        <v>0</v>
      </c>
      <c r="AB57" s="61">
        <v>0</v>
      </c>
      <c r="AC57" s="62">
        <f>$U$57*VLOOKUP($U$11,'PCU Values'!$B$9:$C$16,2,FALSE)</f>
        <v>54</v>
      </c>
      <c r="AD57" s="62">
        <f>$V$57*VLOOKUP($V$11,'PCU Values'!$B$9:$C$16,2,FALSE)</f>
        <v>6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2</v>
      </c>
      <c r="AH57" s="62">
        <f>$Z$57*VLOOKUP($Z$11,'PCU Values'!$B$9:$C$16,2,FALSE)</f>
        <v>0.4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62.4</v>
      </c>
      <c r="AL57" s="52">
        <f>SUM($U$57,$V$57,$W$57,$X$57,$Y$57,$Z$57,$AA$57,$AB$57)</f>
        <v>63</v>
      </c>
      <c r="AM57" s="72">
        <v>0</v>
      </c>
      <c r="AN57" s="54">
        <v>0</v>
      </c>
      <c r="AO57" s="54">
        <v>1</v>
      </c>
      <c r="AP57" s="54">
        <v>0</v>
      </c>
      <c r="AQ57" s="54">
        <v>0</v>
      </c>
      <c r="AR57" s="54">
        <v>4</v>
      </c>
      <c r="AS57" s="54">
        <v>0</v>
      </c>
      <c r="AT57" s="61">
        <v>0</v>
      </c>
      <c r="AU57" s="62">
        <f>$AM$57*VLOOKUP($AM$11,'PCU Values'!$B$9:$C$16,2,FALSE)</f>
        <v>0</v>
      </c>
      <c r="AV57" s="62">
        <f>$AN$57*VLOOKUP($AN$11,'PCU Values'!$B$9:$C$16,2,FALSE)</f>
        <v>0</v>
      </c>
      <c r="AW57" s="62">
        <f>$AO$57*VLOOKUP($AO$11,'PCU Values'!$B$9:$C$16,2,FALSE)</f>
        <v>1.5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0.8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2.2999999999999998</v>
      </c>
      <c r="BD57" s="52">
        <f>SUM($AM$57,$AN$57,$AO$57,$AP$57,$AQ$57,$AR$57,$AS$57,$AT$57)</f>
        <v>5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55</v>
      </c>
      <c r="BZ57" s="85">
        <f>SUM($D$57,$V$57,$AN$57,$BF$57)</f>
        <v>7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1</v>
      </c>
      <c r="CD57" s="85">
        <f>SUM($H$57,$Z$57,$AR$57,$BJ$57)</f>
        <v>7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55</v>
      </c>
      <c r="CH57" s="81">
        <f>$BZ$57*VLOOKUP($BZ$11,'PCU Values'!$B$9:$C$16,2,FALSE)</f>
        <v>7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2</v>
      </c>
      <c r="CL57" s="81">
        <f>$CD$57*VLOOKUP($CD$11,'PCU Values'!$B$9:$C$16,2,FALSE)</f>
        <v>1.4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66.900000000000006</v>
      </c>
      <c r="CP57" s="52">
        <f>SUM($BY$57,$BZ$57,$CA$57,$CB$57,$CC$57,$CD$57,$CE$57,$CF$57)</f>
        <v>71</v>
      </c>
      <c r="CQ57" s="91">
        <f>SUM('J1 A - (North) Bishopthorpe Roa'!$U$57,'J1 B - Butcher Terrace'!$C$57,'J1 C - (South) Bishopthorpe Roa'!$BE$57,'J1 D - South Bank Avenue'!$AM$57)</f>
        <v>47</v>
      </c>
      <c r="CR57" s="85">
        <f>SUM('J1 A - (North) Bishopthorpe Roa'!$V$57,'J1 B - Butcher Terrace'!$D$57,'J1 C - (South) Bishopthorpe Roa'!$BF$57,'J1 D - South Bank Avenue'!$AN$57)</f>
        <v>12</v>
      </c>
      <c r="CS57" s="85">
        <f>SUM('J1 A - (North) Bishopthorpe Roa'!$W$57,'J1 B - Butcher Terrace'!$E$57,'J1 C - (South) Bishopthorpe Roa'!$BG$57,'J1 D - South Bank Avenue'!$AO$57)</f>
        <v>1</v>
      </c>
      <c r="CT57" s="85">
        <f>SUM('J1 A - (North) Bishopthorpe Roa'!$X$57,'J1 B - Butcher Terrace'!$F$57,'J1 C - (South) Bishopthorpe Roa'!$BH$57,'J1 D - South Bank Avenue'!$AP$57)</f>
        <v>0</v>
      </c>
      <c r="CU57" s="85">
        <f>SUM('J1 A - (North) Bishopthorpe Roa'!$Y$57,'J1 B - Butcher Terrace'!$G$57,'J1 C - (South) Bishopthorpe Roa'!$BI$57,'J1 D - South Bank Avenue'!$AQ$57)</f>
        <v>1</v>
      </c>
      <c r="CV57" s="85">
        <f>SUM('J1 A - (North) Bishopthorpe Roa'!$Z$57,'J1 B - Butcher Terrace'!$H$57,'J1 C - (South) Bishopthorpe Roa'!$BJ$57,'J1 D - South Bank Avenue'!$AR$57)</f>
        <v>4</v>
      </c>
      <c r="CW57" s="85">
        <f>SUM('J1 A - (North) Bishopthorpe Roa'!$AA$57,'J1 B - Butcher Terrace'!$I$57,'J1 C - (South) Bishopthorpe Roa'!$BK$57,'J1 D - South Bank Avenue'!$AS$57)</f>
        <v>0</v>
      </c>
      <c r="CX57" s="88">
        <f>SUM('J1 A - (North) Bishopthorpe Roa'!$AB$57,'J1 B - Butcher Terrace'!$J$57,'J1 C - (South) Bishopthorpe Roa'!$BL$57,'J1 D - South Bank Avenue'!$AT$57)</f>
        <v>0</v>
      </c>
      <c r="CY57" s="81">
        <f>$CQ$57*VLOOKUP($CQ$11,'PCU Values'!$B$9:$C$16,2,FALSE)</f>
        <v>47</v>
      </c>
      <c r="CZ57" s="81">
        <f>$CR$57*VLOOKUP($CR$11,'PCU Values'!$B$9:$C$16,2,FALSE)</f>
        <v>12</v>
      </c>
      <c r="DA57" s="81">
        <f>$CS$57*VLOOKUP($CS$11,'PCU Values'!$B$9:$C$16,2,FALSE)</f>
        <v>1.5</v>
      </c>
      <c r="DB57" s="81">
        <f>$CT$57*VLOOKUP($CT$11,'PCU Values'!$B$9:$C$16,2,FALSE)</f>
        <v>0</v>
      </c>
      <c r="DC57" s="81">
        <f>$CU$57*VLOOKUP($CU$11,'PCU Values'!$B$9:$C$16,2,FALSE)</f>
        <v>2</v>
      </c>
      <c r="DD57" s="81">
        <f>$CV$57*VLOOKUP($CV$11,'PCU Values'!$B$9:$C$16,2,FALSE)</f>
        <v>0.8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63.3</v>
      </c>
      <c r="DH57" s="52">
        <f>SUM($CQ$57,$CR$57,$CS$57,$CT$57,$CU$57,$CV$57,$CW$57,$CX$57)</f>
        <v>65</v>
      </c>
    </row>
    <row r="58" spans="1:112" ht="21" customHeight="1">
      <c r="A58" s="46">
        <v>44395.385416666701</v>
      </c>
      <c r="B58" s="47" t="s">
        <v>68</v>
      </c>
      <c r="C58" s="48">
        <v>2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56">
        <v>0</v>
      </c>
      <c r="K58" s="57">
        <f>$C$58*VLOOKUP($C$11,'PCU Values'!$B$9:$C$16,2,FALSE)</f>
        <v>2</v>
      </c>
      <c r="L58" s="57">
        <f>$D$58*VLOOKUP($D$11,'PCU Values'!$B$9:$C$16,2,FALSE)</f>
        <v>0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2</v>
      </c>
      <c r="T58" s="52">
        <f>SUM($C$58,$D$58,$E$58,$F$58,$G$58,$H$58,$I$58,$J$58)</f>
        <v>2</v>
      </c>
      <c r="U58" s="67">
        <v>55</v>
      </c>
      <c r="V58" s="48">
        <v>1</v>
      </c>
      <c r="W58" s="48">
        <v>2</v>
      </c>
      <c r="X58" s="48">
        <v>1</v>
      </c>
      <c r="Y58" s="48">
        <v>0</v>
      </c>
      <c r="Z58" s="48">
        <v>8</v>
      </c>
      <c r="AA58" s="48">
        <v>0</v>
      </c>
      <c r="AB58" s="56">
        <v>0</v>
      </c>
      <c r="AC58" s="57">
        <f>$U$58*VLOOKUP($U$11,'PCU Values'!$B$9:$C$16,2,FALSE)</f>
        <v>55</v>
      </c>
      <c r="AD58" s="57">
        <f>$V$58*VLOOKUP($V$11,'PCU Values'!$B$9:$C$16,2,FALSE)</f>
        <v>1</v>
      </c>
      <c r="AE58" s="57">
        <f>$W$58*VLOOKUP($W$11,'PCU Values'!$B$9:$C$16,2,FALSE)</f>
        <v>3</v>
      </c>
      <c r="AF58" s="57">
        <f>$X$58*VLOOKUP($X$11,'PCU Values'!$B$9:$C$16,2,FALSE)</f>
        <v>2.2999999999999998</v>
      </c>
      <c r="AG58" s="57">
        <f>$Y$58*VLOOKUP($Y$11,'PCU Values'!$B$9:$C$16,2,FALSE)</f>
        <v>0</v>
      </c>
      <c r="AH58" s="57">
        <f>$Z$58*VLOOKUP($Z$11,'PCU Values'!$B$9:$C$16,2,FALSE)</f>
        <v>1.6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62.9</v>
      </c>
      <c r="AL58" s="52">
        <f>SUM($U$58,$V$58,$W$58,$X$58,$Y$58,$Z$58,$AA$58,$AB$58)</f>
        <v>67</v>
      </c>
      <c r="AM58" s="67">
        <v>1</v>
      </c>
      <c r="AN58" s="48">
        <v>0</v>
      </c>
      <c r="AO58" s="48">
        <v>0</v>
      </c>
      <c r="AP58" s="48">
        <v>0</v>
      </c>
      <c r="AQ58" s="48">
        <v>0</v>
      </c>
      <c r="AR58" s="48">
        <v>2</v>
      </c>
      <c r="AS58" s="48">
        <v>1</v>
      </c>
      <c r="AT58" s="56">
        <v>0</v>
      </c>
      <c r="AU58" s="57">
        <f>$AM$58*VLOOKUP($AM$11,'PCU Values'!$B$9:$C$16,2,FALSE)</f>
        <v>1</v>
      </c>
      <c r="AV58" s="57">
        <f>$AN$58*VLOOKUP($AN$11,'PCU Values'!$B$9:$C$16,2,FALSE)</f>
        <v>0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0.4</v>
      </c>
      <c r="BA58" s="57">
        <f>$AS$58*VLOOKUP($AS$11,'PCU Values'!$B$9:$C$16,2,FALSE)</f>
        <v>0.4</v>
      </c>
      <c r="BB58" s="65">
        <f>$AT$58*VLOOKUP($AT$11,'PCU Values'!$B$9:$C$16,2,FALSE)</f>
        <v>0</v>
      </c>
      <c r="BC58" s="66">
        <f>SUM($AU$58,$AV$58,$AW$58,$AX$58,$AY$58,$AZ$58,$BA$58,$BB$58)</f>
        <v>1.8</v>
      </c>
      <c r="BD58" s="52">
        <f>SUM($AM$58,$AN$58,$AO$58,$AP$58,$AQ$58,$AR$58,$AS$58,$AT$58)</f>
        <v>4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58</v>
      </c>
      <c r="BZ58" s="83">
        <f>SUM($D$58,$V$58,$AN$58,$BF$58)</f>
        <v>1</v>
      </c>
      <c r="CA58" s="83">
        <f>SUM($E$58,$W$58,$AO$58,$BG$58)</f>
        <v>2</v>
      </c>
      <c r="CB58" s="83">
        <f>SUM($F$58,$X$58,$AP$58,$BH$58)</f>
        <v>1</v>
      </c>
      <c r="CC58" s="83">
        <f>SUM($G$58,$Y$58,$AQ$58,$BI$58)</f>
        <v>0</v>
      </c>
      <c r="CD58" s="83">
        <f>SUM($H$58,$Z$58,$AR$58,$BJ$58)</f>
        <v>10</v>
      </c>
      <c r="CE58" s="83">
        <f>SUM($I$58,$AA$58,$AS$58,$BK$58)</f>
        <v>1</v>
      </c>
      <c r="CF58" s="86">
        <f>SUM($J$58,$AB$58,$AT$58,$BL$58)</f>
        <v>0</v>
      </c>
      <c r="CG58" s="77">
        <f>$BY$58*VLOOKUP($BY$11,'PCU Values'!$B$9:$C$16,2,FALSE)</f>
        <v>58</v>
      </c>
      <c r="CH58" s="77">
        <f>$BZ$58*VLOOKUP($BZ$11,'PCU Values'!$B$9:$C$16,2,FALSE)</f>
        <v>1</v>
      </c>
      <c r="CI58" s="77">
        <f>$CA$58*VLOOKUP($CA$11,'PCU Values'!$B$9:$C$16,2,FALSE)</f>
        <v>3</v>
      </c>
      <c r="CJ58" s="77">
        <f>$CB$58*VLOOKUP($CB$11,'PCU Values'!$B$9:$C$16,2,FALSE)</f>
        <v>2.2999999999999998</v>
      </c>
      <c r="CK58" s="77">
        <f>$CC$58*VLOOKUP($CC$11,'PCU Values'!$B$9:$C$16,2,FALSE)</f>
        <v>0</v>
      </c>
      <c r="CL58" s="77">
        <f>$CD$58*VLOOKUP($CD$11,'PCU Values'!$B$9:$C$16,2,FALSE)</f>
        <v>2</v>
      </c>
      <c r="CM58" s="77">
        <f>$CE$58*VLOOKUP($CE$11,'PCU Values'!$B$9:$C$16,2,FALSE)</f>
        <v>0.4</v>
      </c>
      <c r="CN58" s="78">
        <f>$CF$58*VLOOKUP($CF$11,'PCU Values'!$B$9:$C$16,2,FALSE)</f>
        <v>0</v>
      </c>
      <c r="CO58" s="66">
        <f>SUM($CG$58,$CH$58,$CI$58,$CJ$58,$CK$58,$CL$58,$CM$58,$CN$58)</f>
        <v>66.7</v>
      </c>
      <c r="CP58" s="52">
        <f>SUM($BY$58,$BZ$58,$CA$58,$CB$58,$CC$58,$CD$58,$CE$58,$CF$58)</f>
        <v>73</v>
      </c>
      <c r="CQ58" s="89">
        <f>SUM('J1 A - (North) Bishopthorpe Roa'!$U$58,'J1 B - Butcher Terrace'!$C$58,'J1 C - (South) Bishopthorpe Roa'!$BE$58,'J1 D - South Bank Avenue'!$AM$58)</f>
        <v>40</v>
      </c>
      <c r="CR58" s="83">
        <f>SUM('J1 A - (North) Bishopthorpe Roa'!$V$58,'J1 B - Butcher Terrace'!$D$58,'J1 C - (South) Bishopthorpe Roa'!$BF$58,'J1 D - South Bank Avenue'!$AN$58)</f>
        <v>8</v>
      </c>
      <c r="CS58" s="83">
        <f>SUM('J1 A - (North) Bishopthorpe Roa'!$W$58,'J1 B - Butcher Terrace'!$E$58,'J1 C - (South) Bishopthorpe Roa'!$BG$58,'J1 D - South Bank Avenue'!$AO$58)</f>
        <v>0</v>
      </c>
      <c r="CT58" s="83">
        <f>SUM('J1 A - (North) Bishopthorpe Roa'!$X$58,'J1 B - Butcher Terrace'!$F$58,'J1 C - (South) Bishopthorpe Roa'!$BH$58,'J1 D - South Bank Avenue'!$AP$58)</f>
        <v>1</v>
      </c>
      <c r="CU58" s="83">
        <f>SUM('J1 A - (North) Bishopthorpe Roa'!$Y$58,'J1 B - Butcher Terrace'!$G$58,'J1 C - (South) Bishopthorpe Roa'!$BI$58,'J1 D - South Bank Avenue'!$AQ$58)</f>
        <v>1</v>
      </c>
      <c r="CV58" s="83">
        <f>SUM('J1 A - (North) Bishopthorpe Roa'!$Z$58,'J1 B - Butcher Terrace'!$H$58,'J1 C - (South) Bishopthorpe Roa'!$BJ$58,'J1 D - South Bank Avenue'!$AR$58)</f>
        <v>4</v>
      </c>
      <c r="CW58" s="83">
        <f>SUM('J1 A - (North) Bishopthorpe Roa'!$AA$58,'J1 B - Butcher Terrace'!$I$58,'J1 C - (South) Bishopthorpe Roa'!$BK$58,'J1 D - South Bank Avenue'!$AS$58)</f>
        <v>0</v>
      </c>
      <c r="CX58" s="86">
        <f>SUM('J1 A - (North) Bishopthorpe Roa'!$AB$58,'J1 B - Butcher Terrace'!$J$58,'J1 C - (South) Bishopthorpe Roa'!$BL$58,'J1 D - South Bank Avenue'!$AT$58)</f>
        <v>0</v>
      </c>
      <c r="CY58" s="77">
        <f>$CQ$58*VLOOKUP($CQ$11,'PCU Values'!$B$9:$C$16,2,FALSE)</f>
        <v>40</v>
      </c>
      <c r="CZ58" s="77">
        <f>$CR$58*VLOOKUP($CR$11,'PCU Values'!$B$9:$C$16,2,FALSE)</f>
        <v>8</v>
      </c>
      <c r="DA58" s="77">
        <f>$CS$58*VLOOKUP($CS$11,'PCU Values'!$B$9:$C$16,2,FALSE)</f>
        <v>0</v>
      </c>
      <c r="DB58" s="77">
        <f>$CT$58*VLOOKUP($CT$11,'PCU Values'!$B$9:$C$16,2,FALSE)</f>
        <v>2.2999999999999998</v>
      </c>
      <c r="DC58" s="77">
        <f>$CU$58*VLOOKUP($CU$11,'PCU Values'!$B$9:$C$16,2,FALSE)</f>
        <v>2</v>
      </c>
      <c r="DD58" s="77">
        <f>$CV$58*VLOOKUP($CV$11,'PCU Values'!$B$9:$C$16,2,FALSE)</f>
        <v>0.8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53.1</v>
      </c>
      <c r="DH58" s="52">
        <f>SUM($CQ$58,$CR$58,$CS$58,$CT$58,$CU$58,$CV$58,$CW$58,$CX$58)</f>
        <v>54</v>
      </c>
    </row>
    <row r="59" spans="1:112" ht="21" customHeight="1">
      <c r="A59" s="46">
        <v>44395.395833333299</v>
      </c>
      <c r="B59" s="47" t="s">
        <v>69</v>
      </c>
      <c r="C59" s="49">
        <v>0</v>
      </c>
      <c r="D59" s="49">
        <v>0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0</v>
      </c>
      <c r="L59" s="57">
        <f>$D$59*VLOOKUP($D$11,'PCU Values'!$B$9:$C$16,2,FALSE)</f>
        <v>0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0</v>
      </c>
      <c r="T59" s="52">
        <f>SUM($C$59,$D$59,$E$59,$F$59,$G$59,$H$59,$I$59,$J$59)</f>
        <v>0</v>
      </c>
      <c r="U59" s="49">
        <v>53</v>
      </c>
      <c r="V59" s="49">
        <v>4</v>
      </c>
      <c r="W59" s="49">
        <v>1</v>
      </c>
      <c r="X59" s="49">
        <v>0</v>
      </c>
      <c r="Y59" s="49">
        <v>2</v>
      </c>
      <c r="Z59" s="49">
        <v>5</v>
      </c>
      <c r="AA59" s="49">
        <v>0</v>
      </c>
      <c r="AB59" s="58">
        <v>0</v>
      </c>
      <c r="AC59" s="57">
        <f>$U$59*VLOOKUP($U$11,'PCU Values'!$B$9:$C$16,2,FALSE)</f>
        <v>53</v>
      </c>
      <c r="AD59" s="57">
        <f>$V$59*VLOOKUP($V$11,'PCU Values'!$B$9:$C$16,2,FALSE)</f>
        <v>4</v>
      </c>
      <c r="AE59" s="57">
        <f>$W$59*VLOOKUP($W$11,'PCU Values'!$B$9:$C$16,2,FALSE)</f>
        <v>1.5</v>
      </c>
      <c r="AF59" s="57">
        <f>$X$59*VLOOKUP($X$11,'PCU Values'!$B$9:$C$16,2,FALSE)</f>
        <v>0</v>
      </c>
      <c r="AG59" s="57">
        <f>$Y$59*VLOOKUP($Y$11,'PCU Values'!$B$9:$C$16,2,FALSE)</f>
        <v>4</v>
      </c>
      <c r="AH59" s="57">
        <f>$Z$59*VLOOKUP($Z$11,'PCU Values'!$B$9:$C$16,2,FALSE)</f>
        <v>1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63.5</v>
      </c>
      <c r="AL59" s="52">
        <f>SUM($U$59,$V$59,$W$59,$X$59,$Y$59,$Z$59,$AA$59,$AB$59)</f>
        <v>65</v>
      </c>
      <c r="AM59" s="49">
        <v>0</v>
      </c>
      <c r="AN59" s="49">
        <v>0</v>
      </c>
      <c r="AO59" s="49">
        <v>0</v>
      </c>
      <c r="AP59" s="49">
        <v>0</v>
      </c>
      <c r="AQ59" s="49">
        <v>0</v>
      </c>
      <c r="AR59" s="49">
        <v>2</v>
      </c>
      <c r="AS59" s="49">
        <v>0</v>
      </c>
      <c r="AT59" s="58">
        <v>0</v>
      </c>
      <c r="AU59" s="57">
        <f>$AM$59*VLOOKUP($AM$11,'PCU Values'!$B$9:$C$16,2,FALSE)</f>
        <v>0</v>
      </c>
      <c r="AV59" s="57">
        <f>$AN$59*VLOOKUP($AN$11,'PCU Values'!$B$9:$C$16,2,FALSE)</f>
        <v>0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0.4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0.4</v>
      </c>
      <c r="BD59" s="52">
        <f>SUM($AM$59,$AN$59,$AO$59,$AP$59,$AQ$59,$AR$59,$AS$59,$AT$59)</f>
        <v>2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53</v>
      </c>
      <c r="BZ59" s="83">
        <f>SUM($D$59,$V$59,$AN$59,$BF$59)</f>
        <v>4</v>
      </c>
      <c r="CA59" s="83">
        <f>SUM($E$59,$W$59,$AO$59,$BG$59)</f>
        <v>1</v>
      </c>
      <c r="CB59" s="83">
        <f>SUM($F$59,$X$59,$AP$59,$BH$59)</f>
        <v>0</v>
      </c>
      <c r="CC59" s="83">
        <f>SUM($G$59,$Y$59,$AQ$59,$BI$59)</f>
        <v>2</v>
      </c>
      <c r="CD59" s="83">
        <f>SUM($H$59,$Z$59,$AR$59,$BJ$59)</f>
        <v>7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53</v>
      </c>
      <c r="CH59" s="77">
        <f>$BZ$59*VLOOKUP($BZ$11,'PCU Values'!$B$9:$C$16,2,FALSE)</f>
        <v>4</v>
      </c>
      <c r="CI59" s="77">
        <f>$CA$59*VLOOKUP($CA$11,'PCU Values'!$B$9:$C$16,2,FALSE)</f>
        <v>1.5</v>
      </c>
      <c r="CJ59" s="77">
        <f>$CB$59*VLOOKUP($CB$11,'PCU Values'!$B$9:$C$16,2,FALSE)</f>
        <v>0</v>
      </c>
      <c r="CK59" s="77">
        <f>$CC$59*VLOOKUP($CC$11,'PCU Values'!$B$9:$C$16,2,FALSE)</f>
        <v>4</v>
      </c>
      <c r="CL59" s="77">
        <f>$CD$59*VLOOKUP($CD$11,'PCU Values'!$B$9:$C$16,2,FALSE)</f>
        <v>1.4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63.9</v>
      </c>
      <c r="CP59" s="52">
        <f>SUM($BY$59,$BZ$59,$CA$59,$CB$59,$CC$59,$CD$59,$CE$59,$CF$59)</f>
        <v>67</v>
      </c>
      <c r="CQ59" s="89">
        <f>SUM('J1 A - (North) Bishopthorpe Roa'!$U$59,'J1 B - Butcher Terrace'!$C$59,'J1 C - (South) Bishopthorpe Roa'!$BE$59,'J1 D - South Bank Avenue'!$AM$59)</f>
        <v>60</v>
      </c>
      <c r="CR59" s="83">
        <f>SUM('J1 A - (North) Bishopthorpe Roa'!$V$59,'J1 B - Butcher Terrace'!$D$59,'J1 C - (South) Bishopthorpe Roa'!$BF$59,'J1 D - South Bank Avenue'!$AN$59)</f>
        <v>12</v>
      </c>
      <c r="CS59" s="83">
        <f>SUM('J1 A - (North) Bishopthorpe Roa'!$W$59,'J1 B - Butcher Terrace'!$E$59,'J1 C - (South) Bishopthorpe Roa'!$BG$59,'J1 D - South Bank Avenue'!$AO$59)</f>
        <v>0</v>
      </c>
      <c r="CT59" s="83">
        <f>SUM('J1 A - (North) Bishopthorpe Roa'!$X$59,'J1 B - Butcher Terrace'!$F$59,'J1 C - (South) Bishopthorpe Roa'!$BH$59,'J1 D - South Bank Avenue'!$AP$59)</f>
        <v>0</v>
      </c>
      <c r="CU59" s="83">
        <f>SUM('J1 A - (North) Bishopthorpe Roa'!$Y$59,'J1 B - Butcher Terrace'!$G$59,'J1 C - (South) Bishopthorpe Roa'!$BI$59,'J1 D - South Bank Avenue'!$AQ$59)</f>
        <v>2</v>
      </c>
      <c r="CV59" s="83">
        <f>SUM('J1 A - (North) Bishopthorpe Roa'!$Z$59,'J1 B - Butcher Terrace'!$H$59,'J1 C - (South) Bishopthorpe Roa'!$BJ$59,'J1 D - South Bank Avenue'!$AR$59)</f>
        <v>2</v>
      </c>
      <c r="CW59" s="83">
        <f>SUM('J1 A - (North) Bishopthorpe Roa'!$AA$59,'J1 B - Butcher Terrace'!$I$59,'J1 C - (South) Bishopthorpe Roa'!$BK$59,'J1 D - South Bank Avenue'!$AS$59)</f>
        <v>0</v>
      </c>
      <c r="CX59" s="86">
        <f>SUM('J1 A - (North) Bishopthorpe Roa'!$AB$59,'J1 B - Butcher Terrace'!$J$59,'J1 C - (South) Bishopthorpe Roa'!$BL$59,'J1 D - South Bank Avenue'!$AT$59)</f>
        <v>0</v>
      </c>
      <c r="CY59" s="77">
        <f>$CQ$59*VLOOKUP($CQ$11,'PCU Values'!$B$9:$C$16,2,FALSE)</f>
        <v>60</v>
      </c>
      <c r="CZ59" s="77">
        <f>$CR$59*VLOOKUP($CR$11,'PCU Values'!$B$9:$C$16,2,FALSE)</f>
        <v>12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4</v>
      </c>
      <c r="DD59" s="77">
        <f>$CV$59*VLOOKUP($CV$11,'PCU Values'!$B$9:$C$16,2,FALSE)</f>
        <v>0.4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76.400000000000006</v>
      </c>
      <c r="DH59" s="52">
        <f>SUM($CQ$59,$CR$59,$CS$59,$CT$59,$CU$59,$CV$59,$CW$59,$CX$59)</f>
        <v>76</v>
      </c>
    </row>
    <row r="60" spans="1:112" ht="21" customHeight="1">
      <c r="A60" s="46">
        <v>44395.40625</v>
      </c>
      <c r="B60" s="50" t="s">
        <v>70</v>
      </c>
      <c r="C60" s="51">
        <v>1</v>
      </c>
      <c r="D60" s="51">
        <v>1</v>
      </c>
      <c r="E60" s="51">
        <v>0</v>
      </c>
      <c r="F60" s="51">
        <v>0</v>
      </c>
      <c r="G60" s="51">
        <v>0</v>
      </c>
      <c r="H60" s="51">
        <v>0</v>
      </c>
      <c r="I60" s="51">
        <v>0</v>
      </c>
      <c r="J60" s="59">
        <v>0</v>
      </c>
      <c r="K60" s="60">
        <f>$C$60*VLOOKUP($C$11,'PCU Values'!$B$9:$C$16,2,FALSE)</f>
        <v>1</v>
      </c>
      <c r="L60" s="60">
        <f>$D$60*VLOOKUP($D$11,'PCU Values'!$B$9:$C$16,2,FALSE)</f>
        <v>1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</v>
      </c>
      <c r="Q60" s="60">
        <f>$I$60*VLOOKUP($I$11,'PCU Values'!$B$9:$C$16,2,FALSE)</f>
        <v>0</v>
      </c>
      <c r="R60" s="68">
        <f>$J$60*VLOOKUP($J$11,'PCU Values'!$B$9:$C$16,2,FALSE)</f>
        <v>0</v>
      </c>
      <c r="S60" s="63">
        <f>SUM($K$60,$L$60,$M$60,$N$60,$O$60,$P$60,$Q$60,$R$60)</f>
        <v>2</v>
      </c>
      <c r="T60" s="52">
        <f>SUM($C$60,$D$60,$E$60,$F$60,$G$60,$H$60,$I$60,$J$60)</f>
        <v>2</v>
      </c>
      <c r="U60" s="73">
        <v>43</v>
      </c>
      <c r="V60" s="51">
        <v>3</v>
      </c>
      <c r="W60" s="51">
        <v>0</v>
      </c>
      <c r="X60" s="51">
        <v>0</v>
      </c>
      <c r="Y60" s="51">
        <v>0</v>
      </c>
      <c r="Z60" s="51">
        <v>2</v>
      </c>
      <c r="AA60" s="51">
        <v>0</v>
      </c>
      <c r="AB60" s="59">
        <v>0</v>
      </c>
      <c r="AC60" s="60">
        <f>$U$60*VLOOKUP($U$11,'PCU Values'!$B$9:$C$16,2,FALSE)</f>
        <v>43</v>
      </c>
      <c r="AD60" s="60">
        <f>$V$60*VLOOKUP($V$11,'PCU Values'!$B$9:$C$16,2,FALSE)</f>
        <v>3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0.4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46.4</v>
      </c>
      <c r="AL60" s="52">
        <f>SUM($U$60,$V$60,$W$60,$X$60,$Y$60,$Z$60,$AA$60,$AB$60)</f>
        <v>48</v>
      </c>
      <c r="AM60" s="73">
        <v>2</v>
      </c>
      <c r="AN60" s="51">
        <v>0</v>
      </c>
      <c r="AO60" s="51">
        <v>0</v>
      </c>
      <c r="AP60" s="51">
        <v>0</v>
      </c>
      <c r="AQ60" s="51">
        <v>0</v>
      </c>
      <c r="AR60" s="51">
        <v>1</v>
      </c>
      <c r="AS60" s="51">
        <v>0</v>
      </c>
      <c r="AT60" s="59">
        <v>0</v>
      </c>
      <c r="AU60" s="60">
        <f>$AM$60*VLOOKUP($AM$11,'PCU Values'!$B$9:$C$16,2,FALSE)</f>
        <v>2</v>
      </c>
      <c r="AV60" s="60">
        <f>$AN$60*VLOOKUP($AN$11,'PCU Values'!$B$9:$C$16,2,FALSE)</f>
        <v>0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0.2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2.2000000000000002</v>
      </c>
      <c r="BD60" s="52">
        <f>SUM($AM$60,$AN$60,$AO$60,$AP$60,$AQ$60,$AR$60,$AS$60,$AT$60)</f>
        <v>3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46</v>
      </c>
      <c r="BZ60" s="84">
        <f>SUM($D$60,$V$60,$AN$60,$BF$60)</f>
        <v>4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3</v>
      </c>
      <c r="CE60" s="84">
        <f>SUM($I$60,$AA$60,$AS$60,$BK$60)</f>
        <v>0</v>
      </c>
      <c r="CF60" s="87">
        <f>SUM($J$60,$AB$60,$AT$60,$BL$60)</f>
        <v>0</v>
      </c>
      <c r="CG60" s="79">
        <f>$BY$60*VLOOKUP($BY$11,'PCU Values'!$B$9:$C$16,2,FALSE)</f>
        <v>46</v>
      </c>
      <c r="CH60" s="79">
        <f>$BZ$60*VLOOKUP($BZ$11,'PCU Values'!$B$9:$C$16,2,FALSE)</f>
        <v>4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0.6</v>
      </c>
      <c r="CM60" s="79">
        <f>$CE$60*VLOOKUP($CE$11,'PCU Values'!$B$9:$C$16,2,FALSE)</f>
        <v>0</v>
      </c>
      <c r="CN60" s="80">
        <f>$CF$60*VLOOKUP($CF$11,'PCU Values'!$B$9:$C$16,2,FALSE)</f>
        <v>0</v>
      </c>
      <c r="CO60" s="63">
        <f>SUM($CG$60,$CH$60,$CI$60,$CJ$60,$CK$60,$CL$60,$CM$60,$CN$60)</f>
        <v>50.6</v>
      </c>
      <c r="CP60" s="52">
        <f>SUM($BY$60,$BZ$60,$CA$60,$CB$60,$CC$60,$CD$60,$CE$60,$CF$60)</f>
        <v>53</v>
      </c>
      <c r="CQ60" s="90">
        <f>SUM('J1 A - (North) Bishopthorpe Roa'!$U$60,'J1 B - Butcher Terrace'!$C$60,'J1 C - (South) Bishopthorpe Roa'!$BE$60,'J1 D - South Bank Avenue'!$AM$60)</f>
        <v>50</v>
      </c>
      <c r="CR60" s="84">
        <f>SUM('J1 A - (North) Bishopthorpe Roa'!$V$60,'J1 B - Butcher Terrace'!$D$60,'J1 C - (South) Bishopthorpe Roa'!$BF$60,'J1 D - South Bank Avenue'!$AN$60)</f>
        <v>9</v>
      </c>
      <c r="CS60" s="84">
        <f>SUM('J1 A - (North) Bishopthorpe Roa'!$W$60,'J1 B - Butcher Terrace'!$E$60,'J1 C - (South) Bishopthorpe Roa'!$BG$60,'J1 D - South Bank Avenue'!$AO$60)</f>
        <v>2</v>
      </c>
      <c r="CT60" s="84">
        <f>SUM('J1 A - (North) Bishopthorpe Roa'!$X$60,'J1 B - Butcher Terrace'!$F$60,'J1 C - (South) Bishopthorpe Roa'!$BH$60,'J1 D - South Bank Avenue'!$AP$60)</f>
        <v>0</v>
      </c>
      <c r="CU60" s="84">
        <f>SUM('J1 A - (North) Bishopthorpe Roa'!$Y$60,'J1 B - Butcher Terrace'!$G$60,'J1 C - (South) Bishopthorpe Roa'!$BI$60,'J1 D - South Bank Avenue'!$AQ$60)</f>
        <v>0</v>
      </c>
      <c r="CV60" s="84">
        <f>SUM('J1 A - (North) Bishopthorpe Roa'!$Z$60,'J1 B - Butcher Terrace'!$H$60,'J1 C - (South) Bishopthorpe Roa'!$BJ$60,'J1 D - South Bank Avenue'!$AR$60)</f>
        <v>5</v>
      </c>
      <c r="CW60" s="84">
        <f>SUM('J1 A - (North) Bishopthorpe Roa'!$AA$60,'J1 B - Butcher Terrace'!$I$60,'J1 C - (South) Bishopthorpe Roa'!$BK$60,'J1 D - South Bank Avenue'!$AS$60)</f>
        <v>0</v>
      </c>
      <c r="CX60" s="87">
        <f>SUM('J1 A - (North) Bishopthorpe Roa'!$AB$60,'J1 B - Butcher Terrace'!$J$60,'J1 C - (South) Bishopthorpe Roa'!$BL$60,'J1 D - South Bank Avenue'!$AT$60)</f>
        <v>0</v>
      </c>
      <c r="CY60" s="79">
        <f>$CQ$60*VLOOKUP($CQ$11,'PCU Values'!$B$9:$C$16,2,FALSE)</f>
        <v>50</v>
      </c>
      <c r="CZ60" s="79">
        <f>$CR$60*VLOOKUP($CR$11,'PCU Values'!$B$9:$C$16,2,FALSE)</f>
        <v>9</v>
      </c>
      <c r="DA60" s="79">
        <f>$CS$60*VLOOKUP($CS$11,'PCU Values'!$B$9:$C$16,2,FALSE)</f>
        <v>3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1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63</v>
      </c>
      <c r="DH60" s="52">
        <f>SUM($CQ$60,$CR$60,$CS$60,$CT$60,$CU$60,$CV$60,$CW$60,$CX$60)</f>
        <v>66</v>
      </c>
    </row>
    <row r="61" spans="1:112">
      <c r="B61" s="52" t="s">
        <v>34</v>
      </c>
      <c r="C61" s="52">
        <f>SUM($C$57:$C$60)</f>
        <v>4</v>
      </c>
      <c r="D61" s="52">
        <f>SUM($D$57:$D$60)</f>
        <v>2</v>
      </c>
      <c r="E61" s="52">
        <f>SUM($E$57:$E$60)</f>
        <v>0</v>
      </c>
      <c r="F61" s="52">
        <f>SUM($F$57:$F$60)</f>
        <v>0</v>
      </c>
      <c r="G61" s="52">
        <f>SUM($G$57:$G$60)</f>
        <v>0</v>
      </c>
      <c r="H61" s="52">
        <f>SUM($H$57:$H$60)</f>
        <v>1</v>
      </c>
      <c r="I61" s="52">
        <f>SUM($I$57:$I$60)</f>
        <v>0</v>
      </c>
      <c r="J61" s="52">
        <f>SUM($J$57:$J$60)</f>
        <v>0</v>
      </c>
      <c r="K61" s="52">
        <f>SUM($K$57:$K$60)</f>
        <v>4</v>
      </c>
      <c r="L61" s="52">
        <f>SUM($L$57:$L$60)</f>
        <v>2</v>
      </c>
      <c r="M61" s="52">
        <f>SUM($M$57:$M$60)</f>
        <v>0</v>
      </c>
      <c r="N61" s="52">
        <f>SUM($N$57:$N$60)</f>
        <v>0</v>
      </c>
      <c r="O61" s="52">
        <f>SUM($O$57:$O$60)</f>
        <v>0</v>
      </c>
      <c r="P61" s="52">
        <f>SUM($P$57:$P$60)</f>
        <v>0</v>
      </c>
      <c r="Q61" s="52">
        <f>SUM($Q$57:$Q$60)</f>
        <v>0</v>
      </c>
      <c r="R61" s="52">
        <f>SUM($R$57:$R$60)</f>
        <v>0</v>
      </c>
      <c r="S61" s="52">
        <f>SUM($K$61,$L$61,$M$61,$N$61,$O$61,$P$61,$Q$61,$R$61)</f>
        <v>6</v>
      </c>
      <c r="T61" s="52">
        <f>SUM($C$61,$D$61,$E$61,$F$61,$G$61,$H$61,$I$61,$J$61)</f>
        <v>7</v>
      </c>
      <c r="U61" s="52">
        <f>SUM($U$57:$U$60)</f>
        <v>205</v>
      </c>
      <c r="V61" s="52">
        <f>SUM($V$57:$V$60)</f>
        <v>14</v>
      </c>
      <c r="W61" s="52">
        <f>SUM($W$57:$W$60)</f>
        <v>3</v>
      </c>
      <c r="X61" s="52">
        <f>SUM($X$57:$X$60)</f>
        <v>1</v>
      </c>
      <c r="Y61" s="52">
        <f>SUM($Y$57:$Y$60)</f>
        <v>3</v>
      </c>
      <c r="Z61" s="52">
        <f>SUM($Z$57:$Z$60)</f>
        <v>17</v>
      </c>
      <c r="AA61" s="52">
        <f>SUM($AA$57:$AA$60)</f>
        <v>0</v>
      </c>
      <c r="AB61" s="52">
        <f>SUM($AB$57:$AB$60)</f>
        <v>0</v>
      </c>
      <c r="AC61" s="52">
        <f>SUM($AC$57:$AC$60)</f>
        <v>205</v>
      </c>
      <c r="AD61" s="52">
        <f>SUM($AD$57:$AD$60)</f>
        <v>14</v>
      </c>
      <c r="AE61" s="52">
        <f>SUM($AE$57:$AE$60)</f>
        <v>5</v>
      </c>
      <c r="AF61" s="52">
        <f>SUM($AF$57:$AF$60)</f>
        <v>2</v>
      </c>
      <c r="AG61" s="52">
        <f>SUM($AG$57:$AG$60)</f>
        <v>6</v>
      </c>
      <c r="AH61" s="52">
        <f>SUM($AH$57:$AH$60)</f>
        <v>3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235</v>
      </c>
      <c r="AL61" s="52">
        <f>SUM($U$61,$V$61,$W$61,$X$61,$Y$61,$Z$61,$AA$61,$AB$61)</f>
        <v>243</v>
      </c>
      <c r="AM61" s="52">
        <f>SUM($AM$57:$AM$60)</f>
        <v>3</v>
      </c>
      <c r="AN61" s="52">
        <f>SUM($AN$57:$AN$60)</f>
        <v>0</v>
      </c>
      <c r="AO61" s="52">
        <f>SUM($AO$57:$AO$60)</f>
        <v>1</v>
      </c>
      <c r="AP61" s="52">
        <f>SUM($AP$57:$AP$60)</f>
        <v>0</v>
      </c>
      <c r="AQ61" s="52">
        <f>SUM($AQ$57:$AQ$60)</f>
        <v>0</v>
      </c>
      <c r="AR61" s="52">
        <f>SUM($AR$57:$AR$60)</f>
        <v>9</v>
      </c>
      <c r="AS61" s="52">
        <f>SUM($AS$57:$AS$60)</f>
        <v>1</v>
      </c>
      <c r="AT61" s="52">
        <f>SUM($AT$57:$AT$60)</f>
        <v>0</v>
      </c>
      <c r="AU61" s="52">
        <f>SUM($AU$57:$AU$60)</f>
        <v>3</v>
      </c>
      <c r="AV61" s="52">
        <f>SUM($AV$57:$AV$60)</f>
        <v>0</v>
      </c>
      <c r="AW61" s="52">
        <f>SUM($AW$57:$AW$60)</f>
        <v>2</v>
      </c>
      <c r="AX61" s="52">
        <f>SUM($AX$57:$AX$60)</f>
        <v>0</v>
      </c>
      <c r="AY61" s="52">
        <f>SUM($AY$57:$AY$60)</f>
        <v>0</v>
      </c>
      <c r="AZ61" s="52">
        <f>SUM($AZ$57:$AZ$60)</f>
        <v>2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7</v>
      </c>
      <c r="BD61" s="52">
        <f>SUM($AM$61,$AN$61,$AO$61,$AP$61,$AQ$61,$AR$61,$AS$61,$AT$61)</f>
        <v>14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212</v>
      </c>
      <c r="BZ61" s="52">
        <f>SUM($BZ$57:$BZ$60)</f>
        <v>16</v>
      </c>
      <c r="CA61" s="52">
        <f>SUM($CA$57:$CA$60)</f>
        <v>4</v>
      </c>
      <c r="CB61" s="52">
        <f>SUM($CB$57:$CB$60)</f>
        <v>1</v>
      </c>
      <c r="CC61" s="52">
        <f>SUM($CC$57:$CC$60)</f>
        <v>3</v>
      </c>
      <c r="CD61" s="52">
        <f>SUM($CD$57:$CD$60)</f>
        <v>27</v>
      </c>
      <c r="CE61" s="52">
        <f>SUM($CE$57:$CE$60)</f>
        <v>1</v>
      </c>
      <c r="CF61" s="52">
        <f>SUM($CF$57:$CF$60)</f>
        <v>0</v>
      </c>
      <c r="CG61" s="52">
        <f>SUM($CG$57:$CG$60)</f>
        <v>212</v>
      </c>
      <c r="CH61" s="52">
        <f>SUM($CH$57:$CH$60)</f>
        <v>16</v>
      </c>
      <c r="CI61" s="52">
        <f>SUM($CI$57:$CI$60)</f>
        <v>6</v>
      </c>
      <c r="CJ61" s="52">
        <f>SUM($CJ$57:$CJ$60)</f>
        <v>2</v>
      </c>
      <c r="CK61" s="52">
        <f>SUM($CK$57:$CK$60)</f>
        <v>6</v>
      </c>
      <c r="CL61" s="52">
        <f>SUM($CL$57:$CL$60)</f>
        <v>5</v>
      </c>
      <c r="CM61" s="52">
        <f>SUM($CM$57:$CM$60)</f>
        <v>0</v>
      </c>
      <c r="CN61" s="52">
        <f>SUM($CN$57:$CN$60)</f>
        <v>0</v>
      </c>
      <c r="CO61" s="52">
        <f>SUM($CG$61,$CH$61,$CI$61,$CJ$61,$CK$61,$CL$61,$CM$61,$CN$61)</f>
        <v>247</v>
      </c>
      <c r="CP61" s="52">
        <f>SUM($BY$61,$BZ$61,$CA$61,$CB$61,$CC$61,$CD$61,$CE$61,$CF$61)</f>
        <v>264</v>
      </c>
      <c r="CQ61" s="52">
        <f>SUM($CQ$57:$CQ$60)</f>
        <v>197</v>
      </c>
      <c r="CR61" s="52">
        <f>SUM($CR$57:$CR$60)</f>
        <v>41</v>
      </c>
      <c r="CS61" s="52">
        <f>SUM($CS$57:$CS$60)</f>
        <v>3</v>
      </c>
      <c r="CT61" s="52">
        <f>SUM($CT$57:$CT$60)</f>
        <v>1</v>
      </c>
      <c r="CU61" s="52">
        <f>SUM($CU$57:$CU$60)</f>
        <v>4</v>
      </c>
      <c r="CV61" s="52">
        <f>SUM($CV$57:$CV$60)</f>
        <v>15</v>
      </c>
      <c r="CW61" s="52">
        <f>SUM($CW$57:$CW$60)</f>
        <v>0</v>
      </c>
      <c r="CX61" s="52">
        <f>SUM($CX$57:$CX$60)</f>
        <v>0</v>
      </c>
      <c r="CY61" s="52">
        <f>SUM($CY$57:$CY$60)</f>
        <v>197</v>
      </c>
      <c r="CZ61" s="52">
        <f>SUM($CZ$57:$CZ$60)</f>
        <v>41</v>
      </c>
      <c r="DA61" s="52">
        <f>SUM($DA$57:$DA$60)</f>
        <v>5</v>
      </c>
      <c r="DB61" s="52">
        <f>SUM($DB$57:$DB$60)</f>
        <v>2</v>
      </c>
      <c r="DC61" s="52">
        <f>SUM($DC$57:$DC$60)</f>
        <v>8</v>
      </c>
      <c r="DD61" s="52">
        <f>SUM($DD$57:$DD$60)</f>
        <v>3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256</v>
      </c>
      <c r="DH61" s="52">
        <f>SUM($CQ$61,$CR$61,$CS$61,$CT$61,$CU$61,$CV$61,$CW$61,$CX$61)</f>
        <v>261</v>
      </c>
    </row>
    <row r="62" spans="1:112" ht="21" customHeight="1">
      <c r="A62" s="46">
        <v>44395.416666666701</v>
      </c>
      <c r="B62" s="53" t="s">
        <v>71</v>
      </c>
      <c r="C62" s="54">
        <v>1</v>
      </c>
      <c r="D62" s="54">
        <v>0</v>
      </c>
      <c r="E62" s="54">
        <v>2</v>
      </c>
      <c r="F62" s="54">
        <v>0</v>
      </c>
      <c r="G62" s="54">
        <v>0</v>
      </c>
      <c r="H62" s="54">
        <v>0</v>
      </c>
      <c r="I62" s="54">
        <v>0</v>
      </c>
      <c r="J62" s="61">
        <v>0</v>
      </c>
      <c r="K62" s="62">
        <f>$C$62*VLOOKUP($C$11,'PCU Values'!$B$9:$C$16,2,FALSE)</f>
        <v>1</v>
      </c>
      <c r="L62" s="62">
        <f>$D$62*VLOOKUP($D$11,'PCU Values'!$B$9:$C$16,2,FALSE)</f>
        <v>0</v>
      </c>
      <c r="M62" s="62">
        <f>$E$62*VLOOKUP($E$11,'PCU Values'!$B$9:$C$16,2,FALSE)</f>
        <v>3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4</v>
      </c>
      <c r="T62" s="52">
        <f>SUM($C$62,$D$62,$E$62,$F$62,$G$62,$H$62,$I$62,$J$62)</f>
        <v>3</v>
      </c>
      <c r="U62" s="72">
        <v>49</v>
      </c>
      <c r="V62" s="54">
        <v>11</v>
      </c>
      <c r="W62" s="54">
        <v>0</v>
      </c>
      <c r="X62" s="54">
        <v>0</v>
      </c>
      <c r="Y62" s="54">
        <v>1</v>
      </c>
      <c r="Z62" s="54">
        <v>1</v>
      </c>
      <c r="AA62" s="54">
        <v>0</v>
      </c>
      <c r="AB62" s="61">
        <v>0</v>
      </c>
      <c r="AC62" s="62">
        <f>$U$62*VLOOKUP($U$11,'PCU Values'!$B$9:$C$16,2,FALSE)</f>
        <v>49</v>
      </c>
      <c r="AD62" s="62">
        <f>$V$62*VLOOKUP($V$11,'PCU Values'!$B$9:$C$16,2,FALSE)</f>
        <v>11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2</v>
      </c>
      <c r="AH62" s="62">
        <f>$Z$62*VLOOKUP($Z$11,'PCU Values'!$B$9:$C$16,2,FALSE)</f>
        <v>0.2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62.2</v>
      </c>
      <c r="AL62" s="52">
        <f>SUM($U$62,$V$62,$W$62,$X$62,$Y$62,$Z$62,$AA$62,$AB$62)</f>
        <v>62</v>
      </c>
      <c r="AM62" s="72">
        <v>2</v>
      </c>
      <c r="AN62" s="54">
        <v>0</v>
      </c>
      <c r="AO62" s="54">
        <v>0</v>
      </c>
      <c r="AP62" s="54">
        <v>0</v>
      </c>
      <c r="AQ62" s="54">
        <v>0</v>
      </c>
      <c r="AR62" s="54">
        <v>3</v>
      </c>
      <c r="AS62" s="54">
        <v>0</v>
      </c>
      <c r="AT62" s="61">
        <v>0</v>
      </c>
      <c r="AU62" s="62">
        <f>$AM$62*VLOOKUP($AM$11,'PCU Values'!$B$9:$C$16,2,FALSE)</f>
        <v>2</v>
      </c>
      <c r="AV62" s="62">
        <f>$AN$62*VLOOKUP($AN$11,'PCU Values'!$B$9:$C$16,2,FALSE)</f>
        <v>0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0.6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2.6</v>
      </c>
      <c r="BD62" s="52">
        <f>SUM($AM$62,$AN$62,$AO$62,$AP$62,$AQ$62,$AR$62,$AS$62,$AT$62)</f>
        <v>5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52</v>
      </c>
      <c r="BZ62" s="85">
        <f>SUM($D$62,$V$62,$AN$62,$BF$62)</f>
        <v>11</v>
      </c>
      <c r="CA62" s="85">
        <f>SUM($E$62,$W$62,$AO$62,$BG$62)</f>
        <v>2</v>
      </c>
      <c r="CB62" s="85">
        <f>SUM($F$62,$X$62,$AP$62,$BH$62)</f>
        <v>0</v>
      </c>
      <c r="CC62" s="85">
        <f>SUM($G$62,$Y$62,$AQ$62,$BI$62)</f>
        <v>1</v>
      </c>
      <c r="CD62" s="85">
        <f>SUM($H$62,$Z$62,$AR$62,$BJ$62)</f>
        <v>4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52</v>
      </c>
      <c r="CH62" s="81">
        <f>$BZ$62*VLOOKUP($BZ$11,'PCU Values'!$B$9:$C$16,2,FALSE)</f>
        <v>11</v>
      </c>
      <c r="CI62" s="81">
        <f>$CA$62*VLOOKUP($CA$11,'PCU Values'!$B$9:$C$16,2,FALSE)</f>
        <v>3</v>
      </c>
      <c r="CJ62" s="81">
        <f>$CB$62*VLOOKUP($CB$11,'PCU Values'!$B$9:$C$16,2,FALSE)</f>
        <v>0</v>
      </c>
      <c r="CK62" s="81">
        <f>$CC$62*VLOOKUP($CC$11,'PCU Values'!$B$9:$C$16,2,FALSE)</f>
        <v>2</v>
      </c>
      <c r="CL62" s="81">
        <f>$CD$62*VLOOKUP($CD$11,'PCU Values'!$B$9:$C$16,2,FALSE)</f>
        <v>0.8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68.8</v>
      </c>
      <c r="CP62" s="52">
        <f>SUM($BY$62,$BZ$62,$CA$62,$CB$62,$CC$62,$CD$62,$CE$62,$CF$62)</f>
        <v>70</v>
      </c>
      <c r="CQ62" s="91">
        <f>SUM('J1 A - (North) Bishopthorpe Roa'!$U$62,'J1 B - Butcher Terrace'!$C$62,'J1 C - (South) Bishopthorpe Roa'!$BE$62,'J1 D - South Bank Avenue'!$AM$62)</f>
        <v>50</v>
      </c>
      <c r="CR62" s="85">
        <f>SUM('J1 A - (North) Bishopthorpe Roa'!$V$62,'J1 B - Butcher Terrace'!$D$62,'J1 C - (South) Bishopthorpe Roa'!$BF$62,'J1 D - South Bank Avenue'!$AN$62)</f>
        <v>11</v>
      </c>
      <c r="CS62" s="85">
        <f>SUM('J1 A - (North) Bishopthorpe Roa'!$W$62,'J1 B - Butcher Terrace'!$E$62,'J1 C - (South) Bishopthorpe Roa'!$BG$62,'J1 D - South Bank Avenue'!$AO$62)</f>
        <v>0</v>
      </c>
      <c r="CT62" s="85">
        <f>SUM('J1 A - (North) Bishopthorpe Roa'!$X$62,'J1 B - Butcher Terrace'!$F$62,'J1 C - (South) Bishopthorpe Roa'!$BH$62,'J1 D - South Bank Avenue'!$AP$62)</f>
        <v>0</v>
      </c>
      <c r="CU62" s="85">
        <f>SUM('J1 A - (North) Bishopthorpe Roa'!$Y$62,'J1 B - Butcher Terrace'!$G$62,'J1 C - (South) Bishopthorpe Roa'!$BI$62,'J1 D - South Bank Avenue'!$AQ$62)</f>
        <v>1</v>
      </c>
      <c r="CV62" s="85">
        <f>SUM('J1 A - (North) Bishopthorpe Roa'!$Z$62,'J1 B - Butcher Terrace'!$H$62,'J1 C - (South) Bishopthorpe Roa'!$BJ$62,'J1 D - South Bank Avenue'!$AR$62)</f>
        <v>1</v>
      </c>
      <c r="CW62" s="85">
        <f>SUM('J1 A - (North) Bishopthorpe Roa'!$AA$62,'J1 B - Butcher Terrace'!$I$62,'J1 C - (South) Bishopthorpe Roa'!$BK$62,'J1 D - South Bank Avenue'!$AS$62)</f>
        <v>0</v>
      </c>
      <c r="CX62" s="88">
        <f>SUM('J1 A - (North) Bishopthorpe Roa'!$AB$62,'J1 B - Butcher Terrace'!$J$62,'J1 C - (South) Bishopthorpe Roa'!$BL$62,'J1 D - South Bank Avenue'!$AT$62)</f>
        <v>1</v>
      </c>
      <c r="CY62" s="81">
        <f>$CQ$62*VLOOKUP($CQ$11,'PCU Values'!$B$9:$C$16,2,FALSE)</f>
        <v>50</v>
      </c>
      <c r="CZ62" s="81">
        <f>$CR$62*VLOOKUP($CR$11,'PCU Values'!$B$9:$C$16,2,FALSE)</f>
        <v>11</v>
      </c>
      <c r="DA62" s="81">
        <f>$CS$62*VLOOKUP($CS$11,'PCU Values'!$B$9:$C$16,2,FALSE)</f>
        <v>0</v>
      </c>
      <c r="DB62" s="81">
        <f>$CT$62*VLOOKUP($CT$11,'PCU Values'!$B$9:$C$16,2,FALSE)</f>
        <v>0</v>
      </c>
      <c r="DC62" s="81">
        <f>$CU$62*VLOOKUP($CU$11,'PCU Values'!$B$9:$C$16,2,FALSE)</f>
        <v>2</v>
      </c>
      <c r="DD62" s="81">
        <f>$CV$62*VLOOKUP($CV$11,'PCU Values'!$B$9:$C$16,2,FALSE)</f>
        <v>0.2</v>
      </c>
      <c r="DE62" s="81">
        <f>$CW$62*VLOOKUP($CW$11,'PCU Values'!$B$9:$C$16,2,FALSE)</f>
        <v>0</v>
      </c>
      <c r="DF62" s="82">
        <f>$CX$62*VLOOKUP($CX$11,'PCU Values'!$B$9:$C$16,2,FALSE)</f>
        <v>1.5</v>
      </c>
      <c r="DG62" s="71">
        <f>SUM($CY$62,$CZ$62,$DA$62,$DB$62,$DC$62,$DD$62,$DE$62,$DF$62)</f>
        <v>64.7</v>
      </c>
      <c r="DH62" s="52">
        <f>SUM($CQ$62,$CR$62,$CS$62,$CT$62,$CU$62,$CV$62,$CW$62,$CX$62)</f>
        <v>64</v>
      </c>
    </row>
    <row r="63" spans="1:112" ht="21" customHeight="1">
      <c r="A63" s="46">
        <v>44395.427083333299</v>
      </c>
      <c r="B63" s="47" t="s">
        <v>72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0</v>
      </c>
      <c r="L63" s="57">
        <f>$D$63*VLOOKUP($D$11,'PCU Values'!$B$9:$C$16,2,FALSE)</f>
        <v>0</v>
      </c>
      <c r="M63" s="57">
        <f>$E$63*VLOOKUP($E$11,'PCU Values'!$B$9:$C$16,2,FALSE)</f>
        <v>0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0</v>
      </c>
      <c r="T63" s="52">
        <f>SUM($C$63,$D$63,$E$63,$F$63,$G$63,$H$63,$I$63,$J$63)</f>
        <v>0</v>
      </c>
      <c r="U63" s="67">
        <v>47</v>
      </c>
      <c r="V63" s="48">
        <v>8</v>
      </c>
      <c r="W63" s="48">
        <v>1</v>
      </c>
      <c r="X63" s="48">
        <v>0</v>
      </c>
      <c r="Y63" s="48">
        <v>0</v>
      </c>
      <c r="Z63" s="48">
        <v>3</v>
      </c>
      <c r="AA63" s="48">
        <v>0</v>
      </c>
      <c r="AB63" s="56">
        <v>0</v>
      </c>
      <c r="AC63" s="57">
        <f>$U$63*VLOOKUP($U$11,'PCU Values'!$B$9:$C$16,2,FALSE)</f>
        <v>47</v>
      </c>
      <c r="AD63" s="57">
        <f>$V$63*VLOOKUP($V$11,'PCU Values'!$B$9:$C$16,2,FALSE)</f>
        <v>8</v>
      </c>
      <c r="AE63" s="57">
        <f>$W$63*VLOOKUP($W$11,'PCU Values'!$B$9:$C$16,2,FALSE)</f>
        <v>1.5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0.6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57.1</v>
      </c>
      <c r="AL63" s="52">
        <f>SUM($U$63,$V$63,$W$63,$X$63,$Y$63,$Z$63,$AA$63,$AB$63)</f>
        <v>59</v>
      </c>
      <c r="AM63" s="67">
        <v>0</v>
      </c>
      <c r="AN63" s="48">
        <v>1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0</v>
      </c>
      <c r="AV63" s="57">
        <f>$AN$63*VLOOKUP($AN$11,'PCU Values'!$B$9:$C$16,2,FALSE)</f>
        <v>1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</v>
      </c>
      <c r="BD63" s="52">
        <f>SUM($AM$63,$AN$63,$AO$63,$AP$63,$AQ$63,$AR$63,$AS$63,$AT$63)</f>
        <v>1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47</v>
      </c>
      <c r="BZ63" s="83">
        <f>SUM($D$63,$V$63,$AN$63,$BF$63)</f>
        <v>9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3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47</v>
      </c>
      <c r="CH63" s="77">
        <f>$BZ$63*VLOOKUP($BZ$11,'PCU Values'!$B$9:$C$16,2,FALSE)</f>
        <v>9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0.6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58.1</v>
      </c>
      <c r="CP63" s="52">
        <f>SUM($BY$63,$BZ$63,$CA$63,$CB$63,$CC$63,$CD$63,$CE$63,$CF$63)</f>
        <v>60</v>
      </c>
      <c r="CQ63" s="89">
        <f>SUM('J1 A - (North) Bishopthorpe Roa'!$U$63,'J1 B - Butcher Terrace'!$C$63,'J1 C - (South) Bishopthorpe Roa'!$BE$63,'J1 D - South Bank Avenue'!$AM$63)</f>
        <v>49</v>
      </c>
      <c r="CR63" s="83">
        <f>SUM('J1 A - (North) Bishopthorpe Roa'!$V$63,'J1 B - Butcher Terrace'!$D$63,'J1 C - (South) Bishopthorpe Roa'!$BF$63,'J1 D - South Bank Avenue'!$AN$63)</f>
        <v>9</v>
      </c>
      <c r="CS63" s="83">
        <f>SUM('J1 A - (North) Bishopthorpe Roa'!$W$63,'J1 B - Butcher Terrace'!$E$63,'J1 C - (South) Bishopthorpe Roa'!$BG$63,'J1 D - South Bank Avenue'!$AO$63)</f>
        <v>4</v>
      </c>
      <c r="CT63" s="83">
        <f>SUM('J1 A - (North) Bishopthorpe Roa'!$X$63,'J1 B - Butcher Terrace'!$F$63,'J1 C - (South) Bishopthorpe Roa'!$BH$63,'J1 D - South Bank Avenue'!$AP$63)</f>
        <v>0</v>
      </c>
      <c r="CU63" s="83">
        <f>SUM('J1 A - (North) Bishopthorpe Roa'!$Y$63,'J1 B - Butcher Terrace'!$G$63,'J1 C - (South) Bishopthorpe Roa'!$BI$63,'J1 D - South Bank Avenue'!$AQ$63)</f>
        <v>0</v>
      </c>
      <c r="CV63" s="83">
        <f>SUM('J1 A - (North) Bishopthorpe Roa'!$Z$63,'J1 B - Butcher Terrace'!$H$63,'J1 C - (South) Bishopthorpe Roa'!$BJ$63,'J1 D - South Bank Avenue'!$AR$63)</f>
        <v>8</v>
      </c>
      <c r="CW63" s="83">
        <f>SUM('J1 A - (North) Bishopthorpe Roa'!$AA$63,'J1 B - Butcher Terrace'!$I$63,'J1 C - (South) Bishopthorpe Roa'!$BK$63,'J1 D - South Bank Avenue'!$AS$63)</f>
        <v>0</v>
      </c>
      <c r="CX63" s="86">
        <f>SUM('J1 A - (North) Bishopthorpe Roa'!$AB$63,'J1 B - Butcher Terrace'!$J$63,'J1 C - (South) Bishopthorpe Roa'!$BL$63,'J1 D - South Bank Avenue'!$AT$63)</f>
        <v>1</v>
      </c>
      <c r="CY63" s="77">
        <f>$CQ$63*VLOOKUP($CQ$11,'PCU Values'!$B$9:$C$16,2,FALSE)</f>
        <v>49</v>
      </c>
      <c r="CZ63" s="77">
        <f>$CR$63*VLOOKUP($CR$11,'PCU Values'!$B$9:$C$16,2,FALSE)</f>
        <v>9</v>
      </c>
      <c r="DA63" s="77">
        <f>$CS$63*VLOOKUP($CS$11,'PCU Values'!$B$9:$C$16,2,FALSE)</f>
        <v>6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1.6</v>
      </c>
      <c r="DE63" s="77">
        <f>$CW$63*VLOOKUP($CW$11,'PCU Values'!$B$9:$C$16,2,FALSE)</f>
        <v>0</v>
      </c>
      <c r="DF63" s="78">
        <f>$CX$63*VLOOKUP($CX$11,'PCU Values'!$B$9:$C$16,2,FALSE)</f>
        <v>1.5</v>
      </c>
      <c r="DG63" s="66">
        <f>SUM($CY$63,$CZ$63,$DA$63,$DB$63,$DC$63,$DD$63,$DE$63,$DF$63)</f>
        <v>67.099999999999994</v>
      </c>
      <c r="DH63" s="52">
        <f>SUM($CQ$63,$CR$63,$CS$63,$CT$63,$CU$63,$CV$63,$CW$63,$CX$63)</f>
        <v>71</v>
      </c>
    </row>
    <row r="64" spans="1:112" ht="21" customHeight="1">
      <c r="A64" s="46">
        <v>44395.4375</v>
      </c>
      <c r="B64" s="47" t="s">
        <v>73</v>
      </c>
      <c r="C64" s="48">
        <v>3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56">
        <v>0</v>
      </c>
      <c r="K64" s="57">
        <f>$C$64*VLOOKUP($C$11,'PCU Values'!$B$9:$C$16,2,FALSE)</f>
        <v>3</v>
      </c>
      <c r="L64" s="57">
        <f>$D$64*VLOOKUP($D$11,'PCU Values'!$B$9:$C$16,2,FALSE)</f>
        <v>0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3</v>
      </c>
      <c r="T64" s="52">
        <f>SUM($C$64,$D$64,$E$64,$F$64,$G$64,$H$64,$I$64,$J$64)</f>
        <v>3</v>
      </c>
      <c r="U64" s="67">
        <v>51</v>
      </c>
      <c r="V64" s="48">
        <v>4</v>
      </c>
      <c r="W64" s="48">
        <v>1</v>
      </c>
      <c r="X64" s="48">
        <v>0</v>
      </c>
      <c r="Y64" s="48">
        <v>1</v>
      </c>
      <c r="Z64" s="48">
        <v>2</v>
      </c>
      <c r="AA64" s="48">
        <v>1</v>
      </c>
      <c r="AB64" s="56">
        <v>0</v>
      </c>
      <c r="AC64" s="57">
        <f>$U$64*VLOOKUP($U$11,'PCU Values'!$B$9:$C$16,2,FALSE)</f>
        <v>51</v>
      </c>
      <c r="AD64" s="57">
        <f>$V$64*VLOOKUP($V$11,'PCU Values'!$B$9:$C$16,2,FALSE)</f>
        <v>4</v>
      </c>
      <c r="AE64" s="57">
        <f>$W$64*VLOOKUP($W$11,'PCU Values'!$B$9:$C$16,2,FALSE)</f>
        <v>1.5</v>
      </c>
      <c r="AF64" s="57">
        <f>$X$64*VLOOKUP($X$11,'PCU Values'!$B$9:$C$16,2,FALSE)</f>
        <v>0</v>
      </c>
      <c r="AG64" s="57">
        <f>$Y$64*VLOOKUP($Y$11,'PCU Values'!$B$9:$C$16,2,FALSE)</f>
        <v>2</v>
      </c>
      <c r="AH64" s="57">
        <f>$Z$64*VLOOKUP($Z$11,'PCU Values'!$B$9:$C$16,2,FALSE)</f>
        <v>0.4</v>
      </c>
      <c r="AI64" s="57">
        <f>$AA$64*VLOOKUP($AA$11,'PCU Values'!$B$9:$C$16,2,FALSE)</f>
        <v>0.4</v>
      </c>
      <c r="AJ64" s="65">
        <f>$AB$64*VLOOKUP($AB$11,'PCU Values'!$B$9:$C$16,2,FALSE)</f>
        <v>0</v>
      </c>
      <c r="AK64" s="66">
        <f>SUM($AC$64,$AD$64,$AE$64,$AF$64,$AG$64,$AH$64,$AI$64,$AJ$64)</f>
        <v>59.3</v>
      </c>
      <c r="AL64" s="52">
        <f>SUM($U$64,$V$64,$W$64,$X$64,$Y$64,$Z$64,$AA$64,$AB$64)</f>
        <v>60</v>
      </c>
      <c r="AM64" s="67">
        <v>0</v>
      </c>
      <c r="AN64" s="48">
        <v>0</v>
      </c>
      <c r="AO64" s="48">
        <v>0</v>
      </c>
      <c r="AP64" s="48">
        <v>0</v>
      </c>
      <c r="AQ64" s="48">
        <v>0</v>
      </c>
      <c r="AR64" s="48">
        <v>1</v>
      </c>
      <c r="AS64" s="48">
        <v>0</v>
      </c>
      <c r="AT64" s="56">
        <v>0</v>
      </c>
      <c r="AU64" s="57">
        <f>$AM$64*VLOOKUP($AM$11,'PCU Values'!$B$9:$C$16,2,FALSE)</f>
        <v>0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0.2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0.2</v>
      </c>
      <c r="BD64" s="52">
        <f>SUM($AM$64,$AN$64,$AO$64,$AP$64,$AQ$64,$AR$64,$AS$64,$AT$64)</f>
        <v>1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54</v>
      </c>
      <c r="BZ64" s="83">
        <f>SUM($D$64,$V$64,$AN$64,$BF$64)</f>
        <v>4</v>
      </c>
      <c r="CA64" s="83">
        <f>SUM($E$64,$W$64,$AO$64,$BG$64)</f>
        <v>1</v>
      </c>
      <c r="CB64" s="83">
        <f>SUM($F$64,$X$64,$AP$64,$BH$64)</f>
        <v>0</v>
      </c>
      <c r="CC64" s="83">
        <f>SUM($G$64,$Y$64,$AQ$64,$BI$64)</f>
        <v>1</v>
      </c>
      <c r="CD64" s="83">
        <f>SUM($H$64,$Z$64,$AR$64,$BJ$64)</f>
        <v>3</v>
      </c>
      <c r="CE64" s="83">
        <f>SUM($I$64,$AA$64,$AS$64,$BK$64)</f>
        <v>1</v>
      </c>
      <c r="CF64" s="86">
        <f>SUM($J$64,$AB$64,$AT$64,$BL$64)</f>
        <v>0</v>
      </c>
      <c r="CG64" s="77">
        <f>$BY$64*VLOOKUP($BY$11,'PCU Values'!$B$9:$C$16,2,FALSE)</f>
        <v>54</v>
      </c>
      <c r="CH64" s="77">
        <f>$BZ$64*VLOOKUP($BZ$11,'PCU Values'!$B$9:$C$16,2,FALSE)</f>
        <v>4</v>
      </c>
      <c r="CI64" s="77">
        <f>$CA$64*VLOOKUP($CA$11,'PCU Values'!$B$9:$C$16,2,FALSE)</f>
        <v>1.5</v>
      </c>
      <c r="CJ64" s="77">
        <f>$CB$64*VLOOKUP($CB$11,'PCU Values'!$B$9:$C$16,2,FALSE)</f>
        <v>0</v>
      </c>
      <c r="CK64" s="77">
        <f>$CC$64*VLOOKUP($CC$11,'PCU Values'!$B$9:$C$16,2,FALSE)</f>
        <v>2</v>
      </c>
      <c r="CL64" s="77">
        <f>$CD$64*VLOOKUP($CD$11,'PCU Values'!$B$9:$C$16,2,FALSE)</f>
        <v>0.6</v>
      </c>
      <c r="CM64" s="77">
        <f>$CE$64*VLOOKUP($CE$11,'PCU Values'!$B$9:$C$16,2,FALSE)</f>
        <v>0.4</v>
      </c>
      <c r="CN64" s="78">
        <f>$CF$64*VLOOKUP($CF$11,'PCU Values'!$B$9:$C$16,2,FALSE)</f>
        <v>0</v>
      </c>
      <c r="CO64" s="66">
        <f>SUM($CG$64,$CH$64,$CI$64,$CJ$64,$CK$64,$CL$64,$CM$64,$CN$64)</f>
        <v>62.5</v>
      </c>
      <c r="CP64" s="52">
        <f>SUM($BY$64,$BZ$64,$CA$64,$CB$64,$CC$64,$CD$64,$CE$64,$CF$64)</f>
        <v>64</v>
      </c>
      <c r="CQ64" s="89">
        <f>SUM('J1 A - (North) Bishopthorpe Roa'!$U$64,'J1 B - Butcher Terrace'!$C$64,'J1 C - (South) Bishopthorpe Roa'!$BE$64,'J1 D - South Bank Avenue'!$AM$64)</f>
        <v>47</v>
      </c>
      <c r="CR64" s="83">
        <f>SUM('J1 A - (North) Bishopthorpe Roa'!$V$64,'J1 B - Butcher Terrace'!$D$64,'J1 C - (South) Bishopthorpe Roa'!$BF$64,'J1 D - South Bank Avenue'!$AN$64)</f>
        <v>11</v>
      </c>
      <c r="CS64" s="83">
        <f>SUM('J1 A - (North) Bishopthorpe Roa'!$W$64,'J1 B - Butcher Terrace'!$E$64,'J1 C - (South) Bishopthorpe Roa'!$BG$64,'J1 D - South Bank Avenue'!$AO$64)</f>
        <v>2</v>
      </c>
      <c r="CT64" s="83">
        <f>SUM('J1 A - (North) Bishopthorpe Roa'!$X$64,'J1 B - Butcher Terrace'!$F$64,'J1 C - (South) Bishopthorpe Roa'!$BH$64,'J1 D - South Bank Avenue'!$AP$64)</f>
        <v>0</v>
      </c>
      <c r="CU64" s="83">
        <f>SUM('J1 A - (North) Bishopthorpe Roa'!$Y$64,'J1 B - Butcher Terrace'!$G$64,'J1 C - (South) Bishopthorpe Roa'!$BI$64,'J1 D - South Bank Avenue'!$AQ$64)</f>
        <v>2</v>
      </c>
      <c r="CV64" s="83">
        <f>SUM('J1 A - (North) Bishopthorpe Roa'!$Z$64,'J1 B - Butcher Terrace'!$H$64,'J1 C - (South) Bishopthorpe Roa'!$BJ$64,'J1 D - South Bank Avenue'!$AR$64)</f>
        <v>4</v>
      </c>
      <c r="CW64" s="83">
        <f>SUM('J1 A - (North) Bishopthorpe Roa'!$AA$64,'J1 B - Butcher Terrace'!$I$64,'J1 C - (South) Bishopthorpe Roa'!$BK$64,'J1 D - South Bank Avenue'!$AS$64)</f>
        <v>1</v>
      </c>
      <c r="CX64" s="86">
        <f>SUM('J1 A - (North) Bishopthorpe Roa'!$AB$64,'J1 B - Butcher Terrace'!$J$64,'J1 C - (South) Bishopthorpe Roa'!$BL$64,'J1 D - South Bank Avenue'!$AT$64)</f>
        <v>2</v>
      </c>
      <c r="CY64" s="77">
        <f>$CQ$64*VLOOKUP($CQ$11,'PCU Values'!$B$9:$C$16,2,FALSE)</f>
        <v>47</v>
      </c>
      <c r="CZ64" s="77">
        <f>$CR$64*VLOOKUP($CR$11,'PCU Values'!$B$9:$C$16,2,FALSE)</f>
        <v>11</v>
      </c>
      <c r="DA64" s="77">
        <f>$CS$64*VLOOKUP($CS$11,'PCU Values'!$B$9:$C$16,2,FALSE)</f>
        <v>3</v>
      </c>
      <c r="DB64" s="77">
        <f>$CT$64*VLOOKUP($CT$11,'PCU Values'!$B$9:$C$16,2,FALSE)</f>
        <v>0</v>
      </c>
      <c r="DC64" s="77">
        <f>$CU$64*VLOOKUP($CU$11,'PCU Values'!$B$9:$C$16,2,FALSE)</f>
        <v>4</v>
      </c>
      <c r="DD64" s="77">
        <f>$CV$64*VLOOKUP($CV$11,'PCU Values'!$B$9:$C$16,2,FALSE)</f>
        <v>0.8</v>
      </c>
      <c r="DE64" s="77">
        <f>$CW$64*VLOOKUP($CW$11,'PCU Values'!$B$9:$C$16,2,FALSE)</f>
        <v>0.4</v>
      </c>
      <c r="DF64" s="78">
        <f>$CX$64*VLOOKUP($CX$11,'PCU Values'!$B$9:$C$16,2,FALSE)</f>
        <v>3</v>
      </c>
      <c r="DG64" s="66">
        <f>SUM($CY$64,$CZ$64,$DA$64,$DB$64,$DC$64,$DD$64,$DE$64,$DF$64)</f>
        <v>69.2</v>
      </c>
      <c r="DH64" s="52">
        <f>SUM($CQ$64,$CR$64,$CS$64,$CT$64,$CU$64,$CV$64,$CW$64,$CX$64)</f>
        <v>69</v>
      </c>
    </row>
    <row r="65" spans="1:112" ht="21" customHeight="1">
      <c r="A65" s="46">
        <v>44395.447916666701</v>
      </c>
      <c r="B65" s="50" t="s">
        <v>74</v>
      </c>
      <c r="C65" s="51">
        <v>3</v>
      </c>
      <c r="D65" s="51">
        <v>1</v>
      </c>
      <c r="E65" s="51">
        <v>0</v>
      </c>
      <c r="F65" s="51">
        <v>0</v>
      </c>
      <c r="G65" s="51">
        <v>0</v>
      </c>
      <c r="H65" s="51">
        <v>0</v>
      </c>
      <c r="I65" s="51">
        <v>0</v>
      </c>
      <c r="J65" s="59">
        <v>0</v>
      </c>
      <c r="K65" s="60">
        <f>$C$65*VLOOKUP($C$11,'PCU Values'!$B$9:$C$16,2,FALSE)</f>
        <v>3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4</v>
      </c>
      <c r="T65" s="52">
        <f>SUM($C$65,$D$65,$E$65,$F$65,$G$65,$H$65,$I$65,$J$65)</f>
        <v>4</v>
      </c>
      <c r="U65" s="73">
        <v>44</v>
      </c>
      <c r="V65" s="51">
        <v>5</v>
      </c>
      <c r="W65" s="51">
        <v>3</v>
      </c>
      <c r="X65" s="51">
        <v>2</v>
      </c>
      <c r="Y65" s="51">
        <v>2</v>
      </c>
      <c r="Z65" s="51">
        <v>2</v>
      </c>
      <c r="AA65" s="51">
        <v>0</v>
      </c>
      <c r="AB65" s="59">
        <v>0</v>
      </c>
      <c r="AC65" s="60">
        <f>$U$65*VLOOKUP($U$11,'PCU Values'!$B$9:$C$16,2,FALSE)</f>
        <v>44</v>
      </c>
      <c r="AD65" s="60">
        <f>$V$65*VLOOKUP($V$11,'PCU Values'!$B$9:$C$16,2,FALSE)</f>
        <v>5</v>
      </c>
      <c r="AE65" s="60">
        <f>$W$65*VLOOKUP($W$11,'PCU Values'!$B$9:$C$16,2,FALSE)</f>
        <v>4.5</v>
      </c>
      <c r="AF65" s="60">
        <f>$X$65*VLOOKUP($X$11,'PCU Values'!$B$9:$C$16,2,FALSE)</f>
        <v>4.5999999999999996</v>
      </c>
      <c r="AG65" s="60">
        <f>$Y$65*VLOOKUP($Y$11,'PCU Values'!$B$9:$C$16,2,FALSE)</f>
        <v>4</v>
      </c>
      <c r="AH65" s="60">
        <f>$Z$65*VLOOKUP($Z$11,'PCU Values'!$B$9:$C$16,2,FALSE)</f>
        <v>0.4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62.5</v>
      </c>
      <c r="AL65" s="52">
        <f>SUM($U$65,$V$65,$W$65,$X$65,$Y$65,$Z$65,$AA$65,$AB$65)</f>
        <v>58</v>
      </c>
      <c r="AM65" s="73">
        <v>1</v>
      </c>
      <c r="AN65" s="51">
        <v>0</v>
      </c>
      <c r="AO65" s="51">
        <v>0</v>
      </c>
      <c r="AP65" s="51">
        <v>0</v>
      </c>
      <c r="AQ65" s="51">
        <v>0</v>
      </c>
      <c r="AR65" s="51">
        <v>1</v>
      </c>
      <c r="AS65" s="51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0.2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1.2</v>
      </c>
      <c r="BD65" s="52">
        <f>SUM($AM$65,$AN$65,$AO$65,$AP$65,$AQ$65,$AR$65,$AS$65,$AT$65)</f>
        <v>2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48</v>
      </c>
      <c r="BZ65" s="84">
        <f>SUM($D$65,$V$65,$AN$65,$BF$65)</f>
        <v>6</v>
      </c>
      <c r="CA65" s="84">
        <f>SUM($E$65,$W$65,$AO$65,$BG$65)</f>
        <v>3</v>
      </c>
      <c r="CB65" s="84">
        <f>SUM($F$65,$X$65,$AP$65,$BH$65)</f>
        <v>2</v>
      </c>
      <c r="CC65" s="84">
        <f>SUM($G$65,$Y$65,$AQ$65,$BI$65)</f>
        <v>2</v>
      </c>
      <c r="CD65" s="84">
        <f>SUM($H$65,$Z$65,$AR$65,$BJ$65)</f>
        <v>3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48</v>
      </c>
      <c r="CH65" s="79">
        <f>$BZ$65*VLOOKUP($BZ$11,'PCU Values'!$B$9:$C$16,2,FALSE)</f>
        <v>6</v>
      </c>
      <c r="CI65" s="79">
        <f>$CA$65*VLOOKUP($CA$11,'PCU Values'!$B$9:$C$16,2,FALSE)</f>
        <v>4.5</v>
      </c>
      <c r="CJ65" s="79">
        <f>$CB$65*VLOOKUP($CB$11,'PCU Values'!$B$9:$C$16,2,FALSE)</f>
        <v>4.5999999999999996</v>
      </c>
      <c r="CK65" s="79">
        <f>$CC$65*VLOOKUP($CC$11,'PCU Values'!$B$9:$C$16,2,FALSE)</f>
        <v>4</v>
      </c>
      <c r="CL65" s="79">
        <f>$CD$65*VLOOKUP($CD$11,'PCU Values'!$B$9:$C$16,2,FALSE)</f>
        <v>0.6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67.7</v>
      </c>
      <c r="CP65" s="52">
        <f>SUM($BY$65,$BZ$65,$CA$65,$CB$65,$CC$65,$CD$65,$CE$65,$CF$65)</f>
        <v>64</v>
      </c>
      <c r="CQ65" s="90">
        <f>SUM('J1 A - (North) Bishopthorpe Roa'!$U$65,'J1 B - Butcher Terrace'!$C$65,'J1 C - (South) Bishopthorpe Roa'!$BE$65,'J1 D - South Bank Avenue'!$AM$65)</f>
        <v>51</v>
      </c>
      <c r="CR65" s="84">
        <f>SUM('J1 A - (North) Bishopthorpe Roa'!$V$65,'J1 B - Butcher Terrace'!$D$65,'J1 C - (South) Bishopthorpe Roa'!$BF$65,'J1 D - South Bank Avenue'!$AN$65)</f>
        <v>8</v>
      </c>
      <c r="CS65" s="84">
        <f>SUM('J1 A - (North) Bishopthorpe Roa'!$W$65,'J1 B - Butcher Terrace'!$E$65,'J1 C - (South) Bishopthorpe Roa'!$BG$65,'J1 D - South Bank Avenue'!$AO$65)</f>
        <v>1</v>
      </c>
      <c r="CT65" s="84">
        <f>SUM('J1 A - (North) Bishopthorpe Roa'!$X$65,'J1 B - Butcher Terrace'!$F$65,'J1 C - (South) Bishopthorpe Roa'!$BH$65,'J1 D - South Bank Avenue'!$AP$65)</f>
        <v>0</v>
      </c>
      <c r="CU65" s="84">
        <f>SUM('J1 A - (North) Bishopthorpe Roa'!$Y$65,'J1 B - Butcher Terrace'!$G$65,'J1 C - (South) Bishopthorpe Roa'!$BI$65,'J1 D - South Bank Avenue'!$AQ$65)</f>
        <v>0</v>
      </c>
      <c r="CV65" s="84">
        <f>SUM('J1 A - (North) Bishopthorpe Roa'!$Z$65,'J1 B - Butcher Terrace'!$H$65,'J1 C - (South) Bishopthorpe Roa'!$BJ$65,'J1 D - South Bank Avenue'!$AR$65)</f>
        <v>2</v>
      </c>
      <c r="CW65" s="84">
        <f>SUM('J1 A - (North) Bishopthorpe Roa'!$AA$65,'J1 B - Butcher Terrace'!$I$65,'J1 C - (South) Bishopthorpe Roa'!$BK$65,'J1 D - South Bank Avenue'!$AS$65)</f>
        <v>2</v>
      </c>
      <c r="CX65" s="87">
        <f>SUM('J1 A - (North) Bishopthorpe Roa'!$AB$65,'J1 B - Butcher Terrace'!$J$65,'J1 C - (South) Bishopthorpe Roa'!$BL$65,'J1 D - South Bank Avenue'!$AT$65)</f>
        <v>0</v>
      </c>
      <c r="CY65" s="79">
        <f>$CQ$65*VLOOKUP($CQ$11,'PCU Values'!$B$9:$C$16,2,FALSE)</f>
        <v>51</v>
      </c>
      <c r="CZ65" s="79">
        <f>$CR$65*VLOOKUP($CR$11,'PCU Values'!$B$9:$C$16,2,FALSE)</f>
        <v>8</v>
      </c>
      <c r="DA65" s="79">
        <f>$CS$65*VLOOKUP($CS$11,'PCU Values'!$B$9:$C$16,2,FALSE)</f>
        <v>1.5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0.4</v>
      </c>
      <c r="DE65" s="79">
        <f>$CW$65*VLOOKUP($CW$11,'PCU Values'!$B$9:$C$16,2,FALSE)</f>
        <v>0.8</v>
      </c>
      <c r="DF65" s="80">
        <f>$CX$65*VLOOKUP($CX$11,'PCU Values'!$B$9:$C$16,2,FALSE)</f>
        <v>0</v>
      </c>
      <c r="DG65" s="63">
        <f>SUM($CY$65,$CZ$65,$DA$65,$DB$65,$DC$65,$DD$65,$DE$65,$DF$65)</f>
        <v>61.7</v>
      </c>
      <c r="DH65" s="52">
        <f>SUM($CQ$65,$CR$65,$CS$65,$CT$65,$CU$65,$CV$65,$CW$65,$CX$65)</f>
        <v>64</v>
      </c>
    </row>
    <row r="66" spans="1:112">
      <c r="B66" s="52" t="s">
        <v>34</v>
      </c>
      <c r="C66" s="52">
        <f>SUM($C$62:$C$65)</f>
        <v>7</v>
      </c>
      <c r="D66" s="52">
        <f>SUM($D$62:$D$65)</f>
        <v>1</v>
      </c>
      <c r="E66" s="52">
        <f>SUM($E$62:$E$65)</f>
        <v>2</v>
      </c>
      <c r="F66" s="52">
        <f>SUM($F$62:$F$65)</f>
        <v>0</v>
      </c>
      <c r="G66" s="52">
        <f>SUM($G$62:$G$65)</f>
        <v>0</v>
      </c>
      <c r="H66" s="52">
        <f>SUM($H$62:$H$65)</f>
        <v>0</v>
      </c>
      <c r="I66" s="52">
        <f>SUM($I$62:$I$65)</f>
        <v>0</v>
      </c>
      <c r="J66" s="52">
        <f>SUM($J$62:$J$65)</f>
        <v>0</v>
      </c>
      <c r="K66" s="52">
        <f>SUM($K$62:$K$65)</f>
        <v>7</v>
      </c>
      <c r="L66" s="52">
        <f>SUM($L$62:$L$65)</f>
        <v>1</v>
      </c>
      <c r="M66" s="52">
        <f>SUM($M$62:$M$65)</f>
        <v>3</v>
      </c>
      <c r="N66" s="52">
        <f>SUM($N$62:$N$65)</f>
        <v>0</v>
      </c>
      <c r="O66" s="52">
        <f>SUM($O$62:$O$65)</f>
        <v>0</v>
      </c>
      <c r="P66" s="52">
        <f>SUM($P$62:$P$65)</f>
        <v>0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11</v>
      </c>
      <c r="T66" s="52">
        <f>SUM($C$66,$D$66,$E$66,$F$66,$G$66,$H$66,$I$66,$J$66)</f>
        <v>10</v>
      </c>
      <c r="U66" s="52">
        <f>SUM($U$62:$U$65)</f>
        <v>191</v>
      </c>
      <c r="V66" s="52">
        <f>SUM($V$62:$V$65)</f>
        <v>28</v>
      </c>
      <c r="W66" s="52">
        <f>SUM($W$62:$W$65)</f>
        <v>5</v>
      </c>
      <c r="X66" s="52">
        <f>SUM($X$62:$X$65)</f>
        <v>2</v>
      </c>
      <c r="Y66" s="52">
        <f>SUM($Y$62:$Y$65)</f>
        <v>4</v>
      </c>
      <c r="Z66" s="52">
        <f>SUM($Z$62:$Z$65)</f>
        <v>8</v>
      </c>
      <c r="AA66" s="52">
        <f>SUM($AA$62:$AA$65)</f>
        <v>1</v>
      </c>
      <c r="AB66" s="52">
        <f>SUM($AB$62:$AB$65)</f>
        <v>0</v>
      </c>
      <c r="AC66" s="52">
        <f>SUM($AC$62:$AC$65)</f>
        <v>191</v>
      </c>
      <c r="AD66" s="52">
        <f>SUM($AD$62:$AD$65)</f>
        <v>28</v>
      </c>
      <c r="AE66" s="52">
        <f>SUM($AE$62:$AE$65)</f>
        <v>8</v>
      </c>
      <c r="AF66" s="52">
        <f>SUM($AF$62:$AF$65)</f>
        <v>5</v>
      </c>
      <c r="AG66" s="52">
        <f>SUM($AG$62:$AG$65)</f>
        <v>8</v>
      </c>
      <c r="AH66" s="52">
        <f>SUM($AH$62:$AH$65)</f>
        <v>2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242</v>
      </c>
      <c r="AL66" s="52">
        <f>SUM($U$66,$V$66,$W$66,$X$66,$Y$66,$Z$66,$AA$66,$AB$66)</f>
        <v>239</v>
      </c>
      <c r="AM66" s="52">
        <f>SUM($AM$62:$AM$65)</f>
        <v>3</v>
      </c>
      <c r="AN66" s="52">
        <f>SUM($AN$62:$AN$65)</f>
        <v>1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5</v>
      </c>
      <c r="AS66" s="52">
        <f>SUM($AS$62:$AS$65)</f>
        <v>0</v>
      </c>
      <c r="AT66" s="52">
        <f>SUM($AT$62:$AT$65)</f>
        <v>0</v>
      </c>
      <c r="AU66" s="52">
        <f>SUM($AU$62:$AU$65)</f>
        <v>3</v>
      </c>
      <c r="AV66" s="52">
        <f>SUM($AV$62:$AV$65)</f>
        <v>1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1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5</v>
      </c>
      <c r="BD66" s="52">
        <f>SUM($AM$66,$AN$66,$AO$66,$AP$66,$AQ$66,$AR$66,$AS$66,$AT$66)</f>
        <v>9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201</v>
      </c>
      <c r="BZ66" s="52">
        <f>SUM($BZ$62:$BZ$65)</f>
        <v>30</v>
      </c>
      <c r="CA66" s="52">
        <f>SUM($CA$62:$CA$65)</f>
        <v>7</v>
      </c>
      <c r="CB66" s="52">
        <f>SUM($CB$62:$CB$65)</f>
        <v>2</v>
      </c>
      <c r="CC66" s="52">
        <f>SUM($CC$62:$CC$65)</f>
        <v>4</v>
      </c>
      <c r="CD66" s="52">
        <f>SUM($CD$62:$CD$65)</f>
        <v>13</v>
      </c>
      <c r="CE66" s="52">
        <f>SUM($CE$62:$CE$65)</f>
        <v>1</v>
      </c>
      <c r="CF66" s="52">
        <f>SUM($CF$62:$CF$65)</f>
        <v>0</v>
      </c>
      <c r="CG66" s="52">
        <f>SUM($CG$62:$CG$65)</f>
        <v>201</v>
      </c>
      <c r="CH66" s="52">
        <f>SUM($CH$62:$CH$65)</f>
        <v>30</v>
      </c>
      <c r="CI66" s="52">
        <f>SUM($CI$62:$CI$65)</f>
        <v>11</v>
      </c>
      <c r="CJ66" s="52">
        <f>SUM($CJ$62:$CJ$65)</f>
        <v>5</v>
      </c>
      <c r="CK66" s="52">
        <f>SUM($CK$62:$CK$65)</f>
        <v>8</v>
      </c>
      <c r="CL66" s="52">
        <f>SUM($CL$62:$CL$65)</f>
        <v>3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258</v>
      </c>
      <c r="CP66" s="52">
        <f>SUM($BY$66,$BZ$66,$CA$66,$CB$66,$CC$66,$CD$66,$CE$66,$CF$66)</f>
        <v>258</v>
      </c>
      <c r="CQ66" s="52">
        <f>SUM($CQ$62:$CQ$65)</f>
        <v>197</v>
      </c>
      <c r="CR66" s="52">
        <f>SUM($CR$62:$CR$65)</f>
        <v>39</v>
      </c>
      <c r="CS66" s="52">
        <f>SUM($CS$62:$CS$65)</f>
        <v>7</v>
      </c>
      <c r="CT66" s="52">
        <f>SUM($CT$62:$CT$65)</f>
        <v>0</v>
      </c>
      <c r="CU66" s="52">
        <f>SUM($CU$62:$CU$65)</f>
        <v>3</v>
      </c>
      <c r="CV66" s="52">
        <f>SUM($CV$62:$CV$65)</f>
        <v>15</v>
      </c>
      <c r="CW66" s="52">
        <f>SUM($CW$62:$CW$65)</f>
        <v>3</v>
      </c>
      <c r="CX66" s="52">
        <f>SUM($CX$62:$CX$65)</f>
        <v>4</v>
      </c>
      <c r="CY66" s="52">
        <f>SUM($CY$62:$CY$65)</f>
        <v>197</v>
      </c>
      <c r="CZ66" s="52">
        <f>SUM($CZ$62:$CZ$65)</f>
        <v>39</v>
      </c>
      <c r="DA66" s="52">
        <f>SUM($DA$62:$DA$65)</f>
        <v>11</v>
      </c>
      <c r="DB66" s="52">
        <f>SUM($DB$62:$DB$65)</f>
        <v>0</v>
      </c>
      <c r="DC66" s="52">
        <f>SUM($DC$62:$DC$65)</f>
        <v>6</v>
      </c>
      <c r="DD66" s="52">
        <f>SUM($DD$62:$DD$65)</f>
        <v>3</v>
      </c>
      <c r="DE66" s="52">
        <f>SUM($DE$62:$DE$65)</f>
        <v>1</v>
      </c>
      <c r="DF66" s="52">
        <f>SUM($DF$62:$DF$65)</f>
        <v>6</v>
      </c>
      <c r="DG66" s="52">
        <f>SUM($CY$66,$CZ$66,$DA$66,$DB$66,$DC$66,$DD$66,$DE$66,$DF$66)</f>
        <v>263</v>
      </c>
      <c r="DH66" s="52">
        <f>SUM($CQ$66,$CR$66,$CS$66,$CT$66,$CU$66,$CV$66,$CW$66,$CX$66)</f>
        <v>268</v>
      </c>
    </row>
    <row r="67" spans="1:112" ht="21" customHeight="1">
      <c r="A67" s="46">
        <v>44395.458333333299</v>
      </c>
      <c r="B67" s="53" t="s">
        <v>75</v>
      </c>
      <c r="C67" s="54">
        <v>3</v>
      </c>
      <c r="D67" s="54">
        <v>0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3</v>
      </c>
      <c r="L67" s="62">
        <f>$D$67*VLOOKUP($D$11,'PCU Values'!$B$9:$C$16,2,FALSE)</f>
        <v>0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3</v>
      </c>
      <c r="T67" s="52">
        <f>SUM($C$67,$D$67,$E$67,$F$67,$G$67,$H$67,$I$67,$J$67)</f>
        <v>3</v>
      </c>
      <c r="U67" s="72">
        <v>35</v>
      </c>
      <c r="V67" s="54">
        <v>7</v>
      </c>
      <c r="W67" s="54">
        <v>4</v>
      </c>
      <c r="X67" s="54">
        <v>0</v>
      </c>
      <c r="Y67" s="54">
        <v>1</v>
      </c>
      <c r="Z67" s="54">
        <v>1</v>
      </c>
      <c r="AA67" s="54">
        <v>0</v>
      </c>
      <c r="AB67" s="61">
        <v>0</v>
      </c>
      <c r="AC67" s="62">
        <f>$U$67*VLOOKUP($U$11,'PCU Values'!$B$9:$C$16,2,FALSE)</f>
        <v>35</v>
      </c>
      <c r="AD67" s="62">
        <f>$V$67*VLOOKUP($V$11,'PCU Values'!$B$9:$C$16,2,FALSE)</f>
        <v>7</v>
      </c>
      <c r="AE67" s="62">
        <f>$W$67*VLOOKUP($W$11,'PCU Values'!$B$9:$C$16,2,FALSE)</f>
        <v>6</v>
      </c>
      <c r="AF67" s="62">
        <f>$X$67*VLOOKUP($X$11,'PCU Values'!$B$9:$C$16,2,FALSE)</f>
        <v>0</v>
      </c>
      <c r="AG67" s="62">
        <f>$Y$67*VLOOKUP($Y$11,'PCU Values'!$B$9:$C$16,2,FALSE)</f>
        <v>2</v>
      </c>
      <c r="AH67" s="62">
        <f>$Z$67*VLOOKUP($Z$11,'PCU Values'!$B$9:$C$16,2,FALSE)</f>
        <v>0.2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50.2</v>
      </c>
      <c r="AL67" s="52">
        <f>SUM($U$67,$V$67,$W$67,$X$67,$Y$67,$Z$67,$AA$67,$AB$67)</f>
        <v>48</v>
      </c>
      <c r="AM67" s="72">
        <v>1</v>
      </c>
      <c r="AN67" s="54">
        <v>1</v>
      </c>
      <c r="AO67" s="54">
        <v>0</v>
      </c>
      <c r="AP67" s="54">
        <v>0</v>
      </c>
      <c r="AQ67" s="54">
        <v>0</v>
      </c>
      <c r="AR67" s="54">
        <v>1</v>
      </c>
      <c r="AS67" s="54">
        <v>0</v>
      </c>
      <c r="AT67" s="61">
        <v>0</v>
      </c>
      <c r="AU67" s="62">
        <f>$AM$67*VLOOKUP($AM$11,'PCU Values'!$B$9:$C$16,2,FALSE)</f>
        <v>1</v>
      </c>
      <c r="AV67" s="62">
        <f>$AN$67*VLOOKUP($AN$11,'PCU Values'!$B$9:$C$16,2,FALSE)</f>
        <v>1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0.2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2.2000000000000002</v>
      </c>
      <c r="BD67" s="52">
        <f>SUM($AM$67,$AN$67,$AO$67,$AP$67,$AQ$67,$AR$67,$AS$67,$AT$67)</f>
        <v>3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39</v>
      </c>
      <c r="BZ67" s="85">
        <f>SUM($D$67,$V$67,$AN$67,$BF$67)</f>
        <v>8</v>
      </c>
      <c r="CA67" s="85">
        <f>SUM($E$67,$W$67,$AO$67,$BG$67)</f>
        <v>4</v>
      </c>
      <c r="CB67" s="85">
        <f>SUM($F$67,$X$67,$AP$67,$BH$67)</f>
        <v>0</v>
      </c>
      <c r="CC67" s="85">
        <f>SUM($G$67,$Y$67,$AQ$67,$BI$67)</f>
        <v>1</v>
      </c>
      <c r="CD67" s="85">
        <f>SUM($H$67,$Z$67,$AR$67,$BJ$67)</f>
        <v>2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39</v>
      </c>
      <c r="CH67" s="81">
        <f>$BZ$67*VLOOKUP($BZ$11,'PCU Values'!$B$9:$C$16,2,FALSE)</f>
        <v>8</v>
      </c>
      <c r="CI67" s="81">
        <f>$CA$67*VLOOKUP($CA$11,'PCU Values'!$B$9:$C$16,2,FALSE)</f>
        <v>6</v>
      </c>
      <c r="CJ67" s="81">
        <f>$CB$67*VLOOKUP($CB$11,'PCU Values'!$B$9:$C$16,2,FALSE)</f>
        <v>0</v>
      </c>
      <c r="CK67" s="81">
        <f>$CC$67*VLOOKUP($CC$11,'PCU Values'!$B$9:$C$16,2,FALSE)</f>
        <v>2</v>
      </c>
      <c r="CL67" s="81">
        <f>$CD$67*VLOOKUP($CD$11,'PCU Values'!$B$9:$C$16,2,FALSE)</f>
        <v>0.4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55.4</v>
      </c>
      <c r="CP67" s="52">
        <f>SUM($BY$67,$BZ$67,$CA$67,$CB$67,$CC$67,$CD$67,$CE$67,$CF$67)</f>
        <v>54</v>
      </c>
      <c r="CQ67" s="91">
        <f>SUM('J1 A - (North) Bishopthorpe Roa'!$U$67,'J1 B - Butcher Terrace'!$C$67,'J1 C - (South) Bishopthorpe Roa'!$BE$67,'J1 D - South Bank Avenue'!$AM$67)</f>
        <v>43</v>
      </c>
      <c r="CR67" s="85">
        <f>SUM('J1 A - (North) Bishopthorpe Roa'!$V$67,'J1 B - Butcher Terrace'!$D$67,'J1 C - (South) Bishopthorpe Roa'!$BF$67,'J1 D - South Bank Avenue'!$AN$67)</f>
        <v>6</v>
      </c>
      <c r="CS67" s="85">
        <f>SUM('J1 A - (North) Bishopthorpe Roa'!$W$67,'J1 B - Butcher Terrace'!$E$67,'J1 C - (South) Bishopthorpe Roa'!$BG$67,'J1 D - South Bank Avenue'!$AO$67)</f>
        <v>1</v>
      </c>
      <c r="CT67" s="85">
        <f>SUM('J1 A - (North) Bishopthorpe Roa'!$X$67,'J1 B - Butcher Terrace'!$F$67,'J1 C - (South) Bishopthorpe Roa'!$BH$67,'J1 D - South Bank Avenue'!$AP$67)</f>
        <v>0</v>
      </c>
      <c r="CU67" s="85">
        <f>SUM('J1 A - (North) Bishopthorpe Roa'!$Y$67,'J1 B - Butcher Terrace'!$G$67,'J1 C - (South) Bishopthorpe Roa'!$BI$67,'J1 D - South Bank Avenue'!$AQ$67)</f>
        <v>1</v>
      </c>
      <c r="CV67" s="85">
        <f>SUM('J1 A - (North) Bishopthorpe Roa'!$Z$67,'J1 B - Butcher Terrace'!$H$67,'J1 C - (South) Bishopthorpe Roa'!$BJ$67,'J1 D - South Bank Avenue'!$AR$67)</f>
        <v>3</v>
      </c>
      <c r="CW67" s="85">
        <f>SUM('J1 A - (North) Bishopthorpe Roa'!$AA$67,'J1 B - Butcher Terrace'!$I$67,'J1 C - (South) Bishopthorpe Roa'!$BK$67,'J1 D - South Bank Avenue'!$AS$67)</f>
        <v>0</v>
      </c>
      <c r="CX67" s="88">
        <f>SUM('J1 A - (North) Bishopthorpe Roa'!$AB$67,'J1 B - Butcher Terrace'!$J$67,'J1 C - (South) Bishopthorpe Roa'!$BL$67,'J1 D - South Bank Avenue'!$AT$67)</f>
        <v>0</v>
      </c>
      <c r="CY67" s="81">
        <f>$CQ$67*VLOOKUP($CQ$11,'PCU Values'!$B$9:$C$16,2,FALSE)</f>
        <v>43</v>
      </c>
      <c r="CZ67" s="81">
        <f>$CR$67*VLOOKUP($CR$11,'PCU Values'!$B$9:$C$16,2,FALSE)</f>
        <v>6</v>
      </c>
      <c r="DA67" s="81">
        <f>$CS$67*VLOOKUP($CS$11,'PCU Values'!$B$9:$C$16,2,FALSE)</f>
        <v>1.5</v>
      </c>
      <c r="DB67" s="81">
        <f>$CT$67*VLOOKUP($CT$11,'PCU Values'!$B$9:$C$16,2,FALSE)</f>
        <v>0</v>
      </c>
      <c r="DC67" s="81">
        <f>$CU$67*VLOOKUP($CU$11,'PCU Values'!$B$9:$C$16,2,FALSE)</f>
        <v>2</v>
      </c>
      <c r="DD67" s="81">
        <f>$CV$67*VLOOKUP($CV$11,'PCU Values'!$B$9:$C$16,2,FALSE)</f>
        <v>0.6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53.1</v>
      </c>
      <c r="DH67" s="52">
        <f>SUM($CQ$67,$CR$67,$CS$67,$CT$67,$CU$67,$CV$67,$CW$67,$CX$67)</f>
        <v>54</v>
      </c>
    </row>
    <row r="68" spans="1:112" ht="21" customHeight="1">
      <c r="A68" s="46">
        <v>44395.46875</v>
      </c>
      <c r="B68" s="47" t="s">
        <v>76</v>
      </c>
      <c r="C68" s="48">
        <v>0</v>
      </c>
      <c r="D68" s="48">
        <v>2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56">
        <v>0</v>
      </c>
      <c r="K68" s="57">
        <f>$C$68*VLOOKUP($C$11,'PCU Values'!$B$9:$C$16,2,FALSE)</f>
        <v>0</v>
      </c>
      <c r="L68" s="57">
        <f>$D$68*VLOOKUP($D$11,'PCU Values'!$B$9:$C$16,2,FALSE)</f>
        <v>2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2</v>
      </c>
      <c r="T68" s="52">
        <f>SUM($C$68,$D$68,$E$68,$F$68,$G$68,$H$68,$I$68,$J$68)</f>
        <v>2</v>
      </c>
      <c r="U68" s="67">
        <v>41</v>
      </c>
      <c r="V68" s="48">
        <v>2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56">
        <v>0</v>
      </c>
      <c r="AC68" s="57">
        <f>$U$68*VLOOKUP($U$11,'PCU Values'!$B$9:$C$16,2,FALSE)</f>
        <v>41</v>
      </c>
      <c r="AD68" s="57">
        <f>$V$68*VLOOKUP($V$11,'PCU Values'!$B$9:$C$16,2,FALSE)</f>
        <v>2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43</v>
      </c>
      <c r="AL68" s="52">
        <f>SUM($U$68,$V$68,$W$68,$X$68,$Y$68,$Z$68,$AA$68,$AB$68)</f>
        <v>43</v>
      </c>
      <c r="AM68" s="67">
        <v>1</v>
      </c>
      <c r="AN68" s="48">
        <v>0</v>
      </c>
      <c r="AO68" s="48">
        <v>0</v>
      </c>
      <c r="AP68" s="48">
        <v>0</v>
      </c>
      <c r="AQ68" s="48">
        <v>0</v>
      </c>
      <c r="AR68" s="48">
        <v>2</v>
      </c>
      <c r="AS68" s="48">
        <v>0</v>
      </c>
      <c r="AT68" s="56">
        <v>0</v>
      </c>
      <c r="AU68" s="57">
        <f>$AM$68*VLOOKUP($AM$11,'PCU Values'!$B$9:$C$16,2,FALSE)</f>
        <v>1</v>
      </c>
      <c r="AV68" s="57">
        <f>$AN$68*VLOOKUP($AN$11,'PCU Values'!$B$9:$C$16,2,FALSE)</f>
        <v>0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0.4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1.4</v>
      </c>
      <c r="BD68" s="52">
        <f>SUM($AM$68,$AN$68,$AO$68,$AP$68,$AQ$68,$AR$68,$AS$68,$AT$68)</f>
        <v>3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42</v>
      </c>
      <c r="BZ68" s="83">
        <f>SUM($D$68,$V$68,$AN$68,$BF$68)</f>
        <v>4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2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42</v>
      </c>
      <c r="CH68" s="77">
        <f>$BZ$68*VLOOKUP($BZ$11,'PCU Values'!$B$9:$C$16,2,FALSE)</f>
        <v>4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0.4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46.4</v>
      </c>
      <c r="CP68" s="52">
        <f>SUM($BY$68,$BZ$68,$CA$68,$CB$68,$CC$68,$CD$68,$CE$68,$CF$68)</f>
        <v>48</v>
      </c>
      <c r="CQ68" s="89">
        <f>SUM('J1 A - (North) Bishopthorpe Roa'!$U$68,'J1 B - Butcher Terrace'!$C$68,'J1 C - (South) Bishopthorpe Roa'!$BE$68,'J1 D - South Bank Avenue'!$AM$68)</f>
        <v>47</v>
      </c>
      <c r="CR68" s="83">
        <f>SUM('J1 A - (North) Bishopthorpe Roa'!$V$68,'J1 B - Butcher Terrace'!$D$68,'J1 C - (South) Bishopthorpe Roa'!$BF$68,'J1 D - South Bank Avenue'!$AN$68)</f>
        <v>7</v>
      </c>
      <c r="CS68" s="83">
        <f>SUM('J1 A - (North) Bishopthorpe Roa'!$W$68,'J1 B - Butcher Terrace'!$E$68,'J1 C - (South) Bishopthorpe Roa'!$BG$68,'J1 D - South Bank Avenue'!$AO$68)</f>
        <v>0</v>
      </c>
      <c r="CT68" s="83">
        <f>SUM('J1 A - (North) Bishopthorpe Roa'!$X$68,'J1 B - Butcher Terrace'!$F$68,'J1 C - (South) Bishopthorpe Roa'!$BH$68,'J1 D - South Bank Avenue'!$AP$68)</f>
        <v>0</v>
      </c>
      <c r="CU68" s="83">
        <f>SUM('J1 A - (North) Bishopthorpe Roa'!$Y$68,'J1 B - Butcher Terrace'!$G$68,'J1 C - (South) Bishopthorpe Roa'!$BI$68,'J1 D - South Bank Avenue'!$AQ$68)</f>
        <v>1</v>
      </c>
      <c r="CV68" s="83">
        <f>SUM('J1 A - (North) Bishopthorpe Roa'!$Z$68,'J1 B - Butcher Terrace'!$H$68,'J1 C - (South) Bishopthorpe Roa'!$BJ$68,'J1 D - South Bank Avenue'!$AR$68)</f>
        <v>6</v>
      </c>
      <c r="CW68" s="83">
        <f>SUM('J1 A - (North) Bishopthorpe Roa'!$AA$68,'J1 B - Butcher Terrace'!$I$68,'J1 C - (South) Bishopthorpe Roa'!$BK$68,'J1 D - South Bank Avenue'!$AS$68)</f>
        <v>0</v>
      </c>
      <c r="CX68" s="86">
        <f>SUM('J1 A - (North) Bishopthorpe Roa'!$AB$68,'J1 B - Butcher Terrace'!$J$68,'J1 C - (South) Bishopthorpe Roa'!$BL$68,'J1 D - South Bank Avenue'!$AT$68)</f>
        <v>0</v>
      </c>
      <c r="CY68" s="77">
        <f>$CQ$68*VLOOKUP($CQ$11,'PCU Values'!$B$9:$C$16,2,FALSE)</f>
        <v>47</v>
      </c>
      <c r="CZ68" s="77">
        <f>$CR$68*VLOOKUP($CR$11,'PCU Values'!$B$9:$C$16,2,FALSE)</f>
        <v>7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2</v>
      </c>
      <c r="DD68" s="77">
        <f>$CV$68*VLOOKUP($CV$11,'PCU Values'!$B$9:$C$16,2,FALSE)</f>
        <v>1.2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57.2</v>
      </c>
      <c r="DH68" s="52">
        <f>SUM($CQ$68,$CR$68,$CS$68,$CT$68,$CU$68,$CV$68,$CW$68,$CX$68)</f>
        <v>61</v>
      </c>
    </row>
    <row r="69" spans="1:112" ht="21" customHeight="1">
      <c r="A69" s="46">
        <v>44395.479166666701</v>
      </c>
      <c r="B69" s="47" t="s">
        <v>77</v>
      </c>
      <c r="C69" s="48">
        <v>1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56">
        <v>0</v>
      </c>
      <c r="K69" s="57">
        <f>$C$69*VLOOKUP($C$11,'PCU Values'!$B$9:$C$16,2,FALSE)</f>
        <v>1</v>
      </c>
      <c r="L69" s="57">
        <f>$D$69*VLOOKUP($D$11,'PCU Values'!$B$9:$C$16,2,FALSE)</f>
        <v>0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1</v>
      </c>
      <c r="T69" s="52">
        <f>SUM($C$69,$D$69,$E$69,$F$69,$G$69,$H$69,$I$69,$J$69)</f>
        <v>1</v>
      </c>
      <c r="U69" s="67">
        <v>37</v>
      </c>
      <c r="V69" s="48">
        <v>4</v>
      </c>
      <c r="W69" s="48">
        <v>1</v>
      </c>
      <c r="X69" s="48">
        <v>0</v>
      </c>
      <c r="Y69" s="48">
        <v>1</v>
      </c>
      <c r="Z69" s="48">
        <v>3</v>
      </c>
      <c r="AA69" s="48">
        <v>1</v>
      </c>
      <c r="AB69" s="56">
        <v>0</v>
      </c>
      <c r="AC69" s="57">
        <f>$U$69*VLOOKUP($U$11,'PCU Values'!$B$9:$C$16,2,FALSE)</f>
        <v>37</v>
      </c>
      <c r="AD69" s="57">
        <f>$V$69*VLOOKUP($V$11,'PCU Values'!$B$9:$C$16,2,FALSE)</f>
        <v>4</v>
      </c>
      <c r="AE69" s="57">
        <f>$W$69*VLOOKUP($W$11,'PCU Values'!$B$9:$C$16,2,FALSE)</f>
        <v>1.5</v>
      </c>
      <c r="AF69" s="57">
        <f>$X$69*VLOOKUP($X$11,'PCU Values'!$B$9:$C$16,2,FALSE)</f>
        <v>0</v>
      </c>
      <c r="AG69" s="57">
        <f>$Y$69*VLOOKUP($Y$11,'PCU Values'!$B$9:$C$16,2,FALSE)</f>
        <v>2</v>
      </c>
      <c r="AH69" s="57">
        <f>$Z$69*VLOOKUP($Z$11,'PCU Values'!$B$9:$C$16,2,FALSE)</f>
        <v>0.6</v>
      </c>
      <c r="AI69" s="57">
        <f>$AA$69*VLOOKUP($AA$11,'PCU Values'!$B$9:$C$16,2,FALSE)</f>
        <v>0.4</v>
      </c>
      <c r="AJ69" s="65">
        <f>$AB$69*VLOOKUP($AB$11,'PCU Values'!$B$9:$C$16,2,FALSE)</f>
        <v>0</v>
      </c>
      <c r="AK69" s="66">
        <f>SUM($AC$69,$AD$69,$AE$69,$AF$69,$AG$69,$AH$69,$AI$69,$AJ$69)</f>
        <v>45.5</v>
      </c>
      <c r="AL69" s="52">
        <f>SUM($U$69,$V$69,$W$69,$X$69,$Y$69,$Z$69,$AA$69,$AB$69)</f>
        <v>47</v>
      </c>
      <c r="AM69" s="76">
        <v>0</v>
      </c>
      <c r="AN69" s="48">
        <v>1</v>
      </c>
      <c r="AO69" s="48">
        <v>0</v>
      </c>
      <c r="AP69" s="48">
        <v>0</v>
      </c>
      <c r="AQ69" s="48">
        <v>0</v>
      </c>
      <c r="AR69" s="49">
        <v>1</v>
      </c>
      <c r="AS69" s="48">
        <v>0</v>
      </c>
      <c r="AT69" s="56">
        <v>1</v>
      </c>
      <c r="AU69" s="57">
        <f>$AM$69*VLOOKUP($AM$11,'PCU Values'!$B$9:$C$16,2,FALSE)</f>
        <v>0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0.2</v>
      </c>
      <c r="BA69" s="57">
        <f>$AS$69*VLOOKUP($AS$11,'PCU Values'!$B$9:$C$16,2,FALSE)</f>
        <v>0</v>
      </c>
      <c r="BB69" s="65">
        <f>$AT$69*VLOOKUP($AT$11,'PCU Values'!$B$9:$C$16,2,FALSE)</f>
        <v>1.5</v>
      </c>
      <c r="BC69" s="66">
        <f>SUM($AU$69,$AV$69,$AW$69,$AX$69,$AY$69,$AZ$69,$BA$69,$BB$69)</f>
        <v>2.7</v>
      </c>
      <c r="BD69" s="52">
        <f>SUM($AM$69,$AN$69,$AO$69,$AP$69,$AQ$69,$AR$69,$AS$69,$AT$69)</f>
        <v>3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38</v>
      </c>
      <c r="BZ69" s="83">
        <f>SUM($D$69,$V$69,$AN$69,$BF$69)</f>
        <v>5</v>
      </c>
      <c r="CA69" s="83">
        <f>SUM($E$69,$W$69,$AO$69,$BG$69)</f>
        <v>1</v>
      </c>
      <c r="CB69" s="83">
        <f>SUM($F$69,$X$69,$AP$69,$BH$69)</f>
        <v>0</v>
      </c>
      <c r="CC69" s="83">
        <f>SUM($G$69,$Y$69,$AQ$69,$BI$69)</f>
        <v>1</v>
      </c>
      <c r="CD69" s="83">
        <f>SUM($H$69,$Z$69,$AR$69,$BJ$69)</f>
        <v>4</v>
      </c>
      <c r="CE69" s="83">
        <f>SUM($I$69,$AA$69,$AS$69,$BK$69)</f>
        <v>1</v>
      </c>
      <c r="CF69" s="86">
        <f>SUM($J$69,$AB$69,$AT$69,$BL$69)</f>
        <v>1</v>
      </c>
      <c r="CG69" s="77">
        <f>$BY$69*VLOOKUP($BY$11,'PCU Values'!$B$9:$C$16,2,FALSE)</f>
        <v>38</v>
      </c>
      <c r="CH69" s="77">
        <f>$BZ$69*VLOOKUP($BZ$11,'PCU Values'!$B$9:$C$16,2,FALSE)</f>
        <v>5</v>
      </c>
      <c r="CI69" s="77">
        <f>$CA$69*VLOOKUP($CA$11,'PCU Values'!$B$9:$C$16,2,FALSE)</f>
        <v>1.5</v>
      </c>
      <c r="CJ69" s="77">
        <f>$CB$69*VLOOKUP($CB$11,'PCU Values'!$B$9:$C$16,2,FALSE)</f>
        <v>0</v>
      </c>
      <c r="CK69" s="77">
        <f>$CC$69*VLOOKUP($CC$11,'PCU Values'!$B$9:$C$16,2,FALSE)</f>
        <v>2</v>
      </c>
      <c r="CL69" s="77">
        <f>$CD$69*VLOOKUP($CD$11,'PCU Values'!$B$9:$C$16,2,FALSE)</f>
        <v>0.8</v>
      </c>
      <c r="CM69" s="77">
        <f>$CE$69*VLOOKUP($CE$11,'PCU Values'!$B$9:$C$16,2,FALSE)</f>
        <v>0.4</v>
      </c>
      <c r="CN69" s="78">
        <f>$CF$69*VLOOKUP($CF$11,'PCU Values'!$B$9:$C$16,2,FALSE)</f>
        <v>1.5</v>
      </c>
      <c r="CO69" s="66">
        <f>SUM($CG$69,$CH$69,$CI$69,$CJ$69,$CK$69,$CL$69,$CM$69,$CN$69)</f>
        <v>49.2</v>
      </c>
      <c r="CP69" s="52">
        <f>SUM($BY$69,$BZ$69,$CA$69,$CB$69,$CC$69,$CD$69,$CE$69,$CF$69)</f>
        <v>51</v>
      </c>
      <c r="CQ69" s="89">
        <f>SUM('J1 A - (North) Bishopthorpe Roa'!$U$69,'J1 B - Butcher Terrace'!$C$69,'J1 C - (South) Bishopthorpe Roa'!$BE$69,'J1 D - South Bank Avenue'!$AM$69)</f>
        <v>45</v>
      </c>
      <c r="CR69" s="83">
        <f>SUM('J1 A - (North) Bishopthorpe Roa'!$V$69,'J1 B - Butcher Terrace'!$D$69,'J1 C - (South) Bishopthorpe Roa'!$BF$69,'J1 D - South Bank Avenue'!$AN$69)</f>
        <v>7</v>
      </c>
      <c r="CS69" s="83">
        <f>SUM('J1 A - (North) Bishopthorpe Roa'!$W$69,'J1 B - Butcher Terrace'!$E$69,'J1 C - (South) Bishopthorpe Roa'!$BG$69,'J1 D - South Bank Avenue'!$AO$69)</f>
        <v>3</v>
      </c>
      <c r="CT69" s="83">
        <f>SUM('J1 A - (North) Bishopthorpe Roa'!$X$69,'J1 B - Butcher Terrace'!$F$69,'J1 C - (South) Bishopthorpe Roa'!$BH$69,'J1 D - South Bank Avenue'!$AP$69)</f>
        <v>0</v>
      </c>
      <c r="CU69" s="83">
        <f>SUM('J1 A - (North) Bishopthorpe Roa'!$Y$69,'J1 B - Butcher Terrace'!$G$69,'J1 C - (South) Bishopthorpe Roa'!$BI$69,'J1 D - South Bank Avenue'!$AQ$69)</f>
        <v>2</v>
      </c>
      <c r="CV69" s="83">
        <f>SUM('J1 A - (North) Bishopthorpe Roa'!$Z$69,'J1 B - Butcher Terrace'!$H$69,'J1 C - (South) Bishopthorpe Roa'!$BJ$69,'J1 D - South Bank Avenue'!$AR$69)</f>
        <v>5</v>
      </c>
      <c r="CW69" s="83">
        <f>SUM('J1 A - (North) Bishopthorpe Roa'!$AA$69,'J1 B - Butcher Terrace'!$I$69,'J1 C - (South) Bishopthorpe Roa'!$BK$69,'J1 D - South Bank Avenue'!$AS$69)</f>
        <v>1</v>
      </c>
      <c r="CX69" s="86">
        <f>SUM('J1 A - (North) Bishopthorpe Roa'!$AB$69,'J1 B - Butcher Terrace'!$J$69,'J1 C - (South) Bishopthorpe Roa'!$BL$69,'J1 D - South Bank Avenue'!$AT$69)</f>
        <v>1</v>
      </c>
      <c r="CY69" s="77">
        <f>$CQ$69*VLOOKUP($CQ$11,'PCU Values'!$B$9:$C$16,2,FALSE)</f>
        <v>45</v>
      </c>
      <c r="CZ69" s="77">
        <f>$CR$69*VLOOKUP($CR$11,'PCU Values'!$B$9:$C$16,2,FALSE)</f>
        <v>7</v>
      </c>
      <c r="DA69" s="77">
        <f>$CS$69*VLOOKUP($CS$11,'PCU Values'!$B$9:$C$16,2,FALSE)</f>
        <v>4.5</v>
      </c>
      <c r="DB69" s="77">
        <f>$CT$69*VLOOKUP($CT$11,'PCU Values'!$B$9:$C$16,2,FALSE)</f>
        <v>0</v>
      </c>
      <c r="DC69" s="77">
        <f>$CU$69*VLOOKUP($CU$11,'PCU Values'!$B$9:$C$16,2,FALSE)</f>
        <v>4</v>
      </c>
      <c r="DD69" s="77">
        <f>$CV$69*VLOOKUP($CV$11,'PCU Values'!$B$9:$C$16,2,FALSE)</f>
        <v>1</v>
      </c>
      <c r="DE69" s="77">
        <f>$CW$69*VLOOKUP($CW$11,'PCU Values'!$B$9:$C$16,2,FALSE)</f>
        <v>0.4</v>
      </c>
      <c r="DF69" s="78">
        <f>$CX$69*VLOOKUP($CX$11,'PCU Values'!$B$9:$C$16,2,FALSE)</f>
        <v>1.5</v>
      </c>
      <c r="DG69" s="66">
        <f>SUM($CY$69,$CZ$69,$DA$69,$DB$69,$DC$69,$DD$69,$DE$69,$DF$69)</f>
        <v>63.4</v>
      </c>
      <c r="DH69" s="52">
        <f>SUM($CQ$69,$CR$69,$CS$69,$CT$69,$CU$69,$CV$69,$CW$69,$CX$69)</f>
        <v>64</v>
      </c>
    </row>
    <row r="70" spans="1:112" ht="21" customHeight="1">
      <c r="A70" s="46">
        <v>44395.489583333299</v>
      </c>
      <c r="B70" s="50" t="s">
        <v>78</v>
      </c>
      <c r="C70" s="51">
        <v>0</v>
      </c>
      <c r="D70" s="51">
        <v>1</v>
      </c>
      <c r="E70" s="51">
        <v>0</v>
      </c>
      <c r="F70" s="51">
        <v>0</v>
      </c>
      <c r="G70" s="51">
        <v>0</v>
      </c>
      <c r="H70" s="51">
        <v>0</v>
      </c>
      <c r="I70" s="51">
        <v>0</v>
      </c>
      <c r="J70" s="59">
        <v>0</v>
      </c>
      <c r="K70" s="60">
        <f>$C$70*VLOOKUP($C$11,'PCU Values'!$B$9:$C$16,2,FALSE)</f>
        <v>0</v>
      </c>
      <c r="L70" s="60">
        <f>$D$70*VLOOKUP($D$11,'PCU Values'!$B$9:$C$16,2,FALSE)</f>
        <v>1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1</v>
      </c>
      <c r="T70" s="52">
        <f>SUM($C$70,$D$70,$E$70,$F$70,$G$70,$H$70,$I$70,$J$70)</f>
        <v>1</v>
      </c>
      <c r="U70" s="73">
        <v>49</v>
      </c>
      <c r="V70" s="51">
        <v>3</v>
      </c>
      <c r="W70" s="51">
        <v>2</v>
      </c>
      <c r="X70" s="51">
        <v>0</v>
      </c>
      <c r="Y70" s="51">
        <v>1</v>
      </c>
      <c r="Z70" s="51">
        <v>2</v>
      </c>
      <c r="AA70" s="51">
        <v>0</v>
      </c>
      <c r="AB70" s="59">
        <v>0</v>
      </c>
      <c r="AC70" s="60">
        <f>$U$70*VLOOKUP($U$11,'PCU Values'!$B$9:$C$16,2,FALSE)</f>
        <v>49</v>
      </c>
      <c r="AD70" s="60">
        <f>$V$70*VLOOKUP($V$11,'PCU Values'!$B$9:$C$16,2,FALSE)</f>
        <v>3</v>
      </c>
      <c r="AE70" s="60">
        <f>$W$70*VLOOKUP($W$11,'PCU Values'!$B$9:$C$16,2,FALSE)</f>
        <v>3</v>
      </c>
      <c r="AF70" s="60">
        <f>$X$70*VLOOKUP($X$11,'PCU Values'!$B$9:$C$16,2,FALSE)</f>
        <v>0</v>
      </c>
      <c r="AG70" s="60">
        <f>$Y$70*VLOOKUP($Y$11,'PCU Values'!$B$9:$C$16,2,FALSE)</f>
        <v>2</v>
      </c>
      <c r="AH70" s="60">
        <f>$Z$70*VLOOKUP($Z$11,'PCU Values'!$B$9:$C$16,2,FALSE)</f>
        <v>0.4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57.4</v>
      </c>
      <c r="AL70" s="52">
        <f>SUM($U$70,$V$70,$W$70,$X$70,$Y$70,$Z$70,$AA$70,$AB$70)</f>
        <v>57</v>
      </c>
      <c r="AM70" s="69">
        <v>0</v>
      </c>
      <c r="AN70" s="51">
        <v>0</v>
      </c>
      <c r="AO70" s="51">
        <v>0</v>
      </c>
      <c r="AP70" s="51">
        <v>0</v>
      </c>
      <c r="AQ70" s="51">
        <v>0</v>
      </c>
      <c r="AR70" s="55">
        <v>2</v>
      </c>
      <c r="AS70" s="51">
        <v>0</v>
      </c>
      <c r="AT70" s="59">
        <v>0</v>
      </c>
      <c r="AU70" s="60">
        <f>$AM$70*VLOOKUP($AM$11,'PCU Values'!$B$9:$C$16,2,FALSE)</f>
        <v>0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0.4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0.4</v>
      </c>
      <c r="BD70" s="52">
        <f>SUM($AM$70,$AN$70,$AO$70,$AP$70,$AQ$70,$AR$70,$AS$70,$AT$70)</f>
        <v>2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49</v>
      </c>
      <c r="BZ70" s="84">
        <f>SUM($D$70,$V$70,$AN$70,$BF$70)</f>
        <v>4</v>
      </c>
      <c r="CA70" s="84">
        <f>SUM($E$70,$W$70,$AO$70,$BG$70)</f>
        <v>2</v>
      </c>
      <c r="CB70" s="84">
        <f>SUM($F$70,$X$70,$AP$70,$BH$70)</f>
        <v>0</v>
      </c>
      <c r="CC70" s="84">
        <f>SUM($G$70,$Y$70,$AQ$70,$BI$70)</f>
        <v>1</v>
      </c>
      <c r="CD70" s="84">
        <f>SUM($H$70,$Z$70,$AR$70,$BJ$70)</f>
        <v>4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49</v>
      </c>
      <c r="CH70" s="79">
        <f>$BZ$70*VLOOKUP($BZ$11,'PCU Values'!$B$9:$C$16,2,FALSE)</f>
        <v>4</v>
      </c>
      <c r="CI70" s="79">
        <f>$CA$70*VLOOKUP($CA$11,'PCU Values'!$B$9:$C$16,2,FALSE)</f>
        <v>3</v>
      </c>
      <c r="CJ70" s="79">
        <f>$CB$70*VLOOKUP($CB$11,'PCU Values'!$B$9:$C$16,2,FALSE)</f>
        <v>0</v>
      </c>
      <c r="CK70" s="79">
        <f>$CC$70*VLOOKUP($CC$11,'PCU Values'!$B$9:$C$16,2,FALSE)</f>
        <v>2</v>
      </c>
      <c r="CL70" s="79">
        <f>$CD$70*VLOOKUP($CD$11,'PCU Values'!$B$9:$C$16,2,FALSE)</f>
        <v>0.8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58.8</v>
      </c>
      <c r="CP70" s="52">
        <f>SUM($BY$70,$BZ$70,$CA$70,$CB$70,$CC$70,$CD$70,$CE$70,$CF$70)</f>
        <v>60</v>
      </c>
      <c r="CQ70" s="90">
        <f>SUM('J1 A - (North) Bishopthorpe Roa'!$U$70,'J1 B - Butcher Terrace'!$C$70,'J1 C - (South) Bishopthorpe Roa'!$BE$70,'J1 D - South Bank Avenue'!$AM$70)</f>
        <v>61</v>
      </c>
      <c r="CR70" s="84">
        <f>SUM('J1 A - (North) Bishopthorpe Roa'!$V$70,'J1 B - Butcher Terrace'!$D$70,'J1 C - (South) Bishopthorpe Roa'!$BF$70,'J1 D - South Bank Avenue'!$AN$70)</f>
        <v>4</v>
      </c>
      <c r="CS70" s="84">
        <f>SUM('J1 A - (North) Bishopthorpe Roa'!$W$70,'J1 B - Butcher Terrace'!$E$70,'J1 C - (South) Bishopthorpe Roa'!$BG$70,'J1 D - South Bank Avenue'!$AO$70)</f>
        <v>0</v>
      </c>
      <c r="CT70" s="84">
        <f>SUM('J1 A - (North) Bishopthorpe Roa'!$X$70,'J1 B - Butcher Terrace'!$F$70,'J1 C - (South) Bishopthorpe Roa'!$BH$70,'J1 D - South Bank Avenue'!$AP$70)</f>
        <v>0</v>
      </c>
      <c r="CU70" s="84">
        <f>SUM('J1 A - (North) Bishopthorpe Roa'!$Y$70,'J1 B - Butcher Terrace'!$G$70,'J1 C - (South) Bishopthorpe Roa'!$BI$70,'J1 D - South Bank Avenue'!$AQ$70)</f>
        <v>0</v>
      </c>
      <c r="CV70" s="84">
        <f>SUM('J1 A - (North) Bishopthorpe Roa'!$Z$70,'J1 B - Butcher Terrace'!$H$70,'J1 C - (South) Bishopthorpe Roa'!$BJ$70,'J1 D - South Bank Avenue'!$AR$70)</f>
        <v>5</v>
      </c>
      <c r="CW70" s="84">
        <f>SUM('J1 A - (North) Bishopthorpe Roa'!$AA$70,'J1 B - Butcher Terrace'!$I$70,'J1 C - (South) Bishopthorpe Roa'!$BK$70,'J1 D - South Bank Avenue'!$AS$70)</f>
        <v>0</v>
      </c>
      <c r="CX70" s="87">
        <f>SUM('J1 A - (North) Bishopthorpe Roa'!$AB$70,'J1 B - Butcher Terrace'!$J$70,'J1 C - (South) Bishopthorpe Roa'!$BL$70,'J1 D - South Bank Avenue'!$AT$70)</f>
        <v>0</v>
      </c>
      <c r="CY70" s="79">
        <f>$CQ$70*VLOOKUP($CQ$11,'PCU Values'!$B$9:$C$16,2,FALSE)</f>
        <v>61</v>
      </c>
      <c r="CZ70" s="79">
        <f>$CR$70*VLOOKUP($CR$11,'PCU Values'!$B$9:$C$16,2,FALSE)</f>
        <v>4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66</v>
      </c>
      <c r="DH70" s="52">
        <f>SUM($CQ$70,$CR$70,$CS$70,$CT$70,$CU$70,$CV$70,$CW$70,$CX$70)</f>
        <v>70</v>
      </c>
    </row>
    <row r="71" spans="1:112">
      <c r="B71" s="52" t="s">
        <v>34</v>
      </c>
      <c r="C71" s="52">
        <f>SUM($C$67:$C$70)</f>
        <v>4</v>
      </c>
      <c r="D71" s="52">
        <f>SUM($D$67:$D$70)</f>
        <v>3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0</v>
      </c>
      <c r="I71" s="52">
        <f>SUM($I$67:$I$70)</f>
        <v>0</v>
      </c>
      <c r="J71" s="52">
        <f>SUM($J$67:$J$70)</f>
        <v>0</v>
      </c>
      <c r="K71" s="52">
        <f>SUM($K$67:$K$70)</f>
        <v>4</v>
      </c>
      <c r="L71" s="52">
        <f>SUM($L$67:$L$70)</f>
        <v>3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0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7</v>
      </c>
      <c r="T71" s="52">
        <f>SUM($C$71,$D$71,$E$71,$F$71,$G$71,$H$71,$I$71,$J$71)</f>
        <v>7</v>
      </c>
      <c r="U71" s="52">
        <f>SUM($U$67:$U$70)</f>
        <v>162</v>
      </c>
      <c r="V71" s="52">
        <f>SUM($V$67:$V$70)</f>
        <v>16</v>
      </c>
      <c r="W71" s="52">
        <f>SUM($W$67:$W$70)</f>
        <v>7</v>
      </c>
      <c r="X71" s="52">
        <f>SUM($X$67:$X$70)</f>
        <v>0</v>
      </c>
      <c r="Y71" s="52">
        <f>SUM($Y$67:$Y$70)</f>
        <v>3</v>
      </c>
      <c r="Z71" s="52">
        <f>SUM($Z$67:$Z$70)</f>
        <v>6</v>
      </c>
      <c r="AA71" s="52">
        <f>SUM($AA$67:$AA$70)</f>
        <v>1</v>
      </c>
      <c r="AB71" s="52">
        <f>SUM($AB$67:$AB$70)</f>
        <v>0</v>
      </c>
      <c r="AC71" s="52">
        <f>SUM($AC$67:$AC$70)</f>
        <v>162</v>
      </c>
      <c r="AD71" s="52">
        <f>SUM($AD$67:$AD$70)</f>
        <v>16</v>
      </c>
      <c r="AE71" s="52">
        <f>SUM($AE$67:$AE$70)</f>
        <v>11</v>
      </c>
      <c r="AF71" s="52">
        <f>SUM($AF$67:$AF$70)</f>
        <v>0</v>
      </c>
      <c r="AG71" s="52">
        <f>SUM($AG$67:$AG$70)</f>
        <v>6</v>
      </c>
      <c r="AH71" s="52">
        <f>SUM($AH$67:$AH$70)</f>
        <v>1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196</v>
      </c>
      <c r="AL71" s="52">
        <f>SUM($U$71,$V$71,$W$71,$X$71,$Y$71,$Z$71,$AA$71,$AB$71)</f>
        <v>195</v>
      </c>
      <c r="AM71" s="52">
        <f>SUM($AM$67:$AM$70)</f>
        <v>2</v>
      </c>
      <c r="AN71" s="52">
        <f>SUM($AN$67:$AN$70)</f>
        <v>2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6</v>
      </c>
      <c r="AS71" s="52">
        <f>SUM($AS$67:$AS$70)</f>
        <v>0</v>
      </c>
      <c r="AT71" s="52">
        <f>SUM($AT$67:$AT$70)</f>
        <v>1</v>
      </c>
      <c r="AU71" s="52">
        <f>SUM($AU$67:$AU$70)</f>
        <v>2</v>
      </c>
      <c r="AV71" s="52">
        <f>SUM($AV$67:$AV$70)</f>
        <v>2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1</v>
      </c>
      <c r="BA71" s="52">
        <f>SUM($BA$67:$BA$70)</f>
        <v>0</v>
      </c>
      <c r="BB71" s="52">
        <f>SUM($BB$67:$BB$70)</f>
        <v>2</v>
      </c>
      <c r="BC71" s="52">
        <f>SUM($AU$71,$AV$71,$AW$71,$AX$71,$AY$71,$AZ$71,$BA$71,$BB$71)</f>
        <v>7</v>
      </c>
      <c r="BD71" s="52">
        <f>SUM($AM$71,$AN$71,$AO$71,$AP$71,$AQ$71,$AR$71,$AS$71,$AT$71)</f>
        <v>11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168</v>
      </c>
      <c r="BZ71" s="52">
        <f>SUM($BZ$67:$BZ$70)</f>
        <v>21</v>
      </c>
      <c r="CA71" s="52">
        <f>SUM($CA$67:$CA$70)</f>
        <v>7</v>
      </c>
      <c r="CB71" s="52">
        <f>SUM($CB$67:$CB$70)</f>
        <v>0</v>
      </c>
      <c r="CC71" s="52">
        <f>SUM($CC$67:$CC$70)</f>
        <v>3</v>
      </c>
      <c r="CD71" s="52">
        <f>SUM($CD$67:$CD$70)</f>
        <v>12</v>
      </c>
      <c r="CE71" s="52">
        <f>SUM($CE$67:$CE$70)</f>
        <v>1</v>
      </c>
      <c r="CF71" s="52">
        <f>SUM($CF$67:$CF$70)</f>
        <v>1</v>
      </c>
      <c r="CG71" s="52">
        <f>SUM($CG$67:$CG$70)</f>
        <v>168</v>
      </c>
      <c r="CH71" s="52">
        <f>SUM($CH$67:$CH$70)</f>
        <v>21</v>
      </c>
      <c r="CI71" s="52">
        <f>SUM($CI$67:$CI$70)</f>
        <v>11</v>
      </c>
      <c r="CJ71" s="52">
        <f>SUM($CJ$67:$CJ$70)</f>
        <v>0</v>
      </c>
      <c r="CK71" s="52">
        <f>SUM($CK$67:$CK$70)</f>
        <v>6</v>
      </c>
      <c r="CL71" s="52">
        <f>SUM($CL$67:$CL$70)</f>
        <v>2</v>
      </c>
      <c r="CM71" s="52">
        <f>SUM($CM$67:$CM$70)</f>
        <v>0</v>
      </c>
      <c r="CN71" s="52">
        <f>SUM($CN$67:$CN$70)</f>
        <v>2</v>
      </c>
      <c r="CO71" s="52">
        <f>SUM($CG$71,$CH$71,$CI$71,$CJ$71,$CK$71,$CL$71,$CM$71,$CN$71)</f>
        <v>210</v>
      </c>
      <c r="CP71" s="52">
        <f>SUM($BY$71,$BZ$71,$CA$71,$CB$71,$CC$71,$CD$71,$CE$71,$CF$71)</f>
        <v>213</v>
      </c>
      <c r="CQ71" s="52">
        <f>SUM($CQ$67:$CQ$70)</f>
        <v>196</v>
      </c>
      <c r="CR71" s="52">
        <f>SUM($CR$67:$CR$70)</f>
        <v>24</v>
      </c>
      <c r="CS71" s="52">
        <f>SUM($CS$67:$CS$70)</f>
        <v>4</v>
      </c>
      <c r="CT71" s="52">
        <f>SUM($CT$67:$CT$70)</f>
        <v>0</v>
      </c>
      <c r="CU71" s="52">
        <f>SUM($CU$67:$CU$70)</f>
        <v>4</v>
      </c>
      <c r="CV71" s="52">
        <f>SUM($CV$67:$CV$70)</f>
        <v>19</v>
      </c>
      <c r="CW71" s="52">
        <f>SUM($CW$67:$CW$70)</f>
        <v>1</v>
      </c>
      <c r="CX71" s="52">
        <f>SUM($CX$67:$CX$70)</f>
        <v>1</v>
      </c>
      <c r="CY71" s="52">
        <f>SUM($CY$67:$CY$70)</f>
        <v>196</v>
      </c>
      <c r="CZ71" s="52">
        <f>SUM($CZ$67:$CZ$70)</f>
        <v>24</v>
      </c>
      <c r="DA71" s="52">
        <f>SUM($DA$67:$DA$70)</f>
        <v>6</v>
      </c>
      <c r="DB71" s="52">
        <f>SUM($DB$67:$DB$70)</f>
        <v>0</v>
      </c>
      <c r="DC71" s="52">
        <f>SUM($DC$67:$DC$70)</f>
        <v>8</v>
      </c>
      <c r="DD71" s="52">
        <f>SUM($DD$67:$DD$70)</f>
        <v>4</v>
      </c>
      <c r="DE71" s="52">
        <f>SUM($DE$67:$DE$70)</f>
        <v>0</v>
      </c>
      <c r="DF71" s="52">
        <f>SUM($DF$67:$DF$70)</f>
        <v>2</v>
      </c>
      <c r="DG71" s="52">
        <f>SUM($CY$71,$CZ$71,$DA$71,$DB$71,$DC$71,$DD$71,$DE$71,$DF$71)</f>
        <v>240</v>
      </c>
      <c r="DH71" s="52">
        <f>SUM($CQ$71,$CR$71,$CS$71,$CT$71,$CU$71,$CV$71,$CW$71,$CX$71)</f>
        <v>249</v>
      </c>
    </row>
    <row r="72" spans="1:112" ht="21" customHeight="1">
      <c r="A72" s="46">
        <v>44395.5</v>
      </c>
      <c r="B72" s="53" t="s">
        <v>79</v>
      </c>
      <c r="C72" s="54">
        <v>2</v>
      </c>
      <c r="D72" s="54">
        <v>1</v>
      </c>
      <c r="E72" s="54">
        <v>0</v>
      </c>
      <c r="F72" s="54">
        <v>0</v>
      </c>
      <c r="G72" s="54">
        <v>0</v>
      </c>
      <c r="H72" s="54">
        <v>0</v>
      </c>
      <c r="I72" s="54">
        <v>0</v>
      </c>
      <c r="J72" s="61">
        <v>0</v>
      </c>
      <c r="K72" s="62">
        <f>$C$72*VLOOKUP($C$11,'PCU Values'!$B$9:$C$16,2,FALSE)</f>
        <v>2</v>
      </c>
      <c r="L72" s="62">
        <f>$D$72*VLOOKUP($D$11,'PCU Values'!$B$9:$C$16,2,FALSE)</f>
        <v>1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3</v>
      </c>
      <c r="T72" s="52">
        <f>SUM($C$72,$D$72,$E$72,$F$72,$G$72,$H$72,$I$72,$J$72)</f>
        <v>3</v>
      </c>
      <c r="U72" s="72">
        <v>64</v>
      </c>
      <c r="V72" s="75">
        <v>7</v>
      </c>
      <c r="W72" s="75">
        <v>0</v>
      </c>
      <c r="X72" s="75">
        <v>0</v>
      </c>
      <c r="Y72" s="75">
        <v>2</v>
      </c>
      <c r="Z72" s="75">
        <v>3</v>
      </c>
      <c r="AA72" s="54">
        <v>0</v>
      </c>
      <c r="AB72" s="61">
        <v>0</v>
      </c>
      <c r="AC72" s="62">
        <f>$U$72*VLOOKUP($U$11,'PCU Values'!$B$9:$C$16,2,FALSE)</f>
        <v>64</v>
      </c>
      <c r="AD72" s="62">
        <f>$V$72*VLOOKUP($V$11,'PCU Values'!$B$9:$C$16,2,FALSE)</f>
        <v>7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4</v>
      </c>
      <c r="AH72" s="62">
        <f>$Z$72*VLOOKUP($Z$11,'PCU Values'!$B$9:$C$16,2,FALSE)</f>
        <v>0.6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75.599999999999994</v>
      </c>
      <c r="AL72" s="52">
        <f>SUM($U$72,$V$72,$W$72,$X$72,$Y$72,$Z$72,$AA$72,$AB$72)</f>
        <v>76</v>
      </c>
      <c r="AM72" s="72">
        <v>1</v>
      </c>
      <c r="AN72" s="54">
        <v>1</v>
      </c>
      <c r="AO72" s="54">
        <v>0</v>
      </c>
      <c r="AP72" s="54">
        <v>0</v>
      </c>
      <c r="AQ72" s="54">
        <v>0</v>
      </c>
      <c r="AR72" s="54">
        <v>1</v>
      </c>
      <c r="AS72" s="54">
        <v>0</v>
      </c>
      <c r="AT72" s="61">
        <v>0</v>
      </c>
      <c r="AU72" s="62">
        <f>$AM$72*VLOOKUP($AM$11,'PCU Values'!$B$9:$C$16,2,FALSE)</f>
        <v>1</v>
      </c>
      <c r="AV72" s="62">
        <f>$AN$72*VLOOKUP($AN$11,'PCU Values'!$B$9:$C$16,2,FALSE)</f>
        <v>1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0.2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2.2000000000000002</v>
      </c>
      <c r="BD72" s="52">
        <f>SUM($AM$72,$AN$72,$AO$72,$AP$72,$AQ$72,$AR$72,$AS$72,$AT$72)</f>
        <v>3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67</v>
      </c>
      <c r="BZ72" s="85">
        <f>SUM($D$72,$V$72,$AN$72,$BF$72)</f>
        <v>9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2</v>
      </c>
      <c r="CD72" s="85">
        <f>SUM($H$72,$Z$72,$AR$72,$BJ$72)</f>
        <v>4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67</v>
      </c>
      <c r="CH72" s="81">
        <f>$BZ$72*VLOOKUP($BZ$11,'PCU Values'!$B$9:$C$16,2,FALSE)</f>
        <v>9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4</v>
      </c>
      <c r="CL72" s="81">
        <f>$CD$72*VLOOKUP($CD$11,'PCU Values'!$B$9:$C$16,2,FALSE)</f>
        <v>0.8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80.8</v>
      </c>
      <c r="CP72" s="52">
        <f>SUM($BY$72,$BZ$72,$CA$72,$CB$72,$CC$72,$CD$72,$CE$72,$CF$72)</f>
        <v>82</v>
      </c>
      <c r="CQ72" s="91">
        <f>SUM('J1 A - (North) Bishopthorpe Roa'!$U$72,'J1 B - Butcher Terrace'!$C$72,'J1 C - (South) Bishopthorpe Roa'!$BE$72,'J1 D - South Bank Avenue'!$AM$72)</f>
        <v>46</v>
      </c>
      <c r="CR72" s="85">
        <f>SUM('J1 A - (North) Bishopthorpe Roa'!$V$72,'J1 B - Butcher Terrace'!$D$72,'J1 C - (South) Bishopthorpe Roa'!$BF$72,'J1 D - South Bank Avenue'!$AN$72)</f>
        <v>10</v>
      </c>
      <c r="CS72" s="85">
        <f>SUM('J1 A - (North) Bishopthorpe Roa'!$W$72,'J1 B - Butcher Terrace'!$E$72,'J1 C - (South) Bishopthorpe Roa'!$BG$72,'J1 D - South Bank Avenue'!$AO$72)</f>
        <v>1</v>
      </c>
      <c r="CT72" s="85">
        <f>SUM('J1 A - (North) Bishopthorpe Roa'!$X$72,'J1 B - Butcher Terrace'!$F$72,'J1 C - (South) Bishopthorpe Roa'!$BH$72,'J1 D - South Bank Avenue'!$AP$72)</f>
        <v>0</v>
      </c>
      <c r="CU72" s="85">
        <f>SUM('J1 A - (North) Bishopthorpe Roa'!$Y$72,'J1 B - Butcher Terrace'!$G$72,'J1 C - (South) Bishopthorpe Roa'!$BI$72,'J1 D - South Bank Avenue'!$AQ$72)</f>
        <v>1</v>
      </c>
      <c r="CV72" s="85">
        <f>SUM('J1 A - (North) Bishopthorpe Roa'!$Z$72,'J1 B - Butcher Terrace'!$H$72,'J1 C - (South) Bishopthorpe Roa'!$BJ$72,'J1 D - South Bank Avenue'!$AR$72)</f>
        <v>2</v>
      </c>
      <c r="CW72" s="85">
        <f>SUM('J1 A - (North) Bishopthorpe Roa'!$AA$72,'J1 B - Butcher Terrace'!$I$72,'J1 C - (South) Bishopthorpe Roa'!$BK$72,'J1 D - South Bank Avenue'!$AS$72)</f>
        <v>0</v>
      </c>
      <c r="CX72" s="88">
        <f>SUM('J1 A - (North) Bishopthorpe Roa'!$AB$72,'J1 B - Butcher Terrace'!$J$72,'J1 C - (South) Bishopthorpe Roa'!$BL$72,'J1 D - South Bank Avenue'!$AT$72)</f>
        <v>0</v>
      </c>
      <c r="CY72" s="81">
        <f>$CQ$72*VLOOKUP($CQ$11,'PCU Values'!$B$9:$C$16,2,FALSE)</f>
        <v>46</v>
      </c>
      <c r="CZ72" s="81">
        <f>$CR$72*VLOOKUP($CR$11,'PCU Values'!$B$9:$C$16,2,FALSE)</f>
        <v>10</v>
      </c>
      <c r="DA72" s="81">
        <f>$CS$72*VLOOKUP($CS$11,'PCU Values'!$B$9:$C$16,2,FALSE)</f>
        <v>1.5</v>
      </c>
      <c r="DB72" s="81">
        <f>$CT$72*VLOOKUP($CT$11,'PCU Values'!$B$9:$C$16,2,FALSE)</f>
        <v>0</v>
      </c>
      <c r="DC72" s="81">
        <f>$CU$72*VLOOKUP($CU$11,'PCU Values'!$B$9:$C$16,2,FALSE)</f>
        <v>2</v>
      </c>
      <c r="DD72" s="81">
        <f>$CV$72*VLOOKUP($CV$11,'PCU Values'!$B$9:$C$16,2,FALSE)</f>
        <v>0.4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59.9</v>
      </c>
      <c r="DH72" s="52">
        <f>SUM($CQ$72,$CR$72,$CS$72,$CT$72,$CU$72,$CV$72,$CW$72,$CX$72)</f>
        <v>60</v>
      </c>
    </row>
    <row r="73" spans="1:112" ht="21" customHeight="1">
      <c r="A73" s="46">
        <v>44395.510416666701</v>
      </c>
      <c r="B73" s="47" t="s">
        <v>80</v>
      </c>
      <c r="C73" s="48">
        <v>2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56">
        <v>0</v>
      </c>
      <c r="K73" s="57">
        <f>$C$73*VLOOKUP($C$11,'PCU Values'!$B$9:$C$16,2,FALSE)</f>
        <v>2</v>
      </c>
      <c r="L73" s="57">
        <f>$D$73*VLOOKUP($D$11,'PCU Values'!$B$9:$C$16,2,FALSE)</f>
        <v>0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2</v>
      </c>
      <c r="T73" s="52">
        <f>SUM($C$73,$D$73,$E$73,$F$73,$G$73,$H$73,$I$73,$J$73)</f>
        <v>2</v>
      </c>
      <c r="U73" s="67">
        <v>40</v>
      </c>
      <c r="V73" s="48">
        <v>4</v>
      </c>
      <c r="W73" s="48">
        <v>1</v>
      </c>
      <c r="X73" s="48">
        <v>0</v>
      </c>
      <c r="Y73" s="48">
        <v>0</v>
      </c>
      <c r="Z73" s="48">
        <v>3</v>
      </c>
      <c r="AA73" s="48">
        <v>0</v>
      </c>
      <c r="AB73" s="56">
        <v>0</v>
      </c>
      <c r="AC73" s="57">
        <f>$U$73*VLOOKUP($U$11,'PCU Values'!$B$9:$C$16,2,FALSE)</f>
        <v>40</v>
      </c>
      <c r="AD73" s="57">
        <f>$V$73*VLOOKUP($V$11,'PCU Values'!$B$9:$C$16,2,FALSE)</f>
        <v>4</v>
      </c>
      <c r="AE73" s="57">
        <f>$W$73*VLOOKUP($W$11,'PCU Values'!$B$9:$C$16,2,FALSE)</f>
        <v>1.5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0.6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46.1</v>
      </c>
      <c r="AL73" s="52">
        <f>SUM($U$73,$V$73,$W$73,$X$73,$Y$73,$Z$73,$AA$73,$AB$73)</f>
        <v>48</v>
      </c>
      <c r="AM73" s="67">
        <v>0</v>
      </c>
      <c r="AN73" s="48">
        <v>0</v>
      </c>
      <c r="AO73" s="48">
        <v>0</v>
      </c>
      <c r="AP73" s="48">
        <v>0</v>
      </c>
      <c r="AQ73" s="48">
        <v>0</v>
      </c>
      <c r="AR73" s="48">
        <v>4</v>
      </c>
      <c r="AS73" s="48">
        <v>0</v>
      </c>
      <c r="AT73" s="56">
        <v>0</v>
      </c>
      <c r="AU73" s="57">
        <f>$AM$73*VLOOKUP($AM$11,'PCU Values'!$B$9:$C$16,2,FALSE)</f>
        <v>0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0.8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0.8</v>
      </c>
      <c r="BD73" s="52">
        <f>SUM($AM$73,$AN$73,$AO$73,$AP$73,$AQ$73,$AR$73,$AS$73,$AT$73)</f>
        <v>4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42</v>
      </c>
      <c r="BZ73" s="83">
        <f>SUM($D$73,$V$73,$AN$73,$BF$73)</f>
        <v>4</v>
      </c>
      <c r="CA73" s="83">
        <f>SUM($E$73,$W$73,$AO$73,$BG$73)</f>
        <v>1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7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42</v>
      </c>
      <c r="CH73" s="77">
        <f>$BZ$73*VLOOKUP($BZ$11,'PCU Values'!$B$9:$C$16,2,FALSE)</f>
        <v>4</v>
      </c>
      <c r="CI73" s="77">
        <f>$CA$73*VLOOKUP($CA$11,'PCU Values'!$B$9:$C$16,2,FALSE)</f>
        <v>1.5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1.4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48.9</v>
      </c>
      <c r="CP73" s="52">
        <f>SUM($BY$73,$BZ$73,$CA$73,$CB$73,$CC$73,$CD$73,$CE$73,$CF$73)</f>
        <v>54</v>
      </c>
      <c r="CQ73" s="89">
        <f>SUM('J1 A - (North) Bishopthorpe Roa'!$U$73,'J1 B - Butcher Terrace'!$C$73,'J1 C - (South) Bishopthorpe Roa'!$BE$73,'J1 D - South Bank Avenue'!$AM$73)</f>
        <v>62</v>
      </c>
      <c r="CR73" s="83">
        <f>SUM('J1 A - (North) Bishopthorpe Roa'!$V$73,'J1 B - Butcher Terrace'!$D$73,'J1 C - (South) Bishopthorpe Roa'!$BF$73,'J1 D - South Bank Avenue'!$AN$73)</f>
        <v>7</v>
      </c>
      <c r="CS73" s="83">
        <f>SUM('J1 A - (North) Bishopthorpe Roa'!$W$73,'J1 B - Butcher Terrace'!$E$73,'J1 C - (South) Bishopthorpe Roa'!$BG$73,'J1 D - South Bank Avenue'!$AO$73)</f>
        <v>0</v>
      </c>
      <c r="CT73" s="83">
        <f>SUM('J1 A - (North) Bishopthorpe Roa'!$X$73,'J1 B - Butcher Terrace'!$F$73,'J1 C - (South) Bishopthorpe Roa'!$BH$73,'J1 D - South Bank Avenue'!$AP$73)</f>
        <v>0</v>
      </c>
      <c r="CU73" s="83">
        <f>SUM('J1 A - (North) Bishopthorpe Roa'!$Y$73,'J1 B - Butcher Terrace'!$G$73,'J1 C - (South) Bishopthorpe Roa'!$BI$73,'J1 D - South Bank Avenue'!$AQ$73)</f>
        <v>0</v>
      </c>
      <c r="CV73" s="83">
        <f>SUM('J1 A - (North) Bishopthorpe Roa'!$Z$73,'J1 B - Butcher Terrace'!$H$73,'J1 C - (South) Bishopthorpe Roa'!$BJ$73,'J1 D - South Bank Avenue'!$AR$73)</f>
        <v>8</v>
      </c>
      <c r="CW73" s="83">
        <f>SUM('J1 A - (North) Bishopthorpe Roa'!$AA$73,'J1 B - Butcher Terrace'!$I$73,'J1 C - (South) Bishopthorpe Roa'!$BK$73,'J1 D - South Bank Avenue'!$AS$73)</f>
        <v>2</v>
      </c>
      <c r="CX73" s="86">
        <f>SUM('J1 A - (North) Bishopthorpe Roa'!$AB$73,'J1 B - Butcher Terrace'!$J$73,'J1 C - (South) Bishopthorpe Roa'!$BL$73,'J1 D - South Bank Avenue'!$AT$73)</f>
        <v>0</v>
      </c>
      <c r="CY73" s="77">
        <f>$CQ$73*VLOOKUP($CQ$11,'PCU Values'!$B$9:$C$16,2,FALSE)</f>
        <v>62</v>
      </c>
      <c r="CZ73" s="77">
        <f>$CR$73*VLOOKUP($CR$11,'PCU Values'!$B$9:$C$16,2,FALSE)</f>
        <v>7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1.6</v>
      </c>
      <c r="DE73" s="77">
        <f>$CW$73*VLOOKUP($CW$11,'PCU Values'!$B$9:$C$16,2,FALSE)</f>
        <v>0.8</v>
      </c>
      <c r="DF73" s="78">
        <f>$CX$73*VLOOKUP($CX$11,'PCU Values'!$B$9:$C$16,2,FALSE)</f>
        <v>0</v>
      </c>
      <c r="DG73" s="66">
        <f>SUM($CY$73,$CZ$73,$DA$73,$DB$73,$DC$73,$DD$73,$DE$73,$DF$73)</f>
        <v>71.400000000000006</v>
      </c>
      <c r="DH73" s="52">
        <f>SUM($CQ$73,$CR$73,$CS$73,$CT$73,$CU$73,$CV$73,$CW$73,$CX$73)</f>
        <v>79</v>
      </c>
    </row>
    <row r="74" spans="1:112" ht="21" customHeight="1">
      <c r="A74" s="46">
        <v>44395.520833333299</v>
      </c>
      <c r="B74" s="47" t="s">
        <v>81</v>
      </c>
      <c r="C74" s="49">
        <v>2</v>
      </c>
      <c r="D74" s="49">
        <v>0</v>
      </c>
      <c r="E74" s="49">
        <v>0</v>
      </c>
      <c r="F74" s="49">
        <v>0</v>
      </c>
      <c r="G74" s="49">
        <v>0</v>
      </c>
      <c r="H74" s="49">
        <v>2</v>
      </c>
      <c r="I74" s="49">
        <v>0</v>
      </c>
      <c r="J74" s="58">
        <v>0</v>
      </c>
      <c r="K74" s="57">
        <f>$C$74*VLOOKUP($C$11,'PCU Values'!$B$9:$C$16,2,FALSE)</f>
        <v>2</v>
      </c>
      <c r="L74" s="57">
        <f>$D$74*VLOOKUP($D$11,'PCU Values'!$B$9:$C$16,2,FALSE)</f>
        <v>0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0.4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2.4</v>
      </c>
      <c r="T74" s="52">
        <f>SUM($C$74,$D$74,$E$74,$F$74,$G$74,$H$74,$I$74,$J$74)</f>
        <v>4</v>
      </c>
      <c r="U74" s="49">
        <v>55</v>
      </c>
      <c r="V74" s="49">
        <v>9</v>
      </c>
      <c r="W74" s="49">
        <v>0</v>
      </c>
      <c r="X74" s="49">
        <v>0</v>
      </c>
      <c r="Y74" s="49">
        <v>1</v>
      </c>
      <c r="Z74" s="49">
        <v>2</v>
      </c>
      <c r="AA74" s="49">
        <v>0</v>
      </c>
      <c r="AB74" s="58">
        <v>0</v>
      </c>
      <c r="AC74" s="57">
        <f>$U$74*VLOOKUP($U$11,'PCU Values'!$B$9:$C$16,2,FALSE)</f>
        <v>55</v>
      </c>
      <c r="AD74" s="57">
        <f>$V$74*VLOOKUP($V$11,'PCU Values'!$B$9:$C$16,2,FALSE)</f>
        <v>9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2</v>
      </c>
      <c r="AH74" s="57">
        <f>$Z$74*VLOOKUP($Z$11,'PCU Values'!$B$9:$C$16,2,FALSE)</f>
        <v>0.4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66.400000000000006</v>
      </c>
      <c r="AL74" s="52">
        <f>SUM($U$74,$V$74,$W$74,$X$74,$Y$74,$Z$74,$AA$74,$AB$74)</f>
        <v>67</v>
      </c>
      <c r="AM74" s="49">
        <v>0</v>
      </c>
      <c r="AN74" s="49">
        <v>0</v>
      </c>
      <c r="AO74" s="49">
        <v>0</v>
      </c>
      <c r="AP74" s="49">
        <v>0</v>
      </c>
      <c r="AQ74" s="49">
        <v>0</v>
      </c>
      <c r="AR74" s="49">
        <v>1</v>
      </c>
      <c r="AS74" s="49">
        <v>0</v>
      </c>
      <c r="AT74" s="58">
        <v>0</v>
      </c>
      <c r="AU74" s="57">
        <f>$AM$74*VLOOKUP($AM$11,'PCU Values'!$B$9:$C$16,2,FALSE)</f>
        <v>0</v>
      </c>
      <c r="AV74" s="57">
        <f>$AN$74*VLOOKUP($AN$11,'PCU Values'!$B$9:$C$16,2,FALSE)</f>
        <v>0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0.2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0.2</v>
      </c>
      <c r="BD74" s="52">
        <f>SUM($AM$74,$AN$74,$AO$74,$AP$74,$AQ$74,$AR$74,$AS$74,$AT$74)</f>
        <v>1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57</v>
      </c>
      <c r="BZ74" s="83">
        <f>SUM($D$74,$V$74,$AN$74,$BF$74)</f>
        <v>9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1</v>
      </c>
      <c r="CD74" s="83">
        <f>SUM($H$74,$Z$74,$AR$74,$BJ$74)</f>
        <v>5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57</v>
      </c>
      <c r="CH74" s="77">
        <f>$BZ$74*VLOOKUP($BZ$11,'PCU Values'!$B$9:$C$16,2,FALSE)</f>
        <v>9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2</v>
      </c>
      <c r="CL74" s="77">
        <f>$CD$74*VLOOKUP($CD$11,'PCU Values'!$B$9:$C$16,2,FALSE)</f>
        <v>1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69</v>
      </c>
      <c r="CP74" s="52">
        <f>SUM($BY$74,$BZ$74,$CA$74,$CB$74,$CC$74,$CD$74,$CE$74,$CF$74)</f>
        <v>72</v>
      </c>
      <c r="CQ74" s="89">
        <f>SUM('J1 A - (North) Bishopthorpe Roa'!$U$74,'J1 B - Butcher Terrace'!$C$74,'J1 C - (South) Bishopthorpe Roa'!$BE$74,'J1 D - South Bank Avenue'!$AM$74)</f>
        <v>61</v>
      </c>
      <c r="CR74" s="83">
        <f>SUM('J1 A - (North) Bishopthorpe Roa'!$V$74,'J1 B - Butcher Terrace'!$D$74,'J1 C - (South) Bishopthorpe Roa'!$BF$74,'J1 D - South Bank Avenue'!$AN$74)</f>
        <v>11</v>
      </c>
      <c r="CS74" s="83">
        <f>SUM('J1 A - (North) Bishopthorpe Roa'!$W$74,'J1 B - Butcher Terrace'!$E$74,'J1 C - (South) Bishopthorpe Roa'!$BG$74,'J1 D - South Bank Avenue'!$AO$74)</f>
        <v>0</v>
      </c>
      <c r="CT74" s="83">
        <f>SUM('J1 A - (North) Bishopthorpe Roa'!$X$74,'J1 B - Butcher Terrace'!$F$74,'J1 C - (South) Bishopthorpe Roa'!$BH$74,'J1 D - South Bank Avenue'!$AP$74)</f>
        <v>0</v>
      </c>
      <c r="CU74" s="83">
        <f>SUM('J1 A - (North) Bishopthorpe Roa'!$Y$74,'J1 B - Butcher Terrace'!$G$74,'J1 C - (South) Bishopthorpe Roa'!$BI$74,'J1 D - South Bank Avenue'!$AQ$74)</f>
        <v>2</v>
      </c>
      <c r="CV74" s="83">
        <f>SUM('J1 A - (North) Bishopthorpe Roa'!$Z$74,'J1 B - Butcher Terrace'!$H$74,'J1 C - (South) Bishopthorpe Roa'!$BJ$74,'J1 D - South Bank Avenue'!$AR$74)</f>
        <v>5</v>
      </c>
      <c r="CW74" s="83">
        <f>SUM('J1 A - (North) Bishopthorpe Roa'!$AA$74,'J1 B - Butcher Terrace'!$I$74,'J1 C - (South) Bishopthorpe Roa'!$BK$74,'J1 D - South Bank Avenue'!$AS$74)</f>
        <v>1</v>
      </c>
      <c r="CX74" s="86">
        <f>SUM('J1 A - (North) Bishopthorpe Roa'!$AB$74,'J1 B - Butcher Terrace'!$J$74,'J1 C - (South) Bishopthorpe Roa'!$BL$74,'J1 D - South Bank Avenue'!$AT$74)</f>
        <v>0</v>
      </c>
      <c r="CY74" s="77">
        <f>$CQ$74*VLOOKUP($CQ$11,'PCU Values'!$B$9:$C$16,2,FALSE)</f>
        <v>61</v>
      </c>
      <c r="CZ74" s="77">
        <f>$CR$74*VLOOKUP($CR$11,'PCU Values'!$B$9:$C$16,2,FALSE)</f>
        <v>11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4</v>
      </c>
      <c r="DD74" s="77">
        <f>$CV$74*VLOOKUP($CV$11,'PCU Values'!$B$9:$C$16,2,FALSE)</f>
        <v>1</v>
      </c>
      <c r="DE74" s="77">
        <f>$CW$74*VLOOKUP($CW$11,'PCU Values'!$B$9:$C$16,2,FALSE)</f>
        <v>0.4</v>
      </c>
      <c r="DF74" s="78">
        <f>$CX$74*VLOOKUP($CX$11,'PCU Values'!$B$9:$C$16,2,FALSE)</f>
        <v>0</v>
      </c>
      <c r="DG74" s="66">
        <f>SUM($CY$74,$CZ$74,$DA$74,$DB$74,$DC$74,$DD$74,$DE$74,$DF$74)</f>
        <v>77.400000000000006</v>
      </c>
      <c r="DH74" s="52">
        <f>SUM($CQ$74,$CR$74,$CS$74,$CT$74,$CU$74,$CV$74,$CW$74,$CX$74)</f>
        <v>80</v>
      </c>
    </row>
    <row r="75" spans="1:112" ht="21" customHeight="1">
      <c r="A75" s="46">
        <v>44395.53125</v>
      </c>
      <c r="B75" s="50" t="s">
        <v>82</v>
      </c>
      <c r="C75" s="51">
        <v>1</v>
      </c>
      <c r="D75" s="51">
        <v>1</v>
      </c>
      <c r="E75" s="51">
        <v>0</v>
      </c>
      <c r="F75" s="51">
        <v>0</v>
      </c>
      <c r="G75" s="51">
        <v>0</v>
      </c>
      <c r="H75" s="51">
        <v>0</v>
      </c>
      <c r="I75" s="51">
        <v>0</v>
      </c>
      <c r="J75" s="59">
        <v>0</v>
      </c>
      <c r="K75" s="60">
        <f>$C$75*VLOOKUP($C$11,'PCU Values'!$B$9:$C$16,2,FALSE)</f>
        <v>1</v>
      </c>
      <c r="L75" s="60">
        <f>$D$75*VLOOKUP($D$11,'PCU Values'!$B$9:$C$16,2,FALSE)</f>
        <v>1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2</v>
      </c>
      <c r="T75" s="52">
        <f>SUM($C$75,$D$75,$E$75,$F$75,$G$75,$H$75,$I$75,$J$75)</f>
        <v>2</v>
      </c>
      <c r="U75" s="73">
        <v>57</v>
      </c>
      <c r="V75" s="51">
        <v>11</v>
      </c>
      <c r="W75" s="51">
        <v>1</v>
      </c>
      <c r="X75" s="51">
        <v>0</v>
      </c>
      <c r="Y75" s="51">
        <v>2</v>
      </c>
      <c r="Z75" s="51">
        <v>2</v>
      </c>
      <c r="AA75" s="51">
        <v>1</v>
      </c>
      <c r="AB75" s="59">
        <v>0</v>
      </c>
      <c r="AC75" s="60">
        <f>$U$75*VLOOKUP($U$11,'PCU Values'!$B$9:$C$16,2,FALSE)</f>
        <v>57</v>
      </c>
      <c r="AD75" s="60">
        <f>$V$75*VLOOKUP($V$11,'PCU Values'!$B$9:$C$16,2,FALSE)</f>
        <v>11</v>
      </c>
      <c r="AE75" s="60">
        <f>$W$75*VLOOKUP($W$11,'PCU Values'!$B$9:$C$16,2,FALSE)</f>
        <v>1.5</v>
      </c>
      <c r="AF75" s="60">
        <f>$X$75*VLOOKUP($X$11,'PCU Values'!$B$9:$C$16,2,FALSE)</f>
        <v>0</v>
      </c>
      <c r="AG75" s="60">
        <f>$Y$75*VLOOKUP($Y$11,'PCU Values'!$B$9:$C$16,2,FALSE)</f>
        <v>4</v>
      </c>
      <c r="AH75" s="60">
        <f>$Z$75*VLOOKUP($Z$11,'PCU Values'!$B$9:$C$16,2,FALSE)</f>
        <v>0.4</v>
      </c>
      <c r="AI75" s="60">
        <f>$AA$75*VLOOKUP($AA$11,'PCU Values'!$B$9:$C$16,2,FALSE)</f>
        <v>0.4</v>
      </c>
      <c r="AJ75" s="68">
        <f>$AB$75*VLOOKUP($AB$11,'PCU Values'!$B$9:$C$16,2,FALSE)</f>
        <v>0</v>
      </c>
      <c r="AK75" s="63">
        <f>SUM($AC$75,$AD$75,$AE$75,$AF$75,$AG$75,$AH$75,$AI$75,$AJ$75)</f>
        <v>74.3</v>
      </c>
      <c r="AL75" s="52">
        <f>SUM($U$75,$V$75,$W$75,$X$75,$Y$75,$Z$75,$AA$75,$AB$75)</f>
        <v>74</v>
      </c>
      <c r="AM75" s="73">
        <v>1</v>
      </c>
      <c r="AN75" s="51">
        <v>2</v>
      </c>
      <c r="AO75" s="51">
        <v>0</v>
      </c>
      <c r="AP75" s="51">
        <v>0</v>
      </c>
      <c r="AQ75" s="51">
        <v>0</v>
      </c>
      <c r="AR75" s="51">
        <v>3</v>
      </c>
      <c r="AS75" s="51">
        <v>0</v>
      </c>
      <c r="AT75" s="59">
        <v>0</v>
      </c>
      <c r="AU75" s="60">
        <f>$AM$75*VLOOKUP($AM$11,'PCU Values'!$B$9:$C$16,2,FALSE)</f>
        <v>1</v>
      </c>
      <c r="AV75" s="60">
        <f>$AN$75*VLOOKUP($AN$11,'PCU Values'!$B$9:$C$16,2,FALSE)</f>
        <v>2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0.6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3.6</v>
      </c>
      <c r="BD75" s="52">
        <f>SUM($AM$75,$AN$75,$AO$75,$AP$75,$AQ$75,$AR$75,$AS$75,$AT$75)</f>
        <v>6</v>
      </c>
      <c r="BE75" s="73">
        <v>1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1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1</v>
      </c>
      <c r="BV75" s="52">
        <f>SUM($BE$75,$BF$75,$BG$75,$BH$75,$BI$75,$BJ$75,$BK$75,$BL$75)</f>
        <v>1</v>
      </c>
      <c r="BX75" s="50" t="s">
        <v>82</v>
      </c>
      <c r="BY75" s="84">
        <f>SUM($C$75,$U$75,$AM$75,$BE$75)</f>
        <v>60</v>
      </c>
      <c r="BZ75" s="84">
        <f>SUM($D$75,$V$75,$AN$75,$BF$75)</f>
        <v>14</v>
      </c>
      <c r="CA75" s="84">
        <f>SUM($E$75,$W$75,$AO$75,$BG$75)</f>
        <v>1</v>
      </c>
      <c r="CB75" s="84">
        <f>SUM($F$75,$X$75,$AP$75,$BH$75)</f>
        <v>0</v>
      </c>
      <c r="CC75" s="84">
        <f>SUM($G$75,$Y$75,$AQ$75,$BI$75)</f>
        <v>2</v>
      </c>
      <c r="CD75" s="84">
        <f>SUM($H$75,$Z$75,$AR$75,$BJ$75)</f>
        <v>5</v>
      </c>
      <c r="CE75" s="84">
        <f>SUM($I$75,$AA$75,$AS$75,$BK$75)</f>
        <v>1</v>
      </c>
      <c r="CF75" s="87">
        <f>SUM($J$75,$AB$75,$AT$75,$BL$75)</f>
        <v>0</v>
      </c>
      <c r="CG75" s="79">
        <f>$BY$75*VLOOKUP($BY$11,'PCU Values'!$B$9:$C$16,2,FALSE)</f>
        <v>60</v>
      </c>
      <c r="CH75" s="79">
        <f>$BZ$75*VLOOKUP($BZ$11,'PCU Values'!$B$9:$C$16,2,FALSE)</f>
        <v>14</v>
      </c>
      <c r="CI75" s="79">
        <f>$CA$75*VLOOKUP($CA$11,'PCU Values'!$B$9:$C$16,2,FALSE)</f>
        <v>1.5</v>
      </c>
      <c r="CJ75" s="79">
        <f>$CB$75*VLOOKUP($CB$11,'PCU Values'!$B$9:$C$16,2,FALSE)</f>
        <v>0</v>
      </c>
      <c r="CK75" s="79">
        <f>$CC$75*VLOOKUP($CC$11,'PCU Values'!$B$9:$C$16,2,FALSE)</f>
        <v>4</v>
      </c>
      <c r="CL75" s="79">
        <f>$CD$75*VLOOKUP($CD$11,'PCU Values'!$B$9:$C$16,2,FALSE)</f>
        <v>1</v>
      </c>
      <c r="CM75" s="79">
        <f>$CE$75*VLOOKUP($CE$11,'PCU Values'!$B$9:$C$16,2,FALSE)</f>
        <v>0.4</v>
      </c>
      <c r="CN75" s="80">
        <f>$CF$75*VLOOKUP($CF$11,'PCU Values'!$B$9:$C$16,2,FALSE)</f>
        <v>0</v>
      </c>
      <c r="CO75" s="63">
        <f>SUM($CG$75,$CH$75,$CI$75,$CJ$75,$CK$75,$CL$75,$CM$75,$CN$75)</f>
        <v>80.900000000000006</v>
      </c>
      <c r="CP75" s="52">
        <f>SUM($BY$75,$BZ$75,$CA$75,$CB$75,$CC$75,$CD$75,$CE$75,$CF$75)</f>
        <v>83</v>
      </c>
      <c r="CQ75" s="90">
        <f>SUM('J1 A - (North) Bishopthorpe Roa'!$U$75,'J1 B - Butcher Terrace'!$C$75,'J1 C - (South) Bishopthorpe Roa'!$BE$75,'J1 D - South Bank Avenue'!$AM$75)</f>
        <v>52</v>
      </c>
      <c r="CR75" s="84">
        <f>SUM('J1 A - (North) Bishopthorpe Roa'!$V$75,'J1 B - Butcher Terrace'!$D$75,'J1 C - (South) Bishopthorpe Roa'!$BF$75,'J1 D - South Bank Avenue'!$AN$75)</f>
        <v>4</v>
      </c>
      <c r="CS75" s="84">
        <f>SUM('J1 A - (North) Bishopthorpe Roa'!$W$75,'J1 B - Butcher Terrace'!$E$75,'J1 C - (South) Bishopthorpe Roa'!$BG$75,'J1 D - South Bank Avenue'!$AO$75)</f>
        <v>0</v>
      </c>
      <c r="CT75" s="84">
        <f>SUM('J1 A - (North) Bishopthorpe Roa'!$X$75,'J1 B - Butcher Terrace'!$F$75,'J1 C - (South) Bishopthorpe Roa'!$BH$75,'J1 D - South Bank Avenue'!$AP$75)</f>
        <v>0</v>
      </c>
      <c r="CU75" s="84">
        <f>SUM('J1 A - (North) Bishopthorpe Roa'!$Y$75,'J1 B - Butcher Terrace'!$G$75,'J1 C - (South) Bishopthorpe Roa'!$BI$75,'J1 D - South Bank Avenue'!$AQ$75)</f>
        <v>0</v>
      </c>
      <c r="CV75" s="84">
        <f>SUM('J1 A - (North) Bishopthorpe Roa'!$Z$75,'J1 B - Butcher Terrace'!$H$75,'J1 C - (South) Bishopthorpe Roa'!$BJ$75,'J1 D - South Bank Avenue'!$AR$75)</f>
        <v>9</v>
      </c>
      <c r="CW75" s="84">
        <f>SUM('J1 A - (North) Bishopthorpe Roa'!$AA$75,'J1 B - Butcher Terrace'!$I$75,'J1 C - (South) Bishopthorpe Roa'!$BK$75,'J1 D - South Bank Avenue'!$AS$75)</f>
        <v>0</v>
      </c>
      <c r="CX75" s="87">
        <f>SUM('J1 A - (North) Bishopthorpe Roa'!$AB$75,'J1 B - Butcher Terrace'!$J$75,'J1 C - (South) Bishopthorpe Roa'!$BL$75,'J1 D - South Bank Avenue'!$AT$75)</f>
        <v>0</v>
      </c>
      <c r="CY75" s="79">
        <f>$CQ$75*VLOOKUP($CQ$11,'PCU Values'!$B$9:$C$16,2,FALSE)</f>
        <v>52</v>
      </c>
      <c r="CZ75" s="79">
        <f>$CR$75*VLOOKUP($CR$11,'PCU Values'!$B$9:$C$16,2,FALSE)</f>
        <v>4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1.8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57.8</v>
      </c>
      <c r="DH75" s="52">
        <f>SUM($CQ$75,$CR$75,$CS$75,$CT$75,$CU$75,$CV$75,$CW$75,$CX$75)</f>
        <v>65</v>
      </c>
    </row>
    <row r="76" spans="1:112">
      <c r="B76" s="52" t="s">
        <v>34</v>
      </c>
      <c r="C76" s="52">
        <f>SUM($C$72:$C$75)</f>
        <v>7</v>
      </c>
      <c r="D76" s="52">
        <f>SUM($D$72:$D$75)</f>
        <v>2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2</v>
      </c>
      <c r="I76" s="52">
        <f>SUM($I$72:$I$75)</f>
        <v>0</v>
      </c>
      <c r="J76" s="52">
        <f>SUM($J$72:$J$75)</f>
        <v>0</v>
      </c>
      <c r="K76" s="52">
        <f>SUM($K$72:$K$75)</f>
        <v>7</v>
      </c>
      <c r="L76" s="52">
        <f>SUM($L$72:$L$75)</f>
        <v>2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0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9</v>
      </c>
      <c r="T76" s="52">
        <f>SUM($C$76,$D$76,$E$76,$F$76,$G$76,$H$76,$I$76,$J$76)</f>
        <v>11</v>
      </c>
      <c r="U76" s="52">
        <f>SUM($U$72:$U$75)</f>
        <v>216</v>
      </c>
      <c r="V76" s="52">
        <f>SUM($V$72:$V$75)</f>
        <v>31</v>
      </c>
      <c r="W76" s="52">
        <f>SUM($W$72:$W$75)</f>
        <v>2</v>
      </c>
      <c r="X76" s="52">
        <f>SUM($X$72:$X$75)</f>
        <v>0</v>
      </c>
      <c r="Y76" s="52">
        <f>SUM($Y$72:$Y$75)</f>
        <v>5</v>
      </c>
      <c r="Z76" s="52">
        <f>SUM($Z$72:$Z$75)</f>
        <v>10</v>
      </c>
      <c r="AA76" s="52">
        <f>SUM($AA$72:$AA$75)</f>
        <v>1</v>
      </c>
      <c r="AB76" s="52">
        <f>SUM($AB$72:$AB$75)</f>
        <v>0</v>
      </c>
      <c r="AC76" s="52">
        <f>SUM($AC$72:$AC$75)</f>
        <v>216</v>
      </c>
      <c r="AD76" s="52">
        <f>SUM($AD$72:$AD$75)</f>
        <v>31</v>
      </c>
      <c r="AE76" s="52">
        <f>SUM($AE$72:$AE$75)</f>
        <v>3</v>
      </c>
      <c r="AF76" s="52">
        <f>SUM($AF$72:$AF$75)</f>
        <v>0</v>
      </c>
      <c r="AG76" s="52">
        <f>SUM($AG$72:$AG$75)</f>
        <v>10</v>
      </c>
      <c r="AH76" s="52">
        <f>SUM($AH$72:$AH$75)</f>
        <v>2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262</v>
      </c>
      <c r="AL76" s="52">
        <f>SUM($U$76,$V$76,$W$76,$X$76,$Y$76,$Z$76,$AA$76,$AB$76)</f>
        <v>265</v>
      </c>
      <c r="AM76" s="52">
        <f>SUM($AM$72:$AM$75)</f>
        <v>2</v>
      </c>
      <c r="AN76" s="52">
        <f>SUM($AN$72:$AN$75)</f>
        <v>3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9</v>
      </c>
      <c r="AS76" s="52">
        <f>SUM($AS$72:$AS$75)</f>
        <v>0</v>
      </c>
      <c r="AT76" s="52">
        <f>SUM($AT$72:$AT$75)</f>
        <v>0</v>
      </c>
      <c r="AU76" s="52">
        <f>SUM($AU$72:$AU$75)</f>
        <v>2</v>
      </c>
      <c r="AV76" s="52">
        <f>SUM($AV$72:$AV$75)</f>
        <v>3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2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7</v>
      </c>
      <c r="BD76" s="52">
        <f>SUM($AM$76,$AN$76,$AO$76,$AP$76,$AQ$76,$AR$76,$AS$76,$AT$76)</f>
        <v>14</v>
      </c>
      <c r="BE76" s="52">
        <f>SUM($BE$72:$BE$75)</f>
        <v>1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1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1</v>
      </c>
      <c r="BV76" s="52">
        <f>SUM($BE$76,$BF$76,$BG$76,$BH$76,$BI$76,$BJ$76,$BK$76,$BL$76)</f>
        <v>1</v>
      </c>
      <c r="BX76" s="52" t="s">
        <v>34</v>
      </c>
      <c r="BY76" s="52">
        <f>SUM($BY$72:$BY$75)</f>
        <v>226</v>
      </c>
      <c r="BZ76" s="52">
        <f>SUM($BZ$72:$BZ$75)</f>
        <v>36</v>
      </c>
      <c r="CA76" s="52">
        <f>SUM($CA$72:$CA$75)</f>
        <v>2</v>
      </c>
      <c r="CB76" s="52">
        <f>SUM($CB$72:$CB$75)</f>
        <v>0</v>
      </c>
      <c r="CC76" s="52">
        <f>SUM($CC$72:$CC$75)</f>
        <v>5</v>
      </c>
      <c r="CD76" s="52">
        <f>SUM($CD$72:$CD$75)</f>
        <v>21</v>
      </c>
      <c r="CE76" s="52">
        <f>SUM($CE$72:$CE$75)</f>
        <v>1</v>
      </c>
      <c r="CF76" s="52">
        <f>SUM($CF$72:$CF$75)</f>
        <v>0</v>
      </c>
      <c r="CG76" s="52">
        <f>SUM($CG$72:$CG$75)</f>
        <v>226</v>
      </c>
      <c r="CH76" s="52">
        <f>SUM($CH$72:$CH$75)</f>
        <v>36</v>
      </c>
      <c r="CI76" s="52">
        <f>SUM($CI$72:$CI$75)</f>
        <v>3</v>
      </c>
      <c r="CJ76" s="52">
        <f>SUM($CJ$72:$CJ$75)</f>
        <v>0</v>
      </c>
      <c r="CK76" s="52">
        <f>SUM($CK$72:$CK$75)</f>
        <v>10</v>
      </c>
      <c r="CL76" s="52">
        <f>SUM($CL$72:$CL$75)</f>
        <v>4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279</v>
      </c>
      <c r="CP76" s="52">
        <f>SUM($BY$76,$BZ$76,$CA$76,$CB$76,$CC$76,$CD$76,$CE$76,$CF$76)</f>
        <v>291</v>
      </c>
      <c r="CQ76" s="52">
        <f>SUM($CQ$72:$CQ$75)</f>
        <v>221</v>
      </c>
      <c r="CR76" s="52">
        <f>SUM($CR$72:$CR$75)</f>
        <v>32</v>
      </c>
      <c r="CS76" s="52">
        <f>SUM($CS$72:$CS$75)</f>
        <v>1</v>
      </c>
      <c r="CT76" s="52">
        <f>SUM($CT$72:$CT$75)</f>
        <v>0</v>
      </c>
      <c r="CU76" s="52">
        <f>SUM($CU$72:$CU$75)</f>
        <v>3</v>
      </c>
      <c r="CV76" s="52">
        <f>SUM($CV$72:$CV$75)</f>
        <v>24</v>
      </c>
      <c r="CW76" s="52">
        <f>SUM($CW$72:$CW$75)</f>
        <v>3</v>
      </c>
      <c r="CX76" s="52">
        <f>SUM($CX$72:$CX$75)</f>
        <v>0</v>
      </c>
      <c r="CY76" s="52">
        <f>SUM($CY$72:$CY$75)</f>
        <v>221</v>
      </c>
      <c r="CZ76" s="52">
        <f>SUM($CZ$72:$CZ$75)</f>
        <v>32</v>
      </c>
      <c r="DA76" s="52">
        <f>SUM($DA$72:$DA$75)</f>
        <v>2</v>
      </c>
      <c r="DB76" s="52">
        <f>SUM($DB$72:$DB$75)</f>
        <v>0</v>
      </c>
      <c r="DC76" s="52">
        <f>SUM($DC$72:$DC$75)</f>
        <v>6</v>
      </c>
      <c r="DD76" s="52">
        <f>SUM($DD$72:$DD$75)</f>
        <v>5</v>
      </c>
      <c r="DE76" s="52">
        <f>SUM($DE$72:$DE$75)</f>
        <v>1</v>
      </c>
      <c r="DF76" s="52">
        <f>SUM($DF$72:$DF$75)</f>
        <v>0</v>
      </c>
      <c r="DG76" s="52">
        <f>SUM($CY$76,$CZ$76,$DA$76,$DB$76,$DC$76,$DD$76,$DE$76,$DF$76)</f>
        <v>267</v>
      </c>
      <c r="DH76" s="52">
        <f>SUM($CQ$76,$CR$76,$CS$76,$CT$76,$CU$76,$CV$76,$CW$76,$CX$76)</f>
        <v>284</v>
      </c>
    </row>
    <row r="77" spans="1:112" ht="21" customHeight="1">
      <c r="A77" s="46">
        <v>44395.541666666701</v>
      </c>
      <c r="B77" s="53" t="s">
        <v>83</v>
      </c>
      <c r="C77" s="75">
        <v>0</v>
      </c>
      <c r="D77" s="75">
        <v>0</v>
      </c>
      <c r="E77" s="54">
        <v>0</v>
      </c>
      <c r="F77" s="54">
        <v>0</v>
      </c>
      <c r="G77" s="54">
        <v>0</v>
      </c>
      <c r="H77" s="75">
        <v>0</v>
      </c>
      <c r="I77" s="75">
        <v>0</v>
      </c>
      <c r="J77" s="92">
        <v>0</v>
      </c>
      <c r="K77" s="62">
        <f>$C$77*VLOOKUP($C$11,'PCU Values'!$B$9:$C$16,2,FALSE)</f>
        <v>0</v>
      </c>
      <c r="L77" s="62">
        <f>$D$77*VLOOKUP($D$11,'PCU Values'!$B$9:$C$16,2,FALSE)</f>
        <v>0</v>
      </c>
      <c r="M77" s="62">
        <f>$E$77*VLOOKUP($E$11,'PCU Values'!$B$9:$C$16,2,FALSE)</f>
        <v>0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</v>
      </c>
      <c r="Q77" s="62">
        <f>$I$77*VLOOKUP($I$11,'PCU Values'!$B$9:$C$16,2,FALSE)</f>
        <v>0</v>
      </c>
      <c r="R77" s="70">
        <f>$J$77*VLOOKUP($J$11,'PCU Values'!$B$9:$C$16,2,FALSE)</f>
        <v>0</v>
      </c>
      <c r="S77" s="71">
        <f>SUM($K$77,$L$77,$M$77,$N$77,$O$77,$P$77,$Q$77,$R$77)</f>
        <v>0</v>
      </c>
      <c r="T77" s="52">
        <f>SUM($C$77,$D$77,$E$77,$F$77,$G$77,$H$77,$I$77,$J$77)</f>
        <v>0</v>
      </c>
      <c r="U77" s="72">
        <v>56</v>
      </c>
      <c r="V77" s="54">
        <v>6</v>
      </c>
      <c r="W77" s="54">
        <v>1</v>
      </c>
      <c r="X77" s="54">
        <v>1</v>
      </c>
      <c r="Y77" s="54">
        <v>1</v>
      </c>
      <c r="Z77" s="54">
        <v>4</v>
      </c>
      <c r="AA77" s="54">
        <v>1</v>
      </c>
      <c r="AB77" s="61">
        <v>0</v>
      </c>
      <c r="AC77" s="62">
        <f>$U$77*VLOOKUP($U$11,'PCU Values'!$B$9:$C$16,2,FALSE)</f>
        <v>56</v>
      </c>
      <c r="AD77" s="62">
        <f>$V$77*VLOOKUP($V$11,'PCU Values'!$B$9:$C$16,2,FALSE)</f>
        <v>6</v>
      </c>
      <c r="AE77" s="62">
        <f>$W$77*VLOOKUP($W$11,'PCU Values'!$B$9:$C$16,2,FALSE)</f>
        <v>1.5</v>
      </c>
      <c r="AF77" s="62">
        <f>$X$77*VLOOKUP($X$11,'PCU Values'!$B$9:$C$16,2,FALSE)</f>
        <v>2.2999999999999998</v>
      </c>
      <c r="AG77" s="62">
        <f>$Y$77*VLOOKUP($Y$11,'PCU Values'!$B$9:$C$16,2,FALSE)</f>
        <v>2</v>
      </c>
      <c r="AH77" s="62">
        <f>$Z$77*VLOOKUP($Z$11,'PCU Values'!$B$9:$C$16,2,FALSE)</f>
        <v>0.8</v>
      </c>
      <c r="AI77" s="62">
        <f>$AA$77*VLOOKUP($AA$11,'PCU Values'!$B$9:$C$16,2,FALSE)</f>
        <v>0.4</v>
      </c>
      <c r="AJ77" s="70">
        <f>$AB$77*VLOOKUP($AB$11,'PCU Values'!$B$9:$C$16,2,FALSE)</f>
        <v>0</v>
      </c>
      <c r="AK77" s="71">
        <f>SUM($AC$77,$AD$77,$AE$77,$AF$77,$AG$77,$AH$77,$AI$77,$AJ$77)</f>
        <v>69</v>
      </c>
      <c r="AL77" s="52">
        <f>SUM($U$77,$V$77,$W$77,$X$77,$Y$77,$Z$77,$AA$77,$AB$77)</f>
        <v>70</v>
      </c>
      <c r="AM77" s="72">
        <v>0</v>
      </c>
      <c r="AN77" s="54">
        <v>0</v>
      </c>
      <c r="AO77" s="54">
        <v>0</v>
      </c>
      <c r="AP77" s="54">
        <v>0</v>
      </c>
      <c r="AQ77" s="54">
        <v>0</v>
      </c>
      <c r="AR77" s="54">
        <v>1</v>
      </c>
      <c r="AS77" s="54">
        <v>0</v>
      </c>
      <c r="AT77" s="61">
        <v>1</v>
      </c>
      <c r="AU77" s="62">
        <f>$AM$77*VLOOKUP($AM$11,'PCU Values'!$B$9:$C$16,2,FALSE)</f>
        <v>0</v>
      </c>
      <c r="AV77" s="62">
        <f>$AN$77*VLOOKUP($AN$11,'PCU Values'!$B$9:$C$16,2,FALSE)</f>
        <v>0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0.2</v>
      </c>
      <c r="BA77" s="62">
        <f>$AS$77*VLOOKUP($AS$11,'PCU Values'!$B$9:$C$16,2,FALSE)</f>
        <v>0</v>
      </c>
      <c r="BB77" s="70">
        <f>$AT$77*VLOOKUP($AT$11,'PCU Values'!$B$9:$C$16,2,FALSE)</f>
        <v>1.5</v>
      </c>
      <c r="BC77" s="71">
        <f>SUM($AU$77,$AV$77,$AW$77,$AX$77,$AY$77,$AZ$77,$BA$77,$BB$77)</f>
        <v>1.7</v>
      </c>
      <c r="BD77" s="52">
        <f>SUM($AM$77,$AN$77,$AO$77,$AP$77,$AQ$77,$AR$77,$AS$77,$AT$77)</f>
        <v>2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56</v>
      </c>
      <c r="BZ77" s="85">
        <f>SUM($D$77,$V$77,$AN$77,$BF$77)</f>
        <v>6</v>
      </c>
      <c r="CA77" s="85">
        <f>SUM($E$77,$W$77,$AO$77,$BG$77)</f>
        <v>1</v>
      </c>
      <c r="CB77" s="85">
        <f>SUM($F$77,$X$77,$AP$77,$BH$77)</f>
        <v>1</v>
      </c>
      <c r="CC77" s="85">
        <f>SUM($G$77,$Y$77,$AQ$77,$BI$77)</f>
        <v>1</v>
      </c>
      <c r="CD77" s="85">
        <f>SUM($H$77,$Z$77,$AR$77,$BJ$77)</f>
        <v>5</v>
      </c>
      <c r="CE77" s="85">
        <f>SUM($I$77,$AA$77,$AS$77,$BK$77)</f>
        <v>1</v>
      </c>
      <c r="CF77" s="88">
        <f>SUM($J$77,$AB$77,$AT$77,$BL$77)</f>
        <v>1</v>
      </c>
      <c r="CG77" s="81">
        <f>$BY$77*VLOOKUP($BY$11,'PCU Values'!$B$9:$C$16,2,FALSE)</f>
        <v>56</v>
      </c>
      <c r="CH77" s="81">
        <f>$BZ$77*VLOOKUP($BZ$11,'PCU Values'!$B$9:$C$16,2,FALSE)</f>
        <v>6</v>
      </c>
      <c r="CI77" s="81">
        <f>$CA$77*VLOOKUP($CA$11,'PCU Values'!$B$9:$C$16,2,FALSE)</f>
        <v>1.5</v>
      </c>
      <c r="CJ77" s="81">
        <f>$CB$77*VLOOKUP($CB$11,'PCU Values'!$B$9:$C$16,2,FALSE)</f>
        <v>2.2999999999999998</v>
      </c>
      <c r="CK77" s="81">
        <f>$CC$77*VLOOKUP($CC$11,'PCU Values'!$B$9:$C$16,2,FALSE)</f>
        <v>2</v>
      </c>
      <c r="CL77" s="81">
        <f>$CD$77*VLOOKUP($CD$11,'PCU Values'!$B$9:$C$16,2,FALSE)</f>
        <v>1</v>
      </c>
      <c r="CM77" s="81">
        <f>$CE$77*VLOOKUP($CE$11,'PCU Values'!$B$9:$C$16,2,FALSE)</f>
        <v>0.4</v>
      </c>
      <c r="CN77" s="82">
        <f>$CF$77*VLOOKUP($CF$11,'PCU Values'!$B$9:$C$16,2,FALSE)</f>
        <v>1.5</v>
      </c>
      <c r="CO77" s="71">
        <f>SUM($CG$77,$CH$77,$CI$77,$CJ$77,$CK$77,$CL$77,$CM$77,$CN$77)</f>
        <v>70.7</v>
      </c>
      <c r="CP77" s="52">
        <f>SUM($BY$77,$BZ$77,$CA$77,$CB$77,$CC$77,$CD$77,$CE$77,$CF$77)</f>
        <v>72</v>
      </c>
      <c r="CQ77" s="91">
        <f>SUM('J1 A - (North) Bishopthorpe Roa'!$U$77,'J1 B - Butcher Terrace'!$C$77,'J1 C - (South) Bishopthorpe Roa'!$BE$77,'J1 D - South Bank Avenue'!$AM$77)</f>
        <v>50</v>
      </c>
      <c r="CR77" s="85">
        <f>SUM('J1 A - (North) Bishopthorpe Roa'!$V$77,'J1 B - Butcher Terrace'!$D$77,'J1 C - (South) Bishopthorpe Roa'!$BF$77,'J1 D - South Bank Avenue'!$AN$77)</f>
        <v>8</v>
      </c>
      <c r="CS77" s="85">
        <f>SUM('J1 A - (North) Bishopthorpe Roa'!$W$77,'J1 B - Butcher Terrace'!$E$77,'J1 C - (South) Bishopthorpe Roa'!$BG$77,'J1 D - South Bank Avenue'!$AO$77)</f>
        <v>2</v>
      </c>
      <c r="CT77" s="85">
        <f>SUM('J1 A - (North) Bishopthorpe Roa'!$X$77,'J1 B - Butcher Terrace'!$F$77,'J1 C - (South) Bishopthorpe Roa'!$BH$77,'J1 D - South Bank Avenue'!$AP$77)</f>
        <v>0</v>
      </c>
      <c r="CU77" s="85">
        <f>SUM('J1 A - (North) Bishopthorpe Roa'!$Y$77,'J1 B - Butcher Terrace'!$G$77,'J1 C - (South) Bishopthorpe Roa'!$BI$77,'J1 D - South Bank Avenue'!$AQ$77)</f>
        <v>1</v>
      </c>
      <c r="CV77" s="85">
        <f>SUM('J1 A - (North) Bishopthorpe Roa'!$Z$77,'J1 B - Butcher Terrace'!$H$77,'J1 C - (South) Bishopthorpe Roa'!$BJ$77,'J1 D - South Bank Avenue'!$AR$77)</f>
        <v>4</v>
      </c>
      <c r="CW77" s="85">
        <f>SUM('J1 A - (North) Bishopthorpe Roa'!$AA$77,'J1 B - Butcher Terrace'!$I$77,'J1 C - (South) Bishopthorpe Roa'!$BK$77,'J1 D - South Bank Avenue'!$AS$77)</f>
        <v>3</v>
      </c>
      <c r="CX77" s="88">
        <f>SUM('J1 A - (North) Bishopthorpe Roa'!$AB$77,'J1 B - Butcher Terrace'!$J$77,'J1 C - (South) Bishopthorpe Roa'!$BL$77,'J1 D - South Bank Avenue'!$AT$77)</f>
        <v>0</v>
      </c>
      <c r="CY77" s="81">
        <f>$CQ$77*VLOOKUP($CQ$11,'PCU Values'!$B$9:$C$16,2,FALSE)</f>
        <v>50</v>
      </c>
      <c r="CZ77" s="81">
        <f>$CR$77*VLOOKUP($CR$11,'PCU Values'!$B$9:$C$16,2,FALSE)</f>
        <v>8</v>
      </c>
      <c r="DA77" s="81">
        <f>$CS$77*VLOOKUP($CS$11,'PCU Values'!$B$9:$C$16,2,FALSE)</f>
        <v>3</v>
      </c>
      <c r="DB77" s="81">
        <f>$CT$77*VLOOKUP($CT$11,'PCU Values'!$B$9:$C$16,2,FALSE)</f>
        <v>0</v>
      </c>
      <c r="DC77" s="81">
        <f>$CU$77*VLOOKUP($CU$11,'PCU Values'!$B$9:$C$16,2,FALSE)</f>
        <v>2</v>
      </c>
      <c r="DD77" s="81">
        <f>$CV$77*VLOOKUP($CV$11,'PCU Values'!$B$9:$C$16,2,FALSE)</f>
        <v>0.8</v>
      </c>
      <c r="DE77" s="81">
        <f>$CW$77*VLOOKUP($CW$11,'PCU Values'!$B$9:$C$16,2,FALSE)</f>
        <v>1.2</v>
      </c>
      <c r="DF77" s="82">
        <f>$CX$77*VLOOKUP($CX$11,'PCU Values'!$B$9:$C$16,2,FALSE)</f>
        <v>0</v>
      </c>
      <c r="DG77" s="71">
        <f>SUM($CY$77,$CZ$77,$DA$77,$DB$77,$DC$77,$DD$77,$DE$77,$DF$77)</f>
        <v>65</v>
      </c>
      <c r="DH77" s="52">
        <f>SUM($CQ$77,$CR$77,$CS$77,$CT$77,$CU$77,$CV$77,$CW$77,$CX$77)</f>
        <v>68</v>
      </c>
    </row>
    <row r="78" spans="1:112" ht="21" customHeight="1">
      <c r="A78" s="46">
        <v>44395.552083333299</v>
      </c>
      <c r="B78" s="47" t="s">
        <v>84</v>
      </c>
      <c r="C78" s="48">
        <v>1</v>
      </c>
      <c r="D78" s="48">
        <v>1</v>
      </c>
      <c r="E78" s="48">
        <v>0</v>
      </c>
      <c r="F78" s="48">
        <v>0</v>
      </c>
      <c r="G78" s="48">
        <v>0</v>
      </c>
      <c r="H78" s="48">
        <v>0</v>
      </c>
      <c r="I78" s="48">
        <v>0</v>
      </c>
      <c r="J78" s="56">
        <v>0</v>
      </c>
      <c r="K78" s="57">
        <f>$C$78*VLOOKUP($C$11,'PCU Values'!$B$9:$C$16,2,FALSE)</f>
        <v>1</v>
      </c>
      <c r="L78" s="57">
        <f>$D$78*VLOOKUP($D$11,'PCU Values'!$B$9:$C$16,2,FALSE)</f>
        <v>1</v>
      </c>
      <c r="M78" s="57">
        <f>$E$78*VLOOKUP($E$11,'PCU Values'!$B$9:$C$16,2,FALSE)</f>
        <v>0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2</v>
      </c>
      <c r="T78" s="52">
        <f>SUM($C$78,$D$78,$E$78,$F$78,$G$78,$H$78,$I$78,$J$78)</f>
        <v>2</v>
      </c>
      <c r="U78" s="67">
        <v>57</v>
      </c>
      <c r="V78" s="48">
        <v>8</v>
      </c>
      <c r="W78" s="48">
        <v>0</v>
      </c>
      <c r="X78" s="48">
        <v>0</v>
      </c>
      <c r="Y78" s="48">
        <v>0</v>
      </c>
      <c r="Z78" s="48">
        <v>4</v>
      </c>
      <c r="AA78" s="48">
        <v>0</v>
      </c>
      <c r="AB78" s="56">
        <v>0</v>
      </c>
      <c r="AC78" s="57">
        <f>$U$78*VLOOKUP($U$11,'PCU Values'!$B$9:$C$16,2,FALSE)</f>
        <v>57</v>
      </c>
      <c r="AD78" s="57">
        <f>$V$78*VLOOKUP($V$11,'PCU Values'!$B$9:$C$16,2,FALSE)</f>
        <v>8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0.8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65.8</v>
      </c>
      <c r="AL78" s="52">
        <f>SUM($U$78,$V$78,$W$78,$X$78,$Y$78,$Z$78,$AA$78,$AB$78)</f>
        <v>69</v>
      </c>
      <c r="AM78" s="67">
        <v>0</v>
      </c>
      <c r="AN78" s="48">
        <v>2</v>
      </c>
      <c r="AO78" s="48">
        <v>0</v>
      </c>
      <c r="AP78" s="48">
        <v>0</v>
      </c>
      <c r="AQ78" s="48">
        <v>0</v>
      </c>
      <c r="AR78" s="48">
        <v>1</v>
      </c>
      <c r="AS78" s="48">
        <v>0</v>
      </c>
      <c r="AT78" s="56">
        <v>0</v>
      </c>
      <c r="AU78" s="57">
        <f>$AM$78*VLOOKUP($AM$11,'PCU Values'!$B$9:$C$16,2,FALSE)</f>
        <v>0</v>
      </c>
      <c r="AV78" s="57">
        <f>$AN$78*VLOOKUP($AN$11,'PCU Values'!$B$9:$C$16,2,FALSE)</f>
        <v>2</v>
      </c>
      <c r="AW78" s="57">
        <f>$AO$78*VLOOKUP($AO$11,'PCU Values'!$B$9:$C$16,2,FALSE)</f>
        <v>0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0.2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2.2000000000000002</v>
      </c>
      <c r="BD78" s="52">
        <f>SUM($AM$78,$AN$78,$AO$78,$AP$78,$AQ$78,$AR$78,$AS$78,$AT$78)</f>
        <v>3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58</v>
      </c>
      <c r="BZ78" s="83">
        <f>SUM($D$78,$V$78,$AN$78,$BF$78)</f>
        <v>11</v>
      </c>
      <c r="CA78" s="83">
        <f>SUM($E$78,$W$78,$AO$78,$BG$78)</f>
        <v>0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5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58</v>
      </c>
      <c r="CH78" s="77">
        <f>$BZ$78*VLOOKUP($BZ$11,'PCU Values'!$B$9:$C$16,2,FALSE)</f>
        <v>11</v>
      </c>
      <c r="CI78" s="77">
        <f>$CA$78*VLOOKUP($CA$11,'PCU Values'!$B$9:$C$16,2,FALSE)</f>
        <v>0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1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70</v>
      </c>
      <c r="CP78" s="52">
        <f>SUM($BY$78,$BZ$78,$CA$78,$CB$78,$CC$78,$CD$78,$CE$78,$CF$78)</f>
        <v>74</v>
      </c>
      <c r="CQ78" s="89">
        <f>SUM('J1 A - (North) Bishopthorpe Roa'!$U$78,'J1 B - Butcher Terrace'!$C$78,'J1 C - (South) Bishopthorpe Roa'!$BE$78,'J1 D - South Bank Avenue'!$AM$78)</f>
        <v>61</v>
      </c>
      <c r="CR78" s="83">
        <f>SUM('J1 A - (North) Bishopthorpe Roa'!$V$78,'J1 B - Butcher Terrace'!$D$78,'J1 C - (South) Bishopthorpe Roa'!$BF$78,'J1 D - South Bank Avenue'!$AN$78)</f>
        <v>6</v>
      </c>
      <c r="CS78" s="83">
        <f>SUM('J1 A - (North) Bishopthorpe Roa'!$W$78,'J1 B - Butcher Terrace'!$E$78,'J1 C - (South) Bishopthorpe Roa'!$BG$78,'J1 D - South Bank Avenue'!$AO$78)</f>
        <v>1</v>
      </c>
      <c r="CT78" s="83">
        <f>SUM('J1 A - (North) Bishopthorpe Roa'!$X$78,'J1 B - Butcher Terrace'!$F$78,'J1 C - (South) Bishopthorpe Roa'!$BH$78,'J1 D - South Bank Avenue'!$AP$78)</f>
        <v>0</v>
      </c>
      <c r="CU78" s="83">
        <f>SUM('J1 A - (North) Bishopthorpe Roa'!$Y$78,'J1 B - Butcher Terrace'!$G$78,'J1 C - (South) Bishopthorpe Roa'!$BI$78,'J1 D - South Bank Avenue'!$AQ$78)</f>
        <v>1</v>
      </c>
      <c r="CV78" s="83">
        <f>SUM('J1 A - (North) Bishopthorpe Roa'!$Z$78,'J1 B - Butcher Terrace'!$H$78,'J1 C - (South) Bishopthorpe Roa'!$BJ$78,'J1 D - South Bank Avenue'!$AR$78)</f>
        <v>2</v>
      </c>
      <c r="CW78" s="83">
        <f>SUM('J1 A - (North) Bishopthorpe Roa'!$AA$78,'J1 B - Butcher Terrace'!$I$78,'J1 C - (South) Bishopthorpe Roa'!$BK$78,'J1 D - South Bank Avenue'!$AS$78)</f>
        <v>0</v>
      </c>
      <c r="CX78" s="86">
        <f>SUM('J1 A - (North) Bishopthorpe Roa'!$AB$78,'J1 B - Butcher Terrace'!$J$78,'J1 C - (South) Bishopthorpe Roa'!$BL$78,'J1 D - South Bank Avenue'!$AT$78)</f>
        <v>0</v>
      </c>
      <c r="CY78" s="77">
        <f>$CQ$78*VLOOKUP($CQ$11,'PCU Values'!$B$9:$C$16,2,FALSE)</f>
        <v>61</v>
      </c>
      <c r="CZ78" s="77">
        <f>$CR$78*VLOOKUP($CR$11,'PCU Values'!$B$9:$C$16,2,FALSE)</f>
        <v>6</v>
      </c>
      <c r="DA78" s="77">
        <f>$CS$78*VLOOKUP($CS$11,'PCU Values'!$B$9:$C$16,2,FALSE)</f>
        <v>1.5</v>
      </c>
      <c r="DB78" s="77">
        <f>$CT$78*VLOOKUP($CT$11,'PCU Values'!$B$9:$C$16,2,FALSE)</f>
        <v>0</v>
      </c>
      <c r="DC78" s="77">
        <f>$CU$78*VLOOKUP($CU$11,'PCU Values'!$B$9:$C$16,2,FALSE)</f>
        <v>2</v>
      </c>
      <c r="DD78" s="77">
        <f>$CV$78*VLOOKUP($CV$11,'PCU Values'!$B$9:$C$16,2,FALSE)</f>
        <v>0.4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70.900000000000006</v>
      </c>
      <c r="DH78" s="52">
        <f>SUM($CQ$78,$CR$78,$CS$78,$CT$78,$CU$78,$CV$78,$CW$78,$CX$78)</f>
        <v>71</v>
      </c>
    </row>
    <row r="79" spans="1:112" ht="21" customHeight="1">
      <c r="A79" s="46">
        <v>44395.5625</v>
      </c>
      <c r="B79" s="47" t="s">
        <v>85</v>
      </c>
      <c r="C79" s="48">
        <v>3</v>
      </c>
      <c r="D79" s="48">
        <v>1</v>
      </c>
      <c r="E79" s="48">
        <v>0</v>
      </c>
      <c r="F79" s="48">
        <v>0</v>
      </c>
      <c r="G79" s="48">
        <v>0</v>
      </c>
      <c r="H79" s="48">
        <v>2</v>
      </c>
      <c r="I79" s="48">
        <v>0</v>
      </c>
      <c r="J79" s="56">
        <v>0</v>
      </c>
      <c r="K79" s="57">
        <f>$C$79*VLOOKUP($C$11,'PCU Values'!$B$9:$C$16,2,FALSE)</f>
        <v>3</v>
      </c>
      <c r="L79" s="57">
        <f>$D$79*VLOOKUP($D$11,'PCU Values'!$B$9:$C$16,2,FALSE)</f>
        <v>1</v>
      </c>
      <c r="M79" s="57">
        <f>$E$79*VLOOKUP($E$11,'PCU Values'!$B$9:$C$16,2,FALSE)</f>
        <v>0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0.4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4.4000000000000004</v>
      </c>
      <c r="T79" s="52">
        <f>SUM($C$79,$D$79,$E$79,$F$79,$G$79,$H$79,$I$79,$J$79)</f>
        <v>6</v>
      </c>
      <c r="U79" s="67">
        <v>54</v>
      </c>
      <c r="V79" s="48">
        <v>9</v>
      </c>
      <c r="W79" s="48">
        <v>0</v>
      </c>
      <c r="X79" s="48">
        <v>0</v>
      </c>
      <c r="Y79" s="48">
        <v>2</v>
      </c>
      <c r="Z79" s="48">
        <v>3</v>
      </c>
      <c r="AA79" s="48">
        <v>1</v>
      </c>
      <c r="AB79" s="56">
        <v>0</v>
      </c>
      <c r="AC79" s="57">
        <f>$U$79*VLOOKUP($U$11,'PCU Values'!$B$9:$C$16,2,FALSE)</f>
        <v>54</v>
      </c>
      <c r="AD79" s="57">
        <f>$V$79*VLOOKUP($V$11,'PCU Values'!$B$9:$C$16,2,FALSE)</f>
        <v>9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4</v>
      </c>
      <c r="AH79" s="57">
        <f>$Z$79*VLOOKUP($Z$11,'PCU Values'!$B$9:$C$16,2,FALSE)</f>
        <v>0.6</v>
      </c>
      <c r="AI79" s="57">
        <f>$AA$79*VLOOKUP($AA$11,'PCU Values'!$B$9:$C$16,2,FALSE)</f>
        <v>0.4</v>
      </c>
      <c r="AJ79" s="65">
        <f>$AB$79*VLOOKUP($AB$11,'PCU Values'!$B$9:$C$16,2,FALSE)</f>
        <v>0</v>
      </c>
      <c r="AK79" s="66">
        <f>SUM($AC$79,$AD$79,$AE$79,$AF$79,$AG$79,$AH$79,$AI$79,$AJ$79)</f>
        <v>68</v>
      </c>
      <c r="AL79" s="52">
        <f>SUM($U$79,$V$79,$W$79,$X$79,$Y$79,$Z$79,$AA$79,$AB$79)</f>
        <v>69</v>
      </c>
      <c r="AM79" s="67">
        <v>1</v>
      </c>
      <c r="AN79" s="48">
        <v>0</v>
      </c>
      <c r="AO79" s="48">
        <v>0</v>
      </c>
      <c r="AP79" s="48">
        <v>0</v>
      </c>
      <c r="AQ79" s="48">
        <v>0</v>
      </c>
      <c r="AR79" s="48">
        <v>1</v>
      </c>
      <c r="AS79" s="48">
        <v>0</v>
      </c>
      <c r="AT79" s="56">
        <v>0</v>
      </c>
      <c r="AU79" s="57">
        <f>$AM$79*VLOOKUP($AM$11,'PCU Values'!$B$9:$C$16,2,FALSE)</f>
        <v>1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0.2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1.2</v>
      </c>
      <c r="BD79" s="52">
        <f>SUM($AM$79,$AN$79,$AO$79,$AP$79,$AQ$79,$AR$79,$AS$79,$AT$79)</f>
        <v>2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58</v>
      </c>
      <c r="BZ79" s="83">
        <f>SUM($D$79,$V$79,$AN$79,$BF$79)</f>
        <v>10</v>
      </c>
      <c r="CA79" s="83">
        <f>SUM($E$79,$W$79,$AO$79,$BG$79)</f>
        <v>0</v>
      </c>
      <c r="CB79" s="83">
        <f>SUM($F$79,$X$79,$AP$79,$BH$79)</f>
        <v>0</v>
      </c>
      <c r="CC79" s="83">
        <f>SUM($G$79,$Y$79,$AQ$79,$BI$79)</f>
        <v>2</v>
      </c>
      <c r="CD79" s="83">
        <f>SUM($H$79,$Z$79,$AR$79,$BJ$79)</f>
        <v>6</v>
      </c>
      <c r="CE79" s="83">
        <f>SUM($I$79,$AA$79,$AS$79,$BK$79)</f>
        <v>1</v>
      </c>
      <c r="CF79" s="86">
        <f>SUM($J$79,$AB$79,$AT$79,$BL$79)</f>
        <v>0</v>
      </c>
      <c r="CG79" s="77">
        <f>$BY$79*VLOOKUP($BY$11,'PCU Values'!$B$9:$C$16,2,FALSE)</f>
        <v>58</v>
      </c>
      <c r="CH79" s="77">
        <f>$BZ$79*VLOOKUP($BZ$11,'PCU Values'!$B$9:$C$16,2,FALSE)</f>
        <v>10</v>
      </c>
      <c r="CI79" s="77">
        <f>$CA$79*VLOOKUP($CA$11,'PCU Values'!$B$9:$C$16,2,FALSE)</f>
        <v>0</v>
      </c>
      <c r="CJ79" s="77">
        <f>$CB$79*VLOOKUP($CB$11,'PCU Values'!$B$9:$C$16,2,FALSE)</f>
        <v>0</v>
      </c>
      <c r="CK79" s="77">
        <f>$CC$79*VLOOKUP($CC$11,'PCU Values'!$B$9:$C$16,2,FALSE)</f>
        <v>4</v>
      </c>
      <c r="CL79" s="77">
        <f>$CD$79*VLOOKUP($CD$11,'PCU Values'!$B$9:$C$16,2,FALSE)</f>
        <v>1.2</v>
      </c>
      <c r="CM79" s="77">
        <f>$CE$79*VLOOKUP($CE$11,'PCU Values'!$B$9:$C$16,2,FALSE)</f>
        <v>0.4</v>
      </c>
      <c r="CN79" s="78">
        <f>$CF$79*VLOOKUP($CF$11,'PCU Values'!$B$9:$C$16,2,FALSE)</f>
        <v>0</v>
      </c>
      <c r="CO79" s="66">
        <f>SUM($CG$79,$CH$79,$CI$79,$CJ$79,$CK$79,$CL$79,$CM$79,$CN$79)</f>
        <v>73.599999999999994</v>
      </c>
      <c r="CP79" s="52">
        <f>SUM($BY$79,$BZ$79,$CA$79,$CB$79,$CC$79,$CD$79,$CE$79,$CF$79)</f>
        <v>77</v>
      </c>
      <c r="CQ79" s="89">
        <f>SUM('J1 A - (North) Bishopthorpe Roa'!$U$79,'J1 B - Butcher Terrace'!$C$79,'J1 C - (South) Bishopthorpe Roa'!$BE$79,'J1 D - South Bank Avenue'!$AM$79)</f>
        <v>38</v>
      </c>
      <c r="CR79" s="83">
        <f>SUM('J1 A - (North) Bishopthorpe Roa'!$V$79,'J1 B - Butcher Terrace'!$D$79,'J1 C - (South) Bishopthorpe Roa'!$BF$79,'J1 D - South Bank Avenue'!$AN$79)</f>
        <v>6</v>
      </c>
      <c r="CS79" s="83">
        <f>SUM('J1 A - (North) Bishopthorpe Roa'!$W$79,'J1 B - Butcher Terrace'!$E$79,'J1 C - (South) Bishopthorpe Roa'!$BG$79,'J1 D - South Bank Avenue'!$AO$79)</f>
        <v>0</v>
      </c>
      <c r="CT79" s="83">
        <f>SUM('J1 A - (North) Bishopthorpe Roa'!$X$79,'J1 B - Butcher Terrace'!$F$79,'J1 C - (South) Bishopthorpe Roa'!$BH$79,'J1 D - South Bank Avenue'!$AP$79)</f>
        <v>0</v>
      </c>
      <c r="CU79" s="83">
        <f>SUM('J1 A - (North) Bishopthorpe Roa'!$Y$79,'J1 B - Butcher Terrace'!$G$79,'J1 C - (South) Bishopthorpe Roa'!$BI$79,'J1 D - South Bank Avenue'!$AQ$79)</f>
        <v>2</v>
      </c>
      <c r="CV79" s="83">
        <f>SUM('J1 A - (North) Bishopthorpe Roa'!$Z$79,'J1 B - Butcher Terrace'!$H$79,'J1 C - (South) Bishopthorpe Roa'!$BJ$79,'J1 D - South Bank Avenue'!$AR$79)</f>
        <v>6</v>
      </c>
      <c r="CW79" s="83">
        <f>SUM('J1 A - (North) Bishopthorpe Roa'!$AA$79,'J1 B - Butcher Terrace'!$I$79,'J1 C - (South) Bishopthorpe Roa'!$BK$79,'J1 D - South Bank Avenue'!$AS$79)</f>
        <v>0</v>
      </c>
      <c r="CX79" s="86">
        <f>SUM('J1 A - (North) Bishopthorpe Roa'!$AB$79,'J1 B - Butcher Terrace'!$J$79,'J1 C - (South) Bishopthorpe Roa'!$BL$79,'J1 D - South Bank Avenue'!$AT$79)</f>
        <v>0</v>
      </c>
      <c r="CY79" s="77">
        <f>$CQ$79*VLOOKUP($CQ$11,'PCU Values'!$B$9:$C$16,2,FALSE)</f>
        <v>38</v>
      </c>
      <c r="CZ79" s="77">
        <f>$CR$79*VLOOKUP($CR$11,'PCU Values'!$B$9:$C$16,2,FALSE)</f>
        <v>6</v>
      </c>
      <c r="DA79" s="77">
        <f>$CS$79*VLOOKUP($CS$11,'PCU Values'!$B$9:$C$16,2,FALSE)</f>
        <v>0</v>
      </c>
      <c r="DB79" s="77">
        <f>$CT$79*VLOOKUP($CT$11,'PCU Values'!$B$9:$C$16,2,FALSE)</f>
        <v>0</v>
      </c>
      <c r="DC79" s="77">
        <f>$CU$79*VLOOKUP($CU$11,'PCU Values'!$B$9:$C$16,2,FALSE)</f>
        <v>4</v>
      </c>
      <c r="DD79" s="77">
        <f>$CV$79*VLOOKUP($CV$11,'PCU Values'!$B$9:$C$16,2,FALSE)</f>
        <v>1.2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49.2</v>
      </c>
      <c r="DH79" s="52">
        <f>SUM($CQ$79,$CR$79,$CS$79,$CT$79,$CU$79,$CV$79,$CW$79,$CX$79)</f>
        <v>52</v>
      </c>
    </row>
    <row r="80" spans="1:112" ht="21" customHeight="1">
      <c r="A80" s="46">
        <v>44395.572916666701</v>
      </c>
      <c r="B80" s="50" t="s">
        <v>86</v>
      </c>
      <c r="C80" s="51">
        <v>2</v>
      </c>
      <c r="D80" s="51">
        <v>1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9">
        <v>0</v>
      </c>
      <c r="K80" s="60">
        <f>$C$80*VLOOKUP($C$11,'PCU Values'!$B$9:$C$16,2,FALSE)</f>
        <v>2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3</v>
      </c>
      <c r="T80" s="52">
        <f>SUM($C$80,$D$80,$E$80,$F$80,$G$80,$H$80,$I$80,$J$80)</f>
        <v>3</v>
      </c>
      <c r="U80" s="73">
        <v>54</v>
      </c>
      <c r="V80" s="51">
        <v>6</v>
      </c>
      <c r="W80" s="51">
        <v>0</v>
      </c>
      <c r="X80" s="51">
        <v>0</v>
      </c>
      <c r="Y80" s="51">
        <v>0</v>
      </c>
      <c r="Z80" s="51">
        <v>2</v>
      </c>
      <c r="AA80" s="51">
        <v>0</v>
      </c>
      <c r="AB80" s="59">
        <v>0</v>
      </c>
      <c r="AC80" s="60">
        <f>$U$80*VLOOKUP($U$11,'PCU Values'!$B$9:$C$16,2,FALSE)</f>
        <v>54</v>
      </c>
      <c r="AD80" s="60">
        <f>$V$80*VLOOKUP($V$11,'PCU Values'!$B$9:$C$16,2,FALSE)</f>
        <v>6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0.4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60.4</v>
      </c>
      <c r="AL80" s="52">
        <f>SUM($U$80,$V$80,$W$80,$X$80,$Y$80,$Z$80,$AA$80,$AB$80)</f>
        <v>62</v>
      </c>
      <c r="AM80" s="73">
        <v>1</v>
      </c>
      <c r="AN80" s="51">
        <v>0</v>
      </c>
      <c r="AO80" s="51">
        <v>0</v>
      </c>
      <c r="AP80" s="51">
        <v>0</v>
      </c>
      <c r="AQ80" s="51">
        <v>0</v>
      </c>
      <c r="AR80" s="51">
        <v>2</v>
      </c>
      <c r="AS80" s="51">
        <v>0</v>
      </c>
      <c r="AT80" s="59">
        <v>0</v>
      </c>
      <c r="AU80" s="60">
        <f>$AM$80*VLOOKUP($AM$11,'PCU Values'!$B$9:$C$16,2,FALSE)</f>
        <v>1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0.4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1.4</v>
      </c>
      <c r="BD80" s="52">
        <f>SUM($AM$80,$AN$80,$AO$80,$AP$80,$AQ$80,$AR$80,$AS$80,$AT$80)</f>
        <v>3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57</v>
      </c>
      <c r="BZ80" s="84">
        <f>SUM($D$80,$V$80,$AN$80,$BF$80)</f>
        <v>7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4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57</v>
      </c>
      <c r="CH80" s="79">
        <f>$BZ$80*VLOOKUP($BZ$11,'PCU Values'!$B$9:$C$16,2,FALSE)</f>
        <v>7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0.8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64.8</v>
      </c>
      <c r="CP80" s="52">
        <f>SUM($BY$80,$BZ$80,$CA$80,$CB$80,$CC$80,$CD$80,$CE$80,$CF$80)</f>
        <v>68</v>
      </c>
      <c r="CQ80" s="90">
        <f>SUM('J1 A - (North) Bishopthorpe Roa'!$U$80,'J1 B - Butcher Terrace'!$C$80,'J1 C - (South) Bishopthorpe Roa'!$BE$80,'J1 D - South Bank Avenue'!$AM$80)</f>
        <v>68</v>
      </c>
      <c r="CR80" s="84">
        <f>SUM('J1 A - (North) Bishopthorpe Roa'!$V$80,'J1 B - Butcher Terrace'!$D$80,'J1 C - (South) Bishopthorpe Roa'!$BF$80,'J1 D - South Bank Avenue'!$AN$80)</f>
        <v>9</v>
      </c>
      <c r="CS80" s="84">
        <f>SUM('J1 A - (North) Bishopthorpe Roa'!$W$80,'J1 B - Butcher Terrace'!$E$80,'J1 C - (South) Bishopthorpe Roa'!$BG$80,'J1 D - South Bank Avenue'!$AO$80)</f>
        <v>0</v>
      </c>
      <c r="CT80" s="84">
        <f>SUM('J1 A - (North) Bishopthorpe Roa'!$X$80,'J1 B - Butcher Terrace'!$F$80,'J1 C - (South) Bishopthorpe Roa'!$BH$80,'J1 D - South Bank Avenue'!$AP$80)</f>
        <v>0</v>
      </c>
      <c r="CU80" s="84">
        <f>SUM('J1 A - (North) Bishopthorpe Roa'!$Y$80,'J1 B - Butcher Terrace'!$G$80,'J1 C - (South) Bishopthorpe Roa'!$BI$80,'J1 D - South Bank Avenue'!$AQ$80)</f>
        <v>0</v>
      </c>
      <c r="CV80" s="84">
        <f>SUM('J1 A - (North) Bishopthorpe Roa'!$Z$80,'J1 B - Butcher Terrace'!$H$80,'J1 C - (South) Bishopthorpe Roa'!$BJ$80,'J1 D - South Bank Avenue'!$AR$80)</f>
        <v>4</v>
      </c>
      <c r="CW80" s="84">
        <f>SUM('J1 A - (North) Bishopthorpe Roa'!$AA$80,'J1 B - Butcher Terrace'!$I$80,'J1 C - (South) Bishopthorpe Roa'!$BK$80,'J1 D - South Bank Avenue'!$AS$80)</f>
        <v>3</v>
      </c>
      <c r="CX80" s="87">
        <f>SUM('J1 A - (North) Bishopthorpe Roa'!$AB$80,'J1 B - Butcher Terrace'!$J$80,'J1 C - (South) Bishopthorpe Roa'!$BL$80,'J1 D - South Bank Avenue'!$AT$80)</f>
        <v>0</v>
      </c>
      <c r="CY80" s="79">
        <f>$CQ$80*VLOOKUP($CQ$11,'PCU Values'!$B$9:$C$16,2,FALSE)</f>
        <v>68</v>
      </c>
      <c r="CZ80" s="79">
        <f>$CR$80*VLOOKUP($CR$11,'PCU Values'!$B$9:$C$16,2,FALSE)</f>
        <v>9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0.8</v>
      </c>
      <c r="DE80" s="79">
        <f>$CW$80*VLOOKUP($CW$11,'PCU Values'!$B$9:$C$16,2,FALSE)</f>
        <v>1.2</v>
      </c>
      <c r="DF80" s="80">
        <f>$CX$80*VLOOKUP($CX$11,'PCU Values'!$B$9:$C$16,2,FALSE)</f>
        <v>0</v>
      </c>
      <c r="DG80" s="63">
        <f>SUM($CY$80,$CZ$80,$DA$80,$DB$80,$DC$80,$DD$80,$DE$80,$DF$80)</f>
        <v>79</v>
      </c>
      <c r="DH80" s="52">
        <f>SUM($CQ$80,$CR$80,$CS$80,$CT$80,$CU$80,$CV$80,$CW$80,$CX$80)</f>
        <v>84</v>
      </c>
    </row>
    <row r="81" spans="1:112">
      <c r="B81" s="52" t="s">
        <v>34</v>
      </c>
      <c r="C81" s="52">
        <f>SUM($C$77:$C$80)</f>
        <v>6</v>
      </c>
      <c r="D81" s="52">
        <f>SUM($D$77:$D$80)</f>
        <v>3</v>
      </c>
      <c r="E81" s="52">
        <f>SUM($E$77:$E$80)</f>
        <v>0</v>
      </c>
      <c r="F81" s="52">
        <f>SUM($F$77:$F$80)</f>
        <v>0</v>
      </c>
      <c r="G81" s="52">
        <f>SUM($G$77:$G$80)</f>
        <v>0</v>
      </c>
      <c r="H81" s="52">
        <f>SUM($H$77:$H$80)</f>
        <v>2</v>
      </c>
      <c r="I81" s="52">
        <f>SUM($I$77:$I$80)</f>
        <v>0</v>
      </c>
      <c r="J81" s="52">
        <f>SUM($J$77:$J$80)</f>
        <v>0</v>
      </c>
      <c r="K81" s="52">
        <f>SUM($K$77:$K$80)</f>
        <v>6</v>
      </c>
      <c r="L81" s="52">
        <f>SUM($L$77:$L$80)</f>
        <v>3</v>
      </c>
      <c r="M81" s="52">
        <f>SUM($M$77:$M$80)</f>
        <v>0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9</v>
      </c>
      <c r="T81" s="52">
        <f>SUM($C$81,$D$81,$E$81,$F$81,$G$81,$H$81,$I$81,$J$81)</f>
        <v>11</v>
      </c>
      <c r="U81" s="52">
        <f>SUM($U$77:$U$80)</f>
        <v>221</v>
      </c>
      <c r="V81" s="52">
        <f>SUM($V$77:$V$80)</f>
        <v>29</v>
      </c>
      <c r="W81" s="52">
        <f>SUM($W$77:$W$80)</f>
        <v>1</v>
      </c>
      <c r="X81" s="52">
        <f>SUM($X$77:$X$80)</f>
        <v>1</v>
      </c>
      <c r="Y81" s="52">
        <f>SUM($Y$77:$Y$80)</f>
        <v>3</v>
      </c>
      <c r="Z81" s="52">
        <f>SUM($Z$77:$Z$80)</f>
        <v>13</v>
      </c>
      <c r="AA81" s="52">
        <f>SUM($AA$77:$AA$80)</f>
        <v>2</v>
      </c>
      <c r="AB81" s="52">
        <f>SUM($AB$77:$AB$80)</f>
        <v>0</v>
      </c>
      <c r="AC81" s="52">
        <f>SUM($AC$77:$AC$80)</f>
        <v>221</v>
      </c>
      <c r="AD81" s="52">
        <f>SUM($AD$77:$AD$80)</f>
        <v>29</v>
      </c>
      <c r="AE81" s="52">
        <f>SUM($AE$77:$AE$80)</f>
        <v>2</v>
      </c>
      <c r="AF81" s="52">
        <f>SUM($AF$77:$AF$80)</f>
        <v>2</v>
      </c>
      <c r="AG81" s="52">
        <f>SUM($AG$77:$AG$80)</f>
        <v>6</v>
      </c>
      <c r="AH81" s="52">
        <f>SUM($AH$77:$AH$80)</f>
        <v>3</v>
      </c>
      <c r="AI81" s="52">
        <f>SUM($AI$77:$AI$80)</f>
        <v>1</v>
      </c>
      <c r="AJ81" s="52">
        <f>SUM($AJ$77:$AJ$80)</f>
        <v>0</v>
      </c>
      <c r="AK81" s="52">
        <f>SUM($AC$81,$AD$81,$AE$81,$AF$81,$AG$81,$AH$81,$AI$81,$AJ$81)</f>
        <v>264</v>
      </c>
      <c r="AL81" s="52">
        <f>SUM($U$81,$V$81,$W$81,$X$81,$Y$81,$Z$81,$AA$81,$AB$81)</f>
        <v>270</v>
      </c>
      <c r="AM81" s="52">
        <f>SUM($AM$77:$AM$80)</f>
        <v>2</v>
      </c>
      <c r="AN81" s="52">
        <f>SUM($AN$77:$AN$80)</f>
        <v>2</v>
      </c>
      <c r="AO81" s="52">
        <f>SUM($AO$77:$AO$80)</f>
        <v>0</v>
      </c>
      <c r="AP81" s="52">
        <f>SUM($AP$77:$AP$80)</f>
        <v>0</v>
      </c>
      <c r="AQ81" s="52">
        <f>SUM($AQ$77:$AQ$80)</f>
        <v>0</v>
      </c>
      <c r="AR81" s="52">
        <f>SUM($AR$77:$AR$80)</f>
        <v>5</v>
      </c>
      <c r="AS81" s="52">
        <f>SUM($AS$77:$AS$80)</f>
        <v>0</v>
      </c>
      <c r="AT81" s="52">
        <f>SUM($AT$77:$AT$80)</f>
        <v>1</v>
      </c>
      <c r="AU81" s="52">
        <f>SUM($AU$77:$AU$80)</f>
        <v>2</v>
      </c>
      <c r="AV81" s="52">
        <f>SUM($AV$77:$AV$80)</f>
        <v>2</v>
      </c>
      <c r="AW81" s="52">
        <f>SUM($AW$77:$AW$80)</f>
        <v>0</v>
      </c>
      <c r="AX81" s="52">
        <f>SUM($AX$77:$AX$80)</f>
        <v>0</v>
      </c>
      <c r="AY81" s="52">
        <f>SUM($AY$77:$AY$80)</f>
        <v>0</v>
      </c>
      <c r="AZ81" s="52">
        <f>SUM($AZ$77:$AZ$80)</f>
        <v>1</v>
      </c>
      <c r="BA81" s="52">
        <f>SUM($BA$77:$BA$80)</f>
        <v>0</v>
      </c>
      <c r="BB81" s="52">
        <f>SUM($BB$77:$BB$80)</f>
        <v>2</v>
      </c>
      <c r="BC81" s="52">
        <f>SUM($AU$81,$AV$81,$AW$81,$AX$81,$AY$81,$AZ$81,$BA$81,$BB$81)</f>
        <v>7</v>
      </c>
      <c r="BD81" s="52">
        <f>SUM($AM$81,$AN$81,$AO$81,$AP$81,$AQ$81,$AR$81,$AS$81,$AT$81)</f>
        <v>10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229</v>
      </c>
      <c r="BZ81" s="52">
        <f>SUM($BZ$77:$BZ$80)</f>
        <v>34</v>
      </c>
      <c r="CA81" s="52">
        <f>SUM($CA$77:$CA$80)</f>
        <v>1</v>
      </c>
      <c r="CB81" s="52">
        <f>SUM($CB$77:$CB$80)</f>
        <v>1</v>
      </c>
      <c r="CC81" s="52">
        <f>SUM($CC$77:$CC$80)</f>
        <v>3</v>
      </c>
      <c r="CD81" s="52">
        <f>SUM($CD$77:$CD$80)</f>
        <v>20</v>
      </c>
      <c r="CE81" s="52">
        <f>SUM($CE$77:$CE$80)</f>
        <v>2</v>
      </c>
      <c r="CF81" s="52">
        <f>SUM($CF$77:$CF$80)</f>
        <v>1</v>
      </c>
      <c r="CG81" s="52">
        <f>SUM($CG$77:$CG$80)</f>
        <v>229</v>
      </c>
      <c r="CH81" s="52">
        <f>SUM($CH$77:$CH$80)</f>
        <v>34</v>
      </c>
      <c r="CI81" s="52">
        <f>SUM($CI$77:$CI$80)</f>
        <v>2</v>
      </c>
      <c r="CJ81" s="52">
        <f>SUM($CJ$77:$CJ$80)</f>
        <v>2</v>
      </c>
      <c r="CK81" s="52">
        <f>SUM($CK$77:$CK$80)</f>
        <v>6</v>
      </c>
      <c r="CL81" s="52">
        <f>SUM($CL$77:$CL$80)</f>
        <v>4</v>
      </c>
      <c r="CM81" s="52">
        <f>SUM($CM$77:$CM$80)</f>
        <v>1</v>
      </c>
      <c r="CN81" s="52">
        <f>SUM($CN$77:$CN$80)</f>
        <v>2</v>
      </c>
      <c r="CO81" s="52">
        <f>SUM($CG$81,$CH$81,$CI$81,$CJ$81,$CK$81,$CL$81,$CM$81,$CN$81)</f>
        <v>280</v>
      </c>
      <c r="CP81" s="52">
        <f>SUM($BY$81,$BZ$81,$CA$81,$CB$81,$CC$81,$CD$81,$CE$81,$CF$81)</f>
        <v>291</v>
      </c>
      <c r="CQ81" s="52">
        <f>SUM($CQ$77:$CQ$80)</f>
        <v>217</v>
      </c>
      <c r="CR81" s="52">
        <f>SUM($CR$77:$CR$80)</f>
        <v>29</v>
      </c>
      <c r="CS81" s="52">
        <f>SUM($CS$77:$CS$80)</f>
        <v>3</v>
      </c>
      <c r="CT81" s="52">
        <f>SUM($CT$77:$CT$80)</f>
        <v>0</v>
      </c>
      <c r="CU81" s="52">
        <f>SUM($CU$77:$CU$80)</f>
        <v>4</v>
      </c>
      <c r="CV81" s="52">
        <f>SUM($CV$77:$CV$80)</f>
        <v>16</v>
      </c>
      <c r="CW81" s="52">
        <f>SUM($CW$77:$CW$80)</f>
        <v>6</v>
      </c>
      <c r="CX81" s="52">
        <f>SUM($CX$77:$CX$80)</f>
        <v>0</v>
      </c>
      <c r="CY81" s="52">
        <f>SUM($CY$77:$CY$80)</f>
        <v>217</v>
      </c>
      <c r="CZ81" s="52">
        <f>SUM($CZ$77:$CZ$80)</f>
        <v>29</v>
      </c>
      <c r="DA81" s="52">
        <f>SUM($DA$77:$DA$80)</f>
        <v>5</v>
      </c>
      <c r="DB81" s="52">
        <f>SUM($DB$77:$DB$80)</f>
        <v>0</v>
      </c>
      <c r="DC81" s="52">
        <f>SUM($DC$77:$DC$80)</f>
        <v>8</v>
      </c>
      <c r="DD81" s="52">
        <f>SUM($DD$77:$DD$80)</f>
        <v>3</v>
      </c>
      <c r="DE81" s="52">
        <f>SUM($DE$77:$DE$80)</f>
        <v>2</v>
      </c>
      <c r="DF81" s="52">
        <f>SUM($DF$77:$DF$80)</f>
        <v>0</v>
      </c>
      <c r="DG81" s="52">
        <f>SUM($CY$81,$CZ$81,$DA$81,$DB$81,$DC$81,$DD$81,$DE$81,$DF$81)</f>
        <v>264</v>
      </c>
      <c r="DH81" s="52">
        <f>SUM($CQ$81,$CR$81,$CS$81,$CT$81,$CU$81,$CV$81,$CW$81,$CX$81)</f>
        <v>275</v>
      </c>
    </row>
    <row r="82" spans="1:112" ht="21" customHeight="1">
      <c r="A82" s="46">
        <v>44395.583333333299</v>
      </c>
      <c r="B82" s="53" t="s">
        <v>87</v>
      </c>
      <c r="C82" s="54">
        <v>3</v>
      </c>
      <c r="D82" s="54">
        <v>0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3</v>
      </c>
      <c r="L82" s="62">
        <f>$D$82*VLOOKUP($D$11,'PCU Values'!$B$9:$C$16,2,FALSE)</f>
        <v>0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3</v>
      </c>
      <c r="T82" s="52">
        <f>SUM($C$82,$D$82,$E$82,$F$82,$G$82,$H$82,$I$82,$J$82)</f>
        <v>3</v>
      </c>
      <c r="U82" s="72">
        <v>43</v>
      </c>
      <c r="V82" s="54">
        <v>7</v>
      </c>
      <c r="W82" s="54">
        <v>2</v>
      </c>
      <c r="X82" s="54">
        <v>0</v>
      </c>
      <c r="Y82" s="54">
        <v>1</v>
      </c>
      <c r="Z82" s="54">
        <v>3</v>
      </c>
      <c r="AA82" s="54">
        <v>2</v>
      </c>
      <c r="AB82" s="61">
        <v>0</v>
      </c>
      <c r="AC82" s="62">
        <f>$U$82*VLOOKUP($U$11,'PCU Values'!$B$9:$C$16,2,FALSE)</f>
        <v>43</v>
      </c>
      <c r="AD82" s="62">
        <f>$V$82*VLOOKUP($V$11,'PCU Values'!$B$9:$C$16,2,FALSE)</f>
        <v>7</v>
      </c>
      <c r="AE82" s="62">
        <f>$W$82*VLOOKUP($W$11,'PCU Values'!$B$9:$C$16,2,FALSE)</f>
        <v>3</v>
      </c>
      <c r="AF82" s="62">
        <f>$X$82*VLOOKUP($X$11,'PCU Values'!$B$9:$C$16,2,FALSE)</f>
        <v>0</v>
      </c>
      <c r="AG82" s="62">
        <f>$Y$82*VLOOKUP($Y$11,'PCU Values'!$B$9:$C$16,2,FALSE)</f>
        <v>2</v>
      </c>
      <c r="AH82" s="62">
        <f>$Z$82*VLOOKUP($Z$11,'PCU Values'!$B$9:$C$16,2,FALSE)</f>
        <v>0.6</v>
      </c>
      <c r="AI82" s="62">
        <f>$AA$82*VLOOKUP($AA$11,'PCU Values'!$B$9:$C$16,2,FALSE)</f>
        <v>0.8</v>
      </c>
      <c r="AJ82" s="70">
        <f>$AB$82*VLOOKUP($AB$11,'PCU Values'!$B$9:$C$16,2,FALSE)</f>
        <v>0</v>
      </c>
      <c r="AK82" s="71">
        <f>SUM($AC$82,$AD$82,$AE$82,$AF$82,$AG$82,$AH$82,$AI$82,$AJ$82)</f>
        <v>56.4</v>
      </c>
      <c r="AL82" s="52">
        <f>SUM($U$82,$V$82,$W$82,$X$82,$Y$82,$Z$82,$AA$82,$AB$82)</f>
        <v>58</v>
      </c>
      <c r="AM82" s="72">
        <v>1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1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1</v>
      </c>
      <c r="BD82" s="52">
        <f>SUM($AM$82,$AN$82,$AO$82,$AP$82,$AQ$82,$AR$82,$AS$82,$AT$82)</f>
        <v>1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47</v>
      </c>
      <c r="BZ82" s="85">
        <f>SUM($D$82,$V$82,$AN$82,$BF$82)</f>
        <v>7</v>
      </c>
      <c r="CA82" s="85">
        <f>SUM($E$82,$W$82,$AO$82,$BG$82)</f>
        <v>2</v>
      </c>
      <c r="CB82" s="85">
        <f>SUM($F$82,$X$82,$AP$82,$BH$82)</f>
        <v>0</v>
      </c>
      <c r="CC82" s="85">
        <f>SUM($G$82,$Y$82,$AQ$82,$BI$82)</f>
        <v>1</v>
      </c>
      <c r="CD82" s="85">
        <f>SUM($H$82,$Z$82,$AR$82,$BJ$82)</f>
        <v>3</v>
      </c>
      <c r="CE82" s="85">
        <f>SUM($I$82,$AA$82,$AS$82,$BK$82)</f>
        <v>2</v>
      </c>
      <c r="CF82" s="88">
        <f>SUM($J$82,$AB$82,$AT$82,$BL$82)</f>
        <v>0</v>
      </c>
      <c r="CG82" s="81">
        <f>$BY$82*VLOOKUP($BY$11,'PCU Values'!$B$9:$C$16,2,FALSE)</f>
        <v>47</v>
      </c>
      <c r="CH82" s="81">
        <f>$BZ$82*VLOOKUP($BZ$11,'PCU Values'!$B$9:$C$16,2,FALSE)</f>
        <v>7</v>
      </c>
      <c r="CI82" s="81">
        <f>$CA$82*VLOOKUP($CA$11,'PCU Values'!$B$9:$C$16,2,FALSE)</f>
        <v>3</v>
      </c>
      <c r="CJ82" s="81">
        <f>$CB$82*VLOOKUP($CB$11,'PCU Values'!$B$9:$C$16,2,FALSE)</f>
        <v>0</v>
      </c>
      <c r="CK82" s="81">
        <f>$CC$82*VLOOKUP($CC$11,'PCU Values'!$B$9:$C$16,2,FALSE)</f>
        <v>2</v>
      </c>
      <c r="CL82" s="81">
        <f>$CD$82*VLOOKUP($CD$11,'PCU Values'!$B$9:$C$16,2,FALSE)</f>
        <v>0.6</v>
      </c>
      <c r="CM82" s="81">
        <f>$CE$82*VLOOKUP($CE$11,'PCU Values'!$B$9:$C$16,2,FALSE)</f>
        <v>0.8</v>
      </c>
      <c r="CN82" s="82">
        <f>$CF$82*VLOOKUP($CF$11,'PCU Values'!$B$9:$C$16,2,FALSE)</f>
        <v>0</v>
      </c>
      <c r="CO82" s="71">
        <f>SUM($CG$82,$CH$82,$CI$82,$CJ$82,$CK$82,$CL$82,$CM$82,$CN$82)</f>
        <v>60.4</v>
      </c>
      <c r="CP82" s="52">
        <f>SUM($BY$82,$BZ$82,$CA$82,$CB$82,$CC$82,$CD$82,$CE$82,$CF$82)</f>
        <v>62</v>
      </c>
      <c r="CQ82" s="91">
        <f>SUM('J1 A - (North) Bishopthorpe Roa'!$U$82,'J1 B - Butcher Terrace'!$C$82,'J1 C - (South) Bishopthorpe Roa'!$BE$82,'J1 D - South Bank Avenue'!$AM$82)</f>
        <v>57</v>
      </c>
      <c r="CR82" s="85">
        <f>SUM('J1 A - (North) Bishopthorpe Roa'!$V$82,'J1 B - Butcher Terrace'!$D$82,'J1 C - (South) Bishopthorpe Roa'!$BF$82,'J1 D - South Bank Avenue'!$AN$82)</f>
        <v>4</v>
      </c>
      <c r="CS82" s="85">
        <f>SUM('J1 A - (North) Bishopthorpe Roa'!$W$82,'J1 B - Butcher Terrace'!$E$82,'J1 C - (South) Bishopthorpe Roa'!$BG$82,'J1 D - South Bank Avenue'!$AO$82)</f>
        <v>1</v>
      </c>
      <c r="CT82" s="85">
        <f>SUM('J1 A - (North) Bishopthorpe Roa'!$X$82,'J1 B - Butcher Terrace'!$F$82,'J1 C - (South) Bishopthorpe Roa'!$BH$82,'J1 D - South Bank Avenue'!$AP$82)</f>
        <v>0</v>
      </c>
      <c r="CU82" s="85">
        <f>SUM('J1 A - (North) Bishopthorpe Roa'!$Y$82,'J1 B - Butcher Terrace'!$G$82,'J1 C - (South) Bishopthorpe Roa'!$BI$82,'J1 D - South Bank Avenue'!$AQ$82)</f>
        <v>1</v>
      </c>
      <c r="CV82" s="85">
        <f>SUM('J1 A - (North) Bishopthorpe Roa'!$Z$82,'J1 B - Butcher Terrace'!$H$82,'J1 C - (South) Bishopthorpe Roa'!$BJ$82,'J1 D - South Bank Avenue'!$AR$82)</f>
        <v>5</v>
      </c>
      <c r="CW82" s="85">
        <f>SUM('J1 A - (North) Bishopthorpe Roa'!$AA$82,'J1 B - Butcher Terrace'!$I$82,'J1 C - (South) Bishopthorpe Roa'!$BK$82,'J1 D - South Bank Avenue'!$AS$82)</f>
        <v>0</v>
      </c>
      <c r="CX82" s="88">
        <f>SUM('J1 A - (North) Bishopthorpe Roa'!$AB$82,'J1 B - Butcher Terrace'!$J$82,'J1 C - (South) Bishopthorpe Roa'!$BL$82,'J1 D - South Bank Avenue'!$AT$82)</f>
        <v>0</v>
      </c>
      <c r="CY82" s="81">
        <f>$CQ$82*VLOOKUP($CQ$11,'PCU Values'!$B$9:$C$16,2,FALSE)</f>
        <v>57</v>
      </c>
      <c r="CZ82" s="81">
        <f>$CR$82*VLOOKUP($CR$11,'PCU Values'!$B$9:$C$16,2,FALSE)</f>
        <v>4</v>
      </c>
      <c r="DA82" s="81">
        <f>$CS$82*VLOOKUP($CS$11,'PCU Values'!$B$9:$C$16,2,FALSE)</f>
        <v>1.5</v>
      </c>
      <c r="DB82" s="81">
        <f>$CT$82*VLOOKUP($CT$11,'PCU Values'!$B$9:$C$16,2,FALSE)</f>
        <v>0</v>
      </c>
      <c r="DC82" s="81">
        <f>$CU$82*VLOOKUP($CU$11,'PCU Values'!$B$9:$C$16,2,FALSE)</f>
        <v>2</v>
      </c>
      <c r="DD82" s="81">
        <f>$CV$82*VLOOKUP($CV$11,'PCU Values'!$B$9:$C$16,2,FALSE)</f>
        <v>1</v>
      </c>
      <c r="DE82" s="81">
        <f>$CW$82*VLOOKUP($CW$11,'PCU Values'!$B$9:$C$16,2,FALSE)</f>
        <v>0</v>
      </c>
      <c r="DF82" s="82">
        <f>$CX$82*VLOOKUP($CX$11,'PCU Values'!$B$9:$C$16,2,FALSE)</f>
        <v>0</v>
      </c>
      <c r="DG82" s="71">
        <f>SUM($CY$82,$CZ$82,$DA$82,$DB$82,$DC$82,$DD$82,$DE$82,$DF$82)</f>
        <v>65.5</v>
      </c>
      <c r="DH82" s="52">
        <f>SUM($CQ$82,$CR$82,$CS$82,$CT$82,$CU$82,$CV$82,$CW$82,$CX$82)</f>
        <v>68</v>
      </c>
    </row>
    <row r="83" spans="1:112" ht="21" customHeight="1">
      <c r="A83" s="46">
        <v>44395.59375</v>
      </c>
      <c r="B83" s="47" t="s">
        <v>88</v>
      </c>
      <c r="C83" s="48">
        <v>0</v>
      </c>
      <c r="D83" s="48">
        <v>1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56">
        <v>0</v>
      </c>
      <c r="K83" s="57">
        <f>$C$83*VLOOKUP($C$11,'PCU Values'!$B$9:$C$16,2,FALSE)</f>
        <v>0</v>
      </c>
      <c r="L83" s="57">
        <f>$D$83*VLOOKUP($D$11,'PCU Values'!$B$9:$C$16,2,FALSE)</f>
        <v>1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</v>
      </c>
      <c r="R83" s="65">
        <f>$J$83*VLOOKUP($J$11,'PCU Values'!$B$9:$C$16,2,FALSE)</f>
        <v>0</v>
      </c>
      <c r="S83" s="66">
        <f>SUM($K$83,$L$83,$M$83,$N$83,$O$83,$P$83,$Q$83,$R$83)</f>
        <v>1</v>
      </c>
      <c r="T83" s="52">
        <f>SUM($C$83,$D$83,$E$83,$F$83,$G$83,$H$83,$I$83,$J$83)</f>
        <v>1</v>
      </c>
      <c r="U83" s="67">
        <v>36</v>
      </c>
      <c r="V83" s="48">
        <v>8</v>
      </c>
      <c r="W83" s="48">
        <v>1</v>
      </c>
      <c r="X83" s="48">
        <v>0</v>
      </c>
      <c r="Y83" s="48">
        <v>0</v>
      </c>
      <c r="Z83" s="48">
        <v>2</v>
      </c>
      <c r="AA83" s="48">
        <v>0</v>
      </c>
      <c r="AB83" s="56">
        <v>0</v>
      </c>
      <c r="AC83" s="57">
        <f>$U$83*VLOOKUP($U$11,'PCU Values'!$B$9:$C$16,2,FALSE)</f>
        <v>36</v>
      </c>
      <c r="AD83" s="57">
        <f>$V$83*VLOOKUP($V$11,'PCU Values'!$B$9:$C$16,2,FALSE)</f>
        <v>8</v>
      </c>
      <c r="AE83" s="57">
        <f>$W$83*VLOOKUP($W$11,'PCU Values'!$B$9:$C$16,2,FALSE)</f>
        <v>1.5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0.4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45.9</v>
      </c>
      <c r="AL83" s="52">
        <f>SUM($U$83,$V$83,$W$83,$X$83,$Y$83,$Z$83,$AA$83,$AB$83)</f>
        <v>47</v>
      </c>
      <c r="AM83" s="67">
        <v>0</v>
      </c>
      <c r="AN83" s="48">
        <v>0</v>
      </c>
      <c r="AO83" s="48">
        <v>0</v>
      </c>
      <c r="AP83" s="48">
        <v>0</v>
      </c>
      <c r="AQ83" s="48">
        <v>0</v>
      </c>
      <c r="AR83" s="48">
        <v>3</v>
      </c>
      <c r="AS83" s="48">
        <v>0</v>
      </c>
      <c r="AT83" s="56">
        <v>1</v>
      </c>
      <c r="AU83" s="57">
        <f>$AM$83*VLOOKUP($AM$11,'PCU Values'!$B$9:$C$16,2,FALSE)</f>
        <v>0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0.6</v>
      </c>
      <c r="BA83" s="57">
        <f>$AS$83*VLOOKUP($AS$11,'PCU Values'!$B$9:$C$16,2,FALSE)</f>
        <v>0</v>
      </c>
      <c r="BB83" s="65">
        <f>$AT$83*VLOOKUP($AT$11,'PCU Values'!$B$9:$C$16,2,FALSE)</f>
        <v>1.5</v>
      </c>
      <c r="BC83" s="66">
        <f>SUM($AU$83,$AV$83,$AW$83,$AX$83,$AY$83,$AZ$83,$BA$83,$BB$83)</f>
        <v>2.1</v>
      </c>
      <c r="BD83" s="52">
        <f>SUM($AM$83,$AN$83,$AO$83,$AP$83,$AQ$83,$AR$83,$AS$83,$AT$83)</f>
        <v>4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36</v>
      </c>
      <c r="BZ83" s="83">
        <f>SUM($D$83,$V$83,$AN$83,$BF$83)</f>
        <v>9</v>
      </c>
      <c r="CA83" s="83">
        <f>SUM($E$83,$W$83,$AO$83,$BG$83)</f>
        <v>1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5</v>
      </c>
      <c r="CE83" s="83">
        <f>SUM($I$83,$AA$83,$AS$83,$BK$83)</f>
        <v>0</v>
      </c>
      <c r="CF83" s="86">
        <f>SUM($J$83,$AB$83,$AT$83,$BL$83)</f>
        <v>1</v>
      </c>
      <c r="CG83" s="77">
        <f>$BY$83*VLOOKUP($BY$11,'PCU Values'!$B$9:$C$16,2,FALSE)</f>
        <v>36</v>
      </c>
      <c r="CH83" s="77">
        <f>$BZ$83*VLOOKUP($BZ$11,'PCU Values'!$B$9:$C$16,2,FALSE)</f>
        <v>9</v>
      </c>
      <c r="CI83" s="77">
        <f>$CA$83*VLOOKUP($CA$11,'PCU Values'!$B$9:$C$16,2,FALSE)</f>
        <v>1.5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</v>
      </c>
      <c r="CM83" s="77">
        <f>$CE$83*VLOOKUP($CE$11,'PCU Values'!$B$9:$C$16,2,FALSE)</f>
        <v>0</v>
      </c>
      <c r="CN83" s="78">
        <f>$CF$83*VLOOKUP($CF$11,'PCU Values'!$B$9:$C$16,2,FALSE)</f>
        <v>1.5</v>
      </c>
      <c r="CO83" s="66">
        <f>SUM($CG$83,$CH$83,$CI$83,$CJ$83,$CK$83,$CL$83,$CM$83,$CN$83)</f>
        <v>49</v>
      </c>
      <c r="CP83" s="52">
        <f>SUM($BY$83,$BZ$83,$CA$83,$CB$83,$CC$83,$CD$83,$CE$83,$CF$83)</f>
        <v>52</v>
      </c>
      <c r="CQ83" s="89">
        <f>SUM('J1 A - (North) Bishopthorpe Roa'!$U$83,'J1 B - Butcher Terrace'!$C$83,'J1 C - (South) Bishopthorpe Roa'!$BE$83,'J1 D - South Bank Avenue'!$AM$83)</f>
        <v>70</v>
      </c>
      <c r="CR83" s="83">
        <f>SUM('J1 A - (North) Bishopthorpe Roa'!$V$83,'J1 B - Butcher Terrace'!$D$83,'J1 C - (South) Bishopthorpe Roa'!$BF$83,'J1 D - South Bank Avenue'!$AN$83)</f>
        <v>11</v>
      </c>
      <c r="CS83" s="83">
        <f>SUM('J1 A - (North) Bishopthorpe Roa'!$W$83,'J1 B - Butcher Terrace'!$E$83,'J1 C - (South) Bishopthorpe Roa'!$BG$83,'J1 D - South Bank Avenue'!$AO$83)</f>
        <v>0</v>
      </c>
      <c r="CT83" s="83">
        <f>SUM('J1 A - (North) Bishopthorpe Roa'!$X$83,'J1 B - Butcher Terrace'!$F$83,'J1 C - (South) Bishopthorpe Roa'!$BH$83,'J1 D - South Bank Avenue'!$AP$83)</f>
        <v>0</v>
      </c>
      <c r="CU83" s="83">
        <f>SUM('J1 A - (North) Bishopthorpe Roa'!$Y$83,'J1 B - Butcher Terrace'!$G$83,'J1 C - (South) Bishopthorpe Roa'!$BI$83,'J1 D - South Bank Avenue'!$AQ$83)</f>
        <v>0</v>
      </c>
      <c r="CV83" s="83">
        <f>SUM('J1 A - (North) Bishopthorpe Roa'!$Z$83,'J1 B - Butcher Terrace'!$H$83,'J1 C - (South) Bishopthorpe Roa'!$BJ$83,'J1 D - South Bank Avenue'!$AR$83)</f>
        <v>7</v>
      </c>
      <c r="CW83" s="83">
        <f>SUM('J1 A - (North) Bishopthorpe Roa'!$AA$83,'J1 B - Butcher Terrace'!$I$83,'J1 C - (South) Bishopthorpe Roa'!$BK$83,'J1 D - South Bank Avenue'!$AS$83)</f>
        <v>0</v>
      </c>
      <c r="CX83" s="86">
        <f>SUM('J1 A - (North) Bishopthorpe Roa'!$AB$83,'J1 B - Butcher Terrace'!$J$83,'J1 C - (South) Bishopthorpe Roa'!$BL$83,'J1 D - South Bank Avenue'!$AT$83)</f>
        <v>0</v>
      </c>
      <c r="CY83" s="77">
        <f>$CQ$83*VLOOKUP($CQ$11,'PCU Values'!$B$9:$C$16,2,FALSE)</f>
        <v>70</v>
      </c>
      <c r="CZ83" s="77">
        <f>$CR$83*VLOOKUP($CR$11,'PCU Values'!$B$9:$C$16,2,FALSE)</f>
        <v>11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1.4</v>
      </c>
      <c r="DE83" s="77">
        <f>$CW$83*VLOOKUP($CW$11,'PCU Values'!$B$9:$C$16,2,FALSE)</f>
        <v>0</v>
      </c>
      <c r="DF83" s="78">
        <f>$CX$83*VLOOKUP($CX$11,'PCU Values'!$B$9:$C$16,2,FALSE)</f>
        <v>0</v>
      </c>
      <c r="DG83" s="66">
        <f>SUM($CY$83,$CZ$83,$DA$83,$DB$83,$DC$83,$DD$83,$DE$83,$DF$83)</f>
        <v>82.4</v>
      </c>
      <c r="DH83" s="52">
        <f>SUM($CQ$83,$CR$83,$CS$83,$CT$83,$CU$83,$CV$83,$CW$83,$CX$83)</f>
        <v>88</v>
      </c>
    </row>
    <row r="84" spans="1:112" ht="21" customHeight="1">
      <c r="A84" s="46">
        <v>44395.604166666701</v>
      </c>
      <c r="B84" s="47" t="s">
        <v>89</v>
      </c>
      <c r="C84" s="48">
        <v>1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56">
        <v>0</v>
      </c>
      <c r="K84" s="57">
        <f>$C$84*VLOOKUP($C$11,'PCU Values'!$B$9:$C$16,2,FALSE)</f>
        <v>1</v>
      </c>
      <c r="L84" s="57">
        <f>$D$84*VLOOKUP($D$11,'PCU Values'!$B$9:$C$16,2,FALSE)</f>
        <v>0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1</v>
      </c>
      <c r="T84" s="52">
        <f>SUM($C$84,$D$84,$E$84,$F$84,$G$84,$H$84,$I$84,$J$84)</f>
        <v>1</v>
      </c>
      <c r="U84" s="76">
        <v>44</v>
      </c>
      <c r="V84" s="49">
        <v>6</v>
      </c>
      <c r="W84" s="48">
        <v>0</v>
      </c>
      <c r="X84" s="48">
        <v>0</v>
      </c>
      <c r="Y84" s="49">
        <v>2</v>
      </c>
      <c r="Z84" s="49">
        <v>2</v>
      </c>
      <c r="AA84" s="48">
        <v>3</v>
      </c>
      <c r="AB84" s="56">
        <v>0</v>
      </c>
      <c r="AC84" s="57">
        <f>$U$84*VLOOKUP($U$11,'PCU Values'!$B$9:$C$16,2,FALSE)</f>
        <v>44</v>
      </c>
      <c r="AD84" s="57">
        <f>$V$84*VLOOKUP($V$11,'PCU Values'!$B$9:$C$16,2,FALSE)</f>
        <v>6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4</v>
      </c>
      <c r="AH84" s="57">
        <f>$Z$84*VLOOKUP($Z$11,'PCU Values'!$B$9:$C$16,2,FALSE)</f>
        <v>0.4</v>
      </c>
      <c r="AI84" s="57">
        <f>$AA$84*VLOOKUP($AA$11,'PCU Values'!$B$9:$C$16,2,FALSE)</f>
        <v>1.2</v>
      </c>
      <c r="AJ84" s="65">
        <f>$AB$84*VLOOKUP($AB$11,'PCU Values'!$B$9:$C$16,2,FALSE)</f>
        <v>0</v>
      </c>
      <c r="AK84" s="66">
        <f>SUM($AC$84,$AD$84,$AE$84,$AF$84,$AG$84,$AH$84,$AI$84,$AJ$84)</f>
        <v>55.6</v>
      </c>
      <c r="AL84" s="52">
        <f>SUM($U$84,$V$84,$W$84,$X$84,$Y$84,$Z$84,$AA$84,$AB$84)</f>
        <v>57</v>
      </c>
      <c r="AM84" s="67">
        <v>4</v>
      </c>
      <c r="AN84" s="48">
        <v>0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56">
        <v>0</v>
      </c>
      <c r="AU84" s="57">
        <f>$AM$84*VLOOKUP($AM$11,'PCU Values'!$B$9:$C$16,2,FALSE)</f>
        <v>4</v>
      </c>
      <c r="AV84" s="57">
        <f>$AN$84*VLOOKUP($AN$11,'PCU Values'!$B$9:$C$16,2,FALSE)</f>
        <v>0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4</v>
      </c>
      <c r="BD84" s="52">
        <f>SUM($AM$84,$AN$84,$AO$84,$AP$84,$AQ$84,$AR$84,$AS$84,$AT$84)</f>
        <v>4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49</v>
      </c>
      <c r="BZ84" s="83">
        <f>SUM($D$84,$V$84,$AN$84,$BF$84)</f>
        <v>6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2</v>
      </c>
      <c r="CD84" s="83">
        <f>SUM($H$84,$Z$84,$AR$84,$BJ$84)</f>
        <v>2</v>
      </c>
      <c r="CE84" s="83">
        <f>SUM($I$84,$AA$84,$AS$84,$BK$84)</f>
        <v>3</v>
      </c>
      <c r="CF84" s="86">
        <f>SUM($J$84,$AB$84,$AT$84,$BL$84)</f>
        <v>0</v>
      </c>
      <c r="CG84" s="77">
        <f>$BY$84*VLOOKUP($BY$11,'PCU Values'!$B$9:$C$16,2,FALSE)</f>
        <v>49</v>
      </c>
      <c r="CH84" s="77">
        <f>$BZ$84*VLOOKUP($BZ$11,'PCU Values'!$B$9:$C$16,2,FALSE)</f>
        <v>6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4</v>
      </c>
      <c r="CL84" s="77">
        <f>$CD$84*VLOOKUP($CD$11,'PCU Values'!$B$9:$C$16,2,FALSE)</f>
        <v>0.4</v>
      </c>
      <c r="CM84" s="77">
        <f>$CE$84*VLOOKUP($CE$11,'PCU Values'!$B$9:$C$16,2,FALSE)</f>
        <v>1.2</v>
      </c>
      <c r="CN84" s="78">
        <f>$CF$84*VLOOKUP($CF$11,'PCU Values'!$B$9:$C$16,2,FALSE)</f>
        <v>0</v>
      </c>
      <c r="CO84" s="66">
        <f>SUM($CG$84,$CH$84,$CI$84,$CJ$84,$CK$84,$CL$84,$CM$84,$CN$84)</f>
        <v>60.6</v>
      </c>
      <c r="CP84" s="52">
        <f>SUM($BY$84,$BZ$84,$CA$84,$CB$84,$CC$84,$CD$84,$CE$84,$CF$84)</f>
        <v>62</v>
      </c>
      <c r="CQ84" s="89">
        <f>SUM('J1 A - (North) Bishopthorpe Roa'!$U$84,'J1 B - Butcher Terrace'!$C$84,'J1 C - (South) Bishopthorpe Roa'!$BE$84,'J1 D - South Bank Avenue'!$AM$84)</f>
        <v>61</v>
      </c>
      <c r="CR84" s="83">
        <f>SUM('J1 A - (North) Bishopthorpe Roa'!$V$84,'J1 B - Butcher Terrace'!$D$84,'J1 C - (South) Bishopthorpe Roa'!$BF$84,'J1 D - South Bank Avenue'!$AN$84)</f>
        <v>11</v>
      </c>
      <c r="CS84" s="83">
        <f>SUM('J1 A - (North) Bishopthorpe Roa'!$W$84,'J1 B - Butcher Terrace'!$E$84,'J1 C - (South) Bishopthorpe Roa'!$BG$84,'J1 D - South Bank Avenue'!$AO$84)</f>
        <v>1</v>
      </c>
      <c r="CT84" s="83">
        <f>SUM('J1 A - (North) Bishopthorpe Roa'!$X$84,'J1 B - Butcher Terrace'!$F$84,'J1 C - (South) Bishopthorpe Roa'!$BH$84,'J1 D - South Bank Avenue'!$AP$84)</f>
        <v>2</v>
      </c>
      <c r="CU84" s="83">
        <f>SUM('J1 A - (North) Bishopthorpe Roa'!$Y$84,'J1 B - Butcher Terrace'!$G$84,'J1 C - (South) Bishopthorpe Roa'!$BI$84,'J1 D - South Bank Avenue'!$AQ$84)</f>
        <v>0</v>
      </c>
      <c r="CV84" s="83">
        <f>SUM('J1 A - (North) Bishopthorpe Roa'!$Z$84,'J1 B - Butcher Terrace'!$H$84,'J1 C - (South) Bishopthorpe Roa'!$BJ$84,'J1 D - South Bank Avenue'!$AR$84)</f>
        <v>5</v>
      </c>
      <c r="CW84" s="83">
        <f>SUM('J1 A - (North) Bishopthorpe Roa'!$AA$84,'J1 B - Butcher Terrace'!$I$84,'J1 C - (South) Bishopthorpe Roa'!$BK$84,'J1 D - South Bank Avenue'!$AS$84)</f>
        <v>2</v>
      </c>
      <c r="CX84" s="86">
        <f>SUM('J1 A - (North) Bishopthorpe Roa'!$AB$84,'J1 B - Butcher Terrace'!$J$84,'J1 C - (South) Bishopthorpe Roa'!$BL$84,'J1 D - South Bank Avenue'!$AT$84)</f>
        <v>0</v>
      </c>
      <c r="CY84" s="77">
        <f>$CQ$84*VLOOKUP($CQ$11,'PCU Values'!$B$9:$C$16,2,FALSE)</f>
        <v>61</v>
      </c>
      <c r="CZ84" s="77">
        <f>$CR$84*VLOOKUP($CR$11,'PCU Values'!$B$9:$C$16,2,FALSE)</f>
        <v>11</v>
      </c>
      <c r="DA84" s="77">
        <f>$CS$84*VLOOKUP($CS$11,'PCU Values'!$B$9:$C$16,2,FALSE)</f>
        <v>1.5</v>
      </c>
      <c r="DB84" s="77">
        <f>$CT$84*VLOOKUP($CT$11,'PCU Values'!$B$9:$C$16,2,FALSE)</f>
        <v>4.5999999999999996</v>
      </c>
      <c r="DC84" s="77">
        <f>$CU$84*VLOOKUP($CU$11,'PCU Values'!$B$9:$C$16,2,FALSE)</f>
        <v>0</v>
      </c>
      <c r="DD84" s="77">
        <f>$CV$84*VLOOKUP($CV$11,'PCU Values'!$B$9:$C$16,2,FALSE)</f>
        <v>1</v>
      </c>
      <c r="DE84" s="77">
        <f>$CW$84*VLOOKUP($CW$11,'PCU Values'!$B$9:$C$16,2,FALSE)</f>
        <v>0.8</v>
      </c>
      <c r="DF84" s="78">
        <f>$CX$84*VLOOKUP($CX$11,'PCU Values'!$B$9:$C$16,2,FALSE)</f>
        <v>0</v>
      </c>
      <c r="DG84" s="66">
        <f>SUM($CY$84,$CZ$84,$DA$84,$DB$84,$DC$84,$DD$84,$DE$84,$DF$84)</f>
        <v>79.900000000000006</v>
      </c>
      <c r="DH84" s="52">
        <f>SUM($CQ$84,$CR$84,$CS$84,$CT$84,$CU$84,$CV$84,$CW$84,$CX$84)</f>
        <v>82</v>
      </c>
    </row>
    <row r="85" spans="1:112" ht="21" customHeight="1">
      <c r="A85" s="46">
        <v>44395.614583333299</v>
      </c>
      <c r="B85" s="50" t="s">
        <v>90</v>
      </c>
      <c r="C85" s="51">
        <v>0</v>
      </c>
      <c r="D85" s="51">
        <v>0</v>
      </c>
      <c r="E85" s="51">
        <v>0</v>
      </c>
      <c r="F85" s="51">
        <v>0</v>
      </c>
      <c r="G85" s="51">
        <v>0</v>
      </c>
      <c r="H85" s="51">
        <v>0</v>
      </c>
      <c r="I85" s="51">
        <v>0</v>
      </c>
      <c r="J85" s="59">
        <v>0</v>
      </c>
      <c r="K85" s="60">
        <f>$C$85*VLOOKUP($C$11,'PCU Values'!$B$9:$C$16,2,FALSE)</f>
        <v>0</v>
      </c>
      <c r="L85" s="60">
        <f>$D$85*VLOOKUP($D$11,'PCU Values'!$B$9:$C$16,2,FALSE)</f>
        <v>0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0</v>
      </c>
      <c r="T85" s="52">
        <f>SUM($C$85,$D$85,$E$85,$F$85,$G$85,$H$85,$I$85,$J$85)</f>
        <v>0</v>
      </c>
      <c r="U85" s="73">
        <v>39</v>
      </c>
      <c r="V85" s="51">
        <v>7</v>
      </c>
      <c r="W85" s="51">
        <v>1</v>
      </c>
      <c r="X85" s="51">
        <v>0</v>
      </c>
      <c r="Y85" s="51">
        <v>1</v>
      </c>
      <c r="Z85" s="51">
        <v>4</v>
      </c>
      <c r="AA85" s="51">
        <v>0</v>
      </c>
      <c r="AB85" s="59">
        <v>0</v>
      </c>
      <c r="AC85" s="60">
        <f>$U$85*VLOOKUP($U$11,'PCU Values'!$B$9:$C$16,2,FALSE)</f>
        <v>39</v>
      </c>
      <c r="AD85" s="60">
        <f>$V$85*VLOOKUP($V$11,'PCU Values'!$B$9:$C$16,2,FALSE)</f>
        <v>7</v>
      </c>
      <c r="AE85" s="60">
        <f>$W$85*VLOOKUP($W$11,'PCU Values'!$B$9:$C$16,2,FALSE)</f>
        <v>1.5</v>
      </c>
      <c r="AF85" s="60">
        <f>$X$85*VLOOKUP($X$11,'PCU Values'!$B$9:$C$16,2,FALSE)</f>
        <v>0</v>
      </c>
      <c r="AG85" s="60">
        <f>$Y$85*VLOOKUP($Y$11,'PCU Values'!$B$9:$C$16,2,FALSE)</f>
        <v>2</v>
      </c>
      <c r="AH85" s="60">
        <f>$Z$85*VLOOKUP($Z$11,'PCU Values'!$B$9:$C$16,2,FALSE)</f>
        <v>0.8</v>
      </c>
      <c r="AI85" s="60">
        <f>$AA$85*VLOOKUP($AA$11,'PCU Values'!$B$9:$C$16,2,FALSE)</f>
        <v>0</v>
      </c>
      <c r="AJ85" s="68">
        <f>$AB$85*VLOOKUP($AB$11,'PCU Values'!$B$9:$C$16,2,FALSE)</f>
        <v>0</v>
      </c>
      <c r="AK85" s="63">
        <f>SUM($AC$85,$AD$85,$AE$85,$AF$85,$AG$85,$AH$85,$AI$85,$AJ$85)</f>
        <v>50.3</v>
      </c>
      <c r="AL85" s="52">
        <f>SUM($U$85,$V$85,$W$85,$X$85,$Y$85,$Z$85,$AA$85,$AB$85)</f>
        <v>52</v>
      </c>
      <c r="AM85" s="73">
        <v>2</v>
      </c>
      <c r="AN85" s="51">
        <v>0</v>
      </c>
      <c r="AO85" s="51">
        <v>1</v>
      </c>
      <c r="AP85" s="51">
        <v>0</v>
      </c>
      <c r="AQ85" s="51">
        <v>0</v>
      </c>
      <c r="AR85" s="51">
        <v>4</v>
      </c>
      <c r="AS85" s="51">
        <v>0</v>
      </c>
      <c r="AT85" s="59">
        <v>0</v>
      </c>
      <c r="AU85" s="60">
        <f>$AM$85*VLOOKUP($AM$11,'PCU Values'!$B$9:$C$16,2,FALSE)</f>
        <v>2</v>
      </c>
      <c r="AV85" s="60">
        <f>$AN$85*VLOOKUP($AN$11,'PCU Values'!$B$9:$C$16,2,FALSE)</f>
        <v>0</v>
      </c>
      <c r="AW85" s="60">
        <f>$AO$85*VLOOKUP($AO$11,'PCU Values'!$B$9:$C$16,2,FALSE)</f>
        <v>1.5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0.8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4.3</v>
      </c>
      <c r="BD85" s="52">
        <f>SUM($AM$85,$AN$85,$AO$85,$AP$85,$AQ$85,$AR$85,$AS$85,$AT$85)</f>
        <v>7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41</v>
      </c>
      <c r="BZ85" s="84">
        <f>SUM($D$85,$V$85,$AN$85,$BF$85)</f>
        <v>7</v>
      </c>
      <c r="CA85" s="84">
        <f>SUM($E$85,$W$85,$AO$85,$BG$85)</f>
        <v>2</v>
      </c>
      <c r="CB85" s="84">
        <f>SUM($F$85,$X$85,$AP$85,$BH$85)</f>
        <v>0</v>
      </c>
      <c r="CC85" s="84">
        <f>SUM($G$85,$Y$85,$AQ$85,$BI$85)</f>
        <v>1</v>
      </c>
      <c r="CD85" s="84">
        <f>SUM($H$85,$Z$85,$AR$85,$BJ$85)</f>
        <v>8</v>
      </c>
      <c r="CE85" s="84">
        <f>SUM($I$85,$AA$85,$AS$85,$BK$85)</f>
        <v>0</v>
      </c>
      <c r="CF85" s="87">
        <f>SUM($J$85,$AB$85,$AT$85,$BL$85)</f>
        <v>0</v>
      </c>
      <c r="CG85" s="79">
        <f>$BY$85*VLOOKUP($BY$11,'PCU Values'!$B$9:$C$16,2,FALSE)</f>
        <v>41</v>
      </c>
      <c r="CH85" s="79">
        <f>$BZ$85*VLOOKUP($BZ$11,'PCU Values'!$B$9:$C$16,2,FALSE)</f>
        <v>7</v>
      </c>
      <c r="CI85" s="79">
        <f>$CA$85*VLOOKUP($CA$11,'PCU Values'!$B$9:$C$16,2,FALSE)</f>
        <v>3</v>
      </c>
      <c r="CJ85" s="79">
        <f>$CB$85*VLOOKUP($CB$11,'PCU Values'!$B$9:$C$16,2,FALSE)</f>
        <v>0</v>
      </c>
      <c r="CK85" s="79">
        <f>$CC$85*VLOOKUP($CC$11,'PCU Values'!$B$9:$C$16,2,FALSE)</f>
        <v>2</v>
      </c>
      <c r="CL85" s="79">
        <f>$CD$85*VLOOKUP($CD$11,'PCU Values'!$B$9:$C$16,2,FALSE)</f>
        <v>1.6</v>
      </c>
      <c r="CM85" s="79">
        <f>$CE$85*VLOOKUP($CE$11,'PCU Values'!$B$9:$C$16,2,FALSE)</f>
        <v>0</v>
      </c>
      <c r="CN85" s="80">
        <f>$CF$85*VLOOKUP($CF$11,'PCU Values'!$B$9:$C$16,2,FALSE)</f>
        <v>0</v>
      </c>
      <c r="CO85" s="63">
        <f>SUM($CG$85,$CH$85,$CI$85,$CJ$85,$CK$85,$CL$85,$CM$85,$CN$85)</f>
        <v>54.6</v>
      </c>
      <c r="CP85" s="52">
        <f>SUM($BY$85,$BZ$85,$CA$85,$CB$85,$CC$85,$CD$85,$CE$85,$CF$85)</f>
        <v>59</v>
      </c>
      <c r="CQ85" s="90">
        <f>SUM('J1 A - (North) Bishopthorpe Roa'!$U$85,'J1 B - Butcher Terrace'!$C$85,'J1 C - (South) Bishopthorpe Roa'!$BE$85,'J1 D - South Bank Avenue'!$AM$85)</f>
        <v>51</v>
      </c>
      <c r="CR85" s="84">
        <f>SUM('J1 A - (North) Bishopthorpe Roa'!$V$85,'J1 B - Butcher Terrace'!$D$85,'J1 C - (South) Bishopthorpe Roa'!$BF$85,'J1 D - South Bank Avenue'!$AN$85)</f>
        <v>5</v>
      </c>
      <c r="CS85" s="84">
        <f>SUM('J1 A - (North) Bishopthorpe Roa'!$W$85,'J1 B - Butcher Terrace'!$E$85,'J1 C - (South) Bishopthorpe Roa'!$BG$85,'J1 D - South Bank Avenue'!$AO$85)</f>
        <v>1</v>
      </c>
      <c r="CT85" s="84">
        <f>SUM('J1 A - (North) Bishopthorpe Roa'!$X$85,'J1 B - Butcher Terrace'!$F$85,'J1 C - (South) Bishopthorpe Roa'!$BH$85,'J1 D - South Bank Avenue'!$AP$85)</f>
        <v>0</v>
      </c>
      <c r="CU85" s="84">
        <f>SUM('J1 A - (North) Bishopthorpe Roa'!$Y$85,'J1 B - Butcher Terrace'!$G$85,'J1 C - (South) Bishopthorpe Roa'!$BI$85,'J1 D - South Bank Avenue'!$AQ$85)</f>
        <v>0</v>
      </c>
      <c r="CV85" s="84">
        <f>SUM('J1 A - (North) Bishopthorpe Roa'!$Z$85,'J1 B - Butcher Terrace'!$H$85,'J1 C - (South) Bishopthorpe Roa'!$BJ$85,'J1 D - South Bank Avenue'!$AR$85)</f>
        <v>5</v>
      </c>
      <c r="CW85" s="84">
        <f>SUM('J1 A - (North) Bishopthorpe Roa'!$AA$85,'J1 B - Butcher Terrace'!$I$85,'J1 C - (South) Bishopthorpe Roa'!$BK$85,'J1 D - South Bank Avenue'!$AS$85)</f>
        <v>2</v>
      </c>
      <c r="CX85" s="87">
        <f>SUM('J1 A - (North) Bishopthorpe Roa'!$AB$85,'J1 B - Butcher Terrace'!$J$85,'J1 C - (South) Bishopthorpe Roa'!$BL$85,'J1 D - South Bank Avenue'!$AT$85)</f>
        <v>0</v>
      </c>
      <c r="CY85" s="79">
        <f>$CQ$85*VLOOKUP($CQ$11,'PCU Values'!$B$9:$C$16,2,FALSE)</f>
        <v>51</v>
      </c>
      <c r="CZ85" s="79">
        <f>$CR$85*VLOOKUP($CR$11,'PCU Values'!$B$9:$C$16,2,FALSE)</f>
        <v>5</v>
      </c>
      <c r="DA85" s="79">
        <f>$CS$85*VLOOKUP($CS$11,'PCU Values'!$B$9:$C$16,2,FALSE)</f>
        <v>1.5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1</v>
      </c>
      <c r="DE85" s="79">
        <f>$CW$85*VLOOKUP($CW$11,'PCU Values'!$B$9:$C$16,2,FALSE)</f>
        <v>0.8</v>
      </c>
      <c r="DF85" s="80">
        <f>$CX$85*VLOOKUP($CX$11,'PCU Values'!$B$9:$C$16,2,FALSE)</f>
        <v>0</v>
      </c>
      <c r="DG85" s="63">
        <f>SUM($CY$85,$CZ$85,$DA$85,$DB$85,$DC$85,$DD$85,$DE$85,$DF$85)</f>
        <v>59.3</v>
      </c>
      <c r="DH85" s="52">
        <f>SUM($CQ$85,$CR$85,$CS$85,$CT$85,$CU$85,$CV$85,$CW$85,$CX$85)</f>
        <v>64</v>
      </c>
    </row>
    <row r="86" spans="1:112">
      <c r="B86" s="52" t="s">
        <v>34</v>
      </c>
      <c r="C86" s="52">
        <f>SUM($C$82:$C$85)</f>
        <v>4</v>
      </c>
      <c r="D86" s="52">
        <f>SUM($D$82:$D$85)</f>
        <v>1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0</v>
      </c>
      <c r="I86" s="52">
        <f>SUM($I$82:$I$85)</f>
        <v>0</v>
      </c>
      <c r="J86" s="52">
        <f>SUM($J$82:$J$85)</f>
        <v>0</v>
      </c>
      <c r="K86" s="52">
        <f>SUM($K$82:$K$85)</f>
        <v>4</v>
      </c>
      <c r="L86" s="52">
        <f>SUM($L$82:$L$85)</f>
        <v>1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0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5</v>
      </c>
      <c r="T86" s="52">
        <f>SUM($C$86,$D$86,$E$86,$F$86,$G$86,$H$86,$I$86,$J$86)</f>
        <v>5</v>
      </c>
      <c r="U86" s="52">
        <f>SUM($U$82:$U$85)</f>
        <v>162</v>
      </c>
      <c r="V86" s="52">
        <f>SUM($V$82:$V$85)</f>
        <v>28</v>
      </c>
      <c r="W86" s="52">
        <f>SUM($W$82:$W$85)</f>
        <v>4</v>
      </c>
      <c r="X86" s="52">
        <f>SUM($X$82:$X$85)</f>
        <v>0</v>
      </c>
      <c r="Y86" s="52">
        <f>SUM($Y$82:$Y$85)</f>
        <v>4</v>
      </c>
      <c r="Z86" s="52">
        <f>SUM($Z$82:$Z$85)</f>
        <v>11</v>
      </c>
      <c r="AA86" s="52">
        <f>SUM($AA$82:$AA$85)</f>
        <v>5</v>
      </c>
      <c r="AB86" s="52">
        <f>SUM($AB$82:$AB$85)</f>
        <v>0</v>
      </c>
      <c r="AC86" s="52">
        <f>SUM($AC$82:$AC$85)</f>
        <v>162</v>
      </c>
      <c r="AD86" s="52">
        <f>SUM($AD$82:$AD$85)</f>
        <v>28</v>
      </c>
      <c r="AE86" s="52">
        <f>SUM($AE$82:$AE$85)</f>
        <v>6</v>
      </c>
      <c r="AF86" s="52">
        <f>SUM($AF$82:$AF$85)</f>
        <v>0</v>
      </c>
      <c r="AG86" s="52">
        <f>SUM($AG$82:$AG$85)</f>
        <v>8</v>
      </c>
      <c r="AH86" s="52">
        <f>SUM($AH$82:$AH$85)</f>
        <v>2</v>
      </c>
      <c r="AI86" s="52">
        <f>SUM($AI$82:$AI$85)</f>
        <v>2</v>
      </c>
      <c r="AJ86" s="52">
        <f>SUM($AJ$82:$AJ$85)</f>
        <v>0</v>
      </c>
      <c r="AK86" s="52">
        <f>SUM($AC$86,$AD$86,$AE$86,$AF$86,$AG$86,$AH$86,$AI$86,$AJ$86)</f>
        <v>208</v>
      </c>
      <c r="AL86" s="52">
        <f>SUM($U$86,$V$86,$W$86,$X$86,$Y$86,$Z$86,$AA$86,$AB$86)</f>
        <v>214</v>
      </c>
      <c r="AM86" s="52">
        <f>SUM($AM$82:$AM$85)</f>
        <v>7</v>
      </c>
      <c r="AN86" s="52">
        <f>SUM($AN$82:$AN$85)</f>
        <v>0</v>
      </c>
      <c r="AO86" s="52">
        <f>SUM($AO$82:$AO$85)</f>
        <v>1</v>
      </c>
      <c r="AP86" s="52">
        <f>SUM($AP$82:$AP$85)</f>
        <v>0</v>
      </c>
      <c r="AQ86" s="52">
        <f>SUM($AQ$82:$AQ$85)</f>
        <v>0</v>
      </c>
      <c r="AR86" s="52">
        <f>SUM($AR$82:$AR$85)</f>
        <v>7</v>
      </c>
      <c r="AS86" s="52">
        <f>SUM($AS$82:$AS$85)</f>
        <v>0</v>
      </c>
      <c r="AT86" s="52">
        <f>SUM($AT$82:$AT$85)</f>
        <v>1</v>
      </c>
      <c r="AU86" s="52">
        <f>SUM($AU$82:$AU$85)</f>
        <v>7</v>
      </c>
      <c r="AV86" s="52">
        <f>SUM($AV$82:$AV$85)</f>
        <v>0</v>
      </c>
      <c r="AW86" s="52">
        <f>SUM($AW$82:$AW$85)</f>
        <v>2</v>
      </c>
      <c r="AX86" s="52">
        <f>SUM($AX$82:$AX$85)</f>
        <v>0</v>
      </c>
      <c r="AY86" s="52">
        <f>SUM($AY$82:$AY$85)</f>
        <v>0</v>
      </c>
      <c r="AZ86" s="52">
        <f>SUM($AZ$82:$AZ$85)</f>
        <v>1</v>
      </c>
      <c r="BA86" s="52">
        <f>SUM($BA$82:$BA$85)</f>
        <v>0</v>
      </c>
      <c r="BB86" s="52">
        <f>SUM($BB$82:$BB$85)</f>
        <v>2</v>
      </c>
      <c r="BC86" s="52">
        <f>SUM($AU$86,$AV$86,$AW$86,$AX$86,$AY$86,$AZ$86,$BA$86,$BB$86)</f>
        <v>12</v>
      </c>
      <c r="BD86" s="52">
        <f>SUM($AM$86,$AN$86,$AO$86,$AP$86,$AQ$86,$AR$86,$AS$86,$AT$86)</f>
        <v>16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173</v>
      </c>
      <c r="BZ86" s="52">
        <f>SUM($BZ$82:$BZ$85)</f>
        <v>29</v>
      </c>
      <c r="CA86" s="52">
        <f>SUM($CA$82:$CA$85)</f>
        <v>5</v>
      </c>
      <c r="CB86" s="52">
        <f>SUM($CB$82:$CB$85)</f>
        <v>0</v>
      </c>
      <c r="CC86" s="52">
        <f>SUM($CC$82:$CC$85)</f>
        <v>4</v>
      </c>
      <c r="CD86" s="52">
        <f>SUM($CD$82:$CD$85)</f>
        <v>18</v>
      </c>
      <c r="CE86" s="52">
        <f>SUM($CE$82:$CE$85)</f>
        <v>5</v>
      </c>
      <c r="CF86" s="52">
        <f>SUM($CF$82:$CF$85)</f>
        <v>1</v>
      </c>
      <c r="CG86" s="52">
        <f>SUM($CG$82:$CG$85)</f>
        <v>173</v>
      </c>
      <c r="CH86" s="52">
        <f>SUM($CH$82:$CH$85)</f>
        <v>29</v>
      </c>
      <c r="CI86" s="52">
        <f>SUM($CI$82:$CI$85)</f>
        <v>8</v>
      </c>
      <c r="CJ86" s="52">
        <f>SUM($CJ$82:$CJ$85)</f>
        <v>0</v>
      </c>
      <c r="CK86" s="52">
        <f>SUM($CK$82:$CK$85)</f>
        <v>8</v>
      </c>
      <c r="CL86" s="52">
        <f>SUM($CL$82:$CL$85)</f>
        <v>4</v>
      </c>
      <c r="CM86" s="52">
        <f>SUM($CM$82:$CM$85)</f>
        <v>2</v>
      </c>
      <c r="CN86" s="52">
        <f>SUM($CN$82:$CN$85)</f>
        <v>2</v>
      </c>
      <c r="CO86" s="52">
        <f>SUM($CG$86,$CH$86,$CI$86,$CJ$86,$CK$86,$CL$86,$CM$86,$CN$86)</f>
        <v>226</v>
      </c>
      <c r="CP86" s="52">
        <f>SUM($BY$86,$BZ$86,$CA$86,$CB$86,$CC$86,$CD$86,$CE$86,$CF$86)</f>
        <v>235</v>
      </c>
      <c r="CQ86" s="52">
        <f>SUM($CQ$82:$CQ$85)</f>
        <v>239</v>
      </c>
      <c r="CR86" s="52">
        <f>SUM($CR$82:$CR$85)</f>
        <v>31</v>
      </c>
      <c r="CS86" s="52">
        <f>SUM($CS$82:$CS$85)</f>
        <v>3</v>
      </c>
      <c r="CT86" s="52">
        <f>SUM($CT$82:$CT$85)</f>
        <v>2</v>
      </c>
      <c r="CU86" s="52">
        <f>SUM($CU$82:$CU$85)</f>
        <v>1</v>
      </c>
      <c r="CV86" s="52">
        <f>SUM($CV$82:$CV$85)</f>
        <v>22</v>
      </c>
      <c r="CW86" s="52">
        <f>SUM($CW$82:$CW$85)</f>
        <v>4</v>
      </c>
      <c r="CX86" s="52">
        <f>SUM($CX$82:$CX$85)</f>
        <v>0</v>
      </c>
      <c r="CY86" s="52">
        <f>SUM($CY$82:$CY$85)</f>
        <v>239</v>
      </c>
      <c r="CZ86" s="52">
        <f>SUM($CZ$82:$CZ$85)</f>
        <v>31</v>
      </c>
      <c r="DA86" s="52">
        <f>SUM($DA$82:$DA$85)</f>
        <v>5</v>
      </c>
      <c r="DB86" s="52">
        <f>SUM($DB$82:$DB$85)</f>
        <v>5</v>
      </c>
      <c r="DC86" s="52">
        <f>SUM($DC$82:$DC$85)</f>
        <v>2</v>
      </c>
      <c r="DD86" s="52">
        <f>SUM($DD$82:$DD$85)</f>
        <v>4</v>
      </c>
      <c r="DE86" s="52">
        <f>SUM($DE$82:$DE$85)</f>
        <v>2</v>
      </c>
      <c r="DF86" s="52">
        <f>SUM($DF$82:$DF$85)</f>
        <v>0</v>
      </c>
      <c r="DG86" s="52">
        <f>SUM($CY$86,$CZ$86,$DA$86,$DB$86,$DC$86,$DD$86,$DE$86,$DF$86)</f>
        <v>288</v>
      </c>
      <c r="DH86" s="52">
        <f>SUM($CQ$86,$CR$86,$CS$86,$CT$86,$CU$86,$CV$86,$CW$86,$CX$86)</f>
        <v>302</v>
      </c>
    </row>
    <row r="87" spans="1:112" ht="21" customHeight="1">
      <c r="A87" s="46">
        <v>44395.625</v>
      </c>
      <c r="B87" s="53" t="s">
        <v>91</v>
      </c>
      <c r="C87" s="54">
        <v>0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61">
        <v>0</v>
      </c>
      <c r="K87" s="62">
        <f>$C$87*VLOOKUP($C$11,'PCU Values'!$B$9:$C$16,2,FALSE)</f>
        <v>0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0</v>
      </c>
      <c r="T87" s="52">
        <f>SUM($C$87,$D$87,$E$87,$F$87,$G$87,$H$87,$I$87,$J$87)</f>
        <v>0</v>
      </c>
      <c r="U87" s="74">
        <v>50</v>
      </c>
      <c r="V87" s="75">
        <v>6</v>
      </c>
      <c r="W87" s="75">
        <v>0</v>
      </c>
      <c r="X87" s="75">
        <v>0</v>
      </c>
      <c r="Y87" s="75">
        <v>2</v>
      </c>
      <c r="Z87" s="75">
        <v>2</v>
      </c>
      <c r="AA87" s="54">
        <v>1</v>
      </c>
      <c r="AB87" s="61">
        <v>0</v>
      </c>
      <c r="AC87" s="62">
        <f>$U$87*VLOOKUP($U$11,'PCU Values'!$B$9:$C$16,2,FALSE)</f>
        <v>50</v>
      </c>
      <c r="AD87" s="62">
        <f>$V$87*VLOOKUP($V$11,'PCU Values'!$B$9:$C$16,2,FALSE)</f>
        <v>6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4</v>
      </c>
      <c r="AH87" s="62">
        <f>$Z$87*VLOOKUP($Z$11,'PCU Values'!$B$9:$C$16,2,FALSE)</f>
        <v>0.4</v>
      </c>
      <c r="AI87" s="62">
        <f>$AA$87*VLOOKUP($AA$11,'PCU Values'!$B$9:$C$16,2,FALSE)</f>
        <v>0.4</v>
      </c>
      <c r="AJ87" s="70">
        <f>$AB$87*VLOOKUP($AB$11,'PCU Values'!$B$9:$C$16,2,FALSE)</f>
        <v>0</v>
      </c>
      <c r="AK87" s="71">
        <f>SUM($AC$87,$AD$87,$AE$87,$AF$87,$AG$87,$AH$87,$AI$87,$AJ$87)</f>
        <v>60.8</v>
      </c>
      <c r="AL87" s="52">
        <f>SUM($U$87,$V$87,$W$87,$X$87,$Y$87,$Z$87,$AA$87,$AB$87)</f>
        <v>61</v>
      </c>
      <c r="AM87" s="72">
        <v>1</v>
      </c>
      <c r="AN87" s="54">
        <v>1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1</v>
      </c>
      <c r="AV87" s="62">
        <f>$AN$87*VLOOKUP($AN$11,'PCU Values'!$B$9:$C$16,2,FALSE)</f>
        <v>1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2</v>
      </c>
      <c r="BD87" s="52">
        <f>SUM($AM$87,$AN$87,$AO$87,$AP$87,$AQ$87,$AR$87,$AS$87,$AT$87)</f>
        <v>2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51</v>
      </c>
      <c r="BZ87" s="85">
        <f>SUM($D$87,$V$87,$AN$87,$BF$87)</f>
        <v>7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2</v>
      </c>
      <c r="CD87" s="85">
        <f>SUM($H$87,$Z$87,$AR$87,$BJ$87)</f>
        <v>2</v>
      </c>
      <c r="CE87" s="85">
        <f>SUM($I$87,$AA$87,$AS$87,$BK$87)</f>
        <v>1</v>
      </c>
      <c r="CF87" s="88">
        <f>SUM($J$87,$AB$87,$AT$87,$BL$87)</f>
        <v>0</v>
      </c>
      <c r="CG87" s="81">
        <f>$BY$87*VLOOKUP($BY$11,'PCU Values'!$B$9:$C$16,2,FALSE)</f>
        <v>51</v>
      </c>
      <c r="CH87" s="81">
        <f>$BZ$87*VLOOKUP($BZ$11,'PCU Values'!$B$9:$C$16,2,FALSE)</f>
        <v>7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4</v>
      </c>
      <c r="CL87" s="81">
        <f>$CD$87*VLOOKUP($CD$11,'PCU Values'!$B$9:$C$16,2,FALSE)</f>
        <v>0.4</v>
      </c>
      <c r="CM87" s="81">
        <f>$CE$87*VLOOKUP($CE$11,'PCU Values'!$B$9:$C$16,2,FALSE)</f>
        <v>0.4</v>
      </c>
      <c r="CN87" s="82">
        <f>$CF$87*VLOOKUP($CF$11,'PCU Values'!$B$9:$C$16,2,FALSE)</f>
        <v>0</v>
      </c>
      <c r="CO87" s="71">
        <f>SUM($CG$87,$CH$87,$CI$87,$CJ$87,$CK$87,$CL$87,$CM$87,$CN$87)</f>
        <v>62.8</v>
      </c>
      <c r="CP87" s="52">
        <f>SUM($BY$87,$BZ$87,$CA$87,$CB$87,$CC$87,$CD$87,$CE$87,$CF$87)</f>
        <v>63</v>
      </c>
      <c r="CQ87" s="91">
        <f>SUM('J1 A - (North) Bishopthorpe Roa'!$U$87,'J1 B - Butcher Terrace'!$C$87,'J1 C - (South) Bishopthorpe Roa'!$BE$87,'J1 D - South Bank Avenue'!$AM$87)</f>
        <v>61</v>
      </c>
      <c r="CR87" s="85">
        <f>SUM('J1 A - (North) Bishopthorpe Roa'!$V$87,'J1 B - Butcher Terrace'!$D$87,'J1 C - (South) Bishopthorpe Roa'!$BF$87,'J1 D - South Bank Avenue'!$AN$87)</f>
        <v>10</v>
      </c>
      <c r="CS87" s="85">
        <f>SUM('J1 A - (North) Bishopthorpe Roa'!$W$87,'J1 B - Butcher Terrace'!$E$87,'J1 C - (South) Bishopthorpe Roa'!$BG$87,'J1 D - South Bank Avenue'!$AO$87)</f>
        <v>1</v>
      </c>
      <c r="CT87" s="85">
        <f>SUM('J1 A - (North) Bishopthorpe Roa'!$X$87,'J1 B - Butcher Terrace'!$F$87,'J1 C - (South) Bishopthorpe Roa'!$BH$87,'J1 D - South Bank Avenue'!$AP$87)</f>
        <v>0</v>
      </c>
      <c r="CU87" s="85">
        <f>SUM('J1 A - (North) Bishopthorpe Roa'!$Y$87,'J1 B - Butcher Terrace'!$G$87,'J1 C - (South) Bishopthorpe Roa'!$BI$87,'J1 D - South Bank Avenue'!$AQ$87)</f>
        <v>1</v>
      </c>
      <c r="CV87" s="85">
        <f>SUM('J1 A - (North) Bishopthorpe Roa'!$Z$87,'J1 B - Butcher Terrace'!$H$87,'J1 C - (South) Bishopthorpe Roa'!$BJ$87,'J1 D - South Bank Avenue'!$AR$87)</f>
        <v>6</v>
      </c>
      <c r="CW87" s="85">
        <f>SUM('J1 A - (North) Bishopthorpe Roa'!$AA$87,'J1 B - Butcher Terrace'!$I$87,'J1 C - (South) Bishopthorpe Roa'!$BK$87,'J1 D - South Bank Avenue'!$AS$87)</f>
        <v>1</v>
      </c>
      <c r="CX87" s="88">
        <f>SUM('J1 A - (North) Bishopthorpe Roa'!$AB$87,'J1 B - Butcher Terrace'!$J$87,'J1 C - (South) Bishopthorpe Roa'!$BL$87,'J1 D - South Bank Avenue'!$AT$87)</f>
        <v>0</v>
      </c>
      <c r="CY87" s="81">
        <f>$CQ$87*VLOOKUP($CQ$11,'PCU Values'!$B$9:$C$16,2,FALSE)</f>
        <v>61</v>
      </c>
      <c r="CZ87" s="81">
        <f>$CR$87*VLOOKUP($CR$11,'PCU Values'!$B$9:$C$16,2,FALSE)</f>
        <v>10</v>
      </c>
      <c r="DA87" s="81">
        <f>$CS$87*VLOOKUP($CS$11,'PCU Values'!$B$9:$C$16,2,FALSE)</f>
        <v>1.5</v>
      </c>
      <c r="DB87" s="81">
        <f>$CT$87*VLOOKUP($CT$11,'PCU Values'!$B$9:$C$16,2,FALSE)</f>
        <v>0</v>
      </c>
      <c r="DC87" s="81">
        <f>$CU$87*VLOOKUP($CU$11,'PCU Values'!$B$9:$C$16,2,FALSE)</f>
        <v>2</v>
      </c>
      <c r="DD87" s="81">
        <f>$CV$87*VLOOKUP($CV$11,'PCU Values'!$B$9:$C$16,2,FALSE)</f>
        <v>1.2</v>
      </c>
      <c r="DE87" s="81">
        <f>$CW$87*VLOOKUP($CW$11,'PCU Values'!$B$9:$C$16,2,FALSE)</f>
        <v>0.4</v>
      </c>
      <c r="DF87" s="82">
        <f>$CX$87*VLOOKUP($CX$11,'PCU Values'!$B$9:$C$16,2,FALSE)</f>
        <v>0</v>
      </c>
      <c r="DG87" s="71">
        <f>SUM($CY$87,$CZ$87,$DA$87,$DB$87,$DC$87,$DD$87,$DE$87,$DF$87)</f>
        <v>76.099999999999994</v>
      </c>
      <c r="DH87" s="52">
        <f>SUM($CQ$87,$CR$87,$CS$87,$CT$87,$CU$87,$CV$87,$CW$87,$CX$87)</f>
        <v>80</v>
      </c>
    </row>
    <row r="88" spans="1:112" ht="21" customHeight="1">
      <c r="A88" s="46">
        <v>44395.635416666701</v>
      </c>
      <c r="B88" s="47" t="s">
        <v>92</v>
      </c>
      <c r="C88" s="48">
        <v>1</v>
      </c>
      <c r="D88" s="48">
        <v>1</v>
      </c>
      <c r="E88" s="48">
        <v>0</v>
      </c>
      <c r="F88" s="48">
        <v>0</v>
      </c>
      <c r="G88" s="48">
        <v>0</v>
      </c>
      <c r="H88" s="48">
        <v>1</v>
      </c>
      <c r="I88" s="48">
        <v>0</v>
      </c>
      <c r="J88" s="56">
        <v>0</v>
      </c>
      <c r="K88" s="57">
        <f>$C$88*VLOOKUP($C$11,'PCU Values'!$B$9:$C$16,2,FALSE)</f>
        <v>1</v>
      </c>
      <c r="L88" s="57">
        <f>$D$88*VLOOKUP($D$11,'PCU Values'!$B$9:$C$16,2,FALSE)</f>
        <v>1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0.2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2.2000000000000002</v>
      </c>
      <c r="T88" s="52">
        <f>SUM($C$88,$D$88,$E$88,$F$88,$G$88,$H$88,$I$88,$J$88)</f>
        <v>3</v>
      </c>
      <c r="U88" s="67">
        <v>51</v>
      </c>
      <c r="V88" s="48">
        <v>6</v>
      </c>
      <c r="W88" s="48">
        <v>2</v>
      </c>
      <c r="X88" s="48">
        <v>0</v>
      </c>
      <c r="Y88" s="48">
        <v>0</v>
      </c>
      <c r="Z88" s="48">
        <v>5</v>
      </c>
      <c r="AA88" s="48">
        <v>0</v>
      </c>
      <c r="AB88" s="56">
        <v>0</v>
      </c>
      <c r="AC88" s="57">
        <f>$U$88*VLOOKUP($U$11,'PCU Values'!$B$9:$C$16,2,FALSE)</f>
        <v>51</v>
      </c>
      <c r="AD88" s="57">
        <f>$V$88*VLOOKUP($V$11,'PCU Values'!$B$9:$C$16,2,FALSE)</f>
        <v>6</v>
      </c>
      <c r="AE88" s="57">
        <f>$W$88*VLOOKUP($W$11,'PCU Values'!$B$9:$C$16,2,FALSE)</f>
        <v>3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1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61</v>
      </c>
      <c r="AL88" s="52">
        <f>SUM($U$88,$V$88,$W$88,$X$88,$Y$88,$Z$88,$AA$88,$AB$88)</f>
        <v>64</v>
      </c>
      <c r="AM88" s="67">
        <v>1</v>
      </c>
      <c r="AN88" s="48">
        <v>1</v>
      </c>
      <c r="AO88" s="48">
        <v>0</v>
      </c>
      <c r="AP88" s="48">
        <v>0</v>
      </c>
      <c r="AQ88" s="48">
        <v>0</v>
      </c>
      <c r="AR88" s="48">
        <v>2</v>
      </c>
      <c r="AS88" s="48">
        <v>0</v>
      </c>
      <c r="AT88" s="56">
        <v>1</v>
      </c>
      <c r="AU88" s="57">
        <f>$AM$88*VLOOKUP($AM$11,'PCU Values'!$B$9:$C$16,2,FALSE)</f>
        <v>1</v>
      </c>
      <c r="AV88" s="57">
        <f>$AN$88*VLOOKUP($AN$11,'PCU Values'!$B$9:$C$16,2,FALSE)</f>
        <v>1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0.4</v>
      </c>
      <c r="BA88" s="57">
        <f>$AS$88*VLOOKUP($AS$11,'PCU Values'!$B$9:$C$16,2,FALSE)</f>
        <v>0</v>
      </c>
      <c r="BB88" s="65">
        <f>$AT$88*VLOOKUP($AT$11,'PCU Values'!$B$9:$C$16,2,FALSE)</f>
        <v>1.5</v>
      </c>
      <c r="BC88" s="66">
        <f>SUM($AU$88,$AV$88,$AW$88,$AX$88,$AY$88,$AZ$88,$BA$88,$BB$88)</f>
        <v>3.9</v>
      </c>
      <c r="BD88" s="52">
        <f>SUM($AM$88,$AN$88,$AO$88,$AP$88,$AQ$88,$AR$88,$AS$88,$AT$88)</f>
        <v>5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53</v>
      </c>
      <c r="BZ88" s="83">
        <f>SUM($D$88,$V$88,$AN$88,$BF$88)</f>
        <v>8</v>
      </c>
      <c r="CA88" s="83">
        <f>SUM($E$88,$W$88,$AO$88,$BG$88)</f>
        <v>2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8</v>
      </c>
      <c r="CE88" s="83">
        <f>SUM($I$88,$AA$88,$AS$88,$BK$88)</f>
        <v>0</v>
      </c>
      <c r="CF88" s="86">
        <f>SUM($J$88,$AB$88,$AT$88,$BL$88)</f>
        <v>1</v>
      </c>
      <c r="CG88" s="77">
        <f>$BY$88*VLOOKUP($BY$11,'PCU Values'!$B$9:$C$16,2,FALSE)</f>
        <v>53</v>
      </c>
      <c r="CH88" s="77">
        <f>$BZ$88*VLOOKUP($BZ$11,'PCU Values'!$B$9:$C$16,2,FALSE)</f>
        <v>8</v>
      </c>
      <c r="CI88" s="77">
        <f>$CA$88*VLOOKUP($CA$11,'PCU Values'!$B$9:$C$16,2,FALSE)</f>
        <v>3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1.6</v>
      </c>
      <c r="CM88" s="77">
        <f>$CE$88*VLOOKUP($CE$11,'PCU Values'!$B$9:$C$16,2,FALSE)</f>
        <v>0</v>
      </c>
      <c r="CN88" s="78">
        <f>$CF$88*VLOOKUP($CF$11,'PCU Values'!$B$9:$C$16,2,FALSE)</f>
        <v>1.5</v>
      </c>
      <c r="CO88" s="66">
        <f>SUM($CG$88,$CH$88,$CI$88,$CJ$88,$CK$88,$CL$88,$CM$88,$CN$88)</f>
        <v>67.099999999999994</v>
      </c>
      <c r="CP88" s="52">
        <f>SUM($BY$88,$BZ$88,$CA$88,$CB$88,$CC$88,$CD$88,$CE$88,$CF$88)</f>
        <v>72</v>
      </c>
      <c r="CQ88" s="89">
        <f>SUM('J1 A - (North) Bishopthorpe Roa'!$U$88,'J1 B - Butcher Terrace'!$C$88,'J1 C - (South) Bishopthorpe Roa'!$BE$88,'J1 D - South Bank Avenue'!$AM$88)</f>
        <v>73</v>
      </c>
      <c r="CR88" s="83">
        <f>SUM('J1 A - (North) Bishopthorpe Roa'!$V$88,'J1 B - Butcher Terrace'!$D$88,'J1 C - (South) Bishopthorpe Roa'!$BF$88,'J1 D - South Bank Avenue'!$AN$88)</f>
        <v>6</v>
      </c>
      <c r="CS88" s="83">
        <f>SUM('J1 A - (North) Bishopthorpe Roa'!$W$88,'J1 B - Butcher Terrace'!$E$88,'J1 C - (South) Bishopthorpe Roa'!$BG$88,'J1 D - South Bank Avenue'!$AO$88)</f>
        <v>0</v>
      </c>
      <c r="CT88" s="83">
        <f>SUM('J1 A - (North) Bishopthorpe Roa'!$X$88,'J1 B - Butcher Terrace'!$F$88,'J1 C - (South) Bishopthorpe Roa'!$BH$88,'J1 D - South Bank Avenue'!$AP$88)</f>
        <v>0</v>
      </c>
      <c r="CU88" s="83">
        <f>SUM('J1 A - (North) Bishopthorpe Roa'!$Y$88,'J1 B - Butcher Terrace'!$G$88,'J1 C - (South) Bishopthorpe Roa'!$BI$88,'J1 D - South Bank Avenue'!$AQ$88)</f>
        <v>1</v>
      </c>
      <c r="CV88" s="83">
        <f>SUM('J1 A - (North) Bishopthorpe Roa'!$Z$88,'J1 B - Butcher Terrace'!$H$88,'J1 C - (South) Bishopthorpe Roa'!$BJ$88,'J1 D - South Bank Avenue'!$AR$88)</f>
        <v>3</v>
      </c>
      <c r="CW88" s="83">
        <f>SUM('J1 A - (North) Bishopthorpe Roa'!$AA$88,'J1 B - Butcher Terrace'!$I$88,'J1 C - (South) Bishopthorpe Roa'!$BK$88,'J1 D - South Bank Avenue'!$AS$88)</f>
        <v>0</v>
      </c>
      <c r="CX88" s="86">
        <f>SUM('J1 A - (North) Bishopthorpe Roa'!$AB$88,'J1 B - Butcher Terrace'!$J$88,'J1 C - (South) Bishopthorpe Roa'!$BL$88,'J1 D - South Bank Avenue'!$AT$88)</f>
        <v>0</v>
      </c>
      <c r="CY88" s="77">
        <f>$CQ$88*VLOOKUP($CQ$11,'PCU Values'!$B$9:$C$16,2,FALSE)</f>
        <v>73</v>
      </c>
      <c r="CZ88" s="77">
        <f>$CR$88*VLOOKUP($CR$11,'PCU Values'!$B$9:$C$16,2,FALSE)</f>
        <v>6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2</v>
      </c>
      <c r="DD88" s="77">
        <f>$CV$88*VLOOKUP($CV$11,'PCU Values'!$B$9:$C$16,2,FALSE)</f>
        <v>0.6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81.599999999999994</v>
      </c>
      <c r="DH88" s="52">
        <f>SUM($CQ$88,$CR$88,$CS$88,$CT$88,$CU$88,$CV$88,$CW$88,$CX$88)</f>
        <v>83</v>
      </c>
    </row>
    <row r="89" spans="1:112" ht="21" customHeight="1">
      <c r="A89" s="46">
        <v>44395.645833333299</v>
      </c>
      <c r="B89" s="47" t="s">
        <v>93</v>
      </c>
      <c r="C89" s="49">
        <v>0</v>
      </c>
      <c r="D89" s="49">
        <v>0</v>
      </c>
      <c r="E89" s="49">
        <v>0</v>
      </c>
      <c r="F89" s="49">
        <v>0</v>
      </c>
      <c r="G89" s="49">
        <v>0</v>
      </c>
      <c r="H89" s="49">
        <v>0</v>
      </c>
      <c r="I89" s="49">
        <v>0</v>
      </c>
      <c r="J89" s="58">
        <v>0</v>
      </c>
      <c r="K89" s="57">
        <f>$C$89*VLOOKUP($C$11,'PCU Values'!$B$9:$C$16,2,FALSE)</f>
        <v>0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0</v>
      </c>
      <c r="T89" s="52">
        <f>SUM($C$89,$D$89,$E$89,$F$89,$G$89,$H$89,$I$89,$J$89)</f>
        <v>0</v>
      </c>
      <c r="U89" s="49">
        <v>50</v>
      </c>
      <c r="V89" s="49">
        <v>3</v>
      </c>
      <c r="W89" s="49">
        <v>0</v>
      </c>
      <c r="X89" s="49">
        <v>0</v>
      </c>
      <c r="Y89" s="49">
        <v>1</v>
      </c>
      <c r="Z89" s="49">
        <v>5</v>
      </c>
      <c r="AA89" s="49">
        <v>0</v>
      </c>
      <c r="AB89" s="58">
        <v>0</v>
      </c>
      <c r="AC89" s="57">
        <f>$U$89*VLOOKUP($U$11,'PCU Values'!$B$9:$C$16,2,FALSE)</f>
        <v>50</v>
      </c>
      <c r="AD89" s="57">
        <f>$V$89*VLOOKUP($V$11,'PCU Values'!$B$9:$C$16,2,FALSE)</f>
        <v>3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2</v>
      </c>
      <c r="AH89" s="57">
        <f>$Z$89*VLOOKUP($Z$11,'PCU Values'!$B$9:$C$16,2,FALSE)</f>
        <v>1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56</v>
      </c>
      <c r="AL89" s="52">
        <f>SUM($U$89,$V$89,$W$89,$X$89,$Y$89,$Z$89,$AA$89,$AB$89)</f>
        <v>59</v>
      </c>
      <c r="AM89" s="49">
        <v>1</v>
      </c>
      <c r="AN89" s="49">
        <v>0</v>
      </c>
      <c r="AO89" s="49">
        <v>0</v>
      </c>
      <c r="AP89" s="49">
        <v>0</v>
      </c>
      <c r="AQ89" s="49">
        <v>0</v>
      </c>
      <c r="AR89" s="49">
        <v>1</v>
      </c>
      <c r="AS89" s="49">
        <v>0</v>
      </c>
      <c r="AT89" s="58">
        <v>0</v>
      </c>
      <c r="AU89" s="57">
        <f>$AM$89*VLOOKUP($AM$11,'PCU Values'!$B$9:$C$16,2,FALSE)</f>
        <v>1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0.2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1.2</v>
      </c>
      <c r="BD89" s="52">
        <f>SUM($AM$89,$AN$89,$AO$89,$AP$89,$AQ$89,$AR$89,$AS$89,$AT$89)</f>
        <v>2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51</v>
      </c>
      <c r="BZ89" s="83">
        <f>SUM($D$89,$V$89,$AN$89,$BF$89)</f>
        <v>3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1</v>
      </c>
      <c r="CD89" s="83">
        <f>SUM($H$89,$Z$89,$AR$89,$BJ$89)</f>
        <v>6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51</v>
      </c>
      <c r="CH89" s="77">
        <f>$BZ$89*VLOOKUP($BZ$11,'PCU Values'!$B$9:$C$16,2,FALSE)</f>
        <v>3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2</v>
      </c>
      <c r="CL89" s="77">
        <f>$CD$89*VLOOKUP($CD$11,'PCU Values'!$B$9:$C$16,2,FALSE)</f>
        <v>1.2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57.2</v>
      </c>
      <c r="CP89" s="52">
        <f>SUM($BY$89,$BZ$89,$CA$89,$CB$89,$CC$89,$CD$89,$CE$89,$CF$89)</f>
        <v>61</v>
      </c>
      <c r="CQ89" s="89">
        <f>SUM('J1 A - (North) Bishopthorpe Roa'!$U$89,'J1 B - Butcher Terrace'!$C$89,'J1 C - (South) Bishopthorpe Roa'!$BE$89,'J1 D - South Bank Avenue'!$AM$89)</f>
        <v>68</v>
      </c>
      <c r="CR89" s="83">
        <f>SUM('J1 A - (North) Bishopthorpe Roa'!$V$89,'J1 B - Butcher Terrace'!$D$89,'J1 C - (South) Bishopthorpe Roa'!$BF$89,'J1 D - South Bank Avenue'!$AN$89)</f>
        <v>7</v>
      </c>
      <c r="CS89" s="83">
        <f>SUM('J1 A - (North) Bishopthorpe Roa'!$W$89,'J1 B - Butcher Terrace'!$E$89,'J1 C - (South) Bishopthorpe Roa'!$BG$89,'J1 D - South Bank Avenue'!$AO$89)</f>
        <v>0</v>
      </c>
      <c r="CT89" s="83">
        <f>SUM('J1 A - (North) Bishopthorpe Roa'!$X$89,'J1 B - Butcher Terrace'!$F$89,'J1 C - (South) Bishopthorpe Roa'!$BH$89,'J1 D - South Bank Avenue'!$AP$89)</f>
        <v>0</v>
      </c>
      <c r="CU89" s="83">
        <f>SUM('J1 A - (North) Bishopthorpe Roa'!$Y$89,'J1 B - Butcher Terrace'!$G$89,'J1 C - (South) Bishopthorpe Roa'!$BI$89,'J1 D - South Bank Avenue'!$AQ$89)</f>
        <v>2</v>
      </c>
      <c r="CV89" s="83">
        <f>SUM('J1 A - (North) Bishopthorpe Roa'!$Z$89,'J1 B - Butcher Terrace'!$H$89,'J1 C - (South) Bishopthorpe Roa'!$BJ$89,'J1 D - South Bank Avenue'!$AR$89)</f>
        <v>7</v>
      </c>
      <c r="CW89" s="83">
        <f>SUM('J1 A - (North) Bishopthorpe Roa'!$AA$89,'J1 B - Butcher Terrace'!$I$89,'J1 C - (South) Bishopthorpe Roa'!$BK$89,'J1 D - South Bank Avenue'!$AS$89)</f>
        <v>1</v>
      </c>
      <c r="CX89" s="86">
        <f>SUM('J1 A - (North) Bishopthorpe Roa'!$AB$89,'J1 B - Butcher Terrace'!$J$89,'J1 C - (South) Bishopthorpe Roa'!$BL$89,'J1 D - South Bank Avenue'!$AT$89)</f>
        <v>0</v>
      </c>
      <c r="CY89" s="77">
        <f>$CQ$89*VLOOKUP($CQ$11,'PCU Values'!$B$9:$C$16,2,FALSE)</f>
        <v>68</v>
      </c>
      <c r="CZ89" s="77">
        <f>$CR$89*VLOOKUP($CR$11,'PCU Values'!$B$9:$C$16,2,FALSE)</f>
        <v>7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4</v>
      </c>
      <c r="DD89" s="77">
        <f>$CV$89*VLOOKUP($CV$11,'PCU Values'!$B$9:$C$16,2,FALSE)</f>
        <v>1.4</v>
      </c>
      <c r="DE89" s="77">
        <f>$CW$89*VLOOKUP($CW$11,'PCU Values'!$B$9:$C$16,2,FALSE)</f>
        <v>0.4</v>
      </c>
      <c r="DF89" s="78">
        <f>$CX$89*VLOOKUP($CX$11,'PCU Values'!$B$9:$C$16,2,FALSE)</f>
        <v>0</v>
      </c>
      <c r="DG89" s="66">
        <f>SUM($CY$89,$CZ$89,$DA$89,$DB$89,$DC$89,$DD$89,$DE$89,$DF$89)</f>
        <v>80.8</v>
      </c>
      <c r="DH89" s="52">
        <f>SUM($CQ$89,$CR$89,$CS$89,$CT$89,$CU$89,$CV$89,$CW$89,$CX$89)</f>
        <v>85</v>
      </c>
    </row>
    <row r="90" spans="1:112" ht="21" customHeight="1">
      <c r="A90" s="46">
        <v>44395.65625</v>
      </c>
      <c r="B90" s="50" t="s">
        <v>94</v>
      </c>
      <c r="C90" s="51">
        <v>3</v>
      </c>
      <c r="D90" s="51">
        <v>0</v>
      </c>
      <c r="E90" s="51">
        <v>1</v>
      </c>
      <c r="F90" s="51">
        <v>0</v>
      </c>
      <c r="G90" s="51">
        <v>0</v>
      </c>
      <c r="H90" s="51">
        <v>0</v>
      </c>
      <c r="I90" s="51">
        <v>0</v>
      </c>
      <c r="J90" s="59">
        <v>0</v>
      </c>
      <c r="K90" s="60">
        <f>$C$90*VLOOKUP($C$11,'PCU Values'!$B$9:$C$16,2,FALSE)</f>
        <v>3</v>
      </c>
      <c r="L90" s="60">
        <f>$D$90*VLOOKUP($D$11,'PCU Values'!$B$9:$C$16,2,FALSE)</f>
        <v>0</v>
      </c>
      <c r="M90" s="60">
        <f>$E$90*VLOOKUP($E$11,'PCU Values'!$B$9:$C$16,2,FALSE)</f>
        <v>1.5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4.5</v>
      </c>
      <c r="T90" s="52">
        <f>SUM($C$90,$D$90,$E$90,$F$90,$G$90,$H$90,$I$90,$J$90)</f>
        <v>4</v>
      </c>
      <c r="U90" s="73">
        <v>50</v>
      </c>
      <c r="V90" s="51">
        <v>10</v>
      </c>
      <c r="W90" s="51">
        <v>0</v>
      </c>
      <c r="X90" s="51">
        <v>0</v>
      </c>
      <c r="Y90" s="51">
        <v>1</v>
      </c>
      <c r="Z90" s="51">
        <v>1</v>
      </c>
      <c r="AA90" s="51">
        <v>1</v>
      </c>
      <c r="AB90" s="59">
        <v>0</v>
      </c>
      <c r="AC90" s="60">
        <f>$U$90*VLOOKUP($U$11,'PCU Values'!$B$9:$C$16,2,FALSE)</f>
        <v>50</v>
      </c>
      <c r="AD90" s="60">
        <f>$V$90*VLOOKUP($V$11,'PCU Values'!$B$9:$C$16,2,FALSE)</f>
        <v>10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2</v>
      </c>
      <c r="AH90" s="60">
        <f>$Z$90*VLOOKUP($Z$11,'PCU Values'!$B$9:$C$16,2,FALSE)</f>
        <v>0.2</v>
      </c>
      <c r="AI90" s="60">
        <f>$AA$90*VLOOKUP($AA$11,'PCU Values'!$B$9:$C$16,2,FALSE)</f>
        <v>0.4</v>
      </c>
      <c r="AJ90" s="68">
        <f>$AB$90*VLOOKUP($AB$11,'PCU Values'!$B$9:$C$16,2,FALSE)</f>
        <v>0</v>
      </c>
      <c r="AK90" s="63">
        <f>SUM($AC$90,$AD$90,$AE$90,$AF$90,$AG$90,$AH$90,$AI$90,$AJ$90)</f>
        <v>62.6</v>
      </c>
      <c r="AL90" s="52">
        <f>SUM($U$90,$V$90,$W$90,$X$90,$Y$90,$Z$90,$AA$90,$AB$90)</f>
        <v>63</v>
      </c>
      <c r="AM90" s="73">
        <v>1</v>
      </c>
      <c r="AN90" s="51">
        <v>0</v>
      </c>
      <c r="AO90" s="51">
        <v>0</v>
      </c>
      <c r="AP90" s="51">
        <v>0</v>
      </c>
      <c r="AQ90" s="51">
        <v>0</v>
      </c>
      <c r="AR90" s="51">
        <v>2</v>
      </c>
      <c r="AS90" s="51">
        <v>0</v>
      </c>
      <c r="AT90" s="59">
        <v>0</v>
      </c>
      <c r="AU90" s="60">
        <f>$AM$90*VLOOKUP($AM$11,'PCU Values'!$B$9:$C$16,2,FALSE)</f>
        <v>1</v>
      </c>
      <c r="AV90" s="60">
        <f>$AN$90*VLOOKUP($AN$11,'PCU Values'!$B$9:$C$16,2,FALSE)</f>
        <v>0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0.4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1.4</v>
      </c>
      <c r="BD90" s="52">
        <f>SUM($AM$90,$AN$90,$AO$90,$AP$90,$AQ$90,$AR$90,$AS$90,$AT$90)</f>
        <v>3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54</v>
      </c>
      <c r="BZ90" s="84">
        <f>SUM($D$90,$V$90,$AN$90,$BF$90)</f>
        <v>10</v>
      </c>
      <c r="CA90" s="84">
        <f>SUM($E$90,$W$90,$AO$90,$BG$90)</f>
        <v>1</v>
      </c>
      <c r="CB90" s="84">
        <f>SUM($F$90,$X$90,$AP$90,$BH$90)</f>
        <v>0</v>
      </c>
      <c r="CC90" s="84">
        <f>SUM($G$90,$Y$90,$AQ$90,$BI$90)</f>
        <v>1</v>
      </c>
      <c r="CD90" s="84">
        <f>SUM($H$90,$Z$90,$AR$90,$BJ$90)</f>
        <v>3</v>
      </c>
      <c r="CE90" s="84">
        <f>SUM($I$90,$AA$90,$AS$90,$BK$90)</f>
        <v>1</v>
      </c>
      <c r="CF90" s="87">
        <f>SUM($J$90,$AB$90,$AT$90,$BL$90)</f>
        <v>0</v>
      </c>
      <c r="CG90" s="79">
        <f>$BY$90*VLOOKUP($BY$11,'PCU Values'!$B$9:$C$16,2,FALSE)</f>
        <v>54</v>
      </c>
      <c r="CH90" s="79">
        <f>$BZ$90*VLOOKUP($BZ$11,'PCU Values'!$B$9:$C$16,2,FALSE)</f>
        <v>10</v>
      </c>
      <c r="CI90" s="79">
        <f>$CA$90*VLOOKUP($CA$11,'PCU Values'!$B$9:$C$16,2,FALSE)</f>
        <v>1.5</v>
      </c>
      <c r="CJ90" s="79">
        <f>$CB$90*VLOOKUP($CB$11,'PCU Values'!$B$9:$C$16,2,FALSE)</f>
        <v>0</v>
      </c>
      <c r="CK90" s="79">
        <f>$CC$90*VLOOKUP($CC$11,'PCU Values'!$B$9:$C$16,2,FALSE)</f>
        <v>2</v>
      </c>
      <c r="CL90" s="79">
        <f>$CD$90*VLOOKUP($CD$11,'PCU Values'!$B$9:$C$16,2,FALSE)</f>
        <v>0.6</v>
      </c>
      <c r="CM90" s="79">
        <f>$CE$90*VLOOKUP($CE$11,'PCU Values'!$B$9:$C$16,2,FALSE)</f>
        <v>0.4</v>
      </c>
      <c r="CN90" s="80">
        <f>$CF$90*VLOOKUP($CF$11,'PCU Values'!$B$9:$C$16,2,FALSE)</f>
        <v>0</v>
      </c>
      <c r="CO90" s="63">
        <f>SUM($CG$90,$CH$90,$CI$90,$CJ$90,$CK$90,$CL$90,$CM$90,$CN$90)</f>
        <v>68.5</v>
      </c>
      <c r="CP90" s="52">
        <f>SUM($BY$90,$BZ$90,$CA$90,$CB$90,$CC$90,$CD$90,$CE$90,$CF$90)</f>
        <v>70</v>
      </c>
      <c r="CQ90" s="90">
        <f>SUM('J1 A - (North) Bishopthorpe Roa'!$U$90,'J1 B - Butcher Terrace'!$C$90,'J1 C - (South) Bishopthorpe Roa'!$BE$90,'J1 D - South Bank Avenue'!$AM$90)</f>
        <v>59</v>
      </c>
      <c r="CR90" s="84">
        <f>SUM('J1 A - (North) Bishopthorpe Roa'!$V$90,'J1 B - Butcher Terrace'!$D$90,'J1 C - (South) Bishopthorpe Roa'!$BF$90,'J1 D - South Bank Avenue'!$AN$90)</f>
        <v>4</v>
      </c>
      <c r="CS90" s="84">
        <f>SUM('J1 A - (North) Bishopthorpe Roa'!$W$90,'J1 B - Butcher Terrace'!$E$90,'J1 C - (South) Bishopthorpe Roa'!$BG$90,'J1 D - South Bank Avenue'!$AO$90)</f>
        <v>0</v>
      </c>
      <c r="CT90" s="84">
        <f>SUM('J1 A - (North) Bishopthorpe Roa'!$X$90,'J1 B - Butcher Terrace'!$F$90,'J1 C - (South) Bishopthorpe Roa'!$BH$90,'J1 D - South Bank Avenue'!$AP$90)</f>
        <v>0</v>
      </c>
      <c r="CU90" s="84">
        <f>SUM('J1 A - (North) Bishopthorpe Roa'!$Y$90,'J1 B - Butcher Terrace'!$G$90,'J1 C - (South) Bishopthorpe Roa'!$BI$90,'J1 D - South Bank Avenue'!$AQ$90)</f>
        <v>0</v>
      </c>
      <c r="CV90" s="84">
        <f>SUM('J1 A - (North) Bishopthorpe Roa'!$Z$90,'J1 B - Butcher Terrace'!$H$90,'J1 C - (South) Bishopthorpe Roa'!$BJ$90,'J1 D - South Bank Avenue'!$AR$90)</f>
        <v>9</v>
      </c>
      <c r="CW90" s="84">
        <f>SUM('J1 A - (North) Bishopthorpe Roa'!$AA$90,'J1 B - Butcher Terrace'!$I$90,'J1 C - (South) Bishopthorpe Roa'!$BK$90,'J1 D - South Bank Avenue'!$AS$90)</f>
        <v>0</v>
      </c>
      <c r="CX90" s="87">
        <f>SUM('J1 A - (North) Bishopthorpe Roa'!$AB$90,'J1 B - Butcher Terrace'!$J$90,'J1 C - (South) Bishopthorpe Roa'!$BL$90,'J1 D - South Bank Avenue'!$AT$90)</f>
        <v>0</v>
      </c>
      <c r="CY90" s="79">
        <f>$CQ$90*VLOOKUP($CQ$11,'PCU Values'!$B$9:$C$16,2,FALSE)</f>
        <v>59</v>
      </c>
      <c r="CZ90" s="79">
        <f>$CR$90*VLOOKUP($CR$11,'PCU Values'!$B$9:$C$16,2,FALSE)</f>
        <v>4</v>
      </c>
      <c r="DA90" s="79">
        <f>$CS$90*VLOOKUP($CS$11,'PCU Values'!$B$9:$C$16,2,FALSE)</f>
        <v>0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1.8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64.8</v>
      </c>
      <c r="DH90" s="52">
        <f>SUM($CQ$90,$CR$90,$CS$90,$CT$90,$CU$90,$CV$90,$CW$90,$CX$90)</f>
        <v>72</v>
      </c>
    </row>
    <row r="91" spans="1:112">
      <c r="B91" s="52" t="s">
        <v>34</v>
      </c>
      <c r="C91" s="52">
        <f>SUM($C$87:$C$90)</f>
        <v>4</v>
      </c>
      <c r="D91" s="52">
        <f>SUM($D$87:$D$90)</f>
        <v>1</v>
      </c>
      <c r="E91" s="52">
        <f>SUM($E$87:$E$90)</f>
        <v>1</v>
      </c>
      <c r="F91" s="52">
        <f>SUM($F$87:$F$90)</f>
        <v>0</v>
      </c>
      <c r="G91" s="52">
        <f>SUM($G$87:$G$90)</f>
        <v>0</v>
      </c>
      <c r="H91" s="52">
        <f>SUM($H$87:$H$90)</f>
        <v>1</v>
      </c>
      <c r="I91" s="52">
        <f>SUM($I$87:$I$90)</f>
        <v>0</v>
      </c>
      <c r="J91" s="52">
        <f>SUM($J$87:$J$90)</f>
        <v>0</v>
      </c>
      <c r="K91" s="52">
        <f>SUM($K$87:$K$90)</f>
        <v>4</v>
      </c>
      <c r="L91" s="52">
        <f>SUM($L$87:$L$90)</f>
        <v>1</v>
      </c>
      <c r="M91" s="52">
        <f>SUM($M$87:$M$90)</f>
        <v>2</v>
      </c>
      <c r="N91" s="52">
        <f>SUM($N$87:$N$90)</f>
        <v>0</v>
      </c>
      <c r="O91" s="52">
        <f>SUM($O$87:$O$90)</f>
        <v>0</v>
      </c>
      <c r="P91" s="52">
        <f>SUM($P$87:$P$90)</f>
        <v>0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7</v>
      </c>
      <c r="T91" s="52">
        <f>SUM($C$91,$D$91,$E$91,$F$91,$G$91,$H$91,$I$91,$J$91)</f>
        <v>7</v>
      </c>
      <c r="U91" s="52">
        <f>SUM($U$87:$U$90)</f>
        <v>201</v>
      </c>
      <c r="V91" s="52">
        <f>SUM($V$87:$V$90)</f>
        <v>25</v>
      </c>
      <c r="W91" s="52">
        <f>SUM($W$87:$W$90)</f>
        <v>2</v>
      </c>
      <c r="X91" s="52">
        <f>SUM($X$87:$X$90)</f>
        <v>0</v>
      </c>
      <c r="Y91" s="52">
        <f>SUM($Y$87:$Y$90)</f>
        <v>4</v>
      </c>
      <c r="Z91" s="52">
        <f>SUM($Z$87:$Z$90)</f>
        <v>13</v>
      </c>
      <c r="AA91" s="52">
        <f>SUM($AA$87:$AA$90)</f>
        <v>2</v>
      </c>
      <c r="AB91" s="52">
        <f>SUM($AB$87:$AB$90)</f>
        <v>0</v>
      </c>
      <c r="AC91" s="52">
        <f>SUM($AC$87:$AC$90)</f>
        <v>201</v>
      </c>
      <c r="AD91" s="52">
        <f>SUM($AD$87:$AD$90)</f>
        <v>25</v>
      </c>
      <c r="AE91" s="52">
        <f>SUM($AE$87:$AE$90)</f>
        <v>3</v>
      </c>
      <c r="AF91" s="52">
        <f>SUM($AF$87:$AF$90)</f>
        <v>0</v>
      </c>
      <c r="AG91" s="52">
        <f>SUM($AG$87:$AG$90)</f>
        <v>8</v>
      </c>
      <c r="AH91" s="52">
        <f>SUM($AH$87:$AH$90)</f>
        <v>3</v>
      </c>
      <c r="AI91" s="52">
        <f>SUM($AI$87:$AI$90)</f>
        <v>1</v>
      </c>
      <c r="AJ91" s="52">
        <f>SUM($AJ$87:$AJ$90)</f>
        <v>0</v>
      </c>
      <c r="AK91" s="52">
        <f>SUM($AC$91,$AD$91,$AE$91,$AF$91,$AG$91,$AH$91,$AI$91,$AJ$91)</f>
        <v>241</v>
      </c>
      <c r="AL91" s="52">
        <f>SUM($U$91,$V$91,$W$91,$X$91,$Y$91,$Z$91,$AA$91,$AB$91)</f>
        <v>247</v>
      </c>
      <c r="AM91" s="52">
        <f>SUM($AM$87:$AM$90)</f>
        <v>4</v>
      </c>
      <c r="AN91" s="52">
        <f>SUM($AN$87:$AN$90)</f>
        <v>2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5</v>
      </c>
      <c r="AS91" s="52">
        <f>SUM($AS$87:$AS$90)</f>
        <v>0</v>
      </c>
      <c r="AT91" s="52">
        <f>SUM($AT$87:$AT$90)</f>
        <v>1</v>
      </c>
      <c r="AU91" s="52">
        <f>SUM($AU$87:$AU$90)</f>
        <v>4</v>
      </c>
      <c r="AV91" s="52">
        <f>SUM($AV$87:$AV$90)</f>
        <v>2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1</v>
      </c>
      <c r="BA91" s="52">
        <f>SUM($BA$87:$BA$90)</f>
        <v>0</v>
      </c>
      <c r="BB91" s="52">
        <f>SUM($BB$87:$BB$90)</f>
        <v>2</v>
      </c>
      <c r="BC91" s="52">
        <f>SUM($AU$91,$AV$91,$AW$91,$AX$91,$AY$91,$AZ$91,$BA$91,$BB$91)</f>
        <v>9</v>
      </c>
      <c r="BD91" s="52">
        <f>SUM($AM$91,$AN$91,$AO$91,$AP$91,$AQ$91,$AR$91,$AS$91,$AT$91)</f>
        <v>12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209</v>
      </c>
      <c r="BZ91" s="52">
        <f>SUM($BZ$87:$BZ$90)</f>
        <v>28</v>
      </c>
      <c r="CA91" s="52">
        <f>SUM($CA$87:$CA$90)</f>
        <v>3</v>
      </c>
      <c r="CB91" s="52">
        <f>SUM($CB$87:$CB$90)</f>
        <v>0</v>
      </c>
      <c r="CC91" s="52">
        <f>SUM($CC$87:$CC$90)</f>
        <v>4</v>
      </c>
      <c r="CD91" s="52">
        <f>SUM($CD$87:$CD$90)</f>
        <v>19</v>
      </c>
      <c r="CE91" s="52">
        <f>SUM($CE$87:$CE$90)</f>
        <v>2</v>
      </c>
      <c r="CF91" s="52">
        <f>SUM($CF$87:$CF$90)</f>
        <v>1</v>
      </c>
      <c r="CG91" s="52">
        <f>SUM($CG$87:$CG$90)</f>
        <v>209</v>
      </c>
      <c r="CH91" s="52">
        <f>SUM($CH$87:$CH$90)</f>
        <v>28</v>
      </c>
      <c r="CI91" s="52">
        <f>SUM($CI$87:$CI$90)</f>
        <v>5</v>
      </c>
      <c r="CJ91" s="52">
        <f>SUM($CJ$87:$CJ$90)</f>
        <v>0</v>
      </c>
      <c r="CK91" s="52">
        <f>SUM($CK$87:$CK$90)</f>
        <v>8</v>
      </c>
      <c r="CL91" s="52">
        <f>SUM($CL$87:$CL$90)</f>
        <v>4</v>
      </c>
      <c r="CM91" s="52">
        <f>SUM($CM$87:$CM$90)</f>
        <v>1</v>
      </c>
      <c r="CN91" s="52">
        <f>SUM($CN$87:$CN$90)</f>
        <v>2</v>
      </c>
      <c r="CO91" s="52">
        <f>SUM($CG$91,$CH$91,$CI$91,$CJ$91,$CK$91,$CL$91,$CM$91,$CN$91)</f>
        <v>257</v>
      </c>
      <c r="CP91" s="52">
        <f>SUM($BY$91,$BZ$91,$CA$91,$CB$91,$CC$91,$CD$91,$CE$91,$CF$91)</f>
        <v>266</v>
      </c>
      <c r="CQ91" s="52">
        <f>SUM($CQ$87:$CQ$90)</f>
        <v>261</v>
      </c>
      <c r="CR91" s="52">
        <f>SUM($CR$87:$CR$90)</f>
        <v>27</v>
      </c>
      <c r="CS91" s="52">
        <f>SUM($CS$87:$CS$90)</f>
        <v>1</v>
      </c>
      <c r="CT91" s="52">
        <f>SUM($CT$87:$CT$90)</f>
        <v>0</v>
      </c>
      <c r="CU91" s="52">
        <f>SUM($CU$87:$CU$90)</f>
        <v>4</v>
      </c>
      <c r="CV91" s="52">
        <f>SUM($CV$87:$CV$90)</f>
        <v>25</v>
      </c>
      <c r="CW91" s="52">
        <f>SUM($CW$87:$CW$90)</f>
        <v>2</v>
      </c>
      <c r="CX91" s="52">
        <f>SUM($CX$87:$CX$90)</f>
        <v>0</v>
      </c>
      <c r="CY91" s="52">
        <f>SUM($CY$87:$CY$90)</f>
        <v>261</v>
      </c>
      <c r="CZ91" s="52">
        <f>SUM($CZ$87:$CZ$90)</f>
        <v>27</v>
      </c>
      <c r="DA91" s="52">
        <f>SUM($DA$87:$DA$90)</f>
        <v>2</v>
      </c>
      <c r="DB91" s="52">
        <f>SUM($DB$87:$DB$90)</f>
        <v>0</v>
      </c>
      <c r="DC91" s="52">
        <f>SUM($DC$87:$DC$90)</f>
        <v>8</v>
      </c>
      <c r="DD91" s="52">
        <f>SUM($DD$87:$DD$90)</f>
        <v>5</v>
      </c>
      <c r="DE91" s="52">
        <f>SUM($DE$87:$DE$90)</f>
        <v>1</v>
      </c>
      <c r="DF91" s="52">
        <f>SUM($DF$87:$DF$90)</f>
        <v>0</v>
      </c>
      <c r="DG91" s="52">
        <f>SUM($CY$91,$CZ$91,$DA$91,$DB$91,$DC$91,$DD$91,$DE$91,$DF$91)</f>
        <v>304</v>
      </c>
      <c r="DH91" s="52">
        <f>SUM($CQ$91,$CR$91,$CS$91,$CT$91,$CU$91,$CV$91,$CW$91,$CX$91)</f>
        <v>320</v>
      </c>
    </row>
    <row r="92" spans="1:112" ht="21" customHeight="1">
      <c r="A92" s="46">
        <v>44395.666666666701</v>
      </c>
      <c r="B92" s="53" t="s">
        <v>95</v>
      </c>
      <c r="C92" s="54">
        <v>2</v>
      </c>
      <c r="D92" s="54">
        <v>0</v>
      </c>
      <c r="E92" s="54">
        <v>0</v>
      </c>
      <c r="F92" s="54">
        <v>0</v>
      </c>
      <c r="G92" s="54">
        <v>0</v>
      </c>
      <c r="H92" s="54">
        <v>0</v>
      </c>
      <c r="I92" s="54">
        <v>0</v>
      </c>
      <c r="J92" s="61">
        <v>0</v>
      </c>
      <c r="K92" s="62">
        <f>$C$92*VLOOKUP($C$11,'PCU Values'!$B$9:$C$16,2,FALSE)</f>
        <v>2</v>
      </c>
      <c r="L92" s="62">
        <f>$D$92*VLOOKUP($D$11,'PCU Values'!$B$9:$C$16,2,FALSE)</f>
        <v>0</v>
      </c>
      <c r="M92" s="62">
        <f>$E$92*VLOOKUP($E$11,'PCU Values'!$B$9:$C$16,2,FALSE)</f>
        <v>0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2</v>
      </c>
      <c r="T92" s="52">
        <f>SUM($C$92,$D$92,$E$92,$F$92,$G$92,$H$92,$I$92,$J$92)</f>
        <v>2</v>
      </c>
      <c r="U92" s="72">
        <v>31</v>
      </c>
      <c r="V92" s="54">
        <v>5</v>
      </c>
      <c r="W92" s="54">
        <v>1</v>
      </c>
      <c r="X92" s="54">
        <v>0</v>
      </c>
      <c r="Y92" s="54">
        <v>1</v>
      </c>
      <c r="Z92" s="54">
        <v>1</v>
      </c>
      <c r="AA92" s="54">
        <v>0</v>
      </c>
      <c r="AB92" s="61">
        <v>0</v>
      </c>
      <c r="AC92" s="62">
        <f>$U$92*VLOOKUP($U$11,'PCU Values'!$B$9:$C$16,2,FALSE)</f>
        <v>31</v>
      </c>
      <c r="AD92" s="62">
        <f>$V$92*VLOOKUP($V$11,'PCU Values'!$B$9:$C$16,2,FALSE)</f>
        <v>5</v>
      </c>
      <c r="AE92" s="62">
        <f>$W$92*VLOOKUP($W$11,'PCU Values'!$B$9:$C$16,2,FALSE)</f>
        <v>1.5</v>
      </c>
      <c r="AF92" s="62">
        <f>$X$92*VLOOKUP($X$11,'PCU Values'!$B$9:$C$16,2,FALSE)</f>
        <v>0</v>
      </c>
      <c r="AG92" s="62">
        <f>$Y$92*VLOOKUP($Y$11,'PCU Values'!$B$9:$C$16,2,FALSE)</f>
        <v>2</v>
      </c>
      <c r="AH92" s="62">
        <f>$Z$92*VLOOKUP($Z$11,'PCU Values'!$B$9:$C$16,2,FALSE)</f>
        <v>0.2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39.700000000000003</v>
      </c>
      <c r="AL92" s="52">
        <f>SUM($U$92,$V$92,$W$92,$X$92,$Y$92,$Z$92,$AA$92,$AB$92)</f>
        <v>39</v>
      </c>
      <c r="AM92" s="72">
        <v>2</v>
      </c>
      <c r="AN92" s="54">
        <v>1</v>
      </c>
      <c r="AO92" s="54">
        <v>0</v>
      </c>
      <c r="AP92" s="54">
        <v>0</v>
      </c>
      <c r="AQ92" s="54">
        <v>0</v>
      </c>
      <c r="AR92" s="54">
        <v>1</v>
      </c>
      <c r="AS92" s="54">
        <v>0</v>
      </c>
      <c r="AT92" s="61">
        <v>0</v>
      </c>
      <c r="AU92" s="62">
        <f>$AM$92*VLOOKUP($AM$11,'PCU Values'!$B$9:$C$16,2,FALSE)</f>
        <v>2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0.2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3.2</v>
      </c>
      <c r="BD92" s="52">
        <f>SUM($AM$92,$AN$92,$AO$92,$AP$92,$AQ$92,$AR$92,$AS$92,$AT$92)</f>
        <v>4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35</v>
      </c>
      <c r="BZ92" s="85">
        <f>SUM($D$92,$V$92,$AN$92,$BF$92)</f>
        <v>6</v>
      </c>
      <c r="CA92" s="85">
        <f>SUM($E$92,$W$92,$AO$92,$BG$92)</f>
        <v>1</v>
      </c>
      <c r="CB92" s="85">
        <f>SUM($F$92,$X$92,$AP$92,$BH$92)</f>
        <v>0</v>
      </c>
      <c r="CC92" s="85">
        <f>SUM($G$92,$Y$92,$AQ$92,$BI$92)</f>
        <v>1</v>
      </c>
      <c r="CD92" s="85">
        <f>SUM($H$92,$Z$92,$AR$92,$BJ$92)</f>
        <v>2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35</v>
      </c>
      <c r="CH92" s="81">
        <f>$BZ$92*VLOOKUP($BZ$11,'PCU Values'!$B$9:$C$16,2,FALSE)</f>
        <v>6</v>
      </c>
      <c r="CI92" s="81">
        <f>$CA$92*VLOOKUP($CA$11,'PCU Values'!$B$9:$C$16,2,FALSE)</f>
        <v>1.5</v>
      </c>
      <c r="CJ92" s="81">
        <f>$CB$92*VLOOKUP($CB$11,'PCU Values'!$B$9:$C$16,2,FALSE)</f>
        <v>0</v>
      </c>
      <c r="CK92" s="81">
        <f>$CC$92*VLOOKUP($CC$11,'PCU Values'!$B$9:$C$16,2,FALSE)</f>
        <v>2</v>
      </c>
      <c r="CL92" s="81">
        <f>$CD$92*VLOOKUP($CD$11,'PCU Values'!$B$9:$C$16,2,FALSE)</f>
        <v>0.4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44.9</v>
      </c>
      <c r="CP92" s="52">
        <f>SUM($BY$92,$BZ$92,$CA$92,$CB$92,$CC$92,$CD$92,$CE$92,$CF$92)</f>
        <v>45</v>
      </c>
      <c r="CQ92" s="91">
        <f>SUM('J1 A - (North) Bishopthorpe Roa'!$U$92,'J1 B - Butcher Terrace'!$C$92,'J1 C - (South) Bishopthorpe Roa'!$BE$92,'J1 D - South Bank Avenue'!$AM$92)</f>
        <v>67</v>
      </c>
      <c r="CR92" s="85">
        <f>SUM('J1 A - (North) Bishopthorpe Roa'!$V$92,'J1 B - Butcher Terrace'!$D$92,'J1 C - (South) Bishopthorpe Roa'!$BF$92,'J1 D - South Bank Avenue'!$AN$92)</f>
        <v>8</v>
      </c>
      <c r="CS92" s="85">
        <f>SUM('J1 A - (North) Bishopthorpe Roa'!$W$92,'J1 B - Butcher Terrace'!$E$92,'J1 C - (South) Bishopthorpe Roa'!$BG$92,'J1 D - South Bank Avenue'!$AO$92)</f>
        <v>1</v>
      </c>
      <c r="CT92" s="85">
        <f>SUM('J1 A - (North) Bishopthorpe Roa'!$X$92,'J1 B - Butcher Terrace'!$F$92,'J1 C - (South) Bishopthorpe Roa'!$BH$92,'J1 D - South Bank Avenue'!$AP$92)</f>
        <v>0</v>
      </c>
      <c r="CU92" s="85">
        <f>SUM('J1 A - (North) Bishopthorpe Roa'!$Y$92,'J1 B - Butcher Terrace'!$G$92,'J1 C - (South) Bishopthorpe Roa'!$BI$92,'J1 D - South Bank Avenue'!$AQ$92)</f>
        <v>1</v>
      </c>
      <c r="CV92" s="85">
        <f>SUM('J1 A - (North) Bishopthorpe Roa'!$Z$92,'J1 B - Butcher Terrace'!$H$92,'J1 C - (South) Bishopthorpe Roa'!$BJ$92,'J1 D - South Bank Avenue'!$AR$92)</f>
        <v>8</v>
      </c>
      <c r="CW92" s="85">
        <f>SUM('J1 A - (North) Bishopthorpe Roa'!$AA$92,'J1 B - Butcher Terrace'!$I$92,'J1 C - (South) Bishopthorpe Roa'!$BK$92,'J1 D - South Bank Avenue'!$AS$92)</f>
        <v>1</v>
      </c>
      <c r="CX92" s="88">
        <f>SUM('J1 A - (North) Bishopthorpe Roa'!$AB$92,'J1 B - Butcher Terrace'!$J$92,'J1 C - (South) Bishopthorpe Roa'!$BL$92,'J1 D - South Bank Avenue'!$AT$92)</f>
        <v>0</v>
      </c>
      <c r="CY92" s="81">
        <f>$CQ$92*VLOOKUP($CQ$11,'PCU Values'!$B$9:$C$16,2,FALSE)</f>
        <v>67</v>
      </c>
      <c r="CZ92" s="81">
        <f>$CR$92*VLOOKUP($CR$11,'PCU Values'!$B$9:$C$16,2,FALSE)</f>
        <v>8</v>
      </c>
      <c r="DA92" s="81">
        <f>$CS$92*VLOOKUP($CS$11,'PCU Values'!$B$9:$C$16,2,FALSE)</f>
        <v>1.5</v>
      </c>
      <c r="DB92" s="81">
        <f>$CT$92*VLOOKUP($CT$11,'PCU Values'!$B$9:$C$16,2,FALSE)</f>
        <v>0</v>
      </c>
      <c r="DC92" s="81">
        <f>$CU$92*VLOOKUP($CU$11,'PCU Values'!$B$9:$C$16,2,FALSE)</f>
        <v>2</v>
      </c>
      <c r="DD92" s="81">
        <f>$CV$92*VLOOKUP($CV$11,'PCU Values'!$B$9:$C$16,2,FALSE)</f>
        <v>1.6</v>
      </c>
      <c r="DE92" s="81">
        <f>$CW$92*VLOOKUP($CW$11,'PCU Values'!$B$9:$C$16,2,FALSE)</f>
        <v>0.4</v>
      </c>
      <c r="DF92" s="82">
        <f>$CX$92*VLOOKUP($CX$11,'PCU Values'!$B$9:$C$16,2,FALSE)</f>
        <v>0</v>
      </c>
      <c r="DG92" s="71">
        <f>SUM($CY$92,$CZ$92,$DA$92,$DB$92,$DC$92,$DD$92,$DE$92,$DF$92)</f>
        <v>80.5</v>
      </c>
      <c r="DH92" s="52">
        <f>SUM($CQ$92,$CR$92,$CS$92,$CT$92,$CU$92,$CV$92,$CW$92,$CX$92)</f>
        <v>86</v>
      </c>
    </row>
    <row r="93" spans="1:112" ht="21" customHeight="1">
      <c r="A93" s="46">
        <v>44395.677083333299</v>
      </c>
      <c r="B93" s="47" t="s">
        <v>96</v>
      </c>
      <c r="C93" s="48">
        <v>5</v>
      </c>
      <c r="D93" s="48">
        <v>1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56">
        <v>0</v>
      </c>
      <c r="K93" s="57">
        <f>$C$93*VLOOKUP($C$11,'PCU Values'!$B$9:$C$16,2,FALSE)</f>
        <v>5</v>
      </c>
      <c r="L93" s="57">
        <f>$D$93*VLOOKUP($D$11,'PCU Values'!$B$9:$C$16,2,FALSE)</f>
        <v>1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6</v>
      </c>
      <c r="T93" s="52">
        <f>SUM($C$93,$D$93,$E$93,$F$93,$G$93,$H$93,$I$93,$J$93)</f>
        <v>6</v>
      </c>
      <c r="U93" s="67">
        <v>39</v>
      </c>
      <c r="V93" s="48">
        <v>1</v>
      </c>
      <c r="W93" s="48">
        <v>0</v>
      </c>
      <c r="X93" s="48">
        <v>0</v>
      </c>
      <c r="Y93" s="48">
        <v>0</v>
      </c>
      <c r="Z93" s="48">
        <v>4</v>
      </c>
      <c r="AA93" s="48">
        <v>1</v>
      </c>
      <c r="AB93" s="56">
        <v>0</v>
      </c>
      <c r="AC93" s="57">
        <f>$U$93*VLOOKUP($U$11,'PCU Values'!$B$9:$C$16,2,FALSE)</f>
        <v>39</v>
      </c>
      <c r="AD93" s="57">
        <f>$V$93*VLOOKUP($V$11,'PCU Values'!$B$9:$C$16,2,FALSE)</f>
        <v>1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0.8</v>
      </c>
      <c r="AI93" s="57">
        <f>$AA$93*VLOOKUP($AA$11,'PCU Values'!$B$9:$C$16,2,FALSE)</f>
        <v>0.4</v>
      </c>
      <c r="AJ93" s="65">
        <f>$AB$93*VLOOKUP($AB$11,'PCU Values'!$B$9:$C$16,2,FALSE)</f>
        <v>0</v>
      </c>
      <c r="AK93" s="66">
        <f>SUM($AC$93,$AD$93,$AE$93,$AF$93,$AG$93,$AH$93,$AI$93,$AJ$93)</f>
        <v>41.2</v>
      </c>
      <c r="AL93" s="52">
        <f>SUM($U$93,$V$93,$W$93,$X$93,$Y$93,$Z$93,$AA$93,$AB$93)</f>
        <v>45</v>
      </c>
      <c r="AM93" s="67">
        <v>1</v>
      </c>
      <c r="AN93" s="48">
        <v>0</v>
      </c>
      <c r="AO93" s="48">
        <v>0</v>
      </c>
      <c r="AP93" s="48">
        <v>0</v>
      </c>
      <c r="AQ93" s="48">
        <v>0</v>
      </c>
      <c r="AR93" s="48">
        <v>1</v>
      </c>
      <c r="AS93" s="48">
        <v>0</v>
      </c>
      <c r="AT93" s="56">
        <v>0</v>
      </c>
      <c r="AU93" s="57">
        <f>$AM$93*VLOOKUP($AM$11,'PCU Values'!$B$9:$C$16,2,FALSE)</f>
        <v>1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0.2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1.2</v>
      </c>
      <c r="BD93" s="52">
        <f>SUM($AM$93,$AN$93,$AO$93,$AP$93,$AQ$93,$AR$93,$AS$93,$AT$93)</f>
        <v>2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45</v>
      </c>
      <c r="BZ93" s="83">
        <f>SUM($D$93,$V$93,$AN$93,$BF$93)</f>
        <v>2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5</v>
      </c>
      <c r="CE93" s="83">
        <f>SUM($I$93,$AA$93,$AS$93,$BK$93)</f>
        <v>1</v>
      </c>
      <c r="CF93" s="86">
        <f>SUM($J$93,$AB$93,$AT$93,$BL$93)</f>
        <v>0</v>
      </c>
      <c r="CG93" s="77">
        <f>$BY$93*VLOOKUP($BY$11,'PCU Values'!$B$9:$C$16,2,FALSE)</f>
        <v>45</v>
      </c>
      <c r="CH93" s="77">
        <f>$BZ$93*VLOOKUP($BZ$11,'PCU Values'!$B$9:$C$16,2,FALSE)</f>
        <v>2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1</v>
      </c>
      <c r="CM93" s="77">
        <f>$CE$93*VLOOKUP($CE$11,'PCU Values'!$B$9:$C$16,2,FALSE)</f>
        <v>0.4</v>
      </c>
      <c r="CN93" s="78">
        <f>$CF$93*VLOOKUP($CF$11,'PCU Values'!$B$9:$C$16,2,FALSE)</f>
        <v>0</v>
      </c>
      <c r="CO93" s="66">
        <f>SUM($CG$93,$CH$93,$CI$93,$CJ$93,$CK$93,$CL$93,$CM$93,$CN$93)</f>
        <v>48.4</v>
      </c>
      <c r="CP93" s="52">
        <f>SUM($BY$93,$BZ$93,$CA$93,$CB$93,$CC$93,$CD$93,$CE$93,$CF$93)</f>
        <v>53</v>
      </c>
      <c r="CQ93" s="89">
        <f>SUM('J1 A - (North) Bishopthorpe Roa'!$U$93,'J1 B - Butcher Terrace'!$C$93,'J1 C - (South) Bishopthorpe Roa'!$BE$93,'J1 D - South Bank Avenue'!$AM$93)</f>
        <v>78</v>
      </c>
      <c r="CR93" s="83">
        <f>SUM('J1 A - (North) Bishopthorpe Roa'!$V$93,'J1 B - Butcher Terrace'!$D$93,'J1 C - (South) Bishopthorpe Roa'!$BF$93,'J1 D - South Bank Avenue'!$AN$93)</f>
        <v>7</v>
      </c>
      <c r="CS93" s="83">
        <f>SUM('J1 A - (North) Bishopthorpe Roa'!$W$93,'J1 B - Butcher Terrace'!$E$93,'J1 C - (South) Bishopthorpe Roa'!$BG$93,'J1 D - South Bank Avenue'!$AO$93)</f>
        <v>0</v>
      </c>
      <c r="CT93" s="83">
        <f>SUM('J1 A - (North) Bishopthorpe Roa'!$X$93,'J1 B - Butcher Terrace'!$F$93,'J1 C - (South) Bishopthorpe Roa'!$BH$93,'J1 D - South Bank Avenue'!$AP$93)</f>
        <v>0</v>
      </c>
      <c r="CU93" s="83">
        <f>SUM('J1 A - (North) Bishopthorpe Roa'!$Y$93,'J1 B - Butcher Terrace'!$G$93,'J1 C - (South) Bishopthorpe Roa'!$BI$93,'J1 D - South Bank Avenue'!$AQ$93)</f>
        <v>0</v>
      </c>
      <c r="CV93" s="83">
        <f>SUM('J1 A - (North) Bishopthorpe Roa'!$Z$93,'J1 B - Butcher Terrace'!$H$93,'J1 C - (South) Bishopthorpe Roa'!$BJ$93,'J1 D - South Bank Avenue'!$AR$93)</f>
        <v>6</v>
      </c>
      <c r="CW93" s="83">
        <f>SUM('J1 A - (North) Bishopthorpe Roa'!$AA$93,'J1 B - Butcher Terrace'!$I$93,'J1 C - (South) Bishopthorpe Roa'!$BK$93,'J1 D - South Bank Avenue'!$AS$93)</f>
        <v>1</v>
      </c>
      <c r="CX93" s="86">
        <f>SUM('J1 A - (North) Bishopthorpe Roa'!$AB$93,'J1 B - Butcher Terrace'!$J$93,'J1 C - (South) Bishopthorpe Roa'!$BL$93,'J1 D - South Bank Avenue'!$AT$93)</f>
        <v>0</v>
      </c>
      <c r="CY93" s="77">
        <f>$CQ$93*VLOOKUP($CQ$11,'PCU Values'!$B$9:$C$16,2,FALSE)</f>
        <v>78</v>
      </c>
      <c r="CZ93" s="77">
        <f>$CR$93*VLOOKUP($CR$11,'PCU Values'!$B$9:$C$16,2,FALSE)</f>
        <v>7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1.2</v>
      </c>
      <c r="DE93" s="77">
        <f>$CW$93*VLOOKUP($CW$11,'PCU Values'!$B$9:$C$16,2,FALSE)</f>
        <v>0.4</v>
      </c>
      <c r="DF93" s="78">
        <f>$CX$93*VLOOKUP($CX$11,'PCU Values'!$B$9:$C$16,2,FALSE)</f>
        <v>0</v>
      </c>
      <c r="DG93" s="66">
        <f>SUM($CY$93,$CZ$93,$DA$93,$DB$93,$DC$93,$DD$93,$DE$93,$DF$93)</f>
        <v>86.6</v>
      </c>
      <c r="DH93" s="52">
        <f>SUM($CQ$93,$CR$93,$CS$93,$CT$93,$CU$93,$CV$93,$CW$93,$CX$93)</f>
        <v>92</v>
      </c>
    </row>
    <row r="94" spans="1:112" ht="21" customHeight="1">
      <c r="A94" s="46">
        <v>44395.6875</v>
      </c>
      <c r="B94" s="47" t="s">
        <v>97</v>
      </c>
      <c r="C94" s="48">
        <v>5</v>
      </c>
      <c r="D94" s="48">
        <v>0</v>
      </c>
      <c r="E94" s="48">
        <v>0</v>
      </c>
      <c r="F94" s="48">
        <v>0</v>
      </c>
      <c r="G94" s="48">
        <v>0</v>
      </c>
      <c r="H94" s="48">
        <v>2</v>
      </c>
      <c r="I94" s="48">
        <v>0</v>
      </c>
      <c r="J94" s="56">
        <v>0</v>
      </c>
      <c r="K94" s="57">
        <f>$C$94*VLOOKUP($C$11,'PCU Values'!$B$9:$C$16,2,FALSE)</f>
        <v>5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0.4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5.4</v>
      </c>
      <c r="T94" s="52">
        <f>SUM($C$94,$D$94,$E$94,$F$94,$G$94,$H$94,$I$94,$J$94)</f>
        <v>7</v>
      </c>
      <c r="U94" s="67">
        <v>48</v>
      </c>
      <c r="V94" s="48">
        <v>1</v>
      </c>
      <c r="W94" s="48">
        <v>1</v>
      </c>
      <c r="X94" s="48">
        <v>0</v>
      </c>
      <c r="Y94" s="48">
        <v>2</v>
      </c>
      <c r="Z94" s="48">
        <v>5</v>
      </c>
      <c r="AA94" s="48">
        <v>0</v>
      </c>
      <c r="AB94" s="56">
        <v>0</v>
      </c>
      <c r="AC94" s="57">
        <f>$U$94*VLOOKUP($U$11,'PCU Values'!$B$9:$C$16,2,FALSE)</f>
        <v>48</v>
      </c>
      <c r="AD94" s="57">
        <f>$V$94*VLOOKUP($V$11,'PCU Values'!$B$9:$C$16,2,FALSE)</f>
        <v>1</v>
      </c>
      <c r="AE94" s="57">
        <f>$W$94*VLOOKUP($W$11,'PCU Values'!$B$9:$C$16,2,FALSE)</f>
        <v>1.5</v>
      </c>
      <c r="AF94" s="57">
        <f>$X$94*VLOOKUP($X$11,'PCU Values'!$B$9:$C$16,2,FALSE)</f>
        <v>0</v>
      </c>
      <c r="AG94" s="57">
        <f>$Y$94*VLOOKUP($Y$11,'PCU Values'!$B$9:$C$16,2,FALSE)</f>
        <v>4</v>
      </c>
      <c r="AH94" s="57">
        <f>$Z$94*VLOOKUP($Z$11,'PCU Values'!$B$9:$C$16,2,FALSE)</f>
        <v>1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55.5</v>
      </c>
      <c r="AL94" s="52">
        <f>SUM($U$94,$V$94,$W$94,$X$94,$Y$94,$Z$94,$AA$94,$AB$94)</f>
        <v>57</v>
      </c>
      <c r="AM94" s="67">
        <v>1</v>
      </c>
      <c r="AN94" s="48">
        <v>1</v>
      </c>
      <c r="AO94" s="48">
        <v>0</v>
      </c>
      <c r="AP94" s="48">
        <v>0</v>
      </c>
      <c r="AQ94" s="48">
        <v>0</v>
      </c>
      <c r="AR94" s="48">
        <v>1</v>
      </c>
      <c r="AS94" s="48">
        <v>0</v>
      </c>
      <c r="AT94" s="56">
        <v>0</v>
      </c>
      <c r="AU94" s="57">
        <f>$AM$94*VLOOKUP($AM$11,'PCU Values'!$B$9:$C$16,2,FALSE)</f>
        <v>1</v>
      </c>
      <c r="AV94" s="57">
        <f>$AN$94*VLOOKUP($AN$11,'PCU Values'!$B$9:$C$16,2,FALSE)</f>
        <v>1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0.2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2.2000000000000002</v>
      </c>
      <c r="BD94" s="52">
        <f>SUM($AM$94,$AN$94,$AO$94,$AP$94,$AQ$94,$AR$94,$AS$94,$AT$94)</f>
        <v>3</v>
      </c>
      <c r="BE94" s="67">
        <v>1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1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1</v>
      </c>
      <c r="BV94" s="52">
        <f>SUM($BE$94,$BF$94,$BG$94,$BH$94,$BI$94,$BJ$94,$BK$94,$BL$94)</f>
        <v>1</v>
      </c>
      <c r="BX94" s="47" t="s">
        <v>97</v>
      </c>
      <c r="BY94" s="83">
        <f>SUM($C$94,$U$94,$AM$94,$BE$94)</f>
        <v>55</v>
      </c>
      <c r="BZ94" s="83">
        <f>SUM($D$94,$V$94,$AN$94,$BF$94)</f>
        <v>2</v>
      </c>
      <c r="CA94" s="83">
        <f>SUM($E$94,$W$94,$AO$94,$BG$94)</f>
        <v>1</v>
      </c>
      <c r="CB94" s="83">
        <f>SUM($F$94,$X$94,$AP$94,$BH$94)</f>
        <v>0</v>
      </c>
      <c r="CC94" s="83">
        <f>SUM($G$94,$Y$94,$AQ$94,$BI$94)</f>
        <v>2</v>
      </c>
      <c r="CD94" s="83">
        <f>SUM($H$94,$Z$94,$AR$94,$BJ$94)</f>
        <v>8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55</v>
      </c>
      <c r="CH94" s="77">
        <f>$BZ$94*VLOOKUP($BZ$11,'PCU Values'!$B$9:$C$16,2,FALSE)</f>
        <v>2</v>
      </c>
      <c r="CI94" s="77">
        <f>$CA$94*VLOOKUP($CA$11,'PCU Values'!$B$9:$C$16,2,FALSE)</f>
        <v>1.5</v>
      </c>
      <c r="CJ94" s="77">
        <f>$CB$94*VLOOKUP($CB$11,'PCU Values'!$B$9:$C$16,2,FALSE)</f>
        <v>0</v>
      </c>
      <c r="CK94" s="77">
        <f>$CC$94*VLOOKUP($CC$11,'PCU Values'!$B$9:$C$16,2,FALSE)</f>
        <v>4</v>
      </c>
      <c r="CL94" s="77">
        <f>$CD$94*VLOOKUP($CD$11,'PCU Values'!$B$9:$C$16,2,FALSE)</f>
        <v>1.6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64.099999999999994</v>
      </c>
      <c r="CP94" s="52">
        <f>SUM($BY$94,$BZ$94,$CA$94,$CB$94,$CC$94,$CD$94,$CE$94,$CF$94)</f>
        <v>68</v>
      </c>
      <c r="CQ94" s="89">
        <f>SUM('J1 A - (North) Bishopthorpe Roa'!$U$94,'J1 B - Butcher Terrace'!$C$94,'J1 C - (South) Bishopthorpe Roa'!$BE$94,'J1 D - South Bank Avenue'!$AM$94)</f>
        <v>60</v>
      </c>
      <c r="CR94" s="83">
        <f>SUM('J1 A - (North) Bishopthorpe Roa'!$V$94,'J1 B - Butcher Terrace'!$D$94,'J1 C - (South) Bishopthorpe Roa'!$BF$94,'J1 D - South Bank Avenue'!$AN$94)</f>
        <v>4</v>
      </c>
      <c r="CS94" s="83">
        <f>SUM('J1 A - (North) Bishopthorpe Roa'!$W$94,'J1 B - Butcher Terrace'!$E$94,'J1 C - (South) Bishopthorpe Roa'!$BG$94,'J1 D - South Bank Avenue'!$AO$94)</f>
        <v>0</v>
      </c>
      <c r="CT94" s="83">
        <f>SUM('J1 A - (North) Bishopthorpe Roa'!$X$94,'J1 B - Butcher Terrace'!$F$94,'J1 C - (South) Bishopthorpe Roa'!$BH$94,'J1 D - South Bank Avenue'!$AP$94)</f>
        <v>0</v>
      </c>
      <c r="CU94" s="83">
        <f>SUM('J1 A - (North) Bishopthorpe Roa'!$Y$94,'J1 B - Butcher Terrace'!$G$94,'J1 C - (South) Bishopthorpe Roa'!$BI$94,'J1 D - South Bank Avenue'!$AQ$94)</f>
        <v>1</v>
      </c>
      <c r="CV94" s="83">
        <f>SUM('J1 A - (North) Bishopthorpe Roa'!$Z$94,'J1 B - Butcher Terrace'!$H$94,'J1 C - (South) Bishopthorpe Roa'!$BJ$94,'J1 D - South Bank Avenue'!$AR$94)</f>
        <v>3</v>
      </c>
      <c r="CW94" s="83">
        <f>SUM('J1 A - (North) Bishopthorpe Roa'!$AA$94,'J1 B - Butcher Terrace'!$I$94,'J1 C - (South) Bishopthorpe Roa'!$BK$94,'J1 D - South Bank Avenue'!$AS$94)</f>
        <v>0</v>
      </c>
      <c r="CX94" s="86">
        <f>SUM('J1 A - (North) Bishopthorpe Roa'!$AB$94,'J1 B - Butcher Terrace'!$J$94,'J1 C - (South) Bishopthorpe Roa'!$BL$94,'J1 D - South Bank Avenue'!$AT$94)</f>
        <v>0</v>
      </c>
      <c r="CY94" s="77">
        <f>$CQ$94*VLOOKUP($CQ$11,'PCU Values'!$B$9:$C$16,2,FALSE)</f>
        <v>60</v>
      </c>
      <c r="CZ94" s="77">
        <f>$CR$94*VLOOKUP($CR$11,'PCU Values'!$B$9:$C$16,2,FALSE)</f>
        <v>4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2</v>
      </c>
      <c r="DD94" s="77">
        <f>$CV$94*VLOOKUP($CV$11,'PCU Values'!$B$9:$C$16,2,FALSE)</f>
        <v>0.6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66.599999999999994</v>
      </c>
      <c r="DH94" s="52">
        <f>SUM($CQ$94,$CR$94,$CS$94,$CT$94,$CU$94,$CV$94,$CW$94,$CX$94)</f>
        <v>68</v>
      </c>
    </row>
    <row r="95" spans="1:112" ht="21" customHeight="1">
      <c r="A95" s="46">
        <v>44395.697916666701</v>
      </c>
      <c r="B95" s="50" t="s">
        <v>98</v>
      </c>
      <c r="C95" s="51">
        <v>4</v>
      </c>
      <c r="D95" s="51">
        <v>0</v>
      </c>
      <c r="E95" s="51">
        <v>0</v>
      </c>
      <c r="F95" s="51">
        <v>0</v>
      </c>
      <c r="G95" s="51">
        <v>0</v>
      </c>
      <c r="H95" s="51">
        <v>0</v>
      </c>
      <c r="I95" s="51">
        <v>0</v>
      </c>
      <c r="J95" s="59">
        <v>0</v>
      </c>
      <c r="K95" s="60">
        <f>$C$95*VLOOKUP($C$11,'PCU Values'!$B$9:$C$16,2,FALSE)</f>
        <v>4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4</v>
      </c>
      <c r="T95" s="52">
        <f>SUM($C$95,$D$95,$E$95,$F$95,$G$95,$H$95,$I$95,$J$95)</f>
        <v>4</v>
      </c>
      <c r="U95" s="73">
        <v>39</v>
      </c>
      <c r="V95" s="51">
        <v>4</v>
      </c>
      <c r="W95" s="51">
        <v>0</v>
      </c>
      <c r="X95" s="51">
        <v>0</v>
      </c>
      <c r="Y95" s="51">
        <v>1</v>
      </c>
      <c r="Z95" s="51">
        <v>3</v>
      </c>
      <c r="AA95" s="51">
        <v>0</v>
      </c>
      <c r="AB95" s="59">
        <v>0</v>
      </c>
      <c r="AC95" s="60">
        <f>$U$95*VLOOKUP($U$11,'PCU Values'!$B$9:$C$16,2,FALSE)</f>
        <v>39</v>
      </c>
      <c r="AD95" s="60">
        <f>$V$95*VLOOKUP($V$11,'PCU Values'!$B$9:$C$16,2,FALSE)</f>
        <v>4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2</v>
      </c>
      <c r="AH95" s="60">
        <f>$Z$95*VLOOKUP($Z$11,'PCU Values'!$B$9:$C$16,2,FALSE)</f>
        <v>0.6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45.6</v>
      </c>
      <c r="AL95" s="52">
        <f>SUM($U$95,$V$95,$W$95,$X$95,$Y$95,$Z$95,$AA$95,$AB$95)</f>
        <v>47</v>
      </c>
      <c r="AM95" s="73">
        <v>2</v>
      </c>
      <c r="AN95" s="51">
        <v>0</v>
      </c>
      <c r="AO95" s="51">
        <v>0</v>
      </c>
      <c r="AP95" s="51">
        <v>0</v>
      </c>
      <c r="AQ95" s="51">
        <v>0</v>
      </c>
      <c r="AR95" s="51">
        <v>4</v>
      </c>
      <c r="AS95" s="51">
        <v>0</v>
      </c>
      <c r="AT95" s="59">
        <v>0</v>
      </c>
      <c r="AU95" s="60">
        <f>$AM$95*VLOOKUP($AM$11,'PCU Values'!$B$9:$C$16,2,FALSE)</f>
        <v>2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0.8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2.8</v>
      </c>
      <c r="BD95" s="52">
        <f>SUM($AM$95,$AN$95,$AO$95,$AP$95,$AQ$95,$AR$95,$AS$95,$AT$95)</f>
        <v>6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45</v>
      </c>
      <c r="BZ95" s="84">
        <f>SUM($D$95,$V$95,$AN$95,$BF$95)</f>
        <v>4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1</v>
      </c>
      <c r="CD95" s="84">
        <f>SUM($H$95,$Z$95,$AR$95,$BJ$95)</f>
        <v>7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45</v>
      </c>
      <c r="CH95" s="79">
        <f>$BZ$95*VLOOKUP($BZ$11,'PCU Values'!$B$9:$C$16,2,FALSE)</f>
        <v>4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2</v>
      </c>
      <c r="CL95" s="79">
        <f>$CD$95*VLOOKUP($CD$11,'PCU Values'!$B$9:$C$16,2,FALSE)</f>
        <v>1.4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52.4</v>
      </c>
      <c r="CP95" s="52">
        <f>SUM($BY$95,$BZ$95,$CA$95,$CB$95,$CC$95,$CD$95,$CE$95,$CF$95)</f>
        <v>57</v>
      </c>
      <c r="CQ95" s="90">
        <f>SUM('J1 A - (North) Bishopthorpe Roa'!$U$95,'J1 B - Butcher Terrace'!$C$95,'J1 C - (South) Bishopthorpe Roa'!$BE$95,'J1 D - South Bank Avenue'!$AM$95)</f>
        <v>84</v>
      </c>
      <c r="CR95" s="84">
        <f>SUM('J1 A - (North) Bishopthorpe Roa'!$V$95,'J1 B - Butcher Terrace'!$D$95,'J1 C - (South) Bishopthorpe Roa'!$BF$95,'J1 D - South Bank Avenue'!$AN$95)</f>
        <v>4</v>
      </c>
      <c r="CS95" s="84">
        <f>SUM('J1 A - (North) Bishopthorpe Roa'!$W$95,'J1 B - Butcher Terrace'!$E$95,'J1 C - (South) Bishopthorpe Roa'!$BG$95,'J1 D - South Bank Avenue'!$AO$95)</f>
        <v>0</v>
      </c>
      <c r="CT95" s="84">
        <f>SUM('J1 A - (North) Bishopthorpe Roa'!$X$95,'J1 B - Butcher Terrace'!$F$95,'J1 C - (South) Bishopthorpe Roa'!$BH$95,'J1 D - South Bank Avenue'!$AP$95)</f>
        <v>0</v>
      </c>
      <c r="CU95" s="84">
        <f>SUM('J1 A - (North) Bishopthorpe Roa'!$Y$95,'J1 B - Butcher Terrace'!$G$95,'J1 C - (South) Bishopthorpe Roa'!$BI$95,'J1 D - South Bank Avenue'!$AQ$95)</f>
        <v>1</v>
      </c>
      <c r="CV95" s="84">
        <f>SUM('J1 A - (North) Bishopthorpe Roa'!$Z$95,'J1 B - Butcher Terrace'!$H$95,'J1 C - (South) Bishopthorpe Roa'!$BJ$95,'J1 D - South Bank Avenue'!$AR$95)</f>
        <v>11</v>
      </c>
      <c r="CW95" s="84">
        <f>SUM('J1 A - (North) Bishopthorpe Roa'!$AA$95,'J1 B - Butcher Terrace'!$I$95,'J1 C - (South) Bishopthorpe Roa'!$BK$95,'J1 D - South Bank Avenue'!$AS$95)</f>
        <v>1</v>
      </c>
      <c r="CX95" s="87">
        <f>SUM('J1 A - (North) Bishopthorpe Roa'!$AB$95,'J1 B - Butcher Terrace'!$J$95,'J1 C - (South) Bishopthorpe Roa'!$BL$95,'J1 D - South Bank Avenue'!$AT$95)</f>
        <v>0</v>
      </c>
      <c r="CY95" s="79">
        <f>$CQ$95*VLOOKUP($CQ$11,'PCU Values'!$B$9:$C$16,2,FALSE)</f>
        <v>84</v>
      </c>
      <c r="CZ95" s="79">
        <f>$CR$95*VLOOKUP($CR$11,'PCU Values'!$B$9:$C$16,2,FALSE)</f>
        <v>4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2</v>
      </c>
      <c r="DD95" s="79">
        <f>$CV$95*VLOOKUP($CV$11,'PCU Values'!$B$9:$C$16,2,FALSE)</f>
        <v>2.2000000000000002</v>
      </c>
      <c r="DE95" s="79">
        <f>$CW$95*VLOOKUP($CW$11,'PCU Values'!$B$9:$C$16,2,FALSE)</f>
        <v>0.4</v>
      </c>
      <c r="DF95" s="80">
        <f>$CX$95*VLOOKUP($CX$11,'PCU Values'!$B$9:$C$16,2,FALSE)</f>
        <v>0</v>
      </c>
      <c r="DG95" s="63">
        <f>SUM($CY$95,$CZ$95,$DA$95,$DB$95,$DC$95,$DD$95,$DE$95,$DF$95)</f>
        <v>92.6</v>
      </c>
      <c r="DH95" s="52">
        <f>SUM($CQ$95,$CR$95,$CS$95,$CT$95,$CU$95,$CV$95,$CW$95,$CX$95)</f>
        <v>101</v>
      </c>
    </row>
    <row r="96" spans="1:112">
      <c r="B96" s="52" t="s">
        <v>34</v>
      </c>
      <c r="C96" s="52">
        <f>SUM($C$92:$C$95)</f>
        <v>16</v>
      </c>
      <c r="D96" s="52">
        <f>SUM($D$92:$D$95)</f>
        <v>1</v>
      </c>
      <c r="E96" s="52">
        <f>SUM($E$92:$E$95)</f>
        <v>0</v>
      </c>
      <c r="F96" s="52">
        <f>SUM($F$92:$F$95)</f>
        <v>0</v>
      </c>
      <c r="G96" s="52">
        <f>SUM($G$92:$G$95)</f>
        <v>0</v>
      </c>
      <c r="H96" s="52">
        <f>SUM($H$92:$H$95)</f>
        <v>2</v>
      </c>
      <c r="I96" s="52">
        <f>SUM($I$92:$I$95)</f>
        <v>0</v>
      </c>
      <c r="J96" s="52">
        <f>SUM($J$92:$J$95)</f>
        <v>0</v>
      </c>
      <c r="K96" s="52">
        <f>SUM($K$92:$K$95)</f>
        <v>16</v>
      </c>
      <c r="L96" s="52">
        <f>SUM($L$92:$L$95)</f>
        <v>1</v>
      </c>
      <c r="M96" s="52">
        <f>SUM($M$92:$M$95)</f>
        <v>0</v>
      </c>
      <c r="N96" s="52">
        <f>SUM($N$92:$N$95)</f>
        <v>0</v>
      </c>
      <c r="O96" s="52">
        <f>SUM($O$92:$O$95)</f>
        <v>0</v>
      </c>
      <c r="P96" s="52">
        <f>SUM($P$92:$P$95)</f>
        <v>0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17</v>
      </c>
      <c r="T96" s="52">
        <f>SUM($C$96,$D$96,$E$96,$F$96,$G$96,$H$96,$I$96,$J$96)</f>
        <v>19</v>
      </c>
      <c r="U96" s="52">
        <f>SUM($U$92:$U$95)</f>
        <v>157</v>
      </c>
      <c r="V96" s="52">
        <f>SUM($V$92:$V$95)</f>
        <v>11</v>
      </c>
      <c r="W96" s="52">
        <f>SUM($W$92:$W$95)</f>
        <v>2</v>
      </c>
      <c r="X96" s="52">
        <f>SUM($X$92:$X$95)</f>
        <v>0</v>
      </c>
      <c r="Y96" s="52">
        <f>SUM($Y$92:$Y$95)</f>
        <v>4</v>
      </c>
      <c r="Z96" s="52">
        <f>SUM($Z$92:$Z$95)</f>
        <v>13</v>
      </c>
      <c r="AA96" s="52">
        <f>SUM($AA$92:$AA$95)</f>
        <v>1</v>
      </c>
      <c r="AB96" s="52">
        <f>SUM($AB$92:$AB$95)</f>
        <v>0</v>
      </c>
      <c r="AC96" s="52">
        <f>SUM($AC$92:$AC$95)</f>
        <v>157</v>
      </c>
      <c r="AD96" s="52">
        <f>SUM($AD$92:$AD$95)</f>
        <v>11</v>
      </c>
      <c r="AE96" s="52">
        <f>SUM($AE$92:$AE$95)</f>
        <v>3</v>
      </c>
      <c r="AF96" s="52">
        <f>SUM($AF$92:$AF$95)</f>
        <v>0</v>
      </c>
      <c r="AG96" s="52">
        <f>SUM($AG$92:$AG$95)</f>
        <v>8</v>
      </c>
      <c r="AH96" s="52">
        <f>SUM($AH$92:$AH$95)</f>
        <v>3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182</v>
      </c>
      <c r="AL96" s="52">
        <f>SUM($U$96,$V$96,$W$96,$X$96,$Y$96,$Z$96,$AA$96,$AB$96)</f>
        <v>188</v>
      </c>
      <c r="AM96" s="52">
        <f>SUM($AM$92:$AM$95)</f>
        <v>6</v>
      </c>
      <c r="AN96" s="52">
        <f>SUM($AN$92:$AN$95)</f>
        <v>2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7</v>
      </c>
      <c r="AS96" s="52">
        <f>SUM($AS$92:$AS$95)</f>
        <v>0</v>
      </c>
      <c r="AT96" s="52">
        <f>SUM($AT$92:$AT$95)</f>
        <v>0</v>
      </c>
      <c r="AU96" s="52">
        <f>SUM($AU$92:$AU$95)</f>
        <v>6</v>
      </c>
      <c r="AV96" s="52">
        <f>SUM($AV$92:$AV$95)</f>
        <v>2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1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9</v>
      </c>
      <c r="BD96" s="52">
        <f>SUM($AM$96,$AN$96,$AO$96,$AP$96,$AQ$96,$AR$96,$AS$96,$AT$96)</f>
        <v>15</v>
      </c>
      <c r="BE96" s="52">
        <f>SUM($BE$92:$BE$95)</f>
        <v>1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1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1</v>
      </c>
      <c r="BV96" s="52">
        <f>SUM($BE$96,$BF$96,$BG$96,$BH$96,$BI$96,$BJ$96,$BK$96,$BL$96)</f>
        <v>1</v>
      </c>
      <c r="BX96" s="52" t="s">
        <v>34</v>
      </c>
      <c r="BY96" s="52">
        <f>SUM($BY$92:$BY$95)</f>
        <v>180</v>
      </c>
      <c r="BZ96" s="52">
        <f>SUM($BZ$92:$BZ$95)</f>
        <v>14</v>
      </c>
      <c r="CA96" s="52">
        <f>SUM($CA$92:$CA$95)</f>
        <v>2</v>
      </c>
      <c r="CB96" s="52">
        <f>SUM($CB$92:$CB$95)</f>
        <v>0</v>
      </c>
      <c r="CC96" s="52">
        <f>SUM($CC$92:$CC$95)</f>
        <v>4</v>
      </c>
      <c r="CD96" s="52">
        <f>SUM($CD$92:$CD$95)</f>
        <v>22</v>
      </c>
      <c r="CE96" s="52">
        <f>SUM($CE$92:$CE$95)</f>
        <v>1</v>
      </c>
      <c r="CF96" s="52">
        <f>SUM($CF$92:$CF$95)</f>
        <v>0</v>
      </c>
      <c r="CG96" s="52">
        <f>SUM($CG$92:$CG$95)</f>
        <v>180</v>
      </c>
      <c r="CH96" s="52">
        <f>SUM($CH$92:$CH$95)</f>
        <v>14</v>
      </c>
      <c r="CI96" s="52">
        <f>SUM($CI$92:$CI$95)</f>
        <v>3</v>
      </c>
      <c r="CJ96" s="52">
        <f>SUM($CJ$92:$CJ$95)</f>
        <v>0</v>
      </c>
      <c r="CK96" s="52">
        <f>SUM($CK$92:$CK$95)</f>
        <v>8</v>
      </c>
      <c r="CL96" s="52">
        <f>SUM($CL$92:$CL$95)</f>
        <v>4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209</v>
      </c>
      <c r="CP96" s="52">
        <f>SUM($BY$96,$BZ$96,$CA$96,$CB$96,$CC$96,$CD$96,$CE$96,$CF$96)</f>
        <v>223</v>
      </c>
      <c r="CQ96" s="52">
        <f>SUM($CQ$92:$CQ$95)</f>
        <v>289</v>
      </c>
      <c r="CR96" s="52">
        <f>SUM($CR$92:$CR$95)</f>
        <v>23</v>
      </c>
      <c r="CS96" s="52">
        <f>SUM($CS$92:$CS$95)</f>
        <v>1</v>
      </c>
      <c r="CT96" s="52">
        <f>SUM($CT$92:$CT$95)</f>
        <v>0</v>
      </c>
      <c r="CU96" s="52">
        <f>SUM($CU$92:$CU$95)</f>
        <v>3</v>
      </c>
      <c r="CV96" s="52">
        <f>SUM($CV$92:$CV$95)</f>
        <v>28</v>
      </c>
      <c r="CW96" s="52">
        <f>SUM($CW$92:$CW$95)</f>
        <v>3</v>
      </c>
      <c r="CX96" s="52">
        <f>SUM($CX$92:$CX$95)</f>
        <v>0</v>
      </c>
      <c r="CY96" s="52">
        <f>SUM($CY$92:$CY$95)</f>
        <v>289</v>
      </c>
      <c r="CZ96" s="52">
        <f>SUM($CZ$92:$CZ$95)</f>
        <v>23</v>
      </c>
      <c r="DA96" s="52">
        <f>SUM($DA$92:$DA$95)</f>
        <v>2</v>
      </c>
      <c r="DB96" s="52">
        <f>SUM($DB$92:$DB$95)</f>
        <v>0</v>
      </c>
      <c r="DC96" s="52">
        <f>SUM($DC$92:$DC$95)</f>
        <v>6</v>
      </c>
      <c r="DD96" s="52">
        <f>SUM($DD$92:$DD$95)</f>
        <v>6</v>
      </c>
      <c r="DE96" s="52">
        <f>SUM($DE$92:$DE$95)</f>
        <v>1</v>
      </c>
      <c r="DF96" s="52">
        <f>SUM($DF$92:$DF$95)</f>
        <v>0</v>
      </c>
      <c r="DG96" s="52">
        <f>SUM($CY$96,$CZ$96,$DA$96,$DB$96,$DC$96,$DD$96,$DE$96,$DF$96)</f>
        <v>327</v>
      </c>
      <c r="DH96" s="52">
        <f>SUM($CQ$96,$CR$96,$CS$96,$CT$96,$CU$96,$CV$96,$CW$96,$CX$96)</f>
        <v>347</v>
      </c>
    </row>
    <row r="97" spans="1:112" ht="21" customHeight="1">
      <c r="A97" s="46">
        <v>44395.708333333299</v>
      </c>
      <c r="B97" s="53" t="s">
        <v>99</v>
      </c>
      <c r="C97" s="54">
        <v>2</v>
      </c>
      <c r="D97" s="54">
        <v>1</v>
      </c>
      <c r="E97" s="54">
        <v>0</v>
      </c>
      <c r="F97" s="54">
        <v>0</v>
      </c>
      <c r="G97" s="54">
        <v>0</v>
      </c>
      <c r="H97" s="54">
        <v>0</v>
      </c>
      <c r="I97" s="54">
        <v>0</v>
      </c>
      <c r="J97" s="61">
        <v>0</v>
      </c>
      <c r="K97" s="62">
        <f>$C$97*VLOOKUP($C$11,'PCU Values'!$B$9:$C$16,2,FALSE)</f>
        <v>2</v>
      </c>
      <c r="L97" s="62">
        <f>$D$97*VLOOKUP($D$11,'PCU Values'!$B$9:$C$16,2,FALSE)</f>
        <v>1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3</v>
      </c>
      <c r="T97" s="52">
        <f>SUM($C$97,$D$97,$E$97,$F$97,$G$97,$H$97,$I$97,$J$97)</f>
        <v>3</v>
      </c>
      <c r="U97" s="72">
        <v>47</v>
      </c>
      <c r="V97" s="54">
        <v>8</v>
      </c>
      <c r="W97" s="54">
        <v>1</v>
      </c>
      <c r="X97" s="54">
        <v>0</v>
      </c>
      <c r="Y97" s="54">
        <v>1</v>
      </c>
      <c r="Z97" s="54">
        <v>5</v>
      </c>
      <c r="AA97" s="54">
        <v>1</v>
      </c>
      <c r="AB97" s="61">
        <v>0</v>
      </c>
      <c r="AC97" s="62">
        <f>$U$97*VLOOKUP($U$11,'PCU Values'!$B$9:$C$16,2,FALSE)</f>
        <v>47</v>
      </c>
      <c r="AD97" s="62">
        <f>$V$97*VLOOKUP($V$11,'PCU Values'!$B$9:$C$16,2,FALSE)</f>
        <v>8</v>
      </c>
      <c r="AE97" s="62">
        <f>$W$97*VLOOKUP($W$11,'PCU Values'!$B$9:$C$16,2,FALSE)</f>
        <v>1.5</v>
      </c>
      <c r="AF97" s="62">
        <f>$X$97*VLOOKUP($X$11,'PCU Values'!$B$9:$C$16,2,FALSE)</f>
        <v>0</v>
      </c>
      <c r="AG97" s="62">
        <f>$Y$97*VLOOKUP($Y$11,'PCU Values'!$B$9:$C$16,2,FALSE)</f>
        <v>2</v>
      </c>
      <c r="AH97" s="62">
        <f>$Z$97*VLOOKUP($Z$11,'PCU Values'!$B$9:$C$16,2,FALSE)</f>
        <v>1</v>
      </c>
      <c r="AI97" s="62">
        <f>$AA$97*VLOOKUP($AA$11,'PCU Values'!$B$9:$C$16,2,FALSE)</f>
        <v>0.4</v>
      </c>
      <c r="AJ97" s="70">
        <f>$AB$97*VLOOKUP($AB$11,'PCU Values'!$B$9:$C$16,2,FALSE)</f>
        <v>0</v>
      </c>
      <c r="AK97" s="71">
        <f>SUM($AC$97,$AD$97,$AE$97,$AF$97,$AG$97,$AH$97,$AI$97,$AJ$97)</f>
        <v>59.9</v>
      </c>
      <c r="AL97" s="52">
        <f>SUM($U$97,$V$97,$W$97,$X$97,$Y$97,$Z$97,$AA$97,$AB$97)</f>
        <v>63</v>
      </c>
      <c r="AM97" s="72">
        <v>1</v>
      </c>
      <c r="AN97" s="54">
        <v>0</v>
      </c>
      <c r="AO97" s="54">
        <v>0</v>
      </c>
      <c r="AP97" s="54">
        <v>0</v>
      </c>
      <c r="AQ97" s="54">
        <v>0</v>
      </c>
      <c r="AR97" s="54">
        <v>1</v>
      </c>
      <c r="AS97" s="54">
        <v>0</v>
      </c>
      <c r="AT97" s="61">
        <v>0</v>
      </c>
      <c r="AU97" s="62">
        <f>$AM$97*VLOOKUP($AM$11,'PCU Values'!$B$9:$C$16,2,FALSE)</f>
        <v>1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0.2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1.2</v>
      </c>
      <c r="BD97" s="52">
        <f>SUM($AM$97,$AN$97,$AO$97,$AP$97,$AQ$97,$AR$97,$AS$97,$AT$97)</f>
        <v>2</v>
      </c>
      <c r="BE97" s="72">
        <v>1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1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1</v>
      </c>
      <c r="BV97" s="52">
        <f>SUM($BE$97,$BF$97,$BG$97,$BH$97,$BI$97,$BJ$97,$BK$97,$BL$97)</f>
        <v>1</v>
      </c>
      <c r="BX97" s="53" t="s">
        <v>99</v>
      </c>
      <c r="BY97" s="85">
        <f>SUM($C$97,$U$97,$AM$97,$BE$97)</f>
        <v>51</v>
      </c>
      <c r="BZ97" s="85">
        <f>SUM($D$97,$V$97,$AN$97,$BF$97)</f>
        <v>9</v>
      </c>
      <c r="CA97" s="85">
        <f>SUM($E$97,$W$97,$AO$97,$BG$97)</f>
        <v>1</v>
      </c>
      <c r="CB97" s="85">
        <f>SUM($F$97,$X$97,$AP$97,$BH$97)</f>
        <v>0</v>
      </c>
      <c r="CC97" s="85">
        <f>SUM($G$97,$Y$97,$AQ$97,$BI$97)</f>
        <v>1</v>
      </c>
      <c r="CD97" s="85">
        <f>SUM($H$97,$Z$97,$AR$97,$BJ$97)</f>
        <v>6</v>
      </c>
      <c r="CE97" s="85">
        <f>SUM($I$97,$AA$97,$AS$97,$BK$97)</f>
        <v>1</v>
      </c>
      <c r="CF97" s="88">
        <f>SUM($J$97,$AB$97,$AT$97,$BL$97)</f>
        <v>0</v>
      </c>
      <c r="CG97" s="81">
        <f>$BY$97*VLOOKUP($BY$11,'PCU Values'!$B$9:$C$16,2,FALSE)</f>
        <v>51</v>
      </c>
      <c r="CH97" s="81">
        <f>$BZ$97*VLOOKUP($BZ$11,'PCU Values'!$B$9:$C$16,2,FALSE)</f>
        <v>9</v>
      </c>
      <c r="CI97" s="81">
        <f>$CA$97*VLOOKUP($CA$11,'PCU Values'!$B$9:$C$16,2,FALSE)</f>
        <v>1.5</v>
      </c>
      <c r="CJ97" s="81">
        <f>$CB$97*VLOOKUP($CB$11,'PCU Values'!$B$9:$C$16,2,FALSE)</f>
        <v>0</v>
      </c>
      <c r="CK97" s="81">
        <f>$CC$97*VLOOKUP($CC$11,'PCU Values'!$B$9:$C$16,2,FALSE)</f>
        <v>2</v>
      </c>
      <c r="CL97" s="81">
        <f>$CD$97*VLOOKUP($CD$11,'PCU Values'!$B$9:$C$16,2,FALSE)</f>
        <v>1.2</v>
      </c>
      <c r="CM97" s="81">
        <f>$CE$97*VLOOKUP($CE$11,'PCU Values'!$B$9:$C$16,2,FALSE)</f>
        <v>0.4</v>
      </c>
      <c r="CN97" s="82">
        <f>$CF$97*VLOOKUP($CF$11,'PCU Values'!$B$9:$C$16,2,FALSE)</f>
        <v>0</v>
      </c>
      <c r="CO97" s="71">
        <f>SUM($CG$97,$CH$97,$CI$97,$CJ$97,$CK$97,$CL$97,$CM$97,$CN$97)</f>
        <v>65.099999999999994</v>
      </c>
      <c r="CP97" s="52">
        <f>SUM($BY$97,$BZ$97,$CA$97,$CB$97,$CC$97,$CD$97,$CE$97,$CF$97)</f>
        <v>69</v>
      </c>
      <c r="CQ97" s="91">
        <f>SUM('J1 A - (North) Bishopthorpe Roa'!$U$97,'J1 B - Butcher Terrace'!$C$97,'J1 C - (South) Bishopthorpe Roa'!$BE$97,'J1 D - South Bank Avenue'!$AM$97)</f>
        <v>65</v>
      </c>
      <c r="CR97" s="85">
        <f>SUM('J1 A - (North) Bishopthorpe Roa'!$V$97,'J1 B - Butcher Terrace'!$D$97,'J1 C - (South) Bishopthorpe Roa'!$BF$97,'J1 D - South Bank Avenue'!$AN$97)</f>
        <v>5</v>
      </c>
      <c r="CS97" s="85">
        <f>SUM('J1 A - (North) Bishopthorpe Roa'!$W$97,'J1 B - Butcher Terrace'!$E$97,'J1 C - (South) Bishopthorpe Roa'!$BG$97,'J1 D - South Bank Avenue'!$AO$97)</f>
        <v>0</v>
      </c>
      <c r="CT97" s="85">
        <f>SUM('J1 A - (North) Bishopthorpe Roa'!$X$97,'J1 B - Butcher Terrace'!$F$97,'J1 C - (South) Bishopthorpe Roa'!$BH$97,'J1 D - South Bank Avenue'!$AP$97)</f>
        <v>0</v>
      </c>
      <c r="CU97" s="85">
        <f>SUM('J1 A - (North) Bishopthorpe Roa'!$Y$97,'J1 B - Butcher Terrace'!$G$97,'J1 C - (South) Bishopthorpe Roa'!$BI$97,'J1 D - South Bank Avenue'!$AQ$97)</f>
        <v>1</v>
      </c>
      <c r="CV97" s="85">
        <f>SUM('J1 A - (North) Bishopthorpe Roa'!$Z$97,'J1 B - Butcher Terrace'!$H$97,'J1 C - (South) Bishopthorpe Roa'!$BJ$97,'J1 D - South Bank Avenue'!$AR$97)</f>
        <v>5</v>
      </c>
      <c r="CW97" s="85">
        <f>SUM('J1 A - (North) Bishopthorpe Roa'!$AA$97,'J1 B - Butcher Terrace'!$I$97,'J1 C - (South) Bishopthorpe Roa'!$BK$97,'J1 D - South Bank Avenue'!$AS$97)</f>
        <v>0</v>
      </c>
      <c r="CX97" s="88">
        <f>SUM('J1 A - (North) Bishopthorpe Roa'!$AB$97,'J1 B - Butcher Terrace'!$J$97,'J1 C - (South) Bishopthorpe Roa'!$BL$97,'J1 D - South Bank Avenue'!$AT$97)</f>
        <v>0</v>
      </c>
      <c r="CY97" s="81">
        <f>$CQ$97*VLOOKUP($CQ$11,'PCU Values'!$B$9:$C$16,2,FALSE)</f>
        <v>65</v>
      </c>
      <c r="CZ97" s="81">
        <f>$CR$97*VLOOKUP($CR$11,'PCU Values'!$B$9:$C$16,2,FALSE)</f>
        <v>5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2</v>
      </c>
      <c r="DD97" s="81">
        <f>$CV$97*VLOOKUP($CV$11,'PCU Values'!$B$9:$C$16,2,FALSE)</f>
        <v>1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73</v>
      </c>
      <c r="DH97" s="52">
        <f>SUM($CQ$97,$CR$97,$CS$97,$CT$97,$CU$97,$CV$97,$CW$97,$CX$97)</f>
        <v>76</v>
      </c>
    </row>
    <row r="98" spans="1:112" ht="21" customHeight="1">
      <c r="A98" s="46">
        <v>44395.71875</v>
      </c>
      <c r="B98" s="47" t="s">
        <v>100</v>
      </c>
      <c r="C98" s="49">
        <v>1</v>
      </c>
      <c r="D98" s="48">
        <v>0</v>
      </c>
      <c r="E98" s="48">
        <v>0</v>
      </c>
      <c r="F98" s="48">
        <v>0</v>
      </c>
      <c r="G98" s="48">
        <v>0</v>
      </c>
      <c r="H98" s="49">
        <v>1</v>
      </c>
      <c r="I98" s="48">
        <v>0</v>
      </c>
      <c r="J98" s="56">
        <v>0</v>
      </c>
      <c r="K98" s="57">
        <f>$C$98*VLOOKUP($C$11,'PCU Values'!$B$9:$C$16,2,FALSE)</f>
        <v>1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0.2</v>
      </c>
      <c r="Q98" s="57">
        <f>$I$98*VLOOKUP($I$11,'PCU Values'!$B$9:$C$16,2,FALSE)</f>
        <v>0</v>
      </c>
      <c r="R98" s="65">
        <f>$J$98*VLOOKUP($J$11,'PCU Values'!$B$9:$C$16,2,FALSE)</f>
        <v>0</v>
      </c>
      <c r="S98" s="66">
        <f>SUM($K$98,$L$98,$M$98,$N$98,$O$98,$P$98,$Q$98,$R$98)</f>
        <v>1.2</v>
      </c>
      <c r="T98" s="52">
        <f>SUM($C$98,$D$98,$E$98,$F$98,$G$98,$H$98,$I$98,$J$98)</f>
        <v>2</v>
      </c>
      <c r="U98" s="67">
        <v>62</v>
      </c>
      <c r="V98" s="48">
        <v>2</v>
      </c>
      <c r="W98" s="48">
        <v>1</v>
      </c>
      <c r="X98" s="48">
        <v>0</v>
      </c>
      <c r="Y98" s="48">
        <v>0</v>
      </c>
      <c r="Z98" s="48">
        <v>4</v>
      </c>
      <c r="AA98" s="48">
        <v>1</v>
      </c>
      <c r="AB98" s="56">
        <v>0</v>
      </c>
      <c r="AC98" s="57">
        <f>$U$98*VLOOKUP($U$11,'PCU Values'!$B$9:$C$16,2,FALSE)</f>
        <v>62</v>
      </c>
      <c r="AD98" s="57">
        <f>$V$98*VLOOKUP($V$11,'PCU Values'!$B$9:$C$16,2,FALSE)</f>
        <v>2</v>
      </c>
      <c r="AE98" s="57">
        <f>$W$98*VLOOKUP($W$11,'PCU Values'!$B$9:$C$16,2,FALSE)</f>
        <v>1.5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0.8</v>
      </c>
      <c r="AI98" s="57">
        <f>$AA$98*VLOOKUP($AA$11,'PCU Values'!$B$9:$C$16,2,FALSE)</f>
        <v>0.4</v>
      </c>
      <c r="AJ98" s="65">
        <f>$AB$98*VLOOKUP($AB$11,'PCU Values'!$B$9:$C$16,2,FALSE)</f>
        <v>0</v>
      </c>
      <c r="AK98" s="66">
        <f>SUM($AC$98,$AD$98,$AE$98,$AF$98,$AG$98,$AH$98,$AI$98,$AJ$98)</f>
        <v>66.7</v>
      </c>
      <c r="AL98" s="52">
        <f>SUM($U$98,$V$98,$W$98,$X$98,$Y$98,$Z$98,$AA$98,$AB$98)</f>
        <v>70</v>
      </c>
      <c r="AM98" s="67">
        <v>4</v>
      </c>
      <c r="AN98" s="48">
        <v>0</v>
      </c>
      <c r="AO98" s="48">
        <v>0</v>
      </c>
      <c r="AP98" s="48">
        <v>0</v>
      </c>
      <c r="AQ98" s="48">
        <v>0</v>
      </c>
      <c r="AR98" s="48">
        <v>3</v>
      </c>
      <c r="AS98" s="48">
        <v>0</v>
      </c>
      <c r="AT98" s="56">
        <v>0</v>
      </c>
      <c r="AU98" s="57">
        <f>$AM$98*VLOOKUP($AM$11,'PCU Values'!$B$9:$C$16,2,FALSE)</f>
        <v>4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0.6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4.5999999999999996</v>
      </c>
      <c r="BD98" s="52">
        <f>SUM($AM$98,$AN$98,$AO$98,$AP$98,$AQ$98,$AR$98,$AS$98,$AT$98)</f>
        <v>7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67</v>
      </c>
      <c r="BZ98" s="83">
        <f>SUM($D$98,$V$98,$AN$98,$BF$98)</f>
        <v>2</v>
      </c>
      <c r="CA98" s="83">
        <f>SUM($E$98,$W$98,$AO$98,$BG$98)</f>
        <v>1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8</v>
      </c>
      <c r="CE98" s="83">
        <f>SUM($I$98,$AA$98,$AS$98,$BK$98)</f>
        <v>1</v>
      </c>
      <c r="CF98" s="86">
        <f>SUM($J$98,$AB$98,$AT$98,$BL$98)</f>
        <v>0</v>
      </c>
      <c r="CG98" s="77">
        <f>$BY$98*VLOOKUP($BY$11,'PCU Values'!$B$9:$C$16,2,FALSE)</f>
        <v>67</v>
      </c>
      <c r="CH98" s="77">
        <f>$BZ$98*VLOOKUP($BZ$11,'PCU Values'!$B$9:$C$16,2,FALSE)</f>
        <v>2</v>
      </c>
      <c r="CI98" s="77">
        <f>$CA$98*VLOOKUP($CA$11,'PCU Values'!$B$9:$C$16,2,FALSE)</f>
        <v>1.5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1.6</v>
      </c>
      <c r="CM98" s="77">
        <f>$CE$98*VLOOKUP($CE$11,'PCU Values'!$B$9:$C$16,2,FALSE)</f>
        <v>0.4</v>
      </c>
      <c r="CN98" s="78">
        <f>$CF$98*VLOOKUP($CF$11,'PCU Values'!$B$9:$C$16,2,FALSE)</f>
        <v>0</v>
      </c>
      <c r="CO98" s="66">
        <f>SUM($CG$98,$CH$98,$CI$98,$CJ$98,$CK$98,$CL$98,$CM$98,$CN$98)</f>
        <v>72.5</v>
      </c>
      <c r="CP98" s="52">
        <f>SUM($BY$98,$BZ$98,$CA$98,$CB$98,$CC$98,$CD$98,$CE$98,$CF$98)</f>
        <v>79</v>
      </c>
      <c r="CQ98" s="89">
        <f>SUM('J1 A - (North) Bishopthorpe Roa'!$U$98,'J1 B - Butcher Terrace'!$C$98,'J1 C - (South) Bishopthorpe Roa'!$BE$98,'J1 D - South Bank Avenue'!$AM$98)</f>
        <v>68</v>
      </c>
      <c r="CR98" s="83">
        <f>SUM('J1 A - (North) Bishopthorpe Roa'!$V$98,'J1 B - Butcher Terrace'!$D$98,'J1 C - (South) Bishopthorpe Roa'!$BF$98,'J1 D - South Bank Avenue'!$AN$98)</f>
        <v>4</v>
      </c>
      <c r="CS98" s="83">
        <f>SUM('J1 A - (North) Bishopthorpe Roa'!$W$98,'J1 B - Butcher Terrace'!$E$98,'J1 C - (South) Bishopthorpe Roa'!$BG$98,'J1 D - South Bank Avenue'!$AO$98)</f>
        <v>0</v>
      </c>
      <c r="CT98" s="83">
        <f>SUM('J1 A - (North) Bishopthorpe Roa'!$X$98,'J1 B - Butcher Terrace'!$F$98,'J1 C - (South) Bishopthorpe Roa'!$BH$98,'J1 D - South Bank Avenue'!$AP$98)</f>
        <v>0</v>
      </c>
      <c r="CU98" s="83">
        <f>SUM('J1 A - (North) Bishopthorpe Roa'!$Y$98,'J1 B - Butcher Terrace'!$G$98,'J1 C - (South) Bishopthorpe Roa'!$BI$98,'J1 D - South Bank Avenue'!$AQ$98)</f>
        <v>1</v>
      </c>
      <c r="CV98" s="83">
        <f>SUM('J1 A - (North) Bishopthorpe Roa'!$Z$98,'J1 B - Butcher Terrace'!$H$98,'J1 C - (South) Bishopthorpe Roa'!$BJ$98,'J1 D - South Bank Avenue'!$AR$98)</f>
        <v>6</v>
      </c>
      <c r="CW98" s="83">
        <f>SUM('J1 A - (North) Bishopthorpe Roa'!$AA$98,'J1 B - Butcher Terrace'!$I$98,'J1 C - (South) Bishopthorpe Roa'!$BK$98,'J1 D - South Bank Avenue'!$AS$98)</f>
        <v>0</v>
      </c>
      <c r="CX98" s="86">
        <f>SUM('J1 A - (North) Bishopthorpe Roa'!$AB$98,'J1 B - Butcher Terrace'!$J$98,'J1 C - (South) Bishopthorpe Roa'!$BL$98,'J1 D - South Bank Avenue'!$AT$98)</f>
        <v>0</v>
      </c>
      <c r="CY98" s="77">
        <f>$CQ$98*VLOOKUP($CQ$11,'PCU Values'!$B$9:$C$16,2,FALSE)</f>
        <v>68</v>
      </c>
      <c r="CZ98" s="77">
        <f>$CR$98*VLOOKUP($CR$11,'PCU Values'!$B$9:$C$16,2,FALSE)</f>
        <v>4</v>
      </c>
      <c r="DA98" s="77">
        <f>$CS$98*VLOOKUP($CS$11,'PCU Values'!$B$9:$C$16,2,FALSE)</f>
        <v>0</v>
      </c>
      <c r="DB98" s="77">
        <f>$CT$98*VLOOKUP($CT$11,'PCU Values'!$B$9:$C$16,2,FALSE)</f>
        <v>0</v>
      </c>
      <c r="DC98" s="77">
        <f>$CU$98*VLOOKUP($CU$11,'PCU Values'!$B$9:$C$16,2,FALSE)</f>
        <v>2</v>
      </c>
      <c r="DD98" s="77">
        <f>$CV$98*VLOOKUP($CV$11,'PCU Values'!$B$9:$C$16,2,FALSE)</f>
        <v>1.2</v>
      </c>
      <c r="DE98" s="77">
        <f>$CW$98*VLOOKUP($CW$11,'PCU Values'!$B$9:$C$16,2,FALSE)</f>
        <v>0</v>
      </c>
      <c r="DF98" s="78">
        <f>$CX$98*VLOOKUP($CX$11,'PCU Values'!$B$9:$C$16,2,FALSE)</f>
        <v>0</v>
      </c>
      <c r="DG98" s="66">
        <f>SUM($CY$98,$CZ$98,$DA$98,$DB$98,$DC$98,$DD$98,$DE$98,$DF$98)</f>
        <v>75.2</v>
      </c>
      <c r="DH98" s="52">
        <f>SUM($CQ$98,$CR$98,$CS$98,$CT$98,$CU$98,$CV$98,$CW$98,$CX$98)</f>
        <v>79</v>
      </c>
    </row>
    <row r="99" spans="1:112" ht="21" customHeight="1">
      <c r="A99" s="46">
        <v>44395.729166666701</v>
      </c>
      <c r="B99" s="47" t="s">
        <v>101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56">
        <v>0</v>
      </c>
      <c r="K99" s="57">
        <f>$C$99*VLOOKUP($C$11,'PCU Values'!$B$9:$C$16,2,FALSE)</f>
        <v>0</v>
      </c>
      <c r="L99" s="57">
        <f>$D$99*VLOOKUP($D$11,'PCU Values'!$B$9:$C$16,2,FALSE)</f>
        <v>0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0</v>
      </c>
      <c r="T99" s="52">
        <f>SUM($C$99,$D$99,$E$99,$F$99,$G$99,$H$99,$I$99,$J$99)</f>
        <v>0</v>
      </c>
      <c r="U99" s="67">
        <v>53</v>
      </c>
      <c r="V99" s="48">
        <v>2</v>
      </c>
      <c r="W99" s="48">
        <v>0</v>
      </c>
      <c r="X99" s="48">
        <v>0</v>
      </c>
      <c r="Y99" s="48">
        <v>1</v>
      </c>
      <c r="Z99" s="48">
        <v>7</v>
      </c>
      <c r="AA99" s="48">
        <v>0</v>
      </c>
      <c r="AB99" s="56">
        <v>0</v>
      </c>
      <c r="AC99" s="57">
        <f>$U$99*VLOOKUP($U$11,'PCU Values'!$B$9:$C$16,2,FALSE)</f>
        <v>53</v>
      </c>
      <c r="AD99" s="57">
        <f>$V$99*VLOOKUP($V$11,'PCU Values'!$B$9:$C$16,2,FALSE)</f>
        <v>2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2</v>
      </c>
      <c r="AH99" s="57">
        <f>$Z$99*VLOOKUP($Z$11,'PCU Values'!$B$9:$C$16,2,FALSE)</f>
        <v>1.4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58.4</v>
      </c>
      <c r="AL99" s="52">
        <f>SUM($U$99,$V$99,$W$99,$X$99,$Y$99,$Z$99,$AA$99,$AB$99)</f>
        <v>63</v>
      </c>
      <c r="AM99" s="76">
        <v>4</v>
      </c>
      <c r="AN99" s="49">
        <v>0</v>
      </c>
      <c r="AO99" s="48">
        <v>0</v>
      </c>
      <c r="AP99" s="48">
        <v>0</v>
      </c>
      <c r="AQ99" s="48">
        <v>0</v>
      </c>
      <c r="AR99" s="49">
        <v>2</v>
      </c>
      <c r="AS99" s="48">
        <v>0</v>
      </c>
      <c r="AT99" s="56">
        <v>0</v>
      </c>
      <c r="AU99" s="57">
        <f>$AM$99*VLOOKUP($AM$11,'PCU Values'!$B$9:$C$16,2,FALSE)</f>
        <v>4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0.4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4.4000000000000004</v>
      </c>
      <c r="BD99" s="52">
        <f>SUM($AM$99,$AN$99,$AO$99,$AP$99,$AQ$99,$AR$99,$AS$99,$AT$99)</f>
        <v>6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57</v>
      </c>
      <c r="BZ99" s="83">
        <f>SUM($D$99,$V$99,$AN$99,$BF$99)</f>
        <v>2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1</v>
      </c>
      <c r="CD99" s="83">
        <f>SUM($H$99,$Z$99,$AR$99,$BJ$99)</f>
        <v>9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57</v>
      </c>
      <c r="CH99" s="77">
        <f>$BZ$99*VLOOKUP($BZ$11,'PCU Values'!$B$9:$C$16,2,FALSE)</f>
        <v>2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2</v>
      </c>
      <c r="CL99" s="77">
        <f>$CD$99*VLOOKUP($CD$11,'PCU Values'!$B$9:$C$16,2,FALSE)</f>
        <v>1.8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62.8</v>
      </c>
      <c r="CP99" s="52">
        <f>SUM($BY$99,$BZ$99,$CA$99,$CB$99,$CC$99,$CD$99,$CE$99,$CF$99)</f>
        <v>69</v>
      </c>
      <c r="CQ99" s="89">
        <f>SUM('J1 A - (North) Bishopthorpe Roa'!$U$99,'J1 B - Butcher Terrace'!$C$99,'J1 C - (South) Bishopthorpe Roa'!$BE$99,'J1 D - South Bank Avenue'!$AM$99)</f>
        <v>63</v>
      </c>
      <c r="CR99" s="83">
        <f>SUM('J1 A - (North) Bishopthorpe Roa'!$V$99,'J1 B - Butcher Terrace'!$D$99,'J1 C - (South) Bishopthorpe Roa'!$BF$99,'J1 D - South Bank Avenue'!$AN$99)</f>
        <v>1</v>
      </c>
      <c r="CS99" s="83">
        <f>SUM('J1 A - (North) Bishopthorpe Roa'!$W$99,'J1 B - Butcher Terrace'!$E$99,'J1 C - (South) Bishopthorpe Roa'!$BG$99,'J1 D - South Bank Avenue'!$AO$99)</f>
        <v>0</v>
      </c>
      <c r="CT99" s="83">
        <f>SUM('J1 A - (North) Bishopthorpe Roa'!$X$99,'J1 B - Butcher Terrace'!$F$99,'J1 C - (South) Bishopthorpe Roa'!$BH$99,'J1 D - South Bank Avenue'!$AP$99)</f>
        <v>0</v>
      </c>
      <c r="CU99" s="83">
        <f>SUM('J1 A - (North) Bishopthorpe Roa'!$Y$99,'J1 B - Butcher Terrace'!$G$99,'J1 C - (South) Bishopthorpe Roa'!$BI$99,'J1 D - South Bank Avenue'!$AQ$99)</f>
        <v>2</v>
      </c>
      <c r="CV99" s="83">
        <f>SUM('J1 A - (North) Bishopthorpe Roa'!$Z$99,'J1 B - Butcher Terrace'!$H$99,'J1 C - (South) Bishopthorpe Roa'!$BJ$99,'J1 D - South Bank Avenue'!$AR$99)</f>
        <v>9</v>
      </c>
      <c r="CW99" s="83">
        <f>SUM('J1 A - (North) Bishopthorpe Roa'!$AA$99,'J1 B - Butcher Terrace'!$I$99,'J1 C - (South) Bishopthorpe Roa'!$BK$99,'J1 D - South Bank Avenue'!$AS$99)</f>
        <v>1</v>
      </c>
      <c r="CX99" s="86">
        <f>SUM('J1 A - (North) Bishopthorpe Roa'!$AB$99,'J1 B - Butcher Terrace'!$J$99,'J1 C - (South) Bishopthorpe Roa'!$BL$99,'J1 D - South Bank Avenue'!$AT$99)</f>
        <v>0</v>
      </c>
      <c r="CY99" s="77">
        <f>$CQ$99*VLOOKUP($CQ$11,'PCU Values'!$B$9:$C$16,2,FALSE)</f>
        <v>63</v>
      </c>
      <c r="CZ99" s="77">
        <f>$CR$99*VLOOKUP($CR$11,'PCU Values'!$B$9:$C$16,2,FALSE)</f>
        <v>1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4</v>
      </c>
      <c r="DD99" s="77">
        <f>$CV$99*VLOOKUP($CV$11,'PCU Values'!$B$9:$C$16,2,FALSE)</f>
        <v>1.8</v>
      </c>
      <c r="DE99" s="77">
        <f>$CW$99*VLOOKUP($CW$11,'PCU Values'!$B$9:$C$16,2,FALSE)</f>
        <v>0.4</v>
      </c>
      <c r="DF99" s="78">
        <f>$CX$99*VLOOKUP($CX$11,'PCU Values'!$B$9:$C$16,2,FALSE)</f>
        <v>0</v>
      </c>
      <c r="DG99" s="66">
        <f>SUM($CY$99,$CZ$99,$DA$99,$DB$99,$DC$99,$DD$99,$DE$99,$DF$99)</f>
        <v>70.2</v>
      </c>
      <c r="DH99" s="52">
        <f>SUM($CQ$99,$CR$99,$CS$99,$CT$99,$CU$99,$CV$99,$CW$99,$CX$99)</f>
        <v>76</v>
      </c>
    </row>
    <row r="100" spans="1:112" ht="21" customHeight="1">
      <c r="A100" s="46">
        <v>44395.739583333299</v>
      </c>
      <c r="B100" s="50" t="s">
        <v>102</v>
      </c>
      <c r="C100" s="51">
        <v>2</v>
      </c>
      <c r="D100" s="51">
        <v>0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9">
        <v>0</v>
      </c>
      <c r="K100" s="60">
        <f>$C$100*VLOOKUP($C$11,'PCU Values'!$B$9:$C$16,2,FALSE)</f>
        <v>2</v>
      </c>
      <c r="L100" s="60">
        <f>$D$100*VLOOKUP($D$11,'PCU Values'!$B$9:$C$16,2,FALSE)</f>
        <v>0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2</v>
      </c>
      <c r="T100" s="52">
        <f>SUM($C$100,$D$100,$E$100,$F$100,$G$100,$H$100,$I$100,$J$100)</f>
        <v>2</v>
      </c>
      <c r="U100" s="73">
        <v>45</v>
      </c>
      <c r="V100" s="51">
        <v>2</v>
      </c>
      <c r="W100" s="51">
        <v>0</v>
      </c>
      <c r="X100" s="51">
        <v>0</v>
      </c>
      <c r="Y100" s="51">
        <v>1</v>
      </c>
      <c r="Z100" s="51">
        <v>3</v>
      </c>
      <c r="AA100" s="51">
        <v>0</v>
      </c>
      <c r="AB100" s="59">
        <v>0</v>
      </c>
      <c r="AC100" s="60">
        <f>$U$100*VLOOKUP($U$11,'PCU Values'!$B$9:$C$16,2,FALSE)</f>
        <v>45</v>
      </c>
      <c r="AD100" s="60">
        <f>$V$100*VLOOKUP($V$11,'PCU Values'!$B$9:$C$16,2,FALSE)</f>
        <v>2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2</v>
      </c>
      <c r="AH100" s="60">
        <f>$Z$100*VLOOKUP($Z$11,'PCU Values'!$B$9:$C$16,2,FALSE)</f>
        <v>0.6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49.6</v>
      </c>
      <c r="AL100" s="52">
        <f>SUM($U$100,$V$100,$W$100,$X$100,$Y$100,$Z$100,$AA$100,$AB$100)</f>
        <v>51</v>
      </c>
      <c r="AM100" s="73">
        <v>2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9">
        <v>0</v>
      </c>
      <c r="AU100" s="60">
        <f>$AM$100*VLOOKUP($AM$11,'PCU Values'!$B$9:$C$16,2,FALSE)</f>
        <v>2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2</v>
      </c>
      <c r="BD100" s="52">
        <f>SUM($AM$100,$AN$100,$AO$100,$AP$100,$AQ$100,$AR$100,$AS$100,$AT$100)</f>
        <v>2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49</v>
      </c>
      <c r="BZ100" s="84">
        <f>SUM($D$100,$V$100,$AN$100,$BF$100)</f>
        <v>2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1</v>
      </c>
      <c r="CD100" s="84">
        <f>SUM($H$100,$Z$100,$AR$100,$BJ$100)</f>
        <v>3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49</v>
      </c>
      <c r="CH100" s="79">
        <f>$BZ$100*VLOOKUP($BZ$11,'PCU Values'!$B$9:$C$16,2,FALSE)</f>
        <v>2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2</v>
      </c>
      <c r="CL100" s="79">
        <f>$CD$100*VLOOKUP($CD$11,'PCU Values'!$B$9:$C$16,2,FALSE)</f>
        <v>0.6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53.6</v>
      </c>
      <c r="CP100" s="52">
        <f>SUM($BY$100,$BZ$100,$CA$100,$CB$100,$CC$100,$CD$100,$CE$100,$CF$100)</f>
        <v>55</v>
      </c>
      <c r="CQ100" s="90">
        <f>SUM('J1 A - (North) Bishopthorpe Roa'!$U$100,'J1 B - Butcher Terrace'!$C$100,'J1 C - (South) Bishopthorpe Roa'!$BE$100,'J1 D - South Bank Avenue'!$AM$100)</f>
        <v>53</v>
      </c>
      <c r="CR100" s="84">
        <f>SUM('J1 A - (North) Bishopthorpe Roa'!$V$100,'J1 B - Butcher Terrace'!$D$100,'J1 C - (South) Bishopthorpe Roa'!$BF$100,'J1 D - South Bank Avenue'!$AN$100)</f>
        <v>2</v>
      </c>
      <c r="CS100" s="84">
        <f>SUM('J1 A - (North) Bishopthorpe Roa'!$W$100,'J1 B - Butcher Terrace'!$E$100,'J1 C - (South) Bishopthorpe Roa'!$BG$100,'J1 D - South Bank Avenue'!$AO$100)</f>
        <v>0</v>
      </c>
      <c r="CT100" s="84">
        <f>SUM('J1 A - (North) Bishopthorpe Roa'!$X$100,'J1 B - Butcher Terrace'!$F$100,'J1 C - (South) Bishopthorpe Roa'!$BH$100,'J1 D - South Bank Avenue'!$AP$100)</f>
        <v>0</v>
      </c>
      <c r="CU100" s="84">
        <f>SUM('J1 A - (North) Bishopthorpe Roa'!$Y$100,'J1 B - Butcher Terrace'!$G$100,'J1 C - (South) Bishopthorpe Roa'!$BI$100,'J1 D - South Bank Avenue'!$AQ$100)</f>
        <v>0</v>
      </c>
      <c r="CV100" s="84">
        <f>SUM('J1 A - (North) Bishopthorpe Roa'!$Z$100,'J1 B - Butcher Terrace'!$H$100,'J1 C - (South) Bishopthorpe Roa'!$BJ$100,'J1 D - South Bank Avenue'!$AR$100)</f>
        <v>10</v>
      </c>
      <c r="CW100" s="84">
        <f>SUM('J1 A - (North) Bishopthorpe Roa'!$AA$100,'J1 B - Butcher Terrace'!$I$100,'J1 C - (South) Bishopthorpe Roa'!$BK$100,'J1 D - South Bank Avenue'!$AS$100)</f>
        <v>1</v>
      </c>
      <c r="CX100" s="87">
        <f>SUM('J1 A - (North) Bishopthorpe Roa'!$AB$100,'J1 B - Butcher Terrace'!$J$100,'J1 C - (South) Bishopthorpe Roa'!$BL$100,'J1 D - South Bank Avenue'!$AT$100)</f>
        <v>0</v>
      </c>
      <c r="CY100" s="79">
        <f>$CQ$100*VLOOKUP($CQ$11,'PCU Values'!$B$9:$C$16,2,FALSE)</f>
        <v>53</v>
      </c>
      <c r="CZ100" s="79">
        <f>$CR$100*VLOOKUP($CR$11,'PCU Values'!$B$9:$C$16,2,FALSE)</f>
        <v>2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2</v>
      </c>
      <c r="DE100" s="79">
        <f>$CW$100*VLOOKUP($CW$11,'PCU Values'!$B$9:$C$16,2,FALSE)</f>
        <v>0.4</v>
      </c>
      <c r="DF100" s="80">
        <f>$CX$100*VLOOKUP($CX$11,'PCU Values'!$B$9:$C$16,2,FALSE)</f>
        <v>0</v>
      </c>
      <c r="DG100" s="63">
        <f>SUM($CY$100,$CZ$100,$DA$100,$DB$100,$DC$100,$DD$100,$DE$100,$DF$100)</f>
        <v>57.4</v>
      </c>
      <c r="DH100" s="52">
        <f>SUM($CQ$100,$CR$100,$CS$100,$CT$100,$CU$100,$CV$100,$CW$100,$CX$100)</f>
        <v>66</v>
      </c>
    </row>
    <row r="101" spans="1:112">
      <c r="B101" s="52" t="s">
        <v>34</v>
      </c>
      <c r="C101" s="52">
        <f>SUM($C$97:$C$100)</f>
        <v>5</v>
      </c>
      <c r="D101" s="52">
        <f>SUM($D$97:$D$100)</f>
        <v>1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1</v>
      </c>
      <c r="I101" s="52">
        <f>SUM($I$97:$I$100)</f>
        <v>0</v>
      </c>
      <c r="J101" s="52">
        <f>SUM($J$97:$J$100)</f>
        <v>0</v>
      </c>
      <c r="K101" s="52">
        <f>SUM($K$97:$K$100)</f>
        <v>5</v>
      </c>
      <c r="L101" s="52">
        <f>SUM($L$97:$L$100)</f>
        <v>1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0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6</v>
      </c>
      <c r="T101" s="52">
        <f>SUM($C$101,$D$101,$E$101,$F$101,$G$101,$H$101,$I$101,$J$101)</f>
        <v>7</v>
      </c>
      <c r="U101" s="52">
        <f>SUM($U$97:$U$100)</f>
        <v>207</v>
      </c>
      <c r="V101" s="52">
        <f>SUM($V$97:$V$100)</f>
        <v>14</v>
      </c>
      <c r="W101" s="52">
        <f>SUM($W$97:$W$100)</f>
        <v>2</v>
      </c>
      <c r="X101" s="52">
        <f>SUM($X$97:$X$100)</f>
        <v>0</v>
      </c>
      <c r="Y101" s="52">
        <f>SUM($Y$97:$Y$100)</f>
        <v>3</v>
      </c>
      <c r="Z101" s="52">
        <f>SUM($Z$97:$Z$100)</f>
        <v>19</v>
      </c>
      <c r="AA101" s="52">
        <f>SUM($AA$97:$AA$100)</f>
        <v>2</v>
      </c>
      <c r="AB101" s="52">
        <f>SUM($AB$97:$AB$100)</f>
        <v>0</v>
      </c>
      <c r="AC101" s="52">
        <f>SUM($AC$97:$AC$100)</f>
        <v>207</v>
      </c>
      <c r="AD101" s="52">
        <f>SUM($AD$97:$AD$100)</f>
        <v>14</v>
      </c>
      <c r="AE101" s="52">
        <f>SUM($AE$97:$AE$100)</f>
        <v>3</v>
      </c>
      <c r="AF101" s="52">
        <f>SUM($AF$97:$AF$100)</f>
        <v>0</v>
      </c>
      <c r="AG101" s="52">
        <f>SUM($AG$97:$AG$100)</f>
        <v>6</v>
      </c>
      <c r="AH101" s="52">
        <f>SUM($AH$97:$AH$100)</f>
        <v>4</v>
      </c>
      <c r="AI101" s="52">
        <f>SUM($AI$97:$AI$100)</f>
        <v>1</v>
      </c>
      <c r="AJ101" s="52">
        <f>SUM($AJ$97:$AJ$100)</f>
        <v>0</v>
      </c>
      <c r="AK101" s="52">
        <f>SUM($AC$101,$AD$101,$AE$101,$AF$101,$AG$101,$AH$101,$AI$101,$AJ$101)</f>
        <v>235</v>
      </c>
      <c r="AL101" s="52">
        <f>SUM($U$101,$V$101,$W$101,$X$101,$Y$101,$Z$101,$AA$101,$AB$101)</f>
        <v>247</v>
      </c>
      <c r="AM101" s="52">
        <f>SUM($AM$97:$AM$100)</f>
        <v>11</v>
      </c>
      <c r="AN101" s="52">
        <f>SUM($AN$97:$AN$100)</f>
        <v>0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6</v>
      </c>
      <c r="AS101" s="52">
        <f>SUM($AS$97:$AS$100)</f>
        <v>0</v>
      </c>
      <c r="AT101" s="52">
        <f>SUM($AT$97:$AT$100)</f>
        <v>0</v>
      </c>
      <c r="AU101" s="52">
        <f>SUM($AU$97:$AU$100)</f>
        <v>11</v>
      </c>
      <c r="AV101" s="52">
        <f>SUM($AV$97:$AV$100)</f>
        <v>0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1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12</v>
      </c>
      <c r="BD101" s="52">
        <f>SUM($AM$101,$AN$101,$AO$101,$AP$101,$AQ$101,$AR$101,$AS$101,$AT$101)</f>
        <v>17</v>
      </c>
      <c r="BE101" s="52">
        <f>SUM($BE$97:$BE$100)</f>
        <v>1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1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1</v>
      </c>
      <c r="BV101" s="52">
        <f>SUM($BE$101,$BF$101,$BG$101,$BH$101,$BI$101,$BJ$101,$BK$101,$BL$101)</f>
        <v>1</v>
      </c>
      <c r="BX101" s="52" t="s">
        <v>34</v>
      </c>
      <c r="BY101" s="52">
        <f>SUM($BY$97:$BY$100)</f>
        <v>224</v>
      </c>
      <c r="BZ101" s="52">
        <f>SUM($BZ$97:$BZ$100)</f>
        <v>15</v>
      </c>
      <c r="CA101" s="52">
        <f>SUM($CA$97:$CA$100)</f>
        <v>2</v>
      </c>
      <c r="CB101" s="52">
        <f>SUM($CB$97:$CB$100)</f>
        <v>0</v>
      </c>
      <c r="CC101" s="52">
        <f>SUM($CC$97:$CC$100)</f>
        <v>3</v>
      </c>
      <c r="CD101" s="52">
        <f>SUM($CD$97:$CD$100)</f>
        <v>26</v>
      </c>
      <c r="CE101" s="52">
        <f>SUM($CE$97:$CE$100)</f>
        <v>2</v>
      </c>
      <c r="CF101" s="52">
        <f>SUM($CF$97:$CF$100)</f>
        <v>0</v>
      </c>
      <c r="CG101" s="52">
        <f>SUM($CG$97:$CG$100)</f>
        <v>224</v>
      </c>
      <c r="CH101" s="52">
        <f>SUM($CH$97:$CH$100)</f>
        <v>15</v>
      </c>
      <c r="CI101" s="52">
        <f>SUM($CI$97:$CI$100)</f>
        <v>3</v>
      </c>
      <c r="CJ101" s="52">
        <f>SUM($CJ$97:$CJ$100)</f>
        <v>0</v>
      </c>
      <c r="CK101" s="52">
        <f>SUM($CK$97:$CK$100)</f>
        <v>6</v>
      </c>
      <c r="CL101" s="52">
        <f>SUM($CL$97:$CL$100)</f>
        <v>5</v>
      </c>
      <c r="CM101" s="52">
        <f>SUM($CM$97:$CM$100)</f>
        <v>1</v>
      </c>
      <c r="CN101" s="52">
        <f>SUM($CN$97:$CN$100)</f>
        <v>0</v>
      </c>
      <c r="CO101" s="52">
        <f>SUM($CG$101,$CH$101,$CI$101,$CJ$101,$CK$101,$CL$101,$CM$101,$CN$101)</f>
        <v>254</v>
      </c>
      <c r="CP101" s="52">
        <f>SUM($BY$101,$BZ$101,$CA$101,$CB$101,$CC$101,$CD$101,$CE$101,$CF$101)</f>
        <v>272</v>
      </c>
      <c r="CQ101" s="52">
        <f>SUM($CQ$97:$CQ$100)</f>
        <v>249</v>
      </c>
      <c r="CR101" s="52">
        <f>SUM($CR$97:$CR$100)</f>
        <v>12</v>
      </c>
      <c r="CS101" s="52">
        <f>SUM($CS$97:$CS$100)</f>
        <v>0</v>
      </c>
      <c r="CT101" s="52">
        <f>SUM($CT$97:$CT$100)</f>
        <v>0</v>
      </c>
      <c r="CU101" s="52">
        <f>SUM($CU$97:$CU$100)</f>
        <v>4</v>
      </c>
      <c r="CV101" s="52">
        <f>SUM($CV$97:$CV$100)</f>
        <v>30</v>
      </c>
      <c r="CW101" s="52">
        <f>SUM($CW$97:$CW$100)</f>
        <v>2</v>
      </c>
      <c r="CX101" s="52">
        <f>SUM($CX$97:$CX$100)</f>
        <v>0</v>
      </c>
      <c r="CY101" s="52">
        <f>SUM($CY$97:$CY$100)</f>
        <v>249</v>
      </c>
      <c r="CZ101" s="52">
        <f>SUM($CZ$97:$CZ$100)</f>
        <v>12</v>
      </c>
      <c r="DA101" s="52">
        <f>SUM($DA$97:$DA$100)</f>
        <v>0</v>
      </c>
      <c r="DB101" s="52">
        <f>SUM($DB$97:$DB$100)</f>
        <v>0</v>
      </c>
      <c r="DC101" s="52">
        <f>SUM($DC$97:$DC$100)</f>
        <v>8</v>
      </c>
      <c r="DD101" s="52">
        <f>SUM($DD$97:$DD$100)</f>
        <v>6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276</v>
      </c>
      <c r="DH101" s="52">
        <f>SUM($CQ$101,$CR$101,$CS$101,$CT$101,$CU$101,$CV$101,$CW$101,$CX$101)</f>
        <v>297</v>
      </c>
    </row>
    <row r="102" spans="1:112" ht="21" customHeight="1">
      <c r="A102" s="46">
        <v>44395.75</v>
      </c>
      <c r="B102" s="53" t="s">
        <v>103</v>
      </c>
      <c r="C102" s="54">
        <v>1</v>
      </c>
      <c r="D102" s="54">
        <v>0</v>
      </c>
      <c r="E102" s="54">
        <v>0</v>
      </c>
      <c r="F102" s="54">
        <v>0</v>
      </c>
      <c r="G102" s="54">
        <v>0</v>
      </c>
      <c r="H102" s="54">
        <v>0</v>
      </c>
      <c r="I102" s="54">
        <v>0</v>
      </c>
      <c r="J102" s="61">
        <v>0</v>
      </c>
      <c r="K102" s="62">
        <f>$C$102*VLOOKUP($C$11,'PCU Values'!$B$9:$C$16,2,FALSE)</f>
        <v>1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1</v>
      </c>
      <c r="T102" s="52">
        <f>SUM($C$102,$D$102,$E$102,$F$102,$G$102,$H$102,$I$102,$J$102)</f>
        <v>1</v>
      </c>
      <c r="U102" s="72">
        <v>46</v>
      </c>
      <c r="V102" s="54">
        <v>2</v>
      </c>
      <c r="W102" s="54">
        <v>0</v>
      </c>
      <c r="X102" s="54">
        <v>0</v>
      </c>
      <c r="Y102" s="54">
        <v>1</v>
      </c>
      <c r="Z102" s="54">
        <v>3</v>
      </c>
      <c r="AA102" s="54">
        <v>3</v>
      </c>
      <c r="AB102" s="61">
        <v>0</v>
      </c>
      <c r="AC102" s="62">
        <f>$U$102*VLOOKUP($U$11,'PCU Values'!$B$9:$C$16,2,FALSE)</f>
        <v>46</v>
      </c>
      <c r="AD102" s="62">
        <f>$V$102*VLOOKUP($V$11,'PCU Values'!$B$9:$C$16,2,FALSE)</f>
        <v>2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2</v>
      </c>
      <c r="AH102" s="62">
        <f>$Z$102*VLOOKUP($Z$11,'PCU Values'!$B$9:$C$16,2,FALSE)</f>
        <v>0.6</v>
      </c>
      <c r="AI102" s="62">
        <f>$AA$102*VLOOKUP($AA$11,'PCU Values'!$B$9:$C$16,2,FALSE)</f>
        <v>1.2</v>
      </c>
      <c r="AJ102" s="70">
        <f>$AB$102*VLOOKUP($AB$11,'PCU Values'!$B$9:$C$16,2,FALSE)</f>
        <v>0</v>
      </c>
      <c r="AK102" s="71">
        <f>SUM($AC$102,$AD$102,$AE$102,$AF$102,$AG$102,$AH$102,$AI$102,$AJ$102)</f>
        <v>51.8</v>
      </c>
      <c r="AL102" s="52">
        <f>SUM($U$102,$V$102,$W$102,$X$102,$Y$102,$Z$102,$AA$102,$AB$102)</f>
        <v>55</v>
      </c>
      <c r="AM102" s="72">
        <v>3</v>
      </c>
      <c r="AN102" s="54">
        <v>0</v>
      </c>
      <c r="AO102" s="54">
        <v>0</v>
      </c>
      <c r="AP102" s="54">
        <v>0</v>
      </c>
      <c r="AQ102" s="54">
        <v>0</v>
      </c>
      <c r="AR102" s="54">
        <v>3</v>
      </c>
      <c r="AS102" s="54">
        <v>0</v>
      </c>
      <c r="AT102" s="61">
        <v>0</v>
      </c>
      <c r="AU102" s="62">
        <f>$AM$102*VLOOKUP($AM$11,'PCU Values'!$B$9:$C$16,2,FALSE)</f>
        <v>3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0.6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3.6</v>
      </c>
      <c r="BD102" s="52">
        <f>SUM($AM$102,$AN$102,$AO$102,$AP$102,$AQ$102,$AR$102,$AS$102,$AT$102)</f>
        <v>6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50</v>
      </c>
      <c r="BZ102" s="85">
        <f>SUM($D$102,$V$102,$AN$102,$BF$102)</f>
        <v>2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1</v>
      </c>
      <c r="CD102" s="85">
        <f>SUM($H$102,$Z$102,$AR$102,$BJ$102)</f>
        <v>6</v>
      </c>
      <c r="CE102" s="85">
        <f>SUM($I$102,$AA$102,$AS$102,$BK$102)</f>
        <v>3</v>
      </c>
      <c r="CF102" s="88">
        <f>SUM($J$102,$AB$102,$AT$102,$BL$102)</f>
        <v>0</v>
      </c>
      <c r="CG102" s="81">
        <f>$BY$102*VLOOKUP($BY$11,'PCU Values'!$B$9:$C$16,2,FALSE)</f>
        <v>50</v>
      </c>
      <c r="CH102" s="81">
        <f>$BZ$102*VLOOKUP($BZ$11,'PCU Values'!$B$9:$C$16,2,FALSE)</f>
        <v>2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2</v>
      </c>
      <c r="CL102" s="81">
        <f>$CD$102*VLOOKUP($CD$11,'PCU Values'!$B$9:$C$16,2,FALSE)</f>
        <v>1.2</v>
      </c>
      <c r="CM102" s="81">
        <f>$CE$102*VLOOKUP($CE$11,'PCU Values'!$B$9:$C$16,2,FALSE)</f>
        <v>1.2</v>
      </c>
      <c r="CN102" s="82">
        <f>$CF$102*VLOOKUP($CF$11,'PCU Values'!$B$9:$C$16,2,FALSE)</f>
        <v>0</v>
      </c>
      <c r="CO102" s="71">
        <f>SUM($CG$102,$CH$102,$CI$102,$CJ$102,$CK$102,$CL$102,$CM$102,$CN$102)</f>
        <v>56.4</v>
      </c>
      <c r="CP102" s="52">
        <f>SUM($BY$102,$BZ$102,$CA$102,$CB$102,$CC$102,$CD$102,$CE$102,$CF$102)</f>
        <v>62</v>
      </c>
      <c r="CQ102" s="91">
        <f>SUM('J1 A - (North) Bishopthorpe Roa'!$U$102,'J1 B - Butcher Terrace'!$C$102,'J1 C - (South) Bishopthorpe Roa'!$BE$102,'J1 D - South Bank Avenue'!$AM$102)</f>
        <v>67</v>
      </c>
      <c r="CR102" s="85">
        <f>SUM('J1 A - (North) Bishopthorpe Roa'!$V$102,'J1 B - Butcher Terrace'!$D$102,'J1 C - (South) Bishopthorpe Roa'!$BF$102,'J1 D - South Bank Avenue'!$AN$102)</f>
        <v>2</v>
      </c>
      <c r="CS102" s="85">
        <f>SUM('J1 A - (North) Bishopthorpe Roa'!$W$102,'J1 B - Butcher Terrace'!$E$102,'J1 C - (South) Bishopthorpe Roa'!$BG$102,'J1 D - South Bank Avenue'!$AO$102)</f>
        <v>0</v>
      </c>
      <c r="CT102" s="85">
        <f>SUM('J1 A - (North) Bishopthorpe Roa'!$X$102,'J1 B - Butcher Terrace'!$F$102,'J1 C - (South) Bishopthorpe Roa'!$BH$102,'J1 D - South Bank Avenue'!$AP$102)</f>
        <v>0</v>
      </c>
      <c r="CU102" s="85">
        <f>SUM('J1 A - (North) Bishopthorpe Roa'!$Y$102,'J1 B - Butcher Terrace'!$G$102,'J1 C - (South) Bishopthorpe Roa'!$BI$102,'J1 D - South Bank Avenue'!$AQ$102)</f>
        <v>1</v>
      </c>
      <c r="CV102" s="85">
        <f>SUM('J1 A - (North) Bishopthorpe Roa'!$Z$102,'J1 B - Butcher Terrace'!$H$102,'J1 C - (South) Bishopthorpe Roa'!$BJ$102,'J1 D - South Bank Avenue'!$AR$102)</f>
        <v>11</v>
      </c>
      <c r="CW102" s="85">
        <f>SUM('J1 A - (North) Bishopthorpe Roa'!$AA$102,'J1 B - Butcher Terrace'!$I$102,'J1 C - (South) Bishopthorpe Roa'!$BK$102,'J1 D - South Bank Avenue'!$AS$102)</f>
        <v>3</v>
      </c>
      <c r="CX102" s="88">
        <f>SUM('J1 A - (North) Bishopthorpe Roa'!$AB$102,'J1 B - Butcher Terrace'!$J$102,'J1 C - (South) Bishopthorpe Roa'!$BL$102,'J1 D - South Bank Avenue'!$AT$102)</f>
        <v>0</v>
      </c>
      <c r="CY102" s="81">
        <f>$CQ$102*VLOOKUP($CQ$11,'PCU Values'!$B$9:$C$16,2,FALSE)</f>
        <v>67</v>
      </c>
      <c r="CZ102" s="81">
        <f>$CR$102*VLOOKUP($CR$11,'PCU Values'!$B$9:$C$16,2,FALSE)</f>
        <v>2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2</v>
      </c>
      <c r="DD102" s="81">
        <f>$CV$102*VLOOKUP($CV$11,'PCU Values'!$B$9:$C$16,2,FALSE)</f>
        <v>2.2000000000000002</v>
      </c>
      <c r="DE102" s="81">
        <f>$CW$102*VLOOKUP($CW$11,'PCU Values'!$B$9:$C$16,2,FALSE)</f>
        <v>1.2</v>
      </c>
      <c r="DF102" s="82">
        <f>$CX$102*VLOOKUP($CX$11,'PCU Values'!$B$9:$C$16,2,FALSE)</f>
        <v>0</v>
      </c>
      <c r="DG102" s="71">
        <f>SUM($CY$102,$CZ$102,$DA$102,$DB$102,$DC$102,$DD$102,$DE$102,$DF$102)</f>
        <v>74.400000000000006</v>
      </c>
      <c r="DH102" s="52">
        <f>SUM($CQ$102,$CR$102,$CS$102,$CT$102,$CU$102,$CV$102,$CW$102,$CX$102)</f>
        <v>84</v>
      </c>
    </row>
    <row r="103" spans="1:112" ht="21" customHeight="1">
      <c r="A103" s="46">
        <v>44395.760416666701</v>
      </c>
      <c r="B103" s="47" t="s">
        <v>104</v>
      </c>
      <c r="C103" s="48">
        <v>2</v>
      </c>
      <c r="D103" s="48">
        <v>0</v>
      </c>
      <c r="E103" s="48">
        <v>0</v>
      </c>
      <c r="F103" s="48">
        <v>0</v>
      </c>
      <c r="G103" s="48">
        <v>0</v>
      </c>
      <c r="H103" s="48">
        <v>1</v>
      </c>
      <c r="I103" s="48">
        <v>0</v>
      </c>
      <c r="J103" s="56">
        <v>0</v>
      </c>
      <c r="K103" s="57">
        <f>$C$103*VLOOKUP($C$11,'PCU Values'!$B$9:$C$16,2,FALSE)</f>
        <v>2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0.2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2.2000000000000002</v>
      </c>
      <c r="T103" s="52">
        <f>SUM($C$103,$D$103,$E$103,$F$103,$G$103,$H$103,$I$103,$J$103)</f>
        <v>3</v>
      </c>
      <c r="U103" s="67">
        <v>40</v>
      </c>
      <c r="V103" s="48">
        <v>1</v>
      </c>
      <c r="W103" s="48">
        <v>0</v>
      </c>
      <c r="X103" s="48">
        <v>0</v>
      </c>
      <c r="Y103" s="48">
        <v>0</v>
      </c>
      <c r="Z103" s="48">
        <v>0</v>
      </c>
      <c r="AA103" s="48">
        <v>1</v>
      </c>
      <c r="AB103" s="56">
        <v>0</v>
      </c>
      <c r="AC103" s="57">
        <f>$U$103*VLOOKUP($U$11,'PCU Values'!$B$9:$C$16,2,FALSE)</f>
        <v>40</v>
      </c>
      <c r="AD103" s="57">
        <f>$V$103*VLOOKUP($V$11,'PCU Values'!$B$9:$C$16,2,FALSE)</f>
        <v>1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0</v>
      </c>
      <c r="AI103" s="57">
        <f>$AA$103*VLOOKUP($AA$11,'PCU Values'!$B$9:$C$16,2,FALSE)</f>
        <v>0.4</v>
      </c>
      <c r="AJ103" s="65">
        <f>$AB$103*VLOOKUP($AB$11,'PCU Values'!$B$9:$C$16,2,FALSE)</f>
        <v>0</v>
      </c>
      <c r="AK103" s="66">
        <f>SUM($AC$103,$AD$103,$AE$103,$AF$103,$AG$103,$AH$103,$AI$103,$AJ$103)</f>
        <v>41.4</v>
      </c>
      <c r="AL103" s="52">
        <f>SUM($U$103,$V$103,$W$103,$X$103,$Y$103,$Z$103,$AA$103,$AB$103)</f>
        <v>42</v>
      </c>
      <c r="AM103" s="67">
        <v>3</v>
      </c>
      <c r="AN103" s="48">
        <v>0</v>
      </c>
      <c r="AO103" s="48">
        <v>0</v>
      </c>
      <c r="AP103" s="48">
        <v>0</v>
      </c>
      <c r="AQ103" s="48">
        <v>0</v>
      </c>
      <c r="AR103" s="48">
        <v>2</v>
      </c>
      <c r="AS103" s="48">
        <v>0</v>
      </c>
      <c r="AT103" s="56">
        <v>0</v>
      </c>
      <c r="AU103" s="57">
        <f>$AM$103*VLOOKUP($AM$11,'PCU Values'!$B$9:$C$16,2,FALSE)</f>
        <v>3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0.4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3.4</v>
      </c>
      <c r="BD103" s="52">
        <f>SUM($AM$103,$AN$103,$AO$103,$AP$103,$AQ$103,$AR$103,$AS$103,$AT$103)</f>
        <v>5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45</v>
      </c>
      <c r="BZ103" s="83">
        <f>SUM($D$103,$V$103,$AN$103,$BF$103)</f>
        <v>1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3</v>
      </c>
      <c r="CE103" s="83">
        <f>SUM($I$103,$AA$103,$AS$103,$BK$103)</f>
        <v>1</v>
      </c>
      <c r="CF103" s="86">
        <f>SUM($J$103,$AB$103,$AT$103,$BL$103)</f>
        <v>0</v>
      </c>
      <c r="CG103" s="77">
        <f>$BY$103*VLOOKUP($BY$11,'PCU Values'!$B$9:$C$16,2,FALSE)</f>
        <v>45</v>
      </c>
      <c r="CH103" s="77">
        <f>$BZ$103*VLOOKUP($BZ$11,'PCU Values'!$B$9:$C$16,2,FALSE)</f>
        <v>1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0.6</v>
      </c>
      <c r="CM103" s="77">
        <f>$CE$103*VLOOKUP($CE$11,'PCU Values'!$B$9:$C$16,2,FALSE)</f>
        <v>0.4</v>
      </c>
      <c r="CN103" s="78">
        <f>$CF$103*VLOOKUP($CF$11,'PCU Values'!$B$9:$C$16,2,FALSE)</f>
        <v>0</v>
      </c>
      <c r="CO103" s="66">
        <f>SUM($CG$103,$CH$103,$CI$103,$CJ$103,$CK$103,$CL$103,$CM$103,$CN$103)</f>
        <v>47</v>
      </c>
      <c r="CP103" s="52">
        <f>SUM($BY$103,$BZ$103,$CA$103,$CB$103,$CC$103,$CD$103,$CE$103,$CF$103)</f>
        <v>50</v>
      </c>
      <c r="CQ103" s="89">
        <f>SUM('J1 A - (North) Bishopthorpe Roa'!$U$103,'J1 B - Butcher Terrace'!$C$103,'J1 C - (South) Bishopthorpe Roa'!$BE$103,'J1 D - South Bank Avenue'!$AM$103)</f>
        <v>52</v>
      </c>
      <c r="CR103" s="83">
        <f>SUM('J1 A - (North) Bishopthorpe Roa'!$V$103,'J1 B - Butcher Terrace'!$D$103,'J1 C - (South) Bishopthorpe Roa'!$BF$103,'J1 D - South Bank Avenue'!$AN$103)</f>
        <v>3</v>
      </c>
      <c r="CS103" s="83">
        <f>SUM('J1 A - (North) Bishopthorpe Roa'!$W$103,'J1 B - Butcher Terrace'!$E$103,'J1 C - (South) Bishopthorpe Roa'!$BG$103,'J1 D - South Bank Avenue'!$AO$103)</f>
        <v>0</v>
      </c>
      <c r="CT103" s="83">
        <f>SUM('J1 A - (North) Bishopthorpe Roa'!$X$103,'J1 B - Butcher Terrace'!$F$103,'J1 C - (South) Bishopthorpe Roa'!$BH$103,'J1 D - South Bank Avenue'!$AP$103)</f>
        <v>0</v>
      </c>
      <c r="CU103" s="83">
        <f>SUM('J1 A - (North) Bishopthorpe Roa'!$Y$103,'J1 B - Butcher Terrace'!$G$103,'J1 C - (South) Bishopthorpe Roa'!$BI$103,'J1 D - South Bank Avenue'!$AQ$103)</f>
        <v>0</v>
      </c>
      <c r="CV103" s="83">
        <f>SUM('J1 A - (North) Bishopthorpe Roa'!$Z$103,'J1 B - Butcher Terrace'!$H$103,'J1 C - (South) Bishopthorpe Roa'!$BJ$103,'J1 D - South Bank Avenue'!$AR$103)</f>
        <v>15</v>
      </c>
      <c r="CW103" s="83">
        <f>SUM('J1 A - (North) Bishopthorpe Roa'!$AA$103,'J1 B - Butcher Terrace'!$I$103,'J1 C - (South) Bishopthorpe Roa'!$BK$103,'J1 D - South Bank Avenue'!$AS$103)</f>
        <v>1</v>
      </c>
      <c r="CX103" s="86">
        <f>SUM('J1 A - (North) Bishopthorpe Roa'!$AB$103,'J1 B - Butcher Terrace'!$J$103,'J1 C - (South) Bishopthorpe Roa'!$BL$103,'J1 D - South Bank Avenue'!$AT$103)</f>
        <v>0</v>
      </c>
      <c r="CY103" s="77">
        <f>$CQ$103*VLOOKUP($CQ$11,'PCU Values'!$B$9:$C$16,2,FALSE)</f>
        <v>52</v>
      </c>
      <c r="CZ103" s="77">
        <f>$CR$103*VLOOKUP($CR$11,'PCU Values'!$B$9:$C$16,2,FALSE)</f>
        <v>3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3</v>
      </c>
      <c r="DE103" s="77">
        <f>$CW$103*VLOOKUP($CW$11,'PCU Values'!$B$9:$C$16,2,FALSE)</f>
        <v>0.4</v>
      </c>
      <c r="DF103" s="78">
        <f>$CX$103*VLOOKUP($CX$11,'PCU Values'!$B$9:$C$16,2,FALSE)</f>
        <v>0</v>
      </c>
      <c r="DG103" s="66">
        <f>SUM($CY$103,$CZ$103,$DA$103,$DB$103,$DC$103,$DD$103,$DE$103,$DF$103)</f>
        <v>58.4</v>
      </c>
      <c r="DH103" s="52">
        <f>SUM($CQ$103,$CR$103,$CS$103,$CT$103,$CU$103,$CV$103,$CW$103,$CX$103)</f>
        <v>71</v>
      </c>
    </row>
    <row r="104" spans="1:112" ht="21" customHeight="1">
      <c r="A104" s="46">
        <v>44395.770833333299</v>
      </c>
      <c r="B104" s="47" t="s">
        <v>105</v>
      </c>
      <c r="C104" s="49">
        <v>2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8">
        <v>0</v>
      </c>
      <c r="K104" s="57">
        <f>$C$104*VLOOKUP($C$11,'PCU Values'!$B$9:$C$16,2,FALSE)</f>
        <v>2</v>
      </c>
      <c r="L104" s="57">
        <f>$D$104*VLOOKUP($D$11,'PCU Values'!$B$9:$C$16,2,FALSE)</f>
        <v>0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2</v>
      </c>
      <c r="T104" s="52">
        <f>SUM($C$104,$D$104,$E$104,$F$104,$G$104,$H$104,$I$104,$J$104)</f>
        <v>2</v>
      </c>
      <c r="U104" s="49">
        <v>50</v>
      </c>
      <c r="V104" s="49">
        <v>0</v>
      </c>
      <c r="W104" s="49">
        <v>0</v>
      </c>
      <c r="X104" s="49">
        <v>0</v>
      </c>
      <c r="Y104" s="49">
        <v>1</v>
      </c>
      <c r="Z104" s="49">
        <v>3</v>
      </c>
      <c r="AA104" s="49">
        <v>1</v>
      </c>
      <c r="AB104" s="58">
        <v>0</v>
      </c>
      <c r="AC104" s="57">
        <f>$U$104*VLOOKUP($U$11,'PCU Values'!$B$9:$C$16,2,FALSE)</f>
        <v>50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2</v>
      </c>
      <c r="AH104" s="57">
        <f>$Z$104*VLOOKUP($Z$11,'PCU Values'!$B$9:$C$16,2,FALSE)</f>
        <v>0.6</v>
      </c>
      <c r="AI104" s="57">
        <f>$AA$104*VLOOKUP($AA$11,'PCU Values'!$B$9:$C$16,2,FALSE)</f>
        <v>0.4</v>
      </c>
      <c r="AJ104" s="65">
        <f>$AB$104*VLOOKUP($AB$11,'PCU Values'!$B$9:$C$16,2,FALSE)</f>
        <v>0</v>
      </c>
      <c r="AK104" s="66">
        <f>SUM($AC$104,$AD$104,$AE$104,$AF$104,$AG$104,$AH$104,$AI$104,$AJ$104)</f>
        <v>53</v>
      </c>
      <c r="AL104" s="52">
        <f>SUM($U$104,$V$104,$W$104,$X$104,$Y$104,$Z$104,$AA$104,$AB$104)</f>
        <v>55</v>
      </c>
      <c r="AM104" s="49">
        <v>6</v>
      </c>
      <c r="AN104" s="49">
        <v>0</v>
      </c>
      <c r="AO104" s="49">
        <v>0</v>
      </c>
      <c r="AP104" s="49">
        <v>0</v>
      </c>
      <c r="AQ104" s="49">
        <v>0</v>
      </c>
      <c r="AR104" s="49">
        <v>0</v>
      </c>
      <c r="AS104" s="49">
        <v>1</v>
      </c>
      <c r="AT104" s="58">
        <v>0</v>
      </c>
      <c r="AU104" s="57">
        <f>$AM$104*VLOOKUP($AM$11,'PCU Values'!$B$9:$C$16,2,FALSE)</f>
        <v>6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</v>
      </c>
      <c r="BA104" s="57">
        <f>$AS$104*VLOOKUP($AS$11,'PCU Values'!$B$9:$C$16,2,FALSE)</f>
        <v>0.4</v>
      </c>
      <c r="BB104" s="65">
        <f>$AT$104*VLOOKUP($AT$11,'PCU Values'!$B$9:$C$16,2,FALSE)</f>
        <v>0</v>
      </c>
      <c r="BC104" s="66">
        <f>SUM($AU$104,$AV$104,$AW$104,$AX$104,$AY$104,$AZ$104,$BA$104,$BB$104)</f>
        <v>6.4</v>
      </c>
      <c r="BD104" s="52">
        <f>SUM($AM$104,$AN$104,$AO$104,$AP$104,$AQ$104,$AR$104,$AS$104,$AT$104)</f>
        <v>7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58</v>
      </c>
      <c r="BZ104" s="83">
        <f>SUM($D$104,$V$104,$AN$104,$BF$104)</f>
        <v>0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1</v>
      </c>
      <c r="CD104" s="83">
        <f>SUM($H$104,$Z$104,$AR$104,$BJ$104)</f>
        <v>3</v>
      </c>
      <c r="CE104" s="83">
        <f>SUM($I$104,$AA$104,$AS$104,$BK$104)</f>
        <v>2</v>
      </c>
      <c r="CF104" s="86">
        <f>SUM($J$104,$AB$104,$AT$104,$BL$104)</f>
        <v>0</v>
      </c>
      <c r="CG104" s="77">
        <f>$BY$104*VLOOKUP($BY$11,'PCU Values'!$B$9:$C$16,2,FALSE)</f>
        <v>58</v>
      </c>
      <c r="CH104" s="77">
        <f>$BZ$104*VLOOKUP($BZ$11,'PCU Values'!$B$9:$C$16,2,FALSE)</f>
        <v>0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2</v>
      </c>
      <c r="CL104" s="77">
        <f>$CD$104*VLOOKUP($CD$11,'PCU Values'!$B$9:$C$16,2,FALSE)</f>
        <v>0.6</v>
      </c>
      <c r="CM104" s="77">
        <f>$CE$104*VLOOKUP($CE$11,'PCU Values'!$B$9:$C$16,2,FALSE)</f>
        <v>0.8</v>
      </c>
      <c r="CN104" s="78">
        <f>$CF$104*VLOOKUP($CF$11,'PCU Values'!$B$9:$C$16,2,FALSE)</f>
        <v>0</v>
      </c>
      <c r="CO104" s="66">
        <f>SUM($CG$104,$CH$104,$CI$104,$CJ$104,$CK$104,$CL$104,$CM$104,$CN$104)</f>
        <v>61.4</v>
      </c>
      <c r="CP104" s="52">
        <f>SUM($BY$104,$BZ$104,$CA$104,$CB$104,$CC$104,$CD$104,$CE$104,$CF$104)</f>
        <v>64</v>
      </c>
      <c r="CQ104" s="89">
        <f>SUM('J1 A - (North) Bishopthorpe Roa'!$U$104,'J1 B - Butcher Terrace'!$C$104,'J1 C - (South) Bishopthorpe Roa'!$BE$104,'J1 D - South Bank Avenue'!$AM$104)</f>
        <v>54</v>
      </c>
      <c r="CR104" s="83">
        <f>SUM('J1 A - (North) Bishopthorpe Roa'!$V$104,'J1 B - Butcher Terrace'!$D$104,'J1 C - (South) Bishopthorpe Roa'!$BF$104,'J1 D - South Bank Avenue'!$AN$104)</f>
        <v>4</v>
      </c>
      <c r="CS104" s="83">
        <f>SUM('J1 A - (North) Bishopthorpe Roa'!$W$104,'J1 B - Butcher Terrace'!$E$104,'J1 C - (South) Bishopthorpe Roa'!$BG$104,'J1 D - South Bank Avenue'!$AO$104)</f>
        <v>1</v>
      </c>
      <c r="CT104" s="83">
        <f>SUM('J1 A - (North) Bishopthorpe Roa'!$X$104,'J1 B - Butcher Terrace'!$F$104,'J1 C - (South) Bishopthorpe Roa'!$BH$104,'J1 D - South Bank Avenue'!$AP$104)</f>
        <v>0</v>
      </c>
      <c r="CU104" s="83">
        <f>SUM('J1 A - (North) Bishopthorpe Roa'!$Y$104,'J1 B - Butcher Terrace'!$G$104,'J1 C - (South) Bishopthorpe Roa'!$BI$104,'J1 D - South Bank Avenue'!$AQ$104)</f>
        <v>3</v>
      </c>
      <c r="CV104" s="83">
        <f>SUM('J1 A - (North) Bishopthorpe Roa'!$Z$104,'J1 B - Butcher Terrace'!$H$104,'J1 C - (South) Bishopthorpe Roa'!$BJ$104,'J1 D - South Bank Avenue'!$AR$104)</f>
        <v>11</v>
      </c>
      <c r="CW104" s="83">
        <f>SUM('J1 A - (North) Bishopthorpe Roa'!$AA$104,'J1 B - Butcher Terrace'!$I$104,'J1 C - (South) Bishopthorpe Roa'!$BK$104,'J1 D - South Bank Avenue'!$AS$104)</f>
        <v>1</v>
      </c>
      <c r="CX104" s="86">
        <f>SUM('J1 A - (North) Bishopthorpe Roa'!$AB$104,'J1 B - Butcher Terrace'!$J$104,'J1 C - (South) Bishopthorpe Roa'!$BL$104,'J1 D - South Bank Avenue'!$AT$104)</f>
        <v>0</v>
      </c>
      <c r="CY104" s="77">
        <f>$CQ$104*VLOOKUP($CQ$11,'PCU Values'!$B$9:$C$16,2,FALSE)</f>
        <v>54</v>
      </c>
      <c r="CZ104" s="77">
        <f>$CR$104*VLOOKUP($CR$11,'PCU Values'!$B$9:$C$16,2,FALSE)</f>
        <v>4</v>
      </c>
      <c r="DA104" s="77">
        <f>$CS$104*VLOOKUP($CS$11,'PCU Values'!$B$9:$C$16,2,FALSE)</f>
        <v>1.5</v>
      </c>
      <c r="DB104" s="77">
        <f>$CT$104*VLOOKUP($CT$11,'PCU Values'!$B$9:$C$16,2,FALSE)</f>
        <v>0</v>
      </c>
      <c r="DC104" s="77">
        <f>$CU$104*VLOOKUP($CU$11,'PCU Values'!$B$9:$C$16,2,FALSE)</f>
        <v>6</v>
      </c>
      <c r="DD104" s="77">
        <f>$CV$104*VLOOKUP($CV$11,'PCU Values'!$B$9:$C$16,2,FALSE)</f>
        <v>2.2000000000000002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68.099999999999994</v>
      </c>
      <c r="DH104" s="52">
        <f>SUM($CQ$104,$CR$104,$CS$104,$CT$104,$CU$104,$CV$104,$CW$104,$CX$104)</f>
        <v>74</v>
      </c>
    </row>
    <row r="105" spans="1:112" ht="21" customHeight="1">
      <c r="A105" s="46">
        <v>44395.78125</v>
      </c>
      <c r="B105" s="50" t="s">
        <v>106</v>
      </c>
      <c r="C105" s="51">
        <v>2</v>
      </c>
      <c r="D105" s="51">
        <v>0</v>
      </c>
      <c r="E105" s="51">
        <v>0</v>
      </c>
      <c r="F105" s="51">
        <v>0</v>
      </c>
      <c r="G105" s="51">
        <v>0</v>
      </c>
      <c r="H105" s="51">
        <v>0</v>
      </c>
      <c r="I105" s="51">
        <v>0</v>
      </c>
      <c r="J105" s="59">
        <v>0</v>
      </c>
      <c r="K105" s="60">
        <f>$C$105*VLOOKUP($C$11,'PCU Values'!$B$9:$C$16,2,FALSE)</f>
        <v>2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2</v>
      </c>
      <c r="T105" s="52">
        <f>SUM($C$105,$D$105,$E$105,$F$105,$G$105,$H$105,$I$105,$J$105)</f>
        <v>2</v>
      </c>
      <c r="U105" s="73">
        <v>45</v>
      </c>
      <c r="V105" s="51">
        <v>2</v>
      </c>
      <c r="W105" s="51">
        <v>0</v>
      </c>
      <c r="X105" s="51">
        <v>0</v>
      </c>
      <c r="Y105" s="51">
        <v>1</v>
      </c>
      <c r="Z105" s="51">
        <v>3</v>
      </c>
      <c r="AA105" s="51">
        <v>0</v>
      </c>
      <c r="AB105" s="59">
        <v>0</v>
      </c>
      <c r="AC105" s="60">
        <f>$U$105*VLOOKUP($U$11,'PCU Values'!$B$9:$C$16,2,FALSE)</f>
        <v>45</v>
      </c>
      <c r="AD105" s="60">
        <f>$V$105*VLOOKUP($V$11,'PCU Values'!$B$9:$C$16,2,FALSE)</f>
        <v>2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2</v>
      </c>
      <c r="AH105" s="60">
        <f>$Z$105*VLOOKUP($Z$11,'PCU Values'!$B$9:$C$16,2,FALSE)</f>
        <v>0.6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49.6</v>
      </c>
      <c r="AL105" s="52">
        <f>SUM($U$105,$V$105,$W$105,$X$105,$Y$105,$Z$105,$AA$105,$AB$105)</f>
        <v>51</v>
      </c>
      <c r="AM105" s="73">
        <v>2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9">
        <v>0</v>
      </c>
      <c r="AU105" s="60">
        <f>$AM$105*VLOOKUP($AM$11,'PCU Values'!$B$9:$C$16,2,FALSE)</f>
        <v>2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2</v>
      </c>
      <c r="BD105" s="52">
        <f>SUM($AM$105,$AN$105,$AO$105,$AP$105,$AQ$105,$AR$105,$AS$105,$AT$105)</f>
        <v>2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49</v>
      </c>
      <c r="BZ105" s="84">
        <f>SUM($D$105,$V$105,$AN$105,$BF$105)</f>
        <v>2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1</v>
      </c>
      <c r="CD105" s="84">
        <f>SUM($H$105,$Z$105,$AR$105,$BJ$105)</f>
        <v>3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49</v>
      </c>
      <c r="CH105" s="79">
        <f>$BZ$105*VLOOKUP($BZ$11,'PCU Values'!$B$9:$C$16,2,FALSE)</f>
        <v>2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2</v>
      </c>
      <c r="CL105" s="79">
        <f>$CD$105*VLOOKUP($CD$11,'PCU Values'!$B$9:$C$16,2,FALSE)</f>
        <v>0.6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53.6</v>
      </c>
      <c r="CP105" s="52">
        <f>SUM($BY$105,$BZ$105,$CA$105,$CB$105,$CC$105,$CD$105,$CE$105,$CF$105)</f>
        <v>55</v>
      </c>
      <c r="CQ105" s="90">
        <f>SUM('J1 A - (North) Bishopthorpe Roa'!$U$105,'J1 B - Butcher Terrace'!$C$105,'J1 C - (South) Bishopthorpe Roa'!$BE$105,'J1 D - South Bank Avenue'!$AM$105)</f>
        <v>53</v>
      </c>
      <c r="CR105" s="84">
        <f>SUM('J1 A - (North) Bishopthorpe Roa'!$V$105,'J1 B - Butcher Terrace'!$D$105,'J1 C - (South) Bishopthorpe Roa'!$BF$105,'J1 D - South Bank Avenue'!$AN$105)</f>
        <v>2</v>
      </c>
      <c r="CS105" s="84">
        <f>SUM('J1 A - (North) Bishopthorpe Roa'!$W$105,'J1 B - Butcher Terrace'!$E$105,'J1 C - (South) Bishopthorpe Roa'!$BG$105,'J1 D - South Bank Avenue'!$AO$105)</f>
        <v>0</v>
      </c>
      <c r="CT105" s="84">
        <f>SUM('J1 A - (North) Bishopthorpe Roa'!$X$105,'J1 B - Butcher Terrace'!$F$105,'J1 C - (South) Bishopthorpe Roa'!$BH$105,'J1 D - South Bank Avenue'!$AP$105)</f>
        <v>0</v>
      </c>
      <c r="CU105" s="84">
        <f>SUM('J1 A - (North) Bishopthorpe Roa'!$Y$105,'J1 B - Butcher Terrace'!$G$105,'J1 C - (South) Bishopthorpe Roa'!$BI$105,'J1 D - South Bank Avenue'!$AQ$105)</f>
        <v>0</v>
      </c>
      <c r="CV105" s="84">
        <f>SUM('J1 A - (North) Bishopthorpe Roa'!$Z$105,'J1 B - Butcher Terrace'!$H$105,'J1 C - (South) Bishopthorpe Roa'!$BJ$105,'J1 D - South Bank Avenue'!$AR$105)</f>
        <v>7</v>
      </c>
      <c r="CW105" s="84">
        <f>SUM('J1 A - (North) Bishopthorpe Roa'!$AA$105,'J1 B - Butcher Terrace'!$I$105,'J1 C - (South) Bishopthorpe Roa'!$BK$105,'J1 D - South Bank Avenue'!$AS$105)</f>
        <v>2</v>
      </c>
      <c r="CX105" s="87">
        <f>SUM('J1 A - (North) Bishopthorpe Roa'!$AB$105,'J1 B - Butcher Terrace'!$J$105,'J1 C - (South) Bishopthorpe Roa'!$BL$105,'J1 D - South Bank Avenue'!$AT$105)</f>
        <v>0</v>
      </c>
      <c r="CY105" s="79">
        <f>$CQ$105*VLOOKUP($CQ$11,'PCU Values'!$B$9:$C$16,2,FALSE)</f>
        <v>53</v>
      </c>
      <c r="CZ105" s="79">
        <f>$CR$105*VLOOKUP($CR$11,'PCU Values'!$B$9:$C$16,2,FALSE)</f>
        <v>2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1.4</v>
      </c>
      <c r="DE105" s="79">
        <f>$CW$105*VLOOKUP($CW$11,'PCU Values'!$B$9:$C$16,2,FALSE)</f>
        <v>0.8</v>
      </c>
      <c r="DF105" s="80">
        <f>$CX$105*VLOOKUP($CX$11,'PCU Values'!$B$9:$C$16,2,FALSE)</f>
        <v>0</v>
      </c>
      <c r="DG105" s="63">
        <f>SUM($CY$105,$CZ$105,$DA$105,$DB$105,$DC$105,$DD$105,$DE$105,$DF$105)</f>
        <v>57.2</v>
      </c>
      <c r="DH105" s="52">
        <f>SUM($CQ$105,$CR$105,$CS$105,$CT$105,$CU$105,$CV$105,$CW$105,$CX$105)</f>
        <v>64</v>
      </c>
    </row>
    <row r="106" spans="1:112">
      <c r="B106" s="52" t="s">
        <v>34</v>
      </c>
      <c r="C106" s="52">
        <f>SUM($C$102:$C$105)</f>
        <v>7</v>
      </c>
      <c r="D106" s="52">
        <f>SUM($D$102:$D$105)</f>
        <v>0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1</v>
      </c>
      <c r="I106" s="52">
        <f>SUM($I$102:$I$105)</f>
        <v>0</v>
      </c>
      <c r="J106" s="52">
        <f>SUM($J$102:$J$105)</f>
        <v>0</v>
      </c>
      <c r="K106" s="52">
        <f>SUM($K$102:$K$105)</f>
        <v>7</v>
      </c>
      <c r="L106" s="52">
        <f>SUM($L$102:$L$105)</f>
        <v>0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0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7</v>
      </c>
      <c r="T106" s="52">
        <f>SUM($C$106,$D$106,$E$106,$F$106,$G$106,$H$106,$I$106,$J$106)</f>
        <v>8</v>
      </c>
      <c r="U106" s="52">
        <f>SUM($U$102:$U$105)</f>
        <v>181</v>
      </c>
      <c r="V106" s="52">
        <f>SUM($V$102:$V$105)</f>
        <v>5</v>
      </c>
      <c r="W106" s="52">
        <f>SUM($W$102:$W$105)</f>
        <v>0</v>
      </c>
      <c r="X106" s="52">
        <f>SUM($X$102:$X$105)</f>
        <v>0</v>
      </c>
      <c r="Y106" s="52">
        <f>SUM($Y$102:$Y$105)</f>
        <v>3</v>
      </c>
      <c r="Z106" s="52">
        <f>SUM($Z$102:$Z$105)</f>
        <v>9</v>
      </c>
      <c r="AA106" s="52">
        <f>SUM($AA$102:$AA$105)</f>
        <v>5</v>
      </c>
      <c r="AB106" s="52">
        <f>SUM($AB$102:$AB$105)</f>
        <v>0</v>
      </c>
      <c r="AC106" s="52">
        <f>SUM($AC$102:$AC$105)</f>
        <v>181</v>
      </c>
      <c r="AD106" s="52">
        <f>SUM($AD$102:$AD$105)</f>
        <v>5</v>
      </c>
      <c r="AE106" s="52">
        <f>SUM($AE$102:$AE$105)</f>
        <v>0</v>
      </c>
      <c r="AF106" s="52">
        <f>SUM($AF$102:$AF$105)</f>
        <v>0</v>
      </c>
      <c r="AG106" s="52">
        <f>SUM($AG$102:$AG$105)</f>
        <v>6</v>
      </c>
      <c r="AH106" s="52">
        <f>SUM($AH$102:$AH$105)</f>
        <v>2</v>
      </c>
      <c r="AI106" s="52">
        <f>SUM($AI$102:$AI$105)</f>
        <v>2</v>
      </c>
      <c r="AJ106" s="52">
        <f>SUM($AJ$102:$AJ$105)</f>
        <v>0</v>
      </c>
      <c r="AK106" s="52">
        <f>SUM($AC$106,$AD$106,$AE$106,$AF$106,$AG$106,$AH$106,$AI$106,$AJ$106)</f>
        <v>196</v>
      </c>
      <c r="AL106" s="52">
        <f>SUM($U$106,$V$106,$W$106,$X$106,$Y$106,$Z$106,$AA$106,$AB$106)</f>
        <v>203</v>
      </c>
      <c r="AM106" s="52">
        <f>SUM($AM$102:$AM$105)</f>
        <v>14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5</v>
      </c>
      <c r="AS106" s="52">
        <f>SUM($AS$102:$AS$105)</f>
        <v>1</v>
      </c>
      <c r="AT106" s="52">
        <f>SUM($AT$102:$AT$105)</f>
        <v>0</v>
      </c>
      <c r="AU106" s="52">
        <f>SUM($AU$102:$AU$105)</f>
        <v>14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1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15</v>
      </c>
      <c r="BD106" s="52">
        <f>SUM($AM$106,$AN$106,$AO$106,$AP$106,$AQ$106,$AR$106,$AS$106,$AT$106)</f>
        <v>20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202</v>
      </c>
      <c r="BZ106" s="52">
        <f>SUM($BZ$102:$BZ$105)</f>
        <v>5</v>
      </c>
      <c r="CA106" s="52">
        <f>SUM($CA$102:$CA$105)</f>
        <v>0</v>
      </c>
      <c r="CB106" s="52">
        <f>SUM($CB$102:$CB$105)</f>
        <v>0</v>
      </c>
      <c r="CC106" s="52">
        <f>SUM($CC$102:$CC$105)</f>
        <v>3</v>
      </c>
      <c r="CD106" s="52">
        <f>SUM($CD$102:$CD$105)</f>
        <v>15</v>
      </c>
      <c r="CE106" s="52">
        <f>SUM($CE$102:$CE$105)</f>
        <v>6</v>
      </c>
      <c r="CF106" s="52">
        <f>SUM($CF$102:$CF$105)</f>
        <v>0</v>
      </c>
      <c r="CG106" s="52">
        <f>SUM($CG$102:$CG$105)</f>
        <v>202</v>
      </c>
      <c r="CH106" s="52">
        <f>SUM($CH$102:$CH$105)</f>
        <v>5</v>
      </c>
      <c r="CI106" s="52">
        <f>SUM($CI$102:$CI$105)</f>
        <v>0</v>
      </c>
      <c r="CJ106" s="52">
        <f>SUM($CJ$102:$CJ$105)</f>
        <v>0</v>
      </c>
      <c r="CK106" s="52">
        <f>SUM($CK$102:$CK$105)</f>
        <v>6</v>
      </c>
      <c r="CL106" s="52">
        <f>SUM($CL$102:$CL$105)</f>
        <v>3</v>
      </c>
      <c r="CM106" s="52">
        <f>SUM($CM$102:$CM$105)</f>
        <v>2</v>
      </c>
      <c r="CN106" s="52">
        <f>SUM($CN$102:$CN$105)</f>
        <v>0</v>
      </c>
      <c r="CO106" s="52">
        <f>SUM($CG$106,$CH$106,$CI$106,$CJ$106,$CK$106,$CL$106,$CM$106,$CN$106)</f>
        <v>218</v>
      </c>
      <c r="CP106" s="52">
        <f>SUM($BY$106,$BZ$106,$CA$106,$CB$106,$CC$106,$CD$106,$CE$106,$CF$106)</f>
        <v>231</v>
      </c>
      <c r="CQ106" s="52">
        <f>SUM($CQ$102:$CQ$105)</f>
        <v>226</v>
      </c>
      <c r="CR106" s="52">
        <f>SUM($CR$102:$CR$105)</f>
        <v>11</v>
      </c>
      <c r="CS106" s="52">
        <f>SUM($CS$102:$CS$105)</f>
        <v>1</v>
      </c>
      <c r="CT106" s="52">
        <f>SUM($CT$102:$CT$105)</f>
        <v>0</v>
      </c>
      <c r="CU106" s="52">
        <f>SUM($CU$102:$CU$105)</f>
        <v>4</v>
      </c>
      <c r="CV106" s="52">
        <f>SUM($CV$102:$CV$105)</f>
        <v>44</v>
      </c>
      <c r="CW106" s="52">
        <f>SUM($CW$102:$CW$105)</f>
        <v>7</v>
      </c>
      <c r="CX106" s="52">
        <f>SUM($CX$102:$CX$105)</f>
        <v>0</v>
      </c>
      <c r="CY106" s="52">
        <f>SUM($CY$102:$CY$105)</f>
        <v>226</v>
      </c>
      <c r="CZ106" s="52">
        <f>SUM($CZ$102:$CZ$105)</f>
        <v>11</v>
      </c>
      <c r="DA106" s="52">
        <f>SUM($DA$102:$DA$105)</f>
        <v>2</v>
      </c>
      <c r="DB106" s="52">
        <f>SUM($DB$102:$DB$105)</f>
        <v>0</v>
      </c>
      <c r="DC106" s="52">
        <f>SUM($DC$102:$DC$105)</f>
        <v>8</v>
      </c>
      <c r="DD106" s="52">
        <f>SUM($DD$102:$DD$105)</f>
        <v>9</v>
      </c>
      <c r="DE106" s="52">
        <f>SUM($DE$102:$DE$105)</f>
        <v>3</v>
      </c>
      <c r="DF106" s="52">
        <f>SUM($DF$102:$DF$105)</f>
        <v>0</v>
      </c>
      <c r="DG106" s="52">
        <f>SUM($CY$106,$CZ$106,$DA$106,$DB$106,$DC$106,$DD$106,$DE$106,$DF$106)</f>
        <v>259</v>
      </c>
      <c r="DH106" s="52">
        <f>SUM($CQ$106,$CR$106,$CS$106,$CT$106,$CU$106,$CV$106,$CW$106,$CX$106)</f>
        <v>293</v>
      </c>
    </row>
    <row r="107" spans="1:112" ht="21" customHeight="1">
      <c r="A107" s="46">
        <v>44395.791666666701</v>
      </c>
      <c r="B107" s="53" t="s">
        <v>107</v>
      </c>
      <c r="C107" s="54">
        <v>1</v>
      </c>
      <c r="D107" s="54">
        <v>0</v>
      </c>
      <c r="E107" s="54">
        <v>0</v>
      </c>
      <c r="F107" s="54">
        <v>0</v>
      </c>
      <c r="G107" s="54">
        <v>0</v>
      </c>
      <c r="H107" s="54">
        <v>0</v>
      </c>
      <c r="I107" s="54">
        <v>0</v>
      </c>
      <c r="J107" s="61">
        <v>0</v>
      </c>
      <c r="K107" s="62">
        <f>$C$107*VLOOKUP($C$11,'PCU Values'!$B$9:$C$16,2,FALSE)</f>
        <v>1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1</v>
      </c>
      <c r="T107" s="52">
        <f>SUM($C$107,$D$107,$E$107,$F$107,$G$107,$H$107,$I$107,$J$107)</f>
        <v>1</v>
      </c>
      <c r="U107" s="72">
        <v>35</v>
      </c>
      <c r="V107" s="54">
        <v>1</v>
      </c>
      <c r="W107" s="54">
        <v>0</v>
      </c>
      <c r="X107" s="54">
        <v>0</v>
      </c>
      <c r="Y107" s="54">
        <v>1</v>
      </c>
      <c r="Z107" s="54">
        <v>4</v>
      </c>
      <c r="AA107" s="54">
        <v>1</v>
      </c>
      <c r="AB107" s="61">
        <v>0</v>
      </c>
      <c r="AC107" s="62">
        <f>$U$107*VLOOKUP($U$11,'PCU Values'!$B$9:$C$16,2,FALSE)</f>
        <v>35</v>
      </c>
      <c r="AD107" s="62">
        <f>$V$107*VLOOKUP($V$11,'PCU Values'!$B$9:$C$16,2,FALSE)</f>
        <v>1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2</v>
      </c>
      <c r="AH107" s="62">
        <f>$Z$107*VLOOKUP($Z$11,'PCU Values'!$B$9:$C$16,2,FALSE)</f>
        <v>0.8</v>
      </c>
      <c r="AI107" s="62">
        <f>$AA$107*VLOOKUP($AA$11,'PCU Values'!$B$9:$C$16,2,FALSE)</f>
        <v>0.4</v>
      </c>
      <c r="AJ107" s="70">
        <f>$AB$107*VLOOKUP($AB$11,'PCU Values'!$B$9:$C$16,2,FALSE)</f>
        <v>0</v>
      </c>
      <c r="AK107" s="71">
        <f>SUM($AC$107,$AD$107,$AE$107,$AF$107,$AG$107,$AH$107,$AI$107,$AJ$107)</f>
        <v>39.200000000000003</v>
      </c>
      <c r="AL107" s="52">
        <f>SUM($U$107,$V$107,$W$107,$X$107,$Y$107,$Z$107,$AA$107,$AB$107)</f>
        <v>42</v>
      </c>
      <c r="AM107" s="72">
        <v>2</v>
      </c>
      <c r="AN107" s="54">
        <v>0</v>
      </c>
      <c r="AO107" s="54">
        <v>0</v>
      </c>
      <c r="AP107" s="54">
        <v>0</v>
      </c>
      <c r="AQ107" s="54">
        <v>0</v>
      </c>
      <c r="AR107" s="54">
        <v>1</v>
      </c>
      <c r="AS107" s="54">
        <v>0</v>
      </c>
      <c r="AT107" s="61">
        <v>0</v>
      </c>
      <c r="AU107" s="62">
        <f>$AM$107*VLOOKUP($AM$11,'PCU Values'!$B$9:$C$16,2,FALSE)</f>
        <v>2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0.2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2.2000000000000002</v>
      </c>
      <c r="BD107" s="52">
        <f>SUM($AM$107,$AN$107,$AO$107,$AP$107,$AQ$107,$AR$107,$AS$107,$AT$107)</f>
        <v>3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38</v>
      </c>
      <c r="BZ107" s="85">
        <f>SUM($D$107,$V$107,$AN$107,$BF$107)</f>
        <v>1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1</v>
      </c>
      <c r="CD107" s="85">
        <f>SUM($H$107,$Z$107,$AR$107,$BJ$107)</f>
        <v>5</v>
      </c>
      <c r="CE107" s="85">
        <f>SUM($I$107,$AA$107,$AS$107,$BK$107)</f>
        <v>1</v>
      </c>
      <c r="CF107" s="88">
        <f>SUM($J$107,$AB$107,$AT$107,$BL$107)</f>
        <v>0</v>
      </c>
      <c r="CG107" s="81">
        <f>$BY$107*VLOOKUP($BY$11,'PCU Values'!$B$9:$C$16,2,FALSE)</f>
        <v>38</v>
      </c>
      <c r="CH107" s="81">
        <f>$BZ$107*VLOOKUP($BZ$11,'PCU Values'!$B$9:$C$16,2,FALSE)</f>
        <v>1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2</v>
      </c>
      <c r="CL107" s="81">
        <f>$CD$107*VLOOKUP($CD$11,'PCU Values'!$B$9:$C$16,2,FALSE)</f>
        <v>1</v>
      </c>
      <c r="CM107" s="81">
        <f>$CE$107*VLOOKUP($CE$11,'PCU Values'!$B$9:$C$16,2,FALSE)</f>
        <v>0.4</v>
      </c>
      <c r="CN107" s="82">
        <f>$CF$107*VLOOKUP($CF$11,'PCU Values'!$B$9:$C$16,2,FALSE)</f>
        <v>0</v>
      </c>
      <c r="CO107" s="71">
        <f>SUM($CG$107,$CH$107,$CI$107,$CJ$107,$CK$107,$CL$107,$CM$107,$CN$107)</f>
        <v>42.4</v>
      </c>
      <c r="CP107" s="52">
        <f>SUM($BY$107,$BZ$107,$CA$107,$CB$107,$CC$107,$CD$107,$CE$107,$CF$107)</f>
        <v>46</v>
      </c>
      <c r="CQ107" s="91">
        <f>SUM('J1 A - (North) Bishopthorpe Roa'!$U$107,'J1 B - Butcher Terrace'!$C$107,'J1 C - (South) Bishopthorpe Roa'!$BE$107,'J1 D - South Bank Avenue'!$AM$107)</f>
        <v>51</v>
      </c>
      <c r="CR107" s="85">
        <f>SUM('J1 A - (North) Bishopthorpe Roa'!$V$107,'J1 B - Butcher Terrace'!$D$107,'J1 C - (South) Bishopthorpe Roa'!$BF$107,'J1 D - South Bank Avenue'!$AN$107)</f>
        <v>1</v>
      </c>
      <c r="CS107" s="85">
        <f>SUM('J1 A - (North) Bishopthorpe Roa'!$W$107,'J1 B - Butcher Terrace'!$E$107,'J1 C - (South) Bishopthorpe Roa'!$BG$107,'J1 D - South Bank Avenue'!$AO$107)</f>
        <v>0</v>
      </c>
      <c r="CT107" s="85">
        <f>SUM('J1 A - (North) Bishopthorpe Roa'!$X$107,'J1 B - Butcher Terrace'!$F$107,'J1 C - (South) Bishopthorpe Roa'!$BH$107,'J1 D - South Bank Avenue'!$AP$107)</f>
        <v>0</v>
      </c>
      <c r="CU107" s="85">
        <f>SUM('J1 A - (North) Bishopthorpe Roa'!$Y$107,'J1 B - Butcher Terrace'!$G$107,'J1 C - (South) Bishopthorpe Roa'!$BI$107,'J1 D - South Bank Avenue'!$AQ$107)</f>
        <v>1</v>
      </c>
      <c r="CV107" s="85">
        <f>SUM('J1 A - (North) Bishopthorpe Roa'!$Z$107,'J1 B - Butcher Terrace'!$H$107,'J1 C - (South) Bishopthorpe Roa'!$BJ$107,'J1 D - South Bank Avenue'!$AR$107)</f>
        <v>3</v>
      </c>
      <c r="CW107" s="85">
        <f>SUM('J1 A - (North) Bishopthorpe Roa'!$AA$107,'J1 B - Butcher Terrace'!$I$107,'J1 C - (South) Bishopthorpe Roa'!$BK$107,'J1 D - South Bank Avenue'!$AS$107)</f>
        <v>2</v>
      </c>
      <c r="CX107" s="88">
        <f>SUM('J1 A - (North) Bishopthorpe Roa'!$AB$107,'J1 B - Butcher Terrace'!$J$107,'J1 C - (South) Bishopthorpe Roa'!$BL$107,'J1 D - South Bank Avenue'!$AT$107)</f>
        <v>0</v>
      </c>
      <c r="CY107" s="81">
        <f>$CQ$107*VLOOKUP($CQ$11,'PCU Values'!$B$9:$C$16,2,FALSE)</f>
        <v>51</v>
      </c>
      <c r="CZ107" s="81">
        <f>$CR$107*VLOOKUP($CR$11,'PCU Values'!$B$9:$C$16,2,FALSE)</f>
        <v>1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2</v>
      </c>
      <c r="DD107" s="81">
        <f>$CV$107*VLOOKUP($CV$11,'PCU Values'!$B$9:$C$16,2,FALSE)</f>
        <v>0.6</v>
      </c>
      <c r="DE107" s="81">
        <f>$CW$107*VLOOKUP($CW$11,'PCU Values'!$B$9:$C$16,2,FALSE)</f>
        <v>0.8</v>
      </c>
      <c r="DF107" s="82">
        <f>$CX$107*VLOOKUP($CX$11,'PCU Values'!$B$9:$C$16,2,FALSE)</f>
        <v>0</v>
      </c>
      <c r="DG107" s="71">
        <f>SUM($CY$107,$CZ$107,$DA$107,$DB$107,$DC$107,$DD$107,$DE$107,$DF$107)</f>
        <v>55.4</v>
      </c>
      <c r="DH107" s="52">
        <f>SUM($CQ$107,$CR$107,$CS$107,$CT$107,$CU$107,$CV$107,$CW$107,$CX$107)</f>
        <v>58</v>
      </c>
    </row>
    <row r="108" spans="1:112" ht="21" customHeight="1">
      <c r="A108" s="46">
        <v>44395.802083333299</v>
      </c>
      <c r="B108" s="47" t="s">
        <v>108</v>
      </c>
      <c r="C108" s="48">
        <v>1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1</v>
      </c>
      <c r="L108" s="57">
        <f>$D$108*VLOOKUP($D$11,'PCU Values'!$B$9:$C$16,2,FALSE)</f>
        <v>0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1</v>
      </c>
      <c r="T108" s="52">
        <f>SUM($C$108,$D$108,$E$108,$F$108,$G$108,$H$108,$I$108,$J$108)</f>
        <v>1</v>
      </c>
      <c r="U108" s="67">
        <v>43</v>
      </c>
      <c r="V108" s="48">
        <v>2</v>
      </c>
      <c r="W108" s="48">
        <v>0</v>
      </c>
      <c r="X108" s="48">
        <v>0</v>
      </c>
      <c r="Y108" s="48">
        <v>0</v>
      </c>
      <c r="Z108" s="48">
        <v>3</v>
      </c>
      <c r="AA108" s="48">
        <v>2</v>
      </c>
      <c r="AB108" s="56">
        <v>0</v>
      </c>
      <c r="AC108" s="57">
        <f>$U$108*VLOOKUP($U$11,'PCU Values'!$B$9:$C$16,2,FALSE)</f>
        <v>43</v>
      </c>
      <c r="AD108" s="57">
        <f>$V$108*VLOOKUP($V$11,'PCU Values'!$B$9:$C$16,2,FALSE)</f>
        <v>2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0.6</v>
      </c>
      <c r="AI108" s="57">
        <f>$AA$108*VLOOKUP($AA$11,'PCU Values'!$B$9:$C$16,2,FALSE)</f>
        <v>0.8</v>
      </c>
      <c r="AJ108" s="65">
        <f>$AB$108*VLOOKUP($AB$11,'PCU Values'!$B$9:$C$16,2,FALSE)</f>
        <v>0</v>
      </c>
      <c r="AK108" s="66">
        <f>SUM($AC$108,$AD$108,$AE$108,$AF$108,$AG$108,$AH$108,$AI$108,$AJ$108)</f>
        <v>46.4</v>
      </c>
      <c r="AL108" s="52">
        <f>SUM($U$108,$V$108,$W$108,$X$108,$Y$108,$Z$108,$AA$108,$AB$108)</f>
        <v>50</v>
      </c>
      <c r="AM108" s="67">
        <v>3</v>
      </c>
      <c r="AN108" s="48">
        <v>0</v>
      </c>
      <c r="AO108" s="48">
        <v>0</v>
      </c>
      <c r="AP108" s="48">
        <v>0</v>
      </c>
      <c r="AQ108" s="48">
        <v>0</v>
      </c>
      <c r="AR108" s="48">
        <v>4</v>
      </c>
      <c r="AS108" s="48">
        <v>0</v>
      </c>
      <c r="AT108" s="56">
        <v>0</v>
      </c>
      <c r="AU108" s="57">
        <f>$AM$108*VLOOKUP($AM$11,'PCU Values'!$B$9:$C$16,2,FALSE)</f>
        <v>3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0.8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3.8</v>
      </c>
      <c r="BD108" s="52">
        <f>SUM($AM$108,$AN$108,$AO$108,$AP$108,$AQ$108,$AR$108,$AS$108,$AT$108)</f>
        <v>7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47</v>
      </c>
      <c r="BZ108" s="83">
        <f>SUM($D$108,$V$108,$AN$108,$BF$108)</f>
        <v>2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7</v>
      </c>
      <c r="CE108" s="83">
        <f>SUM($I$108,$AA$108,$AS$108,$BK$108)</f>
        <v>2</v>
      </c>
      <c r="CF108" s="86">
        <f>SUM($J$108,$AB$108,$AT$108,$BL$108)</f>
        <v>0</v>
      </c>
      <c r="CG108" s="77">
        <f>$BY$108*VLOOKUP($BY$11,'PCU Values'!$B$9:$C$16,2,FALSE)</f>
        <v>47</v>
      </c>
      <c r="CH108" s="77">
        <f>$BZ$108*VLOOKUP($BZ$11,'PCU Values'!$B$9:$C$16,2,FALSE)</f>
        <v>2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1.4</v>
      </c>
      <c r="CM108" s="77">
        <f>$CE$108*VLOOKUP($CE$11,'PCU Values'!$B$9:$C$16,2,FALSE)</f>
        <v>0.8</v>
      </c>
      <c r="CN108" s="78">
        <f>$CF$108*VLOOKUP($CF$11,'PCU Values'!$B$9:$C$16,2,FALSE)</f>
        <v>0</v>
      </c>
      <c r="CO108" s="66">
        <f>SUM($CG$108,$CH$108,$CI$108,$CJ$108,$CK$108,$CL$108,$CM$108,$CN$108)</f>
        <v>51.2</v>
      </c>
      <c r="CP108" s="52">
        <f>SUM($BY$108,$BZ$108,$CA$108,$CB$108,$CC$108,$CD$108,$CE$108,$CF$108)</f>
        <v>58</v>
      </c>
      <c r="CQ108" s="89">
        <f>SUM('J1 A - (North) Bishopthorpe Roa'!$U$108,'J1 B - Butcher Terrace'!$C$108,'J1 C - (South) Bishopthorpe Roa'!$BE$108,'J1 D - South Bank Avenue'!$AM$108)</f>
        <v>51</v>
      </c>
      <c r="CR108" s="83">
        <f>SUM('J1 A - (North) Bishopthorpe Roa'!$V$108,'J1 B - Butcher Terrace'!$D$108,'J1 C - (South) Bishopthorpe Roa'!$BF$108,'J1 D - South Bank Avenue'!$AN$108)</f>
        <v>1</v>
      </c>
      <c r="CS108" s="83">
        <f>SUM('J1 A - (North) Bishopthorpe Roa'!$W$108,'J1 B - Butcher Terrace'!$E$108,'J1 C - (South) Bishopthorpe Roa'!$BG$108,'J1 D - South Bank Avenue'!$AO$108)</f>
        <v>0</v>
      </c>
      <c r="CT108" s="83">
        <f>SUM('J1 A - (North) Bishopthorpe Roa'!$X$108,'J1 B - Butcher Terrace'!$F$108,'J1 C - (South) Bishopthorpe Roa'!$BH$108,'J1 D - South Bank Avenue'!$AP$108)</f>
        <v>0</v>
      </c>
      <c r="CU108" s="83">
        <f>SUM('J1 A - (North) Bishopthorpe Roa'!$Y$108,'J1 B - Butcher Terrace'!$G$108,'J1 C - (South) Bishopthorpe Roa'!$BI$108,'J1 D - South Bank Avenue'!$AQ$108)</f>
        <v>0</v>
      </c>
      <c r="CV108" s="83">
        <f>SUM('J1 A - (North) Bishopthorpe Roa'!$Z$108,'J1 B - Butcher Terrace'!$H$108,'J1 C - (South) Bishopthorpe Roa'!$BJ$108,'J1 D - South Bank Avenue'!$AR$108)</f>
        <v>2</v>
      </c>
      <c r="CW108" s="83">
        <f>SUM('J1 A - (North) Bishopthorpe Roa'!$AA$108,'J1 B - Butcher Terrace'!$I$108,'J1 C - (South) Bishopthorpe Roa'!$BK$108,'J1 D - South Bank Avenue'!$AS$108)</f>
        <v>1</v>
      </c>
      <c r="CX108" s="86">
        <f>SUM('J1 A - (North) Bishopthorpe Roa'!$AB$108,'J1 B - Butcher Terrace'!$J$108,'J1 C - (South) Bishopthorpe Roa'!$BL$108,'J1 D - South Bank Avenue'!$AT$108)</f>
        <v>0</v>
      </c>
      <c r="CY108" s="77">
        <f>$CQ$108*VLOOKUP($CQ$11,'PCU Values'!$B$9:$C$16,2,FALSE)</f>
        <v>51</v>
      </c>
      <c r="CZ108" s="77">
        <f>$CR$108*VLOOKUP($CR$11,'PCU Values'!$B$9:$C$16,2,FALSE)</f>
        <v>1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0.4</v>
      </c>
      <c r="DE108" s="77">
        <f>$CW$108*VLOOKUP($CW$11,'PCU Values'!$B$9:$C$16,2,FALSE)</f>
        <v>0.4</v>
      </c>
      <c r="DF108" s="78">
        <f>$CX$108*VLOOKUP($CX$11,'PCU Values'!$B$9:$C$16,2,FALSE)</f>
        <v>0</v>
      </c>
      <c r="DG108" s="66">
        <f>SUM($CY$108,$CZ$108,$DA$108,$DB$108,$DC$108,$DD$108,$DE$108,$DF$108)</f>
        <v>52.8</v>
      </c>
      <c r="DH108" s="52">
        <f>SUM($CQ$108,$CR$108,$CS$108,$CT$108,$CU$108,$CV$108,$CW$108,$CX$108)</f>
        <v>55</v>
      </c>
    </row>
    <row r="109" spans="1:112" ht="21" customHeight="1">
      <c r="A109" s="46">
        <v>44395.8125</v>
      </c>
      <c r="B109" s="47" t="s">
        <v>109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9">
        <v>0</v>
      </c>
      <c r="I109" s="48">
        <v>0</v>
      </c>
      <c r="J109" s="56">
        <v>0</v>
      </c>
      <c r="K109" s="57">
        <f>$C$109*VLOOKUP($C$11,'PCU Values'!$B$9:$C$16,2,FALSE)</f>
        <v>0</v>
      </c>
      <c r="L109" s="57">
        <f>$D$109*VLOOKUP($D$11,'PCU Values'!$B$9:$C$16,2,FALSE)</f>
        <v>0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0</v>
      </c>
      <c r="T109" s="52">
        <f>SUM($C$109,$D$109,$E$109,$F$109,$G$109,$H$109,$I$109,$J$109)</f>
        <v>0</v>
      </c>
      <c r="U109" s="67">
        <v>37</v>
      </c>
      <c r="V109" s="48">
        <v>1</v>
      </c>
      <c r="W109" s="48">
        <v>0</v>
      </c>
      <c r="X109" s="48">
        <v>0</v>
      </c>
      <c r="Y109" s="48">
        <v>1</v>
      </c>
      <c r="Z109" s="48">
        <v>5</v>
      </c>
      <c r="AA109" s="48">
        <v>1</v>
      </c>
      <c r="AB109" s="56">
        <v>0</v>
      </c>
      <c r="AC109" s="57">
        <f>$U$109*VLOOKUP($U$11,'PCU Values'!$B$9:$C$16,2,FALSE)</f>
        <v>37</v>
      </c>
      <c r="AD109" s="57">
        <f>$V$109*VLOOKUP($V$11,'PCU Values'!$B$9:$C$16,2,FALSE)</f>
        <v>1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2</v>
      </c>
      <c r="AH109" s="57">
        <f>$Z$109*VLOOKUP($Z$11,'PCU Values'!$B$9:$C$16,2,FALSE)</f>
        <v>1</v>
      </c>
      <c r="AI109" s="57">
        <f>$AA$109*VLOOKUP($AA$11,'PCU Values'!$B$9:$C$16,2,FALSE)</f>
        <v>0.4</v>
      </c>
      <c r="AJ109" s="65">
        <f>$AB$109*VLOOKUP($AB$11,'PCU Values'!$B$9:$C$16,2,FALSE)</f>
        <v>0</v>
      </c>
      <c r="AK109" s="66">
        <f>SUM($AC$109,$AD$109,$AE$109,$AF$109,$AG$109,$AH$109,$AI$109,$AJ$109)</f>
        <v>41.4</v>
      </c>
      <c r="AL109" s="52">
        <f>SUM($U$109,$V$109,$W$109,$X$109,$Y$109,$Z$109,$AA$109,$AB$109)</f>
        <v>45</v>
      </c>
      <c r="AM109" s="67">
        <v>1</v>
      </c>
      <c r="AN109" s="48">
        <v>1</v>
      </c>
      <c r="AO109" s="48">
        <v>0</v>
      </c>
      <c r="AP109" s="48">
        <v>0</v>
      </c>
      <c r="AQ109" s="48">
        <v>0</v>
      </c>
      <c r="AR109" s="48">
        <v>3</v>
      </c>
      <c r="AS109" s="48">
        <v>0</v>
      </c>
      <c r="AT109" s="56">
        <v>0</v>
      </c>
      <c r="AU109" s="57">
        <f>$AM$109*VLOOKUP($AM$11,'PCU Values'!$B$9:$C$16,2,FALSE)</f>
        <v>1</v>
      </c>
      <c r="AV109" s="57">
        <f>$AN$109*VLOOKUP($AN$11,'PCU Values'!$B$9:$C$16,2,FALSE)</f>
        <v>1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0.6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2.6</v>
      </c>
      <c r="BD109" s="52">
        <f>SUM($AM$109,$AN$109,$AO$109,$AP$109,$AQ$109,$AR$109,$AS$109,$AT$109)</f>
        <v>5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38</v>
      </c>
      <c r="BZ109" s="83">
        <f>SUM($D$109,$V$109,$AN$109,$BF$109)</f>
        <v>2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1</v>
      </c>
      <c r="CD109" s="83">
        <f>SUM($H$109,$Z$109,$AR$109,$BJ$109)</f>
        <v>8</v>
      </c>
      <c r="CE109" s="83">
        <f>SUM($I$109,$AA$109,$AS$109,$BK$109)</f>
        <v>1</v>
      </c>
      <c r="CF109" s="86">
        <f>SUM($J$109,$AB$109,$AT$109,$BL$109)</f>
        <v>0</v>
      </c>
      <c r="CG109" s="77">
        <f>$BY$109*VLOOKUP($BY$11,'PCU Values'!$B$9:$C$16,2,FALSE)</f>
        <v>38</v>
      </c>
      <c r="CH109" s="77">
        <f>$BZ$109*VLOOKUP($BZ$11,'PCU Values'!$B$9:$C$16,2,FALSE)</f>
        <v>2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2</v>
      </c>
      <c r="CL109" s="77">
        <f>$CD$109*VLOOKUP($CD$11,'PCU Values'!$B$9:$C$16,2,FALSE)</f>
        <v>1.6</v>
      </c>
      <c r="CM109" s="77">
        <f>$CE$109*VLOOKUP($CE$11,'PCU Values'!$B$9:$C$16,2,FALSE)</f>
        <v>0.4</v>
      </c>
      <c r="CN109" s="78">
        <f>$CF$109*VLOOKUP($CF$11,'PCU Values'!$B$9:$C$16,2,FALSE)</f>
        <v>0</v>
      </c>
      <c r="CO109" s="66">
        <f>SUM($CG$109,$CH$109,$CI$109,$CJ$109,$CK$109,$CL$109,$CM$109,$CN$109)</f>
        <v>44</v>
      </c>
      <c r="CP109" s="52">
        <f>SUM($BY$109,$BZ$109,$CA$109,$CB$109,$CC$109,$CD$109,$CE$109,$CF$109)</f>
        <v>50</v>
      </c>
      <c r="CQ109" s="89">
        <f>SUM('J1 A - (North) Bishopthorpe Roa'!$U$109,'J1 B - Butcher Terrace'!$C$109,'J1 C - (South) Bishopthorpe Roa'!$BE$109,'J1 D - South Bank Avenue'!$AM$109)</f>
        <v>41</v>
      </c>
      <c r="CR109" s="83">
        <f>SUM('J1 A - (North) Bishopthorpe Roa'!$V$109,'J1 B - Butcher Terrace'!$D$109,'J1 C - (South) Bishopthorpe Roa'!$BF$109,'J1 D - South Bank Avenue'!$AN$109)</f>
        <v>0</v>
      </c>
      <c r="CS109" s="83">
        <f>SUM('J1 A - (North) Bishopthorpe Roa'!$W$109,'J1 B - Butcher Terrace'!$E$109,'J1 C - (South) Bishopthorpe Roa'!$BG$109,'J1 D - South Bank Avenue'!$AO$109)</f>
        <v>0</v>
      </c>
      <c r="CT109" s="83">
        <f>SUM('J1 A - (North) Bishopthorpe Roa'!$X$109,'J1 B - Butcher Terrace'!$F$109,'J1 C - (South) Bishopthorpe Roa'!$BH$109,'J1 D - South Bank Avenue'!$AP$109)</f>
        <v>0</v>
      </c>
      <c r="CU109" s="83">
        <f>SUM('J1 A - (North) Bishopthorpe Roa'!$Y$109,'J1 B - Butcher Terrace'!$G$109,'J1 C - (South) Bishopthorpe Roa'!$BI$109,'J1 D - South Bank Avenue'!$AQ$109)</f>
        <v>1</v>
      </c>
      <c r="CV109" s="83">
        <f>SUM('J1 A - (North) Bishopthorpe Roa'!$Z$109,'J1 B - Butcher Terrace'!$H$109,'J1 C - (South) Bishopthorpe Roa'!$BJ$109,'J1 D - South Bank Avenue'!$AR$109)</f>
        <v>5</v>
      </c>
      <c r="CW109" s="83">
        <f>SUM('J1 A - (North) Bishopthorpe Roa'!$AA$109,'J1 B - Butcher Terrace'!$I$109,'J1 C - (South) Bishopthorpe Roa'!$BK$109,'J1 D - South Bank Avenue'!$AS$109)</f>
        <v>3</v>
      </c>
      <c r="CX109" s="86">
        <f>SUM('J1 A - (North) Bishopthorpe Roa'!$AB$109,'J1 B - Butcher Terrace'!$J$109,'J1 C - (South) Bishopthorpe Roa'!$BL$109,'J1 D - South Bank Avenue'!$AT$109)</f>
        <v>0</v>
      </c>
      <c r="CY109" s="77">
        <f>$CQ$109*VLOOKUP($CQ$11,'PCU Values'!$B$9:$C$16,2,FALSE)</f>
        <v>41</v>
      </c>
      <c r="CZ109" s="77">
        <f>$CR$109*VLOOKUP($CR$11,'PCU Values'!$B$9:$C$16,2,FALSE)</f>
        <v>0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2</v>
      </c>
      <c r="DD109" s="77">
        <f>$CV$109*VLOOKUP($CV$11,'PCU Values'!$B$9:$C$16,2,FALSE)</f>
        <v>1</v>
      </c>
      <c r="DE109" s="77">
        <f>$CW$109*VLOOKUP($CW$11,'PCU Values'!$B$9:$C$16,2,FALSE)</f>
        <v>1.2</v>
      </c>
      <c r="DF109" s="78">
        <f>$CX$109*VLOOKUP($CX$11,'PCU Values'!$B$9:$C$16,2,FALSE)</f>
        <v>0</v>
      </c>
      <c r="DG109" s="66">
        <f>SUM($CY$109,$CZ$109,$DA$109,$DB$109,$DC$109,$DD$109,$DE$109,$DF$109)</f>
        <v>45.2</v>
      </c>
      <c r="DH109" s="52">
        <f>SUM($CQ$109,$CR$109,$CS$109,$CT$109,$CU$109,$CV$109,$CW$109,$CX$109)</f>
        <v>50</v>
      </c>
    </row>
    <row r="110" spans="1:112" ht="21" customHeight="1">
      <c r="A110" s="46">
        <v>44395.822916666701</v>
      </c>
      <c r="B110" s="50" t="s">
        <v>110</v>
      </c>
      <c r="C110" s="51">
        <v>0</v>
      </c>
      <c r="D110" s="51">
        <v>0</v>
      </c>
      <c r="E110" s="51">
        <v>0</v>
      </c>
      <c r="F110" s="51">
        <v>0</v>
      </c>
      <c r="G110" s="51">
        <v>0</v>
      </c>
      <c r="H110" s="51">
        <v>0</v>
      </c>
      <c r="I110" s="51">
        <v>0</v>
      </c>
      <c r="J110" s="59">
        <v>0</v>
      </c>
      <c r="K110" s="60">
        <f>$C$110*VLOOKUP($C$11,'PCU Values'!$B$9:$C$16,2,FALSE)</f>
        <v>0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0</v>
      </c>
      <c r="T110" s="52">
        <f>SUM($C$110,$D$110,$E$110,$F$110,$G$110,$H$110,$I$110,$J$110)</f>
        <v>0</v>
      </c>
      <c r="U110" s="73">
        <v>37</v>
      </c>
      <c r="V110" s="51">
        <v>2</v>
      </c>
      <c r="W110" s="51">
        <v>0</v>
      </c>
      <c r="X110" s="51">
        <v>0</v>
      </c>
      <c r="Y110" s="51">
        <v>0</v>
      </c>
      <c r="Z110" s="51">
        <v>2</v>
      </c>
      <c r="AA110" s="51">
        <v>2</v>
      </c>
      <c r="AB110" s="59">
        <v>0</v>
      </c>
      <c r="AC110" s="60">
        <f>$U$110*VLOOKUP($U$11,'PCU Values'!$B$9:$C$16,2,FALSE)</f>
        <v>37</v>
      </c>
      <c r="AD110" s="60">
        <f>$V$110*VLOOKUP($V$11,'PCU Values'!$B$9:$C$16,2,FALSE)</f>
        <v>2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0.4</v>
      </c>
      <c r="AI110" s="60">
        <f>$AA$110*VLOOKUP($AA$11,'PCU Values'!$B$9:$C$16,2,FALSE)</f>
        <v>0.8</v>
      </c>
      <c r="AJ110" s="68">
        <f>$AB$110*VLOOKUP($AB$11,'PCU Values'!$B$9:$C$16,2,FALSE)</f>
        <v>0</v>
      </c>
      <c r="AK110" s="63">
        <f>SUM($AC$110,$AD$110,$AE$110,$AF$110,$AG$110,$AH$110,$AI$110,$AJ$110)</f>
        <v>40.200000000000003</v>
      </c>
      <c r="AL110" s="52">
        <f>SUM($U$110,$V$110,$W$110,$X$110,$Y$110,$Z$110,$AA$110,$AB$110)</f>
        <v>43</v>
      </c>
      <c r="AM110" s="73">
        <v>2</v>
      </c>
      <c r="AN110" s="51">
        <v>0</v>
      </c>
      <c r="AO110" s="51">
        <v>0</v>
      </c>
      <c r="AP110" s="51">
        <v>0</v>
      </c>
      <c r="AQ110" s="51">
        <v>0</v>
      </c>
      <c r="AR110" s="51">
        <v>1</v>
      </c>
      <c r="AS110" s="51">
        <v>0</v>
      </c>
      <c r="AT110" s="59">
        <v>0</v>
      </c>
      <c r="AU110" s="60">
        <f>$AM$110*VLOOKUP($AM$11,'PCU Values'!$B$9:$C$16,2,FALSE)</f>
        <v>2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0.2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2.2000000000000002</v>
      </c>
      <c r="BD110" s="52">
        <f>SUM($AM$110,$AN$110,$AO$110,$AP$110,$AQ$110,$AR$110,$AS$110,$AT$110)</f>
        <v>3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39</v>
      </c>
      <c r="BZ110" s="84">
        <f>SUM($D$110,$V$110,$AN$110,$BF$110)</f>
        <v>2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3</v>
      </c>
      <c r="CE110" s="84">
        <f>SUM($I$110,$AA$110,$AS$110,$BK$110)</f>
        <v>2</v>
      </c>
      <c r="CF110" s="87">
        <f>SUM($J$110,$AB$110,$AT$110,$BL$110)</f>
        <v>0</v>
      </c>
      <c r="CG110" s="79">
        <f>$BY$110*VLOOKUP($BY$11,'PCU Values'!$B$9:$C$16,2,FALSE)</f>
        <v>39</v>
      </c>
      <c r="CH110" s="79">
        <f>$BZ$110*VLOOKUP($BZ$11,'PCU Values'!$B$9:$C$16,2,FALSE)</f>
        <v>2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0.6</v>
      </c>
      <c r="CM110" s="79">
        <f>$CE$110*VLOOKUP($CE$11,'PCU Values'!$B$9:$C$16,2,FALSE)</f>
        <v>0.8</v>
      </c>
      <c r="CN110" s="80">
        <f>$CF$110*VLOOKUP($CF$11,'PCU Values'!$B$9:$C$16,2,FALSE)</f>
        <v>0</v>
      </c>
      <c r="CO110" s="63">
        <f>SUM($CG$110,$CH$110,$CI$110,$CJ$110,$CK$110,$CL$110,$CM$110,$CN$110)</f>
        <v>42.4</v>
      </c>
      <c r="CP110" s="52">
        <f>SUM($BY$110,$BZ$110,$CA$110,$CB$110,$CC$110,$CD$110,$CE$110,$CF$110)</f>
        <v>46</v>
      </c>
      <c r="CQ110" s="90">
        <f>SUM('J1 A - (North) Bishopthorpe Roa'!$U$110,'J1 B - Butcher Terrace'!$C$110,'J1 C - (South) Bishopthorpe Roa'!$BE$110,'J1 D - South Bank Avenue'!$AM$110)</f>
        <v>45</v>
      </c>
      <c r="CR110" s="84">
        <f>SUM('J1 A - (North) Bishopthorpe Roa'!$V$110,'J1 B - Butcher Terrace'!$D$110,'J1 C - (South) Bishopthorpe Roa'!$BF$110,'J1 D - South Bank Avenue'!$AN$110)</f>
        <v>2</v>
      </c>
      <c r="CS110" s="84">
        <f>SUM('J1 A - (North) Bishopthorpe Roa'!$W$110,'J1 B - Butcher Terrace'!$E$110,'J1 C - (South) Bishopthorpe Roa'!$BG$110,'J1 D - South Bank Avenue'!$AO$110)</f>
        <v>0</v>
      </c>
      <c r="CT110" s="84">
        <f>SUM('J1 A - (North) Bishopthorpe Roa'!$X$110,'J1 B - Butcher Terrace'!$F$110,'J1 C - (South) Bishopthorpe Roa'!$BH$110,'J1 D - South Bank Avenue'!$AP$110)</f>
        <v>0</v>
      </c>
      <c r="CU110" s="84">
        <f>SUM('J1 A - (North) Bishopthorpe Roa'!$Y$110,'J1 B - Butcher Terrace'!$G$110,'J1 C - (South) Bishopthorpe Roa'!$BI$110,'J1 D - South Bank Avenue'!$AQ$110)</f>
        <v>0</v>
      </c>
      <c r="CV110" s="84">
        <f>SUM('J1 A - (North) Bishopthorpe Roa'!$Z$110,'J1 B - Butcher Terrace'!$H$110,'J1 C - (South) Bishopthorpe Roa'!$BJ$110,'J1 D - South Bank Avenue'!$AR$110)</f>
        <v>7</v>
      </c>
      <c r="CW110" s="84">
        <f>SUM('J1 A - (North) Bishopthorpe Roa'!$AA$110,'J1 B - Butcher Terrace'!$I$110,'J1 C - (South) Bishopthorpe Roa'!$BK$110,'J1 D - South Bank Avenue'!$AS$110)</f>
        <v>1</v>
      </c>
      <c r="CX110" s="87">
        <f>SUM('J1 A - (North) Bishopthorpe Roa'!$AB$110,'J1 B - Butcher Terrace'!$J$110,'J1 C - (South) Bishopthorpe Roa'!$BL$110,'J1 D - South Bank Avenue'!$AT$110)</f>
        <v>0</v>
      </c>
      <c r="CY110" s="79">
        <f>$CQ$110*VLOOKUP($CQ$11,'PCU Values'!$B$9:$C$16,2,FALSE)</f>
        <v>45</v>
      </c>
      <c r="CZ110" s="79">
        <f>$CR$110*VLOOKUP($CR$11,'PCU Values'!$B$9:$C$16,2,FALSE)</f>
        <v>2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1.4</v>
      </c>
      <c r="DE110" s="79">
        <f>$CW$110*VLOOKUP($CW$11,'PCU Values'!$B$9:$C$16,2,FALSE)</f>
        <v>0.4</v>
      </c>
      <c r="DF110" s="80">
        <f>$CX$110*VLOOKUP($CX$11,'PCU Values'!$B$9:$C$16,2,FALSE)</f>
        <v>0</v>
      </c>
      <c r="DG110" s="63">
        <f>SUM($CY$110,$CZ$110,$DA$110,$DB$110,$DC$110,$DD$110,$DE$110,$DF$110)</f>
        <v>48.8</v>
      </c>
      <c r="DH110" s="52">
        <f>SUM($CQ$110,$CR$110,$CS$110,$CT$110,$CU$110,$CV$110,$CW$110,$CX$110)</f>
        <v>55</v>
      </c>
    </row>
    <row r="111" spans="1:112">
      <c r="B111" s="52" t="s">
        <v>34</v>
      </c>
      <c r="C111" s="52">
        <f>SUM($C$107:$C$110)</f>
        <v>2</v>
      </c>
      <c r="D111" s="52">
        <f>SUM($D$107:$D$110)</f>
        <v>0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0</v>
      </c>
      <c r="I111" s="52">
        <f>SUM($I$107:$I$110)</f>
        <v>0</v>
      </c>
      <c r="J111" s="52">
        <f>SUM($J$107:$J$110)</f>
        <v>0</v>
      </c>
      <c r="K111" s="52">
        <f>SUM($K$107:$K$110)</f>
        <v>2</v>
      </c>
      <c r="L111" s="52">
        <f>SUM($L$107:$L$110)</f>
        <v>0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0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2</v>
      </c>
      <c r="T111" s="52">
        <f>SUM($C$111,$D$111,$E$111,$F$111,$G$111,$H$111,$I$111,$J$111)</f>
        <v>2</v>
      </c>
      <c r="U111" s="52">
        <f>SUM($U$107:$U$110)</f>
        <v>152</v>
      </c>
      <c r="V111" s="52">
        <f>SUM($V$107:$V$110)</f>
        <v>6</v>
      </c>
      <c r="W111" s="52">
        <f>SUM($W$107:$W$110)</f>
        <v>0</v>
      </c>
      <c r="X111" s="52">
        <f>SUM($X$107:$X$110)</f>
        <v>0</v>
      </c>
      <c r="Y111" s="52">
        <f>SUM($Y$107:$Y$110)</f>
        <v>2</v>
      </c>
      <c r="Z111" s="52">
        <f>SUM($Z$107:$Z$110)</f>
        <v>14</v>
      </c>
      <c r="AA111" s="52">
        <f>SUM($AA$107:$AA$110)</f>
        <v>6</v>
      </c>
      <c r="AB111" s="52">
        <f>SUM($AB$107:$AB$110)</f>
        <v>0</v>
      </c>
      <c r="AC111" s="52">
        <f>SUM($AC$107:$AC$110)</f>
        <v>152</v>
      </c>
      <c r="AD111" s="52">
        <f>SUM($AD$107:$AD$110)</f>
        <v>6</v>
      </c>
      <c r="AE111" s="52">
        <f>SUM($AE$107:$AE$110)</f>
        <v>0</v>
      </c>
      <c r="AF111" s="52">
        <f>SUM($AF$107:$AF$110)</f>
        <v>0</v>
      </c>
      <c r="AG111" s="52">
        <f>SUM($AG$107:$AG$110)</f>
        <v>4</v>
      </c>
      <c r="AH111" s="52">
        <f>SUM($AH$107:$AH$110)</f>
        <v>3</v>
      </c>
      <c r="AI111" s="52">
        <f>SUM($AI$107:$AI$110)</f>
        <v>2</v>
      </c>
      <c r="AJ111" s="52">
        <f>SUM($AJ$107:$AJ$110)</f>
        <v>0</v>
      </c>
      <c r="AK111" s="52">
        <f>SUM($AC$111,$AD$111,$AE$111,$AF$111,$AG$111,$AH$111,$AI$111,$AJ$111)</f>
        <v>167</v>
      </c>
      <c r="AL111" s="52">
        <f>SUM($U$111,$V$111,$W$111,$X$111,$Y$111,$Z$111,$AA$111,$AB$111)</f>
        <v>180</v>
      </c>
      <c r="AM111" s="52">
        <f>SUM($AM$107:$AM$110)</f>
        <v>8</v>
      </c>
      <c r="AN111" s="52">
        <f>SUM($AN$107:$AN$110)</f>
        <v>1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9</v>
      </c>
      <c r="AS111" s="52">
        <f>SUM($AS$107:$AS$110)</f>
        <v>0</v>
      </c>
      <c r="AT111" s="52">
        <f>SUM($AT$107:$AT$110)</f>
        <v>0</v>
      </c>
      <c r="AU111" s="52">
        <f>SUM($AU$107:$AU$110)</f>
        <v>8</v>
      </c>
      <c r="AV111" s="52">
        <f>SUM($AV$107:$AV$110)</f>
        <v>1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2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11</v>
      </c>
      <c r="BD111" s="52">
        <f>SUM($AM$111,$AN$111,$AO$111,$AP$111,$AQ$111,$AR$111,$AS$111,$AT$111)</f>
        <v>18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162</v>
      </c>
      <c r="BZ111" s="52">
        <f>SUM($BZ$107:$BZ$110)</f>
        <v>7</v>
      </c>
      <c r="CA111" s="52">
        <f>SUM($CA$107:$CA$110)</f>
        <v>0</v>
      </c>
      <c r="CB111" s="52">
        <f>SUM($CB$107:$CB$110)</f>
        <v>0</v>
      </c>
      <c r="CC111" s="52">
        <f>SUM($CC$107:$CC$110)</f>
        <v>2</v>
      </c>
      <c r="CD111" s="52">
        <f>SUM($CD$107:$CD$110)</f>
        <v>23</v>
      </c>
      <c r="CE111" s="52">
        <f>SUM($CE$107:$CE$110)</f>
        <v>6</v>
      </c>
      <c r="CF111" s="52">
        <f>SUM($CF$107:$CF$110)</f>
        <v>0</v>
      </c>
      <c r="CG111" s="52">
        <f>SUM($CG$107:$CG$110)</f>
        <v>162</v>
      </c>
      <c r="CH111" s="52">
        <f>SUM($CH$107:$CH$110)</f>
        <v>7</v>
      </c>
      <c r="CI111" s="52">
        <f>SUM($CI$107:$CI$110)</f>
        <v>0</v>
      </c>
      <c r="CJ111" s="52">
        <f>SUM($CJ$107:$CJ$110)</f>
        <v>0</v>
      </c>
      <c r="CK111" s="52">
        <f>SUM($CK$107:$CK$110)</f>
        <v>4</v>
      </c>
      <c r="CL111" s="52">
        <f>SUM($CL$107:$CL$110)</f>
        <v>5</v>
      </c>
      <c r="CM111" s="52">
        <f>SUM($CM$107:$CM$110)</f>
        <v>2</v>
      </c>
      <c r="CN111" s="52">
        <f>SUM($CN$107:$CN$110)</f>
        <v>0</v>
      </c>
      <c r="CO111" s="52">
        <f>SUM($CG$111,$CH$111,$CI$111,$CJ$111,$CK$111,$CL$111,$CM$111,$CN$111)</f>
        <v>180</v>
      </c>
      <c r="CP111" s="52">
        <f>SUM($BY$111,$BZ$111,$CA$111,$CB$111,$CC$111,$CD$111,$CE$111,$CF$111)</f>
        <v>200</v>
      </c>
      <c r="CQ111" s="52">
        <f>SUM($CQ$107:$CQ$110)</f>
        <v>188</v>
      </c>
      <c r="CR111" s="52">
        <f>SUM($CR$107:$CR$110)</f>
        <v>4</v>
      </c>
      <c r="CS111" s="52">
        <f>SUM($CS$107:$CS$110)</f>
        <v>0</v>
      </c>
      <c r="CT111" s="52">
        <f>SUM($CT$107:$CT$110)</f>
        <v>0</v>
      </c>
      <c r="CU111" s="52">
        <f>SUM($CU$107:$CU$110)</f>
        <v>2</v>
      </c>
      <c r="CV111" s="52">
        <f>SUM($CV$107:$CV$110)</f>
        <v>17</v>
      </c>
      <c r="CW111" s="52">
        <f>SUM($CW$107:$CW$110)</f>
        <v>7</v>
      </c>
      <c r="CX111" s="52">
        <f>SUM($CX$107:$CX$110)</f>
        <v>0</v>
      </c>
      <c r="CY111" s="52">
        <f>SUM($CY$107:$CY$110)</f>
        <v>188</v>
      </c>
      <c r="CZ111" s="52">
        <f>SUM($CZ$107:$CZ$110)</f>
        <v>4</v>
      </c>
      <c r="DA111" s="52">
        <f>SUM($DA$107:$DA$110)</f>
        <v>0</v>
      </c>
      <c r="DB111" s="52">
        <f>SUM($DB$107:$DB$110)</f>
        <v>0</v>
      </c>
      <c r="DC111" s="52">
        <f>SUM($DC$107:$DC$110)</f>
        <v>4</v>
      </c>
      <c r="DD111" s="52">
        <f>SUM($DD$107:$DD$110)</f>
        <v>3</v>
      </c>
      <c r="DE111" s="52">
        <f>SUM($DE$107:$DE$110)</f>
        <v>3</v>
      </c>
      <c r="DF111" s="52">
        <f>SUM($DF$107:$DF$110)</f>
        <v>0</v>
      </c>
      <c r="DG111" s="52">
        <f>SUM($CY$111,$CZ$111,$DA$111,$DB$111,$DC$111,$DD$111,$DE$111,$DF$111)</f>
        <v>202</v>
      </c>
      <c r="DH111" s="52">
        <f>SUM($CQ$111,$CR$111,$CS$111,$CT$111,$CU$111,$CV$111,$CW$111,$CX$111)</f>
        <v>218</v>
      </c>
    </row>
    <row r="112" spans="1:112" ht="21" customHeight="1">
      <c r="A112" s="46">
        <v>44395.833333333299</v>
      </c>
      <c r="B112" s="53" t="s">
        <v>111</v>
      </c>
      <c r="C112" s="54">
        <v>1</v>
      </c>
      <c r="D112" s="54">
        <v>0</v>
      </c>
      <c r="E112" s="54">
        <v>0</v>
      </c>
      <c r="F112" s="54">
        <v>0</v>
      </c>
      <c r="G112" s="54">
        <v>0</v>
      </c>
      <c r="H112" s="54">
        <v>0</v>
      </c>
      <c r="I112" s="54">
        <v>0</v>
      </c>
      <c r="J112" s="61">
        <v>0</v>
      </c>
      <c r="K112" s="62">
        <f>$C$112*VLOOKUP($C$11,'PCU Values'!$B$9:$C$16,2,FALSE)</f>
        <v>1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1</v>
      </c>
      <c r="T112" s="52">
        <f>SUM($C$112,$D$112,$E$112,$F$112,$G$112,$H$112,$I$112,$J$112)</f>
        <v>1</v>
      </c>
      <c r="U112" s="72">
        <v>33</v>
      </c>
      <c r="V112" s="54">
        <v>3</v>
      </c>
      <c r="W112" s="54">
        <v>0</v>
      </c>
      <c r="X112" s="54">
        <v>0</v>
      </c>
      <c r="Y112" s="54">
        <v>1</v>
      </c>
      <c r="Z112" s="54">
        <v>3</v>
      </c>
      <c r="AA112" s="54">
        <v>0</v>
      </c>
      <c r="AB112" s="61">
        <v>0</v>
      </c>
      <c r="AC112" s="62">
        <f>$U$112*VLOOKUP($U$11,'PCU Values'!$B$9:$C$16,2,FALSE)</f>
        <v>33</v>
      </c>
      <c r="AD112" s="62">
        <f>$V$112*VLOOKUP($V$11,'PCU Values'!$B$9:$C$16,2,FALSE)</f>
        <v>3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2</v>
      </c>
      <c r="AH112" s="62">
        <f>$Z$112*VLOOKUP($Z$11,'PCU Values'!$B$9:$C$16,2,FALSE)</f>
        <v>0.6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38.6</v>
      </c>
      <c r="AL112" s="52">
        <f>SUM($U$112,$V$112,$W$112,$X$112,$Y$112,$Z$112,$AA$112,$AB$112)</f>
        <v>40</v>
      </c>
      <c r="AM112" s="72">
        <v>0</v>
      </c>
      <c r="AN112" s="54">
        <v>0</v>
      </c>
      <c r="AO112" s="54">
        <v>0</v>
      </c>
      <c r="AP112" s="54">
        <v>0</v>
      </c>
      <c r="AQ112" s="54">
        <v>0</v>
      </c>
      <c r="AR112" s="54">
        <v>2</v>
      </c>
      <c r="AS112" s="54">
        <v>0</v>
      </c>
      <c r="AT112" s="61">
        <v>0</v>
      </c>
      <c r="AU112" s="62">
        <f>$AM$112*VLOOKUP($AM$11,'PCU Values'!$B$9:$C$16,2,FALSE)</f>
        <v>0</v>
      </c>
      <c r="AV112" s="62">
        <f>$AN$112*VLOOKUP($AN$11,'PCU Values'!$B$9:$C$16,2,FALSE)</f>
        <v>0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0.4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0.4</v>
      </c>
      <c r="BD112" s="52">
        <f>SUM($AM$112,$AN$112,$AO$112,$AP$112,$AQ$112,$AR$112,$AS$112,$AT$112)</f>
        <v>2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34</v>
      </c>
      <c r="BZ112" s="85">
        <f>SUM($D$112,$V$112,$AN$112,$BF$112)</f>
        <v>3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1</v>
      </c>
      <c r="CD112" s="85">
        <f>SUM($H$112,$Z$112,$AR$112,$BJ$112)</f>
        <v>5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34</v>
      </c>
      <c r="CH112" s="81">
        <f>$BZ$112*VLOOKUP($BZ$11,'PCU Values'!$B$9:$C$16,2,FALSE)</f>
        <v>3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2</v>
      </c>
      <c r="CL112" s="81">
        <f>$CD$112*VLOOKUP($CD$11,'PCU Values'!$B$9:$C$16,2,FALSE)</f>
        <v>1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40</v>
      </c>
      <c r="CP112" s="52">
        <f>SUM($BY$112,$BZ$112,$CA$112,$CB$112,$CC$112,$CD$112,$CE$112,$CF$112)</f>
        <v>43</v>
      </c>
      <c r="CQ112" s="91">
        <f>SUM('J1 A - (North) Bishopthorpe Roa'!$U$112,'J1 B - Butcher Terrace'!$C$112,'J1 C - (South) Bishopthorpe Roa'!$BE$112,'J1 D - South Bank Avenue'!$AM$112)</f>
        <v>33</v>
      </c>
      <c r="CR112" s="85">
        <f>SUM('J1 A - (North) Bishopthorpe Roa'!$V$112,'J1 B - Butcher Terrace'!$D$112,'J1 C - (South) Bishopthorpe Roa'!$BF$112,'J1 D - South Bank Avenue'!$AN$112)</f>
        <v>2</v>
      </c>
      <c r="CS112" s="85">
        <f>SUM('J1 A - (North) Bishopthorpe Roa'!$W$112,'J1 B - Butcher Terrace'!$E$112,'J1 C - (South) Bishopthorpe Roa'!$BG$112,'J1 D - South Bank Avenue'!$AO$112)</f>
        <v>0</v>
      </c>
      <c r="CT112" s="85">
        <f>SUM('J1 A - (North) Bishopthorpe Roa'!$X$112,'J1 B - Butcher Terrace'!$F$112,'J1 C - (South) Bishopthorpe Roa'!$BH$112,'J1 D - South Bank Avenue'!$AP$112)</f>
        <v>0</v>
      </c>
      <c r="CU112" s="85">
        <f>SUM('J1 A - (North) Bishopthorpe Roa'!$Y$112,'J1 B - Butcher Terrace'!$G$112,'J1 C - (South) Bishopthorpe Roa'!$BI$112,'J1 D - South Bank Avenue'!$AQ$112)</f>
        <v>0</v>
      </c>
      <c r="CV112" s="85">
        <f>SUM('J1 A - (North) Bishopthorpe Roa'!$Z$112,'J1 B - Butcher Terrace'!$H$112,'J1 C - (South) Bishopthorpe Roa'!$BJ$112,'J1 D - South Bank Avenue'!$AR$112)</f>
        <v>5</v>
      </c>
      <c r="CW112" s="85">
        <f>SUM('J1 A - (North) Bishopthorpe Roa'!$AA$112,'J1 B - Butcher Terrace'!$I$112,'J1 C - (South) Bishopthorpe Roa'!$BK$112,'J1 D - South Bank Avenue'!$AS$112)</f>
        <v>3</v>
      </c>
      <c r="CX112" s="88">
        <f>SUM('J1 A - (North) Bishopthorpe Roa'!$AB$112,'J1 B - Butcher Terrace'!$J$112,'J1 C - (South) Bishopthorpe Roa'!$BL$112,'J1 D - South Bank Avenue'!$AT$112)</f>
        <v>0</v>
      </c>
      <c r="CY112" s="81">
        <f>$CQ$112*VLOOKUP($CQ$11,'PCU Values'!$B$9:$C$16,2,FALSE)</f>
        <v>33</v>
      </c>
      <c r="CZ112" s="81">
        <f>$CR$112*VLOOKUP($CR$11,'PCU Values'!$B$9:$C$16,2,FALSE)</f>
        <v>2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</v>
      </c>
      <c r="DE112" s="81">
        <f>$CW$112*VLOOKUP($CW$11,'PCU Values'!$B$9:$C$16,2,FALSE)</f>
        <v>1.2</v>
      </c>
      <c r="DF112" s="82">
        <f>$CX$112*VLOOKUP($CX$11,'PCU Values'!$B$9:$C$16,2,FALSE)</f>
        <v>0</v>
      </c>
      <c r="DG112" s="71">
        <f>SUM($CY$112,$CZ$112,$DA$112,$DB$112,$DC$112,$DD$112,$DE$112,$DF$112)</f>
        <v>37.200000000000003</v>
      </c>
      <c r="DH112" s="52">
        <f>SUM($CQ$112,$CR$112,$CS$112,$CT$112,$CU$112,$CV$112,$CW$112,$CX$112)</f>
        <v>43</v>
      </c>
    </row>
    <row r="113" spans="1:112" ht="21" customHeight="1">
      <c r="A113" s="46">
        <v>44395.84375</v>
      </c>
      <c r="B113" s="47" t="s">
        <v>112</v>
      </c>
      <c r="C113" s="48">
        <v>0</v>
      </c>
      <c r="D113" s="48">
        <v>1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56">
        <v>0</v>
      </c>
      <c r="K113" s="57">
        <f>$C$113*VLOOKUP($C$11,'PCU Values'!$B$9:$C$16,2,FALSE)</f>
        <v>0</v>
      </c>
      <c r="L113" s="57">
        <f>$D$113*VLOOKUP($D$11,'PCU Values'!$B$9:$C$16,2,FALSE)</f>
        <v>1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</v>
      </c>
      <c r="R113" s="65">
        <f>$J$113*VLOOKUP($J$11,'PCU Values'!$B$9:$C$16,2,FALSE)</f>
        <v>0</v>
      </c>
      <c r="S113" s="66">
        <f>SUM($K$113,$L$113,$M$113,$N$113,$O$113,$P$113,$Q$113,$R$113)</f>
        <v>1</v>
      </c>
      <c r="T113" s="52">
        <f>SUM($C$113,$D$113,$E$113,$F$113,$G$113,$H$113,$I$113,$J$113)</f>
        <v>1</v>
      </c>
      <c r="U113" s="67">
        <v>21</v>
      </c>
      <c r="V113" s="48">
        <v>0</v>
      </c>
      <c r="W113" s="48">
        <v>0</v>
      </c>
      <c r="X113" s="48">
        <v>0</v>
      </c>
      <c r="Y113" s="48">
        <v>0</v>
      </c>
      <c r="Z113" s="48">
        <v>2</v>
      </c>
      <c r="AA113" s="48">
        <v>0</v>
      </c>
      <c r="AB113" s="56">
        <v>0</v>
      </c>
      <c r="AC113" s="57">
        <f>$U$113*VLOOKUP($U$11,'PCU Values'!$B$9:$C$16,2,FALSE)</f>
        <v>21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0.4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21.4</v>
      </c>
      <c r="AL113" s="52">
        <f>SUM($U$113,$V$113,$W$113,$X$113,$Y$113,$Z$113,$AA$113,$AB$113)</f>
        <v>23</v>
      </c>
      <c r="AM113" s="67">
        <v>1</v>
      </c>
      <c r="AN113" s="48">
        <v>0</v>
      </c>
      <c r="AO113" s="48">
        <v>0</v>
      </c>
      <c r="AP113" s="48">
        <v>0</v>
      </c>
      <c r="AQ113" s="48">
        <v>0</v>
      </c>
      <c r="AR113" s="48">
        <v>4</v>
      </c>
      <c r="AS113" s="48">
        <v>0</v>
      </c>
      <c r="AT113" s="56">
        <v>0</v>
      </c>
      <c r="AU113" s="57">
        <f>$AM$113*VLOOKUP($AM$11,'PCU Values'!$B$9:$C$16,2,FALSE)</f>
        <v>1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0.8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1.8</v>
      </c>
      <c r="BD113" s="52">
        <f>SUM($AM$113,$AN$113,$AO$113,$AP$113,$AQ$113,$AR$113,$AS$113,$AT$113)</f>
        <v>5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22</v>
      </c>
      <c r="BZ113" s="83">
        <f>SUM($D$113,$V$113,$AN$113,$BF$113)</f>
        <v>1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6</v>
      </c>
      <c r="CE113" s="83">
        <f>SUM($I$113,$AA$113,$AS$113,$BK$113)</f>
        <v>0</v>
      </c>
      <c r="CF113" s="86">
        <f>SUM($J$113,$AB$113,$AT$113,$BL$113)</f>
        <v>0</v>
      </c>
      <c r="CG113" s="77">
        <f>$BY$113*VLOOKUP($BY$11,'PCU Values'!$B$9:$C$16,2,FALSE)</f>
        <v>22</v>
      </c>
      <c r="CH113" s="77">
        <f>$BZ$113*VLOOKUP($BZ$11,'PCU Values'!$B$9:$C$16,2,FALSE)</f>
        <v>1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1.2</v>
      </c>
      <c r="CM113" s="77">
        <f>$CE$113*VLOOKUP($CE$11,'PCU Values'!$B$9:$C$16,2,FALSE)</f>
        <v>0</v>
      </c>
      <c r="CN113" s="78">
        <f>$CF$113*VLOOKUP($CF$11,'PCU Values'!$B$9:$C$16,2,FALSE)</f>
        <v>0</v>
      </c>
      <c r="CO113" s="66">
        <f>SUM($CG$113,$CH$113,$CI$113,$CJ$113,$CK$113,$CL$113,$CM$113,$CN$113)</f>
        <v>24.2</v>
      </c>
      <c r="CP113" s="52">
        <f>SUM($BY$113,$BZ$113,$CA$113,$CB$113,$CC$113,$CD$113,$CE$113,$CF$113)</f>
        <v>29</v>
      </c>
      <c r="CQ113" s="89">
        <f>SUM('J1 A - (North) Bishopthorpe Roa'!$U$113,'J1 B - Butcher Terrace'!$C$113,'J1 C - (South) Bishopthorpe Roa'!$BE$113,'J1 D - South Bank Avenue'!$AM$113)</f>
        <v>43</v>
      </c>
      <c r="CR113" s="83">
        <f>SUM('J1 A - (North) Bishopthorpe Roa'!$V$113,'J1 B - Butcher Terrace'!$D$113,'J1 C - (South) Bishopthorpe Roa'!$BF$113,'J1 D - South Bank Avenue'!$AN$113)</f>
        <v>1</v>
      </c>
      <c r="CS113" s="83">
        <f>SUM('J1 A - (North) Bishopthorpe Roa'!$W$113,'J1 B - Butcher Terrace'!$E$113,'J1 C - (South) Bishopthorpe Roa'!$BG$113,'J1 D - South Bank Avenue'!$AO$113)</f>
        <v>0</v>
      </c>
      <c r="CT113" s="83">
        <f>SUM('J1 A - (North) Bishopthorpe Roa'!$X$113,'J1 B - Butcher Terrace'!$F$113,'J1 C - (South) Bishopthorpe Roa'!$BH$113,'J1 D - South Bank Avenue'!$AP$113)</f>
        <v>0</v>
      </c>
      <c r="CU113" s="83">
        <f>SUM('J1 A - (North) Bishopthorpe Roa'!$Y$113,'J1 B - Butcher Terrace'!$G$113,'J1 C - (South) Bishopthorpe Roa'!$BI$113,'J1 D - South Bank Avenue'!$AQ$113)</f>
        <v>2</v>
      </c>
      <c r="CV113" s="83">
        <f>SUM('J1 A - (North) Bishopthorpe Roa'!$Z$113,'J1 B - Butcher Terrace'!$H$113,'J1 C - (South) Bishopthorpe Roa'!$BJ$113,'J1 D - South Bank Avenue'!$AR$113)</f>
        <v>3</v>
      </c>
      <c r="CW113" s="83">
        <f>SUM('J1 A - (North) Bishopthorpe Roa'!$AA$113,'J1 B - Butcher Terrace'!$I$113,'J1 C - (South) Bishopthorpe Roa'!$BK$113,'J1 D - South Bank Avenue'!$AS$113)</f>
        <v>0</v>
      </c>
      <c r="CX113" s="86">
        <f>SUM('J1 A - (North) Bishopthorpe Roa'!$AB$113,'J1 B - Butcher Terrace'!$J$113,'J1 C - (South) Bishopthorpe Roa'!$BL$113,'J1 D - South Bank Avenue'!$AT$113)</f>
        <v>0</v>
      </c>
      <c r="CY113" s="77">
        <f>$CQ$113*VLOOKUP($CQ$11,'PCU Values'!$B$9:$C$16,2,FALSE)</f>
        <v>43</v>
      </c>
      <c r="CZ113" s="77">
        <f>$CR$113*VLOOKUP($CR$11,'PCU Values'!$B$9:$C$16,2,FALSE)</f>
        <v>1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4</v>
      </c>
      <c r="DD113" s="77">
        <f>$CV$113*VLOOKUP($CV$11,'PCU Values'!$B$9:$C$16,2,FALSE)</f>
        <v>0.6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48.6</v>
      </c>
      <c r="DH113" s="52">
        <f>SUM($CQ$113,$CR$113,$CS$113,$CT$113,$CU$113,$CV$113,$CW$113,$CX$113)</f>
        <v>49</v>
      </c>
    </row>
    <row r="114" spans="1:112" ht="21" customHeight="1">
      <c r="A114" s="46">
        <v>44395.854166666701</v>
      </c>
      <c r="B114" s="47" t="s">
        <v>113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56">
        <v>0</v>
      </c>
      <c r="K114" s="57">
        <f>$C$114*VLOOKUP($C$11,'PCU Values'!$B$9:$C$16,2,FALSE)</f>
        <v>0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</v>
      </c>
      <c r="R114" s="65">
        <f>$J$114*VLOOKUP($J$11,'PCU Values'!$B$9:$C$16,2,FALSE)</f>
        <v>0</v>
      </c>
      <c r="S114" s="66">
        <f>SUM($K$114,$L$114,$M$114,$N$114,$O$114,$P$114,$Q$114,$R$114)</f>
        <v>0</v>
      </c>
      <c r="T114" s="52">
        <f>SUM($C$114,$D$114,$E$114,$F$114,$G$114,$H$114,$I$114,$J$114)</f>
        <v>0</v>
      </c>
      <c r="U114" s="67">
        <v>24</v>
      </c>
      <c r="V114" s="48">
        <v>3</v>
      </c>
      <c r="W114" s="48">
        <v>1</v>
      </c>
      <c r="X114" s="48">
        <v>0</v>
      </c>
      <c r="Y114" s="48">
        <v>0</v>
      </c>
      <c r="Z114" s="48">
        <v>1</v>
      </c>
      <c r="AA114" s="48">
        <v>0</v>
      </c>
      <c r="AB114" s="56">
        <v>0</v>
      </c>
      <c r="AC114" s="57">
        <f>$U$114*VLOOKUP($U$11,'PCU Values'!$B$9:$C$16,2,FALSE)</f>
        <v>24</v>
      </c>
      <c r="AD114" s="57">
        <f>$V$114*VLOOKUP($V$11,'PCU Values'!$B$9:$C$16,2,FALSE)</f>
        <v>3</v>
      </c>
      <c r="AE114" s="57">
        <f>$W$114*VLOOKUP($W$11,'PCU Values'!$B$9:$C$16,2,FALSE)</f>
        <v>1.5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0.2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28.7</v>
      </c>
      <c r="AL114" s="52">
        <f>SUM($U$114,$V$114,$W$114,$X$114,$Y$114,$Z$114,$AA$114,$AB$114)</f>
        <v>29</v>
      </c>
      <c r="AM114" s="67">
        <v>2</v>
      </c>
      <c r="AN114" s="48">
        <v>0</v>
      </c>
      <c r="AO114" s="48">
        <v>0</v>
      </c>
      <c r="AP114" s="48">
        <v>0</v>
      </c>
      <c r="AQ114" s="48">
        <v>0</v>
      </c>
      <c r="AR114" s="48">
        <v>1</v>
      </c>
      <c r="AS114" s="48">
        <v>0</v>
      </c>
      <c r="AT114" s="56">
        <v>0</v>
      </c>
      <c r="AU114" s="57">
        <f>$AM$114*VLOOKUP($AM$11,'PCU Values'!$B$9:$C$16,2,FALSE)</f>
        <v>2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0.2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2.2000000000000002</v>
      </c>
      <c r="BD114" s="52">
        <f>SUM($AM$114,$AN$114,$AO$114,$AP$114,$AQ$114,$AR$114,$AS$114,$AT$114)</f>
        <v>3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26</v>
      </c>
      <c r="BZ114" s="83">
        <f>SUM($D$114,$V$114,$AN$114,$BF$114)</f>
        <v>3</v>
      </c>
      <c r="CA114" s="83">
        <f>SUM($E$114,$W$114,$AO$114,$BG$114)</f>
        <v>1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2</v>
      </c>
      <c r="CE114" s="83">
        <f>SUM($I$114,$AA$114,$AS$114,$BK$114)</f>
        <v>0</v>
      </c>
      <c r="CF114" s="86">
        <f>SUM($J$114,$AB$114,$AT$114,$BL$114)</f>
        <v>0</v>
      </c>
      <c r="CG114" s="77">
        <f>$BY$114*VLOOKUP($BY$11,'PCU Values'!$B$9:$C$16,2,FALSE)</f>
        <v>26</v>
      </c>
      <c r="CH114" s="77">
        <f>$BZ$114*VLOOKUP($BZ$11,'PCU Values'!$B$9:$C$16,2,FALSE)</f>
        <v>3</v>
      </c>
      <c r="CI114" s="77">
        <f>$CA$114*VLOOKUP($CA$11,'PCU Values'!$B$9:$C$16,2,FALSE)</f>
        <v>1.5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0.4</v>
      </c>
      <c r="CM114" s="77">
        <f>$CE$114*VLOOKUP($CE$11,'PCU Values'!$B$9:$C$16,2,FALSE)</f>
        <v>0</v>
      </c>
      <c r="CN114" s="78">
        <f>$CF$114*VLOOKUP($CF$11,'PCU Values'!$B$9:$C$16,2,FALSE)</f>
        <v>0</v>
      </c>
      <c r="CO114" s="66">
        <f>SUM($CG$114,$CH$114,$CI$114,$CJ$114,$CK$114,$CL$114,$CM$114,$CN$114)</f>
        <v>30.9</v>
      </c>
      <c r="CP114" s="52">
        <f>SUM($BY$114,$BZ$114,$CA$114,$CB$114,$CC$114,$CD$114,$CE$114,$CF$114)</f>
        <v>32</v>
      </c>
      <c r="CQ114" s="89">
        <f>SUM('J1 A - (North) Bishopthorpe Roa'!$U$114,'J1 B - Butcher Terrace'!$C$114,'J1 C - (South) Bishopthorpe Roa'!$BE$114,'J1 D - South Bank Avenue'!$AM$114)</f>
        <v>19</v>
      </c>
      <c r="CR114" s="83">
        <f>SUM('J1 A - (North) Bishopthorpe Roa'!$V$114,'J1 B - Butcher Terrace'!$D$114,'J1 C - (South) Bishopthorpe Roa'!$BF$114,'J1 D - South Bank Avenue'!$AN$114)</f>
        <v>3</v>
      </c>
      <c r="CS114" s="83">
        <f>SUM('J1 A - (North) Bishopthorpe Roa'!$W$114,'J1 B - Butcher Terrace'!$E$114,'J1 C - (South) Bishopthorpe Roa'!$BG$114,'J1 D - South Bank Avenue'!$AO$114)</f>
        <v>0</v>
      </c>
      <c r="CT114" s="83">
        <f>SUM('J1 A - (North) Bishopthorpe Roa'!$X$114,'J1 B - Butcher Terrace'!$F$114,'J1 C - (South) Bishopthorpe Roa'!$BH$114,'J1 D - South Bank Avenue'!$AP$114)</f>
        <v>0</v>
      </c>
      <c r="CU114" s="83">
        <f>SUM('J1 A - (North) Bishopthorpe Roa'!$Y$114,'J1 B - Butcher Terrace'!$G$114,'J1 C - (South) Bishopthorpe Roa'!$BI$114,'J1 D - South Bank Avenue'!$AQ$114)</f>
        <v>0</v>
      </c>
      <c r="CV114" s="83">
        <f>SUM('J1 A - (North) Bishopthorpe Roa'!$Z$114,'J1 B - Butcher Terrace'!$H$114,'J1 C - (South) Bishopthorpe Roa'!$BJ$114,'J1 D - South Bank Avenue'!$AR$114)</f>
        <v>2</v>
      </c>
      <c r="CW114" s="83">
        <f>SUM('J1 A - (North) Bishopthorpe Roa'!$AA$114,'J1 B - Butcher Terrace'!$I$114,'J1 C - (South) Bishopthorpe Roa'!$BK$114,'J1 D - South Bank Avenue'!$AS$114)</f>
        <v>1</v>
      </c>
      <c r="CX114" s="86">
        <f>SUM('J1 A - (North) Bishopthorpe Roa'!$AB$114,'J1 B - Butcher Terrace'!$J$114,'J1 C - (South) Bishopthorpe Roa'!$BL$114,'J1 D - South Bank Avenue'!$AT$114)</f>
        <v>0</v>
      </c>
      <c r="CY114" s="77">
        <f>$CQ$114*VLOOKUP($CQ$11,'PCU Values'!$B$9:$C$16,2,FALSE)</f>
        <v>19</v>
      </c>
      <c r="CZ114" s="77">
        <f>$CR$114*VLOOKUP($CR$11,'PCU Values'!$B$9:$C$16,2,FALSE)</f>
        <v>3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0.4</v>
      </c>
      <c r="DE114" s="77">
        <f>$CW$114*VLOOKUP($CW$11,'PCU Values'!$B$9:$C$16,2,FALSE)</f>
        <v>0.4</v>
      </c>
      <c r="DF114" s="78">
        <f>$CX$114*VLOOKUP($CX$11,'PCU Values'!$B$9:$C$16,2,FALSE)</f>
        <v>0</v>
      </c>
      <c r="DG114" s="66">
        <f>SUM($CY$114,$CZ$114,$DA$114,$DB$114,$DC$114,$DD$114,$DE$114,$DF$114)</f>
        <v>22.8</v>
      </c>
      <c r="DH114" s="52">
        <f>SUM($CQ$114,$CR$114,$CS$114,$CT$114,$CU$114,$CV$114,$CW$114,$CX$114)</f>
        <v>25</v>
      </c>
    </row>
    <row r="115" spans="1:112" ht="21" customHeight="1">
      <c r="A115" s="46">
        <v>44395.864583333299</v>
      </c>
      <c r="B115" s="50" t="s">
        <v>114</v>
      </c>
      <c r="C115" s="51">
        <v>1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1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1</v>
      </c>
      <c r="T115" s="52">
        <f>SUM($C$115,$D$115,$E$115,$F$115,$G$115,$H$115,$I$115,$J$115)</f>
        <v>1</v>
      </c>
      <c r="U115" s="73">
        <v>26</v>
      </c>
      <c r="V115" s="51">
        <v>3</v>
      </c>
      <c r="W115" s="51">
        <v>0</v>
      </c>
      <c r="X115" s="51">
        <v>0</v>
      </c>
      <c r="Y115" s="51">
        <v>1</v>
      </c>
      <c r="Z115" s="51">
        <v>1</v>
      </c>
      <c r="AA115" s="51">
        <v>0</v>
      </c>
      <c r="AB115" s="59">
        <v>0</v>
      </c>
      <c r="AC115" s="60">
        <f>$U$115*VLOOKUP($U$11,'PCU Values'!$B$9:$C$16,2,FALSE)</f>
        <v>26</v>
      </c>
      <c r="AD115" s="60">
        <f>$V$115*VLOOKUP($V$11,'PCU Values'!$B$9:$C$16,2,FALSE)</f>
        <v>3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2</v>
      </c>
      <c r="AH115" s="60">
        <f>$Z$115*VLOOKUP($Z$11,'PCU Values'!$B$9:$C$16,2,FALSE)</f>
        <v>0.2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31.2</v>
      </c>
      <c r="AL115" s="52">
        <f>SUM($U$115,$V$115,$W$115,$X$115,$Y$115,$Z$115,$AA$115,$AB$115)</f>
        <v>31</v>
      </c>
      <c r="AM115" s="73">
        <v>2</v>
      </c>
      <c r="AN115" s="51">
        <v>0</v>
      </c>
      <c r="AO115" s="51">
        <v>0</v>
      </c>
      <c r="AP115" s="51">
        <v>0</v>
      </c>
      <c r="AQ115" s="51">
        <v>0</v>
      </c>
      <c r="AR115" s="51">
        <v>2</v>
      </c>
      <c r="AS115" s="51">
        <v>0</v>
      </c>
      <c r="AT115" s="59">
        <v>0</v>
      </c>
      <c r="AU115" s="60">
        <f>$AM$115*VLOOKUP($AM$11,'PCU Values'!$B$9:$C$16,2,FALSE)</f>
        <v>2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0.4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2.4</v>
      </c>
      <c r="BD115" s="52">
        <f>SUM($AM$115,$AN$115,$AO$115,$AP$115,$AQ$115,$AR$115,$AS$115,$AT$115)</f>
        <v>4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29</v>
      </c>
      <c r="BZ115" s="84">
        <f>SUM($D$115,$V$115,$AN$115,$BF$115)</f>
        <v>3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1</v>
      </c>
      <c r="CD115" s="84">
        <f>SUM($H$115,$Z$115,$AR$115,$BJ$115)</f>
        <v>3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29</v>
      </c>
      <c r="CH115" s="79">
        <f>$BZ$115*VLOOKUP($BZ$11,'PCU Values'!$B$9:$C$16,2,FALSE)</f>
        <v>3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2</v>
      </c>
      <c r="CL115" s="79">
        <f>$CD$115*VLOOKUP($CD$11,'PCU Values'!$B$9:$C$16,2,FALSE)</f>
        <v>0.6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34.6</v>
      </c>
      <c r="CP115" s="52">
        <f>SUM($BY$115,$BZ$115,$CA$115,$CB$115,$CC$115,$CD$115,$CE$115,$CF$115)</f>
        <v>36</v>
      </c>
      <c r="CQ115" s="90">
        <f>SUM('J1 A - (North) Bishopthorpe Roa'!$U$115,'J1 B - Butcher Terrace'!$C$115,'J1 C - (South) Bishopthorpe Roa'!$BE$115,'J1 D - South Bank Avenue'!$AM$115)</f>
        <v>20</v>
      </c>
      <c r="CR115" s="84">
        <f>SUM('J1 A - (North) Bishopthorpe Roa'!$V$115,'J1 B - Butcher Terrace'!$D$115,'J1 C - (South) Bishopthorpe Roa'!$BF$115,'J1 D - South Bank Avenue'!$AN$115)</f>
        <v>0</v>
      </c>
      <c r="CS115" s="84">
        <f>SUM('J1 A - (North) Bishopthorpe Roa'!$W$115,'J1 B - Butcher Terrace'!$E$115,'J1 C - (South) Bishopthorpe Roa'!$BG$115,'J1 D - South Bank Avenue'!$AO$115)</f>
        <v>0</v>
      </c>
      <c r="CT115" s="84">
        <f>SUM('J1 A - (North) Bishopthorpe Roa'!$X$115,'J1 B - Butcher Terrace'!$F$115,'J1 C - (South) Bishopthorpe Roa'!$BH$115,'J1 D - South Bank Avenue'!$AP$115)</f>
        <v>0</v>
      </c>
      <c r="CU115" s="84">
        <f>SUM('J1 A - (North) Bishopthorpe Roa'!$Y$115,'J1 B - Butcher Terrace'!$G$115,'J1 C - (South) Bishopthorpe Roa'!$BI$115,'J1 D - South Bank Avenue'!$AQ$115)</f>
        <v>0</v>
      </c>
      <c r="CV115" s="84">
        <f>SUM('J1 A - (North) Bishopthorpe Roa'!$Z$115,'J1 B - Butcher Terrace'!$H$115,'J1 C - (South) Bishopthorpe Roa'!$BJ$115,'J1 D - South Bank Avenue'!$AR$115)</f>
        <v>5</v>
      </c>
      <c r="CW115" s="84">
        <f>SUM('J1 A - (North) Bishopthorpe Roa'!$AA$115,'J1 B - Butcher Terrace'!$I$115,'J1 C - (South) Bishopthorpe Roa'!$BK$115,'J1 D - South Bank Avenue'!$AS$115)</f>
        <v>1</v>
      </c>
      <c r="CX115" s="87">
        <f>SUM('J1 A - (North) Bishopthorpe Roa'!$AB$115,'J1 B - Butcher Terrace'!$J$115,'J1 C - (South) Bishopthorpe Roa'!$BL$115,'J1 D - South Bank Avenue'!$AT$115)</f>
        <v>0</v>
      </c>
      <c r="CY115" s="79">
        <f>$CQ$115*VLOOKUP($CQ$11,'PCU Values'!$B$9:$C$16,2,FALSE)</f>
        <v>20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1</v>
      </c>
      <c r="DE115" s="79">
        <f>$CW$115*VLOOKUP($CW$11,'PCU Values'!$B$9:$C$16,2,FALSE)</f>
        <v>0.4</v>
      </c>
      <c r="DF115" s="80">
        <f>$CX$115*VLOOKUP($CX$11,'PCU Values'!$B$9:$C$16,2,FALSE)</f>
        <v>0</v>
      </c>
      <c r="DG115" s="63">
        <f>SUM($CY$115,$CZ$115,$DA$115,$DB$115,$DC$115,$DD$115,$DE$115,$DF$115)</f>
        <v>21.4</v>
      </c>
      <c r="DH115" s="52">
        <f>SUM($CQ$115,$CR$115,$CS$115,$CT$115,$CU$115,$CV$115,$CW$115,$CX$115)</f>
        <v>26</v>
      </c>
    </row>
    <row r="116" spans="1:112">
      <c r="B116" s="52" t="s">
        <v>34</v>
      </c>
      <c r="C116" s="52">
        <f>SUM($C$112:$C$115)</f>
        <v>2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0</v>
      </c>
      <c r="I116" s="52">
        <f>SUM($I$112:$I$115)</f>
        <v>0</v>
      </c>
      <c r="J116" s="52">
        <f>SUM($J$112:$J$115)</f>
        <v>0</v>
      </c>
      <c r="K116" s="52">
        <f>SUM($K$112:$K$115)</f>
        <v>2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0</v>
      </c>
      <c r="Q116" s="52">
        <f>SUM($Q$112:$Q$115)</f>
        <v>0</v>
      </c>
      <c r="R116" s="52">
        <f>SUM($R$112:$R$115)</f>
        <v>0</v>
      </c>
      <c r="S116" s="52">
        <f>SUM($K$116,$L$116,$M$116,$N$116,$O$116,$P$116,$Q$116,$R$116)</f>
        <v>3</v>
      </c>
      <c r="T116" s="52">
        <f>SUM($C$116,$D$116,$E$116,$F$116,$G$116,$H$116,$I$116,$J$116)</f>
        <v>3</v>
      </c>
      <c r="U116" s="52">
        <f>SUM($U$112:$U$115)</f>
        <v>104</v>
      </c>
      <c r="V116" s="52">
        <f>SUM($V$112:$V$115)</f>
        <v>9</v>
      </c>
      <c r="W116" s="52">
        <f>SUM($W$112:$W$115)</f>
        <v>1</v>
      </c>
      <c r="X116" s="52">
        <f>SUM($X$112:$X$115)</f>
        <v>0</v>
      </c>
      <c r="Y116" s="52">
        <f>SUM($Y$112:$Y$115)</f>
        <v>2</v>
      </c>
      <c r="Z116" s="52">
        <f>SUM($Z$112:$Z$115)</f>
        <v>7</v>
      </c>
      <c r="AA116" s="52">
        <f>SUM($AA$112:$AA$115)</f>
        <v>0</v>
      </c>
      <c r="AB116" s="52">
        <f>SUM($AB$112:$AB$115)</f>
        <v>0</v>
      </c>
      <c r="AC116" s="52">
        <f>SUM($AC$112:$AC$115)</f>
        <v>104</v>
      </c>
      <c r="AD116" s="52">
        <f>SUM($AD$112:$AD$115)</f>
        <v>9</v>
      </c>
      <c r="AE116" s="52">
        <f>SUM($AE$112:$AE$115)</f>
        <v>2</v>
      </c>
      <c r="AF116" s="52">
        <f>SUM($AF$112:$AF$115)</f>
        <v>0</v>
      </c>
      <c r="AG116" s="52">
        <f>SUM($AG$112:$AG$115)</f>
        <v>4</v>
      </c>
      <c r="AH116" s="52">
        <f>SUM($AH$112:$AH$115)</f>
        <v>1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120</v>
      </c>
      <c r="AL116" s="52">
        <f>SUM($U$116,$V$116,$W$116,$X$116,$Y$116,$Z$116,$AA$116,$AB$116)</f>
        <v>123</v>
      </c>
      <c r="AM116" s="52">
        <f>SUM($AM$112:$AM$115)</f>
        <v>5</v>
      </c>
      <c r="AN116" s="52">
        <f>SUM($AN$112:$AN$115)</f>
        <v>0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9</v>
      </c>
      <c r="AS116" s="52">
        <f>SUM($AS$112:$AS$115)</f>
        <v>0</v>
      </c>
      <c r="AT116" s="52">
        <f>SUM($AT$112:$AT$115)</f>
        <v>0</v>
      </c>
      <c r="AU116" s="52">
        <f>SUM($AU$112:$AU$115)</f>
        <v>5</v>
      </c>
      <c r="AV116" s="52">
        <f>SUM($AV$112:$AV$115)</f>
        <v>0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2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7</v>
      </c>
      <c r="BD116" s="52">
        <f>SUM($AM$116,$AN$116,$AO$116,$AP$116,$AQ$116,$AR$116,$AS$116,$AT$116)</f>
        <v>14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111</v>
      </c>
      <c r="BZ116" s="52">
        <f>SUM($BZ$112:$BZ$115)</f>
        <v>10</v>
      </c>
      <c r="CA116" s="52">
        <f>SUM($CA$112:$CA$115)</f>
        <v>1</v>
      </c>
      <c r="CB116" s="52">
        <f>SUM($CB$112:$CB$115)</f>
        <v>0</v>
      </c>
      <c r="CC116" s="52">
        <f>SUM($CC$112:$CC$115)</f>
        <v>2</v>
      </c>
      <c r="CD116" s="52">
        <f>SUM($CD$112:$CD$115)</f>
        <v>16</v>
      </c>
      <c r="CE116" s="52">
        <f>SUM($CE$112:$CE$115)</f>
        <v>0</v>
      </c>
      <c r="CF116" s="52">
        <f>SUM($CF$112:$CF$115)</f>
        <v>0</v>
      </c>
      <c r="CG116" s="52">
        <f>SUM($CG$112:$CG$115)</f>
        <v>111</v>
      </c>
      <c r="CH116" s="52">
        <f>SUM($CH$112:$CH$115)</f>
        <v>10</v>
      </c>
      <c r="CI116" s="52">
        <f>SUM($CI$112:$CI$115)</f>
        <v>2</v>
      </c>
      <c r="CJ116" s="52">
        <f>SUM($CJ$112:$CJ$115)</f>
        <v>0</v>
      </c>
      <c r="CK116" s="52">
        <f>SUM($CK$112:$CK$115)</f>
        <v>4</v>
      </c>
      <c r="CL116" s="52">
        <f>SUM($CL$112:$CL$115)</f>
        <v>3</v>
      </c>
      <c r="CM116" s="52">
        <f>SUM($CM$112:$CM$115)</f>
        <v>0</v>
      </c>
      <c r="CN116" s="52">
        <f>SUM($CN$112:$CN$115)</f>
        <v>0</v>
      </c>
      <c r="CO116" s="52">
        <f>SUM($CG$116,$CH$116,$CI$116,$CJ$116,$CK$116,$CL$116,$CM$116,$CN$116)</f>
        <v>130</v>
      </c>
      <c r="CP116" s="52">
        <f>SUM($BY$116,$BZ$116,$CA$116,$CB$116,$CC$116,$CD$116,$CE$116,$CF$116)</f>
        <v>140</v>
      </c>
      <c r="CQ116" s="52">
        <f>SUM($CQ$112:$CQ$115)</f>
        <v>115</v>
      </c>
      <c r="CR116" s="52">
        <f>SUM($CR$112:$CR$115)</f>
        <v>6</v>
      </c>
      <c r="CS116" s="52">
        <f>SUM($CS$112:$CS$115)</f>
        <v>0</v>
      </c>
      <c r="CT116" s="52">
        <f>SUM($CT$112:$CT$115)</f>
        <v>0</v>
      </c>
      <c r="CU116" s="52">
        <f>SUM($CU$112:$CU$115)</f>
        <v>2</v>
      </c>
      <c r="CV116" s="52">
        <f>SUM($CV$112:$CV$115)</f>
        <v>15</v>
      </c>
      <c r="CW116" s="52">
        <f>SUM($CW$112:$CW$115)</f>
        <v>5</v>
      </c>
      <c r="CX116" s="52">
        <f>SUM($CX$112:$CX$115)</f>
        <v>0</v>
      </c>
      <c r="CY116" s="52">
        <f>SUM($CY$112:$CY$115)</f>
        <v>115</v>
      </c>
      <c r="CZ116" s="52">
        <f>SUM($CZ$112:$CZ$115)</f>
        <v>6</v>
      </c>
      <c r="DA116" s="52">
        <f>SUM($DA$112:$DA$115)</f>
        <v>0</v>
      </c>
      <c r="DB116" s="52">
        <f>SUM($DB$112:$DB$115)</f>
        <v>0</v>
      </c>
      <c r="DC116" s="52">
        <f>SUM($DC$112:$DC$115)</f>
        <v>4</v>
      </c>
      <c r="DD116" s="52">
        <f>SUM($DD$112:$DD$115)</f>
        <v>3</v>
      </c>
      <c r="DE116" s="52">
        <f>SUM($DE$112:$DE$115)</f>
        <v>2</v>
      </c>
      <c r="DF116" s="52">
        <f>SUM($DF$112:$DF$115)</f>
        <v>0</v>
      </c>
      <c r="DG116" s="52">
        <f>SUM($CY$116,$CZ$116,$DA$116,$DB$116,$DC$116,$DD$116,$DE$116,$DF$116)</f>
        <v>130</v>
      </c>
      <c r="DH116" s="52">
        <f>SUM($CQ$116,$CR$116,$CS$116,$CT$116,$CU$116,$CV$116,$CW$116,$CX$116)</f>
        <v>143</v>
      </c>
    </row>
    <row r="117" spans="1:112" ht="21" customHeight="1">
      <c r="A117" s="46">
        <v>44395.875</v>
      </c>
      <c r="B117" s="53" t="s">
        <v>115</v>
      </c>
      <c r="C117" s="54">
        <v>1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0</v>
      </c>
      <c r="J117" s="61">
        <v>0</v>
      </c>
      <c r="K117" s="62">
        <f>$C$117*VLOOKUP($C$11,'PCU Values'!$B$9:$C$16,2,FALSE)</f>
        <v>1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</v>
      </c>
      <c r="R117" s="70">
        <f>$J$117*VLOOKUP($J$11,'PCU Values'!$B$9:$C$16,2,FALSE)</f>
        <v>0</v>
      </c>
      <c r="S117" s="71">
        <f>SUM($K$117,$L$117,$M$117,$N$117,$O$117,$P$117,$Q$117,$R$117)</f>
        <v>1</v>
      </c>
      <c r="T117" s="52">
        <f>SUM($C$117,$D$117,$E$117,$F$117,$G$117,$H$117,$I$117,$J$117)</f>
        <v>1</v>
      </c>
      <c r="U117" s="72">
        <v>19</v>
      </c>
      <c r="V117" s="54">
        <v>2</v>
      </c>
      <c r="W117" s="54">
        <v>1</v>
      </c>
      <c r="X117" s="54">
        <v>0</v>
      </c>
      <c r="Y117" s="54">
        <v>0</v>
      </c>
      <c r="Z117" s="54">
        <v>0</v>
      </c>
      <c r="AA117" s="54">
        <v>0</v>
      </c>
      <c r="AB117" s="61">
        <v>0</v>
      </c>
      <c r="AC117" s="62">
        <f>$U$117*VLOOKUP($U$11,'PCU Values'!$B$9:$C$16,2,FALSE)</f>
        <v>19</v>
      </c>
      <c r="AD117" s="62">
        <f>$V$117*VLOOKUP($V$11,'PCU Values'!$B$9:$C$16,2,FALSE)</f>
        <v>2</v>
      </c>
      <c r="AE117" s="62">
        <f>$W$117*VLOOKUP($W$11,'PCU Values'!$B$9:$C$16,2,FALSE)</f>
        <v>1.5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22.5</v>
      </c>
      <c r="AL117" s="52">
        <f>SUM($U$117,$V$117,$W$117,$X$117,$Y$117,$Z$117,$AA$117,$AB$117)</f>
        <v>22</v>
      </c>
      <c r="AM117" s="72">
        <v>1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1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1</v>
      </c>
      <c r="BD117" s="52">
        <f>SUM($AM$117,$AN$117,$AO$117,$AP$117,$AQ$117,$AR$117,$AS$117,$AT$117)</f>
        <v>1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21</v>
      </c>
      <c r="BZ117" s="85">
        <f>SUM($D$117,$V$117,$AN$117,$BF$117)</f>
        <v>2</v>
      </c>
      <c r="CA117" s="85">
        <f>SUM($E$117,$W$117,$AO$117,$BG$117)</f>
        <v>1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0</v>
      </c>
      <c r="CE117" s="85">
        <f>SUM($I$117,$AA$117,$AS$117,$BK$117)</f>
        <v>0</v>
      </c>
      <c r="CF117" s="88">
        <f>SUM($J$117,$AB$117,$AT$117,$BL$117)</f>
        <v>0</v>
      </c>
      <c r="CG117" s="81">
        <f>$BY$117*VLOOKUP($BY$11,'PCU Values'!$B$9:$C$16,2,FALSE)</f>
        <v>21</v>
      </c>
      <c r="CH117" s="81">
        <f>$BZ$117*VLOOKUP($BZ$11,'PCU Values'!$B$9:$C$16,2,FALSE)</f>
        <v>2</v>
      </c>
      <c r="CI117" s="81">
        <f>$CA$117*VLOOKUP($CA$11,'PCU Values'!$B$9:$C$16,2,FALSE)</f>
        <v>1.5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</v>
      </c>
      <c r="CM117" s="81">
        <f>$CE$117*VLOOKUP($CE$11,'PCU Values'!$B$9:$C$16,2,FALSE)</f>
        <v>0</v>
      </c>
      <c r="CN117" s="82">
        <f>$CF$117*VLOOKUP($CF$11,'PCU Values'!$B$9:$C$16,2,FALSE)</f>
        <v>0</v>
      </c>
      <c r="CO117" s="71">
        <f>SUM($CG$117,$CH$117,$CI$117,$CJ$117,$CK$117,$CL$117,$CM$117,$CN$117)</f>
        <v>24.5</v>
      </c>
      <c r="CP117" s="52">
        <f>SUM($BY$117,$BZ$117,$CA$117,$CB$117,$CC$117,$CD$117,$CE$117,$CF$117)</f>
        <v>24</v>
      </c>
      <c r="CQ117" s="91">
        <f>SUM('J1 A - (North) Bishopthorpe Roa'!$U$117,'J1 B - Butcher Terrace'!$C$117,'J1 C - (South) Bishopthorpe Roa'!$BE$117,'J1 D - South Bank Avenue'!$AM$117)</f>
        <v>25</v>
      </c>
      <c r="CR117" s="85">
        <f>SUM('J1 A - (North) Bishopthorpe Roa'!$V$117,'J1 B - Butcher Terrace'!$D$117,'J1 C - (South) Bishopthorpe Roa'!$BF$117,'J1 D - South Bank Avenue'!$AN$117)</f>
        <v>1</v>
      </c>
      <c r="CS117" s="85">
        <f>SUM('J1 A - (North) Bishopthorpe Roa'!$W$117,'J1 B - Butcher Terrace'!$E$117,'J1 C - (South) Bishopthorpe Roa'!$BG$117,'J1 D - South Bank Avenue'!$AO$117)</f>
        <v>0</v>
      </c>
      <c r="CT117" s="85">
        <f>SUM('J1 A - (North) Bishopthorpe Roa'!$X$117,'J1 B - Butcher Terrace'!$F$117,'J1 C - (South) Bishopthorpe Roa'!$BH$117,'J1 D - South Bank Avenue'!$AP$117)</f>
        <v>0</v>
      </c>
      <c r="CU117" s="85">
        <f>SUM('J1 A - (North) Bishopthorpe Roa'!$Y$117,'J1 B - Butcher Terrace'!$G$117,'J1 C - (South) Bishopthorpe Roa'!$BI$117,'J1 D - South Bank Avenue'!$AQ$117)</f>
        <v>0</v>
      </c>
      <c r="CV117" s="85">
        <f>SUM('J1 A - (North) Bishopthorpe Roa'!$Z$117,'J1 B - Butcher Terrace'!$H$117,'J1 C - (South) Bishopthorpe Roa'!$BJ$117,'J1 D - South Bank Avenue'!$AR$117)</f>
        <v>5</v>
      </c>
      <c r="CW117" s="85">
        <f>SUM('J1 A - (North) Bishopthorpe Roa'!$AA$117,'J1 B - Butcher Terrace'!$I$117,'J1 C - (South) Bishopthorpe Roa'!$BK$117,'J1 D - South Bank Avenue'!$AS$117)</f>
        <v>0</v>
      </c>
      <c r="CX117" s="88">
        <f>SUM('J1 A - (North) Bishopthorpe Roa'!$AB$117,'J1 B - Butcher Terrace'!$J$117,'J1 C - (South) Bishopthorpe Roa'!$BL$117,'J1 D - South Bank Avenue'!$AT$117)</f>
        <v>0</v>
      </c>
      <c r="CY117" s="81">
        <f>$CQ$117*VLOOKUP($CQ$11,'PCU Values'!$B$9:$C$16,2,FALSE)</f>
        <v>25</v>
      </c>
      <c r="CZ117" s="81">
        <f>$CR$117*VLOOKUP($CR$11,'PCU Values'!$B$9:$C$16,2,FALSE)</f>
        <v>1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1</v>
      </c>
      <c r="DE117" s="81">
        <f>$CW$117*VLOOKUP($CW$11,'PCU Values'!$B$9:$C$16,2,FALSE)</f>
        <v>0</v>
      </c>
      <c r="DF117" s="82">
        <f>$CX$117*VLOOKUP($CX$11,'PCU Values'!$B$9:$C$16,2,FALSE)</f>
        <v>0</v>
      </c>
      <c r="DG117" s="71">
        <f>SUM($CY$117,$CZ$117,$DA$117,$DB$117,$DC$117,$DD$117,$DE$117,$DF$117)</f>
        <v>27</v>
      </c>
      <c r="DH117" s="52">
        <f>SUM($CQ$117,$CR$117,$CS$117,$CT$117,$CU$117,$CV$117,$CW$117,$CX$117)</f>
        <v>31</v>
      </c>
    </row>
    <row r="118" spans="1:112" ht="21" customHeight="1">
      <c r="A118" s="46">
        <v>44395.885416666701</v>
      </c>
      <c r="B118" s="47" t="s">
        <v>116</v>
      </c>
      <c r="C118" s="48">
        <v>1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1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1</v>
      </c>
      <c r="T118" s="52">
        <f>SUM($C$118,$D$118,$E$118,$F$118,$G$118,$H$118,$I$118,$J$118)</f>
        <v>1</v>
      </c>
      <c r="U118" s="67">
        <v>26</v>
      </c>
      <c r="V118" s="48">
        <v>1</v>
      </c>
      <c r="W118" s="48">
        <v>0</v>
      </c>
      <c r="X118" s="48">
        <v>0</v>
      </c>
      <c r="Y118" s="48">
        <v>0</v>
      </c>
      <c r="Z118" s="48">
        <v>2</v>
      </c>
      <c r="AA118" s="48">
        <v>0</v>
      </c>
      <c r="AB118" s="56">
        <v>0</v>
      </c>
      <c r="AC118" s="57">
        <f>$U$118*VLOOKUP($U$11,'PCU Values'!$B$9:$C$16,2,FALSE)</f>
        <v>26</v>
      </c>
      <c r="AD118" s="57">
        <f>$V$118*VLOOKUP($V$11,'PCU Values'!$B$9:$C$16,2,FALSE)</f>
        <v>1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0.4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27.4</v>
      </c>
      <c r="AL118" s="52">
        <f>SUM($U$118,$V$118,$W$118,$X$118,$Y$118,$Z$118,$AA$118,$AB$118)</f>
        <v>29</v>
      </c>
      <c r="AM118" s="67">
        <v>1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56">
        <v>0</v>
      </c>
      <c r="AU118" s="57">
        <f>$AM$118*VLOOKUP($AM$11,'PCU Values'!$B$9:$C$16,2,FALSE)</f>
        <v>1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1</v>
      </c>
      <c r="BD118" s="52">
        <f>SUM($AM$118,$AN$118,$AO$118,$AP$118,$AQ$118,$AR$118,$AS$118,$AT$118)</f>
        <v>1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28</v>
      </c>
      <c r="BZ118" s="83">
        <f>SUM($D$118,$V$118,$AN$118,$BF$118)</f>
        <v>1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2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28</v>
      </c>
      <c r="CH118" s="77">
        <f>$BZ$118*VLOOKUP($BZ$11,'PCU Values'!$B$9:$C$16,2,FALSE)</f>
        <v>1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0.4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29.4</v>
      </c>
      <c r="CP118" s="52">
        <f>SUM($BY$118,$BZ$118,$CA$118,$CB$118,$CC$118,$CD$118,$CE$118,$CF$118)</f>
        <v>31</v>
      </c>
      <c r="CQ118" s="89">
        <f>SUM('J1 A - (North) Bishopthorpe Roa'!$U$118,'J1 B - Butcher Terrace'!$C$118,'J1 C - (South) Bishopthorpe Roa'!$BE$118,'J1 D - South Bank Avenue'!$AM$118)</f>
        <v>31</v>
      </c>
      <c r="CR118" s="83">
        <f>SUM('J1 A - (North) Bishopthorpe Roa'!$V$118,'J1 B - Butcher Terrace'!$D$118,'J1 C - (South) Bishopthorpe Roa'!$BF$118,'J1 D - South Bank Avenue'!$AN$118)</f>
        <v>2</v>
      </c>
      <c r="CS118" s="83">
        <f>SUM('J1 A - (North) Bishopthorpe Roa'!$W$118,'J1 B - Butcher Terrace'!$E$118,'J1 C - (South) Bishopthorpe Roa'!$BG$118,'J1 D - South Bank Avenue'!$AO$118)</f>
        <v>0</v>
      </c>
      <c r="CT118" s="83">
        <f>SUM('J1 A - (North) Bishopthorpe Roa'!$X$118,'J1 B - Butcher Terrace'!$F$118,'J1 C - (South) Bishopthorpe Roa'!$BH$118,'J1 D - South Bank Avenue'!$AP$118)</f>
        <v>0</v>
      </c>
      <c r="CU118" s="83">
        <f>SUM('J1 A - (North) Bishopthorpe Roa'!$Y$118,'J1 B - Butcher Terrace'!$G$118,'J1 C - (South) Bishopthorpe Roa'!$BI$118,'J1 D - South Bank Avenue'!$AQ$118)</f>
        <v>1</v>
      </c>
      <c r="CV118" s="83">
        <f>SUM('J1 A - (North) Bishopthorpe Roa'!$Z$118,'J1 B - Butcher Terrace'!$H$118,'J1 C - (South) Bishopthorpe Roa'!$BJ$118,'J1 D - South Bank Avenue'!$AR$118)</f>
        <v>1</v>
      </c>
      <c r="CW118" s="83">
        <f>SUM('J1 A - (North) Bishopthorpe Roa'!$AA$118,'J1 B - Butcher Terrace'!$I$118,'J1 C - (South) Bishopthorpe Roa'!$BK$118,'J1 D - South Bank Avenue'!$AS$118)</f>
        <v>0</v>
      </c>
      <c r="CX118" s="86">
        <f>SUM('J1 A - (North) Bishopthorpe Roa'!$AB$118,'J1 B - Butcher Terrace'!$J$118,'J1 C - (South) Bishopthorpe Roa'!$BL$118,'J1 D - South Bank Avenue'!$AT$118)</f>
        <v>0</v>
      </c>
      <c r="CY118" s="77">
        <f>$CQ$118*VLOOKUP($CQ$11,'PCU Values'!$B$9:$C$16,2,FALSE)</f>
        <v>31</v>
      </c>
      <c r="CZ118" s="77">
        <f>$CR$118*VLOOKUP($CR$11,'PCU Values'!$B$9:$C$16,2,FALSE)</f>
        <v>2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2</v>
      </c>
      <c r="DD118" s="77">
        <f>$CV$118*VLOOKUP($CV$11,'PCU Values'!$B$9:$C$16,2,FALSE)</f>
        <v>0.2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35.200000000000003</v>
      </c>
      <c r="DH118" s="52">
        <f>SUM($CQ$118,$CR$118,$CS$118,$CT$118,$CU$118,$CV$118,$CW$118,$CX$118)</f>
        <v>35</v>
      </c>
    </row>
    <row r="119" spans="1:112" ht="21" customHeight="1">
      <c r="A119" s="46">
        <v>44395.895833333299</v>
      </c>
      <c r="B119" s="47" t="s">
        <v>117</v>
      </c>
      <c r="C119" s="49">
        <v>0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0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0</v>
      </c>
      <c r="T119" s="52">
        <f>SUM($C$119,$D$119,$E$119,$F$119,$G$119,$H$119,$I$119,$J$119)</f>
        <v>0</v>
      </c>
      <c r="U119" s="49">
        <v>14</v>
      </c>
      <c r="V119" s="49">
        <v>0</v>
      </c>
      <c r="W119" s="49">
        <v>0</v>
      </c>
      <c r="X119" s="49">
        <v>0</v>
      </c>
      <c r="Y119" s="49">
        <v>0</v>
      </c>
      <c r="Z119" s="49">
        <v>2</v>
      </c>
      <c r="AA119" s="49">
        <v>0</v>
      </c>
      <c r="AB119" s="58">
        <v>0</v>
      </c>
      <c r="AC119" s="57">
        <f>$U$119*VLOOKUP($U$11,'PCU Values'!$B$9:$C$16,2,FALSE)</f>
        <v>14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0.4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14.4</v>
      </c>
      <c r="AL119" s="52">
        <f>SUM($U$119,$V$119,$W$119,$X$119,$Y$119,$Z$119,$AA$119,$AB$119)</f>
        <v>16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0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</v>
      </c>
      <c r="BD119" s="52">
        <f>SUM($AM$119,$AN$119,$AO$119,$AP$119,$AQ$119,$AR$119,$AS$119,$AT$119)</f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14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2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14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0.4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14.4</v>
      </c>
      <c r="CP119" s="52">
        <f>SUM($BY$119,$BZ$119,$CA$119,$CB$119,$CC$119,$CD$119,$CE$119,$CF$119)</f>
        <v>16</v>
      </c>
      <c r="CQ119" s="89">
        <f>SUM('J1 A - (North) Bishopthorpe Roa'!$U$119,'J1 B - Butcher Terrace'!$C$119,'J1 C - (South) Bishopthorpe Roa'!$BE$119,'J1 D - South Bank Avenue'!$AM$119)</f>
        <v>27</v>
      </c>
      <c r="CR119" s="83">
        <f>SUM('J1 A - (North) Bishopthorpe Roa'!$V$119,'J1 B - Butcher Terrace'!$D$119,'J1 C - (South) Bishopthorpe Roa'!$BF$119,'J1 D - South Bank Avenue'!$AN$119)</f>
        <v>2</v>
      </c>
      <c r="CS119" s="83">
        <f>SUM('J1 A - (North) Bishopthorpe Roa'!$W$119,'J1 B - Butcher Terrace'!$E$119,'J1 C - (South) Bishopthorpe Roa'!$BG$119,'J1 D - South Bank Avenue'!$AO$119)</f>
        <v>0</v>
      </c>
      <c r="CT119" s="83">
        <f>SUM('J1 A - (North) Bishopthorpe Roa'!$X$119,'J1 B - Butcher Terrace'!$F$119,'J1 C - (South) Bishopthorpe Roa'!$BH$119,'J1 D - South Bank Avenue'!$AP$119)</f>
        <v>0</v>
      </c>
      <c r="CU119" s="83">
        <f>SUM('J1 A - (North) Bishopthorpe Roa'!$Y$119,'J1 B - Butcher Terrace'!$G$119,'J1 C - (South) Bishopthorpe Roa'!$BI$119,'J1 D - South Bank Avenue'!$AQ$119)</f>
        <v>0</v>
      </c>
      <c r="CV119" s="83">
        <f>SUM('J1 A - (North) Bishopthorpe Roa'!$Z$119,'J1 B - Butcher Terrace'!$H$119,'J1 C - (South) Bishopthorpe Roa'!$BJ$119,'J1 D - South Bank Avenue'!$AR$119)</f>
        <v>3</v>
      </c>
      <c r="CW119" s="83">
        <f>SUM('J1 A - (North) Bishopthorpe Roa'!$AA$119,'J1 B - Butcher Terrace'!$I$119,'J1 C - (South) Bishopthorpe Roa'!$BK$119,'J1 D - South Bank Avenue'!$AS$119)</f>
        <v>0</v>
      </c>
      <c r="CX119" s="86">
        <f>SUM('J1 A - (North) Bishopthorpe Roa'!$AB$119,'J1 B - Butcher Terrace'!$J$119,'J1 C - (South) Bishopthorpe Roa'!$BL$119,'J1 D - South Bank Avenue'!$AT$119)</f>
        <v>0</v>
      </c>
      <c r="CY119" s="77">
        <f>$CQ$119*VLOOKUP($CQ$11,'PCU Values'!$B$9:$C$16,2,FALSE)</f>
        <v>27</v>
      </c>
      <c r="CZ119" s="77">
        <f>$CR$119*VLOOKUP($CR$11,'PCU Values'!$B$9:$C$16,2,FALSE)</f>
        <v>2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0.6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29.6</v>
      </c>
      <c r="DH119" s="52">
        <f>SUM($CQ$119,$CR$119,$CS$119,$CT$119,$CU$119,$CV$119,$CW$119,$CX$119)</f>
        <v>32</v>
      </c>
    </row>
    <row r="120" spans="1:112" ht="21" customHeight="1">
      <c r="A120" s="46">
        <v>44395.90625</v>
      </c>
      <c r="B120" s="50" t="s">
        <v>118</v>
      </c>
      <c r="C120" s="51">
        <v>1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1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1</v>
      </c>
      <c r="T120" s="52">
        <f>SUM($C$120,$D$120,$E$120,$F$120,$G$120,$H$120,$I$120,$J$120)</f>
        <v>1</v>
      </c>
      <c r="U120" s="73">
        <v>22</v>
      </c>
      <c r="V120" s="51">
        <v>0</v>
      </c>
      <c r="W120" s="51">
        <v>0</v>
      </c>
      <c r="X120" s="51">
        <v>0</v>
      </c>
      <c r="Y120" s="51">
        <v>1</v>
      </c>
      <c r="Z120" s="51">
        <v>3</v>
      </c>
      <c r="AA120" s="51">
        <v>0</v>
      </c>
      <c r="AB120" s="59">
        <v>0</v>
      </c>
      <c r="AC120" s="60">
        <f>$U$120*VLOOKUP($U$11,'PCU Values'!$B$9:$C$16,2,FALSE)</f>
        <v>22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2</v>
      </c>
      <c r="AH120" s="60">
        <f>$Z$120*VLOOKUP($Z$11,'PCU Values'!$B$9:$C$16,2,FALSE)</f>
        <v>0.6</v>
      </c>
      <c r="AI120" s="60">
        <f>$AA$120*VLOOKUP($AA$11,'PCU Values'!$B$9:$C$16,2,FALSE)</f>
        <v>0</v>
      </c>
      <c r="AJ120" s="68">
        <f>$AB$120*VLOOKUP($AB$11,'PCU Values'!$B$9:$C$16,2,FALSE)</f>
        <v>0</v>
      </c>
      <c r="AK120" s="63">
        <f>SUM($AC$120,$AD$120,$AE$120,$AF$120,$AG$120,$AH$120,$AI$120,$AJ$120)</f>
        <v>24.6</v>
      </c>
      <c r="AL120" s="52">
        <f>SUM($U$120,$V$120,$W$120,$X$120,$Y$120,$Z$120,$AA$120,$AB$120)</f>
        <v>26</v>
      </c>
      <c r="AM120" s="73">
        <v>2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2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2</v>
      </c>
      <c r="BD120" s="52">
        <f>SUM($AM$120,$AN$120,$AO$120,$AP$120,$AQ$120,$AR$120,$AS$120,$AT$120)</f>
        <v>2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25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1</v>
      </c>
      <c r="CD120" s="84">
        <f>SUM($H$120,$Z$120,$AR$120,$BJ$120)</f>
        <v>3</v>
      </c>
      <c r="CE120" s="84">
        <f>SUM($I$120,$AA$120,$AS$120,$BK$120)</f>
        <v>0</v>
      </c>
      <c r="CF120" s="87">
        <f>SUM($J$120,$AB$120,$AT$120,$BL$120)</f>
        <v>0</v>
      </c>
      <c r="CG120" s="79">
        <f>$BY$120*VLOOKUP($BY$11,'PCU Values'!$B$9:$C$16,2,FALSE)</f>
        <v>25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2</v>
      </c>
      <c r="CL120" s="79">
        <f>$CD$120*VLOOKUP($CD$11,'PCU Values'!$B$9:$C$16,2,FALSE)</f>
        <v>0.6</v>
      </c>
      <c r="CM120" s="79">
        <f>$CE$120*VLOOKUP($CE$11,'PCU Values'!$B$9:$C$16,2,FALSE)</f>
        <v>0</v>
      </c>
      <c r="CN120" s="80">
        <f>$CF$120*VLOOKUP($CF$11,'PCU Values'!$B$9:$C$16,2,FALSE)</f>
        <v>0</v>
      </c>
      <c r="CO120" s="63">
        <f>SUM($CG$120,$CH$120,$CI$120,$CJ$120,$CK$120,$CL$120,$CM$120,$CN$120)</f>
        <v>27.6</v>
      </c>
      <c r="CP120" s="52">
        <f>SUM($BY$120,$BZ$120,$CA$120,$CB$120,$CC$120,$CD$120,$CE$120,$CF$120)</f>
        <v>29</v>
      </c>
      <c r="CQ120" s="90">
        <f>SUM('J1 A - (North) Bishopthorpe Roa'!$U$120,'J1 B - Butcher Terrace'!$C$120,'J1 C - (South) Bishopthorpe Roa'!$BE$120,'J1 D - South Bank Avenue'!$AM$120)</f>
        <v>23</v>
      </c>
      <c r="CR120" s="84">
        <f>SUM('J1 A - (North) Bishopthorpe Roa'!$V$120,'J1 B - Butcher Terrace'!$D$120,'J1 C - (South) Bishopthorpe Roa'!$BF$120,'J1 D - South Bank Avenue'!$AN$120)</f>
        <v>2</v>
      </c>
      <c r="CS120" s="84">
        <f>SUM('J1 A - (North) Bishopthorpe Roa'!$W$120,'J1 B - Butcher Terrace'!$E$120,'J1 C - (South) Bishopthorpe Roa'!$BG$120,'J1 D - South Bank Avenue'!$AO$120)</f>
        <v>0</v>
      </c>
      <c r="CT120" s="84">
        <f>SUM('J1 A - (North) Bishopthorpe Roa'!$X$120,'J1 B - Butcher Terrace'!$F$120,'J1 C - (South) Bishopthorpe Roa'!$BH$120,'J1 D - South Bank Avenue'!$AP$120)</f>
        <v>0</v>
      </c>
      <c r="CU120" s="84">
        <f>SUM('J1 A - (North) Bishopthorpe Roa'!$Y$120,'J1 B - Butcher Terrace'!$G$120,'J1 C - (South) Bishopthorpe Roa'!$BI$120,'J1 D - South Bank Avenue'!$AQ$120)</f>
        <v>1</v>
      </c>
      <c r="CV120" s="84">
        <f>SUM('J1 A - (North) Bishopthorpe Roa'!$Z$120,'J1 B - Butcher Terrace'!$H$120,'J1 C - (South) Bishopthorpe Roa'!$BJ$120,'J1 D - South Bank Avenue'!$AR$120)</f>
        <v>1</v>
      </c>
      <c r="CW120" s="84">
        <f>SUM('J1 A - (North) Bishopthorpe Roa'!$AA$120,'J1 B - Butcher Terrace'!$I$120,'J1 C - (South) Bishopthorpe Roa'!$BK$120,'J1 D - South Bank Avenue'!$AS$120)</f>
        <v>0</v>
      </c>
      <c r="CX120" s="87">
        <f>SUM('J1 A - (North) Bishopthorpe Roa'!$AB$120,'J1 B - Butcher Terrace'!$J$120,'J1 C - (South) Bishopthorpe Roa'!$BL$120,'J1 D - South Bank Avenue'!$AT$120)</f>
        <v>0</v>
      </c>
      <c r="CY120" s="79">
        <f>$CQ$120*VLOOKUP($CQ$11,'PCU Values'!$B$9:$C$16,2,FALSE)</f>
        <v>23</v>
      </c>
      <c r="CZ120" s="79">
        <f>$CR$120*VLOOKUP($CR$11,'PCU Values'!$B$9:$C$16,2,FALSE)</f>
        <v>2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2</v>
      </c>
      <c r="DD120" s="79">
        <f>$CV$120*VLOOKUP($CV$11,'PCU Values'!$B$9:$C$16,2,FALSE)</f>
        <v>0.2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27.2</v>
      </c>
      <c r="DH120" s="52">
        <f>SUM($CQ$120,$CR$120,$CS$120,$CT$120,$CU$120,$CV$120,$CW$120,$CX$120)</f>
        <v>27</v>
      </c>
    </row>
    <row r="121" spans="1:112">
      <c r="B121" s="52" t="s">
        <v>34</v>
      </c>
      <c r="C121" s="52">
        <f>SUM($C$117:$C$120)</f>
        <v>3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0</v>
      </c>
      <c r="I121" s="52">
        <f>SUM($I$117:$I$120)</f>
        <v>0</v>
      </c>
      <c r="J121" s="52">
        <f>SUM($J$117:$J$120)</f>
        <v>0</v>
      </c>
      <c r="K121" s="52">
        <f>SUM($K$117:$K$120)</f>
        <v>3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3</v>
      </c>
      <c r="T121" s="52">
        <f>SUM($C$121,$D$121,$E$121,$F$121,$G$121,$H$121,$I$121,$J$121)</f>
        <v>3</v>
      </c>
      <c r="U121" s="52">
        <f>SUM($U$117:$U$120)</f>
        <v>81</v>
      </c>
      <c r="V121" s="52">
        <f>SUM($V$117:$V$120)</f>
        <v>3</v>
      </c>
      <c r="W121" s="52">
        <f>SUM($W$117:$W$120)</f>
        <v>1</v>
      </c>
      <c r="X121" s="52">
        <f>SUM($X$117:$X$120)</f>
        <v>0</v>
      </c>
      <c r="Y121" s="52">
        <f>SUM($Y$117:$Y$120)</f>
        <v>1</v>
      </c>
      <c r="Z121" s="52">
        <f>SUM($Z$117:$Z$120)</f>
        <v>7</v>
      </c>
      <c r="AA121" s="52">
        <f>SUM($AA$117:$AA$120)</f>
        <v>0</v>
      </c>
      <c r="AB121" s="52">
        <f>SUM($AB$117:$AB$120)</f>
        <v>0</v>
      </c>
      <c r="AC121" s="52">
        <f>SUM($AC$117:$AC$120)</f>
        <v>81</v>
      </c>
      <c r="AD121" s="52">
        <f>SUM($AD$117:$AD$120)</f>
        <v>3</v>
      </c>
      <c r="AE121" s="52">
        <f>SUM($AE$117:$AE$120)</f>
        <v>2</v>
      </c>
      <c r="AF121" s="52">
        <f>SUM($AF$117:$AF$120)</f>
        <v>0</v>
      </c>
      <c r="AG121" s="52">
        <f>SUM($AG$117:$AG$120)</f>
        <v>2</v>
      </c>
      <c r="AH121" s="52">
        <f>SUM($AH$117:$AH$120)</f>
        <v>1</v>
      </c>
      <c r="AI121" s="52">
        <f>SUM($AI$117:$AI$120)</f>
        <v>0</v>
      </c>
      <c r="AJ121" s="52">
        <f>SUM($AJ$117:$AJ$120)</f>
        <v>0</v>
      </c>
      <c r="AK121" s="52">
        <f>SUM($AC$121,$AD$121,$AE$121,$AF$121,$AG$121,$AH$121,$AI$121,$AJ$121)</f>
        <v>89</v>
      </c>
      <c r="AL121" s="52">
        <f>SUM($U$121,$V$121,$W$121,$X$121,$Y$121,$Z$121,$AA$121,$AB$121)</f>
        <v>93</v>
      </c>
      <c r="AM121" s="52">
        <f>SUM($AM$117:$AM$120)</f>
        <v>4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0</v>
      </c>
      <c r="AS121" s="52">
        <f>SUM($AS$117:$AS$120)</f>
        <v>0</v>
      </c>
      <c r="AT121" s="52">
        <f>SUM($AT$117:$AT$120)</f>
        <v>0</v>
      </c>
      <c r="AU121" s="52">
        <f>SUM($AU$117:$AU$120)</f>
        <v>4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4</v>
      </c>
      <c r="BD121" s="52">
        <f>SUM($AM$121,$AN$121,$AO$121,$AP$121,$AQ$121,$AR$121,$AS$121,$AT$121)</f>
        <v>4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88</v>
      </c>
      <c r="BZ121" s="52">
        <f>SUM($BZ$117:$BZ$120)</f>
        <v>3</v>
      </c>
      <c r="CA121" s="52">
        <f>SUM($CA$117:$CA$120)</f>
        <v>1</v>
      </c>
      <c r="CB121" s="52">
        <f>SUM($CB$117:$CB$120)</f>
        <v>0</v>
      </c>
      <c r="CC121" s="52">
        <f>SUM($CC$117:$CC$120)</f>
        <v>1</v>
      </c>
      <c r="CD121" s="52">
        <f>SUM($CD$117:$CD$120)</f>
        <v>7</v>
      </c>
      <c r="CE121" s="52">
        <f>SUM($CE$117:$CE$120)</f>
        <v>0</v>
      </c>
      <c r="CF121" s="52">
        <f>SUM($CF$117:$CF$120)</f>
        <v>0</v>
      </c>
      <c r="CG121" s="52">
        <f>SUM($CG$117:$CG$120)</f>
        <v>88</v>
      </c>
      <c r="CH121" s="52">
        <f>SUM($CH$117:$CH$120)</f>
        <v>3</v>
      </c>
      <c r="CI121" s="52">
        <f>SUM($CI$117:$CI$120)</f>
        <v>2</v>
      </c>
      <c r="CJ121" s="52">
        <f>SUM($CJ$117:$CJ$120)</f>
        <v>0</v>
      </c>
      <c r="CK121" s="52">
        <f>SUM($CK$117:$CK$120)</f>
        <v>2</v>
      </c>
      <c r="CL121" s="52">
        <f>SUM($CL$117:$CL$120)</f>
        <v>1</v>
      </c>
      <c r="CM121" s="52">
        <f>SUM($CM$117:$CM$120)</f>
        <v>0</v>
      </c>
      <c r="CN121" s="52">
        <f>SUM($CN$117:$CN$120)</f>
        <v>0</v>
      </c>
      <c r="CO121" s="52">
        <f>SUM($CG$121,$CH$121,$CI$121,$CJ$121,$CK$121,$CL$121,$CM$121,$CN$121)</f>
        <v>96</v>
      </c>
      <c r="CP121" s="52">
        <f>SUM($BY$121,$BZ$121,$CA$121,$CB$121,$CC$121,$CD$121,$CE$121,$CF$121)</f>
        <v>100</v>
      </c>
      <c r="CQ121" s="52">
        <f>SUM($CQ$117:$CQ$120)</f>
        <v>106</v>
      </c>
      <c r="CR121" s="52">
        <f>SUM($CR$117:$CR$120)</f>
        <v>7</v>
      </c>
      <c r="CS121" s="52">
        <f>SUM($CS$117:$CS$120)</f>
        <v>0</v>
      </c>
      <c r="CT121" s="52">
        <f>SUM($CT$117:$CT$120)</f>
        <v>0</v>
      </c>
      <c r="CU121" s="52">
        <f>SUM($CU$117:$CU$120)</f>
        <v>2</v>
      </c>
      <c r="CV121" s="52">
        <f>SUM($CV$117:$CV$120)</f>
        <v>10</v>
      </c>
      <c r="CW121" s="52">
        <f>SUM($CW$117:$CW$120)</f>
        <v>0</v>
      </c>
      <c r="CX121" s="52">
        <f>SUM($CX$117:$CX$120)</f>
        <v>0</v>
      </c>
      <c r="CY121" s="52">
        <f>SUM($CY$117:$CY$120)</f>
        <v>106</v>
      </c>
      <c r="CZ121" s="52">
        <f>SUM($CZ$117:$CZ$120)</f>
        <v>7</v>
      </c>
      <c r="DA121" s="52">
        <f>SUM($DA$117:$DA$120)</f>
        <v>0</v>
      </c>
      <c r="DB121" s="52">
        <f>SUM($DB$117:$DB$120)</f>
        <v>0</v>
      </c>
      <c r="DC121" s="52">
        <f>SUM($DC$117:$DC$120)</f>
        <v>4</v>
      </c>
      <c r="DD121" s="52">
        <f>SUM($DD$117:$DD$120)</f>
        <v>2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119</v>
      </c>
      <c r="DH121" s="52">
        <f>SUM($CQ$121,$CR$121,$CS$121,$CT$121,$CU$121,$CV$121,$CW$121,$CX$121)</f>
        <v>125</v>
      </c>
    </row>
    <row r="122" spans="1:112" ht="21" customHeight="1">
      <c r="A122" s="46">
        <v>44395.916666666701</v>
      </c>
      <c r="B122" s="53" t="s">
        <v>119</v>
      </c>
      <c r="C122" s="54">
        <v>1</v>
      </c>
      <c r="D122" s="54">
        <v>0</v>
      </c>
      <c r="E122" s="54">
        <v>0</v>
      </c>
      <c r="F122" s="54">
        <v>0</v>
      </c>
      <c r="G122" s="54">
        <v>0</v>
      </c>
      <c r="H122" s="54">
        <v>1</v>
      </c>
      <c r="I122" s="54">
        <v>0</v>
      </c>
      <c r="J122" s="61">
        <v>0</v>
      </c>
      <c r="K122" s="62">
        <f>$C$122*VLOOKUP($C$11,'PCU Values'!$B$9:$C$16,2,FALSE)</f>
        <v>1</v>
      </c>
      <c r="L122" s="62">
        <f>$D$122*VLOOKUP($D$11,'PCU Values'!$B$9:$C$16,2,FALSE)</f>
        <v>0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0.2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1.2</v>
      </c>
      <c r="T122" s="52">
        <f>SUM($C$122,$D$122,$E$122,$F$122,$G$122,$H$122,$I$122,$J$122)</f>
        <v>2</v>
      </c>
      <c r="U122" s="72">
        <v>11</v>
      </c>
      <c r="V122" s="54">
        <v>2</v>
      </c>
      <c r="W122" s="54">
        <v>0</v>
      </c>
      <c r="X122" s="54">
        <v>0</v>
      </c>
      <c r="Y122" s="54">
        <v>0</v>
      </c>
      <c r="Z122" s="54">
        <v>2</v>
      </c>
      <c r="AA122" s="54">
        <v>0</v>
      </c>
      <c r="AB122" s="61">
        <v>0</v>
      </c>
      <c r="AC122" s="62">
        <f>$U$122*VLOOKUP($U$11,'PCU Values'!$B$9:$C$16,2,FALSE)</f>
        <v>11</v>
      </c>
      <c r="AD122" s="62">
        <f>$V$122*VLOOKUP($V$11,'PCU Values'!$B$9:$C$16,2,FALSE)</f>
        <v>2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0.4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13.4</v>
      </c>
      <c r="AL122" s="52">
        <f>SUM($U$122,$V$122,$W$122,$X$122,$Y$122,$Z$122,$AA$122,$AB$122)</f>
        <v>15</v>
      </c>
      <c r="AM122" s="72">
        <v>3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3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3</v>
      </c>
      <c r="BD122" s="52">
        <f>SUM($AM$122,$AN$122,$AO$122,$AP$122,$AQ$122,$AR$122,$AS$122,$AT$122)</f>
        <v>3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15</v>
      </c>
      <c r="BZ122" s="85">
        <f>SUM($D$122,$V$122,$AN$122,$BF$122)</f>
        <v>2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3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15</v>
      </c>
      <c r="CH122" s="81">
        <f>$BZ$122*VLOOKUP($BZ$11,'PCU Values'!$B$9:$C$16,2,FALSE)</f>
        <v>2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0.6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17.600000000000001</v>
      </c>
      <c r="CP122" s="52">
        <f>SUM($BY$122,$BZ$122,$CA$122,$CB$122,$CC$122,$CD$122,$CE$122,$CF$122)</f>
        <v>20</v>
      </c>
      <c r="CQ122" s="91">
        <f>SUM('J1 A - (North) Bishopthorpe Roa'!$U$122,'J1 B - Butcher Terrace'!$C$122,'J1 C - (South) Bishopthorpe Roa'!$BE$122,'J1 D - South Bank Avenue'!$AM$122)</f>
        <v>23</v>
      </c>
      <c r="CR122" s="85">
        <f>SUM('J1 A - (North) Bishopthorpe Roa'!$V$122,'J1 B - Butcher Terrace'!$D$122,'J1 C - (South) Bishopthorpe Roa'!$BF$122,'J1 D - South Bank Avenue'!$AN$122)</f>
        <v>1</v>
      </c>
      <c r="CS122" s="85">
        <f>SUM('J1 A - (North) Bishopthorpe Roa'!$W$122,'J1 B - Butcher Terrace'!$E$122,'J1 C - (South) Bishopthorpe Roa'!$BG$122,'J1 D - South Bank Avenue'!$AO$122)</f>
        <v>0</v>
      </c>
      <c r="CT122" s="85">
        <f>SUM('J1 A - (North) Bishopthorpe Roa'!$X$122,'J1 B - Butcher Terrace'!$F$122,'J1 C - (South) Bishopthorpe Roa'!$BH$122,'J1 D - South Bank Avenue'!$AP$122)</f>
        <v>0</v>
      </c>
      <c r="CU122" s="85">
        <f>SUM('J1 A - (North) Bishopthorpe Roa'!$Y$122,'J1 B - Butcher Terrace'!$G$122,'J1 C - (South) Bishopthorpe Roa'!$BI$122,'J1 D - South Bank Avenue'!$AQ$122)</f>
        <v>0</v>
      </c>
      <c r="CV122" s="85">
        <f>SUM('J1 A - (North) Bishopthorpe Roa'!$Z$122,'J1 B - Butcher Terrace'!$H$122,'J1 C - (South) Bishopthorpe Roa'!$BJ$122,'J1 D - South Bank Avenue'!$AR$122)</f>
        <v>6</v>
      </c>
      <c r="CW122" s="85">
        <f>SUM('J1 A - (North) Bishopthorpe Roa'!$AA$122,'J1 B - Butcher Terrace'!$I$122,'J1 C - (South) Bishopthorpe Roa'!$BK$122,'J1 D - South Bank Avenue'!$AS$122)</f>
        <v>0</v>
      </c>
      <c r="CX122" s="88">
        <f>SUM('J1 A - (North) Bishopthorpe Roa'!$AB$122,'J1 B - Butcher Terrace'!$J$122,'J1 C - (South) Bishopthorpe Roa'!$BL$122,'J1 D - South Bank Avenue'!$AT$122)</f>
        <v>0</v>
      </c>
      <c r="CY122" s="81">
        <f>$CQ$122*VLOOKUP($CQ$11,'PCU Values'!$B$9:$C$16,2,FALSE)</f>
        <v>23</v>
      </c>
      <c r="CZ122" s="81">
        <f>$CR$122*VLOOKUP($CR$11,'PCU Values'!$B$9:$C$16,2,FALSE)</f>
        <v>1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1.2</v>
      </c>
      <c r="DE122" s="81">
        <f>$CW$122*VLOOKUP($CW$11,'PCU Values'!$B$9:$C$16,2,FALSE)</f>
        <v>0</v>
      </c>
      <c r="DF122" s="82">
        <f>$CX$122*VLOOKUP($CX$11,'PCU Values'!$B$9:$C$16,2,FALSE)</f>
        <v>0</v>
      </c>
      <c r="DG122" s="71">
        <f>SUM($CY$122,$CZ$122,$DA$122,$DB$122,$DC$122,$DD$122,$DE$122,$DF$122)</f>
        <v>25.2</v>
      </c>
      <c r="DH122" s="52">
        <f>SUM($CQ$122,$CR$122,$CS$122,$CT$122,$CU$122,$CV$122,$CW$122,$CX$122)</f>
        <v>30</v>
      </c>
    </row>
    <row r="123" spans="1:112" ht="21" customHeight="1">
      <c r="A123" s="46">
        <v>44395.927083333299</v>
      </c>
      <c r="B123" s="47" t="s">
        <v>120</v>
      </c>
      <c r="C123" s="48">
        <v>1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1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1</v>
      </c>
      <c r="T123" s="52">
        <f>SUM($C$123,$D$123,$E$123,$F$123,$G$123,$H$123,$I$123,$J$123)</f>
        <v>1</v>
      </c>
      <c r="U123" s="67">
        <v>11</v>
      </c>
      <c r="V123" s="48">
        <v>0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56">
        <v>0</v>
      </c>
      <c r="AC123" s="57">
        <f>$U$123*VLOOKUP($U$11,'PCU Values'!$B$9:$C$16,2,FALSE)</f>
        <v>11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11</v>
      </c>
      <c r="AL123" s="52">
        <f>SUM($U$123,$V$123,$W$123,$X$123,$Y$123,$Z$123,$AA$123,$AB$123)</f>
        <v>11</v>
      </c>
      <c r="AM123" s="67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0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</v>
      </c>
      <c r="BD123" s="52">
        <f>SUM($AM$123,$AN$123,$AO$123,$AP$123,$AQ$123,$AR$123,$AS$123,$AT$123)</f>
        <v>0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12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0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12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12</v>
      </c>
      <c r="CP123" s="52">
        <f>SUM($BY$123,$BZ$123,$CA$123,$CB$123,$CC$123,$CD$123,$CE$123,$CF$123)</f>
        <v>12</v>
      </c>
      <c r="CQ123" s="89">
        <f>SUM('J1 A - (North) Bishopthorpe Roa'!$U$123,'J1 B - Butcher Terrace'!$C$123,'J1 C - (South) Bishopthorpe Roa'!$BE$123,'J1 D - South Bank Avenue'!$AM$123)</f>
        <v>16</v>
      </c>
      <c r="CR123" s="83">
        <f>SUM('J1 A - (North) Bishopthorpe Roa'!$V$123,'J1 B - Butcher Terrace'!$D$123,'J1 C - (South) Bishopthorpe Roa'!$BF$123,'J1 D - South Bank Avenue'!$AN$123)</f>
        <v>0</v>
      </c>
      <c r="CS123" s="83">
        <f>SUM('J1 A - (North) Bishopthorpe Roa'!$W$123,'J1 B - Butcher Terrace'!$E$123,'J1 C - (South) Bishopthorpe Roa'!$BG$123,'J1 D - South Bank Avenue'!$AO$123)</f>
        <v>0</v>
      </c>
      <c r="CT123" s="83">
        <f>SUM('J1 A - (North) Bishopthorpe Roa'!$X$123,'J1 B - Butcher Terrace'!$F$123,'J1 C - (South) Bishopthorpe Roa'!$BH$123,'J1 D - South Bank Avenue'!$AP$123)</f>
        <v>0</v>
      </c>
      <c r="CU123" s="83">
        <f>SUM('J1 A - (North) Bishopthorpe Roa'!$Y$123,'J1 B - Butcher Terrace'!$G$123,'J1 C - (South) Bishopthorpe Roa'!$BI$123,'J1 D - South Bank Avenue'!$AQ$123)</f>
        <v>1</v>
      </c>
      <c r="CV123" s="83">
        <f>SUM('J1 A - (North) Bishopthorpe Roa'!$Z$123,'J1 B - Butcher Terrace'!$H$123,'J1 C - (South) Bishopthorpe Roa'!$BJ$123,'J1 D - South Bank Avenue'!$AR$123)</f>
        <v>1</v>
      </c>
      <c r="CW123" s="83">
        <f>SUM('J1 A - (North) Bishopthorpe Roa'!$AA$123,'J1 B - Butcher Terrace'!$I$123,'J1 C - (South) Bishopthorpe Roa'!$BK$123,'J1 D - South Bank Avenue'!$AS$123)</f>
        <v>1</v>
      </c>
      <c r="CX123" s="86">
        <f>SUM('J1 A - (North) Bishopthorpe Roa'!$AB$123,'J1 B - Butcher Terrace'!$J$123,'J1 C - (South) Bishopthorpe Roa'!$BL$123,'J1 D - South Bank Avenue'!$AT$123)</f>
        <v>0</v>
      </c>
      <c r="CY123" s="77">
        <f>$CQ$123*VLOOKUP($CQ$11,'PCU Values'!$B$9:$C$16,2,FALSE)</f>
        <v>16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2</v>
      </c>
      <c r="DD123" s="77">
        <f>$CV$123*VLOOKUP($CV$11,'PCU Values'!$B$9:$C$16,2,FALSE)</f>
        <v>0.2</v>
      </c>
      <c r="DE123" s="77">
        <f>$CW$123*VLOOKUP($CW$11,'PCU Values'!$B$9:$C$16,2,FALSE)</f>
        <v>0.4</v>
      </c>
      <c r="DF123" s="78">
        <f>$CX$123*VLOOKUP($CX$11,'PCU Values'!$B$9:$C$16,2,FALSE)</f>
        <v>0</v>
      </c>
      <c r="DG123" s="66">
        <f>SUM($CY$123,$CZ$123,$DA$123,$DB$123,$DC$123,$DD$123,$DE$123,$DF$123)</f>
        <v>18.600000000000001</v>
      </c>
      <c r="DH123" s="52">
        <f>SUM($CQ$123,$CR$123,$CS$123,$CT$123,$CU$123,$CV$123,$CW$123,$CX$123)</f>
        <v>19</v>
      </c>
    </row>
    <row r="124" spans="1:112" ht="21" customHeight="1">
      <c r="A124" s="46">
        <v>44395.9375</v>
      </c>
      <c r="B124" s="47" t="s">
        <v>121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56">
        <v>0</v>
      </c>
      <c r="K124" s="57">
        <f>$C$124*VLOOKUP($C$11,'PCU Values'!$B$9:$C$16,2,FALSE)</f>
        <v>0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</v>
      </c>
      <c r="Q124" s="57">
        <f>$I$124*VLOOKUP($I$11,'PCU Values'!$B$9:$C$16,2,FALSE)</f>
        <v>0</v>
      </c>
      <c r="R124" s="65">
        <f>$J$124*VLOOKUP($J$11,'PCU Values'!$B$9:$C$16,2,FALSE)</f>
        <v>0</v>
      </c>
      <c r="S124" s="66">
        <f>SUM($K$124,$L$124,$M$124,$N$124,$O$124,$P$124,$Q$124,$R$124)</f>
        <v>0</v>
      </c>
      <c r="T124" s="52">
        <f>SUM($C$124,$D$124,$E$124,$F$124,$G$124,$H$124,$I$124,$J$124)</f>
        <v>0</v>
      </c>
      <c r="U124" s="76">
        <v>11</v>
      </c>
      <c r="V124" s="48">
        <v>1</v>
      </c>
      <c r="W124" s="48">
        <v>0</v>
      </c>
      <c r="X124" s="48">
        <v>0</v>
      </c>
      <c r="Y124" s="49">
        <v>0</v>
      </c>
      <c r="Z124" s="49">
        <v>1</v>
      </c>
      <c r="AA124" s="48">
        <v>1</v>
      </c>
      <c r="AB124" s="56">
        <v>0</v>
      </c>
      <c r="AC124" s="57">
        <f>$U$124*VLOOKUP($U$11,'PCU Values'!$B$9:$C$16,2,FALSE)</f>
        <v>11</v>
      </c>
      <c r="AD124" s="57">
        <f>$V$124*VLOOKUP($V$11,'PCU Values'!$B$9:$C$16,2,FALSE)</f>
        <v>1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0.4</v>
      </c>
      <c r="AJ124" s="65">
        <f>$AB$124*VLOOKUP($AB$11,'PCU Values'!$B$9:$C$16,2,FALSE)</f>
        <v>0</v>
      </c>
      <c r="AK124" s="66">
        <f>SUM($AC$124,$AD$124,$AE$124,$AF$124,$AG$124,$AH$124,$AI$124,$AJ$124)</f>
        <v>12.6</v>
      </c>
      <c r="AL124" s="52">
        <f>SUM($U$124,$V$124,$W$124,$X$124,$Y$124,$Z$124,$AA$124,$AB$124)</f>
        <v>14</v>
      </c>
      <c r="AM124" s="67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2">
        <f>SUM($AM$124,$AN$124,$AO$124,$AP$124,$AQ$124,$AR$124,$AS$124,$AT$124)</f>
        <v>0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11</v>
      </c>
      <c r="BZ124" s="83">
        <f>SUM($D$124,$V$124,$AN$124,$BF$124)</f>
        <v>1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1</v>
      </c>
      <c r="CE124" s="83">
        <f>SUM($I$124,$AA$124,$AS$124,$BK$124)</f>
        <v>1</v>
      </c>
      <c r="CF124" s="86">
        <f>SUM($J$124,$AB$124,$AT$124,$BL$124)</f>
        <v>0</v>
      </c>
      <c r="CG124" s="77">
        <f>$BY$124*VLOOKUP($BY$11,'PCU Values'!$B$9:$C$16,2,FALSE)</f>
        <v>11</v>
      </c>
      <c r="CH124" s="77">
        <f>$BZ$124*VLOOKUP($BZ$11,'PCU Values'!$B$9:$C$16,2,FALSE)</f>
        <v>1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0.2</v>
      </c>
      <c r="CM124" s="77">
        <f>$CE$124*VLOOKUP($CE$11,'PCU Values'!$B$9:$C$16,2,FALSE)</f>
        <v>0.4</v>
      </c>
      <c r="CN124" s="78">
        <f>$CF$124*VLOOKUP($CF$11,'PCU Values'!$B$9:$C$16,2,FALSE)</f>
        <v>0</v>
      </c>
      <c r="CO124" s="66">
        <f>SUM($CG$124,$CH$124,$CI$124,$CJ$124,$CK$124,$CL$124,$CM$124,$CN$124)</f>
        <v>12.6</v>
      </c>
      <c r="CP124" s="52">
        <f>SUM($BY$124,$BZ$124,$CA$124,$CB$124,$CC$124,$CD$124,$CE$124,$CF$124)</f>
        <v>14</v>
      </c>
      <c r="CQ124" s="89">
        <f>SUM('J1 A - (North) Bishopthorpe Roa'!$U$124,'J1 B - Butcher Terrace'!$C$124,'J1 C - (South) Bishopthorpe Roa'!$BE$124,'J1 D - South Bank Avenue'!$AM$124)</f>
        <v>16</v>
      </c>
      <c r="CR124" s="83">
        <f>SUM('J1 A - (North) Bishopthorpe Roa'!$V$124,'J1 B - Butcher Terrace'!$D$124,'J1 C - (South) Bishopthorpe Roa'!$BF$124,'J1 D - South Bank Avenue'!$AN$124)</f>
        <v>2</v>
      </c>
      <c r="CS124" s="83">
        <f>SUM('J1 A - (North) Bishopthorpe Roa'!$W$124,'J1 B - Butcher Terrace'!$E$124,'J1 C - (South) Bishopthorpe Roa'!$BG$124,'J1 D - South Bank Avenue'!$AO$124)</f>
        <v>0</v>
      </c>
      <c r="CT124" s="83">
        <f>SUM('J1 A - (North) Bishopthorpe Roa'!$X$124,'J1 B - Butcher Terrace'!$F$124,'J1 C - (South) Bishopthorpe Roa'!$BH$124,'J1 D - South Bank Avenue'!$AP$124)</f>
        <v>0</v>
      </c>
      <c r="CU124" s="83">
        <f>SUM('J1 A - (North) Bishopthorpe Roa'!$Y$124,'J1 B - Butcher Terrace'!$G$124,'J1 C - (South) Bishopthorpe Roa'!$BI$124,'J1 D - South Bank Avenue'!$AQ$124)</f>
        <v>0</v>
      </c>
      <c r="CV124" s="83">
        <f>SUM('J1 A - (North) Bishopthorpe Roa'!$Z$124,'J1 B - Butcher Terrace'!$H$124,'J1 C - (South) Bishopthorpe Roa'!$BJ$124,'J1 D - South Bank Avenue'!$AR$124)</f>
        <v>1</v>
      </c>
      <c r="CW124" s="83">
        <f>SUM('J1 A - (North) Bishopthorpe Roa'!$AA$124,'J1 B - Butcher Terrace'!$I$124,'J1 C - (South) Bishopthorpe Roa'!$BK$124,'J1 D - South Bank Avenue'!$AS$124)</f>
        <v>0</v>
      </c>
      <c r="CX124" s="86">
        <f>SUM('J1 A - (North) Bishopthorpe Roa'!$AB$124,'J1 B - Butcher Terrace'!$J$124,'J1 C - (South) Bishopthorpe Roa'!$BL$124,'J1 D - South Bank Avenue'!$AT$124)</f>
        <v>0</v>
      </c>
      <c r="CY124" s="77">
        <f>$CQ$124*VLOOKUP($CQ$11,'PCU Values'!$B$9:$C$16,2,FALSE)</f>
        <v>16</v>
      </c>
      <c r="CZ124" s="77">
        <f>$CR$124*VLOOKUP($CR$11,'PCU Values'!$B$9:$C$16,2,FALSE)</f>
        <v>2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</v>
      </c>
      <c r="DF124" s="78">
        <f>$CX$124*VLOOKUP($CX$11,'PCU Values'!$B$9:$C$16,2,FALSE)</f>
        <v>0</v>
      </c>
      <c r="DG124" s="66">
        <f>SUM($CY$124,$CZ$124,$DA$124,$DB$124,$DC$124,$DD$124,$DE$124,$DF$124)</f>
        <v>18.2</v>
      </c>
      <c r="DH124" s="52">
        <f>SUM($CQ$124,$CR$124,$CS$124,$CT$124,$CU$124,$CV$124,$CW$124,$CX$124)</f>
        <v>19</v>
      </c>
    </row>
    <row r="125" spans="1:112" ht="21" customHeight="1">
      <c r="A125" s="46">
        <v>44395.947916666701</v>
      </c>
      <c r="B125" s="50" t="s">
        <v>122</v>
      </c>
      <c r="C125" s="51">
        <v>0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0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0</v>
      </c>
      <c r="T125" s="52">
        <f>SUM($C$125,$D$125,$E$125,$F$125,$G$125,$H$125,$I$125,$J$125)</f>
        <v>0</v>
      </c>
      <c r="U125" s="73">
        <v>16</v>
      </c>
      <c r="V125" s="51">
        <v>0</v>
      </c>
      <c r="W125" s="51">
        <v>0</v>
      </c>
      <c r="X125" s="51">
        <v>0</v>
      </c>
      <c r="Y125" s="51">
        <v>1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16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2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18</v>
      </c>
      <c r="AL125" s="52">
        <f>SUM($U$125,$V$125,$W$125,$X$125,$Y$125,$Z$125,$AA$125,$AB$125)</f>
        <v>17</v>
      </c>
      <c r="AM125" s="73">
        <v>0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0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0</v>
      </c>
      <c r="BD125" s="52">
        <f>SUM($AM$125,$AN$125,$AO$125,$AP$125,$AQ$125,$AR$125,$AS$125,$AT$125)</f>
        <v>0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16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1</v>
      </c>
      <c r="CD125" s="84">
        <f>SUM($H$125,$Z$125,$AR$125,$BJ$125)</f>
        <v>0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16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2</v>
      </c>
      <c r="CL125" s="79">
        <f>$CD$125*VLOOKUP($CD$11,'PCU Values'!$B$9:$C$16,2,FALSE)</f>
        <v>0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18</v>
      </c>
      <c r="CP125" s="52">
        <f>SUM($BY$125,$BZ$125,$CA$125,$CB$125,$CC$125,$CD$125,$CE$125,$CF$125)</f>
        <v>17</v>
      </c>
      <c r="CQ125" s="90">
        <f>SUM('J1 A - (North) Bishopthorpe Roa'!$U$125,'J1 B - Butcher Terrace'!$C$125,'J1 C - (South) Bishopthorpe Roa'!$BE$125,'J1 D - South Bank Avenue'!$AM$125)</f>
        <v>14</v>
      </c>
      <c r="CR125" s="84">
        <f>SUM('J1 A - (North) Bishopthorpe Roa'!$V$125,'J1 B - Butcher Terrace'!$D$125,'J1 C - (South) Bishopthorpe Roa'!$BF$125,'J1 D - South Bank Avenue'!$AN$125)</f>
        <v>0</v>
      </c>
      <c r="CS125" s="84">
        <f>SUM('J1 A - (North) Bishopthorpe Roa'!$W$125,'J1 B - Butcher Terrace'!$E$125,'J1 C - (South) Bishopthorpe Roa'!$BG$125,'J1 D - South Bank Avenue'!$AO$125)</f>
        <v>0</v>
      </c>
      <c r="CT125" s="84">
        <f>SUM('J1 A - (North) Bishopthorpe Roa'!$X$125,'J1 B - Butcher Terrace'!$F$125,'J1 C - (South) Bishopthorpe Roa'!$BH$125,'J1 D - South Bank Avenue'!$AP$125)</f>
        <v>0</v>
      </c>
      <c r="CU125" s="84">
        <f>SUM('J1 A - (North) Bishopthorpe Roa'!$Y$125,'J1 B - Butcher Terrace'!$G$125,'J1 C - (South) Bishopthorpe Roa'!$BI$125,'J1 D - South Bank Avenue'!$AQ$125)</f>
        <v>0</v>
      </c>
      <c r="CV125" s="84">
        <f>SUM('J1 A - (North) Bishopthorpe Roa'!$Z$125,'J1 B - Butcher Terrace'!$H$125,'J1 C - (South) Bishopthorpe Roa'!$BJ$125,'J1 D - South Bank Avenue'!$AR$125)</f>
        <v>0</v>
      </c>
      <c r="CW125" s="84">
        <f>SUM('J1 A - (North) Bishopthorpe Roa'!$AA$125,'J1 B - Butcher Terrace'!$I$125,'J1 C - (South) Bishopthorpe Roa'!$BK$125,'J1 D - South Bank Avenue'!$AS$125)</f>
        <v>0</v>
      </c>
      <c r="CX125" s="87">
        <f>SUM('J1 A - (North) Bishopthorpe Roa'!$AB$125,'J1 B - Butcher Terrace'!$J$125,'J1 C - (South) Bishopthorpe Roa'!$BL$125,'J1 D - South Bank Avenue'!$AT$125)</f>
        <v>0</v>
      </c>
      <c r="CY125" s="79">
        <f>$CQ$125*VLOOKUP($CQ$11,'PCU Values'!$B$9:$C$16,2,FALSE)</f>
        <v>14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14</v>
      </c>
      <c r="DH125" s="52">
        <f>SUM($CQ$125,$CR$125,$CS$125,$CT$125,$CU$125,$CV$125,$CW$125,$CX$125)</f>
        <v>14</v>
      </c>
    </row>
    <row r="126" spans="1:112">
      <c r="B126" s="52" t="s">
        <v>34</v>
      </c>
      <c r="C126" s="52">
        <f>SUM($C$122:$C$125)</f>
        <v>2</v>
      </c>
      <c r="D126" s="52">
        <f>SUM($D$122:$D$125)</f>
        <v>0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1</v>
      </c>
      <c r="I126" s="52">
        <f>SUM($I$122:$I$125)</f>
        <v>0</v>
      </c>
      <c r="J126" s="52">
        <f>SUM($J$122:$J$125)</f>
        <v>0</v>
      </c>
      <c r="K126" s="52">
        <f>SUM($K$122:$K$125)</f>
        <v>2</v>
      </c>
      <c r="L126" s="52">
        <f>SUM($L$122:$L$125)</f>
        <v>0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2</v>
      </c>
      <c r="T126" s="52">
        <f>SUM($C$126,$D$126,$E$126,$F$126,$G$126,$H$126,$I$126,$J$126)</f>
        <v>3</v>
      </c>
      <c r="U126" s="52">
        <f>SUM($U$122:$U$125)</f>
        <v>49</v>
      </c>
      <c r="V126" s="52">
        <f>SUM($V$122:$V$125)</f>
        <v>3</v>
      </c>
      <c r="W126" s="52">
        <f>SUM($W$122:$W$125)</f>
        <v>0</v>
      </c>
      <c r="X126" s="52">
        <f>SUM($X$122:$X$125)</f>
        <v>0</v>
      </c>
      <c r="Y126" s="52">
        <f>SUM($Y$122:$Y$125)</f>
        <v>1</v>
      </c>
      <c r="Z126" s="52">
        <f>SUM($Z$122:$Z$125)</f>
        <v>3</v>
      </c>
      <c r="AA126" s="52">
        <f>SUM($AA$122:$AA$125)</f>
        <v>1</v>
      </c>
      <c r="AB126" s="52">
        <f>SUM($AB$122:$AB$125)</f>
        <v>0</v>
      </c>
      <c r="AC126" s="52">
        <f>SUM($AC$122:$AC$125)</f>
        <v>49</v>
      </c>
      <c r="AD126" s="52">
        <f>SUM($AD$122:$AD$125)</f>
        <v>3</v>
      </c>
      <c r="AE126" s="52">
        <f>SUM($AE$122:$AE$125)</f>
        <v>0</v>
      </c>
      <c r="AF126" s="52">
        <f>SUM($AF$122:$AF$125)</f>
        <v>0</v>
      </c>
      <c r="AG126" s="52">
        <f>SUM($AG$122:$AG$125)</f>
        <v>2</v>
      </c>
      <c r="AH126" s="52">
        <f>SUM($AH$122:$AH$125)</f>
        <v>1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55</v>
      </c>
      <c r="AL126" s="52">
        <f>SUM($U$126,$V$126,$W$126,$X$126,$Y$126,$Z$126,$AA$126,$AB$126)</f>
        <v>57</v>
      </c>
      <c r="AM126" s="52">
        <f>SUM($AM$122:$AM$125)</f>
        <v>3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3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3</v>
      </c>
      <c r="BD126" s="52">
        <f>SUM($AM$126,$AN$126,$AO$126,$AP$126,$AQ$126,$AR$126,$AS$126,$AT$126)</f>
        <v>3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54</v>
      </c>
      <c r="BZ126" s="52">
        <f>SUM($BZ$122:$BZ$125)</f>
        <v>3</v>
      </c>
      <c r="CA126" s="52">
        <f>SUM($CA$122:$CA$125)</f>
        <v>0</v>
      </c>
      <c r="CB126" s="52">
        <f>SUM($CB$122:$CB$125)</f>
        <v>0</v>
      </c>
      <c r="CC126" s="52">
        <f>SUM($CC$122:$CC$125)</f>
        <v>1</v>
      </c>
      <c r="CD126" s="52">
        <f>SUM($CD$122:$CD$125)</f>
        <v>4</v>
      </c>
      <c r="CE126" s="52">
        <f>SUM($CE$122:$CE$125)</f>
        <v>1</v>
      </c>
      <c r="CF126" s="52">
        <f>SUM($CF$122:$CF$125)</f>
        <v>0</v>
      </c>
      <c r="CG126" s="52">
        <f>SUM($CG$122:$CG$125)</f>
        <v>54</v>
      </c>
      <c r="CH126" s="52">
        <f>SUM($CH$122:$CH$125)</f>
        <v>3</v>
      </c>
      <c r="CI126" s="52">
        <f>SUM($CI$122:$CI$125)</f>
        <v>0</v>
      </c>
      <c r="CJ126" s="52">
        <f>SUM($CJ$122:$CJ$125)</f>
        <v>0</v>
      </c>
      <c r="CK126" s="52">
        <f>SUM($CK$122:$CK$125)</f>
        <v>2</v>
      </c>
      <c r="CL126" s="52">
        <f>SUM($CL$122:$CL$125)</f>
        <v>1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60</v>
      </c>
      <c r="CP126" s="52">
        <f>SUM($BY$126,$BZ$126,$CA$126,$CB$126,$CC$126,$CD$126,$CE$126,$CF$126)</f>
        <v>63</v>
      </c>
      <c r="CQ126" s="52">
        <f>SUM($CQ$122:$CQ$125)</f>
        <v>69</v>
      </c>
      <c r="CR126" s="52">
        <f>SUM($CR$122:$CR$125)</f>
        <v>3</v>
      </c>
      <c r="CS126" s="52">
        <f>SUM($CS$122:$CS$125)</f>
        <v>0</v>
      </c>
      <c r="CT126" s="52">
        <f>SUM($CT$122:$CT$125)</f>
        <v>0</v>
      </c>
      <c r="CU126" s="52">
        <f>SUM($CU$122:$CU$125)</f>
        <v>1</v>
      </c>
      <c r="CV126" s="52">
        <f>SUM($CV$122:$CV$125)</f>
        <v>8</v>
      </c>
      <c r="CW126" s="52">
        <f>SUM($CW$122:$CW$125)</f>
        <v>1</v>
      </c>
      <c r="CX126" s="52">
        <f>SUM($CX$122:$CX$125)</f>
        <v>0</v>
      </c>
      <c r="CY126" s="52">
        <f>SUM($CY$122:$CY$125)</f>
        <v>69</v>
      </c>
      <c r="CZ126" s="52">
        <f>SUM($CZ$122:$CZ$125)</f>
        <v>3</v>
      </c>
      <c r="DA126" s="52">
        <f>SUM($DA$122:$DA$125)</f>
        <v>0</v>
      </c>
      <c r="DB126" s="52">
        <f>SUM($DB$122:$DB$125)</f>
        <v>0</v>
      </c>
      <c r="DC126" s="52">
        <f>SUM($DC$122:$DC$125)</f>
        <v>2</v>
      </c>
      <c r="DD126" s="52">
        <f>SUM($DD$122:$DD$125)</f>
        <v>2</v>
      </c>
      <c r="DE126" s="52">
        <f>SUM($DE$122:$DE$125)</f>
        <v>0</v>
      </c>
      <c r="DF126" s="52">
        <f>SUM($DF$122:$DF$125)</f>
        <v>0</v>
      </c>
      <c r="DG126" s="52">
        <f>SUM($CY$126,$CZ$126,$DA$126,$DB$126,$DC$126,$DD$126,$DE$126,$DF$126)</f>
        <v>76</v>
      </c>
      <c r="DH126" s="52">
        <f>SUM($CQ$126,$CR$126,$CS$126,$CT$126,$CU$126,$CV$126,$CW$126,$CX$126)</f>
        <v>82</v>
      </c>
    </row>
    <row r="127" spans="1:112" ht="21" customHeight="1">
      <c r="A127" s="46">
        <v>44395.958333333299</v>
      </c>
      <c r="B127" s="53" t="s">
        <v>123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0</v>
      </c>
      <c r="I127" s="54">
        <v>0</v>
      </c>
      <c r="J127" s="61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0</v>
      </c>
      <c r="T127" s="52">
        <f>SUM($C$127,$D$127,$E$127,$F$127,$G$127,$H$127,$I$127,$J$127)</f>
        <v>0</v>
      </c>
      <c r="U127" s="72">
        <v>21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1</v>
      </c>
      <c r="AB127" s="61">
        <v>0</v>
      </c>
      <c r="AC127" s="62">
        <f>$U$127*VLOOKUP($U$11,'PCU Values'!$B$9:$C$16,2,FALSE)</f>
        <v>21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</v>
      </c>
      <c r="AI127" s="62">
        <f>$AA$127*VLOOKUP($AA$11,'PCU Values'!$B$9:$C$16,2,FALSE)</f>
        <v>0.4</v>
      </c>
      <c r="AJ127" s="70">
        <f>$AB$127*VLOOKUP($AB$11,'PCU Values'!$B$9:$C$16,2,FALSE)</f>
        <v>0</v>
      </c>
      <c r="AK127" s="71">
        <f>SUM($AC$127,$AD$127,$AE$127,$AF$127,$AG$127,$AH$127,$AI$127,$AJ$127)</f>
        <v>21.4</v>
      </c>
      <c r="AL127" s="52">
        <f>SUM($U$127,$V$127,$W$127,$X$127,$Y$127,$Z$127,$AA$127,$AB$127)</f>
        <v>22</v>
      </c>
      <c r="AM127" s="72">
        <v>0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0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0</v>
      </c>
      <c r="BD127" s="52">
        <f>SUM($AM$127,$AN$127,$AO$127,$AP$127,$AQ$127,$AR$127,$AS$127,$AT$127)</f>
        <v>0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21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0</v>
      </c>
      <c r="CE127" s="85">
        <f>SUM($I$127,$AA$127,$AS$127,$BK$127)</f>
        <v>1</v>
      </c>
      <c r="CF127" s="88">
        <f>SUM($J$127,$AB$127,$AT$127,$BL$127)</f>
        <v>0</v>
      </c>
      <c r="CG127" s="81">
        <f>$BY$127*VLOOKUP($BY$11,'PCU Values'!$B$9:$C$16,2,FALSE)</f>
        <v>21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</v>
      </c>
      <c r="CM127" s="81">
        <f>$CE$127*VLOOKUP($CE$11,'PCU Values'!$B$9:$C$16,2,FALSE)</f>
        <v>0.4</v>
      </c>
      <c r="CN127" s="82">
        <f>$CF$127*VLOOKUP($CF$11,'PCU Values'!$B$9:$C$16,2,FALSE)</f>
        <v>0</v>
      </c>
      <c r="CO127" s="71">
        <f>SUM($CG$127,$CH$127,$CI$127,$CJ$127,$CK$127,$CL$127,$CM$127,$CN$127)</f>
        <v>21.4</v>
      </c>
      <c r="CP127" s="52">
        <f>SUM($BY$127,$BZ$127,$CA$127,$CB$127,$CC$127,$CD$127,$CE$127,$CF$127)</f>
        <v>22</v>
      </c>
      <c r="CQ127" s="91">
        <f>SUM('J1 A - (North) Bishopthorpe Roa'!$U$127,'J1 B - Butcher Terrace'!$C$127,'J1 C - (South) Bishopthorpe Roa'!$BE$127,'J1 D - South Bank Avenue'!$AM$127)</f>
        <v>13</v>
      </c>
      <c r="CR127" s="85">
        <f>SUM('J1 A - (North) Bishopthorpe Roa'!$V$127,'J1 B - Butcher Terrace'!$D$127,'J1 C - (South) Bishopthorpe Roa'!$BF$127,'J1 D - South Bank Avenue'!$AN$127)</f>
        <v>0</v>
      </c>
      <c r="CS127" s="85">
        <f>SUM('J1 A - (North) Bishopthorpe Roa'!$W$127,'J1 B - Butcher Terrace'!$E$127,'J1 C - (South) Bishopthorpe Roa'!$BG$127,'J1 D - South Bank Avenue'!$AO$127)</f>
        <v>0</v>
      </c>
      <c r="CT127" s="85">
        <f>SUM('J1 A - (North) Bishopthorpe Roa'!$X$127,'J1 B - Butcher Terrace'!$F$127,'J1 C - (South) Bishopthorpe Roa'!$BH$127,'J1 D - South Bank Avenue'!$AP$127)</f>
        <v>0</v>
      </c>
      <c r="CU127" s="85">
        <f>SUM('J1 A - (North) Bishopthorpe Roa'!$Y$127,'J1 B - Butcher Terrace'!$G$127,'J1 C - (South) Bishopthorpe Roa'!$BI$127,'J1 D - South Bank Avenue'!$AQ$127)</f>
        <v>0</v>
      </c>
      <c r="CV127" s="85">
        <f>SUM('J1 A - (North) Bishopthorpe Roa'!$Z$127,'J1 B - Butcher Terrace'!$H$127,'J1 C - (South) Bishopthorpe Roa'!$BJ$127,'J1 D - South Bank Avenue'!$AR$127)</f>
        <v>2</v>
      </c>
      <c r="CW127" s="85">
        <f>SUM('J1 A - (North) Bishopthorpe Roa'!$AA$127,'J1 B - Butcher Terrace'!$I$127,'J1 C - (South) Bishopthorpe Roa'!$BK$127,'J1 D - South Bank Avenue'!$AS$127)</f>
        <v>0</v>
      </c>
      <c r="CX127" s="88">
        <f>SUM('J1 A - (North) Bishopthorpe Roa'!$AB$127,'J1 B - Butcher Terrace'!$J$127,'J1 C - (South) Bishopthorpe Roa'!$BL$127,'J1 D - South Bank Avenue'!$AT$127)</f>
        <v>0</v>
      </c>
      <c r="CY127" s="81">
        <f>$CQ$127*VLOOKUP($CQ$11,'PCU Values'!$B$9:$C$16,2,FALSE)</f>
        <v>13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0.4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13.4</v>
      </c>
      <c r="DH127" s="52">
        <f>SUM($CQ$127,$CR$127,$CS$127,$CT$127,$CU$127,$CV$127,$CW$127,$CX$127)</f>
        <v>15</v>
      </c>
    </row>
    <row r="128" spans="1:112" ht="21" customHeight="1">
      <c r="A128" s="46">
        <v>44395.96875</v>
      </c>
      <c r="B128" s="47" t="s">
        <v>124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0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0</v>
      </c>
      <c r="T128" s="52">
        <f>SUM($C$128,$D$128,$E$128,$F$128,$G$128,$H$128,$I$128,$J$128)</f>
        <v>0</v>
      </c>
      <c r="U128" s="67">
        <v>8</v>
      </c>
      <c r="V128" s="48">
        <v>1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56">
        <v>0</v>
      </c>
      <c r="AC128" s="57">
        <f>$U$128*VLOOKUP($U$11,'PCU Values'!$B$9:$C$16,2,FALSE)</f>
        <v>8</v>
      </c>
      <c r="AD128" s="57">
        <f>$V$128*VLOOKUP($V$11,'PCU Values'!$B$9:$C$16,2,FALSE)</f>
        <v>1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9</v>
      </c>
      <c r="AL128" s="52">
        <f>SUM($U$128,$V$128,$W$128,$X$128,$Y$128,$Z$128,$AA$128,$AB$128)</f>
        <v>9</v>
      </c>
      <c r="AM128" s="67">
        <v>1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1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1</v>
      </c>
      <c r="BD128" s="52">
        <f>SUM($AM$128,$AN$128,$AO$128,$AP$128,$AQ$128,$AR$128,$AS$128,$AT$128)</f>
        <v>1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9</v>
      </c>
      <c r="BZ128" s="83">
        <f>SUM($D$128,$V$128,$AN$128,$BF$128)</f>
        <v>1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0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9</v>
      </c>
      <c r="CH128" s="77">
        <f>$BZ$128*VLOOKUP($BZ$11,'PCU Values'!$B$9:$C$16,2,FALSE)</f>
        <v>1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10</v>
      </c>
      <c r="CP128" s="52">
        <f>SUM($BY$128,$BZ$128,$CA$128,$CB$128,$CC$128,$CD$128,$CE$128,$CF$128)</f>
        <v>10</v>
      </c>
      <c r="CQ128" s="89">
        <f>SUM('J1 A - (North) Bishopthorpe Roa'!$U$128,'J1 B - Butcher Terrace'!$C$128,'J1 C - (South) Bishopthorpe Roa'!$BE$128,'J1 D - South Bank Avenue'!$AM$128)</f>
        <v>14</v>
      </c>
      <c r="CR128" s="83">
        <f>SUM('J1 A - (North) Bishopthorpe Roa'!$V$128,'J1 B - Butcher Terrace'!$D$128,'J1 C - (South) Bishopthorpe Roa'!$BF$128,'J1 D - South Bank Avenue'!$AN$128)</f>
        <v>2</v>
      </c>
      <c r="CS128" s="83">
        <f>SUM('J1 A - (North) Bishopthorpe Roa'!$W$128,'J1 B - Butcher Terrace'!$E$128,'J1 C - (South) Bishopthorpe Roa'!$BG$128,'J1 D - South Bank Avenue'!$AO$128)</f>
        <v>0</v>
      </c>
      <c r="CT128" s="83">
        <f>SUM('J1 A - (North) Bishopthorpe Roa'!$X$128,'J1 B - Butcher Terrace'!$F$128,'J1 C - (South) Bishopthorpe Roa'!$BH$128,'J1 D - South Bank Avenue'!$AP$128)</f>
        <v>0</v>
      </c>
      <c r="CU128" s="83">
        <f>SUM('J1 A - (North) Bishopthorpe Roa'!$Y$128,'J1 B - Butcher Terrace'!$G$128,'J1 C - (South) Bishopthorpe Roa'!$BI$128,'J1 D - South Bank Avenue'!$AQ$128)</f>
        <v>1</v>
      </c>
      <c r="CV128" s="83">
        <f>SUM('J1 A - (North) Bishopthorpe Roa'!$Z$128,'J1 B - Butcher Terrace'!$H$128,'J1 C - (South) Bishopthorpe Roa'!$BJ$128,'J1 D - South Bank Avenue'!$AR$128)</f>
        <v>0</v>
      </c>
      <c r="CW128" s="83">
        <f>SUM('J1 A - (North) Bishopthorpe Roa'!$AA$128,'J1 B - Butcher Terrace'!$I$128,'J1 C - (South) Bishopthorpe Roa'!$BK$128,'J1 D - South Bank Avenue'!$AS$128)</f>
        <v>0</v>
      </c>
      <c r="CX128" s="86">
        <f>SUM('J1 A - (North) Bishopthorpe Roa'!$AB$128,'J1 B - Butcher Terrace'!$J$128,'J1 C - (South) Bishopthorpe Roa'!$BL$128,'J1 D - South Bank Avenue'!$AT$128)</f>
        <v>0</v>
      </c>
      <c r="CY128" s="77">
        <f>$CQ$128*VLOOKUP($CQ$11,'PCU Values'!$B$9:$C$16,2,FALSE)</f>
        <v>14</v>
      </c>
      <c r="CZ128" s="77">
        <f>$CR$128*VLOOKUP($CR$11,'PCU Values'!$B$9:$C$16,2,FALSE)</f>
        <v>2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2</v>
      </c>
      <c r="DD128" s="77">
        <f>$CV$128*VLOOKUP($CV$11,'PCU Values'!$B$9:$C$16,2,FALSE)</f>
        <v>0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18</v>
      </c>
      <c r="DH128" s="52">
        <f>SUM($CQ$128,$CR$128,$CS$128,$CT$128,$CU$128,$CV$128,$CW$128,$CX$128)</f>
        <v>17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2">
        <f>SUM($C$129,$D$129,$E$129,$F$129,$G$129,$H$129,$I$129,$J$129)</f>
        <v>0</v>
      </c>
      <c r="U129" s="67">
        <v>14</v>
      </c>
      <c r="V129" s="48">
        <v>0</v>
      </c>
      <c r="W129" s="48">
        <v>0</v>
      </c>
      <c r="X129" s="48">
        <v>0</v>
      </c>
      <c r="Y129" s="48">
        <v>0</v>
      </c>
      <c r="Z129" s="48">
        <v>2</v>
      </c>
      <c r="AA129" s="48">
        <v>0</v>
      </c>
      <c r="AB129" s="56">
        <v>0</v>
      </c>
      <c r="AC129" s="57">
        <f>$U$129*VLOOKUP($U$11,'PCU Values'!$B$9:$C$16,2,FALSE)</f>
        <v>14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0.4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14.4</v>
      </c>
      <c r="AL129" s="52">
        <f>SUM($U$129,$V$129,$W$129,$X$129,$Y$129,$Z$129,$AA$129,$AB$129)</f>
        <v>16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14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2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14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0.4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14.4</v>
      </c>
      <c r="CP129" s="52">
        <f>SUM($BY$129,$BZ$129,$CA$129,$CB$129,$CC$129,$CD$129,$CE$129,$CF$129)</f>
        <v>16</v>
      </c>
      <c r="CQ129" s="89">
        <f>SUM('J1 A - (North) Bishopthorpe Roa'!$U$129,'J1 B - Butcher Terrace'!$C$129,'J1 C - (South) Bishopthorpe Roa'!$BE$129,'J1 D - South Bank Avenue'!$AM$129)</f>
        <v>16</v>
      </c>
      <c r="CR129" s="83">
        <f>SUM('J1 A - (North) Bishopthorpe Roa'!$V$129,'J1 B - Butcher Terrace'!$D$129,'J1 C - (South) Bishopthorpe Roa'!$BF$129,'J1 D - South Bank Avenue'!$AN$129)</f>
        <v>0</v>
      </c>
      <c r="CS129" s="83">
        <f>SUM('J1 A - (North) Bishopthorpe Roa'!$W$129,'J1 B - Butcher Terrace'!$E$129,'J1 C - (South) Bishopthorpe Roa'!$BG$129,'J1 D - South Bank Avenue'!$AO$129)</f>
        <v>0</v>
      </c>
      <c r="CT129" s="83">
        <f>SUM('J1 A - (North) Bishopthorpe Roa'!$X$129,'J1 B - Butcher Terrace'!$F$129,'J1 C - (South) Bishopthorpe Roa'!$BH$129,'J1 D - South Bank Avenue'!$AP$129)</f>
        <v>0</v>
      </c>
      <c r="CU129" s="83">
        <f>SUM('J1 A - (North) Bishopthorpe Roa'!$Y$129,'J1 B - Butcher Terrace'!$G$129,'J1 C - (South) Bishopthorpe Roa'!$BI$129,'J1 D - South Bank Avenue'!$AQ$129)</f>
        <v>0</v>
      </c>
      <c r="CV129" s="83">
        <f>SUM('J1 A - (North) Bishopthorpe Roa'!$Z$129,'J1 B - Butcher Terrace'!$H$129,'J1 C - (South) Bishopthorpe Roa'!$BJ$129,'J1 D - South Bank Avenue'!$AR$129)</f>
        <v>2</v>
      </c>
      <c r="CW129" s="83">
        <f>SUM('J1 A - (North) Bishopthorpe Roa'!$AA$129,'J1 B - Butcher Terrace'!$I$129,'J1 C - (South) Bishopthorpe Roa'!$BK$129,'J1 D - South Bank Avenue'!$AS$129)</f>
        <v>0</v>
      </c>
      <c r="CX129" s="86">
        <f>SUM('J1 A - (North) Bishopthorpe Roa'!$AB$129,'J1 B - Butcher Terrace'!$J$129,'J1 C - (South) Bishopthorpe Roa'!$BL$129,'J1 D - South Bank Avenue'!$AT$129)</f>
        <v>0</v>
      </c>
      <c r="CY129" s="77">
        <f>$CQ$129*VLOOKUP($CQ$11,'PCU Values'!$B$9:$C$16,2,FALSE)</f>
        <v>16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0.4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16.399999999999999</v>
      </c>
      <c r="DH129" s="52">
        <f>SUM($CQ$129,$CR$129,$CS$129,$CT$129,$CU$129,$CV$129,$CW$129,$CX$129)</f>
        <v>18</v>
      </c>
    </row>
    <row r="130" spans="1:112" ht="21" customHeight="1">
      <c r="A130" s="46">
        <v>44395.989583333299</v>
      </c>
      <c r="B130" s="50" t="s">
        <v>126</v>
      </c>
      <c r="C130" s="51">
        <v>0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0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0</v>
      </c>
      <c r="T130" s="52">
        <f>SUM($C$130,$D$130,$E$130,$F$130,$G$130,$H$130,$I$130,$J$130)</f>
        <v>0</v>
      </c>
      <c r="U130" s="73">
        <v>8</v>
      </c>
      <c r="V130" s="51">
        <v>0</v>
      </c>
      <c r="W130" s="51">
        <v>0</v>
      </c>
      <c r="X130" s="51">
        <v>0</v>
      </c>
      <c r="Y130" s="51">
        <v>1</v>
      </c>
      <c r="Z130" s="51">
        <v>0</v>
      </c>
      <c r="AA130" s="51">
        <v>0</v>
      </c>
      <c r="AB130" s="59">
        <v>0</v>
      </c>
      <c r="AC130" s="60">
        <f>$U$130*VLOOKUP($U$11,'PCU Values'!$B$9:$C$16,2,FALSE)</f>
        <v>8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2</v>
      </c>
      <c r="AH130" s="60">
        <f>$Z$130*VLOOKUP($Z$11,'PCU Values'!$B$9:$C$16,2,FALSE)</f>
        <v>0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10</v>
      </c>
      <c r="AL130" s="52">
        <f>SUM($U$130,$V$130,$W$130,$X$130,$Y$130,$Z$130,$AA$130,$AB$130)</f>
        <v>9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8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1</v>
      </c>
      <c r="CD130" s="84">
        <f>SUM($H$130,$Z$130,$AR$130,$BJ$130)</f>
        <v>0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8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2</v>
      </c>
      <c r="CL130" s="79">
        <f>$CD$130*VLOOKUP($CD$11,'PCU Values'!$B$9:$C$16,2,FALSE)</f>
        <v>0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10</v>
      </c>
      <c r="CP130" s="52">
        <f>SUM($BY$130,$BZ$130,$CA$130,$CB$130,$CC$130,$CD$130,$CE$130,$CF$130)</f>
        <v>9</v>
      </c>
      <c r="CQ130" s="90">
        <f>SUM('J1 A - (North) Bishopthorpe Roa'!$U$130,'J1 B - Butcher Terrace'!$C$130,'J1 C - (South) Bishopthorpe Roa'!$BE$130,'J1 D - South Bank Avenue'!$AM$130)</f>
        <v>12</v>
      </c>
      <c r="CR130" s="84">
        <f>SUM('J1 A - (North) Bishopthorpe Roa'!$V$130,'J1 B - Butcher Terrace'!$D$130,'J1 C - (South) Bishopthorpe Roa'!$BF$130,'J1 D - South Bank Avenue'!$AN$130)</f>
        <v>0</v>
      </c>
      <c r="CS130" s="84">
        <f>SUM('J1 A - (North) Bishopthorpe Roa'!$W$130,'J1 B - Butcher Terrace'!$E$130,'J1 C - (South) Bishopthorpe Roa'!$BG$130,'J1 D - South Bank Avenue'!$AO$130)</f>
        <v>0</v>
      </c>
      <c r="CT130" s="84">
        <f>SUM('J1 A - (North) Bishopthorpe Roa'!$X$130,'J1 B - Butcher Terrace'!$F$130,'J1 C - (South) Bishopthorpe Roa'!$BH$130,'J1 D - South Bank Avenue'!$AP$130)</f>
        <v>0</v>
      </c>
      <c r="CU130" s="84">
        <f>SUM('J1 A - (North) Bishopthorpe Roa'!$Y$130,'J1 B - Butcher Terrace'!$G$130,'J1 C - (South) Bishopthorpe Roa'!$BI$130,'J1 D - South Bank Avenue'!$AQ$130)</f>
        <v>0</v>
      </c>
      <c r="CV130" s="84">
        <f>SUM('J1 A - (North) Bishopthorpe Roa'!$Z$130,'J1 B - Butcher Terrace'!$H$130,'J1 C - (South) Bishopthorpe Roa'!$BJ$130,'J1 D - South Bank Avenue'!$AR$130)</f>
        <v>2</v>
      </c>
      <c r="CW130" s="84">
        <f>SUM('J1 A - (North) Bishopthorpe Roa'!$AA$130,'J1 B - Butcher Terrace'!$I$130,'J1 C - (South) Bishopthorpe Roa'!$BK$130,'J1 D - South Bank Avenue'!$AS$130)</f>
        <v>0</v>
      </c>
      <c r="CX130" s="87">
        <f>SUM('J1 A - (North) Bishopthorpe Roa'!$AB$130,'J1 B - Butcher Terrace'!$J$130,'J1 C - (South) Bishopthorpe Roa'!$BL$130,'J1 D - South Bank Avenue'!$AT$130)</f>
        <v>0</v>
      </c>
      <c r="CY130" s="79">
        <f>$CQ$130*VLOOKUP($CQ$11,'PCU Values'!$B$9:$C$16,2,FALSE)</f>
        <v>12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0.4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12.4</v>
      </c>
      <c r="DH130" s="52">
        <f>SUM($CQ$130,$CR$130,$CS$130,$CT$130,$CU$130,$CV$130,$CW$130,$CX$130)</f>
        <v>14</v>
      </c>
    </row>
    <row r="131" spans="1:112">
      <c r="B131" s="52" t="s">
        <v>34</v>
      </c>
      <c r="C131" s="52">
        <f>SUM($C$127:$C$130)</f>
        <v>0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0</v>
      </c>
      <c r="I131" s="52">
        <f>SUM($I$127:$I$130)</f>
        <v>0</v>
      </c>
      <c r="J131" s="52">
        <f>SUM($J$127:$J$130)</f>
        <v>0</v>
      </c>
      <c r="K131" s="52">
        <f>SUM($K$127:$K$130)</f>
        <v>0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0</v>
      </c>
      <c r="T131" s="52">
        <f>SUM($C$131,$D$131,$E$131,$F$131,$G$131,$H$131,$I$131,$J$131)</f>
        <v>0</v>
      </c>
      <c r="U131" s="52">
        <f>SUM($U$127:$U$130)</f>
        <v>51</v>
      </c>
      <c r="V131" s="52">
        <f>SUM($V$127:$V$130)</f>
        <v>1</v>
      </c>
      <c r="W131" s="52">
        <f>SUM($W$127:$W$130)</f>
        <v>0</v>
      </c>
      <c r="X131" s="52">
        <f>SUM($X$127:$X$130)</f>
        <v>0</v>
      </c>
      <c r="Y131" s="52">
        <f>SUM($Y$127:$Y$130)</f>
        <v>1</v>
      </c>
      <c r="Z131" s="52">
        <f>SUM($Z$127:$Z$130)</f>
        <v>2</v>
      </c>
      <c r="AA131" s="52">
        <f>SUM($AA$127:$AA$130)</f>
        <v>1</v>
      </c>
      <c r="AB131" s="52">
        <f>SUM($AB$127:$AB$130)</f>
        <v>0</v>
      </c>
      <c r="AC131" s="52">
        <f>SUM($AC$127:$AC$130)</f>
        <v>51</v>
      </c>
      <c r="AD131" s="52">
        <f>SUM($AD$127:$AD$130)</f>
        <v>1</v>
      </c>
      <c r="AE131" s="52">
        <f>SUM($AE$127:$AE$130)</f>
        <v>0</v>
      </c>
      <c r="AF131" s="52">
        <f>SUM($AF$127:$AF$130)</f>
        <v>0</v>
      </c>
      <c r="AG131" s="52">
        <f>SUM($AG$127:$AG$130)</f>
        <v>2</v>
      </c>
      <c r="AH131" s="52">
        <f>SUM($AH$127:$AH$130)</f>
        <v>0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54</v>
      </c>
      <c r="AL131" s="52">
        <f>SUM($U$131,$V$131,$W$131,$X$131,$Y$131,$Z$131,$AA$131,$AB$131)</f>
        <v>56</v>
      </c>
      <c r="AM131" s="52">
        <f>SUM($AM$127:$AM$130)</f>
        <v>1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1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1</v>
      </c>
      <c r="BD131" s="52">
        <f>SUM($AM$131,$AN$131,$AO$131,$AP$131,$AQ$131,$AR$131,$AS$131,$AT$131)</f>
        <v>1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52</v>
      </c>
      <c r="BZ131" s="52">
        <f>SUM($BZ$127:$BZ$130)</f>
        <v>1</v>
      </c>
      <c r="CA131" s="52">
        <f>SUM($CA$127:$CA$130)</f>
        <v>0</v>
      </c>
      <c r="CB131" s="52">
        <f>SUM($CB$127:$CB$130)</f>
        <v>0</v>
      </c>
      <c r="CC131" s="52">
        <f>SUM($CC$127:$CC$130)</f>
        <v>1</v>
      </c>
      <c r="CD131" s="52">
        <f>SUM($CD$127:$CD$130)</f>
        <v>2</v>
      </c>
      <c r="CE131" s="52">
        <f>SUM($CE$127:$CE$130)</f>
        <v>1</v>
      </c>
      <c r="CF131" s="52">
        <f>SUM($CF$127:$CF$130)</f>
        <v>0</v>
      </c>
      <c r="CG131" s="52">
        <f>SUM($CG$127:$CG$130)</f>
        <v>52</v>
      </c>
      <c r="CH131" s="52">
        <f>SUM($CH$127:$CH$130)</f>
        <v>1</v>
      </c>
      <c r="CI131" s="52">
        <f>SUM($CI$127:$CI$130)</f>
        <v>0</v>
      </c>
      <c r="CJ131" s="52">
        <f>SUM($CJ$127:$CJ$130)</f>
        <v>0</v>
      </c>
      <c r="CK131" s="52">
        <f>SUM($CK$127:$CK$130)</f>
        <v>2</v>
      </c>
      <c r="CL131" s="52">
        <f>SUM($CL$127:$CL$130)</f>
        <v>0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55</v>
      </c>
      <c r="CP131" s="52">
        <f>SUM($BY$131,$BZ$131,$CA$131,$CB$131,$CC$131,$CD$131,$CE$131,$CF$131)</f>
        <v>57</v>
      </c>
      <c r="CQ131" s="52">
        <f>SUM($CQ$127:$CQ$130)</f>
        <v>55</v>
      </c>
      <c r="CR131" s="52">
        <f>SUM($CR$127:$CR$130)</f>
        <v>2</v>
      </c>
      <c r="CS131" s="52">
        <f>SUM($CS$127:$CS$130)</f>
        <v>0</v>
      </c>
      <c r="CT131" s="52">
        <f>SUM($CT$127:$CT$130)</f>
        <v>0</v>
      </c>
      <c r="CU131" s="52">
        <f>SUM($CU$127:$CU$130)</f>
        <v>1</v>
      </c>
      <c r="CV131" s="52">
        <f>SUM($CV$127:$CV$130)</f>
        <v>6</v>
      </c>
      <c r="CW131" s="52">
        <f>SUM($CW$127:$CW$130)</f>
        <v>0</v>
      </c>
      <c r="CX131" s="52">
        <f>SUM($CX$127:$CX$130)</f>
        <v>0</v>
      </c>
      <c r="CY131" s="52">
        <f>SUM($CY$127:$CY$130)</f>
        <v>55</v>
      </c>
      <c r="CZ131" s="52">
        <f>SUM($CZ$127:$CZ$130)</f>
        <v>2</v>
      </c>
      <c r="DA131" s="52">
        <f>SUM($DA$127:$DA$130)</f>
        <v>0</v>
      </c>
      <c r="DB131" s="52">
        <f>SUM($DB$127:$DB$130)</f>
        <v>0</v>
      </c>
      <c r="DC131" s="52">
        <f>SUM($DC$127:$DC$130)</f>
        <v>2</v>
      </c>
      <c r="DD131" s="52">
        <f>SUM($DD$127:$DD$130)</f>
        <v>1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60</v>
      </c>
      <c r="DH131" s="52">
        <f>SUM($CQ$131,$CR$131,$CS$131,$CT$131,$CU$131,$CV$131,$CW$131,$CX$131)</f>
        <v>64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91</v>
      </c>
      <c r="D133" s="52">
        <f>SUM($D$16,$D$21,$D$26,$D$31,$D$36,$D$41,$D$46,$D$51,$D$56,$D$61,$D$66,$D$71,$D$76,$D$81,$D$86,$D$91,$D$96,$D$101,$D$106,$D$111,$D$116,$D$121,$D$126,$D$131)</f>
        <v>21</v>
      </c>
      <c r="E133" s="52">
        <f>SUM($E$16,$E$21,$E$26,$E$31,$E$36,$E$41,$E$46,$E$51,$E$56,$E$61,$E$66,$E$71,$E$76,$E$81,$E$86,$E$91,$E$96,$E$101,$E$106,$E$111,$E$116,$E$121,$E$126,$E$131)</f>
        <v>3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13</v>
      </c>
      <c r="I133" s="52">
        <f>SUM($I$16,$I$21,$I$26,$I$31,$I$36,$I$41,$I$46,$I$51,$I$56,$I$61,$I$66,$I$71,$I$76,$I$81,$I$86,$I$91,$I$96,$I$101,$I$106,$I$111,$I$116,$I$121,$I$126,$I$131)</f>
        <v>0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91</v>
      </c>
      <c r="L133" s="52">
        <f>SUM($L$16,$L$21,$L$26,$L$31,$L$36,$L$41,$L$46,$L$51,$L$56,$L$61,$L$66,$L$71,$L$76,$L$81,$L$86,$L$91,$L$96,$L$101,$L$106,$L$111,$L$116,$L$121,$L$126,$L$131)</f>
        <v>21</v>
      </c>
      <c r="M133" s="52">
        <f>SUM($M$16,$M$21,$M$26,$M$31,$M$36,$M$41,$M$46,$M$51,$M$56,$M$61,$M$66,$M$71,$M$76,$M$81,$M$86,$M$91,$M$96,$M$101,$M$106,$M$111,$M$116,$M$121,$M$126,$M$131)</f>
        <v>5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0</v>
      </c>
      <c r="Q133" s="52">
        <f>SUM($Q$16,$Q$21,$Q$26,$Q$31,$Q$36,$Q$41,$Q$46,$Q$51,$Q$56,$Q$61,$Q$66,$Q$71,$Q$76,$Q$81,$Q$86,$Q$91,$Q$96,$Q$101,$Q$106,$Q$111,$Q$116,$Q$121,$Q$126,$Q$131)</f>
        <v>0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117</v>
      </c>
      <c r="T133" s="52">
        <f>SUM($T$16,$T$21,$T$26,$T$31,$T$36,$T$41,$T$46,$T$51,$T$56,$T$61,$T$66,$T$71,$T$76,$T$81,$T$86,$T$91,$T$96,$T$101,$T$106,$T$111,$T$116,$T$121,$T$126,$T$131)</f>
        <v>128</v>
      </c>
      <c r="U133" s="52">
        <f>SUM($U$16,$U$21,$U$26,$U$31,$U$36,$U$41,$U$46,$U$51,$U$56,$U$61,$U$66,$U$71,$U$76,$U$81,$U$86,$U$91,$U$96,$U$101,$U$106,$U$111,$U$116,$U$121,$U$126,$U$131)</f>
        <v>2841</v>
      </c>
      <c r="V133" s="52">
        <f>SUM($V$16,$V$21,$V$26,$V$31,$V$36,$V$41,$V$46,$V$51,$V$56,$V$61,$V$66,$V$71,$V$76,$V$81,$V$86,$V$91,$V$96,$V$101,$V$106,$V$111,$V$116,$V$121,$V$126,$V$131)</f>
        <v>296</v>
      </c>
      <c r="W133" s="52">
        <f>SUM($W$16,$W$21,$W$26,$W$31,$W$36,$W$41,$W$46,$W$51,$W$56,$W$61,$W$66,$W$71,$W$76,$W$81,$W$86,$W$91,$W$96,$W$101,$W$106,$W$111,$W$116,$W$121,$W$126,$W$131)</f>
        <v>38</v>
      </c>
      <c r="X133" s="52">
        <f>SUM($X$16,$X$21,$X$26,$X$31,$X$36,$X$41,$X$46,$X$51,$X$56,$X$61,$X$66,$X$71,$X$76,$X$81,$X$86,$X$91,$X$96,$X$101,$X$106,$X$111,$X$116,$X$121,$X$126,$X$131)</f>
        <v>4</v>
      </c>
      <c r="Y133" s="52">
        <f>SUM($Y$16,$Y$21,$Y$26,$Y$31,$Y$36,$Y$41,$Y$46,$Y$51,$Y$56,$Y$61,$Y$66,$Y$71,$Y$76,$Y$81,$Y$86,$Y$91,$Y$96,$Y$101,$Y$106,$Y$111,$Y$116,$Y$121,$Y$126,$Y$131)</f>
        <v>51</v>
      </c>
      <c r="Z133" s="52">
        <f>SUM($Z$16,$Z$21,$Z$26,$Z$31,$Z$36,$Z$41,$Z$46,$Z$51,$Z$56,$Z$61,$Z$66,$Z$71,$Z$76,$Z$81,$Z$86,$Z$91,$Z$96,$Z$101,$Z$106,$Z$111,$Z$116,$Z$121,$Z$126,$Z$131)</f>
        <v>198</v>
      </c>
      <c r="AA133" s="52">
        <f>SUM($AA$16,$AA$21,$AA$26,$AA$31,$AA$36,$AA$41,$AA$46,$AA$51,$AA$56,$AA$61,$AA$66,$AA$71,$AA$76,$AA$81,$AA$86,$AA$91,$AA$96,$AA$101,$AA$106,$AA$111,$AA$116,$AA$121,$AA$126,$AA$131)</f>
        <v>31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2841</v>
      </c>
      <c r="AD133" s="52">
        <f>SUM($AD$16,$AD$21,$AD$26,$AD$31,$AD$36,$AD$41,$AD$46,$AD$51,$AD$56,$AD$61,$AD$66,$AD$71,$AD$76,$AD$81,$AD$86,$AD$91,$AD$96,$AD$101,$AD$106,$AD$111,$AD$116,$AD$121,$AD$126,$AD$131)</f>
        <v>296</v>
      </c>
      <c r="AE133" s="52">
        <f>SUM($AE$16,$AE$21,$AE$26,$AE$31,$AE$36,$AE$41,$AE$46,$AE$51,$AE$56,$AE$61,$AE$66,$AE$71,$AE$76,$AE$81,$AE$86,$AE$91,$AE$96,$AE$101,$AE$106,$AE$111,$AE$116,$AE$121,$AE$126,$AE$131)</f>
        <v>61</v>
      </c>
      <c r="AF133" s="52">
        <f>SUM($AF$16,$AF$21,$AF$26,$AF$31,$AF$36,$AF$41,$AF$46,$AF$51,$AF$56,$AF$61,$AF$66,$AF$71,$AF$76,$AF$81,$AF$86,$AF$91,$AF$96,$AF$101,$AF$106,$AF$111,$AF$116,$AF$121,$AF$126,$AF$131)</f>
        <v>9</v>
      </c>
      <c r="AG133" s="52">
        <f>SUM($AG$16,$AG$21,$AG$26,$AG$31,$AG$36,$AG$41,$AG$46,$AG$51,$AG$56,$AG$61,$AG$66,$AG$71,$AG$76,$AG$81,$AG$86,$AG$91,$AG$96,$AG$101,$AG$106,$AG$111,$AG$116,$AG$121,$AG$126,$AG$131)</f>
        <v>102</v>
      </c>
      <c r="AH133" s="52">
        <f>SUM($AH$16,$AH$21,$AH$26,$AH$31,$AH$36,$AH$41,$AH$46,$AH$51,$AH$56,$AH$61,$AH$66,$AH$71,$AH$76,$AH$81,$AH$86,$AH$91,$AH$96,$AH$101,$AH$106,$AH$111,$AH$116,$AH$121,$AH$126,$AH$131)</f>
        <v>39</v>
      </c>
      <c r="AI133" s="52">
        <f>SUM($AI$16,$AI$21,$AI$26,$AI$31,$AI$36,$AI$41,$AI$46,$AI$51,$AI$56,$AI$61,$AI$66,$AI$71,$AI$76,$AI$81,$AI$86,$AI$91,$AI$96,$AI$101,$AI$106,$AI$111,$AI$116,$AI$121,$AI$126,$AI$131)</f>
        <v>10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3358</v>
      </c>
      <c r="AL133" s="52">
        <f>SUM($AL$16,$AL$21,$AL$26,$AL$31,$AL$36,$AL$41,$AL$46,$AL$51,$AL$56,$AL$61,$AL$66,$AL$71,$AL$76,$AL$81,$AL$86,$AL$91,$AL$96,$AL$101,$AL$106,$AL$111,$AL$116,$AL$121,$AL$126,$AL$131)</f>
        <v>3459</v>
      </c>
      <c r="AM133" s="52">
        <f>SUM($AM$16,$AM$21,$AM$26,$AM$31,$AM$36,$AM$41,$AM$46,$AM$51,$AM$56,$AM$61,$AM$66,$AM$71,$AM$76,$AM$81,$AM$86,$AM$91,$AM$96,$AM$101,$AM$106,$AM$111,$AM$116,$AM$121,$AM$126,$AM$131)</f>
        <v>85</v>
      </c>
      <c r="AN133" s="52">
        <f>SUM($AN$16,$AN$21,$AN$26,$AN$31,$AN$36,$AN$41,$AN$46,$AN$51,$AN$56,$AN$61,$AN$66,$AN$71,$AN$76,$AN$81,$AN$86,$AN$91,$AN$96,$AN$101,$AN$106,$AN$111,$AN$116,$AN$121,$AN$126,$AN$131)</f>
        <v>14</v>
      </c>
      <c r="AO133" s="52">
        <f>SUM($AO$16,$AO$21,$AO$26,$AO$31,$AO$36,$AO$41,$AO$46,$AO$51,$AO$56,$AO$61,$AO$66,$AO$71,$AO$76,$AO$81,$AO$86,$AO$91,$AO$96,$AO$101,$AO$106,$AO$111,$AO$116,$AO$121,$AO$126,$AO$131)</f>
        <v>2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99</v>
      </c>
      <c r="AS133" s="52">
        <f>SUM($AS$16,$AS$21,$AS$26,$AS$31,$AS$36,$AS$41,$AS$46,$AS$51,$AS$56,$AS$61,$AS$66,$AS$71,$AS$76,$AS$81,$AS$86,$AS$91,$AS$96,$AS$101,$AS$106,$AS$111,$AS$116,$AS$121,$AS$126,$AS$131)</f>
        <v>3</v>
      </c>
      <c r="AT133" s="52">
        <f>SUM($AT$16,$AT$21,$AT$26,$AT$31,$AT$36,$AT$41,$AT$46,$AT$51,$AT$56,$AT$61,$AT$66,$AT$71,$AT$76,$AT$81,$AT$86,$AT$91,$AT$96,$AT$101,$AT$106,$AT$111,$AT$116,$AT$121,$AT$126,$AT$131)</f>
        <v>4</v>
      </c>
      <c r="AU133" s="52">
        <f>SUM($AU$16,$AU$21,$AU$26,$AU$31,$AU$36,$AU$41,$AU$46,$AU$51,$AU$56,$AU$61,$AU$66,$AU$71,$AU$76,$AU$81,$AU$86,$AU$91,$AU$96,$AU$101,$AU$106,$AU$111,$AU$116,$AU$121,$AU$126,$AU$131)</f>
        <v>85</v>
      </c>
      <c r="AV133" s="52">
        <f>SUM($AV$16,$AV$21,$AV$26,$AV$31,$AV$36,$AV$41,$AV$46,$AV$51,$AV$56,$AV$61,$AV$66,$AV$71,$AV$76,$AV$81,$AV$86,$AV$91,$AV$96,$AV$101,$AV$106,$AV$111,$AV$116,$AV$121,$AV$126,$AV$131)</f>
        <v>14</v>
      </c>
      <c r="AW133" s="52">
        <f>SUM($AW$16,$AW$21,$AW$26,$AW$31,$AW$36,$AW$41,$AW$46,$AW$51,$AW$56,$AW$61,$AW$66,$AW$71,$AW$76,$AW$81,$AW$86,$AW$91,$AW$96,$AW$101,$AW$106,$AW$111,$AW$116,$AW$121,$AW$126,$AW$131)</f>
        <v>4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19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8</v>
      </c>
      <c r="BC133" s="52">
        <f>SUM($BC$16,$BC$21,$BC$26,$BC$31,$BC$36,$BC$41,$BC$46,$BC$51,$BC$56,$BC$61,$BC$66,$BC$71,$BC$76,$BC$81,$BC$86,$BC$91,$BC$96,$BC$101,$BC$106,$BC$111,$BC$116,$BC$121,$BC$126,$BC$131)</f>
        <v>130</v>
      </c>
      <c r="BD133" s="52">
        <f>SUM($BD$16,$BD$21,$BD$26,$BD$31,$BD$36,$BD$41,$BD$46,$BD$51,$BD$56,$BD$61,$BD$66,$BD$71,$BD$76,$BD$81,$BD$86,$BD$91,$BD$96,$BD$101,$BD$106,$BD$111,$BD$116,$BD$121,$BD$126,$BD$131)</f>
        <v>207</v>
      </c>
      <c r="BE133" s="52">
        <f>SUM($BE$16,$BE$21,$BE$26,$BE$31,$BE$36,$BE$41,$BE$46,$BE$51,$BE$56,$BE$61,$BE$66,$BE$71,$BE$76,$BE$81,$BE$86,$BE$91,$BE$96,$BE$101,$BE$106,$BE$111,$BE$116,$BE$121,$BE$126,$BE$131)</f>
        <v>5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5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5</v>
      </c>
      <c r="BV133" s="52">
        <f>SUM($BV$16,$BV$21,$BV$26,$BV$31,$BV$36,$BV$41,$BV$46,$BV$51,$BV$56,$BV$61,$BV$66,$BV$71,$BV$76,$BV$81,$BV$86,$BV$91,$BV$96,$BV$101,$BV$106,$BV$111,$BV$116,$BV$121,$BV$126,$BV$131)</f>
        <v>5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3022</v>
      </c>
      <c r="BZ133" s="52">
        <f>SUM($BZ$16,$BZ$21,$BZ$26,$BZ$31,$BZ$36,$BZ$41,$BZ$46,$BZ$51,$BZ$56,$BZ$61,$BZ$66,$BZ$71,$BZ$76,$BZ$81,$BZ$86,$BZ$91,$BZ$96,$BZ$101,$BZ$106,$BZ$111,$BZ$116,$BZ$121,$BZ$126,$BZ$131)</f>
        <v>331</v>
      </c>
      <c r="CA133" s="52">
        <f>SUM($CA$16,$CA$21,$CA$26,$CA$31,$CA$36,$CA$41,$CA$46,$CA$51,$CA$56,$CA$61,$CA$66,$CA$71,$CA$76,$CA$81,$CA$86,$CA$91,$CA$96,$CA$101,$CA$106,$CA$111,$CA$116,$CA$121,$CA$126,$CA$131)</f>
        <v>43</v>
      </c>
      <c r="CB133" s="52">
        <f>SUM($CB$16,$CB$21,$CB$26,$CB$31,$CB$36,$CB$41,$CB$46,$CB$51,$CB$56,$CB$61,$CB$66,$CB$71,$CB$76,$CB$81,$CB$86,$CB$91,$CB$96,$CB$101,$CB$106,$CB$111,$CB$116,$CB$121,$CB$126,$CB$131)</f>
        <v>4</v>
      </c>
      <c r="CC133" s="52">
        <f>SUM($CC$16,$CC$21,$CC$26,$CC$31,$CC$36,$CC$41,$CC$46,$CC$51,$CC$56,$CC$61,$CC$66,$CC$71,$CC$76,$CC$81,$CC$86,$CC$91,$CC$96,$CC$101,$CC$106,$CC$111,$CC$116,$CC$121,$CC$126,$CC$131)</f>
        <v>51</v>
      </c>
      <c r="CD133" s="52">
        <f>SUM($CD$16,$CD$21,$CD$26,$CD$31,$CD$36,$CD$41,$CD$46,$CD$51,$CD$56,$CD$61,$CD$66,$CD$71,$CD$76,$CD$81,$CD$86,$CD$91,$CD$96,$CD$101,$CD$106,$CD$111,$CD$116,$CD$121,$CD$126,$CD$131)</f>
        <v>310</v>
      </c>
      <c r="CE133" s="52">
        <f>SUM($CE$16,$CE$21,$CE$26,$CE$31,$CE$36,$CE$41,$CE$46,$CE$51,$CE$56,$CE$61,$CE$66,$CE$71,$CE$76,$CE$81,$CE$86,$CE$91,$CE$96,$CE$101,$CE$106,$CE$111,$CE$116,$CE$121,$CE$126,$CE$131)</f>
        <v>34</v>
      </c>
      <c r="CF133" s="52">
        <f>SUM($CF$16,$CF$21,$CF$26,$CF$31,$CF$36,$CF$41,$CF$46,$CF$51,$CF$56,$CF$61,$CF$66,$CF$71,$CF$76,$CF$81,$CF$86,$CF$91,$CF$96,$CF$101,$CF$106,$CF$111,$CF$116,$CF$121,$CF$126,$CF$131)</f>
        <v>4</v>
      </c>
      <c r="CG133" s="52">
        <f>SUM($CG$16,$CG$21,$CG$26,$CG$31,$CG$36,$CG$41,$CG$46,$CG$51,$CG$56,$CG$61,$CG$66,$CG$71,$CG$76,$CG$81,$CG$86,$CG$91,$CG$96,$CG$101,$CG$106,$CG$111,$CG$116,$CG$121,$CG$126,$CG$131)</f>
        <v>3022</v>
      </c>
      <c r="CH133" s="52">
        <f>SUM($CH$16,$CH$21,$CH$26,$CH$31,$CH$36,$CH$41,$CH$46,$CH$51,$CH$56,$CH$61,$CH$66,$CH$71,$CH$76,$CH$81,$CH$86,$CH$91,$CH$96,$CH$101,$CH$106,$CH$111,$CH$116,$CH$121,$CH$126,$CH$131)</f>
        <v>331</v>
      </c>
      <c r="CI133" s="52">
        <f>SUM($CI$16,$CI$21,$CI$26,$CI$31,$CI$36,$CI$41,$CI$46,$CI$51,$CI$56,$CI$61,$CI$66,$CI$71,$CI$76,$CI$81,$CI$86,$CI$91,$CI$96,$CI$101,$CI$106,$CI$111,$CI$116,$CI$121,$CI$126,$CI$131)</f>
        <v>69</v>
      </c>
      <c r="CJ133" s="52">
        <f>SUM($CJ$16,$CJ$21,$CJ$26,$CJ$31,$CJ$36,$CJ$41,$CJ$46,$CJ$51,$CJ$56,$CJ$61,$CJ$66,$CJ$71,$CJ$76,$CJ$81,$CJ$86,$CJ$91,$CJ$96,$CJ$101,$CJ$106,$CJ$111,$CJ$116,$CJ$121,$CJ$126,$CJ$131)</f>
        <v>9</v>
      </c>
      <c r="CK133" s="52">
        <f>SUM($CK$16,$CK$21,$CK$26,$CK$31,$CK$36,$CK$41,$CK$46,$CK$51,$CK$56,$CK$61,$CK$66,$CK$71,$CK$76,$CK$81,$CK$86,$CK$91,$CK$96,$CK$101,$CK$106,$CK$111,$CK$116,$CK$121,$CK$126,$CK$131)</f>
        <v>102</v>
      </c>
      <c r="CL133" s="52">
        <f>SUM($CL$16,$CL$21,$CL$26,$CL$31,$CL$36,$CL$41,$CL$46,$CL$51,$CL$56,$CL$61,$CL$66,$CL$71,$CL$76,$CL$81,$CL$86,$CL$91,$CL$96,$CL$101,$CL$106,$CL$111,$CL$116,$CL$121,$CL$126,$CL$131)</f>
        <v>61</v>
      </c>
      <c r="CM133" s="52">
        <f>SUM($CM$16,$CM$21,$CM$26,$CM$31,$CM$36,$CM$41,$CM$46,$CM$51,$CM$56,$CM$61,$CM$66,$CM$71,$CM$76,$CM$81,$CM$86,$CM$91,$CM$96,$CM$101,$CM$106,$CM$111,$CM$116,$CM$121,$CM$126,$CM$131)</f>
        <v>10</v>
      </c>
      <c r="CN133" s="52">
        <f>SUM($CN$16,$CN$21,$CN$26,$CN$31,$CN$36,$CN$41,$CN$46,$CN$51,$CN$56,$CN$61,$CN$66,$CN$71,$CN$76,$CN$81,$CN$86,$CN$91,$CN$96,$CN$101,$CN$106,$CN$111,$CN$116,$CN$121,$CN$126,$CN$131)</f>
        <v>8</v>
      </c>
      <c r="CO133" s="52">
        <f>SUM($CO$16,$CO$21,$CO$26,$CO$31,$CO$36,$CO$41,$CO$46,$CO$51,$CO$56,$CO$61,$CO$66,$CO$71,$CO$76,$CO$81,$CO$86,$CO$91,$CO$96,$CO$101,$CO$106,$CO$111,$CO$116,$CO$121,$CO$126,$CO$131)</f>
        <v>3612</v>
      </c>
      <c r="CP133" s="52">
        <f>SUM($CP$16,$CP$21,$CP$26,$CP$31,$CP$36,$CP$41,$CP$46,$CP$51,$CP$56,$CP$61,$CP$66,$CP$71,$CP$76,$CP$81,$CP$86,$CP$91,$CP$96,$CP$101,$CP$106,$CP$111,$CP$116,$CP$121,$CP$126,$CP$131)</f>
        <v>3799</v>
      </c>
      <c r="CQ133" s="52">
        <f>SUM($CQ$16,$CQ$21,$CQ$26,$CQ$31,$CQ$36,$CQ$41,$CQ$46,$CQ$51,$CQ$56,$CQ$61,$CQ$66,$CQ$71,$CQ$76,$CQ$81,$CQ$86,$CQ$91,$CQ$96,$CQ$101,$CQ$106,$CQ$111,$CQ$116,$CQ$121,$CQ$126,$CQ$131)</f>
        <v>3204</v>
      </c>
      <c r="CR133" s="52">
        <f>SUM($CR$16,$CR$21,$CR$26,$CR$31,$CR$36,$CR$41,$CR$46,$CR$51,$CR$56,$CR$61,$CR$66,$CR$71,$CR$76,$CR$81,$CR$86,$CR$91,$CR$96,$CR$101,$CR$106,$CR$111,$CR$116,$CR$121,$CR$126,$CR$131)</f>
        <v>364</v>
      </c>
      <c r="CS133" s="52">
        <f>SUM($CS$16,$CS$21,$CS$26,$CS$31,$CS$36,$CS$41,$CS$46,$CS$51,$CS$56,$CS$61,$CS$66,$CS$71,$CS$76,$CS$81,$CS$86,$CS$91,$CS$96,$CS$101,$CS$106,$CS$111,$CS$116,$CS$121,$CS$126,$CS$131)</f>
        <v>37</v>
      </c>
      <c r="CT133" s="52">
        <f>SUM($CT$16,$CT$21,$CT$26,$CT$31,$CT$36,$CT$41,$CT$46,$CT$51,$CT$56,$CT$61,$CT$66,$CT$71,$CT$76,$CT$81,$CT$86,$CT$91,$CT$96,$CT$101,$CT$106,$CT$111,$CT$116,$CT$121,$CT$126,$CT$131)</f>
        <v>3</v>
      </c>
      <c r="CU133" s="52">
        <f>SUM($CU$16,$CU$21,$CU$26,$CU$31,$CU$36,$CU$41,$CU$46,$CU$51,$CU$56,$CU$61,$CU$66,$CU$71,$CU$76,$CU$81,$CU$86,$CU$91,$CU$96,$CU$101,$CU$106,$CU$111,$CU$116,$CU$121,$CU$126,$CU$131)</f>
        <v>49</v>
      </c>
      <c r="CV133" s="52">
        <f>SUM($CV$16,$CV$21,$CV$26,$CV$31,$CV$36,$CV$41,$CV$46,$CV$51,$CV$56,$CV$61,$CV$66,$CV$71,$CV$76,$CV$81,$CV$86,$CV$91,$CV$96,$CV$101,$CV$106,$CV$111,$CV$116,$CV$121,$CV$126,$CV$131)</f>
        <v>331</v>
      </c>
      <c r="CW133" s="52">
        <f>SUM($CW$16,$CW$21,$CW$26,$CW$31,$CW$36,$CW$41,$CW$46,$CW$51,$CW$56,$CW$61,$CW$66,$CW$71,$CW$76,$CW$81,$CW$86,$CW$91,$CW$96,$CW$101,$CW$106,$CW$111,$CW$116,$CW$121,$CW$126,$CW$131)</f>
        <v>46</v>
      </c>
      <c r="CX133" s="52">
        <f>SUM($CX$16,$CX$21,$CX$26,$CX$31,$CX$36,$CX$41,$CX$46,$CX$51,$CX$56,$CX$61,$CX$66,$CX$71,$CX$76,$CX$81,$CX$86,$CX$91,$CX$96,$CX$101,$CX$106,$CX$111,$CX$116,$CX$121,$CX$126,$CX$131)</f>
        <v>7</v>
      </c>
      <c r="CY133" s="52">
        <f>SUM($CY$16,$CY$21,$CY$26,$CY$31,$CY$36,$CY$41,$CY$46,$CY$51,$CY$56,$CY$61,$CY$66,$CY$71,$CY$76,$CY$81,$CY$86,$CY$91,$CY$96,$CY$101,$CY$106,$CY$111,$CY$116,$CY$121,$CY$126,$CY$131)</f>
        <v>3204</v>
      </c>
      <c r="CZ133" s="52">
        <f>SUM($CZ$16,$CZ$21,$CZ$26,$CZ$31,$CZ$36,$CZ$41,$CZ$46,$CZ$51,$CZ$56,$CZ$61,$CZ$66,$CZ$71,$CZ$76,$CZ$81,$CZ$86,$CZ$91,$CZ$96,$CZ$101,$CZ$106,$CZ$111,$CZ$116,$CZ$121,$CZ$126,$CZ$131)</f>
        <v>364</v>
      </c>
      <c r="DA133" s="52">
        <f>SUM($DA$16,$DA$21,$DA$26,$DA$31,$DA$36,$DA$41,$DA$46,$DA$51,$DA$56,$DA$61,$DA$66,$DA$71,$DA$76,$DA$81,$DA$86,$DA$91,$DA$96,$DA$101,$DA$106,$DA$111,$DA$116,$DA$121,$DA$126,$DA$131)</f>
        <v>61</v>
      </c>
      <c r="DB133" s="52">
        <f>SUM($DB$16,$DB$21,$DB$26,$DB$31,$DB$36,$DB$41,$DB$46,$DB$51,$DB$56,$DB$61,$DB$66,$DB$71,$DB$76,$DB$81,$DB$86,$DB$91,$DB$96,$DB$101,$DB$106,$DB$111,$DB$116,$DB$121,$DB$126,$DB$131)</f>
        <v>7</v>
      </c>
      <c r="DC133" s="52">
        <f>SUM($DC$16,$DC$21,$DC$26,$DC$31,$DC$36,$DC$41,$DC$46,$DC$51,$DC$56,$DC$61,$DC$66,$DC$71,$DC$76,$DC$81,$DC$86,$DC$91,$DC$96,$DC$101,$DC$106,$DC$111,$DC$116,$DC$121,$DC$126,$DC$131)</f>
        <v>98</v>
      </c>
      <c r="DD133" s="52">
        <f>SUM($DD$16,$DD$21,$DD$26,$DD$31,$DD$36,$DD$41,$DD$46,$DD$51,$DD$56,$DD$61,$DD$66,$DD$71,$DD$76,$DD$81,$DD$86,$DD$91,$DD$96,$DD$101,$DD$106,$DD$111,$DD$116,$DD$121,$DD$126,$DD$131)</f>
        <v>66</v>
      </c>
      <c r="DE133" s="52">
        <f>SUM($DE$16,$DE$21,$DE$26,$DE$31,$DE$36,$DE$41,$DE$46,$DE$51,$DE$56,$DE$61,$DE$66,$DE$71,$DE$76,$DE$81,$DE$86,$DE$91,$DE$96,$DE$101,$DE$106,$DE$111,$DE$116,$DE$121,$DE$126,$DE$131)</f>
        <v>17</v>
      </c>
      <c r="DF133" s="52">
        <f>SUM($DF$16,$DF$21,$DF$26,$DF$31,$DF$36,$DF$41,$DF$46,$DF$51,$DF$56,$DF$61,$DF$66,$DF$71,$DF$76,$DF$81,$DF$86,$DF$91,$DF$96,$DF$101,$DF$106,$DF$111,$DF$116,$DF$121,$DF$126,$DF$131)</f>
        <v>11</v>
      </c>
      <c r="DG133" s="52">
        <f>SUM($DG$16,$DG$21,$DG$26,$DG$31,$DG$36,$DG$41,$DG$46,$DG$51,$DG$56,$DG$61,$DG$66,$DG$71,$DG$76,$DG$81,$DG$86,$DG$91,$DG$96,$DG$101,$DG$106,$DG$111,$DG$116,$DG$121,$DG$126,$DG$131)</f>
        <v>3828</v>
      </c>
      <c r="DH133" s="52">
        <f>SUM($DH$16,$DH$21,$DH$26,$DH$31,$DH$36,$DH$41,$DH$46,$DH$51,$DH$56,$DH$61,$DH$66,$DH$71,$DH$76,$DH$81,$DH$86,$DH$91,$DH$96,$DH$101,$DH$106,$DH$111,$DH$116,$DH$121,$DH$126,$DH$131)</f>
        <v>4041</v>
      </c>
    </row>
  </sheetData>
  <sheetProtection sheet="1" objects="1" selectLockedCell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H133"/>
  <sheetViews>
    <sheetView showGridLines="0" showRowColHeaders="0" zoomScale="80" zoomScaleNormal="80" workbookViewId="0">
      <pane xSplit="2" ySplit="11" topLeftCell="C12" activePane="bottomRight" state="frozen"/>
      <selection pane="topRight"/>
      <selection pane="bottomLeft"/>
      <selection pane="bottomRight" activeCell="C12" sqref="C12"/>
    </sheetView>
  </sheetViews>
  <sheetFormatPr defaultColWidth="9" defaultRowHeight="14.4"/>
  <cols>
    <col min="1" max="1" width="9" hidden="1" customWidth="1"/>
    <col min="2" max="2" width="15.6640625" customWidth="1"/>
    <col min="3" max="10" width="16.6640625" customWidth="1"/>
    <col min="11" max="18" width="9" hidden="1" customWidth="1"/>
    <col min="21" max="28" width="16.6640625" customWidth="1"/>
    <col min="29" max="36" width="9" hidden="1" customWidth="1"/>
    <col min="39" max="46" width="16.6640625" customWidth="1"/>
    <col min="47" max="54" width="9" hidden="1" customWidth="1"/>
    <col min="57" max="64" width="16.6640625" customWidth="1"/>
    <col min="65" max="72" width="9" hidden="1" customWidth="1"/>
    <col min="76" max="76" width="15.6640625" customWidth="1"/>
    <col min="77" max="84" width="16.6640625" customWidth="1"/>
    <col min="85" max="92" width="9" hidden="1" customWidth="1"/>
    <col min="95" max="102" width="16.6640625" customWidth="1"/>
    <col min="103" max="110" width="9" hidden="1" customWidth="1"/>
  </cols>
  <sheetData>
    <row r="2" spans="1:112" ht="37.950000000000003" customHeight="1"/>
    <row r="3" spans="1:112" ht="33" customHeight="1">
      <c r="B3" s="4" t="s">
        <v>9</v>
      </c>
    </row>
    <row r="4" spans="1:112" ht="15" customHeight="1">
      <c r="B4" s="5" t="s">
        <v>1</v>
      </c>
    </row>
    <row r="5" spans="1:112" ht="15.75" customHeight="1"/>
    <row r="6" spans="1:112" ht="21" customHeight="1">
      <c r="B6" s="6" t="s">
        <v>2</v>
      </c>
      <c r="C6" s="7" t="s">
        <v>3</v>
      </c>
    </row>
    <row r="8" spans="1:112" ht="21" customHeight="1">
      <c r="B8" s="6" t="s">
        <v>20</v>
      </c>
      <c r="C8" s="43" t="s">
        <v>142</v>
      </c>
    </row>
    <row r="9" spans="1:112" ht="15.75" customHeight="1"/>
    <row r="10" spans="1:112" ht="21" customHeight="1">
      <c r="C10" s="100" t="s">
        <v>143</v>
      </c>
      <c r="D10" s="100"/>
      <c r="E10" s="100"/>
      <c r="F10" s="100"/>
      <c r="G10" s="100"/>
      <c r="H10" s="100"/>
      <c r="I10" s="100"/>
      <c r="J10" s="100"/>
      <c r="K10" s="101"/>
      <c r="L10" s="101"/>
      <c r="M10" s="101"/>
      <c r="N10" s="101"/>
      <c r="O10" s="101"/>
      <c r="P10" s="101"/>
      <c r="Q10" s="101"/>
      <c r="R10" s="101"/>
      <c r="S10" s="100"/>
      <c r="T10" s="102"/>
      <c r="U10" s="100" t="s">
        <v>144</v>
      </c>
      <c r="V10" s="100"/>
      <c r="W10" s="100"/>
      <c r="X10" s="100"/>
      <c r="Y10" s="100"/>
      <c r="Z10" s="100"/>
      <c r="AA10" s="100"/>
      <c r="AB10" s="100"/>
      <c r="AC10" s="101"/>
      <c r="AD10" s="101"/>
      <c r="AE10" s="101"/>
      <c r="AF10" s="101"/>
      <c r="AG10" s="101"/>
      <c r="AH10" s="101"/>
      <c r="AI10" s="101"/>
      <c r="AJ10" s="101"/>
      <c r="AK10" s="100"/>
      <c r="AL10" s="102"/>
      <c r="AM10" s="100" t="s">
        <v>145</v>
      </c>
      <c r="AN10" s="100"/>
      <c r="AO10" s="100"/>
      <c r="AP10" s="100"/>
      <c r="AQ10" s="100"/>
      <c r="AR10" s="100"/>
      <c r="AS10" s="100"/>
      <c r="AT10" s="100"/>
      <c r="AU10" s="101"/>
      <c r="AV10" s="101"/>
      <c r="AW10" s="101"/>
      <c r="AX10" s="101"/>
      <c r="AY10" s="101"/>
      <c r="AZ10" s="101"/>
      <c r="BA10" s="101"/>
      <c r="BB10" s="101"/>
      <c r="BC10" s="100"/>
      <c r="BD10" s="102"/>
      <c r="BE10" s="100" t="s">
        <v>146</v>
      </c>
      <c r="BF10" s="100"/>
      <c r="BG10" s="100"/>
      <c r="BH10" s="100"/>
      <c r="BI10" s="100"/>
      <c r="BJ10" s="100"/>
      <c r="BK10" s="100"/>
      <c r="BL10" s="100"/>
      <c r="BM10" s="101"/>
      <c r="BN10" s="101"/>
      <c r="BO10" s="101"/>
      <c r="BP10" s="101"/>
      <c r="BQ10" s="101"/>
      <c r="BR10" s="101"/>
      <c r="BS10" s="101"/>
      <c r="BT10" s="101"/>
      <c r="BU10" s="100"/>
      <c r="BV10" s="100"/>
      <c r="BY10" s="100" t="s">
        <v>147</v>
      </c>
      <c r="BZ10" s="100"/>
      <c r="CA10" s="100"/>
      <c r="CB10" s="100"/>
      <c r="CC10" s="100"/>
      <c r="CD10" s="100"/>
      <c r="CE10" s="100"/>
      <c r="CF10" s="100"/>
      <c r="CG10" s="101"/>
      <c r="CH10" s="101"/>
      <c r="CI10" s="101"/>
      <c r="CJ10" s="101"/>
      <c r="CK10" s="101"/>
      <c r="CL10" s="101"/>
      <c r="CM10" s="101"/>
      <c r="CN10" s="101"/>
      <c r="CO10" s="100"/>
      <c r="CP10" s="102"/>
      <c r="CQ10" s="100" t="s">
        <v>148</v>
      </c>
      <c r="CR10" s="100"/>
      <c r="CS10" s="100"/>
      <c r="CT10" s="100"/>
      <c r="CU10" s="100"/>
      <c r="CV10" s="100"/>
      <c r="CW10" s="100"/>
      <c r="CX10" s="100"/>
      <c r="CY10" s="101"/>
      <c r="CZ10" s="101"/>
      <c r="DA10" s="101"/>
      <c r="DB10" s="101"/>
      <c r="DC10" s="101"/>
      <c r="DD10" s="101"/>
      <c r="DE10" s="101"/>
      <c r="DF10" s="101"/>
      <c r="DG10" s="100"/>
      <c r="DH10" s="100"/>
    </row>
    <row r="11" spans="1:112" ht="33" customHeight="1">
      <c r="B11" s="44" t="s">
        <v>28</v>
      </c>
      <c r="C11" s="45" t="s">
        <v>12</v>
      </c>
      <c r="D11" s="45" t="s">
        <v>13</v>
      </c>
      <c r="E11" s="45" t="s">
        <v>14</v>
      </c>
      <c r="F11" s="45" t="s">
        <v>15</v>
      </c>
      <c r="G11" s="45" t="s">
        <v>16</v>
      </c>
      <c r="H11" s="45" t="s">
        <v>17</v>
      </c>
      <c r="I11" s="45" t="s">
        <v>18</v>
      </c>
      <c r="J11" s="45" t="s">
        <v>19</v>
      </c>
      <c r="S11" s="63" t="s">
        <v>11</v>
      </c>
      <c r="T11" s="64" t="s">
        <v>29</v>
      </c>
      <c r="U11" s="45" t="s">
        <v>12</v>
      </c>
      <c r="V11" s="45" t="s">
        <v>13</v>
      </c>
      <c r="W11" s="45" t="s">
        <v>14</v>
      </c>
      <c r="X11" s="45" t="s">
        <v>15</v>
      </c>
      <c r="Y11" s="45" t="s">
        <v>16</v>
      </c>
      <c r="Z11" s="45" t="s">
        <v>17</v>
      </c>
      <c r="AA11" s="45" t="s">
        <v>18</v>
      </c>
      <c r="AB11" s="45" t="s">
        <v>19</v>
      </c>
      <c r="AK11" s="63" t="s">
        <v>11</v>
      </c>
      <c r="AL11" s="64" t="s">
        <v>29</v>
      </c>
      <c r="AM11" s="45" t="s">
        <v>12</v>
      </c>
      <c r="AN11" s="45" t="s">
        <v>13</v>
      </c>
      <c r="AO11" s="45" t="s">
        <v>14</v>
      </c>
      <c r="AP11" s="45" t="s">
        <v>15</v>
      </c>
      <c r="AQ11" s="45" t="s">
        <v>16</v>
      </c>
      <c r="AR11" s="45" t="s">
        <v>17</v>
      </c>
      <c r="AS11" s="45" t="s">
        <v>18</v>
      </c>
      <c r="AT11" s="45" t="s">
        <v>19</v>
      </c>
      <c r="BC11" s="63" t="s">
        <v>11</v>
      </c>
      <c r="BD11" s="64" t="s">
        <v>29</v>
      </c>
      <c r="BE11" s="45" t="s">
        <v>12</v>
      </c>
      <c r="BF11" s="45" t="s">
        <v>13</v>
      </c>
      <c r="BG11" s="45" t="s">
        <v>14</v>
      </c>
      <c r="BH11" s="45" t="s">
        <v>15</v>
      </c>
      <c r="BI11" s="45" t="s">
        <v>16</v>
      </c>
      <c r="BJ11" s="45" t="s">
        <v>17</v>
      </c>
      <c r="BK11" s="45" t="s">
        <v>18</v>
      </c>
      <c r="BL11" s="45" t="s">
        <v>19</v>
      </c>
      <c r="BU11" s="63" t="s">
        <v>11</v>
      </c>
      <c r="BV11" s="34" t="s">
        <v>29</v>
      </c>
      <c r="BX11" s="44" t="s">
        <v>28</v>
      </c>
      <c r="BY11" s="45" t="s">
        <v>12</v>
      </c>
      <c r="BZ11" s="45" t="s">
        <v>13</v>
      </c>
      <c r="CA11" s="45" t="s">
        <v>14</v>
      </c>
      <c r="CB11" s="45" t="s">
        <v>15</v>
      </c>
      <c r="CC11" s="45" t="s">
        <v>16</v>
      </c>
      <c r="CD11" s="45" t="s">
        <v>17</v>
      </c>
      <c r="CE11" s="45" t="s">
        <v>18</v>
      </c>
      <c r="CF11" s="45" t="s">
        <v>19</v>
      </c>
      <c r="CO11" s="63" t="s">
        <v>11</v>
      </c>
      <c r="CP11" s="64" t="s">
        <v>29</v>
      </c>
      <c r="CQ11" s="45" t="s">
        <v>12</v>
      </c>
      <c r="CR11" s="45" t="s">
        <v>13</v>
      </c>
      <c r="CS11" s="45" t="s">
        <v>14</v>
      </c>
      <c r="CT11" s="45" t="s">
        <v>15</v>
      </c>
      <c r="CU11" s="45" t="s">
        <v>16</v>
      </c>
      <c r="CV11" s="45" t="s">
        <v>17</v>
      </c>
      <c r="CW11" s="45" t="s">
        <v>18</v>
      </c>
      <c r="CX11" s="45" t="s">
        <v>19</v>
      </c>
      <c r="DG11" s="63" t="s">
        <v>11</v>
      </c>
      <c r="DH11" s="34" t="s">
        <v>29</v>
      </c>
    </row>
    <row r="12" spans="1:112" ht="21" customHeight="1">
      <c r="A12" s="46">
        <v>44395</v>
      </c>
      <c r="B12" s="47" t="s">
        <v>30</v>
      </c>
      <c r="C12" s="48">
        <v>1</v>
      </c>
      <c r="D12" s="48">
        <v>0</v>
      </c>
      <c r="E12" s="48">
        <v>0</v>
      </c>
      <c r="F12" s="48">
        <v>0</v>
      </c>
      <c r="G12" s="48">
        <v>0</v>
      </c>
      <c r="H12" s="48">
        <v>0</v>
      </c>
      <c r="I12" s="48">
        <v>0</v>
      </c>
      <c r="J12" s="56">
        <v>0</v>
      </c>
      <c r="K12" s="57">
        <f>$C$12*VLOOKUP($C$11,'PCU Values'!$B$9:$C$16,2,FALSE)</f>
        <v>1</v>
      </c>
      <c r="L12" s="57">
        <f>$D$12*VLOOKUP($D$11,'PCU Values'!$B$9:$C$16,2,FALSE)</f>
        <v>0</v>
      </c>
      <c r="M12" s="57">
        <f>$E$12*VLOOKUP($E$11,'PCU Values'!$B$9:$C$16,2,FALSE)</f>
        <v>0</v>
      </c>
      <c r="N12" s="57">
        <f>$F$12*VLOOKUP($F$11,'PCU Values'!$B$9:$C$16,2,FALSE)</f>
        <v>0</v>
      </c>
      <c r="O12" s="57">
        <f>$G$12*VLOOKUP($G$11,'PCU Values'!$B$9:$C$16,2,FALSE)</f>
        <v>0</v>
      </c>
      <c r="P12" s="57">
        <f>$H$12*VLOOKUP($H$11,'PCU Values'!$B$9:$C$16,2,FALSE)</f>
        <v>0</v>
      </c>
      <c r="Q12" s="57">
        <f>$I$12*VLOOKUP($I$11,'PCU Values'!$B$9:$C$16,2,FALSE)</f>
        <v>0</v>
      </c>
      <c r="R12" s="65">
        <f>$J$12*VLOOKUP($J$11,'PCU Values'!$B$9:$C$16,2,FALSE)</f>
        <v>0</v>
      </c>
      <c r="S12" s="66">
        <f>SUM($K$12,$L$12,$M$12,$N$12,$O$12,$P$12,$Q$12,$R$12)</f>
        <v>1</v>
      </c>
      <c r="T12" s="52">
        <f>SUM($C$12,$D$12,$E$12,$F$12,$G$12,$H$12,$I$12,$J$12)</f>
        <v>1</v>
      </c>
      <c r="U12" s="67">
        <v>1</v>
      </c>
      <c r="V12" s="48">
        <v>0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56">
        <v>0</v>
      </c>
      <c r="AC12" s="57">
        <f>$U$12*VLOOKUP($U$11,'PCU Values'!$B$9:$C$16,2,FALSE)</f>
        <v>1</v>
      </c>
      <c r="AD12" s="57">
        <f>$V$12*VLOOKUP($V$11,'PCU Values'!$B$9:$C$16,2,FALSE)</f>
        <v>0</v>
      </c>
      <c r="AE12" s="57">
        <f>$W$12*VLOOKUP($W$11,'PCU Values'!$B$9:$C$16,2,FALSE)</f>
        <v>0</v>
      </c>
      <c r="AF12" s="57">
        <f>$X$12*VLOOKUP($X$11,'PCU Values'!$B$9:$C$16,2,FALSE)</f>
        <v>0</v>
      </c>
      <c r="AG12" s="57">
        <f>$Y$12*VLOOKUP($Y$11,'PCU Values'!$B$9:$C$16,2,FALSE)</f>
        <v>0</v>
      </c>
      <c r="AH12" s="57">
        <f>$Z$12*VLOOKUP($Z$11,'PCU Values'!$B$9:$C$16,2,FALSE)</f>
        <v>0</v>
      </c>
      <c r="AI12" s="57">
        <f>$AA$12*VLOOKUP($AA$11,'PCU Values'!$B$9:$C$16,2,FALSE)</f>
        <v>0</v>
      </c>
      <c r="AJ12" s="65">
        <f>$AB$12*VLOOKUP($AB$11,'PCU Values'!$B$9:$C$16,2,FALSE)</f>
        <v>0</v>
      </c>
      <c r="AK12" s="66">
        <f>SUM($AC$12,$AD$12,$AE$12,$AF$12,$AG$12,$AH$12,$AI$12,$AJ$12)</f>
        <v>1</v>
      </c>
      <c r="AL12" s="52">
        <f>SUM($U$12,$V$12,$W$12,$X$12,$Y$12,$Z$12,$AA$12,$AB$12)</f>
        <v>1</v>
      </c>
      <c r="AM12" s="67">
        <v>0</v>
      </c>
      <c r="AN12" s="48">
        <v>0</v>
      </c>
      <c r="AO12" s="48">
        <v>0</v>
      </c>
      <c r="AP12" s="48">
        <v>0</v>
      </c>
      <c r="AQ12" s="48">
        <v>0</v>
      </c>
      <c r="AR12" s="48">
        <v>0</v>
      </c>
      <c r="AS12" s="48">
        <v>0</v>
      </c>
      <c r="AT12" s="56">
        <v>0</v>
      </c>
      <c r="AU12" s="57">
        <f>$AM$12*VLOOKUP($AM$11,'PCU Values'!$B$9:$C$16,2,FALSE)</f>
        <v>0</v>
      </c>
      <c r="AV12" s="57">
        <f>$AN$12*VLOOKUP($AN$11,'PCU Values'!$B$9:$C$16,2,FALSE)</f>
        <v>0</v>
      </c>
      <c r="AW12" s="57">
        <f>$AO$12*VLOOKUP($AO$11,'PCU Values'!$B$9:$C$16,2,FALSE)</f>
        <v>0</v>
      </c>
      <c r="AX12" s="57">
        <f>$AP$12*VLOOKUP($AP$11,'PCU Values'!$B$9:$C$16,2,FALSE)</f>
        <v>0</v>
      </c>
      <c r="AY12" s="57">
        <f>$AQ$12*VLOOKUP($AQ$11,'PCU Values'!$B$9:$C$16,2,FALSE)</f>
        <v>0</v>
      </c>
      <c r="AZ12" s="57">
        <f>$AR$12*VLOOKUP($AR$11,'PCU Values'!$B$9:$C$16,2,FALSE)</f>
        <v>0</v>
      </c>
      <c r="BA12" s="57">
        <f>$AS$12*VLOOKUP($AS$11,'PCU Values'!$B$9:$C$16,2,FALSE)</f>
        <v>0</v>
      </c>
      <c r="BB12" s="65">
        <f>$AT$12*VLOOKUP($AT$11,'PCU Values'!$B$9:$C$16,2,FALSE)</f>
        <v>0</v>
      </c>
      <c r="BC12" s="66">
        <f>SUM($AU$12,$AV$12,$AW$12,$AX$12,$AY$12,$AZ$12,$BA$12,$BB$12)</f>
        <v>0</v>
      </c>
      <c r="BD12" s="52">
        <f>SUM($AM$12,$AN$12,$AO$12,$AP$12,$AQ$12,$AR$12,$AS$12,$AT$12)</f>
        <v>0</v>
      </c>
      <c r="BE12" s="67">
        <v>0</v>
      </c>
      <c r="BF12" s="48">
        <v>0</v>
      </c>
      <c r="BG12" s="48">
        <v>0</v>
      </c>
      <c r="BH12" s="48">
        <v>0</v>
      </c>
      <c r="BI12" s="48">
        <v>0</v>
      </c>
      <c r="BJ12" s="48">
        <v>0</v>
      </c>
      <c r="BK12" s="48">
        <v>0</v>
      </c>
      <c r="BL12" s="56">
        <v>0</v>
      </c>
      <c r="BM12" s="77">
        <f>$BE$12*VLOOKUP($BE$11,'PCU Values'!$B$9:$C$16,2,FALSE)</f>
        <v>0</v>
      </c>
      <c r="BN12" s="77">
        <f>$BF$12*VLOOKUP($BF$11,'PCU Values'!$B$9:$C$16,2,FALSE)</f>
        <v>0</v>
      </c>
      <c r="BO12" s="77">
        <f>$BG$12*VLOOKUP($BG$11,'PCU Values'!$B$9:$C$16,2,FALSE)</f>
        <v>0</v>
      </c>
      <c r="BP12" s="77">
        <f>$BH$12*VLOOKUP($BH$11,'PCU Values'!$B$9:$C$16,2,FALSE)</f>
        <v>0</v>
      </c>
      <c r="BQ12" s="77">
        <f>$BI$12*VLOOKUP($BI$11,'PCU Values'!$B$9:$C$16,2,FALSE)</f>
        <v>0</v>
      </c>
      <c r="BR12" s="77">
        <f>$BJ$12*VLOOKUP($BJ$11,'PCU Values'!$B$9:$C$16,2,FALSE)</f>
        <v>0</v>
      </c>
      <c r="BS12" s="77">
        <f>$BK$12*VLOOKUP($BK$11,'PCU Values'!$B$9:$C$16,2,FALSE)</f>
        <v>0</v>
      </c>
      <c r="BT12" s="78">
        <f>$BL$12*VLOOKUP($BL$11,'PCU Values'!$B$9:$C$16,2,FALSE)</f>
        <v>0</v>
      </c>
      <c r="BU12" s="66">
        <f>SUM($BM$12,$BN$12,$BO$12,$BP$12,$BQ$12,$BR$12,$BS$12,$BT$12)</f>
        <v>0</v>
      </c>
      <c r="BV12" s="52">
        <f>SUM($BE$12,$BF$12,$BG$12,$BH$12,$BI$12,$BJ$12,$BK$12,$BL$12)</f>
        <v>0</v>
      </c>
      <c r="BX12" s="47" t="s">
        <v>30</v>
      </c>
      <c r="BY12" s="83">
        <f>SUM($C$12,$U$12,$AM$12,$BE$12)</f>
        <v>2</v>
      </c>
      <c r="BZ12" s="83">
        <f>SUM($D$12,$V$12,$AN$12,$BF$12)</f>
        <v>0</v>
      </c>
      <c r="CA12" s="83">
        <f>SUM($E$12,$W$12,$AO$12,$BG$12)</f>
        <v>0</v>
      </c>
      <c r="CB12" s="83">
        <f>SUM($F$12,$X$12,$AP$12,$BH$12)</f>
        <v>0</v>
      </c>
      <c r="CC12" s="83">
        <f>SUM($G$12,$Y$12,$AQ$12,$BI$12)</f>
        <v>0</v>
      </c>
      <c r="CD12" s="83">
        <f>SUM($H$12,$Z$12,$AR$12,$BJ$12)</f>
        <v>0</v>
      </c>
      <c r="CE12" s="83">
        <f>SUM($I$12,$AA$12,$AS$12,$BK$12)</f>
        <v>0</v>
      </c>
      <c r="CF12" s="86">
        <f>SUM($J$12,$AB$12,$AT$12,$BL$12)</f>
        <v>0</v>
      </c>
      <c r="CG12" s="77">
        <f>$BY$12*VLOOKUP($BY$11,'PCU Values'!$B$9:$C$16,2,FALSE)</f>
        <v>2</v>
      </c>
      <c r="CH12" s="77">
        <f>$BZ$12*VLOOKUP($BZ$11,'PCU Values'!$B$9:$C$16,2,FALSE)</f>
        <v>0</v>
      </c>
      <c r="CI12" s="77">
        <f>$CA$12*VLOOKUP($CA$11,'PCU Values'!$B$9:$C$16,2,FALSE)</f>
        <v>0</v>
      </c>
      <c r="CJ12" s="77">
        <f>$CB$12*VLOOKUP($CB$11,'PCU Values'!$B$9:$C$16,2,FALSE)</f>
        <v>0</v>
      </c>
      <c r="CK12" s="77">
        <f>$CC$12*VLOOKUP($CC$11,'PCU Values'!$B$9:$C$16,2,FALSE)</f>
        <v>0</v>
      </c>
      <c r="CL12" s="77">
        <f>$CD$12*VLOOKUP($CD$11,'PCU Values'!$B$9:$C$16,2,FALSE)</f>
        <v>0</v>
      </c>
      <c r="CM12" s="77">
        <f>$CE$12*VLOOKUP($CE$11,'PCU Values'!$B$9:$C$16,2,FALSE)</f>
        <v>0</v>
      </c>
      <c r="CN12" s="78">
        <f>$CF$12*VLOOKUP($CF$11,'PCU Values'!$B$9:$C$16,2,FALSE)</f>
        <v>0</v>
      </c>
      <c r="CO12" s="66">
        <f>SUM($CG$12,$CH$12,$CI$12,$CJ$12,$CK$12,$CL$12,$CM$12,$CN$12)</f>
        <v>2</v>
      </c>
      <c r="CP12" s="52">
        <f>SUM($BY$12,$BZ$12,$CA$12,$CB$12,$CC$12,$CD$12,$CE$12,$CF$12)</f>
        <v>2</v>
      </c>
      <c r="CQ12" s="89">
        <f>SUM('J1 A - (North) Bishopthorpe Roa'!$AM$12,'J1 B - Butcher Terrace'!$U$12,'J1 C - (South) Bishopthorpe Roa'!$C$12,'J1 D - South Bank Avenue'!$BE$12)</f>
        <v>1</v>
      </c>
      <c r="CR12" s="83">
        <f>SUM('J1 A - (North) Bishopthorpe Roa'!$AN$12,'J1 B - Butcher Terrace'!$V$12,'J1 C - (South) Bishopthorpe Roa'!$D$12,'J1 D - South Bank Avenue'!$BF$12)</f>
        <v>0</v>
      </c>
      <c r="CS12" s="83">
        <f>SUM('J1 A - (North) Bishopthorpe Roa'!$AO$12,'J1 B - Butcher Terrace'!$W$12,'J1 C - (South) Bishopthorpe Roa'!$E$12,'J1 D - South Bank Avenue'!$BG$12)</f>
        <v>0</v>
      </c>
      <c r="CT12" s="83">
        <f>SUM('J1 A - (North) Bishopthorpe Roa'!$AP$12,'J1 B - Butcher Terrace'!$X$12,'J1 C - (South) Bishopthorpe Roa'!$F$12,'J1 D - South Bank Avenue'!$BH$12)</f>
        <v>0</v>
      </c>
      <c r="CU12" s="83">
        <f>SUM('J1 A - (North) Bishopthorpe Roa'!$AQ$12,'J1 B - Butcher Terrace'!$Y$12,'J1 C - (South) Bishopthorpe Roa'!$G$12,'J1 D - South Bank Avenue'!$BI$12)</f>
        <v>0</v>
      </c>
      <c r="CV12" s="83">
        <f>SUM('J1 A - (North) Bishopthorpe Roa'!$AR$12,'J1 B - Butcher Terrace'!$Z$12,'J1 C - (South) Bishopthorpe Roa'!$H$12,'J1 D - South Bank Avenue'!$BJ$12)</f>
        <v>1</v>
      </c>
      <c r="CW12" s="83">
        <f>SUM('J1 A - (North) Bishopthorpe Roa'!$AS$12,'J1 B - Butcher Terrace'!$AA$12,'J1 C - (South) Bishopthorpe Roa'!$I$12,'J1 D - South Bank Avenue'!$BK$12)</f>
        <v>0</v>
      </c>
      <c r="CX12" s="86">
        <f>SUM('J1 A - (North) Bishopthorpe Roa'!$AT$12,'J1 B - Butcher Terrace'!$AB$12,'J1 C - (South) Bishopthorpe Roa'!$J$12,'J1 D - South Bank Avenue'!$BL$12)</f>
        <v>0</v>
      </c>
      <c r="CY12" s="77">
        <f>$CQ$12*VLOOKUP($CQ$11,'PCU Values'!$B$9:$C$16,2,FALSE)</f>
        <v>1</v>
      </c>
      <c r="CZ12" s="77">
        <f>$CR$12*VLOOKUP($CR$11,'PCU Values'!$B$9:$C$16,2,FALSE)</f>
        <v>0</v>
      </c>
      <c r="DA12" s="77">
        <f>$CS$12*VLOOKUP($CS$11,'PCU Values'!$B$9:$C$16,2,FALSE)</f>
        <v>0</v>
      </c>
      <c r="DB12" s="77">
        <f>$CT$12*VLOOKUP($CT$11,'PCU Values'!$B$9:$C$16,2,FALSE)</f>
        <v>0</v>
      </c>
      <c r="DC12" s="77">
        <f>$CU$12*VLOOKUP($CU$11,'PCU Values'!$B$9:$C$16,2,FALSE)</f>
        <v>0</v>
      </c>
      <c r="DD12" s="77">
        <f>$CV$12*VLOOKUP($CV$11,'PCU Values'!$B$9:$C$16,2,FALSE)</f>
        <v>0.2</v>
      </c>
      <c r="DE12" s="77">
        <f>$CW$12*VLOOKUP($CW$11,'PCU Values'!$B$9:$C$16,2,FALSE)</f>
        <v>0</v>
      </c>
      <c r="DF12" s="78">
        <f>$CX$12*VLOOKUP($CX$11,'PCU Values'!$B$9:$C$16,2,FALSE)</f>
        <v>0</v>
      </c>
      <c r="DG12" s="66">
        <f>SUM($CY$12,$CZ$12,$DA$12,$DB$12,$DC$12,$DD$12,$DE$12,$DF$12)</f>
        <v>1.2</v>
      </c>
      <c r="DH12" s="52">
        <f>SUM($CQ$12,$CR$12,$CS$12,$CT$12,$CU$12,$CV$12,$CW$12,$CX$12)</f>
        <v>2</v>
      </c>
    </row>
    <row r="13" spans="1:112" ht="21" customHeight="1">
      <c r="A13" s="46">
        <v>44395.010416666701</v>
      </c>
      <c r="B13" s="47" t="s">
        <v>31</v>
      </c>
      <c r="C13" s="48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56">
        <v>0</v>
      </c>
      <c r="K13" s="57">
        <f>$C$13*VLOOKUP($C$11,'PCU Values'!$B$9:$C$16,2,FALSE)</f>
        <v>0</v>
      </c>
      <c r="L13" s="57">
        <f>$D$13*VLOOKUP($D$11,'PCU Values'!$B$9:$C$16,2,FALSE)</f>
        <v>0</v>
      </c>
      <c r="M13" s="57">
        <f>$E$13*VLOOKUP($E$11,'PCU Values'!$B$9:$C$16,2,FALSE)</f>
        <v>0</v>
      </c>
      <c r="N13" s="57">
        <f>$F$13*VLOOKUP($F$11,'PCU Values'!$B$9:$C$16,2,FALSE)</f>
        <v>0</v>
      </c>
      <c r="O13" s="57">
        <f>$G$13*VLOOKUP($G$11,'PCU Values'!$B$9:$C$16,2,FALSE)</f>
        <v>0</v>
      </c>
      <c r="P13" s="57">
        <f>$H$13*VLOOKUP($H$11,'PCU Values'!$B$9:$C$16,2,FALSE)</f>
        <v>0</v>
      </c>
      <c r="Q13" s="57">
        <f>$I$13*VLOOKUP($I$11,'PCU Values'!$B$9:$C$16,2,FALSE)</f>
        <v>0</v>
      </c>
      <c r="R13" s="65">
        <f>$J$13*VLOOKUP($J$11,'PCU Values'!$B$9:$C$16,2,FALSE)</f>
        <v>0</v>
      </c>
      <c r="S13" s="66">
        <f>SUM($K$13,$L$13,$M$13,$N$13,$O$13,$P$13,$Q$13,$R$13)</f>
        <v>0</v>
      </c>
      <c r="T13" s="52">
        <f>SUM($C$13,$D$13,$E$13,$F$13,$G$13,$H$13,$I$13,$J$13)</f>
        <v>0</v>
      </c>
      <c r="U13" s="67">
        <v>0</v>
      </c>
      <c r="V13" s="48">
        <v>0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56">
        <v>0</v>
      </c>
      <c r="AC13" s="57">
        <f>$U$13*VLOOKUP($U$11,'PCU Values'!$B$9:$C$16,2,FALSE)</f>
        <v>0</v>
      </c>
      <c r="AD13" s="57">
        <f>$V$13*VLOOKUP($V$11,'PCU Values'!$B$9:$C$16,2,FALSE)</f>
        <v>0</v>
      </c>
      <c r="AE13" s="57">
        <f>$W$13*VLOOKUP($W$11,'PCU Values'!$B$9:$C$16,2,FALSE)</f>
        <v>0</v>
      </c>
      <c r="AF13" s="57">
        <f>$X$13*VLOOKUP($X$11,'PCU Values'!$B$9:$C$16,2,FALSE)</f>
        <v>0</v>
      </c>
      <c r="AG13" s="57">
        <f>$Y$13*VLOOKUP($Y$11,'PCU Values'!$B$9:$C$16,2,FALSE)</f>
        <v>0</v>
      </c>
      <c r="AH13" s="57">
        <f>$Z$13*VLOOKUP($Z$11,'PCU Values'!$B$9:$C$16,2,FALSE)</f>
        <v>0</v>
      </c>
      <c r="AI13" s="57">
        <f>$AA$13*VLOOKUP($AA$11,'PCU Values'!$B$9:$C$16,2,FALSE)</f>
        <v>0</v>
      </c>
      <c r="AJ13" s="65">
        <f>$AB$13*VLOOKUP($AB$11,'PCU Values'!$B$9:$C$16,2,FALSE)</f>
        <v>0</v>
      </c>
      <c r="AK13" s="66">
        <f>SUM($AC$13,$AD$13,$AE$13,$AF$13,$AG$13,$AH$13,$AI$13,$AJ$13)</f>
        <v>0</v>
      </c>
      <c r="AL13" s="52">
        <f>SUM($U$13,$V$13,$W$13,$X$13,$Y$13,$Z$13,$AA$13,$AB$13)</f>
        <v>0</v>
      </c>
      <c r="AM13" s="76">
        <v>0</v>
      </c>
      <c r="AN13" s="48">
        <v>0</v>
      </c>
      <c r="AO13" s="48">
        <v>0</v>
      </c>
      <c r="AP13" s="48">
        <v>0</v>
      </c>
      <c r="AQ13" s="48">
        <v>0</v>
      </c>
      <c r="AR13" s="48">
        <v>0</v>
      </c>
      <c r="AS13" s="48">
        <v>0</v>
      </c>
      <c r="AT13" s="56">
        <v>0</v>
      </c>
      <c r="AU13" s="57">
        <f>$AM$13*VLOOKUP($AM$11,'PCU Values'!$B$9:$C$16,2,FALSE)</f>
        <v>0</v>
      </c>
      <c r="AV13" s="57">
        <f>$AN$13*VLOOKUP($AN$11,'PCU Values'!$B$9:$C$16,2,FALSE)</f>
        <v>0</v>
      </c>
      <c r="AW13" s="57">
        <f>$AO$13*VLOOKUP($AO$11,'PCU Values'!$B$9:$C$16,2,FALSE)</f>
        <v>0</v>
      </c>
      <c r="AX13" s="57">
        <f>$AP$13*VLOOKUP($AP$11,'PCU Values'!$B$9:$C$16,2,FALSE)</f>
        <v>0</v>
      </c>
      <c r="AY13" s="57">
        <f>$AQ$13*VLOOKUP($AQ$11,'PCU Values'!$B$9:$C$16,2,FALSE)</f>
        <v>0</v>
      </c>
      <c r="AZ13" s="57">
        <f>$AR$13*VLOOKUP($AR$11,'PCU Values'!$B$9:$C$16,2,FALSE)</f>
        <v>0</v>
      </c>
      <c r="BA13" s="57">
        <f>$AS$13*VLOOKUP($AS$11,'PCU Values'!$B$9:$C$16,2,FALSE)</f>
        <v>0</v>
      </c>
      <c r="BB13" s="65">
        <f>$AT$13*VLOOKUP($AT$11,'PCU Values'!$B$9:$C$16,2,FALSE)</f>
        <v>0</v>
      </c>
      <c r="BC13" s="66">
        <f>SUM($AU$13,$AV$13,$AW$13,$AX$13,$AY$13,$AZ$13,$BA$13,$BB$13)</f>
        <v>0</v>
      </c>
      <c r="BD13" s="52">
        <f>SUM($AM$13,$AN$13,$AO$13,$AP$13,$AQ$13,$AR$13,$AS$13,$AT$13)</f>
        <v>0</v>
      </c>
      <c r="BE13" s="67">
        <v>0</v>
      </c>
      <c r="BF13" s="48">
        <v>0</v>
      </c>
      <c r="BG13" s="48">
        <v>0</v>
      </c>
      <c r="BH13" s="48">
        <v>0</v>
      </c>
      <c r="BI13" s="48">
        <v>0</v>
      </c>
      <c r="BJ13" s="48">
        <v>0</v>
      </c>
      <c r="BK13" s="48">
        <v>0</v>
      </c>
      <c r="BL13" s="56">
        <v>0</v>
      </c>
      <c r="BM13" s="77">
        <f>$BE$13*VLOOKUP($BE$11,'PCU Values'!$B$9:$C$16,2,FALSE)</f>
        <v>0</v>
      </c>
      <c r="BN13" s="77">
        <f>$BF$13*VLOOKUP($BF$11,'PCU Values'!$B$9:$C$16,2,FALSE)</f>
        <v>0</v>
      </c>
      <c r="BO13" s="77">
        <f>$BG$13*VLOOKUP($BG$11,'PCU Values'!$B$9:$C$16,2,FALSE)</f>
        <v>0</v>
      </c>
      <c r="BP13" s="77">
        <f>$BH$13*VLOOKUP($BH$11,'PCU Values'!$B$9:$C$16,2,FALSE)</f>
        <v>0</v>
      </c>
      <c r="BQ13" s="77">
        <f>$BI$13*VLOOKUP($BI$11,'PCU Values'!$B$9:$C$16,2,FALSE)</f>
        <v>0</v>
      </c>
      <c r="BR13" s="77">
        <f>$BJ$13*VLOOKUP($BJ$11,'PCU Values'!$B$9:$C$16,2,FALSE)</f>
        <v>0</v>
      </c>
      <c r="BS13" s="77">
        <f>$BK$13*VLOOKUP($BK$11,'PCU Values'!$B$9:$C$16,2,FALSE)</f>
        <v>0</v>
      </c>
      <c r="BT13" s="78">
        <f>$BL$13*VLOOKUP($BL$11,'PCU Values'!$B$9:$C$16,2,FALSE)</f>
        <v>0</v>
      </c>
      <c r="BU13" s="66">
        <f>SUM($BM$13,$BN$13,$BO$13,$BP$13,$BQ$13,$BR$13,$BS$13,$BT$13)</f>
        <v>0</v>
      </c>
      <c r="BV13" s="52">
        <f>SUM($BE$13,$BF$13,$BG$13,$BH$13,$BI$13,$BJ$13,$BK$13,$BL$13)</f>
        <v>0</v>
      </c>
      <c r="BX13" s="47" t="s">
        <v>31</v>
      </c>
      <c r="BY13" s="83">
        <f>SUM($C$13,$U$13,$AM$13,$BE$13)</f>
        <v>0</v>
      </c>
      <c r="BZ13" s="83">
        <f>SUM($D$13,$V$13,$AN$13,$BF$13)</f>
        <v>0</v>
      </c>
      <c r="CA13" s="83">
        <f>SUM($E$13,$W$13,$AO$13,$BG$13)</f>
        <v>0</v>
      </c>
      <c r="CB13" s="83">
        <f>SUM($F$13,$X$13,$AP$13,$BH$13)</f>
        <v>0</v>
      </c>
      <c r="CC13" s="83">
        <f>SUM($G$13,$Y$13,$AQ$13,$BI$13)</f>
        <v>0</v>
      </c>
      <c r="CD13" s="83">
        <f>SUM($H$13,$Z$13,$AR$13,$BJ$13)</f>
        <v>0</v>
      </c>
      <c r="CE13" s="83">
        <f>SUM($I$13,$AA$13,$AS$13,$BK$13)</f>
        <v>0</v>
      </c>
      <c r="CF13" s="86">
        <f>SUM($J$13,$AB$13,$AT$13,$BL$13)</f>
        <v>0</v>
      </c>
      <c r="CG13" s="77">
        <f>$BY$13*VLOOKUP($BY$11,'PCU Values'!$B$9:$C$16,2,FALSE)</f>
        <v>0</v>
      </c>
      <c r="CH13" s="77">
        <f>$BZ$13*VLOOKUP($BZ$11,'PCU Values'!$B$9:$C$16,2,FALSE)</f>
        <v>0</v>
      </c>
      <c r="CI13" s="77">
        <f>$CA$13*VLOOKUP($CA$11,'PCU Values'!$B$9:$C$16,2,FALSE)</f>
        <v>0</v>
      </c>
      <c r="CJ13" s="77">
        <f>$CB$13*VLOOKUP($CB$11,'PCU Values'!$B$9:$C$16,2,FALSE)</f>
        <v>0</v>
      </c>
      <c r="CK13" s="77">
        <f>$CC$13*VLOOKUP($CC$11,'PCU Values'!$B$9:$C$16,2,FALSE)</f>
        <v>0</v>
      </c>
      <c r="CL13" s="77">
        <f>$CD$13*VLOOKUP($CD$11,'PCU Values'!$B$9:$C$16,2,FALSE)</f>
        <v>0</v>
      </c>
      <c r="CM13" s="77">
        <f>$CE$13*VLOOKUP($CE$11,'PCU Values'!$B$9:$C$16,2,FALSE)</f>
        <v>0</v>
      </c>
      <c r="CN13" s="78">
        <f>$CF$13*VLOOKUP($CF$11,'PCU Values'!$B$9:$C$16,2,FALSE)</f>
        <v>0</v>
      </c>
      <c r="CO13" s="66">
        <f>SUM($CG$13,$CH$13,$CI$13,$CJ$13,$CK$13,$CL$13,$CM$13,$CN$13)</f>
        <v>0</v>
      </c>
      <c r="CP13" s="52">
        <f>SUM($BY$13,$BZ$13,$CA$13,$CB$13,$CC$13,$CD$13,$CE$13,$CF$13)</f>
        <v>0</v>
      </c>
      <c r="CQ13" s="89">
        <f>SUM('J1 A - (North) Bishopthorpe Roa'!$AM$13,'J1 B - Butcher Terrace'!$U$13,'J1 C - (South) Bishopthorpe Roa'!$C$13,'J1 D - South Bank Avenue'!$BE$13)</f>
        <v>2</v>
      </c>
      <c r="CR13" s="83">
        <f>SUM('J1 A - (North) Bishopthorpe Roa'!$AN$13,'J1 B - Butcher Terrace'!$V$13,'J1 C - (South) Bishopthorpe Roa'!$D$13,'J1 D - South Bank Avenue'!$BF$13)</f>
        <v>0</v>
      </c>
      <c r="CS13" s="83">
        <f>SUM('J1 A - (North) Bishopthorpe Roa'!$AO$13,'J1 B - Butcher Terrace'!$W$13,'J1 C - (South) Bishopthorpe Roa'!$E$13,'J1 D - South Bank Avenue'!$BG$13)</f>
        <v>0</v>
      </c>
      <c r="CT13" s="83">
        <f>SUM('J1 A - (North) Bishopthorpe Roa'!$AP$13,'J1 B - Butcher Terrace'!$X$13,'J1 C - (South) Bishopthorpe Roa'!$F$13,'J1 D - South Bank Avenue'!$BH$13)</f>
        <v>0</v>
      </c>
      <c r="CU13" s="83">
        <f>SUM('J1 A - (North) Bishopthorpe Roa'!$AQ$13,'J1 B - Butcher Terrace'!$Y$13,'J1 C - (South) Bishopthorpe Roa'!$G$13,'J1 D - South Bank Avenue'!$BI$13)</f>
        <v>0</v>
      </c>
      <c r="CV13" s="83">
        <f>SUM('J1 A - (North) Bishopthorpe Roa'!$AR$13,'J1 B - Butcher Terrace'!$Z$13,'J1 C - (South) Bishopthorpe Roa'!$H$13,'J1 D - South Bank Avenue'!$BJ$13)</f>
        <v>0</v>
      </c>
      <c r="CW13" s="83">
        <f>SUM('J1 A - (North) Bishopthorpe Roa'!$AS$13,'J1 B - Butcher Terrace'!$AA$13,'J1 C - (South) Bishopthorpe Roa'!$I$13,'J1 D - South Bank Avenue'!$BK$13)</f>
        <v>0</v>
      </c>
      <c r="CX13" s="86">
        <f>SUM('J1 A - (North) Bishopthorpe Roa'!$AT$13,'J1 B - Butcher Terrace'!$AB$13,'J1 C - (South) Bishopthorpe Roa'!$J$13,'J1 D - South Bank Avenue'!$BL$13)</f>
        <v>0</v>
      </c>
      <c r="CY13" s="77">
        <f>$CQ$13*VLOOKUP($CQ$11,'PCU Values'!$B$9:$C$16,2,FALSE)</f>
        <v>2</v>
      </c>
      <c r="CZ13" s="77">
        <f>$CR$13*VLOOKUP($CR$11,'PCU Values'!$B$9:$C$16,2,FALSE)</f>
        <v>0</v>
      </c>
      <c r="DA13" s="77">
        <f>$CS$13*VLOOKUP($CS$11,'PCU Values'!$B$9:$C$16,2,FALSE)</f>
        <v>0</v>
      </c>
      <c r="DB13" s="77">
        <f>$CT$13*VLOOKUP($CT$11,'PCU Values'!$B$9:$C$16,2,FALSE)</f>
        <v>0</v>
      </c>
      <c r="DC13" s="77">
        <f>$CU$13*VLOOKUP($CU$11,'PCU Values'!$B$9:$C$16,2,FALSE)</f>
        <v>0</v>
      </c>
      <c r="DD13" s="77">
        <f>$CV$13*VLOOKUP($CV$11,'PCU Values'!$B$9:$C$16,2,FALSE)</f>
        <v>0</v>
      </c>
      <c r="DE13" s="77">
        <f>$CW$13*VLOOKUP($CW$11,'PCU Values'!$B$9:$C$16,2,FALSE)</f>
        <v>0</v>
      </c>
      <c r="DF13" s="78">
        <f>$CX$13*VLOOKUP($CX$11,'PCU Values'!$B$9:$C$16,2,FALSE)</f>
        <v>0</v>
      </c>
      <c r="DG13" s="66">
        <f>SUM($CY$13,$CZ$13,$DA$13,$DB$13,$DC$13,$DD$13,$DE$13,$DF$13)</f>
        <v>2</v>
      </c>
      <c r="DH13" s="52">
        <f>SUM($CQ$13,$CR$13,$CS$13,$CT$13,$CU$13,$CV$13,$CW$13,$CX$13)</f>
        <v>2</v>
      </c>
    </row>
    <row r="14" spans="1:112" ht="21" customHeight="1">
      <c r="A14" s="46">
        <v>44395.020833333299</v>
      </c>
      <c r="B14" s="47" t="s">
        <v>32</v>
      </c>
      <c r="C14" s="49">
        <v>0</v>
      </c>
      <c r="D14" s="49">
        <v>0</v>
      </c>
      <c r="E14" s="49">
        <v>0</v>
      </c>
      <c r="F14" s="49">
        <v>0</v>
      </c>
      <c r="G14" s="49">
        <v>0</v>
      </c>
      <c r="H14" s="49">
        <v>0</v>
      </c>
      <c r="I14" s="49">
        <v>0</v>
      </c>
      <c r="J14" s="58">
        <v>0</v>
      </c>
      <c r="K14" s="57">
        <f>$C$14*VLOOKUP($C$11,'PCU Values'!$B$9:$C$16,2,FALSE)</f>
        <v>0</v>
      </c>
      <c r="L14" s="57">
        <f>$D$14*VLOOKUP($D$11,'PCU Values'!$B$9:$C$16,2,FALSE)</f>
        <v>0</v>
      </c>
      <c r="M14" s="57">
        <f>$E$14*VLOOKUP($E$11,'PCU Values'!$B$9:$C$16,2,FALSE)</f>
        <v>0</v>
      </c>
      <c r="N14" s="57">
        <f>$F$14*VLOOKUP($F$11,'PCU Values'!$B$9:$C$16,2,FALSE)</f>
        <v>0</v>
      </c>
      <c r="O14" s="57">
        <f>$G$14*VLOOKUP($G$11,'PCU Values'!$B$9:$C$16,2,FALSE)</f>
        <v>0</v>
      </c>
      <c r="P14" s="57">
        <f>$H$14*VLOOKUP($H$11,'PCU Values'!$B$9:$C$16,2,FALSE)</f>
        <v>0</v>
      </c>
      <c r="Q14" s="57">
        <f>$I$14*VLOOKUP($I$11,'PCU Values'!$B$9:$C$16,2,FALSE)</f>
        <v>0</v>
      </c>
      <c r="R14" s="65">
        <f>$J$14*VLOOKUP($J$11,'PCU Values'!$B$9:$C$16,2,FALSE)</f>
        <v>0</v>
      </c>
      <c r="S14" s="66">
        <f>SUM($K$14,$L$14,$M$14,$N$14,$O$14,$P$14,$Q$14,$R$14)</f>
        <v>0</v>
      </c>
      <c r="T14" s="52">
        <f>SUM($C$14,$D$14,$E$14,$F$14,$G$14,$H$14,$I$14,$J$14)</f>
        <v>0</v>
      </c>
      <c r="U14" s="49">
        <v>0</v>
      </c>
      <c r="V14" s="49">
        <v>0</v>
      </c>
      <c r="W14" s="49">
        <v>0</v>
      </c>
      <c r="X14" s="49">
        <v>0</v>
      </c>
      <c r="Y14" s="49">
        <v>0</v>
      </c>
      <c r="Z14" s="49">
        <v>0</v>
      </c>
      <c r="AA14" s="49">
        <v>0</v>
      </c>
      <c r="AB14" s="58">
        <v>0</v>
      </c>
      <c r="AC14" s="57">
        <f>$U$14*VLOOKUP($U$11,'PCU Values'!$B$9:$C$16,2,FALSE)</f>
        <v>0</v>
      </c>
      <c r="AD14" s="57">
        <f>$V$14*VLOOKUP($V$11,'PCU Values'!$B$9:$C$16,2,FALSE)</f>
        <v>0</v>
      </c>
      <c r="AE14" s="57">
        <f>$W$14*VLOOKUP($W$11,'PCU Values'!$B$9:$C$16,2,FALSE)</f>
        <v>0</v>
      </c>
      <c r="AF14" s="57">
        <f>$X$14*VLOOKUP($X$11,'PCU Values'!$B$9:$C$16,2,FALSE)</f>
        <v>0</v>
      </c>
      <c r="AG14" s="57">
        <f>$Y$14*VLOOKUP($Y$11,'PCU Values'!$B$9:$C$16,2,FALSE)</f>
        <v>0</v>
      </c>
      <c r="AH14" s="57">
        <f>$Z$14*VLOOKUP($Z$11,'PCU Values'!$B$9:$C$16,2,FALSE)</f>
        <v>0</v>
      </c>
      <c r="AI14" s="57">
        <f>$AA$14*VLOOKUP($AA$11,'PCU Values'!$B$9:$C$16,2,FALSE)</f>
        <v>0</v>
      </c>
      <c r="AJ14" s="65">
        <f>$AB$14*VLOOKUP($AB$11,'PCU Values'!$B$9:$C$16,2,FALSE)</f>
        <v>0</v>
      </c>
      <c r="AK14" s="66">
        <f>SUM($AC$14,$AD$14,$AE$14,$AF$14,$AG$14,$AH$14,$AI$14,$AJ$14)</f>
        <v>0</v>
      </c>
      <c r="AL14" s="52">
        <f>SUM($U$14,$V$14,$W$14,$X$14,$Y$14,$Z$14,$AA$14,$AB$14)</f>
        <v>0</v>
      </c>
      <c r="AM14" s="49">
        <v>0</v>
      </c>
      <c r="AN14" s="49">
        <v>0</v>
      </c>
      <c r="AO14" s="49">
        <v>0</v>
      </c>
      <c r="AP14" s="49">
        <v>0</v>
      </c>
      <c r="AQ14" s="49">
        <v>0</v>
      </c>
      <c r="AR14" s="49">
        <v>0</v>
      </c>
      <c r="AS14" s="49">
        <v>0</v>
      </c>
      <c r="AT14" s="58">
        <v>0</v>
      </c>
      <c r="AU14" s="57">
        <f>$AM$14*VLOOKUP($AM$11,'PCU Values'!$B$9:$C$16,2,FALSE)</f>
        <v>0</v>
      </c>
      <c r="AV14" s="57">
        <f>$AN$14*VLOOKUP($AN$11,'PCU Values'!$B$9:$C$16,2,FALSE)</f>
        <v>0</v>
      </c>
      <c r="AW14" s="57">
        <f>$AO$14*VLOOKUP($AO$11,'PCU Values'!$B$9:$C$16,2,FALSE)</f>
        <v>0</v>
      </c>
      <c r="AX14" s="57">
        <f>$AP$14*VLOOKUP($AP$11,'PCU Values'!$B$9:$C$16,2,FALSE)</f>
        <v>0</v>
      </c>
      <c r="AY14" s="57">
        <f>$AQ$14*VLOOKUP($AQ$11,'PCU Values'!$B$9:$C$16,2,FALSE)</f>
        <v>0</v>
      </c>
      <c r="AZ14" s="57">
        <f>$AR$14*VLOOKUP($AR$11,'PCU Values'!$B$9:$C$16,2,FALSE)</f>
        <v>0</v>
      </c>
      <c r="BA14" s="57">
        <f>$AS$14*VLOOKUP($AS$11,'PCU Values'!$B$9:$C$16,2,FALSE)</f>
        <v>0</v>
      </c>
      <c r="BB14" s="65">
        <f>$AT$14*VLOOKUP($AT$11,'PCU Values'!$B$9:$C$16,2,FALSE)</f>
        <v>0</v>
      </c>
      <c r="BC14" s="66">
        <f>SUM($AU$14,$AV$14,$AW$14,$AX$14,$AY$14,$AZ$14,$BA$14,$BB$14)</f>
        <v>0</v>
      </c>
      <c r="BD14" s="52">
        <f>SUM($AM$14,$AN$14,$AO$14,$AP$14,$AQ$14,$AR$14,$AS$14,$AT$14)</f>
        <v>0</v>
      </c>
      <c r="BE14" s="49">
        <v>0</v>
      </c>
      <c r="BF14" s="49">
        <v>0</v>
      </c>
      <c r="BG14" s="49">
        <v>0</v>
      </c>
      <c r="BH14" s="49">
        <v>0</v>
      </c>
      <c r="BI14" s="49">
        <v>0</v>
      </c>
      <c r="BJ14" s="49">
        <v>0</v>
      </c>
      <c r="BK14" s="49">
        <v>0</v>
      </c>
      <c r="BL14" s="58">
        <v>0</v>
      </c>
      <c r="BM14" s="77">
        <f>$BE$14*VLOOKUP($BE$11,'PCU Values'!$B$9:$C$16,2,FALSE)</f>
        <v>0</v>
      </c>
      <c r="BN14" s="77">
        <f>$BF$14*VLOOKUP($BF$11,'PCU Values'!$B$9:$C$16,2,FALSE)</f>
        <v>0</v>
      </c>
      <c r="BO14" s="77">
        <f>$BG$14*VLOOKUP($BG$11,'PCU Values'!$B$9:$C$16,2,FALSE)</f>
        <v>0</v>
      </c>
      <c r="BP14" s="77">
        <f>$BH$14*VLOOKUP($BH$11,'PCU Values'!$B$9:$C$16,2,FALSE)</f>
        <v>0</v>
      </c>
      <c r="BQ14" s="77">
        <f>$BI$14*VLOOKUP($BI$11,'PCU Values'!$B$9:$C$16,2,FALSE)</f>
        <v>0</v>
      </c>
      <c r="BR14" s="77">
        <f>$BJ$14*VLOOKUP($BJ$11,'PCU Values'!$B$9:$C$16,2,FALSE)</f>
        <v>0</v>
      </c>
      <c r="BS14" s="77">
        <f>$BK$14*VLOOKUP($BK$11,'PCU Values'!$B$9:$C$16,2,FALSE)</f>
        <v>0</v>
      </c>
      <c r="BT14" s="78">
        <f>$BL$14*VLOOKUP($BL$11,'PCU Values'!$B$9:$C$16,2,FALSE)</f>
        <v>0</v>
      </c>
      <c r="BU14" s="66">
        <f>SUM($BM$14,$BN$14,$BO$14,$BP$14,$BQ$14,$BR$14,$BS$14,$BT$14)</f>
        <v>0</v>
      </c>
      <c r="BV14" s="52">
        <f>SUM($BE$14,$BF$14,$BG$14,$BH$14,$BI$14,$BJ$14,$BK$14,$BL$14)</f>
        <v>0</v>
      </c>
      <c r="BX14" s="47" t="s">
        <v>32</v>
      </c>
      <c r="BY14" s="83">
        <f>SUM($C$14,$U$14,$AM$14,$BE$14)</f>
        <v>0</v>
      </c>
      <c r="BZ14" s="83">
        <f>SUM($D$14,$V$14,$AN$14,$BF$14)</f>
        <v>0</v>
      </c>
      <c r="CA14" s="83">
        <f>SUM($E$14,$W$14,$AO$14,$BG$14)</f>
        <v>0</v>
      </c>
      <c r="CB14" s="83">
        <f>SUM($F$14,$X$14,$AP$14,$BH$14)</f>
        <v>0</v>
      </c>
      <c r="CC14" s="83">
        <f>SUM($G$14,$Y$14,$AQ$14,$BI$14)</f>
        <v>0</v>
      </c>
      <c r="CD14" s="83">
        <f>SUM($H$14,$Z$14,$AR$14,$BJ$14)</f>
        <v>0</v>
      </c>
      <c r="CE14" s="83">
        <f>SUM($I$14,$AA$14,$AS$14,$BK$14)</f>
        <v>0</v>
      </c>
      <c r="CF14" s="86">
        <f>SUM($J$14,$AB$14,$AT$14,$BL$14)</f>
        <v>0</v>
      </c>
      <c r="CG14" s="77">
        <f>$BY$14*VLOOKUP($BY$11,'PCU Values'!$B$9:$C$16,2,FALSE)</f>
        <v>0</v>
      </c>
      <c r="CH14" s="77">
        <f>$BZ$14*VLOOKUP($BZ$11,'PCU Values'!$B$9:$C$16,2,FALSE)</f>
        <v>0</v>
      </c>
      <c r="CI14" s="77">
        <f>$CA$14*VLOOKUP($CA$11,'PCU Values'!$B$9:$C$16,2,FALSE)</f>
        <v>0</v>
      </c>
      <c r="CJ14" s="77">
        <f>$CB$14*VLOOKUP($CB$11,'PCU Values'!$B$9:$C$16,2,FALSE)</f>
        <v>0</v>
      </c>
      <c r="CK14" s="77">
        <f>$CC$14*VLOOKUP($CC$11,'PCU Values'!$B$9:$C$16,2,FALSE)</f>
        <v>0</v>
      </c>
      <c r="CL14" s="77">
        <f>$CD$14*VLOOKUP($CD$11,'PCU Values'!$B$9:$C$16,2,FALSE)</f>
        <v>0</v>
      </c>
      <c r="CM14" s="77">
        <f>$CE$14*VLOOKUP($CE$11,'PCU Values'!$B$9:$C$16,2,FALSE)</f>
        <v>0</v>
      </c>
      <c r="CN14" s="78">
        <f>$CF$14*VLOOKUP($CF$11,'PCU Values'!$B$9:$C$16,2,FALSE)</f>
        <v>0</v>
      </c>
      <c r="CO14" s="66">
        <f>SUM($CG$14,$CH$14,$CI$14,$CJ$14,$CK$14,$CL$14,$CM$14,$CN$14)</f>
        <v>0</v>
      </c>
      <c r="CP14" s="52">
        <f>SUM($BY$14,$BZ$14,$CA$14,$CB$14,$CC$14,$CD$14,$CE$14,$CF$14)</f>
        <v>0</v>
      </c>
      <c r="CQ14" s="89">
        <f>SUM('J1 A - (North) Bishopthorpe Roa'!$AM$14,'J1 B - Butcher Terrace'!$U$14,'J1 C - (South) Bishopthorpe Roa'!$C$14,'J1 D - South Bank Avenue'!$BE$14)</f>
        <v>0</v>
      </c>
      <c r="CR14" s="83">
        <f>SUM('J1 A - (North) Bishopthorpe Roa'!$AN$14,'J1 B - Butcher Terrace'!$V$14,'J1 C - (South) Bishopthorpe Roa'!$D$14,'J1 D - South Bank Avenue'!$BF$14)</f>
        <v>0</v>
      </c>
      <c r="CS14" s="83">
        <f>SUM('J1 A - (North) Bishopthorpe Roa'!$AO$14,'J1 B - Butcher Terrace'!$W$14,'J1 C - (South) Bishopthorpe Roa'!$E$14,'J1 D - South Bank Avenue'!$BG$14)</f>
        <v>0</v>
      </c>
      <c r="CT14" s="83">
        <f>SUM('J1 A - (North) Bishopthorpe Roa'!$AP$14,'J1 B - Butcher Terrace'!$X$14,'J1 C - (South) Bishopthorpe Roa'!$F$14,'J1 D - South Bank Avenue'!$BH$14)</f>
        <v>0</v>
      </c>
      <c r="CU14" s="83">
        <f>SUM('J1 A - (North) Bishopthorpe Roa'!$AQ$14,'J1 B - Butcher Terrace'!$Y$14,'J1 C - (South) Bishopthorpe Roa'!$G$14,'J1 D - South Bank Avenue'!$BI$14)</f>
        <v>0</v>
      </c>
      <c r="CV14" s="83">
        <f>SUM('J1 A - (North) Bishopthorpe Roa'!$AR$14,'J1 B - Butcher Terrace'!$Z$14,'J1 C - (South) Bishopthorpe Roa'!$H$14,'J1 D - South Bank Avenue'!$BJ$14)</f>
        <v>2</v>
      </c>
      <c r="CW14" s="83">
        <f>SUM('J1 A - (North) Bishopthorpe Roa'!$AS$14,'J1 B - Butcher Terrace'!$AA$14,'J1 C - (South) Bishopthorpe Roa'!$I$14,'J1 D - South Bank Avenue'!$BK$14)</f>
        <v>0</v>
      </c>
      <c r="CX14" s="86">
        <f>SUM('J1 A - (North) Bishopthorpe Roa'!$AT$14,'J1 B - Butcher Terrace'!$AB$14,'J1 C - (South) Bishopthorpe Roa'!$J$14,'J1 D - South Bank Avenue'!$BL$14)</f>
        <v>0</v>
      </c>
      <c r="CY14" s="77">
        <f>$CQ$14*VLOOKUP($CQ$11,'PCU Values'!$B$9:$C$16,2,FALSE)</f>
        <v>0</v>
      </c>
      <c r="CZ14" s="77">
        <f>$CR$14*VLOOKUP($CR$11,'PCU Values'!$B$9:$C$16,2,FALSE)</f>
        <v>0</v>
      </c>
      <c r="DA14" s="77">
        <f>$CS$14*VLOOKUP($CS$11,'PCU Values'!$B$9:$C$16,2,FALSE)</f>
        <v>0</v>
      </c>
      <c r="DB14" s="77">
        <f>$CT$14*VLOOKUP($CT$11,'PCU Values'!$B$9:$C$16,2,FALSE)</f>
        <v>0</v>
      </c>
      <c r="DC14" s="77">
        <f>$CU$14*VLOOKUP($CU$11,'PCU Values'!$B$9:$C$16,2,FALSE)</f>
        <v>0</v>
      </c>
      <c r="DD14" s="77">
        <f>$CV$14*VLOOKUP($CV$11,'PCU Values'!$B$9:$C$16,2,FALSE)</f>
        <v>0.4</v>
      </c>
      <c r="DE14" s="77">
        <f>$CW$14*VLOOKUP($CW$11,'PCU Values'!$B$9:$C$16,2,FALSE)</f>
        <v>0</v>
      </c>
      <c r="DF14" s="78">
        <f>$CX$14*VLOOKUP($CX$11,'PCU Values'!$B$9:$C$16,2,FALSE)</f>
        <v>0</v>
      </c>
      <c r="DG14" s="66">
        <f>SUM($CY$14,$CZ$14,$DA$14,$DB$14,$DC$14,$DD$14,$DE$14,$DF$14)</f>
        <v>0.4</v>
      </c>
      <c r="DH14" s="52">
        <f>SUM($CQ$14,$CR$14,$CS$14,$CT$14,$CU$14,$CV$14,$CW$14,$CX$14)</f>
        <v>2</v>
      </c>
    </row>
    <row r="15" spans="1:112" ht="21" customHeight="1">
      <c r="A15" s="46">
        <v>44395.03125</v>
      </c>
      <c r="B15" s="50" t="s">
        <v>33</v>
      </c>
      <c r="C15" s="51">
        <v>2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9">
        <v>0</v>
      </c>
      <c r="K15" s="60">
        <f>$C$15*VLOOKUP($C$11,'PCU Values'!$B$9:$C$16,2,FALSE)</f>
        <v>2</v>
      </c>
      <c r="L15" s="60">
        <f>$D$15*VLOOKUP($D$11,'PCU Values'!$B$9:$C$16,2,FALSE)</f>
        <v>0</v>
      </c>
      <c r="M15" s="60">
        <f>$E$15*VLOOKUP($E$11,'PCU Values'!$B$9:$C$16,2,FALSE)</f>
        <v>0</v>
      </c>
      <c r="N15" s="60">
        <f>$F$15*VLOOKUP($F$11,'PCU Values'!$B$9:$C$16,2,FALSE)</f>
        <v>0</v>
      </c>
      <c r="O15" s="60">
        <f>$G$15*VLOOKUP($G$11,'PCU Values'!$B$9:$C$16,2,FALSE)</f>
        <v>0</v>
      </c>
      <c r="P15" s="60">
        <f>$H$15*VLOOKUP($H$11,'PCU Values'!$B$9:$C$16,2,FALSE)</f>
        <v>0</v>
      </c>
      <c r="Q15" s="60">
        <f>$I$15*VLOOKUP($I$11,'PCU Values'!$B$9:$C$16,2,FALSE)</f>
        <v>0</v>
      </c>
      <c r="R15" s="68">
        <f>$J$15*VLOOKUP($J$11,'PCU Values'!$B$9:$C$16,2,FALSE)</f>
        <v>0</v>
      </c>
      <c r="S15" s="63">
        <f>SUM($K$15,$L$15,$M$15,$N$15,$O$15,$P$15,$Q$15,$R$15)</f>
        <v>2</v>
      </c>
      <c r="T15" s="52">
        <f>SUM($C$15,$D$15,$E$15,$F$15,$G$15,$H$15,$I$15,$J$15)</f>
        <v>2</v>
      </c>
      <c r="U15" s="69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9">
        <v>0</v>
      </c>
      <c r="AC15" s="60">
        <f>$U$15*VLOOKUP($U$11,'PCU Values'!$B$9:$C$16,2,FALSE)</f>
        <v>0</v>
      </c>
      <c r="AD15" s="60">
        <f>$V$15*VLOOKUP($V$11,'PCU Values'!$B$9:$C$16,2,FALSE)</f>
        <v>0</v>
      </c>
      <c r="AE15" s="60">
        <f>$W$15*VLOOKUP($W$11,'PCU Values'!$B$9:$C$16,2,FALSE)</f>
        <v>0</v>
      </c>
      <c r="AF15" s="60">
        <f>$X$15*VLOOKUP($X$11,'PCU Values'!$B$9:$C$16,2,FALSE)</f>
        <v>0</v>
      </c>
      <c r="AG15" s="60">
        <f>$Y$15*VLOOKUP($Y$11,'PCU Values'!$B$9:$C$16,2,FALSE)</f>
        <v>0</v>
      </c>
      <c r="AH15" s="60">
        <f>$Z$15*VLOOKUP($Z$11,'PCU Values'!$B$9:$C$16,2,FALSE)</f>
        <v>0</v>
      </c>
      <c r="AI15" s="60">
        <f>$AA$15*VLOOKUP($AA$11,'PCU Values'!$B$9:$C$16,2,FALSE)</f>
        <v>0</v>
      </c>
      <c r="AJ15" s="68">
        <f>$AB$15*VLOOKUP($AB$11,'PCU Values'!$B$9:$C$16,2,FALSE)</f>
        <v>0</v>
      </c>
      <c r="AK15" s="63">
        <f>SUM($AC$15,$AD$15,$AE$15,$AF$15,$AG$15,$AH$15,$AI$15,$AJ$15)</f>
        <v>0</v>
      </c>
      <c r="AL15" s="52">
        <f>SUM($U$15,$V$15,$W$15,$X$15,$Y$15,$Z$15,$AA$15,$AB$15)</f>
        <v>0</v>
      </c>
      <c r="AM15" s="73">
        <v>0</v>
      </c>
      <c r="AN15" s="51">
        <v>0</v>
      </c>
      <c r="AO15" s="51">
        <v>0</v>
      </c>
      <c r="AP15" s="51">
        <v>0</v>
      </c>
      <c r="AQ15" s="51">
        <v>0</v>
      </c>
      <c r="AR15" s="51">
        <v>0</v>
      </c>
      <c r="AS15" s="51">
        <v>0</v>
      </c>
      <c r="AT15" s="59">
        <v>0</v>
      </c>
      <c r="AU15" s="60">
        <f>$AM$15*VLOOKUP($AM$11,'PCU Values'!$B$9:$C$16,2,FALSE)</f>
        <v>0</v>
      </c>
      <c r="AV15" s="60">
        <f>$AN$15*VLOOKUP($AN$11,'PCU Values'!$B$9:$C$16,2,FALSE)</f>
        <v>0</v>
      </c>
      <c r="AW15" s="60">
        <f>$AO$15*VLOOKUP($AO$11,'PCU Values'!$B$9:$C$16,2,FALSE)</f>
        <v>0</v>
      </c>
      <c r="AX15" s="60">
        <f>$AP$15*VLOOKUP($AP$11,'PCU Values'!$B$9:$C$16,2,FALSE)</f>
        <v>0</v>
      </c>
      <c r="AY15" s="60">
        <f>$AQ$15*VLOOKUP($AQ$11,'PCU Values'!$B$9:$C$16,2,FALSE)</f>
        <v>0</v>
      </c>
      <c r="AZ15" s="60">
        <f>$AR$15*VLOOKUP($AR$11,'PCU Values'!$B$9:$C$16,2,FALSE)</f>
        <v>0</v>
      </c>
      <c r="BA15" s="60">
        <f>$AS$15*VLOOKUP($AS$11,'PCU Values'!$B$9:$C$16,2,FALSE)</f>
        <v>0</v>
      </c>
      <c r="BB15" s="68">
        <f>$AT$15*VLOOKUP($AT$11,'PCU Values'!$B$9:$C$16,2,FALSE)</f>
        <v>0</v>
      </c>
      <c r="BC15" s="63">
        <f>SUM($AU$15,$AV$15,$AW$15,$AX$15,$AY$15,$AZ$15,$BA$15,$BB$15)</f>
        <v>0</v>
      </c>
      <c r="BD15" s="52">
        <f>SUM($AM$15,$AN$15,$AO$15,$AP$15,$AQ$15,$AR$15,$AS$15,$AT$15)</f>
        <v>0</v>
      </c>
      <c r="BE15" s="73">
        <v>0</v>
      </c>
      <c r="BF15" s="51">
        <v>0</v>
      </c>
      <c r="BG15" s="51">
        <v>0</v>
      </c>
      <c r="BH15" s="51">
        <v>0</v>
      </c>
      <c r="BI15" s="51">
        <v>0</v>
      </c>
      <c r="BJ15" s="51">
        <v>0</v>
      </c>
      <c r="BK15" s="51">
        <v>0</v>
      </c>
      <c r="BL15" s="59">
        <v>0</v>
      </c>
      <c r="BM15" s="79">
        <f>$BE$15*VLOOKUP($BE$11,'PCU Values'!$B$9:$C$16,2,FALSE)</f>
        <v>0</v>
      </c>
      <c r="BN15" s="79">
        <f>$BF$15*VLOOKUP($BF$11,'PCU Values'!$B$9:$C$16,2,FALSE)</f>
        <v>0</v>
      </c>
      <c r="BO15" s="79">
        <f>$BG$15*VLOOKUP($BG$11,'PCU Values'!$B$9:$C$16,2,FALSE)</f>
        <v>0</v>
      </c>
      <c r="BP15" s="79">
        <f>$BH$15*VLOOKUP($BH$11,'PCU Values'!$B$9:$C$16,2,FALSE)</f>
        <v>0</v>
      </c>
      <c r="BQ15" s="79">
        <f>$BI$15*VLOOKUP($BI$11,'PCU Values'!$B$9:$C$16,2,FALSE)</f>
        <v>0</v>
      </c>
      <c r="BR15" s="79">
        <f>$BJ$15*VLOOKUP($BJ$11,'PCU Values'!$B$9:$C$16,2,FALSE)</f>
        <v>0</v>
      </c>
      <c r="BS15" s="79">
        <f>$BK$15*VLOOKUP($BK$11,'PCU Values'!$B$9:$C$16,2,FALSE)</f>
        <v>0</v>
      </c>
      <c r="BT15" s="80">
        <f>$BL$15*VLOOKUP($BL$11,'PCU Values'!$B$9:$C$16,2,FALSE)</f>
        <v>0</v>
      </c>
      <c r="BU15" s="63">
        <f>SUM($BM$15,$BN$15,$BO$15,$BP$15,$BQ$15,$BR$15,$BS$15,$BT$15)</f>
        <v>0</v>
      </c>
      <c r="BV15" s="52">
        <f>SUM($BE$15,$BF$15,$BG$15,$BH$15,$BI$15,$BJ$15,$BK$15,$BL$15)</f>
        <v>0</v>
      </c>
      <c r="BX15" s="50" t="s">
        <v>33</v>
      </c>
      <c r="BY15" s="84">
        <f>SUM($C$15,$U$15,$AM$15,$BE$15)</f>
        <v>2</v>
      </c>
      <c r="BZ15" s="84">
        <f>SUM($D$15,$V$15,$AN$15,$BF$15)</f>
        <v>0</v>
      </c>
      <c r="CA15" s="84">
        <f>SUM($E$15,$W$15,$AO$15,$BG$15)</f>
        <v>0</v>
      </c>
      <c r="CB15" s="84">
        <f>SUM($F$15,$X$15,$AP$15,$BH$15)</f>
        <v>0</v>
      </c>
      <c r="CC15" s="84">
        <f>SUM($G$15,$Y$15,$AQ$15,$BI$15)</f>
        <v>0</v>
      </c>
      <c r="CD15" s="84">
        <f>SUM($H$15,$Z$15,$AR$15,$BJ$15)</f>
        <v>0</v>
      </c>
      <c r="CE15" s="84">
        <f>SUM($I$15,$AA$15,$AS$15,$BK$15)</f>
        <v>0</v>
      </c>
      <c r="CF15" s="87">
        <f>SUM($J$15,$AB$15,$AT$15,$BL$15)</f>
        <v>0</v>
      </c>
      <c r="CG15" s="79">
        <f>$BY$15*VLOOKUP($BY$11,'PCU Values'!$B$9:$C$16,2,FALSE)</f>
        <v>2</v>
      </c>
      <c r="CH15" s="79">
        <f>$BZ$15*VLOOKUP($BZ$11,'PCU Values'!$B$9:$C$16,2,FALSE)</f>
        <v>0</v>
      </c>
      <c r="CI15" s="79">
        <f>$CA$15*VLOOKUP($CA$11,'PCU Values'!$B$9:$C$16,2,FALSE)</f>
        <v>0</v>
      </c>
      <c r="CJ15" s="79">
        <f>$CB$15*VLOOKUP($CB$11,'PCU Values'!$B$9:$C$16,2,FALSE)</f>
        <v>0</v>
      </c>
      <c r="CK15" s="79">
        <f>$CC$15*VLOOKUP($CC$11,'PCU Values'!$B$9:$C$16,2,FALSE)</f>
        <v>0</v>
      </c>
      <c r="CL15" s="79">
        <f>$CD$15*VLOOKUP($CD$11,'PCU Values'!$B$9:$C$16,2,FALSE)</f>
        <v>0</v>
      </c>
      <c r="CM15" s="79">
        <f>$CE$15*VLOOKUP($CE$11,'PCU Values'!$B$9:$C$16,2,FALSE)</f>
        <v>0</v>
      </c>
      <c r="CN15" s="80">
        <f>$CF$15*VLOOKUP($CF$11,'PCU Values'!$B$9:$C$16,2,FALSE)</f>
        <v>0</v>
      </c>
      <c r="CO15" s="63">
        <f>SUM($CG$15,$CH$15,$CI$15,$CJ$15,$CK$15,$CL$15,$CM$15,$CN$15)</f>
        <v>2</v>
      </c>
      <c r="CP15" s="52">
        <f>SUM($BY$15,$BZ$15,$CA$15,$CB$15,$CC$15,$CD$15,$CE$15,$CF$15)</f>
        <v>2</v>
      </c>
      <c r="CQ15" s="90">
        <f>SUM('J1 A - (North) Bishopthorpe Roa'!$AM$15,'J1 B - Butcher Terrace'!$U$15,'J1 C - (South) Bishopthorpe Roa'!$C$15,'J1 D - South Bank Avenue'!$BE$15)</f>
        <v>1</v>
      </c>
      <c r="CR15" s="84">
        <f>SUM('J1 A - (North) Bishopthorpe Roa'!$AN$15,'J1 B - Butcher Terrace'!$V$15,'J1 C - (South) Bishopthorpe Roa'!$D$15,'J1 D - South Bank Avenue'!$BF$15)</f>
        <v>0</v>
      </c>
      <c r="CS15" s="84">
        <f>SUM('J1 A - (North) Bishopthorpe Roa'!$AO$15,'J1 B - Butcher Terrace'!$W$15,'J1 C - (South) Bishopthorpe Roa'!$E$15,'J1 D - South Bank Avenue'!$BG$15)</f>
        <v>0</v>
      </c>
      <c r="CT15" s="84">
        <f>SUM('J1 A - (North) Bishopthorpe Roa'!$AP$15,'J1 B - Butcher Terrace'!$X$15,'J1 C - (South) Bishopthorpe Roa'!$F$15,'J1 D - South Bank Avenue'!$BH$15)</f>
        <v>0</v>
      </c>
      <c r="CU15" s="84">
        <f>SUM('J1 A - (North) Bishopthorpe Roa'!$AQ$15,'J1 B - Butcher Terrace'!$Y$15,'J1 C - (South) Bishopthorpe Roa'!$G$15,'J1 D - South Bank Avenue'!$BI$15)</f>
        <v>0</v>
      </c>
      <c r="CV15" s="84">
        <f>SUM('J1 A - (North) Bishopthorpe Roa'!$AR$15,'J1 B - Butcher Terrace'!$Z$15,'J1 C - (South) Bishopthorpe Roa'!$H$15,'J1 D - South Bank Avenue'!$BJ$15)</f>
        <v>0</v>
      </c>
      <c r="CW15" s="84">
        <f>SUM('J1 A - (North) Bishopthorpe Roa'!$AS$15,'J1 B - Butcher Terrace'!$AA$15,'J1 C - (South) Bishopthorpe Roa'!$I$15,'J1 D - South Bank Avenue'!$BK$15)</f>
        <v>0</v>
      </c>
      <c r="CX15" s="87">
        <f>SUM('J1 A - (North) Bishopthorpe Roa'!$AT$15,'J1 B - Butcher Terrace'!$AB$15,'J1 C - (South) Bishopthorpe Roa'!$J$15,'J1 D - South Bank Avenue'!$BL$15)</f>
        <v>0</v>
      </c>
      <c r="CY15" s="79">
        <f>$CQ$15*VLOOKUP($CQ$11,'PCU Values'!$B$9:$C$16,2,FALSE)</f>
        <v>1</v>
      </c>
      <c r="CZ15" s="79">
        <f>$CR$15*VLOOKUP($CR$11,'PCU Values'!$B$9:$C$16,2,FALSE)</f>
        <v>0</v>
      </c>
      <c r="DA15" s="79">
        <f>$CS$15*VLOOKUP($CS$11,'PCU Values'!$B$9:$C$16,2,FALSE)</f>
        <v>0</v>
      </c>
      <c r="DB15" s="79">
        <f>$CT$15*VLOOKUP($CT$11,'PCU Values'!$B$9:$C$16,2,FALSE)</f>
        <v>0</v>
      </c>
      <c r="DC15" s="79">
        <f>$CU$15*VLOOKUP($CU$11,'PCU Values'!$B$9:$C$16,2,FALSE)</f>
        <v>0</v>
      </c>
      <c r="DD15" s="79">
        <f>$CV$15*VLOOKUP($CV$11,'PCU Values'!$B$9:$C$16,2,FALSE)</f>
        <v>0</v>
      </c>
      <c r="DE15" s="79">
        <f>$CW$15*VLOOKUP($CW$11,'PCU Values'!$B$9:$C$16,2,FALSE)</f>
        <v>0</v>
      </c>
      <c r="DF15" s="80">
        <f>$CX$15*VLOOKUP($CX$11,'PCU Values'!$B$9:$C$16,2,FALSE)</f>
        <v>0</v>
      </c>
      <c r="DG15" s="63">
        <f>SUM($CY$15,$CZ$15,$DA$15,$DB$15,$DC$15,$DD$15,$DE$15,$DF$15)</f>
        <v>1</v>
      </c>
      <c r="DH15" s="52">
        <f>SUM($CQ$15,$CR$15,$CS$15,$CT$15,$CU$15,$CV$15,$CW$15,$CX$15)</f>
        <v>1</v>
      </c>
    </row>
    <row r="16" spans="1:112">
      <c r="B16" s="52" t="s">
        <v>34</v>
      </c>
      <c r="C16" s="52">
        <f>SUM($C$12:$C$15)</f>
        <v>3</v>
      </c>
      <c r="D16" s="52">
        <f>SUM($D$12:$D$15)</f>
        <v>0</v>
      </c>
      <c r="E16" s="52">
        <f>SUM($E$12:$E$15)</f>
        <v>0</v>
      </c>
      <c r="F16" s="52">
        <f>SUM($F$12:$F$15)</f>
        <v>0</v>
      </c>
      <c r="G16" s="52">
        <f>SUM($G$12:$G$15)</f>
        <v>0</v>
      </c>
      <c r="H16" s="52">
        <f>SUM($H$12:$H$15)</f>
        <v>0</v>
      </c>
      <c r="I16" s="52">
        <f>SUM($I$12:$I$15)</f>
        <v>0</v>
      </c>
      <c r="J16" s="52">
        <f>SUM($J$12:$J$15)</f>
        <v>0</v>
      </c>
      <c r="K16" s="52">
        <f>SUM($K$12:$K$15)</f>
        <v>3</v>
      </c>
      <c r="L16" s="52">
        <f>SUM($L$12:$L$15)</f>
        <v>0</v>
      </c>
      <c r="M16" s="52">
        <f>SUM($M$12:$M$15)</f>
        <v>0</v>
      </c>
      <c r="N16" s="52">
        <f>SUM($N$12:$N$15)</f>
        <v>0</v>
      </c>
      <c r="O16" s="52">
        <f>SUM($O$12:$O$15)</f>
        <v>0</v>
      </c>
      <c r="P16" s="52">
        <f>SUM($P$12:$P$15)</f>
        <v>0</v>
      </c>
      <c r="Q16" s="52">
        <f>SUM($Q$12:$Q$15)</f>
        <v>0</v>
      </c>
      <c r="R16" s="52">
        <f>SUM($R$12:$R$15)</f>
        <v>0</v>
      </c>
      <c r="S16" s="52">
        <f>SUM($K$16,$L$16,$M$16,$N$16,$O$16,$P$16,$Q$16,$R$16)</f>
        <v>3</v>
      </c>
      <c r="T16" s="52">
        <f>SUM($C$16,$D$16,$E$16,$F$16,$G$16,$H$16,$I$16,$J$16)</f>
        <v>3</v>
      </c>
      <c r="U16" s="52">
        <f>SUM($U$12:$U$15)</f>
        <v>1</v>
      </c>
      <c r="V16" s="52">
        <f>SUM($V$12:$V$15)</f>
        <v>0</v>
      </c>
      <c r="W16" s="52">
        <f>SUM($W$12:$W$15)</f>
        <v>0</v>
      </c>
      <c r="X16" s="52">
        <f>SUM($X$12:$X$15)</f>
        <v>0</v>
      </c>
      <c r="Y16" s="52">
        <f>SUM($Y$12:$Y$15)</f>
        <v>0</v>
      </c>
      <c r="Z16" s="52">
        <f>SUM($Z$12:$Z$15)</f>
        <v>0</v>
      </c>
      <c r="AA16" s="52">
        <f>SUM($AA$12:$AA$15)</f>
        <v>0</v>
      </c>
      <c r="AB16" s="52">
        <f>SUM($AB$12:$AB$15)</f>
        <v>0</v>
      </c>
      <c r="AC16" s="52">
        <f>SUM($AC$12:$AC$15)</f>
        <v>1</v>
      </c>
      <c r="AD16" s="52">
        <f>SUM($AD$12:$AD$15)</f>
        <v>0</v>
      </c>
      <c r="AE16" s="52">
        <f>SUM($AE$12:$AE$15)</f>
        <v>0</v>
      </c>
      <c r="AF16" s="52">
        <f>SUM($AF$12:$AF$15)</f>
        <v>0</v>
      </c>
      <c r="AG16" s="52">
        <f>SUM($AG$12:$AG$15)</f>
        <v>0</v>
      </c>
      <c r="AH16" s="52">
        <f>SUM($AH$12:$AH$15)</f>
        <v>0</v>
      </c>
      <c r="AI16" s="52">
        <f>SUM($AI$12:$AI$15)</f>
        <v>0</v>
      </c>
      <c r="AJ16" s="52">
        <f>SUM($AJ$12:$AJ$15)</f>
        <v>0</v>
      </c>
      <c r="AK16" s="52">
        <f>SUM($AC$16,$AD$16,$AE$16,$AF$16,$AG$16,$AH$16,$AI$16,$AJ$16)</f>
        <v>1</v>
      </c>
      <c r="AL16" s="52">
        <f>SUM($U$16,$V$16,$W$16,$X$16,$Y$16,$Z$16,$AA$16,$AB$16)</f>
        <v>1</v>
      </c>
      <c r="AM16" s="52">
        <f>SUM($AM$12:$AM$15)</f>
        <v>0</v>
      </c>
      <c r="AN16" s="52">
        <f>SUM($AN$12:$AN$15)</f>
        <v>0</v>
      </c>
      <c r="AO16" s="52">
        <f>SUM($AO$12:$AO$15)</f>
        <v>0</v>
      </c>
      <c r="AP16" s="52">
        <f>SUM($AP$12:$AP$15)</f>
        <v>0</v>
      </c>
      <c r="AQ16" s="52">
        <f>SUM($AQ$12:$AQ$15)</f>
        <v>0</v>
      </c>
      <c r="AR16" s="52">
        <f>SUM($AR$12:$AR$15)</f>
        <v>0</v>
      </c>
      <c r="AS16" s="52">
        <f>SUM($AS$12:$AS$15)</f>
        <v>0</v>
      </c>
      <c r="AT16" s="52">
        <f>SUM($AT$12:$AT$15)</f>
        <v>0</v>
      </c>
      <c r="AU16" s="52">
        <f>SUM($AU$12:$AU$15)</f>
        <v>0</v>
      </c>
      <c r="AV16" s="52">
        <f>SUM($AV$12:$AV$15)</f>
        <v>0</v>
      </c>
      <c r="AW16" s="52">
        <f>SUM($AW$12:$AW$15)</f>
        <v>0</v>
      </c>
      <c r="AX16" s="52">
        <f>SUM($AX$12:$AX$15)</f>
        <v>0</v>
      </c>
      <c r="AY16" s="52">
        <f>SUM($AY$12:$AY$15)</f>
        <v>0</v>
      </c>
      <c r="AZ16" s="52">
        <f>SUM($AZ$12:$AZ$15)</f>
        <v>0</v>
      </c>
      <c r="BA16" s="52">
        <f>SUM($BA$12:$BA$15)</f>
        <v>0</v>
      </c>
      <c r="BB16" s="52">
        <f>SUM($BB$12:$BB$15)</f>
        <v>0</v>
      </c>
      <c r="BC16" s="52">
        <f>SUM($AU$16,$AV$16,$AW$16,$AX$16,$AY$16,$AZ$16,$BA$16,$BB$16)</f>
        <v>0</v>
      </c>
      <c r="BD16" s="52">
        <f>SUM($AM$16,$AN$16,$AO$16,$AP$16,$AQ$16,$AR$16,$AS$16,$AT$16)</f>
        <v>0</v>
      </c>
      <c r="BE16" s="52">
        <f>SUM($BE$12:$BE$15)</f>
        <v>0</v>
      </c>
      <c r="BF16" s="52">
        <f>SUM($BF$12:$BF$15)</f>
        <v>0</v>
      </c>
      <c r="BG16" s="52">
        <f>SUM($BG$12:$BG$15)</f>
        <v>0</v>
      </c>
      <c r="BH16" s="52">
        <f>SUM($BH$12:$BH$15)</f>
        <v>0</v>
      </c>
      <c r="BI16" s="52">
        <f>SUM($BI$12:$BI$15)</f>
        <v>0</v>
      </c>
      <c r="BJ16" s="52">
        <f>SUM($BJ$12:$BJ$15)</f>
        <v>0</v>
      </c>
      <c r="BK16" s="52">
        <f>SUM($BK$12:$BK$15)</f>
        <v>0</v>
      </c>
      <c r="BL16" s="52">
        <f>SUM($BL$12:$BL$15)</f>
        <v>0</v>
      </c>
      <c r="BM16" s="52">
        <f>SUM($BM$12:$BM$15)</f>
        <v>0</v>
      </c>
      <c r="BN16" s="52">
        <f>SUM($BN$12:$BN$15)</f>
        <v>0</v>
      </c>
      <c r="BO16" s="52">
        <f>SUM($BO$12:$BO$15)</f>
        <v>0</v>
      </c>
      <c r="BP16" s="52">
        <f>SUM($BP$12:$BP$15)</f>
        <v>0</v>
      </c>
      <c r="BQ16" s="52">
        <f>SUM($BQ$12:$BQ$15)</f>
        <v>0</v>
      </c>
      <c r="BR16" s="52">
        <f>SUM($BR$12:$BR$15)</f>
        <v>0</v>
      </c>
      <c r="BS16" s="52">
        <f>SUM($BS$12:$BS$15)</f>
        <v>0</v>
      </c>
      <c r="BT16" s="52">
        <f>SUM($BT$12:$BT$15)</f>
        <v>0</v>
      </c>
      <c r="BU16" s="52">
        <f>SUM($BM$16,$BN$16,$BO$16,$BP$16,$BQ$16,$BR$16,$BS$16,$BT$16)</f>
        <v>0</v>
      </c>
      <c r="BV16" s="52">
        <f>SUM($BE$16,$BF$16,$BG$16,$BH$16,$BI$16,$BJ$16,$BK$16,$BL$16)</f>
        <v>0</v>
      </c>
      <c r="BX16" s="52" t="s">
        <v>34</v>
      </c>
      <c r="BY16" s="52">
        <f>SUM($BY$12:$BY$15)</f>
        <v>4</v>
      </c>
      <c r="BZ16" s="52">
        <f>SUM($BZ$12:$BZ$15)</f>
        <v>0</v>
      </c>
      <c r="CA16" s="52">
        <f>SUM($CA$12:$CA$15)</f>
        <v>0</v>
      </c>
      <c r="CB16" s="52">
        <f>SUM($CB$12:$CB$15)</f>
        <v>0</v>
      </c>
      <c r="CC16" s="52">
        <f>SUM($CC$12:$CC$15)</f>
        <v>0</v>
      </c>
      <c r="CD16" s="52">
        <f>SUM($CD$12:$CD$15)</f>
        <v>0</v>
      </c>
      <c r="CE16" s="52">
        <f>SUM($CE$12:$CE$15)</f>
        <v>0</v>
      </c>
      <c r="CF16" s="52">
        <f>SUM($CF$12:$CF$15)</f>
        <v>0</v>
      </c>
      <c r="CG16" s="52">
        <f>SUM($CG$12:$CG$15)</f>
        <v>4</v>
      </c>
      <c r="CH16" s="52">
        <f>SUM($CH$12:$CH$15)</f>
        <v>0</v>
      </c>
      <c r="CI16" s="52">
        <f>SUM($CI$12:$CI$15)</f>
        <v>0</v>
      </c>
      <c r="CJ16" s="52">
        <f>SUM($CJ$12:$CJ$15)</f>
        <v>0</v>
      </c>
      <c r="CK16" s="52">
        <f>SUM($CK$12:$CK$15)</f>
        <v>0</v>
      </c>
      <c r="CL16" s="52">
        <f>SUM($CL$12:$CL$15)</f>
        <v>0</v>
      </c>
      <c r="CM16" s="52">
        <f>SUM($CM$12:$CM$15)</f>
        <v>0</v>
      </c>
      <c r="CN16" s="52">
        <f>SUM($CN$12:$CN$15)</f>
        <v>0</v>
      </c>
      <c r="CO16" s="52">
        <f>SUM($CG$16,$CH$16,$CI$16,$CJ$16,$CK$16,$CL$16,$CM$16,$CN$16)</f>
        <v>4</v>
      </c>
      <c r="CP16" s="52">
        <f>SUM($BY$16,$BZ$16,$CA$16,$CB$16,$CC$16,$CD$16,$CE$16,$CF$16)</f>
        <v>4</v>
      </c>
      <c r="CQ16" s="52">
        <f>SUM($CQ$12:$CQ$15)</f>
        <v>4</v>
      </c>
      <c r="CR16" s="52">
        <f>SUM($CR$12:$CR$15)</f>
        <v>0</v>
      </c>
      <c r="CS16" s="52">
        <f>SUM($CS$12:$CS$15)</f>
        <v>0</v>
      </c>
      <c r="CT16" s="52">
        <f>SUM($CT$12:$CT$15)</f>
        <v>0</v>
      </c>
      <c r="CU16" s="52">
        <f>SUM($CU$12:$CU$15)</f>
        <v>0</v>
      </c>
      <c r="CV16" s="52">
        <f>SUM($CV$12:$CV$15)</f>
        <v>3</v>
      </c>
      <c r="CW16" s="52">
        <f>SUM($CW$12:$CW$15)</f>
        <v>0</v>
      </c>
      <c r="CX16" s="52">
        <f>SUM($CX$12:$CX$15)</f>
        <v>0</v>
      </c>
      <c r="CY16" s="52">
        <f>SUM($CY$12:$CY$15)</f>
        <v>4</v>
      </c>
      <c r="CZ16" s="52">
        <f>SUM($CZ$12:$CZ$15)</f>
        <v>0</v>
      </c>
      <c r="DA16" s="52">
        <f>SUM($DA$12:$DA$15)</f>
        <v>0</v>
      </c>
      <c r="DB16" s="52">
        <f>SUM($DB$12:$DB$15)</f>
        <v>0</v>
      </c>
      <c r="DC16" s="52">
        <f>SUM($DC$12:$DC$15)</f>
        <v>0</v>
      </c>
      <c r="DD16" s="52">
        <f>SUM($DD$12:$DD$15)</f>
        <v>1</v>
      </c>
      <c r="DE16" s="52">
        <f>SUM($DE$12:$DE$15)</f>
        <v>0</v>
      </c>
      <c r="DF16" s="52">
        <f>SUM($DF$12:$DF$15)</f>
        <v>0</v>
      </c>
      <c r="DG16" s="52">
        <f>SUM($CY$16,$CZ$16,$DA$16,$DB$16,$DC$16,$DD$16,$DE$16,$DF$16)</f>
        <v>5</v>
      </c>
      <c r="DH16" s="52">
        <f>SUM($CQ$16,$CR$16,$CS$16,$CT$16,$CU$16,$CV$16,$CW$16,$CX$16)</f>
        <v>7</v>
      </c>
    </row>
    <row r="17" spans="1:112" ht="21" customHeight="1">
      <c r="A17" s="46">
        <v>44395.041666666701</v>
      </c>
      <c r="B17" s="53" t="s">
        <v>35</v>
      </c>
      <c r="C17" s="54">
        <v>0</v>
      </c>
      <c r="D17" s="54">
        <v>0</v>
      </c>
      <c r="E17" s="54">
        <v>0</v>
      </c>
      <c r="F17" s="54">
        <v>0</v>
      </c>
      <c r="G17" s="54">
        <v>0</v>
      </c>
      <c r="H17" s="54">
        <v>0</v>
      </c>
      <c r="I17" s="54">
        <v>0</v>
      </c>
      <c r="J17" s="61">
        <v>0</v>
      </c>
      <c r="K17" s="62">
        <f>$C$17*VLOOKUP($C$11,'PCU Values'!$B$9:$C$16,2,FALSE)</f>
        <v>0</v>
      </c>
      <c r="L17" s="62">
        <f>$D$17*VLOOKUP($D$11,'PCU Values'!$B$9:$C$16,2,FALSE)</f>
        <v>0</v>
      </c>
      <c r="M17" s="62">
        <f>$E$17*VLOOKUP($E$11,'PCU Values'!$B$9:$C$16,2,FALSE)</f>
        <v>0</v>
      </c>
      <c r="N17" s="62">
        <f>$F$17*VLOOKUP($F$11,'PCU Values'!$B$9:$C$16,2,FALSE)</f>
        <v>0</v>
      </c>
      <c r="O17" s="62">
        <f>$G$17*VLOOKUP($G$11,'PCU Values'!$B$9:$C$16,2,FALSE)</f>
        <v>0</v>
      </c>
      <c r="P17" s="62">
        <f>$H$17*VLOOKUP($H$11,'PCU Values'!$B$9:$C$16,2,FALSE)</f>
        <v>0</v>
      </c>
      <c r="Q17" s="62">
        <f>$I$17*VLOOKUP($I$11,'PCU Values'!$B$9:$C$16,2,FALSE)</f>
        <v>0</v>
      </c>
      <c r="R17" s="70">
        <f>$J$17*VLOOKUP($J$11,'PCU Values'!$B$9:$C$16,2,FALSE)</f>
        <v>0</v>
      </c>
      <c r="S17" s="71">
        <f>SUM($K$17,$L$17,$M$17,$N$17,$O$17,$P$17,$Q$17,$R$17)</f>
        <v>0</v>
      </c>
      <c r="T17" s="52">
        <f>SUM($C$17,$D$17,$E$17,$F$17,$G$17,$H$17,$I$17,$J$17)</f>
        <v>0</v>
      </c>
      <c r="U17" s="72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61">
        <v>0</v>
      </c>
      <c r="AC17" s="62">
        <f>$U$17*VLOOKUP($U$11,'PCU Values'!$B$9:$C$16,2,FALSE)</f>
        <v>0</v>
      </c>
      <c r="AD17" s="62">
        <f>$V$17*VLOOKUP($V$11,'PCU Values'!$B$9:$C$16,2,FALSE)</f>
        <v>0</v>
      </c>
      <c r="AE17" s="62">
        <f>$W$17*VLOOKUP($W$11,'PCU Values'!$B$9:$C$16,2,FALSE)</f>
        <v>0</v>
      </c>
      <c r="AF17" s="62">
        <f>$X$17*VLOOKUP($X$11,'PCU Values'!$B$9:$C$16,2,FALSE)</f>
        <v>0</v>
      </c>
      <c r="AG17" s="62">
        <f>$Y$17*VLOOKUP($Y$11,'PCU Values'!$B$9:$C$16,2,FALSE)</f>
        <v>0</v>
      </c>
      <c r="AH17" s="62">
        <f>$Z$17*VLOOKUP($Z$11,'PCU Values'!$B$9:$C$16,2,FALSE)</f>
        <v>0</v>
      </c>
      <c r="AI17" s="62">
        <f>$AA$17*VLOOKUP($AA$11,'PCU Values'!$B$9:$C$16,2,FALSE)</f>
        <v>0</v>
      </c>
      <c r="AJ17" s="70">
        <f>$AB$17*VLOOKUP($AB$11,'PCU Values'!$B$9:$C$16,2,FALSE)</f>
        <v>0</v>
      </c>
      <c r="AK17" s="71">
        <f>SUM($AC$17,$AD$17,$AE$17,$AF$17,$AG$17,$AH$17,$AI$17,$AJ$17)</f>
        <v>0</v>
      </c>
      <c r="AL17" s="52">
        <f>SUM($U$17,$V$17,$W$17,$X$17,$Y$17,$Z$17,$AA$17,$AB$17)</f>
        <v>0</v>
      </c>
      <c r="AM17" s="72">
        <v>0</v>
      </c>
      <c r="AN17" s="54">
        <v>0</v>
      </c>
      <c r="AO17" s="54">
        <v>0</v>
      </c>
      <c r="AP17" s="54">
        <v>0</v>
      </c>
      <c r="AQ17" s="54">
        <v>0</v>
      </c>
      <c r="AR17" s="54">
        <v>0</v>
      </c>
      <c r="AS17" s="54">
        <v>0</v>
      </c>
      <c r="AT17" s="61">
        <v>0</v>
      </c>
      <c r="AU17" s="62">
        <f>$AM$17*VLOOKUP($AM$11,'PCU Values'!$B$9:$C$16,2,FALSE)</f>
        <v>0</v>
      </c>
      <c r="AV17" s="62">
        <f>$AN$17*VLOOKUP($AN$11,'PCU Values'!$B$9:$C$16,2,FALSE)</f>
        <v>0</v>
      </c>
      <c r="AW17" s="62">
        <f>$AO$17*VLOOKUP($AO$11,'PCU Values'!$B$9:$C$16,2,FALSE)</f>
        <v>0</v>
      </c>
      <c r="AX17" s="62">
        <f>$AP$17*VLOOKUP($AP$11,'PCU Values'!$B$9:$C$16,2,FALSE)</f>
        <v>0</v>
      </c>
      <c r="AY17" s="62">
        <f>$AQ$17*VLOOKUP($AQ$11,'PCU Values'!$B$9:$C$16,2,FALSE)</f>
        <v>0</v>
      </c>
      <c r="AZ17" s="62">
        <f>$AR$17*VLOOKUP($AR$11,'PCU Values'!$B$9:$C$16,2,FALSE)</f>
        <v>0</v>
      </c>
      <c r="BA17" s="62">
        <f>$AS$17*VLOOKUP($AS$11,'PCU Values'!$B$9:$C$16,2,FALSE)</f>
        <v>0</v>
      </c>
      <c r="BB17" s="70">
        <f>$AT$17*VLOOKUP($AT$11,'PCU Values'!$B$9:$C$16,2,FALSE)</f>
        <v>0</v>
      </c>
      <c r="BC17" s="71">
        <f>SUM($AU$17,$AV$17,$AW$17,$AX$17,$AY$17,$AZ$17,$BA$17,$BB$17)</f>
        <v>0</v>
      </c>
      <c r="BD17" s="52">
        <f>SUM($AM$17,$AN$17,$AO$17,$AP$17,$AQ$17,$AR$17,$AS$17,$AT$17)</f>
        <v>0</v>
      </c>
      <c r="BE17" s="72">
        <v>0</v>
      </c>
      <c r="BF17" s="54">
        <v>0</v>
      </c>
      <c r="BG17" s="54">
        <v>0</v>
      </c>
      <c r="BH17" s="54">
        <v>0</v>
      </c>
      <c r="BI17" s="54">
        <v>0</v>
      </c>
      <c r="BJ17" s="54">
        <v>0</v>
      </c>
      <c r="BK17" s="54">
        <v>0</v>
      </c>
      <c r="BL17" s="61">
        <v>0</v>
      </c>
      <c r="BM17" s="81">
        <f>$BE$17*VLOOKUP($BE$11,'PCU Values'!$B$9:$C$16,2,FALSE)</f>
        <v>0</v>
      </c>
      <c r="BN17" s="81">
        <f>$BF$17*VLOOKUP($BF$11,'PCU Values'!$B$9:$C$16,2,FALSE)</f>
        <v>0</v>
      </c>
      <c r="BO17" s="81">
        <f>$BG$17*VLOOKUP($BG$11,'PCU Values'!$B$9:$C$16,2,FALSE)</f>
        <v>0</v>
      </c>
      <c r="BP17" s="81">
        <f>$BH$17*VLOOKUP($BH$11,'PCU Values'!$B$9:$C$16,2,FALSE)</f>
        <v>0</v>
      </c>
      <c r="BQ17" s="81">
        <f>$BI$17*VLOOKUP($BI$11,'PCU Values'!$B$9:$C$16,2,FALSE)</f>
        <v>0</v>
      </c>
      <c r="BR17" s="81">
        <f>$BJ$17*VLOOKUP($BJ$11,'PCU Values'!$B$9:$C$16,2,FALSE)</f>
        <v>0</v>
      </c>
      <c r="BS17" s="81">
        <f>$BK$17*VLOOKUP($BK$11,'PCU Values'!$B$9:$C$16,2,FALSE)</f>
        <v>0</v>
      </c>
      <c r="BT17" s="82">
        <f>$BL$17*VLOOKUP($BL$11,'PCU Values'!$B$9:$C$16,2,FALSE)</f>
        <v>0</v>
      </c>
      <c r="BU17" s="71">
        <f>SUM($BM$17,$BN$17,$BO$17,$BP$17,$BQ$17,$BR$17,$BS$17,$BT$17)</f>
        <v>0</v>
      </c>
      <c r="BV17" s="52">
        <f>SUM($BE$17,$BF$17,$BG$17,$BH$17,$BI$17,$BJ$17,$BK$17,$BL$17)</f>
        <v>0</v>
      </c>
      <c r="BX17" s="53" t="s">
        <v>35</v>
      </c>
      <c r="BY17" s="85">
        <f>SUM($C$17,$U$17,$AM$17,$BE$17)</f>
        <v>0</v>
      </c>
      <c r="BZ17" s="85">
        <f>SUM($D$17,$V$17,$AN$17,$BF$17)</f>
        <v>0</v>
      </c>
      <c r="CA17" s="85">
        <f>SUM($E$17,$W$17,$AO$17,$BG$17)</f>
        <v>0</v>
      </c>
      <c r="CB17" s="85">
        <f>SUM($F$17,$X$17,$AP$17,$BH$17)</f>
        <v>0</v>
      </c>
      <c r="CC17" s="85">
        <f>SUM($G$17,$Y$17,$AQ$17,$BI$17)</f>
        <v>0</v>
      </c>
      <c r="CD17" s="85">
        <f>SUM($H$17,$Z$17,$AR$17,$BJ$17)</f>
        <v>0</v>
      </c>
      <c r="CE17" s="85">
        <f>SUM($I$17,$AA$17,$AS$17,$BK$17)</f>
        <v>0</v>
      </c>
      <c r="CF17" s="88">
        <f>SUM($J$17,$AB$17,$AT$17,$BL$17)</f>
        <v>0</v>
      </c>
      <c r="CG17" s="81">
        <f>$BY$17*VLOOKUP($BY$11,'PCU Values'!$B$9:$C$16,2,FALSE)</f>
        <v>0</v>
      </c>
      <c r="CH17" s="81">
        <f>$BZ$17*VLOOKUP($BZ$11,'PCU Values'!$B$9:$C$16,2,FALSE)</f>
        <v>0</v>
      </c>
      <c r="CI17" s="81">
        <f>$CA$17*VLOOKUP($CA$11,'PCU Values'!$B$9:$C$16,2,FALSE)</f>
        <v>0</v>
      </c>
      <c r="CJ17" s="81">
        <f>$CB$17*VLOOKUP($CB$11,'PCU Values'!$B$9:$C$16,2,FALSE)</f>
        <v>0</v>
      </c>
      <c r="CK17" s="81">
        <f>$CC$17*VLOOKUP($CC$11,'PCU Values'!$B$9:$C$16,2,FALSE)</f>
        <v>0</v>
      </c>
      <c r="CL17" s="81">
        <f>$CD$17*VLOOKUP($CD$11,'PCU Values'!$B$9:$C$16,2,FALSE)</f>
        <v>0</v>
      </c>
      <c r="CM17" s="81">
        <f>$CE$17*VLOOKUP($CE$11,'PCU Values'!$B$9:$C$16,2,FALSE)</f>
        <v>0</v>
      </c>
      <c r="CN17" s="82">
        <f>$CF$17*VLOOKUP($CF$11,'PCU Values'!$B$9:$C$16,2,FALSE)</f>
        <v>0</v>
      </c>
      <c r="CO17" s="71">
        <f>SUM($CG$17,$CH$17,$CI$17,$CJ$17,$CK$17,$CL$17,$CM$17,$CN$17)</f>
        <v>0</v>
      </c>
      <c r="CP17" s="52">
        <f>SUM($BY$17,$BZ$17,$CA$17,$CB$17,$CC$17,$CD$17,$CE$17,$CF$17)</f>
        <v>0</v>
      </c>
      <c r="CQ17" s="91">
        <f>SUM('J1 A - (North) Bishopthorpe Roa'!$AM$17,'J1 B - Butcher Terrace'!$U$17,'J1 C - (South) Bishopthorpe Roa'!$C$17,'J1 D - South Bank Avenue'!$BE$17)</f>
        <v>1</v>
      </c>
      <c r="CR17" s="85">
        <f>SUM('J1 A - (North) Bishopthorpe Roa'!$AN$17,'J1 B - Butcher Terrace'!$V$17,'J1 C - (South) Bishopthorpe Roa'!$D$17,'J1 D - South Bank Avenue'!$BF$17)</f>
        <v>0</v>
      </c>
      <c r="CS17" s="85">
        <f>SUM('J1 A - (North) Bishopthorpe Roa'!$AO$17,'J1 B - Butcher Terrace'!$W$17,'J1 C - (South) Bishopthorpe Roa'!$E$17,'J1 D - South Bank Avenue'!$BG$17)</f>
        <v>0</v>
      </c>
      <c r="CT17" s="85">
        <f>SUM('J1 A - (North) Bishopthorpe Roa'!$AP$17,'J1 B - Butcher Terrace'!$X$17,'J1 C - (South) Bishopthorpe Roa'!$F$17,'J1 D - South Bank Avenue'!$BH$17)</f>
        <v>0</v>
      </c>
      <c r="CU17" s="85">
        <f>SUM('J1 A - (North) Bishopthorpe Roa'!$AQ$17,'J1 B - Butcher Terrace'!$Y$17,'J1 C - (South) Bishopthorpe Roa'!$G$17,'J1 D - South Bank Avenue'!$BI$17)</f>
        <v>0</v>
      </c>
      <c r="CV17" s="85">
        <f>SUM('J1 A - (North) Bishopthorpe Roa'!$AR$17,'J1 B - Butcher Terrace'!$Z$17,'J1 C - (South) Bishopthorpe Roa'!$H$17,'J1 D - South Bank Avenue'!$BJ$17)</f>
        <v>0</v>
      </c>
      <c r="CW17" s="85">
        <f>SUM('J1 A - (North) Bishopthorpe Roa'!$AS$17,'J1 B - Butcher Terrace'!$AA$17,'J1 C - (South) Bishopthorpe Roa'!$I$17,'J1 D - South Bank Avenue'!$BK$17)</f>
        <v>0</v>
      </c>
      <c r="CX17" s="88">
        <f>SUM('J1 A - (North) Bishopthorpe Roa'!$AT$17,'J1 B - Butcher Terrace'!$AB$17,'J1 C - (South) Bishopthorpe Roa'!$J$17,'J1 D - South Bank Avenue'!$BL$17)</f>
        <v>0</v>
      </c>
      <c r="CY17" s="81">
        <f>$CQ$17*VLOOKUP($CQ$11,'PCU Values'!$B$9:$C$16,2,FALSE)</f>
        <v>1</v>
      </c>
      <c r="CZ17" s="81">
        <f>$CR$17*VLOOKUP($CR$11,'PCU Values'!$B$9:$C$16,2,FALSE)</f>
        <v>0</v>
      </c>
      <c r="DA17" s="81">
        <f>$CS$17*VLOOKUP($CS$11,'PCU Values'!$B$9:$C$16,2,FALSE)</f>
        <v>0</v>
      </c>
      <c r="DB17" s="81">
        <f>$CT$17*VLOOKUP($CT$11,'PCU Values'!$B$9:$C$16,2,FALSE)</f>
        <v>0</v>
      </c>
      <c r="DC17" s="81">
        <f>$CU$17*VLOOKUP($CU$11,'PCU Values'!$B$9:$C$16,2,FALSE)</f>
        <v>0</v>
      </c>
      <c r="DD17" s="81">
        <f>$CV$17*VLOOKUP($CV$11,'PCU Values'!$B$9:$C$16,2,FALSE)</f>
        <v>0</v>
      </c>
      <c r="DE17" s="81">
        <f>$CW$17*VLOOKUP($CW$11,'PCU Values'!$B$9:$C$16,2,FALSE)</f>
        <v>0</v>
      </c>
      <c r="DF17" s="82">
        <f>$CX$17*VLOOKUP($CX$11,'PCU Values'!$B$9:$C$16,2,FALSE)</f>
        <v>0</v>
      </c>
      <c r="DG17" s="71">
        <f>SUM($CY$17,$CZ$17,$DA$17,$DB$17,$DC$17,$DD$17,$DE$17,$DF$17)</f>
        <v>1</v>
      </c>
      <c r="DH17" s="52">
        <f>SUM($CQ$17,$CR$17,$CS$17,$CT$17,$CU$17,$CV$17,$CW$17,$CX$17)</f>
        <v>1</v>
      </c>
    </row>
    <row r="18" spans="1:112" ht="21" customHeight="1">
      <c r="A18" s="46">
        <v>44395.052083333299</v>
      </c>
      <c r="B18" s="47" t="s">
        <v>36</v>
      </c>
      <c r="C18" s="48">
        <v>0</v>
      </c>
      <c r="D18" s="48">
        <v>0</v>
      </c>
      <c r="E18" s="48">
        <v>0</v>
      </c>
      <c r="F18" s="48">
        <v>0</v>
      </c>
      <c r="G18" s="48">
        <v>0</v>
      </c>
      <c r="H18" s="48">
        <v>0</v>
      </c>
      <c r="I18" s="48">
        <v>0</v>
      </c>
      <c r="J18" s="56">
        <v>0</v>
      </c>
      <c r="K18" s="57">
        <f>$C$18*VLOOKUP($C$11,'PCU Values'!$B$9:$C$16,2,FALSE)</f>
        <v>0</v>
      </c>
      <c r="L18" s="57">
        <f>$D$18*VLOOKUP($D$11,'PCU Values'!$B$9:$C$16,2,FALSE)</f>
        <v>0</v>
      </c>
      <c r="M18" s="57">
        <f>$E$18*VLOOKUP($E$11,'PCU Values'!$B$9:$C$16,2,FALSE)</f>
        <v>0</v>
      </c>
      <c r="N18" s="57">
        <f>$F$18*VLOOKUP($F$11,'PCU Values'!$B$9:$C$16,2,FALSE)</f>
        <v>0</v>
      </c>
      <c r="O18" s="57">
        <f>$G$18*VLOOKUP($G$11,'PCU Values'!$B$9:$C$16,2,FALSE)</f>
        <v>0</v>
      </c>
      <c r="P18" s="57">
        <f>$H$18*VLOOKUP($H$11,'PCU Values'!$B$9:$C$16,2,FALSE)</f>
        <v>0</v>
      </c>
      <c r="Q18" s="57">
        <f>$I$18*VLOOKUP($I$11,'PCU Values'!$B$9:$C$16,2,FALSE)</f>
        <v>0</v>
      </c>
      <c r="R18" s="65">
        <f>$J$18*VLOOKUP($J$11,'PCU Values'!$B$9:$C$16,2,FALSE)</f>
        <v>0</v>
      </c>
      <c r="S18" s="66">
        <f>SUM($K$18,$L$18,$M$18,$N$18,$O$18,$P$18,$Q$18,$R$18)</f>
        <v>0</v>
      </c>
      <c r="T18" s="52">
        <f>SUM($C$18,$D$18,$E$18,$F$18,$G$18,$H$18,$I$18,$J$18)</f>
        <v>0</v>
      </c>
      <c r="U18" s="67">
        <v>0</v>
      </c>
      <c r="V18" s="48">
        <v>0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56">
        <v>0</v>
      </c>
      <c r="AC18" s="57">
        <f>$U$18*VLOOKUP($U$11,'PCU Values'!$B$9:$C$16,2,FALSE)</f>
        <v>0</v>
      </c>
      <c r="AD18" s="57">
        <f>$V$18*VLOOKUP($V$11,'PCU Values'!$B$9:$C$16,2,FALSE)</f>
        <v>0</v>
      </c>
      <c r="AE18" s="57">
        <f>$W$18*VLOOKUP($W$11,'PCU Values'!$B$9:$C$16,2,FALSE)</f>
        <v>0</v>
      </c>
      <c r="AF18" s="57">
        <f>$X$18*VLOOKUP($X$11,'PCU Values'!$B$9:$C$16,2,FALSE)</f>
        <v>0</v>
      </c>
      <c r="AG18" s="57">
        <f>$Y$18*VLOOKUP($Y$11,'PCU Values'!$B$9:$C$16,2,FALSE)</f>
        <v>0</v>
      </c>
      <c r="AH18" s="57">
        <f>$Z$18*VLOOKUP($Z$11,'PCU Values'!$B$9:$C$16,2,FALSE)</f>
        <v>0</v>
      </c>
      <c r="AI18" s="57">
        <f>$AA$18*VLOOKUP($AA$11,'PCU Values'!$B$9:$C$16,2,FALSE)</f>
        <v>0</v>
      </c>
      <c r="AJ18" s="65">
        <f>$AB$18*VLOOKUP($AB$11,'PCU Values'!$B$9:$C$16,2,FALSE)</f>
        <v>0</v>
      </c>
      <c r="AK18" s="66">
        <f>SUM($AC$18,$AD$18,$AE$18,$AF$18,$AG$18,$AH$18,$AI$18,$AJ$18)</f>
        <v>0</v>
      </c>
      <c r="AL18" s="52">
        <f>SUM($U$18,$V$18,$W$18,$X$18,$Y$18,$Z$18,$AA$18,$AB$18)</f>
        <v>0</v>
      </c>
      <c r="AM18" s="67">
        <v>0</v>
      </c>
      <c r="AN18" s="48">
        <v>0</v>
      </c>
      <c r="AO18" s="48">
        <v>0</v>
      </c>
      <c r="AP18" s="48">
        <v>0</v>
      </c>
      <c r="AQ18" s="48">
        <v>0</v>
      </c>
      <c r="AR18" s="48">
        <v>0</v>
      </c>
      <c r="AS18" s="48">
        <v>0</v>
      </c>
      <c r="AT18" s="56">
        <v>0</v>
      </c>
      <c r="AU18" s="57">
        <f>$AM$18*VLOOKUP($AM$11,'PCU Values'!$B$9:$C$16,2,FALSE)</f>
        <v>0</v>
      </c>
      <c r="AV18" s="57">
        <f>$AN$18*VLOOKUP($AN$11,'PCU Values'!$B$9:$C$16,2,FALSE)</f>
        <v>0</v>
      </c>
      <c r="AW18" s="57">
        <f>$AO$18*VLOOKUP($AO$11,'PCU Values'!$B$9:$C$16,2,FALSE)</f>
        <v>0</v>
      </c>
      <c r="AX18" s="57">
        <f>$AP$18*VLOOKUP($AP$11,'PCU Values'!$B$9:$C$16,2,FALSE)</f>
        <v>0</v>
      </c>
      <c r="AY18" s="57">
        <f>$AQ$18*VLOOKUP($AQ$11,'PCU Values'!$B$9:$C$16,2,FALSE)</f>
        <v>0</v>
      </c>
      <c r="AZ18" s="57">
        <f>$AR$18*VLOOKUP($AR$11,'PCU Values'!$B$9:$C$16,2,FALSE)</f>
        <v>0</v>
      </c>
      <c r="BA18" s="57">
        <f>$AS$18*VLOOKUP($AS$11,'PCU Values'!$B$9:$C$16,2,FALSE)</f>
        <v>0</v>
      </c>
      <c r="BB18" s="65">
        <f>$AT$18*VLOOKUP($AT$11,'PCU Values'!$B$9:$C$16,2,FALSE)</f>
        <v>0</v>
      </c>
      <c r="BC18" s="66">
        <f>SUM($AU$18,$AV$18,$AW$18,$AX$18,$AY$18,$AZ$18,$BA$18,$BB$18)</f>
        <v>0</v>
      </c>
      <c r="BD18" s="52">
        <f>SUM($AM$18,$AN$18,$AO$18,$AP$18,$AQ$18,$AR$18,$AS$18,$AT$18)</f>
        <v>0</v>
      </c>
      <c r="BE18" s="67">
        <v>0</v>
      </c>
      <c r="BF18" s="48">
        <v>0</v>
      </c>
      <c r="BG18" s="48">
        <v>0</v>
      </c>
      <c r="BH18" s="48">
        <v>0</v>
      </c>
      <c r="BI18" s="48">
        <v>0</v>
      </c>
      <c r="BJ18" s="48">
        <v>0</v>
      </c>
      <c r="BK18" s="48">
        <v>0</v>
      </c>
      <c r="BL18" s="56">
        <v>0</v>
      </c>
      <c r="BM18" s="77">
        <f>$BE$18*VLOOKUP($BE$11,'PCU Values'!$B$9:$C$16,2,FALSE)</f>
        <v>0</v>
      </c>
      <c r="BN18" s="77">
        <f>$BF$18*VLOOKUP($BF$11,'PCU Values'!$B$9:$C$16,2,FALSE)</f>
        <v>0</v>
      </c>
      <c r="BO18" s="77">
        <f>$BG$18*VLOOKUP($BG$11,'PCU Values'!$B$9:$C$16,2,FALSE)</f>
        <v>0</v>
      </c>
      <c r="BP18" s="77">
        <f>$BH$18*VLOOKUP($BH$11,'PCU Values'!$B$9:$C$16,2,FALSE)</f>
        <v>0</v>
      </c>
      <c r="BQ18" s="77">
        <f>$BI$18*VLOOKUP($BI$11,'PCU Values'!$B$9:$C$16,2,FALSE)</f>
        <v>0</v>
      </c>
      <c r="BR18" s="77">
        <f>$BJ$18*VLOOKUP($BJ$11,'PCU Values'!$B$9:$C$16,2,FALSE)</f>
        <v>0</v>
      </c>
      <c r="BS18" s="77">
        <f>$BK$18*VLOOKUP($BK$11,'PCU Values'!$B$9:$C$16,2,FALSE)</f>
        <v>0</v>
      </c>
      <c r="BT18" s="78">
        <f>$BL$18*VLOOKUP($BL$11,'PCU Values'!$B$9:$C$16,2,FALSE)</f>
        <v>0</v>
      </c>
      <c r="BU18" s="66">
        <f>SUM($BM$18,$BN$18,$BO$18,$BP$18,$BQ$18,$BR$18,$BS$18,$BT$18)</f>
        <v>0</v>
      </c>
      <c r="BV18" s="52">
        <f>SUM($BE$18,$BF$18,$BG$18,$BH$18,$BI$18,$BJ$18,$BK$18,$BL$18)</f>
        <v>0</v>
      </c>
      <c r="BX18" s="47" t="s">
        <v>36</v>
      </c>
      <c r="BY18" s="83">
        <f>SUM($C$18,$U$18,$AM$18,$BE$18)</f>
        <v>0</v>
      </c>
      <c r="BZ18" s="83">
        <f>SUM($D$18,$V$18,$AN$18,$BF$18)</f>
        <v>0</v>
      </c>
      <c r="CA18" s="83">
        <f>SUM($E$18,$W$18,$AO$18,$BG$18)</f>
        <v>0</v>
      </c>
      <c r="CB18" s="83">
        <f>SUM($F$18,$X$18,$AP$18,$BH$18)</f>
        <v>0</v>
      </c>
      <c r="CC18" s="83">
        <f>SUM($G$18,$Y$18,$AQ$18,$BI$18)</f>
        <v>0</v>
      </c>
      <c r="CD18" s="83">
        <f>SUM($H$18,$Z$18,$AR$18,$BJ$18)</f>
        <v>0</v>
      </c>
      <c r="CE18" s="83">
        <f>SUM($I$18,$AA$18,$AS$18,$BK$18)</f>
        <v>0</v>
      </c>
      <c r="CF18" s="86">
        <f>SUM($J$18,$AB$18,$AT$18,$BL$18)</f>
        <v>0</v>
      </c>
      <c r="CG18" s="77">
        <f>$BY$18*VLOOKUP($BY$11,'PCU Values'!$B$9:$C$16,2,FALSE)</f>
        <v>0</v>
      </c>
      <c r="CH18" s="77">
        <f>$BZ$18*VLOOKUP($BZ$11,'PCU Values'!$B$9:$C$16,2,FALSE)</f>
        <v>0</v>
      </c>
      <c r="CI18" s="77">
        <f>$CA$18*VLOOKUP($CA$11,'PCU Values'!$B$9:$C$16,2,FALSE)</f>
        <v>0</v>
      </c>
      <c r="CJ18" s="77">
        <f>$CB$18*VLOOKUP($CB$11,'PCU Values'!$B$9:$C$16,2,FALSE)</f>
        <v>0</v>
      </c>
      <c r="CK18" s="77">
        <f>$CC$18*VLOOKUP($CC$11,'PCU Values'!$B$9:$C$16,2,FALSE)</f>
        <v>0</v>
      </c>
      <c r="CL18" s="77">
        <f>$CD$18*VLOOKUP($CD$11,'PCU Values'!$B$9:$C$16,2,FALSE)</f>
        <v>0</v>
      </c>
      <c r="CM18" s="77">
        <f>$CE$18*VLOOKUP($CE$11,'PCU Values'!$B$9:$C$16,2,FALSE)</f>
        <v>0</v>
      </c>
      <c r="CN18" s="78">
        <f>$CF$18*VLOOKUP($CF$11,'PCU Values'!$B$9:$C$16,2,FALSE)</f>
        <v>0</v>
      </c>
      <c r="CO18" s="66">
        <f>SUM($CG$18,$CH$18,$CI$18,$CJ$18,$CK$18,$CL$18,$CM$18,$CN$18)</f>
        <v>0</v>
      </c>
      <c r="CP18" s="52">
        <f>SUM($BY$18,$BZ$18,$CA$18,$CB$18,$CC$18,$CD$18,$CE$18,$CF$18)</f>
        <v>0</v>
      </c>
      <c r="CQ18" s="89">
        <f>SUM('J1 A - (North) Bishopthorpe Roa'!$AM$18,'J1 B - Butcher Terrace'!$U$18,'J1 C - (South) Bishopthorpe Roa'!$C$18,'J1 D - South Bank Avenue'!$BE$18)</f>
        <v>0</v>
      </c>
      <c r="CR18" s="83">
        <f>SUM('J1 A - (North) Bishopthorpe Roa'!$AN$18,'J1 B - Butcher Terrace'!$V$18,'J1 C - (South) Bishopthorpe Roa'!$D$18,'J1 D - South Bank Avenue'!$BF$18)</f>
        <v>0</v>
      </c>
      <c r="CS18" s="83">
        <f>SUM('J1 A - (North) Bishopthorpe Roa'!$AO$18,'J1 B - Butcher Terrace'!$W$18,'J1 C - (South) Bishopthorpe Roa'!$E$18,'J1 D - South Bank Avenue'!$BG$18)</f>
        <v>0</v>
      </c>
      <c r="CT18" s="83">
        <f>SUM('J1 A - (North) Bishopthorpe Roa'!$AP$18,'J1 B - Butcher Terrace'!$X$18,'J1 C - (South) Bishopthorpe Roa'!$F$18,'J1 D - South Bank Avenue'!$BH$18)</f>
        <v>0</v>
      </c>
      <c r="CU18" s="83">
        <f>SUM('J1 A - (North) Bishopthorpe Roa'!$AQ$18,'J1 B - Butcher Terrace'!$Y$18,'J1 C - (South) Bishopthorpe Roa'!$G$18,'J1 D - South Bank Avenue'!$BI$18)</f>
        <v>0</v>
      </c>
      <c r="CV18" s="83">
        <f>SUM('J1 A - (North) Bishopthorpe Roa'!$AR$18,'J1 B - Butcher Terrace'!$Z$18,'J1 C - (South) Bishopthorpe Roa'!$H$18,'J1 D - South Bank Avenue'!$BJ$18)</f>
        <v>1</v>
      </c>
      <c r="CW18" s="83">
        <f>SUM('J1 A - (North) Bishopthorpe Roa'!$AS$18,'J1 B - Butcher Terrace'!$AA$18,'J1 C - (South) Bishopthorpe Roa'!$I$18,'J1 D - South Bank Avenue'!$BK$18)</f>
        <v>0</v>
      </c>
      <c r="CX18" s="86">
        <f>SUM('J1 A - (North) Bishopthorpe Roa'!$AT$18,'J1 B - Butcher Terrace'!$AB$18,'J1 C - (South) Bishopthorpe Roa'!$J$18,'J1 D - South Bank Avenue'!$BL$18)</f>
        <v>0</v>
      </c>
      <c r="CY18" s="77">
        <f>$CQ$18*VLOOKUP($CQ$11,'PCU Values'!$B$9:$C$16,2,FALSE)</f>
        <v>0</v>
      </c>
      <c r="CZ18" s="77">
        <f>$CR$18*VLOOKUP($CR$11,'PCU Values'!$B$9:$C$16,2,FALSE)</f>
        <v>0</v>
      </c>
      <c r="DA18" s="77">
        <f>$CS$18*VLOOKUP($CS$11,'PCU Values'!$B$9:$C$16,2,FALSE)</f>
        <v>0</v>
      </c>
      <c r="DB18" s="77">
        <f>$CT$18*VLOOKUP($CT$11,'PCU Values'!$B$9:$C$16,2,FALSE)</f>
        <v>0</v>
      </c>
      <c r="DC18" s="77">
        <f>$CU$18*VLOOKUP($CU$11,'PCU Values'!$B$9:$C$16,2,FALSE)</f>
        <v>0</v>
      </c>
      <c r="DD18" s="77">
        <f>$CV$18*VLOOKUP($CV$11,'PCU Values'!$B$9:$C$16,2,FALSE)</f>
        <v>0.2</v>
      </c>
      <c r="DE18" s="77">
        <f>$CW$18*VLOOKUP($CW$11,'PCU Values'!$B$9:$C$16,2,FALSE)</f>
        <v>0</v>
      </c>
      <c r="DF18" s="78">
        <f>$CX$18*VLOOKUP($CX$11,'PCU Values'!$B$9:$C$16,2,FALSE)</f>
        <v>0</v>
      </c>
      <c r="DG18" s="66">
        <f>SUM($CY$18,$CZ$18,$DA$18,$DB$18,$DC$18,$DD$18,$DE$18,$DF$18)</f>
        <v>0.2</v>
      </c>
      <c r="DH18" s="52">
        <f>SUM($CQ$18,$CR$18,$CS$18,$CT$18,$CU$18,$CV$18,$CW$18,$CX$18)</f>
        <v>1</v>
      </c>
    </row>
    <row r="19" spans="1:112" ht="21" customHeight="1">
      <c r="A19" s="46">
        <v>44395.0625</v>
      </c>
      <c r="B19" s="47" t="s">
        <v>37</v>
      </c>
      <c r="C19" s="48">
        <v>0</v>
      </c>
      <c r="D19" s="48">
        <v>0</v>
      </c>
      <c r="E19" s="48">
        <v>0</v>
      </c>
      <c r="F19" s="48">
        <v>0</v>
      </c>
      <c r="G19" s="48">
        <v>0</v>
      </c>
      <c r="H19" s="48">
        <v>0</v>
      </c>
      <c r="I19" s="48">
        <v>0</v>
      </c>
      <c r="J19" s="56">
        <v>0</v>
      </c>
      <c r="K19" s="57">
        <f>$C$19*VLOOKUP($C$11,'PCU Values'!$B$9:$C$16,2,FALSE)</f>
        <v>0</v>
      </c>
      <c r="L19" s="57">
        <f>$D$19*VLOOKUP($D$11,'PCU Values'!$B$9:$C$16,2,FALSE)</f>
        <v>0</v>
      </c>
      <c r="M19" s="57">
        <f>$E$19*VLOOKUP($E$11,'PCU Values'!$B$9:$C$16,2,FALSE)</f>
        <v>0</v>
      </c>
      <c r="N19" s="57">
        <f>$F$19*VLOOKUP($F$11,'PCU Values'!$B$9:$C$16,2,FALSE)</f>
        <v>0</v>
      </c>
      <c r="O19" s="57">
        <f>$G$19*VLOOKUP($G$11,'PCU Values'!$B$9:$C$16,2,FALSE)</f>
        <v>0</v>
      </c>
      <c r="P19" s="57">
        <f>$H$19*VLOOKUP($H$11,'PCU Values'!$B$9:$C$16,2,FALSE)</f>
        <v>0</v>
      </c>
      <c r="Q19" s="57">
        <f>$I$19*VLOOKUP($I$11,'PCU Values'!$B$9:$C$16,2,FALSE)</f>
        <v>0</v>
      </c>
      <c r="R19" s="65">
        <f>$J$19*VLOOKUP($J$11,'PCU Values'!$B$9:$C$16,2,FALSE)</f>
        <v>0</v>
      </c>
      <c r="S19" s="66">
        <f>SUM($K$19,$L$19,$M$19,$N$19,$O$19,$P$19,$Q$19,$R$19)</f>
        <v>0</v>
      </c>
      <c r="T19" s="52">
        <f>SUM($C$19,$D$19,$E$19,$F$19,$G$19,$H$19,$I$19,$J$19)</f>
        <v>0</v>
      </c>
      <c r="U19" s="67">
        <v>0</v>
      </c>
      <c r="V19" s="48">
        <v>0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56">
        <v>0</v>
      </c>
      <c r="AC19" s="57">
        <f>$U$19*VLOOKUP($U$11,'PCU Values'!$B$9:$C$16,2,FALSE)</f>
        <v>0</v>
      </c>
      <c r="AD19" s="57">
        <f>$V$19*VLOOKUP($V$11,'PCU Values'!$B$9:$C$16,2,FALSE)</f>
        <v>0</v>
      </c>
      <c r="AE19" s="57">
        <f>$W$19*VLOOKUP($W$11,'PCU Values'!$B$9:$C$16,2,FALSE)</f>
        <v>0</v>
      </c>
      <c r="AF19" s="57">
        <f>$X$19*VLOOKUP($X$11,'PCU Values'!$B$9:$C$16,2,FALSE)</f>
        <v>0</v>
      </c>
      <c r="AG19" s="57">
        <f>$Y$19*VLOOKUP($Y$11,'PCU Values'!$B$9:$C$16,2,FALSE)</f>
        <v>0</v>
      </c>
      <c r="AH19" s="57">
        <f>$Z$19*VLOOKUP($Z$11,'PCU Values'!$B$9:$C$16,2,FALSE)</f>
        <v>0</v>
      </c>
      <c r="AI19" s="57">
        <f>$AA$19*VLOOKUP($AA$11,'PCU Values'!$B$9:$C$16,2,FALSE)</f>
        <v>0</v>
      </c>
      <c r="AJ19" s="65">
        <f>$AB$19*VLOOKUP($AB$11,'PCU Values'!$B$9:$C$16,2,FALSE)</f>
        <v>0</v>
      </c>
      <c r="AK19" s="66">
        <f>SUM($AC$19,$AD$19,$AE$19,$AF$19,$AG$19,$AH$19,$AI$19,$AJ$19)</f>
        <v>0</v>
      </c>
      <c r="AL19" s="52">
        <f>SUM($U$19,$V$19,$W$19,$X$19,$Y$19,$Z$19,$AA$19,$AB$19)</f>
        <v>0</v>
      </c>
      <c r="AM19" s="67">
        <v>0</v>
      </c>
      <c r="AN19" s="48">
        <v>0</v>
      </c>
      <c r="AO19" s="48">
        <v>0</v>
      </c>
      <c r="AP19" s="48">
        <v>0</v>
      </c>
      <c r="AQ19" s="48">
        <v>0</v>
      </c>
      <c r="AR19" s="48">
        <v>0</v>
      </c>
      <c r="AS19" s="48">
        <v>0</v>
      </c>
      <c r="AT19" s="56">
        <v>0</v>
      </c>
      <c r="AU19" s="57">
        <f>$AM$19*VLOOKUP($AM$11,'PCU Values'!$B$9:$C$16,2,FALSE)</f>
        <v>0</v>
      </c>
      <c r="AV19" s="57">
        <f>$AN$19*VLOOKUP($AN$11,'PCU Values'!$B$9:$C$16,2,FALSE)</f>
        <v>0</v>
      </c>
      <c r="AW19" s="57">
        <f>$AO$19*VLOOKUP($AO$11,'PCU Values'!$B$9:$C$16,2,FALSE)</f>
        <v>0</v>
      </c>
      <c r="AX19" s="57">
        <f>$AP$19*VLOOKUP($AP$11,'PCU Values'!$B$9:$C$16,2,FALSE)</f>
        <v>0</v>
      </c>
      <c r="AY19" s="57">
        <f>$AQ$19*VLOOKUP($AQ$11,'PCU Values'!$B$9:$C$16,2,FALSE)</f>
        <v>0</v>
      </c>
      <c r="AZ19" s="57">
        <f>$AR$19*VLOOKUP($AR$11,'PCU Values'!$B$9:$C$16,2,FALSE)</f>
        <v>0</v>
      </c>
      <c r="BA19" s="57">
        <f>$AS$19*VLOOKUP($AS$11,'PCU Values'!$B$9:$C$16,2,FALSE)</f>
        <v>0</v>
      </c>
      <c r="BB19" s="65">
        <f>$AT$19*VLOOKUP($AT$11,'PCU Values'!$B$9:$C$16,2,FALSE)</f>
        <v>0</v>
      </c>
      <c r="BC19" s="66">
        <f>SUM($AU$19,$AV$19,$AW$19,$AX$19,$AY$19,$AZ$19,$BA$19,$BB$19)</f>
        <v>0</v>
      </c>
      <c r="BD19" s="52">
        <f>SUM($AM$19,$AN$19,$AO$19,$AP$19,$AQ$19,$AR$19,$AS$19,$AT$19)</f>
        <v>0</v>
      </c>
      <c r="BE19" s="67">
        <v>0</v>
      </c>
      <c r="BF19" s="48">
        <v>0</v>
      </c>
      <c r="BG19" s="48">
        <v>0</v>
      </c>
      <c r="BH19" s="48">
        <v>0</v>
      </c>
      <c r="BI19" s="48">
        <v>0</v>
      </c>
      <c r="BJ19" s="48">
        <v>0</v>
      </c>
      <c r="BK19" s="48">
        <v>0</v>
      </c>
      <c r="BL19" s="56">
        <v>0</v>
      </c>
      <c r="BM19" s="77">
        <f>$BE$19*VLOOKUP($BE$11,'PCU Values'!$B$9:$C$16,2,FALSE)</f>
        <v>0</v>
      </c>
      <c r="BN19" s="77">
        <f>$BF$19*VLOOKUP($BF$11,'PCU Values'!$B$9:$C$16,2,FALSE)</f>
        <v>0</v>
      </c>
      <c r="BO19" s="77">
        <f>$BG$19*VLOOKUP($BG$11,'PCU Values'!$B$9:$C$16,2,FALSE)</f>
        <v>0</v>
      </c>
      <c r="BP19" s="77">
        <f>$BH$19*VLOOKUP($BH$11,'PCU Values'!$B$9:$C$16,2,FALSE)</f>
        <v>0</v>
      </c>
      <c r="BQ19" s="77">
        <f>$BI$19*VLOOKUP($BI$11,'PCU Values'!$B$9:$C$16,2,FALSE)</f>
        <v>0</v>
      </c>
      <c r="BR19" s="77">
        <f>$BJ$19*VLOOKUP($BJ$11,'PCU Values'!$B$9:$C$16,2,FALSE)</f>
        <v>0</v>
      </c>
      <c r="BS19" s="77">
        <f>$BK$19*VLOOKUP($BK$11,'PCU Values'!$B$9:$C$16,2,FALSE)</f>
        <v>0</v>
      </c>
      <c r="BT19" s="78">
        <f>$BL$19*VLOOKUP($BL$11,'PCU Values'!$B$9:$C$16,2,FALSE)</f>
        <v>0</v>
      </c>
      <c r="BU19" s="66">
        <f>SUM($BM$19,$BN$19,$BO$19,$BP$19,$BQ$19,$BR$19,$BS$19,$BT$19)</f>
        <v>0</v>
      </c>
      <c r="BV19" s="52">
        <f>SUM($BE$19,$BF$19,$BG$19,$BH$19,$BI$19,$BJ$19,$BK$19,$BL$19)</f>
        <v>0</v>
      </c>
      <c r="BX19" s="47" t="s">
        <v>37</v>
      </c>
      <c r="BY19" s="83">
        <f>SUM($C$19,$U$19,$AM$19,$BE$19)</f>
        <v>0</v>
      </c>
      <c r="BZ19" s="83">
        <f>SUM($D$19,$V$19,$AN$19,$BF$19)</f>
        <v>0</v>
      </c>
      <c r="CA19" s="83">
        <f>SUM($E$19,$W$19,$AO$19,$BG$19)</f>
        <v>0</v>
      </c>
      <c r="CB19" s="83">
        <f>SUM($F$19,$X$19,$AP$19,$BH$19)</f>
        <v>0</v>
      </c>
      <c r="CC19" s="83">
        <f>SUM($G$19,$Y$19,$AQ$19,$BI$19)</f>
        <v>0</v>
      </c>
      <c r="CD19" s="83">
        <f>SUM($H$19,$Z$19,$AR$19,$BJ$19)</f>
        <v>0</v>
      </c>
      <c r="CE19" s="83">
        <f>SUM($I$19,$AA$19,$AS$19,$BK$19)</f>
        <v>0</v>
      </c>
      <c r="CF19" s="86">
        <f>SUM($J$19,$AB$19,$AT$19,$BL$19)</f>
        <v>0</v>
      </c>
      <c r="CG19" s="77">
        <f>$BY$19*VLOOKUP($BY$11,'PCU Values'!$B$9:$C$16,2,FALSE)</f>
        <v>0</v>
      </c>
      <c r="CH19" s="77">
        <f>$BZ$19*VLOOKUP($BZ$11,'PCU Values'!$B$9:$C$16,2,FALSE)</f>
        <v>0</v>
      </c>
      <c r="CI19" s="77">
        <f>$CA$19*VLOOKUP($CA$11,'PCU Values'!$B$9:$C$16,2,FALSE)</f>
        <v>0</v>
      </c>
      <c r="CJ19" s="77">
        <f>$CB$19*VLOOKUP($CB$11,'PCU Values'!$B$9:$C$16,2,FALSE)</f>
        <v>0</v>
      </c>
      <c r="CK19" s="77">
        <f>$CC$19*VLOOKUP($CC$11,'PCU Values'!$B$9:$C$16,2,FALSE)</f>
        <v>0</v>
      </c>
      <c r="CL19" s="77">
        <f>$CD$19*VLOOKUP($CD$11,'PCU Values'!$B$9:$C$16,2,FALSE)</f>
        <v>0</v>
      </c>
      <c r="CM19" s="77">
        <f>$CE$19*VLOOKUP($CE$11,'PCU Values'!$B$9:$C$16,2,FALSE)</f>
        <v>0</v>
      </c>
      <c r="CN19" s="78">
        <f>$CF$19*VLOOKUP($CF$11,'PCU Values'!$B$9:$C$16,2,FALSE)</f>
        <v>0</v>
      </c>
      <c r="CO19" s="66">
        <f>SUM($CG$19,$CH$19,$CI$19,$CJ$19,$CK$19,$CL$19,$CM$19,$CN$19)</f>
        <v>0</v>
      </c>
      <c r="CP19" s="52">
        <f>SUM($BY$19,$BZ$19,$CA$19,$CB$19,$CC$19,$CD$19,$CE$19,$CF$19)</f>
        <v>0</v>
      </c>
      <c r="CQ19" s="89">
        <f>SUM('J1 A - (North) Bishopthorpe Roa'!$AM$19,'J1 B - Butcher Terrace'!$U$19,'J1 C - (South) Bishopthorpe Roa'!$C$19,'J1 D - South Bank Avenue'!$BE$19)</f>
        <v>0</v>
      </c>
      <c r="CR19" s="83">
        <f>SUM('J1 A - (North) Bishopthorpe Roa'!$AN$19,'J1 B - Butcher Terrace'!$V$19,'J1 C - (South) Bishopthorpe Roa'!$D$19,'J1 D - South Bank Avenue'!$BF$19)</f>
        <v>0</v>
      </c>
      <c r="CS19" s="83">
        <f>SUM('J1 A - (North) Bishopthorpe Roa'!$AO$19,'J1 B - Butcher Terrace'!$W$19,'J1 C - (South) Bishopthorpe Roa'!$E$19,'J1 D - South Bank Avenue'!$BG$19)</f>
        <v>0</v>
      </c>
      <c r="CT19" s="83">
        <f>SUM('J1 A - (North) Bishopthorpe Roa'!$AP$19,'J1 B - Butcher Terrace'!$X$19,'J1 C - (South) Bishopthorpe Roa'!$F$19,'J1 D - South Bank Avenue'!$BH$19)</f>
        <v>0</v>
      </c>
      <c r="CU19" s="83">
        <f>SUM('J1 A - (North) Bishopthorpe Roa'!$AQ$19,'J1 B - Butcher Terrace'!$Y$19,'J1 C - (South) Bishopthorpe Roa'!$G$19,'J1 D - South Bank Avenue'!$BI$19)</f>
        <v>0</v>
      </c>
      <c r="CV19" s="83">
        <f>SUM('J1 A - (North) Bishopthorpe Roa'!$AR$19,'J1 B - Butcher Terrace'!$Z$19,'J1 C - (South) Bishopthorpe Roa'!$H$19,'J1 D - South Bank Avenue'!$BJ$19)</f>
        <v>0</v>
      </c>
      <c r="CW19" s="83">
        <f>SUM('J1 A - (North) Bishopthorpe Roa'!$AS$19,'J1 B - Butcher Terrace'!$AA$19,'J1 C - (South) Bishopthorpe Roa'!$I$19,'J1 D - South Bank Avenue'!$BK$19)</f>
        <v>0</v>
      </c>
      <c r="CX19" s="86">
        <f>SUM('J1 A - (North) Bishopthorpe Roa'!$AT$19,'J1 B - Butcher Terrace'!$AB$19,'J1 C - (South) Bishopthorpe Roa'!$J$19,'J1 D - South Bank Avenue'!$BL$19)</f>
        <v>0</v>
      </c>
      <c r="CY19" s="77">
        <f>$CQ$19*VLOOKUP($CQ$11,'PCU Values'!$B$9:$C$16,2,FALSE)</f>
        <v>0</v>
      </c>
      <c r="CZ19" s="77">
        <f>$CR$19*VLOOKUP($CR$11,'PCU Values'!$B$9:$C$16,2,FALSE)</f>
        <v>0</v>
      </c>
      <c r="DA19" s="77">
        <f>$CS$19*VLOOKUP($CS$11,'PCU Values'!$B$9:$C$16,2,FALSE)</f>
        <v>0</v>
      </c>
      <c r="DB19" s="77">
        <f>$CT$19*VLOOKUP($CT$11,'PCU Values'!$B$9:$C$16,2,FALSE)</f>
        <v>0</v>
      </c>
      <c r="DC19" s="77">
        <f>$CU$19*VLOOKUP($CU$11,'PCU Values'!$B$9:$C$16,2,FALSE)</f>
        <v>0</v>
      </c>
      <c r="DD19" s="77">
        <f>$CV$19*VLOOKUP($CV$11,'PCU Values'!$B$9:$C$16,2,FALSE)</f>
        <v>0</v>
      </c>
      <c r="DE19" s="77">
        <f>$CW$19*VLOOKUP($CW$11,'PCU Values'!$B$9:$C$16,2,FALSE)</f>
        <v>0</v>
      </c>
      <c r="DF19" s="78">
        <f>$CX$19*VLOOKUP($CX$11,'PCU Values'!$B$9:$C$16,2,FALSE)</f>
        <v>0</v>
      </c>
      <c r="DG19" s="66">
        <f>SUM($CY$19,$CZ$19,$DA$19,$DB$19,$DC$19,$DD$19,$DE$19,$DF$19)</f>
        <v>0</v>
      </c>
      <c r="DH19" s="52">
        <f>SUM($CQ$19,$CR$19,$CS$19,$CT$19,$CU$19,$CV$19,$CW$19,$CX$19)</f>
        <v>0</v>
      </c>
    </row>
    <row r="20" spans="1:112" ht="21" customHeight="1">
      <c r="A20" s="46">
        <v>44395.072916666701</v>
      </c>
      <c r="B20" s="50" t="s">
        <v>38</v>
      </c>
      <c r="C20" s="51">
        <v>0</v>
      </c>
      <c r="D20" s="51">
        <v>0</v>
      </c>
      <c r="E20" s="51">
        <v>0</v>
      </c>
      <c r="F20" s="51">
        <v>0</v>
      </c>
      <c r="G20" s="51">
        <v>0</v>
      </c>
      <c r="H20" s="51">
        <v>0</v>
      </c>
      <c r="I20" s="51">
        <v>0</v>
      </c>
      <c r="J20" s="59">
        <v>0</v>
      </c>
      <c r="K20" s="60">
        <f>$C$20*VLOOKUP($C$11,'PCU Values'!$B$9:$C$16,2,FALSE)</f>
        <v>0</v>
      </c>
      <c r="L20" s="60">
        <f>$D$20*VLOOKUP($D$11,'PCU Values'!$B$9:$C$16,2,FALSE)</f>
        <v>0</v>
      </c>
      <c r="M20" s="60">
        <f>$E$20*VLOOKUP($E$11,'PCU Values'!$B$9:$C$16,2,FALSE)</f>
        <v>0</v>
      </c>
      <c r="N20" s="60">
        <f>$F$20*VLOOKUP($F$11,'PCU Values'!$B$9:$C$16,2,FALSE)</f>
        <v>0</v>
      </c>
      <c r="O20" s="60">
        <f>$G$20*VLOOKUP($G$11,'PCU Values'!$B$9:$C$16,2,FALSE)</f>
        <v>0</v>
      </c>
      <c r="P20" s="60">
        <f>$H$20*VLOOKUP($H$11,'PCU Values'!$B$9:$C$16,2,FALSE)</f>
        <v>0</v>
      </c>
      <c r="Q20" s="60">
        <f>$I$20*VLOOKUP($I$11,'PCU Values'!$B$9:$C$16,2,FALSE)</f>
        <v>0</v>
      </c>
      <c r="R20" s="68">
        <f>$J$20*VLOOKUP($J$11,'PCU Values'!$B$9:$C$16,2,FALSE)</f>
        <v>0</v>
      </c>
      <c r="S20" s="63">
        <f>SUM($K$20,$L$20,$M$20,$N$20,$O$20,$P$20,$Q$20,$R$20)</f>
        <v>0</v>
      </c>
      <c r="T20" s="52">
        <f>SUM($C$20,$D$20,$E$20,$F$20,$G$20,$H$20,$I$20,$J$20)</f>
        <v>0</v>
      </c>
      <c r="U20" s="73">
        <v>0</v>
      </c>
      <c r="V20" s="51">
        <v>0</v>
      </c>
      <c r="W20" s="51">
        <v>0</v>
      </c>
      <c r="X20" s="51">
        <v>0</v>
      </c>
      <c r="Y20" s="51">
        <v>0</v>
      </c>
      <c r="Z20" s="51">
        <v>0</v>
      </c>
      <c r="AA20" s="51">
        <v>0</v>
      </c>
      <c r="AB20" s="59">
        <v>0</v>
      </c>
      <c r="AC20" s="60">
        <f>$U$20*VLOOKUP($U$11,'PCU Values'!$B$9:$C$16,2,FALSE)</f>
        <v>0</v>
      </c>
      <c r="AD20" s="60">
        <f>$V$20*VLOOKUP($V$11,'PCU Values'!$B$9:$C$16,2,FALSE)</f>
        <v>0</v>
      </c>
      <c r="AE20" s="60">
        <f>$W$20*VLOOKUP($W$11,'PCU Values'!$B$9:$C$16,2,FALSE)</f>
        <v>0</v>
      </c>
      <c r="AF20" s="60">
        <f>$X$20*VLOOKUP($X$11,'PCU Values'!$B$9:$C$16,2,FALSE)</f>
        <v>0</v>
      </c>
      <c r="AG20" s="60">
        <f>$Y$20*VLOOKUP($Y$11,'PCU Values'!$B$9:$C$16,2,FALSE)</f>
        <v>0</v>
      </c>
      <c r="AH20" s="60">
        <f>$Z$20*VLOOKUP($Z$11,'PCU Values'!$B$9:$C$16,2,FALSE)</f>
        <v>0</v>
      </c>
      <c r="AI20" s="60">
        <f>$AA$20*VLOOKUP($AA$11,'PCU Values'!$B$9:$C$16,2,FALSE)</f>
        <v>0</v>
      </c>
      <c r="AJ20" s="68">
        <f>$AB$20*VLOOKUP($AB$11,'PCU Values'!$B$9:$C$16,2,FALSE)</f>
        <v>0</v>
      </c>
      <c r="AK20" s="63">
        <f>SUM($AC$20,$AD$20,$AE$20,$AF$20,$AG$20,$AH$20,$AI$20,$AJ$20)</f>
        <v>0</v>
      </c>
      <c r="AL20" s="52">
        <f>SUM($U$20,$V$20,$W$20,$X$20,$Y$20,$Z$20,$AA$20,$AB$20)</f>
        <v>0</v>
      </c>
      <c r="AM20" s="73">
        <v>0</v>
      </c>
      <c r="AN20" s="51">
        <v>0</v>
      </c>
      <c r="AO20" s="51">
        <v>0</v>
      </c>
      <c r="AP20" s="51">
        <v>0</v>
      </c>
      <c r="AQ20" s="51">
        <v>0</v>
      </c>
      <c r="AR20" s="51">
        <v>0</v>
      </c>
      <c r="AS20" s="51">
        <v>0</v>
      </c>
      <c r="AT20" s="59">
        <v>0</v>
      </c>
      <c r="AU20" s="60">
        <f>$AM$20*VLOOKUP($AM$11,'PCU Values'!$B$9:$C$16,2,FALSE)</f>
        <v>0</v>
      </c>
      <c r="AV20" s="60">
        <f>$AN$20*VLOOKUP($AN$11,'PCU Values'!$B$9:$C$16,2,FALSE)</f>
        <v>0</v>
      </c>
      <c r="AW20" s="60">
        <f>$AO$20*VLOOKUP($AO$11,'PCU Values'!$B$9:$C$16,2,FALSE)</f>
        <v>0</v>
      </c>
      <c r="AX20" s="60">
        <f>$AP$20*VLOOKUP($AP$11,'PCU Values'!$B$9:$C$16,2,FALSE)</f>
        <v>0</v>
      </c>
      <c r="AY20" s="60">
        <f>$AQ$20*VLOOKUP($AQ$11,'PCU Values'!$B$9:$C$16,2,FALSE)</f>
        <v>0</v>
      </c>
      <c r="AZ20" s="60">
        <f>$AR$20*VLOOKUP($AR$11,'PCU Values'!$B$9:$C$16,2,FALSE)</f>
        <v>0</v>
      </c>
      <c r="BA20" s="60">
        <f>$AS$20*VLOOKUP($AS$11,'PCU Values'!$B$9:$C$16,2,FALSE)</f>
        <v>0</v>
      </c>
      <c r="BB20" s="68">
        <f>$AT$20*VLOOKUP($AT$11,'PCU Values'!$B$9:$C$16,2,FALSE)</f>
        <v>0</v>
      </c>
      <c r="BC20" s="63">
        <f>SUM($AU$20,$AV$20,$AW$20,$AX$20,$AY$20,$AZ$20,$BA$20,$BB$20)</f>
        <v>0</v>
      </c>
      <c r="BD20" s="52">
        <f>SUM($AM$20,$AN$20,$AO$20,$AP$20,$AQ$20,$AR$20,$AS$20,$AT$20)</f>
        <v>0</v>
      </c>
      <c r="BE20" s="73">
        <v>0</v>
      </c>
      <c r="BF20" s="51">
        <v>0</v>
      </c>
      <c r="BG20" s="51">
        <v>0</v>
      </c>
      <c r="BH20" s="51">
        <v>0</v>
      </c>
      <c r="BI20" s="51">
        <v>0</v>
      </c>
      <c r="BJ20" s="51">
        <v>0</v>
      </c>
      <c r="BK20" s="51">
        <v>0</v>
      </c>
      <c r="BL20" s="59">
        <v>0</v>
      </c>
      <c r="BM20" s="79">
        <f>$BE$20*VLOOKUP($BE$11,'PCU Values'!$B$9:$C$16,2,FALSE)</f>
        <v>0</v>
      </c>
      <c r="BN20" s="79">
        <f>$BF$20*VLOOKUP($BF$11,'PCU Values'!$B$9:$C$16,2,FALSE)</f>
        <v>0</v>
      </c>
      <c r="BO20" s="79">
        <f>$BG$20*VLOOKUP($BG$11,'PCU Values'!$B$9:$C$16,2,FALSE)</f>
        <v>0</v>
      </c>
      <c r="BP20" s="79">
        <f>$BH$20*VLOOKUP($BH$11,'PCU Values'!$B$9:$C$16,2,FALSE)</f>
        <v>0</v>
      </c>
      <c r="BQ20" s="79">
        <f>$BI$20*VLOOKUP($BI$11,'PCU Values'!$B$9:$C$16,2,FALSE)</f>
        <v>0</v>
      </c>
      <c r="BR20" s="79">
        <f>$BJ$20*VLOOKUP($BJ$11,'PCU Values'!$B$9:$C$16,2,FALSE)</f>
        <v>0</v>
      </c>
      <c r="BS20" s="79">
        <f>$BK$20*VLOOKUP($BK$11,'PCU Values'!$B$9:$C$16,2,FALSE)</f>
        <v>0</v>
      </c>
      <c r="BT20" s="80">
        <f>$BL$20*VLOOKUP($BL$11,'PCU Values'!$B$9:$C$16,2,FALSE)</f>
        <v>0</v>
      </c>
      <c r="BU20" s="63">
        <f>SUM($BM$20,$BN$20,$BO$20,$BP$20,$BQ$20,$BR$20,$BS$20,$BT$20)</f>
        <v>0</v>
      </c>
      <c r="BV20" s="52">
        <f>SUM($BE$20,$BF$20,$BG$20,$BH$20,$BI$20,$BJ$20,$BK$20,$BL$20)</f>
        <v>0</v>
      </c>
      <c r="BX20" s="50" t="s">
        <v>38</v>
      </c>
      <c r="BY20" s="84">
        <f>SUM($C$20,$U$20,$AM$20,$BE$20)</f>
        <v>0</v>
      </c>
      <c r="BZ20" s="84">
        <f>SUM($D$20,$V$20,$AN$20,$BF$20)</f>
        <v>0</v>
      </c>
      <c r="CA20" s="84">
        <f>SUM($E$20,$W$20,$AO$20,$BG$20)</f>
        <v>0</v>
      </c>
      <c r="CB20" s="84">
        <f>SUM($F$20,$X$20,$AP$20,$BH$20)</f>
        <v>0</v>
      </c>
      <c r="CC20" s="84">
        <f>SUM($G$20,$Y$20,$AQ$20,$BI$20)</f>
        <v>0</v>
      </c>
      <c r="CD20" s="84">
        <f>SUM($H$20,$Z$20,$AR$20,$BJ$20)</f>
        <v>0</v>
      </c>
      <c r="CE20" s="84">
        <f>SUM($I$20,$AA$20,$AS$20,$BK$20)</f>
        <v>0</v>
      </c>
      <c r="CF20" s="87">
        <f>SUM($J$20,$AB$20,$AT$20,$BL$20)</f>
        <v>0</v>
      </c>
      <c r="CG20" s="79">
        <f>$BY$20*VLOOKUP($BY$11,'PCU Values'!$B$9:$C$16,2,FALSE)</f>
        <v>0</v>
      </c>
      <c r="CH20" s="79">
        <f>$BZ$20*VLOOKUP($BZ$11,'PCU Values'!$B$9:$C$16,2,FALSE)</f>
        <v>0</v>
      </c>
      <c r="CI20" s="79">
        <f>$CA$20*VLOOKUP($CA$11,'PCU Values'!$B$9:$C$16,2,FALSE)</f>
        <v>0</v>
      </c>
      <c r="CJ20" s="79">
        <f>$CB$20*VLOOKUP($CB$11,'PCU Values'!$B$9:$C$16,2,FALSE)</f>
        <v>0</v>
      </c>
      <c r="CK20" s="79">
        <f>$CC$20*VLOOKUP($CC$11,'PCU Values'!$B$9:$C$16,2,FALSE)</f>
        <v>0</v>
      </c>
      <c r="CL20" s="79">
        <f>$CD$20*VLOOKUP($CD$11,'PCU Values'!$B$9:$C$16,2,FALSE)</f>
        <v>0</v>
      </c>
      <c r="CM20" s="79">
        <f>$CE$20*VLOOKUP($CE$11,'PCU Values'!$B$9:$C$16,2,FALSE)</f>
        <v>0</v>
      </c>
      <c r="CN20" s="80">
        <f>$CF$20*VLOOKUP($CF$11,'PCU Values'!$B$9:$C$16,2,FALSE)</f>
        <v>0</v>
      </c>
      <c r="CO20" s="63">
        <f>SUM($CG$20,$CH$20,$CI$20,$CJ$20,$CK$20,$CL$20,$CM$20,$CN$20)</f>
        <v>0</v>
      </c>
      <c r="CP20" s="52">
        <f>SUM($BY$20,$BZ$20,$CA$20,$CB$20,$CC$20,$CD$20,$CE$20,$CF$20)</f>
        <v>0</v>
      </c>
      <c r="CQ20" s="90">
        <f>SUM('J1 A - (North) Bishopthorpe Roa'!$AM$20,'J1 B - Butcher Terrace'!$U$20,'J1 C - (South) Bishopthorpe Roa'!$C$20,'J1 D - South Bank Avenue'!$BE$20)</f>
        <v>0</v>
      </c>
      <c r="CR20" s="84">
        <f>SUM('J1 A - (North) Bishopthorpe Roa'!$AN$20,'J1 B - Butcher Terrace'!$V$20,'J1 C - (South) Bishopthorpe Roa'!$D$20,'J1 D - South Bank Avenue'!$BF$20)</f>
        <v>0</v>
      </c>
      <c r="CS20" s="84">
        <f>SUM('J1 A - (North) Bishopthorpe Roa'!$AO$20,'J1 B - Butcher Terrace'!$W$20,'J1 C - (South) Bishopthorpe Roa'!$E$20,'J1 D - South Bank Avenue'!$BG$20)</f>
        <v>0</v>
      </c>
      <c r="CT20" s="84">
        <f>SUM('J1 A - (North) Bishopthorpe Roa'!$AP$20,'J1 B - Butcher Terrace'!$X$20,'J1 C - (South) Bishopthorpe Roa'!$F$20,'J1 D - South Bank Avenue'!$BH$20)</f>
        <v>0</v>
      </c>
      <c r="CU20" s="84">
        <f>SUM('J1 A - (North) Bishopthorpe Roa'!$AQ$20,'J1 B - Butcher Terrace'!$Y$20,'J1 C - (South) Bishopthorpe Roa'!$G$20,'J1 D - South Bank Avenue'!$BI$20)</f>
        <v>0</v>
      </c>
      <c r="CV20" s="84">
        <f>SUM('J1 A - (North) Bishopthorpe Roa'!$AR$20,'J1 B - Butcher Terrace'!$Z$20,'J1 C - (South) Bishopthorpe Roa'!$H$20,'J1 D - South Bank Avenue'!$BJ$20)</f>
        <v>0</v>
      </c>
      <c r="CW20" s="84">
        <f>SUM('J1 A - (North) Bishopthorpe Roa'!$AS$20,'J1 B - Butcher Terrace'!$AA$20,'J1 C - (South) Bishopthorpe Roa'!$I$20,'J1 D - South Bank Avenue'!$BK$20)</f>
        <v>0</v>
      </c>
      <c r="CX20" s="87">
        <f>SUM('J1 A - (North) Bishopthorpe Roa'!$AT$20,'J1 B - Butcher Terrace'!$AB$20,'J1 C - (South) Bishopthorpe Roa'!$J$20,'J1 D - South Bank Avenue'!$BL$20)</f>
        <v>0</v>
      </c>
      <c r="CY20" s="79">
        <f>$CQ$20*VLOOKUP($CQ$11,'PCU Values'!$B$9:$C$16,2,FALSE)</f>
        <v>0</v>
      </c>
      <c r="CZ20" s="79">
        <f>$CR$20*VLOOKUP($CR$11,'PCU Values'!$B$9:$C$16,2,FALSE)</f>
        <v>0</v>
      </c>
      <c r="DA20" s="79">
        <f>$CS$20*VLOOKUP($CS$11,'PCU Values'!$B$9:$C$16,2,FALSE)</f>
        <v>0</v>
      </c>
      <c r="DB20" s="79">
        <f>$CT$20*VLOOKUP($CT$11,'PCU Values'!$B$9:$C$16,2,FALSE)</f>
        <v>0</v>
      </c>
      <c r="DC20" s="79">
        <f>$CU$20*VLOOKUP($CU$11,'PCU Values'!$B$9:$C$16,2,FALSE)</f>
        <v>0</v>
      </c>
      <c r="DD20" s="79">
        <f>$CV$20*VLOOKUP($CV$11,'PCU Values'!$B$9:$C$16,2,FALSE)</f>
        <v>0</v>
      </c>
      <c r="DE20" s="79">
        <f>$CW$20*VLOOKUP($CW$11,'PCU Values'!$B$9:$C$16,2,FALSE)</f>
        <v>0</v>
      </c>
      <c r="DF20" s="80">
        <f>$CX$20*VLOOKUP($CX$11,'PCU Values'!$B$9:$C$16,2,FALSE)</f>
        <v>0</v>
      </c>
      <c r="DG20" s="63">
        <f>SUM($CY$20,$CZ$20,$DA$20,$DB$20,$DC$20,$DD$20,$DE$20,$DF$20)</f>
        <v>0</v>
      </c>
      <c r="DH20" s="52">
        <f>SUM($CQ$20,$CR$20,$CS$20,$CT$20,$CU$20,$CV$20,$CW$20,$CX$20)</f>
        <v>0</v>
      </c>
    </row>
    <row r="21" spans="1:112">
      <c r="B21" s="52" t="s">
        <v>34</v>
      </c>
      <c r="C21" s="52">
        <f>SUM($C$17:$C$20)</f>
        <v>0</v>
      </c>
      <c r="D21" s="52">
        <f>SUM($D$17:$D$20)</f>
        <v>0</v>
      </c>
      <c r="E21" s="52">
        <f>SUM($E$17:$E$20)</f>
        <v>0</v>
      </c>
      <c r="F21" s="52">
        <f>SUM($F$17:$F$20)</f>
        <v>0</v>
      </c>
      <c r="G21" s="52">
        <f>SUM($G$17:$G$20)</f>
        <v>0</v>
      </c>
      <c r="H21" s="52">
        <f>SUM($H$17:$H$20)</f>
        <v>0</v>
      </c>
      <c r="I21" s="52">
        <f>SUM($I$17:$I$20)</f>
        <v>0</v>
      </c>
      <c r="J21" s="52">
        <f>SUM($J$17:$J$20)</f>
        <v>0</v>
      </c>
      <c r="K21" s="52">
        <f>SUM($K$17:$K$20)</f>
        <v>0</v>
      </c>
      <c r="L21" s="52">
        <f>SUM($L$17:$L$20)</f>
        <v>0</v>
      </c>
      <c r="M21" s="52">
        <f>SUM($M$17:$M$20)</f>
        <v>0</v>
      </c>
      <c r="N21" s="52">
        <f>SUM($N$17:$N$20)</f>
        <v>0</v>
      </c>
      <c r="O21" s="52">
        <f>SUM($O$17:$O$20)</f>
        <v>0</v>
      </c>
      <c r="P21" s="52">
        <f>SUM($P$17:$P$20)</f>
        <v>0</v>
      </c>
      <c r="Q21" s="52">
        <f>SUM($Q$17:$Q$20)</f>
        <v>0</v>
      </c>
      <c r="R21" s="52">
        <f>SUM($R$17:$R$20)</f>
        <v>0</v>
      </c>
      <c r="S21" s="52">
        <f>SUM($K$21,$L$21,$M$21,$N$21,$O$21,$P$21,$Q$21,$R$21)</f>
        <v>0</v>
      </c>
      <c r="T21" s="52">
        <f>SUM($C$21,$D$21,$E$21,$F$21,$G$21,$H$21,$I$21,$J$21)</f>
        <v>0</v>
      </c>
      <c r="U21" s="52">
        <f>SUM($U$17:$U$20)</f>
        <v>0</v>
      </c>
      <c r="V21" s="52">
        <f>SUM($V$17:$V$20)</f>
        <v>0</v>
      </c>
      <c r="W21" s="52">
        <f>SUM($W$17:$W$20)</f>
        <v>0</v>
      </c>
      <c r="X21" s="52">
        <f>SUM($X$17:$X$20)</f>
        <v>0</v>
      </c>
      <c r="Y21" s="52">
        <f>SUM($Y$17:$Y$20)</f>
        <v>0</v>
      </c>
      <c r="Z21" s="52">
        <f>SUM($Z$17:$Z$20)</f>
        <v>0</v>
      </c>
      <c r="AA21" s="52">
        <f>SUM($AA$17:$AA$20)</f>
        <v>0</v>
      </c>
      <c r="AB21" s="52">
        <f>SUM($AB$17:$AB$20)</f>
        <v>0</v>
      </c>
      <c r="AC21" s="52">
        <f>SUM($AC$17:$AC$20)</f>
        <v>0</v>
      </c>
      <c r="AD21" s="52">
        <f>SUM($AD$17:$AD$20)</f>
        <v>0</v>
      </c>
      <c r="AE21" s="52">
        <f>SUM($AE$17:$AE$20)</f>
        <v>0</v>
      </c>
      <c r="AF21" s="52">
        <f>SUM($AF$17:$AF$20)</f>
        <v>0</v>
      </c>
      <c r="AG21" s="52">
        <f>SUM($AG$17:$AG$20)</f>
        <v>0</v>
      </c>
      <c r="AH21" s="52">
        <f>SUM($AH$17:$AH$20)</f>
        <v>0</v>
      </c>
      <c r="AI21" s="52">
        <f>SUM($AI$17:$AI$20)</f>
        <v>0</v>
      </c>
      <c r="AJ21" s="52">
        <f>SUM($AJ$17:$AJ$20)</f>
        <v>0</v>
      </c>
      <c r="AK21" s="52">
        <f>SUM($AC$21,$AD$21,$AE$21,$AF$21,$AG$21,$AH$21,$AI$21,$AJ$21)</f>
        <v>0</v>
      </c>
      <c r="AL21" s="52">
        <f>SUM($U$21,$V$21,$W$21,$X$21,$Y$21,$Z$21,$AA$21,$AB$21)</f>
        <v>0</v>
      </c>
      <c r="AM21" s="52">
        <f>SUM($AM$17:$AM$20)</f>
        <v>0</v>
      </c>
      <c r="AN21" s="52">
        <f>SUM($AN$17:$AN$20)</f>
        <v>0</v>
      </c>
      <c r="AO21" s="52">
        <f>SUM($AO$17:$AO$20)</f>
        <v>0</v>
      </c>
      <c r="AP21" s="52">
        <f>SUM($AP$17:$AP$20)</f>
        <v>0</v>
      </c>
      <c r="AQ21" s="52">
        <f>SUM($AQ$17:$AQ$20)</f>
        <v>0</v>
      </c>
      <c r="AR21" s="52">
        <f>SUM($AR$17:$AR$20)</f>
        <v>0</v>
      </c>
      <c r="AS21" s="52">
        <f>SUM($AS$17:$AS$20)</f>
        <v>0</v>
      </c>
      <c r="AT21" s="52">
        <f>SUM($AT$17:$AT$20)</f>
        <v>0</v>
      </c>
      <c r="AU21" s="52">
        <f>SUM($AU$17:$AU$20)</f>
        <v>0</v>
      </c>
      <c r="AV21" s="52">
        <f>SUM($AV$17:$AV$20)</f>
        <v>0</v>
      </c>
      <c r="AW21" s="52">
        <f>SUM($AW$17:$AW$20)</f>
        <v>0</v>
      </c>
      <c r="AX21" s="52">
        <f>SUM($AX$17:$AX$20)</f>
        <v>0</v>
      </c>
      <c r="AY21" s="52">
        <f>SUM($AY$17:$AY$20)</f>
        <v>0</v>
      </c>
      <c r="AZ21" s="52">
        <f>SUM($AZ$17:$AZ$20)</f>
        <v>0</v>
      </c>
      <c r="BA21" s="52">
        <f>SUM($BA$17:$BA$20)</f>
        <v>0</v>
      </c>
      <c r="BB21" s="52">
        <f>SUM($BB$17:$BB$20)</f>
        <v>0</v>
      </c>
      <c r="BC21" s="52">
        <f>SUM($AU$21,$AV$21,$AW$21,$AX$21,$AY$21,$AZ$21,$BA$21,$BB$21)</f>
        <v>0</v>
      </c>
      <c r="BD21" s="52">
        <f>SUM($AM$21,$AN$21,$AO$21,$AP$21,$AQ$21,$AR$21,$AS$21,$AT$21)</f>
        <v>0</v>
      </c>
      <c r="BE21" s="52">
        <f>SUM($BE$17:$BE$20)</f>
        <v>0</v>
      </c>
      <c r="BF21" s="52">
        <f>SUM($BF$17:$BF$20)</f>
        <v>0</v>
      </c>
      <c r="BG21" s="52">
        <f>SUM($BG$17:$BG$20)</f>
        <v>0</v>
      </c>
      <c r="BH21" s="52">
        <f>SUM($BH$17:$BH$20)</f>
        <v>0</v>
      </c>
      <c r="BI21" s="52">
        <f>SUM($BI$17:$BI$20)</f>
        <v>0</v>
      </c>
      <c r="BJ21" s="52">
        <f>SUM($BJ$17:$BJ$20)</f>
        <v>0</v>
      </c>
      <c r="BK21" s="52">
        <f>SUM($BK$17:$BK$20)</f>
        <v>0</v>
      </c>
      <c r="BL21" s="52">
        <f>SUM($BL$17:$BL$20)</f>
        <v>0</v>
      </c>
      <c r="BM21" s="52">
        <f>SUM($BM$17:$BM$20)</f>
        <v>0</v>
      </c>
      <c r="BN21" s="52">
        <f>SUM($BN$17:$BN$20)</f>
        <v>0</v>
      </c>
      <c r="BO21" s="52">
        <f>SUM($BO$17:$BO$20)</f>
        <v>0</v>
      </c>
      <c r="BP21" s="52">
        <f>SUM($BP$17:$BP$20)</f>
        <v>0</v>
      </c>
      <c r="BQ21" s="52">
        <f>SUM($BQ$17:$BQ$20)</f>
        <v>0</v>
      </c>
      <c r="BR21" s="52">
        <f>SUM($BR$17:$BR$20)</f>
        <v>0</v>
      </c>
      <c r="BS21" s="52">
        <f>SUM($BS$17:$BS$20)</f>
        <v>0</v>
      </c>
      <c r="BT21" s="52">
        <f>SUM($BT$17:$BT$20)</f>
        <v>0</v>
      </c>
      <c r="BU21" s="52">
        <f>SUM($BM$21,$BN$21,$BO$21,$BP$21,$BQ$21,$BR$21,$BS$21,$BT$21)</f>
        <v>0</v>
      </c>
      <c r="BV21" s="52">
        <f>SUM($BE$21,$BF$21,$BG$21,$BH$21,$BI$21,$BJ$21,$BK$21,$BL$21)</f>
        <v>0</v>
      </c>
      <c r="BX21" s="52" t="s">
        <v>34</v>
      </c>
      <c r="BY21" s="52">
        <f>SUM($BY$17:$BY$20)</f>
        <v>0</v>
      </c>
      <c r="BZ21" s="52">
        <f>SUM($BZ$17:$BZ$20)</f>
        <v>0</v>
      </c>
      <c r="CA21" s="52">
        <f>SUM($CA$17:$CA$20)</f>
        <v>0</v>
      </c>
      <c r="CB21" s="52">
        <f>SUM($CB$17:$CB$20)</f>
        <v>0</v>
      </c>
      <c r="CC21" s="52">
        <f>SUM($CC$17:$CC$20)</f>
        <v>0</v>
      </c>
      <c r="CD21" s="52">
        <f>SUM($CD$17:$CD$20)</f>
        <v>0</v>
      </c>
      <c r="CE21" s="52">
        <f>SUM($CE$17:$CE$20)</f>
        <v>0</v>
      </c>
      <c r="CF21" s="52">
        <f>SUM($CF$17:$CF$20)</f>
        <v>0</v>
      </c>
      <c r="CG21" s="52">
        <f>SUM($CG$17:$CG$20)</f>
        <v>0</v>
      </c>
      <c r="CH21" s="52">
        <f>SUM($CH$17:$CH$20)</f>
        <v>0</v>
      </c>
      <c r="CI21" s="52">
        <f>SUM($CI$17:$CI$20)</f>
        <v>0</v>
      </c>
      <c r="CJ21" s="52">
        <f>SUM($CJ$17:$CJ$20)</f>
        <v>0</v>
      </c>
      <c r="CK21" s="52">
        <f>SUM($CK$17:$CK$20)</f>
        <v>0</v>
      </c>
      <c r="CL21" s="52">
        <f>SUM($CL$17:$CL$20)</f>
        <v>0</v>
      </c>
      <c r="CM21" s="52">
        <f>SUM($CM$17:$CM$20)</f>
        <v>0</v>
      </c>
      <c r="CN21" s="52">
        <f>SUM($CN$17:$CN$20)</f>
        <v>0</v>
      </c>
      <c r="CO21" s="52">
        <f>SUM($CG$21,$CH$21,$CI$21,$CJ$21,$CK$21,$CL$21,$CM$21,$CN$21)</f>
        <v>0</v>
      </c>
      <c r="CP21" s="52">
        <f>SUM($BY$21,$BZ$21,$CA$21,$CB$21,$CC$21,$CD$21,$CE$21,$CF$21)</f>
        <v>0</v>
      </c>
      <c r="CQ21" s="52">
        <f>SUM($CQ$17:$CQ$20)</f>
        <v>1</v>
      </c>
      <c r="CR21" s="52">
        <f>SUM($CR$17:$CR$20)</f>
        <v>0</v>
      </c>
      <c r="CS21" s="52">
        <f>SUM($CS$17:$CS$20)</f>
        <v>0</v>
      </c>
      <c r="CT21" s="52">
        <f>SUM($CT$17:$CT$20)</f>
        <v>0</v>
      </c>
      <c r="CU21" s="52">
        <f>SUM($CU$17:$CU$20)</f>
        <v>0</v>
      </c>
      <c r="CV21" s="52">
        <f>SUM($CV$17:$CV$20)</f>
        <v>1</v>
      </c>
      <c r="CW21" s="52">
        <f>SUM($CW$17:$CW$20)</f>
        <v>0</v>
      </c>
      <c r="CX21" s="52">
        <f>SUM($CX$17:$CX$20)</f>
        <v>0</v>
      </c>
      <c r="CY21" s="52">
        <f>SUM($CY$17:$CY$20)</f>
        <v>1</v>
      </c>
      <c r="CZ21" s="52">
        <f>SUM($CZ$17:$CZ$20)</f>
        <v>0</v>
      </c>
      <c r="DA21" s="52">
        <f>SUM($DA$17:$DA$20)</f>
        <v>0</v>
      </c>
      <c r="DB21" s="52">
        <f>SUM($DB$17:$DB$20)</f>
        <v>0</v>
      </c>
      <c r="DC21" s="52">
        <f>SUM($DC$17:$DC$20)</f>
        <v>0</v>
      </c>
      <c r="DD21" s="52">
        <f>SUM($DD$17:$DD$20)</f>
        <v>0</v>
      </c>
      <c r="DE21" s="52">
        <f>SUM($DE$17:$DE$20)</f>
        <v>0</v>
      </c>
      <c r="DF21" s="52">
        <f>SUM($DF$17:$DF$20)</f>
        <v>0</v>
      </c>
      <c r="DG21" s="52">
        <f>SUM($CY$21,$CZ$21,$DA$21,$DB$21,$DC$21,$DD$21,$DE$21,$DF$21)</f>
        <v>1</v>
      </c>
      <c r="DH21" s="52">
        <f>SUM($CQ$21,$CR$21,$CS$21,$CT$21,$CU$21,$CV$21,$CW$21,$CX$21)</f>
        <v>2</v>
      </c>
    </row>
    <row r="22" spans="1:112" ht="21" customHeight="1">
      <c r="A22" s="46">
        <v>44395.083333333299</v>
      </c>
      <c r="B22" s="53" t="s">
        <v>39</v>
      </c>
      <c r="C22" s="54">
        <v>1</v>
      </c>
      <c r="D22" s="54">
        <v>0</v>
      </c>
      <c r="E22" s="54">
        <v>0</v>
      </c>
      <c r="F22" s="54">
        <v>0</v>
      </c>
      <c r="G22" s="54">
        <v>0</v>
      </c>
      <c r="H22" s="54">
        <v>0</v>
      </c>
      <c r="I22" s="54">
        <v>0</v>
      </c>
      <c r="J22" s="61">
        <v>0</v>
      </c>
      <c r="K22" s="62">
        <f>$C$22*VLOOKUP($C$11,'PCU Values'!$B$9:$C$16,2,FALSE)</f>
        <v>1</v>
      </c>
      <c r="L22" s="62">
        <f>$D$22*VLOOKUP($D$11,'PCU Values'!$B$9:$C$16,2,FALSE)</f>
        <v>0</v>
      </c>
      <c r="M22" s="62">
        <f>$E$22*VLOOKUP($E$11,'PCU Values'!$B$9:$C$16,2,FALSE)</f>
        <v>0</v>
      </c>
      <c r="N22" s="62">
        <f>$F$22*VLOOKUP($F$11,'PCU Values'!$B$9:$C$16,2,FALSE)</f>
        <v>0</v>
      </c>
      <c r="O22" s="62">
        <f>$G$22*VLOOKUP($G$11,'PCU Values'!$B$9:$C$16,2,FALSE)</f>
        <v>0</v>
      </c>
      <c r="P22" s="62">
        <f>$H$22*VLOOKUP($H$11,'PCU Values'!$B$9:$C$16,2,FALSE)</f>
        <v>0</v>
      </c>
      <c r="Q22" s="62">
        <f>$I$22*VLOOKUP($I$11,'PCU Values'!$B$9:$C$16,2,FALSE)</f>
        <v>0</v>
      </c>
      <c r="R22" s="70">
        <f>$J$22*VLOOKUP($J$11,'PCU Values'!$B$9:$C$16,2,FALSE)</f>
        <v>0</v>
      </c>
      <c r="S22" s="71">
        <f>SUM($K$22,$L$22,$M$22,$N$22,$O$22,$P$22,$Q$22,$R$22)</f>
        <v>1</v>
      </c>
      <c r="T22" s="52">
        <f>SUM($C$22,$D$22,$E$22,$F$22,$G$22,$H$22,$I$22,$J$22)</f>
        <v>1</v>
      </c>
      <c r="U22" s="72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61">
        <v>0</v>
      </c>
      <c r="AC22" s="62">
        <f>$U$22*VLOOKUP($U$11,'PCU Values'!$B$9:$C$16,2,FALSE)</f>
        <v>0</v>
      </c>
      <c r="AD22" s="62">
        <f>$V$22*VLOOKUP($V$11,'PCU Values'!$B$9:$C$16,2,FALSE)</f>
        <v>0</v>
      </c>
      <c r="AE22" s="62">
        <f>$W$22*VLOOKUP($W$11,'PCU Values'!$B$9:$C$16,2,FALSE)</f>
        <v>0</v>
      </c>
      <c r="AF22" s="62">
        <f>$X$22*VLOOKUP($X$11,'PCU Values'!$B$9:$C$16,2,FALSE)</f>
        <v>0</v>
      </c>
      <c r="AG22" s="62">
        <f>$Y$22*VLOOKUP($Y$11,'PCU Values'!$B$9:$C$16,2,FALSE)</f>
        <v>0</v>
      </c>
      <c r="AH22" s="62">
        <f>$Z$22*VLOOKUP($Z$11,'PCU Values'!$B$9:$C$16,2,FALSE)</f>
        <v>0</v>
      </c>
      <c r="AI22" s="62">
        <f>$AA$22*VLOOKUP($AA$11,'PCU Values'!$B$9:$C$16,2,FALSE)</f>
        <v>0</v>
      </c>
      <c r="AJ22" s="70">
        <f>$AB$22*VLOOKUP($AB$11,'PCU Values'!$B$9:$C$16,2,FALSE)</f>
        <v>0</v>
      </c>
      <c r="AK22" s="71">
        <f>SUM($AC$22,$AD$22,$AE$22,$AF$22,$AG$22,$AH$22,$AI$22,$AJ$22)</f>
        <v>0</v>
      </c>
      <c r="AL22" s="52">
        <f>SUM($U$22,$V$22,$W$22,$X$22,$Y$22,$Z$22,$AA$22,$AB$22)</f>
        <v>0</v>
      </c>
      <c r="AM22" s="72">
        <v>0</v>
      </c>
      <c r="AN22" s="54">
        <v>0</v>
      </c>
      <c r="AO22" s="54">
        <v>0</v>
      </c>
      <c r="AP22" s="54">
        <v>0</v>
      </c>
      <c r="AQ22" s="54">
        <v>0</v>
      </c>
      <c r="AR22" s="54">
        <v>0</v>
      </c>
      <c r="AS22" s="54">
        <v>0</v>
      </c>
      <c r="AT22" s="61">
        <v>0</v>
      </c>
      <c r="AU22" s="62">
        <f>$AM$22*VLOOKUP($AM$11,'PCU Values'!$B$9:$C$16,2,FALSE)</f>
        <v>0</v>
      </c>
      <c r="AV22" s="62">
        <f>$AN$22*VLOOKUP($AN$11,'PCU Values'!$B$9:$C$16,2,FALSE)</f>
        <v>0</v>
      </c>
      <c r="AW22" s="62">
        <f>$AO$22*VLOOKUP($AO$11,'PCU Values'!$B$9:$C$16,2,FALSE)</f>
        <v>0</v>
      </c>
      <c r="AX22" s="62">
        <f>$AP$22*VLOOKUP($AP$11,'PCU Values'!$B$9:$C$16,2,FALSE)</f>
        <v>0</v>
      </c>
      <c r="AY22" s="62">
        <f>$AQ$22*VLOOKUP($AQ$11,'PCU Values'!$B$9:$C$16,2,FALSE)</f>
        <v>0</v>
      </c>
      <c r="AZ22" s="62">
        <f>$AR$22*VLOOKUP($AR$11,'PCU Values'!$B$9:$C$16,2,FALSE)</f>
        <v>0</v>
      </c>
      <c r="BA22" s="62">
        <f>$AS$22*VLOOKUP($AS$11,'PCU Values'!$B$9:$C$16,2,FALSE)</f>
        <v>0</v>
      </c>
      <c r="BB22" s="70">
        <f>$AT$22*VLOOKUP($AT$11,'PCU Values'!$B$9:$C$16,2,FALSE)</f>
        <v>0</v>
      </c>
      <c r="BC22" s="71">
        <f>SUM($AU$22,$AV$22,$AW$22,$AX$22,$AY$22,$AZ$22,$BA$22,$BB$22)</f>
        <v>0</v>
      </c>
      <c r="BD22" s="52">
        <f>SUM($AM$22,$AN$22,$AO$22,$AP$22,$AQ$22,$AR$22,$AS$22,$AT$22)</f>
        <v>0</v>
      </c>
      <c r="BE22" s="72">
        <v>0</v>
      </c>
      <c r="BF22" s="54">
        <v>0</v>
      </c>
      <c r="BG22" s="54">
        <v>0</v>
      </c>
      <c r="BH22" s="54">
        <v>0</v>
      </c>
      <c r="BI22" s="54">
        <v>0</v>
      </c>
      <c r="BJ22" s="54">
        <v>0</v>
      </c>
      <c r="BK22" s="54">
        <v>0</v>
      </c>
      <c r="BL22" s="61">
        <v>0</v>
      </c>
      <c r="BM22" s="81">
        <f>$BE$22*VLOOKUP($BE$11,'PCU Values'!$B$9:$C$16,2,FALSE)</f>
        <v>0</v>
      </c>
      <c r="BN22" s="81">
        <f>$BF$22*VLOOKUP($BF$11,'PCU Values'!$B$9:$C$16,2,FALSE)</f>
        <v>0</v>
      </c>
      <c r="BO22" s="81">
        <f>$BG$22*VLOOKUP($BG$11,'PCU Values'!$B$9:$C$16,2,FALSE)</f>
        <v>0</v>
      </c>
      <c r="BP22" s="81">
        <f>$BH$22*VLOOKUP($BH$11,'PCU Values'!$B$9:$C$16,2,FALSE)</f>
        <v>0</v>
      </c>
      <c r="BQ22" s="81">
        <f>$BI$22*VLOOKUP($BI$11,'PCU Values'!$B$9:$C$16,2,FALSE)</f>
        <v>0</v>
      </c>
      <c r="BR22" s="81">
        <f>$BJ$22*VLOOKUP($BJ$11,'PCU Values'!$B$9:$C$16,2,FALSE)</f>
        <v>0</v>
      </c>
      <c r="BS22" s="81">
        <f>$BK$22*VLOOKUP($BK$11,'PCU Values'!$B$9:$C$16,2,FALSE)</f>
        <v>0</v>
      </c>
      <c r="BT22" s="82">
        <f>$BL$22*VLOOKUP($BL$11,'PCU Values'!$B$9:$C$16,2,FALSE)</f>
        <v>0</v>
      </c>
      <c r="BU22" s="71">
        <f>SUM($BM$22,$BN$22,$BO$22,$BP$22,$BQ$22,$BR$22,$BS$22,$BT$22)</f>
        <v>0</v>
      </c>
      <c r="BV22" s="52">
        <f>SUM($BE$22,$BF$22,$BG$22,$BH$22,$BI$22,$BJ$22,$BK$22,$BL$22)</f>
        <v>0</v>
      </c>
      <c r="BX22" s="53" t="s">
        <v>39</v>
      </c>
      <c r="BY22" s="85">
        <f>SUM($C$22,$U$22,$AM$22,$BE$22)</f>
        <v>1</v>
      </c>
      <c r="BZ22" s="85">
        <f>SUM($D$22,$V$22,$AN$22,$BF$22)</f>
        <v>0</v>
      </c>
      <c r="CA22" s="85">
        <f>SUM($E$22,$W$22,$AO$22,$BG$22)</f>
        <v>0</v>
      </c>
      <c r="CB22" s="85">
        <f>SUM($F$22,$X$22,$AP$22,$BH$22)</f>
        <v>0</v>
      </c>
      <c r="CC22" s="85">
        <f>SUM($G$22,$Y$22,$AQ$22,$BI$22)</f>
        <v>0</v>
      </c>
      <c r="CD22" s="85">
        <f>SUM($H$22,$Z$22,$AR$22,$BJ$22)</f>
        <v>0</v>
      </c>
      <c r="CE22" s="85">
        <f>SUM($I$22,$AA$22,$AS$22,$BK$22)</f>
        <v>0</v>
      </c>
      <c r="CF22" s="88">
        <f>SUM($J$22,$AB$22,$AT$22,$BL$22)</f>
        <v>0</v>
      </c>
      <c r="CG22" s="81">
        <f>$BY$22*VLOOKUP($BY$11,'PCU Values'!$B$9:$C$16,2,FALSE)</f>
        <v>1</v>
      </c>
      <c r="CH22" s="81">
        <f>$BZ$22*VLOOKUP($BZ$11,'PCU Values'!$B$9:$C$16,2,FALSE)</f>
        <v>0</v>
      </c>
      <c r="CI22" s="81">
        <f>$CA$22*VLOOKUP($CA$11,'PCU Values'!$B$9:$C$16,2,FALSE)</f>
        <v>0</v>
      </c>
      <c r="CJ22" s="81">
        <f>$CB$22*VLOOKUP($CB$11,'PCU Values'!$B$9:$C$16,2,FALSE)</f>
        <v>0</v>
      </c>
      <c r="CK22" s="81">
        <f>$CC$22*VLOOKUP($CC$11,'PCU Values'!$B$9:$C$16,2,FALSE)</f>
        <v>0</v>
      </c>
      <c r="CL22" s="81">
        <f>$CD$22*VLOOKUP($CD$11,'PCU Values'!$B$9:$C$16,2,FALSE)</f>
        <v>0</v>
      </c>
      <c r="CM22" s="81">
        <f>$CE$22*VLOOKUP($CE$11,'PCU Values'!$B$9:$C$16,2,FALSE)</f>
        <v>0</v>
      </c>
      <c r="CN22" s="82">
        <f>$CF$22*VLOOKUP($CF$11,'PCU Values'!$B$9:$C$16,2,FALSE)</f>
        <v>0</v>
      </c>
      <c r="CO22" s="71">
        <f>SUM($CG$22,$CH$22,$CI$22,$CJ$22,$CK$22,$CL$22,$CM$22,$CN$22)</f>
        <v>1</v>
      </c>
      <c r="CP22" s="52">
        <f>SUM($BY$22,$BZ$22,$CA$22,$CB$22,$CC$22,$CD$22,$CE$22,$CF$22)</f>
        <v>1</v>
      </c>
      <c r="CQ22" s="91">
        <f>SUM('J1 A - (North) Bishopthorpe Roa'!$AM$22,'J1 B - Butcher Terrace'!$U$22,'J1 C - (South) Bishopthorpe Roa'!$C$22,'J1 D - South Bank Avenue'!$BE$22)</f>
        <v>0</v>
      </c>
      <c r="CR22" s="85">
        <f>SUM('J1 A - (North) Bishopthorpe Roa'!$AN$22,'J1 B - Butcher Terrace'!$V$22,'J1 C - (South) Bishopthorpe Roa'!$D$22,'J1 D - South Bank Avenue'!$BF$22)</f>
        <v>0</v>
      </c>
      <c r="CS22" s="85">
        <f>SUM('J1 A - (North) Bishopthorpe Roa'!$AO$22,'J1 B - Butcher Terrace'!$W$22,'J1 C - (South) Bishopthorpe Roa'!$E$22,'J1 D - South Bank Avenue'!$BG$22)</f>
        <v>0</v>
      </c>
      <c r="CT22" s="85">
        <f>SUM('J1 A - (North) Bishopthorpe Roa'!$AP$22,'J1 B - Butcher Terrace'!$X$22,'J1 C - (South) Bishopthorpe Roa'!$F$22,'J1 D - South Bank Avenue'!$BH$22)</f>
        <v>0</v>
      </c>
      <c r="CU22" s="85">
        <f>SUM('J1 A - (North) Bishopthorpe Roa'!$AQ$22,'J1 B - Butcher Terrace'!$Y$22,'J1 C - (South) Bishopthorpe Roa'!$G$22,'J1 D - South Bank Avenue'!$BI$22)</f>
        <v>0</v>
      </c>
      <c r="CV22" s="85">
        <f>SUM('J1 A - (North) Bishopthorpe Roa'!$AR$22,'J1 B - Butcher Terrace'!$Z$22,'J1 C - (South) Bishopthorpe Roa'!$H$22,'J1 D - South Bank Avenue'!$BJ$22)</f>
        <v>0</v>
      </c>
      <c r="CW22" s="85">
        <f>SUM('J1 A - (North) Bishopthorpe Roa'!$AS$22,'J1 B - Butcher Terrace'!$AA$22,'J1 C - (South) Bishopthorpe Roa'!$I$22,'J1 D - South Bank Avenue'!$BK$22)</f>
        <v>0</v>
      </c>
      <c r="CX22" s="88">
        <f>SUM('J1 A - (North) Bishopthorpe Roa'!$AT$22,'J1 B - Butcher Terrace'!$AB$22,'J1 C - (South) Bishopthorpe Roa'!$J$22,'J1 D - South Bank Avenue'!$BL$22)</f>
        <v>0</v>
      </c>
      <c r="CY22" s="81">
        <f>$CQ$22*VLOOKUP($CQ$11,'PCU Values'!$B$9:$C$16,2,FALSE)</f>
        <v>0</v>
      </c>
      <c r="CZ22" s="81">
        <f>$CR$22*VLOOKUP($CR$11,'PCU Values'!$B$9:$C$16,2,FALSE)</f>
        <v>0</v>
      </c>
      <c r="DA22" s="81">
        <f>$CS$22*VLOOKUP($CS$11,'PCU Values'!$B$9:$C$16,2,FALSE)</f>
        <v>0</v>
      </c>
      <c r="DB22" s="81">
        <f>$CT$22*VLOOKUP($CT$11,'PCU Values'!$B$9:$C$16,2,FALSE)</f>
        <v>0</v>
      </c>
      <c r="DC22" s="81">
        <f>$CU$22*VLOOKUP($CU$11,'PCU Values'!$B$9:$C$16,2,FALSE)</f>
        <v>0</v>
      </c>
      <c r="DD22" s="81">
        <f>$CV$22*VLOOKUP($CV$11,'PCU Values'!$B$9:$C$16,2,FALSE)</f>
        <v>0</v>
      </c>
      <c r="DE22" s="81">
        <f>$CW$22*VLOOKUP($CW$11,'PCU Values'!$B$9:$C$16,2,FALSE)</f>
        <v>0</v>
      </c>
      <c r="DF22" s="82">
        <f>$CX$22*VLOOKUP($CX$11,'PCU Values'!$B$9:$C$16,2,FALSE)</f>
        <v>0</v>
      </c>
      <c r="DG22" s="71">
        <f>SUM($CY$22,$CZ$22,$DA$22,$DB$22,$DC$22,$DD$22,$DE$22,$DF$22)</f>
        <v>0</v>
      </c>
      <c r="DH22" s="52">
        <f>SUM($CQ$22,$CR$22,$CS$22,$CT$22,$CU$22,$CV$22,$CW$22,$CX$22)</f>
        <v>0</v>
      </c>
    </row>
    <row r="23" spans="1:112" ht="21" customHeight="1">
      <c r="A23" s="46">
        <v>44395.09375</v>
      </c>
      <c r="B23" s="47" t="s">
        <v>40</v>
      </c>
      <c r="C23" s="48">
        <v>0</v>
      </c>
      <c r="D23" s="48">
        <v>0</v>
      </c>
      <c r="E23" s="48">
        <v>0</v>
      </c>
      <c r="F23" s="48">
        <v>0</v>
      </c>
      <c r="G23" s="48">
        <v>0</v>
      </c>
      <c r="H23" s="48">
        <v>0</v>
      </c>
      <c r="I23" s="48">
        <v>0</v>
      </c>
      <c r="J23" s="56">
        <v>0</v>
      </c>
      <c r="K23" s="57">
        <f>$C$23*VLOOKUP($C$11,'PCU Values'!$B$9:$C$16,2,FALSE)</f>
        <v>0</v>
      </c>
      <c r="L23" s="57">
        <f>$D$23*VLOOKUP($D$11,'PCU Values'!$B$9:$C$16,2,FALSE)</f>
        <v>0</v>
      </c>
      <c r="M23" s="57">
        <f>$E$23*VLOOKUP($E$11,'PCU Values'!$B$9:$C$16,2,FALSE)</f>
        <v>0</v>
      </c>
      <c r="N23" s="57">
        <f>$F$23*VLOOKUP($F$11,'PCU Values'!$B$9:$C$16,2,FALSE)</f>
        <v>0</v>
      </c>
      <c r="O23" s="57">
        <f>$G$23*VLOOKUP($G$11,'PCU Values'!$B$9:$C$16,2,FALSE)</f>
        <v>0</v>
      </c>
      <c r="P23" s="57">
        <f>$H$23*VLOOKUP($H$11,'PCU Values'!$B$9:$C$16,2,FALSE)</f>
        <v>0</v>
      </c>
      <c r="Q23" s="57">
        <f>$I$23*VLOOKUP($I$11,'PCU Values'!$B$9:$C$16,2,FALSE)</f>
        <v>0</v>
      </c>
      <c r="R23" s="65">
        <f>$J$23*VLOOKUP($J$11,'PCU Values'!$B$9:$C$16,2,FALSE)</f>
        <v>0</v>
      </c>
      <c r="S23" s="66">
        <f>SUM($K$23,$L$23,$M$23,$N$23,$O$23,$P$23,$Q$23,$R$23)</f>
        <v>0</v>
      </c>
      <c r="T23" s="52">
        <f>SUM($C$23,$D$23,$E$23,$F$23,$G$23,$H$23,$I$23,$J$23)</f>
        <v>0</v>
      </c>
      <c r="U23" s="67">
        <v>0</v>
      </c>
      <c r="V23" s="48">
        <v>0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56">
        <v>0</v>
      </c>
      <c r="AC23" s="57">
        <f>$U$23*VLOOKUP($U$11,'PCU Values'!$B$9:$C$16,2,FALSE)</f>
        <v>0</v>
      </c>
      <c r="AD23" s="57">
        <f>$V$23*VLOOKUP($V$11,'PCU Values'!$B$9:$C$16,2,FALSE)</f>
        <v>0</v>
      </c>
      <c r="AE23" s="57">
        <f>$W$23*VLOOKUP($W$11,'PCU Values'!$B$9:$C$16,2,FALSE)</f>
        <v>0</v>
      </c>
      <c r="AF23" s="57">
        <f>$X$23*VLOOKUP($X$11,'PCU Values'!$B$9:$C$16,2,FALSE)</f>
        <v>0</v>
      </c>
      <c r="AG23" s="57">
        <f>$Y$23*VLOOKUP($Y$11,'PCU Values'!$B$9:$C$16,2,FALSE)</f>
        <v>0</v>
      </c>
      <c r="AH23" s="57">
        <f>$Z$23*VLOOKUP($Z$11,'PCU Values'!$B$9:$C$16,2,FALSE)</f>
        <v>0</v>
      </c>
      <c r="AI23" s="57">
        <f>$AA$23*VLOOKUP($AA$11,'PCU Values'!$B$9:$C$16,2,FALSE)</f>
        <v>0</v>
      </c>
      <c r="AJ23" s="65">
        <f>$AB$23*VLOOKUP($AB$11,'PCU Values'!$B$9:$C$16,2,FALSE)</f>
        <v>0</v>
      </c>
      <c r="AK23" s="66">
        <f>SUM($AC$23,$AD$23,$AE$23,$AF$23,$AG$23,$AH$23,$AI$23,$AJ$23)</f>
        <v>0</v>
      </c>
      <c r="AL23" s="52">
        <f>SUM($U$23,$V$23,$W$23,$X$23,$Y$23,$Z$23,$AA$23,$AB$23)</f>
        <v>0</v>
      </c>
      <c r="AM23" s="67">
        <v>0</v>
      </c>
      <c r="AN23" s="48">
        <v>0</v>
      </c>
      <c r="AO23" s="48">
        <v>0</v>
      </c>
      <c r="AP23" s="48">
        <v>0</v>
      </c>
      <c r="AQ23" s="48">
        <v>0</v>
      </c>
      <c r="AR23" s="48">
        <v>0</v>
      </c>
      <c r="AS23" s="48">
        <v>0</v>
      </c>
      <c r="AT23" s="56">
        <v>0</v>
      </c>
      <c r="AU23" s="57">
        <f>$AM$23*VLOOKUP($AM$11,'PCU Values'!$B$9:$C$16,2,FALSE)</f>
        <v>0</v>
      </c>
      <c r="AV23" s="57">
        <f>$AN$23*VLOOKUP($AN$11,'PCU Values'!$B$9:$C$16,2,FALSE)</f>
        <v>0</v>
      </c>
      <c r="AW23" s="57">
        <f>$AO$23*VLOOKUP($AO$11,'PCU Values'!$B$9:$C$16,2,FALSE)</f>
        <v>0</v>
      </c>
      <c r="AX23" s="57">
        <f>$AP$23*VLOOKUP($AP$11,'PCU Values'!$B$9:$C$16,2,FALSE)</f>
        <v>0</v>
      </c>
      <c r="AY23" s="57">
        <f>$AQ$23*VLOOKUP($AQ$11,'PCU Values'!$B$9:$C$16,2,FALSE)</f>
        <v>0</v>
      </c>
      <c r="AZ23" s="57">
        <f>$AR$23*VLOOKUP($AR$11,'PCU Values'!$B$9:$C$16,2,FALSE)</f>
        <v>0</v>
      </c>
      <c r="BA23" s="57">
        <f>$AS$23*VLOOKUP($AS$11,'PCU Values'!$B$9:$C$16,2,FALSE)</f>
        <v>0</v>
      </c>
      <c r="BB23" s="65">
        <f>$AT$23*VLOOKUP($AT$11,'PCU Values'!$B$9:$C$16,2,FALSE)</f>
        <v>0</v>
      </c>
      <c r="BC23" s="66">
        <f>SUM($AU$23,$AV$23,$AW$23,$AX$23,$AY$23,$AZ$23,$BA$23,$BB$23)</f>
        <v>0</v>
      </c>
      <c r="BD23" s="52">
        <f>SUM($AM$23,$AN$23,$AO$23,$AP$23,$AQ$23,$AR$23,$AS$23,$AT$23)</f>
        <v>0</v>
      </c>
      <c r="BE23" s="67">
        <v>0</v>
      </c>
      <c r="BF23" s="48">
        <v>0</v>
      </c>
      <c r="BG23" s="48">
        <v>0</v>
      </c>
      <c r="BH23" s="48">
        <v>0</v>
      </c>
      <c r="BI23" s="48">
        <v>0</v>
      </c>
      <c r="BJ23" s="48">
        <v>0</v>
      </c>
      <c r="BK23" s="48">
        <v>0</v>
      </c>
      <c r="BL23" s="56">
        <v>0</v>
      </c>
      <c r="BM23" s="77">
        <f>$BE$23*VLOOKUP($BE$11,'PCU Values'!$B$9:$C$16,2,FALSE)</f>
        <v>0</v>
      </c>
      <c r="BN23" s="77">
        <f>$BF$23*VLOOKUP($BF$11,'PCU Values'!$B$9:$C$16,2,FALSE)</f>
        <v>0</v>
      </c>
      <c r="BO23" s="77">
        <f>$BG$23*VLOOKUP($BG$11,'PCU Values'!$B$9:$C$16,2,FALSE)</f>
        <v>0</v>
      </c>
      <c r="BP23" s="77">
        <f>$BH$23*VLOOKUP($BH$11,'PCU Values'!$B$9:$C$16,2,FALSE)</f>
        <v>0</v>
      </c>
      <c r="BQ23" s="77">
        <f>$BI$23*VLOOKUP($BI$11,'PCU Values'!$B$9:$C$16,2,FALSE)</f>
        <v>0</v>
      </c>
      <c r="BR23" s="77">
        <f>$BJ$23*VLOOKUP($BJ$11,'PCU Values'!$B$9:$C$16,2,FALSE)</f>
        <v>0</v>
      </c>
      <c r="BS23" s="77">
        <f>$BK$23*VLOOKUP($BK$11,'PCU Values'!$B$9:$C$16,2,FALSE)</f>
        <v>0</v>
      </c>
      <c r="BT23" s="78">
        <f>$BL$23*VLOOKUP($BL$11,'PCU Values'!$B$9:$C$16,2,FALSE)</f>
        <v>0</v>
      </c>
      <c r="BU23" s="66">
        <f>SUM($BM$23,$BN$23,$BO$23,$BP$23,$BQ$23,$BR$23,$BS$23,$BT$23)</f>
        <v>0</v>
      </c>
      <c r="BV23" s="52">
        <f>SUM($BE$23,$BF$23,$BG$23,$BH$23,$BI$23,$BJ$23,$BK$23,$BL$23)</f>
        <v>0</v>
      </c>
      <c r="BX23" s="47" t="s">
        <v>40</v>
      </c>
      <c r="BY23" s="83">
        <f>SUM($C$23,$U$23,$AM$23,$BE$23)</f>
        <v>0</v>
      </c>
      <c r="BZ23" s="83">
        <f>SUM($D$23,$V$23,$AN$23,$BF$23)</f>
        <v>0</v>
      </c>
      <c r="CA23" s="83">
        <f>SUM($E$23,$W$23,$AO$23,$BG$23)</f>
        <v>0</v>
      </c>
      <c r="CB23" s="83">
        <f>SUM($F$23,$X$23,$AP$23,$BH$23)</f>
        <v>0</v>
      </c>
      <c r="CC23" s="83">
        <f>SUM($G$23,$Y$23,$AQ$23,$BI$23)</f>
        <v>0</v>
      </c>
      <c r="CD23" s="83">
        <f>SUM($H$23,$Z$23,$AR$23,$BJ$23)</f>
        <v>0</v>
      </c>
      <c r="CE23" s="83">
        <f>SUM($I$23,$AA$23,$AS$23,$BK$23)</f>
        <v>0</v>
      </c>
      <c r="CF23" s="86">
        <f>SUM($J$23,$AB$23,$AT$23,$BL$23)</f>
        <v>0</v>
      </c>
      <c r="CG23" s="77">
        <f>$BY$23*VLOOKUP($BY$11,'PCU Values'!$B$9:$C$16,2,FALSE)</f>
        <v>0</v>
      </c>
      <c r="CH23" s="77">
        <f>$BZ$23*VLOOKUP($BZ$11,'PCU Values'!$B$9:$C$16,2,FALSE)</f>
        <v>0</v>
      </c>
      <c r="CI23" s="77">
        <f>$CA$23*VLOOKUP($CA$11,'PCU Values'!$B$9:$C$16,2,FALSE)</f>
        <v>0</v>
      </c>
      <c r="CJ23" s="77">
        <f>$CB$23*VLOOKUP($CB$11,'PCU Values'!$B$9:$C$16,2,FALSE)</f>
        <v>0</v>
      </c>
      <c r="CK23" s="77">
        <f>$CC$23*VLOOKUP($CC$11,'PCU Values'!$B$9:$C$16,2,FALSE)</f>
        <v>0</v>
      </c>
      <c r="CL23" s="77">
        <f>$CD$23*VLOOKUP($CD$11,'PCU Values'!$B$9:$C$16,2,FALSE)</f>
        <v>0</v>
      </c>
      <c r="CM23" s="77">
        <f>$CE$23*VLOOKUP($CE$11,'PCU Values'!$B$9:$C$16,2,FALSE)</f>
        <v>0</v>
      </c>
      <c r="CN23" s="78">
        <f>$CF$23*VLOOKUP($CF$11,'PCU Values'!$B$9:$C$16,2,FALSE)</f>
        <v>0</v>
      </c>
      <c r="CO23" s="66">
        <f>SUM($CG$23,$CH$23,$CI$23,$CJ$23,$CK$23,$CL$23,$CM$23,$CN$23)</f>
        <v>0</v>
      </c>
      <c r="CP23" s="52">
        <f>SUM($BY$23,$BZ$23,$CA$23,$CB$23,$CC$23,$CD$23,$CE$23,$CF$23)</f>
        <v>0</v>
      </c>
      <c r="CQ23" s="89">
        <f>SUM('J1 A - (North) Bishopthorpe Roa'!$AM$23,'J1 B - Butcher Terrace'!$U$23,'J1 C - (South) Bishopthorpe Roa'!$C$23,'J1 D - South Bank Avenue'!$BE$23)</f>
        <v>0</v>
      </c>
      <c r="CR23" s="83">
        <f>SUM('J1 A - (North) Bishopthorpe Roa'!$AN$23,'J1 B - Butcher Terrace'!$V$23,'J1 C - (South) Bishopthorpe Roa'!$D$23,'J1 D - South Bank Avenue'!$BF$23)</f>
        <v>0</v>
      </c>
      <c r="CS23" s="83">
        <f>SUM('J1 A - (North) Bishopthorpe Roa'!$AO$23,'J1 B - Butcher Terrace'!$W$23,'J1 C - (South) Bishopthorpe Roa'!$E$23,'J1 D - South Bank Avenue'!$BG$23)</f>
        <v>0</v>
      </c>
      <c r="CT23" s="83">
        <f>SUM('J1 A - (North) Bishopthorpe Roa'!$AP$23,'J1 B - Butcher Terrace'!$X$23,'J1 C - (South) Bishopthorpe Roa'!$F$23,'J1 D - South Bank Avenue'!$BH$23)</f>
        <v>0</v>
      </c>
      <c r="CU23" s="83">
        <f>SUM('J1 A - (North) Bishopthorpe Roa'!$AQ$23,'J1 B - Butcher Terrace'!$Y$23,'J1 C - (South) Bishopthorpe Roa'!$G$23,'J1 D - South Bank Avenue'!$BI$23)</f>
        <v>0</v>
      </c>
      <c r="CV23" s="83">
        <f>SUM('J1 A - (North) Bishopthorpe Roa'!$AR$23,'J1 B - Butcher Terrace'!$Z$23,'J1 C - (South) Bishopthorpe Roa'!$H$23,'J1 D - South Bank Avenue'!$BJ$23)</f>
        <v>0</v>
      </c>
      <c r="CW23" s="83">
        <f>SUM('J1 A - (North) Bishopthorpe Roa'!$AS$23,'J1 B - Butcher Terrace'!$AA$23,'J1 C - (South) Bishopthorpe Roa'!$I$23,'J1 D - South Bank Avenue'!$BK$23)</f>
        <v>0</v>
      </c>
      <c r="CX23" s="86">
        <f>SUM('J1 A - (North) Bishopthorpe Roa'!$AT$23,'J1 B - Butcher Terrace'!$AB$23,'J1 C - (South) Bishopthorpe Roa'!$J$23,'J1 D - South Bank Avenue'!$BL$23)</f>
        <v>0</v>
      </c>
      <c r="CY23" s="77">
        <f>$CQ$23*VLOOKUP($CQ$11,'PCU Values'!$B$9:$C$16,2,FALSE)</f>
        <v>0</v>
      </c>
      <c r="CZ23" s="77">
        <f>$CR$23*VLOOKUP($CR$11,'PCU Values'!$B$9:$C$16,2,FALSE)</f>
        <v>0</v>
      </c>
      <c r="DA23" s="77">
        <f>$CS$23*VLOOKUP($CS$11,'PCU Values'!$B$9:$C$16,2,FALSE)</f>
        <v>0</v>
      </c>
      <c r="DB23" s="77">
        <f>$CT$23*VLOOKUP($CT$11,'PCU Values'!$B$9:$C$16,2,FALSE)</f>
        <v>0</v>
      </c>
      <c r="DC23" s="77">
        <f>$CU$23*VLOOKUP($CU$11,'PCU Values'!$B$9:$C$16,2,FALSE)</f>
        <v>0</v>
      </c>
      <c r="DD23" s="77">
        <f>$CV$23*VLOOKUP($CV$11,'PCU Values'!$B$9:$C$16,2,FALSE)</f>
        <v>0</v>
      </c>
      <c r="DE23" s="77">
        <f>$CW$23*VLOOKUP($CW$11,'PCU Values'!$B$9:$C$16,2,FALSE)</f>
        <v>0</v>
      </c>
      <c r="DF23" s="78">
        <f>$CX$23*VLOOKUP($CX$11,'PCU Values'!$B$9:$C$16,2,FALSE)</f>
        <v>0</v>
      </c>
      <c r="DG23" s="66">
        <f>SUM($CY$23,$CZ$23,$DA$23,$DB$23,$DC$23,$DD$23,$DE$23,$DF$23)</f>
        <v>0</v>
      </c>
      <c r="DH23" s="52">
        <f>SUM($CQ$23,$CR$23,$CS$23,$CT$23,$CU$23,$CV$23,$CW$23,$CX$23)</f>
        <v>0</v>
      </c>
    </row>
    <row r="24" spans="1:112" ht="21" customHeight="1">
      <c r="A24" s="46">
        <v>44395.104166666701</v>
      </c>
      <c r="B24" s="47" t="s">
        <v>41</v>
      </c>
      <c r="C24" s="48">
        <v>0</v>
      </c>
      <c r="D24" s="48">
        <v>0</v>
      </c>
      <c r="E24" s="48">
        <v>0</v>
      </c>
      <c r="F24" s="48">
        <v>0</v>
      </c>
      <c r="G24" s="48">
        <v>0</v>
      </c>
      <c r="H24" s="48">
        <v>0</v>
      </c>
      <c r="I24" s="48">
        <v>0</v>
      </c>
      <c r="J24" s="56">
        <v>0</v>
      </c>
      <c r="K24" s="57">
        <f>$C$24*VLOOKUP($C$11,'PCU Values'!$B$9:$C$16,2,FALSE)</f>
        <v>0</v>
      </c>
      <c r="L24" s="57">
        <f>$D$24*VLOOKUP($D$11,'PCU Values'!$B$9:$C$16,2,FALSE)</f>
        <v>0</v>
      </c>
      <c r="M24" s="57">
        <f>$E$24*VLOOKUP($E$11,'PCU Values'!$B$9:$C$16,2,FALSE)</f>
        <v>0</v>
      </c>
      <c r="N24" s="57">
        <f>$F$24*VLOOKUP($F$11,'PCU Values'!$B$9:$C$16,2,FALSE)</f>
        <v>0</v>
      </c>
      <c r="O24" s="57">
        <f>$G$24*VLOOKUP($G$11,'PCU Values'!$B$9:$C$16,2,FALSE)</f>
        <v>0</v>
      </c>
      <c r="P24" s="57">
        <f>$H$24*VLOOKUP($H$11,'PCU Values'!$B$9:$C$16,2,FALSE)</f>
        <v>0</v>
      </c>
      <c r="Q24" s="57">
        <f>$I$24*VLOOKUP($I$11,'PCU Values'!$B$9:$C$16,2,FALSE)</f>
        <v>0</v>
      </c>
      <c r="R24" s="65">
        <f>$J$24*VLOOKUP($J$11,'PCU Values'!$B$9:$C$16,2,FALSE)</f>
        <v>0</v>
      </c>
      <c r="S24" s="66">
        <f>SUM($K$24,$L$24,$M$24,$N$24,$O$24,$P$24,$Q$24,$R$24)</f>
        <v>0</v>
      </c>
      <c r="T24" s="52">
        <f>SUM($C$24,$D$24,$E$24,$F$24,$G$24,$H$24,$I$24,$J$24)</f>
        <v>0</v>
      </c>
      <c r="U24" s="67">
        <v>0</v>
      </c>
      <c r="V24" s="48">
        <v>0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56">
        <v>0</v>
      </c>
      <c r="AC24" s="57">
        <f>$U$24*VLOOKUP($U$11,'PCU Values'!$B$9:$C$16,2,FALSE)</f>
        <v>0</v>
      </c>
      <c r="AD24" s="57">
        <f>$V$24*VLOOKUP($V$11,'PCU Values'!$B$9:$C$16,2,FALSE)</f>
        <v>0</v>
      </c>
      <c r="AE24" s="57">
        <f>$W$24*VLOOKUP($W$11,'PCU Values'!$B$9:$C$16,2,FALSE)</f>
        <v>0</v>
      </c>
      <c r="AF24" s="57">
        <f>$X$24*VLOOKUP($X$11,'PCU Values'!$B$9:$C$16,2,FALSE)</f>
        <v>0</v>
      </c>
      <c r="AG24" s="57">
        <f>$Y$24*VLOOKUP($Y$11,'PCU Values'!$B$9:$C$16,2,FALSE)</f>
        <v>0</v>
      </c>
      <c r="AH24" s="57">
        <f>$Z$24*VLOOKUP($Z$11,'PCU Values'!$B$9:$C$16,2,FALSE)</f>
        <v>0</v>
      </c>
      <c r="AI24" s="57">
        <f>$AA$24*VLOOKUP($AA$11,'PCU Values'!$B$9:$C$16,2,FALSE)</f>
        <v>0</v>
      </c>
      <c r="AJ24" s="65">
        <f>$AB$24*VLOOKUP($AB$11,'PCU Values'!$B$9:$C$16,2,FALSE)</f>
        <v>0</v>
      </c>
      <c r="AK24" s="66">
        <f>SUM($AC$24,$AD$24,$AE$24,$AF$24,$AG$24,$AH$24,$AI$24,$AJ$24)</f>
        <v>0</v>
      </c>
      <c r="AL24" s="52">
        <f>SUM($U$24,$V$24,$W$24,$X$24,$Y$24,$Z$24,$AA$24,$AB$24)</f>
        <v>0</v>
      </c>
      <c r="AM24" s="67">
        <v>0</v>
      </c>
      <c r="AN24" s="48">
        <v>0</v>
      </c>
      <c r="AO24" s="48">
        <v>0</v>
      </c>
      <c r="AP24" s="48">
        <v>0</v>
      </c>
      <c r="AQ24" s="48">
        <v>0</v>
      </c>
      <c r="AR24" s="48">
        <v>0</v>
      </c>
      <c r="AS24" s="48">
        <v>0</v>
      </c>
      <c r="AT24" s="56">
        <v>0</v>
      </c>
      <c r="AU24" s="57">
        <f>$AM$24*VLOOKUP($AM$11,'PCU Values'!$B$9:$C$16,2,FALSE)</f>
        <v>0</v>
      </c>
      <c r="AV24" s="57">
        <f>$AN$24*VLOOKUP($AN$11,'PCU Values'!$B$9:$C$16,2,FALSE)</f>
        <v>0</v>
      </c>
      <c r="AW24" s="57">
        <f>$AO$24*VLOOKUP($AO$11,'PCU Values'!$B$9:$C$16,2,FALSE)</f>
        <v>0</v>
      </c>
      <c r="AX24" s="57">
        <f>$AP$24*VLOOKUP($AP$11,'PCU Values'!$B$9:$C$16,2,FALSE)</f>
        <v>0</v>
      </c>
      <c r="AY24" s="57">
        <f>$AQ$24*VLOOKUP($AQ$11,'PCU Values'!$B$9:$C$16,2,FALSE)</f>
        <v>0</v>
      </c>
      <c r="AZ24" s="57">
        <f>$AR$24*VLOOKUP($AR$11,'PCU Values'!$B$9:$C$16,2,FALSE)</f>
        <v>0</v>
      </c>
      <c r="BA24" s="57">
        <f>$AS$24*VLOOKUP($AS$11,'PCU Values'!$B$9:$C$16,2,FALSE)</f>
        <v>0</v>
      </c>
      <c r="BB24" s="65">
        <f>$AT$24*VLOOKUP($AT$11,'PCU Values'!$B$9:$C$16,2,FALSE)</f>
        <v>0</v>
      </c>
      <c r="BC24" s="66">
        <f>SUM($AU$24,$AV$24,$AW$24,$AX$24,$AY$24,$AZ$24,$BA$24,$BB$24)</f>
        <v>0</v>
      </c>
      <c r="BD24" s="52">
        <f>SUM($AM$24,$AN$24,$AO$24,$AP$24,$AQ$24,$AR$24,$AS$24,$AT$24)</f>
        <v>0</v>
      </c>
      <c r="BE24" s="67">
        <v>0</v>
      </c>
      <c r="BF24" s="48">
        <v>0</v>
      </c>
      <c r="BG24" s="48">
        <v>0</v>
      </c>
      <c r="BH24" s="48">
        <v>0</v>
      </c>
      <c r="BI24" s="48">
        <v>0</v>
      </c>
      <c r="BJ24" s="48">
        <v>0</v>
      </c>
      <c r="BK24" s="48">
        <v>0</v>
      </c>
      <c r="BL24" s="56">
        <v>0</v>
      </c>
      <c r="BM24" s="77">
        <f>$BE$24*VLOOKUP($BE$11,'PCU Values'!$B$9:$C$16,2,FALSE)</f>
        <v>0</v>
      </c>
      <c r="BN24" s="77">
        <f>$BF$24*VLOOKUP($BF$11,'PCU Values'!$B$9:$C$16,2,FALSE)</f>
        <v>0</v>
      </c>
      <c r="BO24" s="77">
        <f>$BG$24*VLOOKUP($BG$11,'PCU Values'!$B$9:$C$16,2,FALSE)</f>
        <v>0</v>
      </c>
      <c r="BP24" s="77">
        <f>$BH$24*VLOOKUP($BH$11,'PCU Values'!$B$9:$C$16,2,FALSE)</f>
        <v>0</v>
      </c>
      <c r="BQ24" s="77">
        <f>$BI$24*VLOOKUP($BI$11,'PCU Values'!$B$9:$C$16,2,FALSE)</f>
        <v>0</v>
      </c>
      <c r="BR24" s="77">
        <f>$BJ$24*VLOOKUP($BJ$11,'PCU Values'!$B$9:$C$16,2,FALSE)</f>
        <v>0</v>
      </c>
      <c r="BS24" s="77">
        <f>$BK$24*VLOOKUP($BK$11,'PCU Values'!$B$9:$C$16,2,FALSE)</f>
        <v>0</v>
      </c>
      <c r="BT24" s="78">
        <f>$BL$24*VLOOKUP($BL$11,'PCU Values'!$B$9:$C$16,2,FALSE)</f>
        <v>0</v>
      </c>
      <c r="BU24" s="66">
        <f>SUM($BM$24,$BN$24,$BO$24,$BP$24,$BQ$24,$BR$24,$BS$24,$BT$24)</f>
        <v>0</v>
      </c>
      <c r="BV24" s="52">
        <f>SUM($BE$24,$BF$24,$BG$24,$BH$24,$BI$24,$BJ$24,$BK$24,$BL$24)</f>
        <v>0</v>
      </c>
      <c r="BX24" s="47" t="s">
        <v>41</v>
      </c>
      <c r="BY24" s="83">
        <f>SUM($C$24,$U$24,$AM$24,$BE$24)</f>
        <v>0</v>
      </c>
      <c r="BZ24" s="83">
        <f>SUM($D$24,$V$24,$AN$24,$BF$24)</f>
        <v>0</v>
      </c>
      <c r="CA24" s="83">
        <f>SUM($E$24,$W$24,$AO$24,$BG$24)</f>
        <v>0</v>
      </c>
      <c r="CB24" s="83">
        <f>SUM($F$24,$X$24,$AP$24,$BH$24)</f>
        <v>0</v>
      </c>
      <c r="CC24" s="83">
        <f>SUM($G$24,$Y$24,$AQ$24,$BI$24)</f>
        <v>0</v>
      </c>
      <c r="CD24" s="83">
        <f>SUM($H$24,$Z$24,$AR$24,$BJ$24)</f>
        <v>0</v>
      </c>
      <c r="CE24" s="83">
        <f>SUM($I$24,$AA$24,$AS$24,$BK$24)</f>
        <v>0</v>
      </c>
      <c r="CF24" s="86">
        <f>SUM($J$24,$AB$24,$AT$24,$BL$24)</f>
        <v>0</v>
      </c>
      <c r="CG24" s="77">
        <f>$BY$24*VLOOKUP($BY$11,'PCU Values'!$B$9:$C$16,2,FALSE)</f>
        <v>0</v>
      </c>
      <c r="CH24" s="77">
        <f>$BZ$24*VLOOKUP($BZ$11,'PCU Values'!$B$9:$C$16,2,FALSE)</f>
        <v>0</v>
      </c>
      <c r="CI24" s="77">
        <f>$CA$24*VLOOKUP($CA$11,'PCU Values'!$B$9:$C$16,2,FALSE)</f>
        <v>0</v>
      </c>
      <c r="CJ24" s="77">
        <f>$CB$24*VLOOKUP($CB$11,'PCU Values'!$B$9:$C$16,2,FALSE)</f>
        <v>0</v>
      </c>
      <c r="CK24" s="77">
        <f>$CC$24*VLOOKUP($CC$11,'PCU Values'!$B$9:$C$16,2,FALSE)</f>
        <v>0</v>
      </c>
      <c r="CL24" s="77">
        <f>$CD$24*VLOOKUP($CD$11,'PCU Values'!$B$9:$C$16,2,FALSE)</f>
        <v>0</v>
      </c>
      <c r="CM24" s="77">
        <f>$CE$24*VLOOKUP($CE$11,'PCU Values'!$B$9:$C$16,2,FALSE)</f>
        <v>0</v>
      </c>
      <c r="CN24" s="78">
        <f>$CF$24*VLOOKUP($CF$11,'PCU Values'!$B$9:$C$16,2,FALSE)</f>
        <v>0</v>
      </c>
      <c r="CO24" s="66">
        <f>SUM($CG$24,$CH$24,$CI$24,$CJ$24,$CK$24,$CL$24,$CM$24,$CN$24)</f>
        <v>0</v>
      </c>
      <c r="CP24" s="52">
        <f>SUM($BY$24,$BZ$24,$CA$24,$CB$24,$CC$24,$CD$24,$CE$24,$CF$24)</f>
        <v>0</v>
      </c>
      <c r="CQ24" s="89">
        <f>SUM('J1 A - (North) Bishopthorpe Roa'!$AM$24,'J1 B - Butcher Terrace'!$U$24,'J1 C - (South) Bishopthorpe Roa'!$C$24,'J1 D - South Bank Avenue'!$BE$24)</f>
        <v>0</v>
      </c>
      <c r="CR24" s="83">
        <f>SUM('J1 A - (North) Bishopthorpe Roa'!$AN$24,'J1 B - Butcher Terrace'!$V$24,'J1 C - (South) Bishopthorpe Roa'!$D$24,'J1 D - South Bank Avenue'!$BF$24)</f>
        <v>0</v>
      </c>
      <c r="CS24" s="83">
        <f>SUM('J1 A - (North) Bishopthorpe Roa'!$AO$24,'J1 B - Butcher Terrace'!$W$24,'J1 C - (South) Bishopthorpe Roa'!$E$24,'J1 D - South Bank Avenue'!$BG$24)</f>
        <v>0</v>
      </c>
      <c r="CT24" s="83">
        <f>SUM('J1 A - (North) Bishopthorpe Roa'!$AP$24,'J1 B - Butcher Terrace'!$X$24,'J1 C - (South) Bishopthorpe Roa'!$F$24,'J1 D - South Bank Avenue'!$BH$24)</f>
        <v>0</v>
      </c>
      <c r="CU24" s="83">
        <f>SUM('J1 A - (North) Bishopthorpe Roa'!$AQ$24,'J1 B - Butcher Terrace'!$Y$24,'J1 C - (South) Bishopthorpe Roa'!$G$24,'J1 D - South Bank Avenue'!$BI$24)</f>
        <v>0</v>
      </c>
      <c r="CV24" s="83">
        <f>SUM('J1 A - (North) Bishopthorpe Roa'!$AR$24,'J1 B - Butcher Terrace'!$Z$24,'J1 C - (South) Bishopthorpe Roa'!$H$24,'J1 D - South Bank Avenue'!$BJ$24)</f>
        <v>0</v>
      </c>
      <c r="CW24" s="83">
        <f>SUM('J1 A - (North) Bishopthorpe Roa'!$AS$24,'J1 B - Butcher Terrace'!$AA$24,'J1 C - (South) Bishopthorpe Roa'!$I$24,'J1 D - South Bank Avenue'!$BK$24)</f>
        <v>0</v>
      </c>
      <c r="CX24" s="86">
        <f>SUM('J1 A - (North) Bishopthorpe Roa'!$AT$24,'J1 B - Butcher Terrace'!$AB$24,'J1 C - (South) Bishopthorpe Roa'!$J$24,'J1 D - South Bank Avenue'!$BL$24)</f>
        <v>0</v>
      </c>
      <c r="CY24" s="77">
        <f>$CQ$24*VLOOKUP($CQ$11,'PCU Values'!$B$9:$C$16,2,FALSE)</f>
        <v>0</v>
      </c>
      <c r="CZ24" s="77">
        <f>$CR$24*VLOOKUP($CR$11,'PCU Values'!$B$9:$C$16,2,FALSE)</f>
        <v>0</v>
      </c>
      <c r="DA24" s="77">
        <f>$CS$24*VLOOKUP($CS$11,'PCU Values'!$B$9:$C$16,2,FALSE)</f>
        <v>0</v>
      </c>
      <c r="DB24" s="77">
        <f>$CT$24*VLOOKUP($CT$11,'PCU Values'!$B$9:$C$16,2,FALSE)</f>
        <v>0</v>
      </c>
      <c r="DC24" s="77">
        <f>$CU$24*VLOOKUP($CU$11,'PCU Values'!$B$9:$C$16,2,FALSE)</f>
        <v>0</v>
      </c>
      <c r="DD24" s="77">
        <f>$CV$24*VLOOKUP($CV$11,'PCU Values'!$B$9:$C$16,2,FALSE)</f>
        <v>0</v>
      </c>
      <c r="DE24" s="77">
        <f>$CW$24*VLOOKUP($CW$11,'PCU Values'!$B$9:$C$16,2,FALSE)</f>
        <v>0</v>
      </c>
      <c r="DF24" s="78">
        <f>$CX$24*VLOOKUP($CX$11,'PCU Values'!$B$9:$C$16,2,FALSE)</f>
        <v>0</v>
      </c>
      <c r="DG24" s="66">
        <f>SUM($CY$24,$CZ$24,$DA$24,$DB$24,$DC$24,$DD$24,$DE$24,$DF$24)</f>
        <v>0</v>
      </c>
      <c r="DH24" s="52">
        <f>SUM($CQ$24,$CR$24,$CS$24,$CT$24,$CU$24,$CV$24,$CW$24,$CX$24)</f>
        <v>0</v>
      </c>
    </row>
    <row r="25" spans="1:112" ht="21" customHeight="1">
      <c r="A25" s="46">
        <v>44395.114583333299</v>
      </c>
      <c r="B25" s="50" t="s">
        <v>42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9">
        <v>0</v>
      </c>
      <c r="K25" s="60">
        <f>$C$25*VLOOKUP($C$11,'PCU Values'!$B$9:$C$16,2,FALSE)</f>
        <v>0</v>
      </c>
      <c r="L25" s="60">
        <f>$D$25*VLOOKUP($D$11,'PCU Values'!$B$9:$C$16,2,FALSE)</f>
        <v>0</v>
      </c>
      <c r="M25" s="60">
        <f>$E$25*VLOOKUP($E$11,'PCU Values'!$B$9:$C$16,2,FALSE)</f>
        <v>0</v>
      </c>
      <c r="N25" s="60">
        <f>$F$25*VLOOKUP($F$11,'PCU Values'!$B$9:$C$16,2,FALSE)</f>
        <v>0</v>
      </c>
      <c r="O25" s="60">
        <f>$G$25*VLOOKUP($G$11,'PCU Values'!$B$9:$C$16,2,FALSE)</f>
        <v>0</v>
      </c>
      <c r="P25" s="60">
        <f>$H$25*VLOOKUP($H$11,'PCU Values'!$B$9:$C$16,2,FALSE)</f>
        <v>0</v>
      </c>
      <c r="Q25" s="60">
        <f>$I$25*VLOOKUP($I$11,'PCU Values'!$B$9:$C$16,2,FALSE)</f>
        <v>0</v>
      </c>
      <c r="R25" s="68">
        <f>$J$25*VLOOKUP($J$11,'PCU Values'!$B$9:$C$16,2,FALSE)</f>
        <v>0</v>
      </c>
      <c r="S25" s="63">
        <f>SUM($K$25,$L$25,$M$25,$N$25,$O$25,$P$25,$Q$25,$R$25)</f>
        <v>0</v>
      </c>
      <c r="T25" s="52">
        <f>SUM($C$25,$D$25,$E$25,$F$25,$G$25,$H$25,$I$25,$J$25)</f>
        <v>0</v>
      </c>
      <c r="U25" s="73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9">
        <v>0</v>
      </c>
      <c r="AC25" s="60">
        <f>$U$25*VLOOKUP($U$11,'PCU Values'!$B$9:$C$16,2,FALSE)</f>
        <v>0</v>
      </c>
      <c r="AD25" s="60">
        <f>$V$25*VLOOKUP($V$11,'PCU Values'!$B$9:$C$16,2,FALSE)</f>
        <v>0</v>
      </c>
      <c r="AE25" s="60">
        <f>$W$25*VLOOKUP($W$11,'PCU Values'!$B$9:$C$16,2,FALSE)</f>
        <v>0</v>
      </c>
      <c r="AF25" s="60">
        <f>$X$25*VLOOKUP($X$11,'PCU Values'!$B$9:$C$16,2,FALSE)</f>
        <v>0</v>
      </c>
      <c r="AG25" s="60">
        <f>$Y$25*VLOOKUP($Y$11,'PCU Values'!$B$9:$C$16,2,FALSE)</f>
        <v>0</v>
      </c>
      <c r="AH25" s="60">
        <f>$Z$25*VLOOKUP($Z$11,'PCU Values'!$B$9:$C$16,2,FALSE)</f>
        <v>0</v>
      </c>
      <c r="AI25" s="60">
        <f>$AA$25*VLOOKUP($AA$11,'PCU Values'!$B$9:$C$16,2,FALSE)</f>
        <v>0</v>
      </c>
      <c r="AJ25" s="68">
        <f>$AB$25*VLOOKUP($AB$11,'PCU Values'!$B$9:$C$16,2,FALSE)</f>
        <v>0</v>
      </c>
      <c r="AK25" s="63">
        <f>SUM($AC$25,$AD$25,$AE$25,$AF$25,$AG$25,$AH$25,$AI$25,$AJ$25)</f>
        <v>0</v>
      </c>
      <c r="AL25" s="52">
        <f>SUM($U$25,$V$25,$W$25,$X$25,$Y$25,$Z$25,$AA$25,$AB$25)</f>
        <v>0</v>
      </c>
      <c r="AM25" s="73">
        <v>0</v>
      </c>
      <c r="AN25" s="51">
        <v>0</v>
      </c>
      <c r="AO25" s="51">
        <v>0</v>
      </c>
      <c r="AP25" s="51">
        <v>0</v>
      </c>
      <c r="AQ25" s="51">
        <v>0</v>
      </c>
      <c r="AR25" s="51">
        <v>0</v>
      </c>
      <c r="AS25" s="51">
        <v>0</v>
      </c>
      <c r="AT25" s="59">
        <v>0</v>
      </c>
      <c r="AU25" s="60">
        <f>$AM$25*VLOOKUP($AM$11,'PCU Values'!$B$9:$C$16,2,FALSE)</f>
        <v>0</v>
      </c>
      <c r="AV25" s="60">
        <f>$AN$25*VLOOKUP($AN$11,'PCU Values'!$B$9:$C$16,2,FALSE)</f>
        <v>0</v>
      </c>
      <c r="AW25" s="60">
        <f>$AO$25*VLOOKUP($AO$11,'PCU Values'!$B$9:$C$16,2,FALSE)</f>
        <v>0</v>
      </c>
      <c r="AX25" s="60">
        <f>$AP$25*VLOOKUP($AP$11,'PCU Values'!$B$9:$C$16,2,FALSE)</f>
        <v>0</v>
      </c>
      <c r="AY25" s="60">
        <f>$AQ$25*VLOOKUP($AQ$11,'PCU Values'!$B$9:$C$16,2,FALSE)</f>
        <v>0</v>
      </c>
      <c r="AZ25" s="60">
        <f>$AR$25*VLOOKUP($AR$11,'PCU Values'!$B$9:$C$16,2,FALSE)</f>
        <v>0</v>
      </c>
      <c r="BA25" s="60">
        <f>$AS$25*VLOOKUP($AS$11,'PCU Values'!$B$9:$C$16,2,FALSE)</f>
        <v>0</v>
      </c>
      <c r="BB25" s="68">
        <f>$AT$25*VLOOKUP($AT$11,'PCU Values'!$B$9:$C$16,2,FALSE)</f>
        <v>0</v>
      </c>
      <c r="BC25" s="63">
        <f>SUM($AU$25,$AV$25,$AW$25,$AX$25,$AY$25,$AZ$25,$BA$25,$BB$25)</f>
        <v>0</v>
      </c>
      <c r="BD25" s="52">
        <f>SUM($AM$25,$AN$25,$AO$25,$AP$25,$AQ$25,$AR$25,$AS$25,$AT$25)</f>
        <v>0</v>
      </c>
      <c r="BE25" s="73">
        <v>0</v>
      </c>
      <c r="BF25" s="51">
        <v>0</v>
      </c>
      <c r="BG25" s="51">
        <v>0</v>
      </c>
      <c r="BH25" s="51">
        <v>0</v>
      </c>
      <c r="BI25" s="51">
        <v>0</v>
      </c>
      <c r="BJ25" s="51">
        <v>0</v>
      </c>
      <c r="BK25" s="51">
        <v>0</v>
      </c>
      <c r="BL25" s="59">
        <v>0</v>
      </c>
      <c r="BM25" s="79">
        <f>$BE$25*VLOOKUP($BE$11,'PCU Values'!$B$9:$C$16,2,FALSE)</f>
        <v>0</v>
      </c>
      <c r="BN25" s="79">
        <f>$BF$25*VLOOKUP($BF$11,'PCU Values'!$B$9:$C$16,2,FALSE)</f>
        <v>0</v>
      </c>
      <c r="BO25" s="79">
        <f>$BG$25*VLOOKUP($BG$11,'PCU Values'!$B$9:$C$16,2,FALSE)</f>
        <v>0</v>
      </c>
      <c r="BP25" s="79">
        <f>$BH$25*VLOOKUP($BH$11,'PCU Values'!$B$9:$C$16,2,FALSE)</f>
        <v>0</v>
      </c>
      <c r="BQ25" s="79">
        <f>$BI$25*VLOOKUP($BI$11,'PCU Values'!$B$9:$C$16,2,FALSE)</f>
        <v>0</v>
      </c>
      <c r="BR25" s="79">
        <f>$BJ$25*VLOOKUP($BJ$11,'PCU Values'!$B$9:$C$16,2,FALSE)</f>
        <v>0</v>
      </c>
      <c r="BS25" s="79">
        <f>$BK$25*VLOOKUP($BK$11,'PCU Values'!$B$9:$C$16,2,FALSE)</f>
        <v>0</v>
      </c>
      <c r="BT25" s="80">
        <f>$BL$25*VLOOKUP($BL$11,'PCU Values'!$B$9:$C$16,2,FALSE)</f>
        <v>0</v>
      </c>
      <c r="BU25" s="63">
        <f>SUM($BM$25,$BN$25,$BO$25,$BP$25,$BQ$25,$BR$25,$BS$25,$BT$25)</f>
        <v>0</v>
      </c>
      <c r="BV25" s="52">
        <f>SUM($BE$25,$BF$25,$BG$25,$BH$25,$BI$25,$BJ$25,$BK$25,$BL$25)</f>
        <v>0</v>
      </c>
      <c r="BX25" s="50" t="s">
        <v>42</v>
      </c>
      <c r="BY25" s="84">
        <f>SUM($C$25,$U$25,$AM$25,$BE$25)</f>
        <v>0</v>
      </c>
      <c r="BZ25" s="84">
        <f>SUM($D$25,$V$25,$AN$25,$BF$25)</f>
        <v>0</v>
      </c>
      <c r="CA25" s="84">
        <f>SUM($E$25,$W$25,$AO$25,$BG$25)</f>
        <v>0</v>
      </c>
      <c r="CB25" s="84">
        <f>SUM($F$25,$X$25,$AP$25,$BH$25)</f>
        <v>0</v>
      </c>
      <c r="CC25" s="84">
        <f>SUM($G$25,$Y$25,$AQ$25,$BI$25)</f>
        <v>0</v>
      </c>
      <c r="CD25" s="84">
        <f>SUM($H$25,$Z$25,$AR$25,$BJ$25)</f>
        <v>0</v>
      </c>
      <c r="CE25" s="84">
        <f>SUM($I$25,$AA$25,$AS$25,$BK$25)</f>
        <v>0</v>
      </c>
      <c r="CF25" s="87">
        <f>SUM($J$25,$AB$25,$AT$25,$BL$25)</f>
        <v>0</v>
      </c>
      <c r="CG25" s="79">
        <f>$BY$25*VLOOKUP($BY$11,'PCU Values'!$B$9:$C$16,2,FALSE)</f>
        <v>0</v>
      </c>
      <c r="CH25" s="79">
        <f>$BZ$25*VLOOKUP($BZ$11,'PCU Values'!$B$9:$C$16,2,FALSE)</f>
        <v>0</v>
      </c>
      <c r="CI25" s="79">
        <f>$CA$25*VLOOKUP($CA$11,'PCU Values'!$B$9:$C$16,2,FALSE)</f>
        <v>0</v>
      </c>
      <c r="CJ25" s="79">
        <f>$CB$25*VLOOKUP($CB$11,'PCU Values'!$B$9:$C$16,2,FALSE)</f>
        <v>0</v>
      </c>
      <c r="CK25" s="79">
        <f>$CC$25*VLOOKUP($CC$11,'PCU Values'!$B$9:$C$16,2,FALSE)</f>
        <v>0</v>
      </c>
      <c r="CL25" s="79">
        <f>$CD$25*VLOOKUP($CD$11,'PCU Values'!$B$9:$C$16,2,FALSE)</f>
        <v>0</v>
      </c>
      <c r="CM25" s="79">
        <f>$CE$25*VLOOKUP($CE$11,'PCU Values'!$B$9:$C$16,2,FALSE)</f>
        <v>0</v>
      </c>
      <c r="CN25" s="80">
        <f>$CF$25*VLOOKUP($CF$11,'PCU Values'!$B$9:$C$16,2,FALSE)</f>
        <v>0</v>
      </c>
      <c r="CO25" s="63">
        <f>SUM($CG$25,$CH$25,$CI$25,$CJ$25,$CK$25,$CL$25,$CM$25,$CN$25)</f>
        <v>0</v>
      </c>
      <c r="CP25" s="52">
        <f>SUM($BY$25,$BZ$25,$CA$25,$CB$25,$CC$25,$CD$25,$CE$25,$CF$25)</f>
        <v>0</v>
      </c>
      <c r="CQ25" s="90">
        <f>SUM('J1 A - (North) Bishopthorpe Roa'!$AM$25,'J1 B - Butcher Terrace'!$U$25,'J1 C - (South) Bishopthorpe Roa'!$C$25,'J1 D - South Bank Avenue'!$BE$25)</f>
        <v>0</v>
      </c>
      <c r="CR25" s="84">
        <f>SUM('J1 A - (North) Bishopthorpe Roa'!$AN$25,'J1 B - Butcher Terrace'!$V$25,'J1 C - (South) Bishopthorpe Roa'!$D$25,'J1 D - South Bank Avenue'!$BF$25)</f>
        <v>0</v>
      </c>
      <c r="CS25" s="84">
        <f>SUM('J1 A - (North) Bishopthorpe Roa'!$AO$25,'J1 B - Butcher Terrace'!$W$25,'J1 C - (South) Bishopthorpe Roa'!$E$25,'J1 D - South Bank Avenue'!$BG$25)</f>
        <v>0</v>
      </c>
      <c r="CT25" s="84">
        <f>SUM('J1 A - (North) Bishopthorpe Roa'!$AP$25,'J1 B - Butcher Terrace'!$X$25,'J1 C - (South) Bishopthorpe Roa'!$F$25,'J1 D - South Bank Avenue'!$BH$25)</f>
        <v>0</v>
      </c>
      <c r="CU25" s="84">
        <f>SUM('J1 A - (North) Bishopthorpe Roa'!$AQ$25,'J1 B - Butcher Terrace'!$Y$25,'J1 C - (South) Bishopthorpe Roa'!$G$25,'J1 D - South Bank Avenue'!$BI$25)</f>
        <v>0</v>
      </c>
      <c r="CV25" s="84">
        <f>SUM('J1 A - (North) Bishopthorpe Roa'!$AR$25,'J1 B - Butcher Terrace'!$Z$25,'J1 C - (South) Bishopthorpe Roa'!$H$25,'J1 D - South Bank Avenue'!$BJ$25)</f>
        <v>0</v>
      </c>
      <c r="CW25" s="84">
        <f>SUM('J1 A - (North) Bishopthorpe Roa'!$AS$25,'J1 B - Butcher Terrace'!$AA$25,'J1 C - (South) Bishopthorpe Roa'!$I$25,'J1 D - South Bank Avenue'!$BK$25)</f>
        <v>0</v>
      </c>
      <c r="CX25" s="87">
        <f>SUM('J1 A - (North) Bishopthorpe Roa'!$AT$25,'J1 B - Butcher Terrace'!$AB$25,'J1 C - (South) Bishopthorpe Roa'!$J$25,'J1 D - South Bank Avenue'!$BL$25)</f>
        <v>0</v>
      </c>
      <c r="CY25" s="79">
        <f>$CQ$25*VLOOKUP($CQ$11,'PCU Values'!$B$9:$C$16,2,FALSE)</f>
        <v>0</v>
      </c>
      <c r="CZ25" s="79">
        <f>$CR$25*VLOOKUP($CR$11,'PCU Values'!$B$9:$C$16,2,FALSE)</f>
        <v>0</v>
      </c>
      <c r="DA25" s="79">
        <f>$CS$25*VLOOKUP($CS$11,'PCU Values'!$B$9:$C$16,2,FALSE)</f>
        <v>0</v>
      </c>
      <c r="DB25" s="79">
        <f>$CT$25*VLOOKUP($CT$11,'PCU Values'!$B$9:$C$16,2,FALSE)</f>
        <v>0</v>
      </c>
      <c r="DC25" s="79">
        <f>$CU$25*VLOOKUP($CU$11,'PCU Values'!$B$9:$C$16,2,FALSE)</f>
        <v>0</v>
      </c>
      <c r="DD25" s="79">
        <f>$CV$25*VLOOKUP($CV$11,'PCU Values'!$B$9:$C$16,2,FALSE)</f>
        <v>0</v>
      </c>
      <c r="DE25" s="79">
        <f>$CW$25*VLOOKUP($CW$11,'PCU Values'!$B$9:$C$16,2,FALSE)</f>
        <v>0</v>
      </c>
      <c r="DF25" s="80">
        <f>$CX$25*VLOOKUP($CX$11,'PCU Values'!$B$9:$C$16,2,FALSE)</f>
        <v>0</v>
      </c>
      <c r="DG25" s="63">
        <f>SUM($CY$25,$CZ$25,$DA$25,$DB$25,$DC$25,$DD$25,$DE$25,$DF$25)</f>
        <v>0</v>
      </c>
      <c r="DH25" s="52">
        <f>SUM($CQ$25,$CR$25,$CS$25,$CT$25,$CU$25,$CV$25,$CW$25,$CX$25)</f>
        <v>0</v>
      </c>
    </row>
    <row r="26" spans="1:112">
      <c r="B26" s="52" t="s">
        <v>34</v>
      </c>
      <c r="C26" s="52">
        <f>SUM($C$22:$C$25)</f>
        <v>1</v>
      </c>
      <c r="D26" s="52">
        <f>SUM($D$22:$D$25)</f>
        <v>0</v>
      </c>
      <c r="E26" s="52">
        <f>SUM($E$22:$E$25)</f>
        <v>0</v>
      </c>
      <c r="F26" s="52">
        <f>SUM($F$22:$F$25)</f>
        <v>0</v>
      </c>
      <c r="G26" s="52">
        <f>SUM($G$22:$G$25)</f>
        <v>0</v>
      </c>
      <c r="H26" s="52">
        <f>SUM($H$22:$H$25)</f>
        <v>0</v>
      </c>
      <c r="I26" s="52">
        <f>SUM($I$22:$I$25)</f>
        <v>0</v>
      </c>
      <c r="J26" s="52">
        <f>SUM($J$22:$J$25)</f>
        <v>0</v>
      </c>
      <c r="K26" s="52">
        <f>SUM($K$22:$K$25)</f>
        <v>1</v>
      </c>
      <c r="L26" s="52">
        <f>SUM($L$22:$L$25)</f>
        <v>0</v>
      </c>
      <c r="M26" s="52">
        <f>SUM($M$22:$M$25)</f>
        <v>0</v>
      </c>
      <c r="N26" s="52">
        <f>SUM($N$22:$N$25)</f>
        <v>0</v>
      </c>
      <c r="O26" s="52">
        <f>SUM($O$22:$O$25)</f>
        <v>0</v>
      </c>
      <c r="P26" s="52">
        <f>SUM($P$22:$P$25)</f>
        <v>0</v>
      </c>
      <c r="Q26" s="52">
        <f>SUM($Q$22:$Q$25)</f>
        <v>0</v>
      </c>
      <c r="R26" s="52">
        <f>SUM($R$22:$R$25)</f>
        <v>0</v>
      </c>
      <c r="S26" s="52">
        <f>SUM($K$26,$L$26,$M$26,$N$26,$O$26,$P$26,$Q$26,$R$26)</f>
        <v>1</v>
      </c>
      <c r="T26" s="52">
        <f>SUM($C$26,$D$26,$E$26,$F$26,$G$26,$H$26,$I$26,$J$26)</f>
        <v>1</v>
      </c>
      <c r="U26" s="52">
        <f>SUM($U$22:$U$25)</f>
        <v>0</v>
      </c>
      <c r="V26" s="52">
        <f>SUM($V$22:$V$25)</f>
        <v>0</v>
      </c>
      <c r="W26" s="52">
        <f>SUM($W$22:$W$25)</f>
        <v>0</v>
      </c>
      <c r="X26" s="52">
        <f>SUM($X$22:$X$25)</f>
        <v>0</v>
      </c>
      <c r="Y26" s="52">
        <f>SUM($Y$22:$Y$25)</f>
        <v>0</v>
      </c>
      <c r="Z26" s="52">
        <f>SUM($Z$22:$Z$25)</f>
        <v>0</v>
      </c>
      <c r="AA26" s="52">
        <f>SUM($AA$22:$AA$25)</f>
        <v>0</v>
      </c>
      <c r="AB26" s="52">
        <f>SUM($AB$22:$AB$25)</f>
        <v>0</v>
      </c>
      <c r="AC26" s="52">
        <f>SUM($AC$22:$AC$25)</f>
        <v>0</v>
      </c>
      <c r="AD26" s="52">
        <f>SUM($AD$22:$AD$25)</f>
        <v>0</v>
      </c>
      <c r="AE26" s="52">
        <f>SUM($AE$22:$AE$25)</f>
        <v>0</v>
      </c>
      <c r="AF26" s="52">
        <f>SUM($AF$22:$AF$25)</f>
        <v>0</v>
      </c>
      <c r="AG26" s="52">
        <f>SUM($AG$22:$AG$25)</f>
        <v>0</v>
      </c>
      <c r="AH26" s="52">
        <f>SUM($AH$22:$AH$25)</f>
        <v>0</v>
      </c>
      <c r="AI26" s="52">
        <f>SUM($AI$22:$AI$25)</f>
        <v>0</v>
      </c>
      <c r="AJ26" s="52">
        <f>SUM($AJ$22:$AJ$25)</f>
        <v>0</v>
      </c>
      <c r="AK26" s="52">
        <f>SUM($AC$26,$AD$26,$AE$26,$AF$26,$AG$26,$AH$26,$AI$26,$AJ$26)</f>
        <v>0</v>
      </c>
      <c r="AL26" s="52">
        <f>SUM($U$26,$V$26,$W$26,$X$26,$Y$26,$Z$26,$AA$26,$AB$26)</f>
        <v>0</v>
      </c>
      <c r="AM26" s="52">
        <f>SUM($AM$22:$AM$25)</f>
        <v>0</v>
      </c>
      <c r="AN26" s="52">
        <f>SUM($AN$22:$AN$25)</f>
        <v>0</v>
      </c>
      <c r="AO26" s="52">
        <f>SUM($AO$22:$AO$25)</f>
        <v>0</v>
      </c>
      <c r="AP26" s="52">
        <f>SUM($AP$22:$AP$25)</f>
        <v>0</v>
      </c>
      <c r="AQ26" s="52">
        <f>SUM($AQ$22:$AQ$25)</f>
        <v>0</v>
      </c>
      <c r="AR26" s="52">
        <f>SUM($AR$22:$AR$25)</f>
        <v>0</v>
      </c>
      <c r="AS26" s="52">
        <f>SUM($AS$22:$AS$25)</f>
        <v>0</v>
      </c>
      <c r="AT26" s="52">
        <f>SUM($AT$22:$AT$25)</f>
        <v>0</v>
      </c>
      <c r="AU26" s="52">
        <f>SUM($AU$22:$AU$25)</f>
        <v>0</v>
      </c>
      <c r="AV26" s="52">
        <f>SUM($AV$22:$AV$25)</f>
        <v>0</v>
      </c>
      <c r="AW26" s="52">
        <f>SUM($AW$22:$AW$25)</f>
        <v>0</v>
      </c>
      <c r="AX26" s="52">
        <f>SUM($AX$22:$AX$25)</f>
        <v>0</v>
      </c>
      <c r="AY26" s="52">
        <f>SUM($AY$22:$AY$25)</f>
        <v>0</v>
      </c>
      <c r="AZ26" s="52">
        <f>SUM($AZ$22:$AZ$25)</f>
        <v>0</v>
      </c>
      <c r="BA26" s="52">
        <f>SUM($BA$22:$BA$25)</f>
        <v>0</v>
      </c>
      <c r="BB26" s="52">
        <f>SUM($BB$22:$BB$25)</f>
        <v>0</v>
      </c>
      <c r="BC26" s="52">
        <f>SUM($AU$26,$AV$26,$AW$26,$AX$26,$AY$26,$AZ$26,$BA$26,$BB$26)</f>
        <v>0</v>
      </c>
      <c r="BD26" s="52">
        <f>SUM($AM$26,$AN$26,$AO$26,$AP$26,$AQ$26,$AR$26,$AS$26,$AT$26)</f>
        <v>0</v>
      </c>
      <c r="BE26" s="52">
        <f>SUM($BE$22:$BE$25)</f>
        <v>0</v>
      </c>
      <c r="BF26" s="52">
        <f>SUM($BF$22:$BF$25)</f>
        <v>0</v>
      </c>
      <c r="BG26" s="52">
        <f>SUM($BG$22:$BG$25)</f>
        <v>0</v>
      </c>
      <c r="BH26" s="52">
        <f>SUM($BH$22:$BH$25)</f>
        <v>0</v>
      </c>
      <c r="BI26" s="52">
        <f>SUM($BI$22:$BI$25)</f>
        <v>0</v>
      </c>
      <c r="BJ26" s="52">
        <f>SUM($BJ$22:$BJ$25)</f>
        <v>0</v>
      </c>
      <c r="BK26" s="52">
        <f>SUM($BK$22:$BK$25)</f>
        <v>0</v>
      </c>
      <c r="BL26" s="52">
        <f>SUM($BL$22:$BL$25)</f>
        <v>0</v>
      </c>
      <c r="BM26" s="52">
        <f>SUM($BM$22:$BM$25)</f>
        <v>0</v>
      </c>
      <c r="BN26" s="52">
        <f>SUM($BN$22:$BN$25)</f>
        <v>0</v>
      </c>
      <c r="BO26" s="52">
        <f>SUM($BO$22:$BO$25)</f>
        <v>0</v>
      </c>
      <c r="BP26" s="52">
        <f>SUM($BP$22:$BP$25)</f>
        <v>0</v>
      </c>
      <c r="BQ26" s="52">
        <f>SUM($BQ$22:$BQ$25)</f>
        <v>0</v>
      </c>
      <c r="BR26" s="52">
        <f>SUM($BR$22:$BR$25)</f>
        <v>0</v>
      </c>
      <c r="BS26" s="52">
        <f>SUM($BS$22:$BS$25)</f>
        <v>0</v>
      </c>
      <c r="BT26" s="52">
        <f>SUM($BT$22:$BT$25)</f>
        <v>0</v>
      </c>
      <c r="BU26" s="52">
        <f>SUM($BM$26,$BN$26,$BO$26,$BP$26,$BQ$26,$BR$26,$BS$26,$BT$26)</f>
        <v>0</v>
      </c>
      <c r="BV26" s="52">
        <f>SUM($BE$26,$BF$26,$BG$26,$BH$26,$BI$26,$BJ$26,$BK$26,$BL$26)</f>
        <v>0</v>
      </c>
      <c r="BX26" s="52" t="s">
        <v>34</v>
      </c>
      <c r="BY26" s="52">
        <f>SUM($BY$22:$BY$25)</f>
        <v>1</v>
      </c>
      <c r="BZ26" s="52">
        <f>SUM($BZ$22:$BZ$25)</f>
        <v>0</v>
      </c>
      <c r="CA26" s="52">
        <f>SUM($CA$22:$CA$25)</f>
        <v>0</v>
      </c>
      <c r="CB26" s="52">
        <f>SUM($CB$22:$CB$25)</f>
        <v>0</v>
      </c>
      <c r="CC26" s="52">
        <f>SUM($CC$22:$CC$25)</f>
        <v>0</v>
      </c>
      <c r="CD26" s="52">
        <f>SUM($CD$22:$CD$25)</f>
        <v>0</v>
      </c>
      <c r="CE26" s="52">
        <f>SUM($CE$22:$CE$25)</f>
        <v>0</v>
      </c>
      <c r="CF26" s="52">
        <f>SUM($CF$22:$CF$25)</f>
        <v>0</v>
      </c>
      <c r="CG26" s="52">
        <f>SUM($CG$22:$CG$25)</f>
        <v>1</v>
      </c>
      <c r="CH26" s="52">
        <f>SUM($CH$22:$CH$25)</f>
        <v>0</v>
      </c>
      <c r="CI26" s="52">
        <f>SUM($CI$22:$CI$25)</f>
        <v>0</v>
      </c>
      <c r="CJ26" s="52">
        <f>SUM($CJ$22:$CJ$25)</f>
        <v>0</v>
      </c>
      <c r="CK26" s="52">
        <f>SUM($CK$22:$CK$25)</f>
        <v>0</v>
      </c>
      <c r="CL26" s="52">
        <f>SUM($CL$22:$CL$25)</f>
        <v>0</v>
      </c>
      <c r="CM26" s="52">
        <f>SUM($CM$22:$CM$25)</f>
        <v>0</v>
      </c>
      <c r="CN26" s="52">
        <f>SUM($CN$22:$CN$25)</f>
        <v>0</v>
      </c>
      <c r="CO26" s="52">
        <f>SUM($CG$26,$CH$26,$CI$26,$CJ$26,$CK$26,$CL$26,$CM$26,$CN$26)</f>
        <v>1</v>
      </c>
      <c r="CP26" s="52">
        <f>SUM($BY$26,$BZ$26,$CA$26,$CB$26,$CC$26,$CD$26,$CE$26,$CF$26)</f>
        <v>1</v>
      </c>
      <c r="CQ26" s="52">
        <f>SUM($CQ$22:$CQ$25)</f>
        <v>0</v>
      </c>
      <c r="CR26" s="52">
        <f>SUM($CR$22:$CR$25)</f>
        <v>0</v>
      </c>
      <c r="CS26" s="52">
        <f>SUM($CS$22:$CS$25)</f>
        <v>0</v>
      </c>
      <c r="CT26" s="52">
        <f>SUM($CT$22:$CT$25)</f>
        <v>0</v>
      </c>
      <c r="CU26" s="52">
        <f>SUM($CU$22:$CU$25)</f>
        <v>0</v>
      </c>
      <c r="CV26" s="52">
        <f>SUM($CV$22:$CV$25)</f>
        <v>0</v>
      </c>
      <c r="CW26" s="52">
        <f>SUM($CW$22:$CW$25)</f>
        <v>0</v>
      </c>
      <c r="CX26" s="52">
        <f>SUM($CX$22:$CX$25)</f>
        <v>0</v>
      </c>
      <c r="CY26" s="52">
        <f>SUM($CY$22:$CY$25)</f>
        <v>0</v>
      </c>
      <c r="CZ26" s="52">
        <f>SUM($CZ$22:$CZ$25)</f>
        <v>0</v>
      </c>
      <c r="DA26" s="52">
        <f>SUM($DA$22:$DA$25)</f>
        <v>0</v>
      </c>
      <c r="DB26" s="52">
        <f>SUM($DB$22:$DB$25)</f>
        <v>0</v>
      </c>
      <c r="DC26" s="52">
        <f>SUM($DC$22:$DC$25)</f>
        <v>0</v>
      </c>
      <c r="DD26" s="52">
        <f>SUM($DD$22:$DD$25)</f>
        <v>0</v>
      </c>
      <c r="DE26" s="52">
        <f>SUM($DE$22:$DE$25)</f>
        <v>0</v>
      </c>
      <c r="DF26" s="52">
        <f>SUM($DF$22:$DF$25)</f>
        <v>0</v>
      </c>
      <c r="DG26" s="52">
        <f>SUM($CY$26,$CZ$26,$DA$26,$DB$26,$DC$26,$DD$26,$DE$26,$DF$26)</f>
        <v>0</v>
      </c>
      <c r="DH26" s="52">
        <f>SUM($CQ$26,$CR$26,$CS$26,$CT$26,$CU$26,$CV$26,$CW$26,$CX$26)</f>
        <v>0</v>
      </c>
    </row>
    <row r="27" spans="1:112" ht="21" customHeight="1">
      <c r="A27" s="46">
        <v>44395.125</v>
      </c>
      <c r="B27" s="53" t="s">
        <v>43</v>
      </c>
      <c r="C27" s="54">
        <v>0</v>
      </c>
      <c r="D27" s="54">
        <v>0</v>
      </c>
      <c r="E27" s="54">
        <v>0</v>
      </c>
      <c r="F27" s="54">
        <v>0</v>
      </c>
      <c r="G27" s="54">
        <v>0</v>
      </c>
      <c r="H27" s="54">
        <v>0</v>
      </c>
      <c r="I27" s="54">
        <v>0</v>
      </c>
      <c r="J27" s="61">
        <v>0</v>
      </c>
      <c r="K27" s="62">
        <f>$C$27*VLOOKUP($C$11,'PCU Values'!$B$9:$C$16,2,FALSE)</f>
        <v>0</v>
      </c>
      <c r="L27" s="62">
        <f>$D$27*VLOOKUP($D$11,'PCU Values'!$B$9:$C$16,2,FALSE)</f>
        <v>0</v>
      </c>
      <c r="M27" s="62">
        <f>$E$27*VLOOKUP($E$11,'PCU Values'!$B$9:$C$16,2,FALSE)</f>
        <v>0</v>
      </c>
      <c r="N27" s="62">
        <f>$F$27*VLOOKUP($F$11,'PCU Values'!$B$9:$C$16,2,FALSE)</f>
        <v>0</v>
      </c>
      <c r="O27" s="62">
        <f>$G$27*VLOOKUP($G$11,'PCU Values'!$B$9:$C$16,2,FALSE)</f>
        <v>0</v>
      </c>
      <c r="P27" s="62">
        <f>$H$27*VLOOKUP($H$11,'PCU Values'!$B$9:$C$16,2,FALSE)</f>
        <v>0</v>
      </c>
      <c r="Q27" s="62">
        <f>$I$27*VLOOKUP($I$11,'PCU Values'!$B$9:$C$16,2,FALSE)</f>
        <v>0</v>
      </c>
      <c r="R27" s="70">
        <f>$J$27*VLOOKUP($J$11,'PCU Values'!$B$9:$C$16,2,FALSE)</f>
        <v>0</v>
      </c>
      <c r="S27" s="71">
        <f>SUM($K$27,$L$27,$M$27,$N$27,$O$27,$P$27,$Q$27,$R$27)</f>
        <v>0</v>
      </c>
      <c r="T27" s="52">
        <f>SUM($C$27,$D$27,$E$27,$F$27,$G$27,$H$27,$I$27,$J$27)</f>
        <v>0</v>
      </c>
      <c r="U27" s="72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61">
        <v>0</v>
      </c>
      <c r="AC27" s="62">
        <f>$U$27*VLOOKUP($U$11,'PCU Values'!$B$9:$C$16,2,FALSE)</f>
        <v>0</v>
      </c>
      <c r="AD27" s="62">
        <f>$V$27*VLOOKUP($V$11,'PCU Values'!$B$9:$C$16,2,FALSE)</f>
        <v>0</v>
      </c>
      <c r="AE27" s="62">
        <f>$W$27*VLOOKUP($W$11,'PCU Values'!$B$9:$C$16,2,FALSE)</f>
        <v>0</v>
      </c>
      <c r="AF27" s="62">
        <f>$X$27*VLOOKUP($X$11,'PCU Values'!$B$9:$C$16,2,FALSE)</f>
        <v>0</v>
      </c>
      <c r="AG27" s="62">
        <f>$Y$27*VLOOKUP($Y$11,'PCU Values'!$B$9:$C$16,2,FALSE)</f>
        <v>0</v>
      </c>
      <c r="AH27" s="62">
        <f>$Z$27*VLOOKUP($Z$11,'PCU Values'!$B$9:$C$16,2,FALSE)</f>
        <v>0</v>
      </c>
      <c r="AI27" s="62">
        <f>$AA$27*VLOOKUP($AA$11,'PCU Values'!$B$9:$C$16,2,FALSE)</f>
        <v>0</v>
      </c>
      <c r="AJ27" s="70">
        <f>$AB$27*VLOOKUP($AB$11,'PCU Values'!$B$9:$C$16,2,FALSE)</f>
        <v>0</v>
      </c>
      <c r="AK27" s="71">
        <f>SUM($AC$27,$AD$27,$AE$27,$AF$27,$AG$27,$AH$27,$AI$27,$AJ$27)</f>
        <v>0</v>
      </c>
      <c r="AL27" s="52">
        <f>SUM($U$27,$V$27,$W$27,$X$27,$Y$27,$Z$27,$AA$27,$AB$27)</f>
        <v>0</v>
      </c>
      <c r="AM27" s="72">
        <v>0</v>
      </c>
      <c r="AN27" s="54">
        <v>0</v>
      </c>
      <c r="AO27" s="54">
        <v>0</v>
      </c>
      <c r="AP27" s="54">
        <v>0</v>
      </c>
      <c r="AQ27" s="54">
        <v>0</v>
      </c>
      <c r="AR27" s="54">
        <v>0</v>
      </c>
      <c r="AS27" s="54">
        <v>0</v>
      </c>
      <c r="AT27" s="61">
        <v>0</v>
      </c>
      <c r="AU27" s="62">
        <f>$AM$27*VLOOKUP($AM$11,'PCU Values'!$B$9:$C$16,2,FALSE)</f>
        <v>0</v>
      </c>
      <c r="AV27" s="62">
        <f>$AN$27*VLOOKUP($AN$11,'PCU Values'!$B$9:$C$16,2,FALSE)</f>
        <v>0</v>
      </c>
      <c r="AW27" s="62">
        <f>$AO$27*VLOOKUP($AO$11,'PCU Values'!$B$9:$C$16,2,FALSE)</f>
        <v>0</v>
      </c>
      <c r="AX27" s="62">
        <f>$AP$27*VLOOKUP($AP$11,'PCU Values'!$B$9:$C$16,2,FALSE)</f>
        <v>0</v>
      </c>
      <c r="AY27" s="62">
        <f>$AQ$27*VLOOKUP($AQ$11,'PCU Values'!$B$9:$C$16,2,FALSE)</f>
        <v>0</v>
      </c>
      <c r="AZ27" s="62">
        <f>$AR$27*VLOOKUP($AR$11,'PCU Values'!$B$9:$C$16,2,FALSE)</f>
        <v>0</v>
      </c>
      <c r="BA27" s="62">
        <f>$AS$27*VLOOKUP($AS$11,'PCU Values'!$B$9:$C$16,2,FALSE)</f>
        <v>0</v>
      </c>
      <c r="BB27" s="70">
        <f>$AT$27*VLOOKUP($AT$11,'PCU Values'!$B$9:$C$16,2,FALSE)</f>
        <v>0</v>
      </c>
      <c r="BC27" s="71">
        <f>SUM($AU$27,$AV$27,$AW$27,$AX$27,$AY$27,$AZ$27,$BA$27,$BB$27)</f>
        <v>0</v>
      </c>
      <c r="BD27" s="52">
        <f>SUM($AM$27,$AN$27,$AO$27,$AP$27,$AQ$27,$AR$27,$AS$27,$AT$27)</f>
        <v>0</v>
      </c>
      <c r="BE27" s="72">
        <v>0</v>
      </c>
      <c r="BF27" s="54">
        <v>0</v>
      </c>
      <c r="BG27" s="54">
        <v>0</v>
      </c>
      <c r="BH27" s="54">
        <v>0</v>
      </c>
      <c r="BI27" s="54">
        <v>0</v>
      </c>
      <c r="BJ27" s="54">
        <v>0</v>
      </c>
      <c r="BK27" s="54">
        <v>0</v>
      </c>
      <c r="BL27" s="61">
        <v>0</v>
      </c>
      <c r="BM27" s="81">
        <f>$BE$27*VLOOKUP($BE$11,'PCU Values'!$B$9:$C$16,2,FALSE)</f>
        <v>0</v>
      </c>
      <c r="BN27" s="81">
        <f>$BF$27*VLOOKUP($BF$11,'PCU Values'!$B$9:$C$16,2,FALSE)</f>
        <v>0</v>
      </c>
      <c r="BO27" s="81">
        <f>$BG$27*VLOOKUP($BG$11,'PCU Values'!$B$9:$C$16,2,FALSE)</f>
        <v>0</v>
      </c>
      <c r="BP27" s="81">
        <f>$BH$27*VLOOKUP($BH$11,'PCU Values'!$B$9:$C$16,2,FALSE)</f>
        <v>0</v>
      </c>
      <c r="BQ27" s="81">
        <f>$BI$27*VLOOKUP($BI$11,'PCU Values'!$B$9:$C$16,2,FALSE)</f>
        <v>0</v>
      </c>
      <c r="BR27" s="81">
        <f>$BJ$27*VLOOKUP($BJ$11,'PCU Values'!$B$9:$C$16,2,FALSE)</f>
        <v>0</v>
      </c>
      <c r="BS27" s="81">
        <f>$BK$27*VLOOKUP($BK$11,'PCU Values'!$B$9:$C$16,2,FALSE)</f>
        <v>0</v>
      </c>
      <c r="BT27" s="82">
        <f>$BL$27*VLOOKUP($BL$11,'PCU Values'!$B$9:$C$16,2,FALSE)</f>
        <v>0</v>
      </c>
      <c r="BU27" s="71">
        <f>SUM($BM$27,$BN$27,$BO$27,$BP$27,$BQ$27,$BR$27,$BS$27,$BT$27)</f>
        <v>0</v>
      </c>
      <c r="BV27" s="52">
        <f>SUM($BE$27,$BF$27,$BG$27,$BH$27,$BI$27,$BJ$27,$BK$27,$BL$27)</f>
        <v>0</v>
      </c>
      <c r="BX27" s="53" t="s">
        <v>43</v>
      </c>
      <c r="BY27" s="85">
        <f>SUM($C$27,$U$27,$AM$27,$BE$27)</f>
        <v>0</v>
      </c>
      <c r="BZ27" s="85">
        <f>SUM($D$27,$V$27,$AN$27,$BF$27)</f>
        <v>0</v>
      </c>
      <c r="CA27" s="85">
        <f>SUM($E$27,$W$27,$AO$27,$BG$27)</f>
        <v>0</v>
      </c>
      <c r="CB27" s="85">
        <f>SUM($F$27,$X$27,$AP$27,$BH$27)</f>
        <v>0</v>
      </c>
      <c r="CC27" s="85">
        <f>SUM($G$27,$Y$27,$AQ$27,$BI$27)</f>
        <v>0</v>
      </c>
      <c r="CD27" s="85">
        <f>SUM($H$27,$Z$27,$AR$27,$BJ$27)</f>
        <v>0</v>
      </c>
      <c r="CE27" s="85">
        <f>SUM($I$27,$AA$27,$AS$27,$BK$27)</f>
        <v>0</v>
      </c>
      <c r="CF27" s="88">
        <f>SUM($J$27,$AB$27,$AT$27,$BL$27)</f>
        <v>0</v>
      </c>
      <c r="CG27" s="81">
        <f>$BY$27*VLOOKUP($BY$11,'PCU Values'!$B$9:$C$16,2,FALSE)</f>
        <v>0</v>
      </c>
      <c r="CH27" s="81">
        <f>$BZ$27*VLOOKUP($BZ$11,'PCU Values'!$B$9:$C$16,2,FALSE)</f>
        <v>0</v>
      </c>
      <c r="CI27" s="81">
        <f>$CA$27*VLOOKUP($CA$11,'PCU Values'!$B$9:$C$16,2,FALSE)</f>
        <v>0</v>
      </c>
      <c r="CJ27" s="81">
        <f>$CB$27*VLOOKUP($CB$11,'PCU Values'!$B$9:$C$16,2,FALSE)</f>
        <v>0</v>
      </c>
      <c r="CK27" s="81">
        <f>$CC$27*VLOOKUP($CC$11,'PCU Values'!$B$9:$C$16,2,FALSE)</f>
        <v>0</v>
      </c>
      <c r="CL27" s="81">
        <f>$CD$27*VLOOKUP($CD$11,'PCU Values'!$B$9:$C$16,2,FALSE)</f>
        <v>0</v>
      </c>
      <c r="CM27" s="81">
        <f>$CE$27*VLOOKUP($CE$11,'PCU Values'!$B$9:$C$16,2,FALSE)</f>
        <v>0</v>
      </c>
      <c r="CN27" s="82">
        <f>$CF$27*VLOOKUP($CF$11,'PCU Values'!$B$9:$C$16,2,FALSE)</f>
        <v>0</v>
      </c>
      <c r="CO27" s="71">
        <f>SUM($CG$27,$CH$27,$CI$27,$CJ$27,$CK$27,$CL$27,$CM$27,$CN$27)</f>
        <v>0</v>
      </c>
      <c r="CP27" s="52">
        <f>SUM($BY$27,$BZ$27,$CA$27,$CB$27,$CC$27,$CD$27,$CE$27,$CF$27)</f>
        <v>0</v>
      </c>
      <c r="CQ27" s="91">
        <f>SUM('J1 A - (North) Bishopthorpe Roa'!$AM$27,'J1 B - Butcher Terrace'!$U$27,'J1 C - (South) Bishopthorpe Roa'!$C$27,'J1 D - South Bank Avenue'!$BE$27)</f>
        <v>2</v>
      </c>
      <c r="CR27" s="85">
        <f>SUM('J1 A - (North) Bishopthorpe Roa'!$AN$27,'J1 B - Butcher Terrace'!$V$27,'J1 C - (South) Bishopthorpe Roa'!$D$27,'J1 D - South Bank Avenue'!$BF$27)</f>
        <v>0</v>
      </c>
      <c r="CS27" s="85">
        <f>SUM('J1 A - (North) Bishopthorpe Roa'!$AO$27,'J1 B - Butcher Terrace'!$W$27,'J1 C - (South) Bishopthorpe Roa'!$E$27,'J1 D - South Bank Avenue'!$BG$27)</f>
        <v>0</v>
      </c>
      <c r="CT27" s="85">
        <f>SUM('J1 A - (North) Bishopthorpe Roa'!$AP$27,'J1 B - Butcher Terrace'!$X$27,'J1 C - (South) Bishopthorpe Roa'!$F$27,'J1 D - South Bank Avenue'!$BH$27)</f>
        <v>0</v>
      </c>
      <c r="CU27" s="85">
        <f>SUM('J1 A - (North) Bishopthorpe Roa'!$AQ$27,'J1 B - Butcher Terrace'!$Y$27,'J1 C - (South) Bishopthorpe Roa'!$G$27,'J1 D - South Bank Avenue'!$BI$27)</f>
        <v>0</v>
      </c>
      <c r="CV27" s="85">
        <f>SUM('J1 A - (North) Bishopthorpe Roa'!$AR$27,'J1 B - Butcher Terrace'!$Z$27,'J1 C - (South) Bishopthorpe Roa'!$H$27,'J1 D - South Bank Avenue'!$BJ$27)</f>
        <v>0</v>
      </c>
      <c r="CW27" s="85">
        <f>SUM('J1 A - (North) Bishopthorpe Roa'!$AS$27,'J1 B - Butcher Terrace'!$AA$27,'J1 C - (South) Bishopthorpe Roa'!$I$27,'J1 D - South Bank Avenue'!$BK$27)</f>
        <v>0</v>
      </c>
      <c r="CX27" s="88">
        <f>SUM('J1 A - (North) Bishopthorpe Roa'!$AT$27,'J1 B - Butcher Terrace'!$AB$27,'J1 C - (South) Bishopthorpe Roa'!$J$27,'J1 D - South Bank Avenue'!$BL$27)</f>
        <v>0</v>
      </c>
      <c r="CY27" s="81">
        <f>$CQ$27*VLOOKUP($CQ$11,'PCU Values'!$B$9:$C$16,2,FALSE)</f>
        <v>2</v>
      </c>
      <c r="CZ27" s="81">
        <f>$CR$27*VLOOKUP($CR$11,'PCU Values'!$B$9:$C$16,2,FALSE)</f>
        <v>0</v>
      </c>
      <c r="DA27" s="81">
        <f>$CS$27*VLOOKUP($CS$11,'PCU Values'!$B$9:$C$16,2,FALSE)</f>
        <v>0</v>
      </c>
      <c r="DB27" s="81">
        <f>$CT$27*VLOOKUP($CT$11,'PCU Values'!$B$9:$C$16,2,FALSE)</f>
        <v>0</v>
      </c>
      <c r="DC27" s="81">
        <f>$CU$27*VLOOKUP($CU$11,'PCU Values'!$B$9:$C$16,2,FALSE)</f>
        <v>0</v>
      </c>
      <c r="DD27" s="81">
        <f>$CV$27*VLOOKUP($CV$11,'PCU Values'!$B$9:$C$16,2,FALSE)</f>
        <v>0</v>
      </c>
      <c r="DE27" s="81">
        <f>$CW$27*VLOOKUP($CW$11,'PCU Values'!$B$9:$C$16,2,FALSE)</f>
        <v>0</v>
      </c>
      <c r="DF27" s="82">
        <f>$CX$27*VLOOKUP($CX$11,'PCU Values'!$B$9:$C$16,2,FALSE)</f>
        <v>0</v>
      </c>
      <c r="DG27" s="71">
        <f>SUM($CY$27,$CZ$27,$DA$27,$DB$27,$DC$27,$DD$27,$DE$27,$DF$27)</f>
        <v>2</v>
      </c>
      <c r="DH27" s="52">
        <f>SUM($CQ$27,$CR$27,$CS$27,$CT$27,$CU$27,$CV$27,$CW$27,$CX$27)</f>
        <v>2</v>
      </c>
    </row>
    <row r="28" spans="1:112" ht="21" customHeight="1">
      <c r="A28" s="46">
        <v>44395.135416666701</v>
      </c>
      <c r="B28" s="47" t="s">
        <v>44</v>
      </c>
      <c r="C28" s="48">
        <v>0</v>
      </c>
      <c r="D28" s="48">
        <v>0</v>
      </c>
      <c r="E28" s="48">
        <v>0</v>
      </c>
      <c r="F28" s="48">
        <v>0</v>
      </c>
      <c r="G28" s="48">
        <v>0</v>
      </c>
      <c r="H28" s="48">
        <v>0</v>
      </c>
      <c r="I28" s="48">
        <v>0</v>
      </c>
      <c r="J28" s="56">
        <v>0</v>
      </c>
      <c r="K28" s="57">
        <f>$C$28*VLOOKUP($C$11,'PCU Values'!$B$9:$C$16,2,FALSE)</f>
        <v>0</v>
      </c>
      <c r="L28" s="57">
        <f>$D$28*VLOOKUP($D$11,'PCU Values'!$B$9:$C$16,2,FALSE)</f>
        <v>0</v>
      </c>
      <c r="M28" s="57">
        <f>$E$28*VLOOKUP($E$11,'PCU Values'!$B$9:$C$16,2,FALSE)</f>
        <v>0</v>
      </c>
      <c r="N28" s="57">
        <f>$F$28*VLOOKUP($F$11,'PCU Values'!$B$9:$C$16,2,FALSE)</f>
        <v>0</v>
      </c>
      <c r="O28" s="57">
        <f>$G$28*VLOOKUP($G$11,'PCU Values'!$B$9:$C$16,2,FALSE)</f>
        <v>0</v>
      </c>
      <c r="P28" s="57">
        <f>$H$28*VLOOKUP($H$11,'PCU Values'!$B$9:$C$16,2,FALSE)</f>
        <v>0</v>
      </c>
      <c r="Q28" s="57">
        <f>$I$28*VLOOKUP($I$11,'PCU Values'!$B$9:$C$16,2,FALSE)</f>
        <v>0</v>
      </c>
      <c r="R28" s="65">
        <f>$J$28*VLOOKUP($J$11,'PCU Values'!$B$9:$C$16,2,FALSE)</f>
        <v>0</v>
      </c>
      <c r="S28" s="66">
        <f>SUM($K$28,$L$28,$M$28,$N$28,$O$28,$P$28,$Q$28,$R$28)</f>
        <v>0</v>
      </c>
      <c r="T28" s="52">
        <f>SUM($C$28,$D$28,$E$28,$F$28,$G$28,$H$28,$I$28,$J$28)</f>
        <v>0</v>
      </c>
      <c r="U28" s="67">
        <v>0</v>
      </c>
      <c r="V28" s="48">
        <v>0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56">
        <v>0</v>
      </c>
      <c r="AC28" s="57">
        <f>$U$28*VLOOKUP($U$11,'PCU Values'!$B$9:$C$16,2,FALSE)</f>
        <v>0</v>
      </c>
      <c r="AD28" s="57">
        <f>$V$28*VLOOKUP($V$11,'PCU Values'!$B$9:$C$16,2,FALSE)</f>
        <v>0</v>
      </c>
      <c r="AE28" s="57">
        <f>$W$28*VLOOKUP($W$11,'PCU Values'!$B$9:$C$16,2,FALSE)</f>
        <v>0</v>
      </c>
      <c r="AF28" s="57">
        <f>$X$28*VLOOKUP($X$11,'PCU Values'!$B$9:$C$16,2,FALSE)</f>
        <v>0</v>
      </c>
      <c r="AG28" s="57">
        <f>$Y$28*VLOOKUP($Y$11,'PCU Values'!$B$9:$C$16,2,FALSE)</f>
        <v>0</v>
      </c>
      <c r="AH28" s="57">
        <f>$Z$28*VLOOKUP($Z$11,'PCU Values'!$B$9:$C$16,2,FALSE)</f>
        <v>0</v>
      </c>
      <c r="AI28" s="57">
        <f>$AA$28*VLOOKUP($AA$11,'PCU Values'!$B$9:$C$16,2,FALSE)</f>
        <v>0</v>
      </c>
      <c r="AJ28" s="65">
        <f>$AB$28*VLOOKUP($AB$11,'PCU Values'!$B$9:$C$16,2,FALSE)</f>
        <v>0</v>
      </c>
      <c r="AK28" s="66">
        <f>SUM($AC$28,$AD$28,$AE$28,$AF$28,$AG$28,$AH$28,$AI$28,$AJ$28)</f>
        <v>0</v>
      </c>
      <c r="AL28" s="52">
        <f>SUM($U$28,$V$28,$W$28,$X$28,$Y$28,$Z$28,$AA$28,$AB$28)</f>
        <v>0</v>
      </c>
      <c r="AM28" s="67">
        <v>0</v>
      </c>
      <c r="AN28" s="48">
        <v>0</v>
      </c>
      <c r="AO28" s="48">
        <v>0</v>
      </c>
      <c r="AP28" s="48">
        <v>0</v>
      </c>
      <c r="AQ28" s="48">
        <v>0</v>
      </c>
      <c r="AR28" s="48">
        <v>0</v>
      </c>
      <c r="AS28" s="48">
        <v>0</v>
      </c>
      <c r="AT28" s="56">
        <v>0</v>
      </c>
      <c r="AU28" s="57">
        <f>$AM$28*VLOOKUP($AM$11,'PCU Values'!$B$9:$C$16,2,FALSE)</f>
        <v>0</v>
      </c>
      <c r="AV28" s="57">
        <f>$AN$28*VLOOKUP($AN$11,'PCU Values'!$B$9:$C$16,2,FALSE)</f>
        <v>0</v>
      </c>
      <c r="AW28" s="57">
        <f>$AO$28*VLOOKUP($AO$11,'PCU Values'!$B$9:$C$16,2,FALSE)</f>
        <v>0</v>
      </c>
      <c r="AX28" s="57">
        <f>$AP$28*VLOOKUP($AP$11,'PCU Values'!$B$9:$C$16,2,FALSE)</f>
        <v>0</v>
      </c>
      <c r="AY28" s="57">
        <f>$AQ$28*VLOOKUP($AQ$11,'PCU Values'!$B$9:$C$16,2,FALSE)</f>
        <v>0</v>
      </c>
      <c r="AZ28" s="57">
        <f>$AR$28*VLOOKUP($AR$11,'PCU Values'!$B$9:$C$16,2,FALSE)</f>
        <v>0</v>
      </c>
      <c r="BA28" s="57">
        <f>$AS$28*VLOOKUP($AS$11,'PCU Values'!$B$9:$C$16,2,FALSE)</f>
        <v>0</v>
      </c>
      <c r="BB28" s="65">
        <f>$AT$28*VLOOKUP($AT$11,'PCU Values'!$B$9:$C$16,2,FALSE)</f>
        <v>0</v>
      </c>
      <c r="BC28" s="66">
        <f>SUM($AU$28,$AV$28,$AW$28,$AX$28,$AY$28,$AZ$28,$BA$28,$BB$28)</f>
        <v>0</v>
      </c>
      <c r="BD28" s="52">
        <f>SUM($AM$28,$AN$28,$AO$28,$AP$28,$AQ$28,$AR$28,$AS$28,$AT$28)</f>
        <v>0</v>
      </c>
      <c r="BE28" s="67">
        <v>0</v>
      </c>
      <c r="BF28" s="48">
        <v>0</v>
      </c>
      <c r="BG28" s="48">
        <v>0</v>
      </c>
      <c r="BH28" s="48">
        <v>0</v>
      </c>
      <c r="BI28" s="48">
        <v>0</v>
      </c>
      <c r="BJ28" s="48">
        <v>0</v>
      </c>
      <c r="BK28" s="48">
        <v>0</v>
      </c>
      <c r="BL28" s="56">
        <v>0</v>
      </c>
      <c r="BM28" s="77">
        <f>$BE$28*VLOOKUP($BE$11,'PCU Values'!$B$9:$C$16,2,FALSE)</f>
        <v>0</v>
      </c>
      <c r="BN28" s="77">
        <f>$BF$28*VLOOKUP($BF$11,'PCU Values'!$B$9:$C$16,2,FALSE)</f>
        <v>0</v>
      </c>
      <c r="BO28" s="77">
        <f>$BG$28*VLOOKUP($BG$11,'PCU Values'!$B$9:$C$16,2,FALSE)</f>
        <v>0</v>
      </c>
      <c r="BP28" s="77">
        <f>$BH$28*VLOOKUP($BH$11,'PCU Values'!$B$9:$C$16,2,FALSE)</f>
        <v>0</v>
      </c>
      <c r="BQ28" s="77">
        <f>$BI$28*VLOOKUP($BI$11,'PCU Values'!$B$9:$C$16,2,FALSE)</f>
        <v>0</v>
      </c>
      <c r="BR28" s="77">
        <f>$BJ$28*VLOOKUP($BJ$11,'PCU Values'!$B$9:$C$16,2,FALSE)</f>
        <v>0</v>
      </c>
      <c r="BS28" s="77">
        <f>$BK$28*VLOOKUP($BK$11,'PCU Values'!$B$9:$C$16,2,FALSE)</f>
        <v>0</v>
      </c>
      <c r="BT28" s="78">
        <f>$BL$28*VLOOKUP($BL$11,'PCU Values'!$B$9:$C$16,2,FALSE)</f>
        <v>0</v>
      </c>
      <c r="BU28" s="66">
        <f>SUM($BM$28,$BN$28,$BO$28,$BP$28,$BQ$28,$BR$28,$BS$28,$BT$28)</f>
        <v>0</v>
      </c>
      <c r="BV28" s="52">
        <f>SUM($BE$28,$BF$28,$BG$28,$BH$28,$BI$28,$BJ$28,$BK$28,$BL$28)</f>
        <v>0</v>
      </c>
      <c r="BX28" s="47" t="s">
        <v>44</v>
      </c>
      <c r="BY28" s="83">
        <f>SUM($C$28,$U$28,$AM$28,$BE$28)</f>
        <v>0</v>
      </c>
      <c r="BZ28" s="83">
        <f>SUM($D$28,$V$28,$AN$28,$BF$28)</f>
        <v>0</v>
      </c>
      <c r="CA28" s="83">
        <f>SUM($E$28,$W$28,$AO$28,$BG$28)</f>
        <v>0</v>
      </c>
      <c r="CB28" s="83">
        <f>SUM($F$28,$X$28,$AP$28,$BH$28)</f>
        <v>0</v>
      </c>
      <c r="CC28" s="83">
        <f>SUM($G$28,$Y$28,$AQ$28,$BI$28)</f>
        <v>0</v>
      </c>
      <c r="CD28" s="83">
        <f>SUM($H$28,$Z$28,$AR$28,$BJ$28)</f>
        <v>0</v>
      </c>
      <c r="CE28" s="83">
        <f>SUM($I$28,$AA$28,$AS$28,$BK$28)</f>
        <v>0</v>
      </c>
      <c r="CF28" s="86">
        <f>SUM($J$28,$AB$28,$AT$28,$BL$28)</f>
        <v>0</v>
      </c>
      <c r="CG28" s="77">
        <f>$BY$28*VLOOKUP($BY$11,'PCU Values'!$B$9:$C$16,2,FALSE)</f>
        <v>0</v>
      </c>
      <c r="CH28" s="77">
        <f>$BZ$28*VLOOKUP($BZ$11,'PCU Values'!$B$9:$C$16,2,FALSE)</f>
        <v>0</v>
      </c>
      <c r="CI28" s="77">
        <f>$CA$28*VLOOKUP($CA$11,'PCU Values'!$B$9:$C$16,2,FALSE)</f>
        <v>0</v>
      </c>
      <c r="CJ28" s="77">
        <f>$CB$28*VLOOKUP($CB$11,'PCU Values'!$B$9:$C$16,2,FALSE)</f>
        <v>0</v>
      </c>
      <c r="CK28" s="77">
        <f>$CC$28*VLOOKUP($CC$11,'PCU Values'!$B$9:$C$16,2,FALSE)</f>
        <v>0</v>
      </c>
      <c r="CL28" s="77">
        <f>$CD$28*VLOOKUP($CD$11,'PCU Values'!$B$9:$C$16,2,FALSE)</f>
        <v>0</v>
      </c>
      <c r="CM28" s="77">
        <f>$CE$28*VLOOKUP($CE$11,'PCU Values'!$B$9:$C$16,2,FALSE)</f>
        <v>0</v>
      </c>
      <c r="CN28" s="78">
        <f>$CF$28*VLOOKUP($CF$11,'PCU Values'!$B$9:$C$16,2,FALSE)</f>
        <v>0</v>
      </c>
      <c r="CO28" s="66">
        <f>SUM($CG$28,$CH$28,$CI$28,$CJ$28,$CK$28,$CL$28,$CM$28,$CN$28)</f>
        <v>0</v>
      </c>
      <c r="CP28" s="52">
        <f>SUM($BY$28,$BZ$28,$CA$28,$CB$28,$CC$28,$CD$28,$CE$28,$CF$28)</f>
        <v>0</v>
      </c>
      <c r="CQ28" s="89">
        <f>SUM('J1 A - (North) Bishopthorpe Roa'!$AM$28,'J1 B - Butcher Terrace'!$U$28,'J1 C - (South) Bishopthorpe Roa'!$C$28,'J1 D - South Bank Avenue'!$BE$28)</f>
        <v>0</v>
      </c>
      <c r="CR28" s="83">
        <f>SUM('J1 A - (North) Bishopthorpe Roa'!$AN$28,'J1 B - Butcher Terrace'!$V$28,'J1 C - (South) Bishopthorpe Roa'!$D$28,'J1 D - South Bank Avenue'!$BF$28)</f>
        <v>0</v>
      </c>
      <c r="CS28" s="83">
        <f>SUM('J1 A - (North) Bishopthorpe Roa'!$AO$28,'J1 B - Butcher Terrace'!$W$28,'J1 C - (South) Bishopthorpe Roa'!$E$28,'J1 D - South Bank Avenue'!$BG$28)</f>
        <v>0</v>
      </c>
      <c r="CT28" s="83">
        <f>SUM('J1 A - (North) Bishopthorpe Roa'!$AP$28,'J1 B - Butcher Terrace'!$X$28,'J1 C - (South) Bishopthorpe Roa'!$F$28,'J1 D - South Bank Avenue'!$BH$28)</f>
        <v>0</v>
      </c>
      <c r="CU28" s="83">
        <f>SUM('J1 A - (North) Bishopthorpe Roa'!$AQ$28,'J1 B - Butcher Terrace'!$Y$28,'J1 C - (South) Bishopthorpe Roa'!$G$28,'J1 D - South Bank Avenue'!$BI$28)</f>
        <v>0</v>
      </c>
      <c r="CV28" s="83">
        <f>SUM('J1 A - (North) Bishopthorpe Roa'!$AR$28,'J1 B - Butcher Terrace'!$Z$28,'J1 C - (South) Bishopthorpe Roa'!$H$28,'J1 D - South Bank Avenue'!$BJ$28)</f>
        <v>0</v>
      </c>
      <c r="CW28" s="83">
        <f>SUM('J1 A - (North) Bishopthorpe Roa'!$AS$28,'J1 B - Butcher Terrace'!$AA$28,'J1 C - (South) Bishopthorpe Roa'!$I$28,'J1 D - South Bank Avenue'!$BK$28)</f>
        <v>0</v>
      </c>
      <c r="CX28" s="86">
        <f>SUM('J1 A - (North) Bishopthorpe Roa'!$AT$28,'J1 B - Butcher Terrace'!$AB$28,'J1 C - (South) Bishopthorpe Roa'!$J$28,'J1 D - South Bank Avenue'!$BL$28)</f>
        <v>0</v>
      </c>
      <c r="CY28" s="77">
        <f>$CQ$28*VLOOKUP($CQ$11,'PCU Values'!$B$9:$C$16,2,FALSE)</f>
        <v>0</v>
      </c>
      <c r="CZ28" s="77">
        <f>$CR$28*VLOOKUP($CR$11,'PCU Values'!$B$9:$C$16,2,FALSE)</f>
        <v>0</v>
      </c>
      <c r="DA28" s="77">
        <f>$CS$28*VLOOKUP($CS$11,'PCU Values'!$B$9:$C$16,2,FALSE)</f>
        <v>0</v>
      </c>
      <c r="DB28" s="77">
        <f>$CT$28*VLOOKUP($CT$11,'PCU Values'!$B$9:$C$16,2,FALSE)</f>
        <v>0</v>
      </c>
      <c r="DC28" s="77">
        <f>$CU$28*VLOOKUP($CU$11,'PCU Values'!$B$9:$C$16,2,FALSE)</f>
        <v>0</v>
      </c>
      <c r="DD28" s="77">
        <f>$CV$28*VLOOKUP($CV$11,'PCU Values'!$B$9:$C$16,2,FALSE)</f>
        <v>0</v>
      </c>
      <c r="DE28" s="77">
        <f>$CW$28*VLOOKUP($CW$11,'PCU Values'!$B$9:$C$16,2,FALSE)</f>
        <v>0</v>
      </c>
      <c r="DF28" s="78">
        <f>$CX$28*VLOOKUP($CX$11,'PCU Values'!$B$9:$C$16,2,FALSE)</f>
        <v>0</v>
      </c>
      <c r="DG28" s="66">
        <f>SUM($CY$28,$CZ$28,$DA$28,$DB$28,$DC$28,$DD$28,$DE$28,$DF$28)</f>
        <v>0</v>
      </c>
      <c r="DH28" s="52">
        <f>SUM($CQ$28,$CR$28,$CS$28,$CT$28,$CU$28,$CV$28,$CW$28,$CX$28)</f>
        <v>0</v>
      </c>
    </row>
    <row r="29" spans="1:112" ht="21" customHeight="1">
      <c r="A29" s="46">
        <v>44395.145833333299</v>
      </c>
      <c r="B29" s="47" t="s">
        <v>45</v>
      </c>
      <c r="C29" s="49">
        <v>0</v>
      </c>
      <c r="D29" s="49">
        <v>0</v>
      </c>
      <c r="E29" s="49">
        <v>0</v>
      </c>
      <c r="F29" s="49">
        <v>0</v>
      </c>
      <c r="G29" s="49">
        <v>0</v>
      </c>
      <c r="H29" s="49">
        <v>0</v>
      </c>
      <c r="I29" s="49">
        <v>0</v>
      </c>
      <c r="J29" s="58">
        <v>0</v>
      </c>
      <c r="K29" s="57">
        <f>$C$29*VLOOKUP($C$11,'PCU Values'!$B$9:$C$16,2,FALSE)</f>
        <v>0</v>
      </c>
      <c r="L29" s="57">
        <f>$D$29*VLOOKUP($D$11,'PCU Values'!$B$9:$C$16,2,FALSE)</f>
        <v>0</v>
      </c>
      <c r="M29" s="57">
        <f>$E$29*VLOOKUP($E$11,'PCU Values'!$B$9:$C$16,2,FALSE)</f>
        <v>0</v>
      </c>
      <c r="N29" s="57">
        <f>$F$29*VLOOKUP($F$11,'PCU Values'!$B$9:$C$16,2,FALSE)</f>
        <v>0</v>
      </c>
      <c r="O29" s="57">
        <f>$G$29*VLOOKUP($G$11,'PCU Values'!$B$9:$C$16,2,FALSE)</f>
        <v>0</v>
      </c>
      <c r="P29" s="57">
        <f>$H$29*VLOOKUP($H$11,'PCU Values'!$B$9:$C$16,2,FALSE)</f>
        <v>0</v>
      </c>
      <c r="Q29" s="57">
        <f>$I$29*VLOOKUP($I$11,'PCU Values'!$B$9:$C$16,2,FALSE)</f>
        <v>0</v>
      </c>
      <c r="R29" s="65">
        <f>$J$29*VLOOKUP($J$11,'PCU Values'!$B$9:$C$16,2,FALSE)</f>
        <v>0</v>
      </c>
      <c r="S29" s="66">
        <f>SUM($K$29,$L$29,$M$29,$N$29,$O$29,$P$29,$Q$29,$R$29)</f>
        <v>0</v>
      </c>
      <c r="T29" s="52">
        <f>SUM($C$29,$D$29,$E$29,$F$29,$G$29,$H$29,$I$29,$J$29)</f>
        <v>0</v>
      </c>
      <c r="U29" s="49">
        <v>0</v>
      </c>
      <c r="V29" s="49">
        <v>0</v>
      </c>
      <c r="W29" s="49">
        <v>0</v>
      </c>
      <c r="X29" s="49">
        <v>0</v>
      </c>
      <c r="Y29" s="49">
        <v>0</v>
      </c>
      <c r="Z29" s="49">
        <v>0</v>
      </c>
      <c r="AA29" s="49">
        <v>0</v>
      </c>
      <c r="AB29" s="58">
        <v>0</v>
      </c>
      <c r="AC29" s="57">
        <f>$U$29*VLOOKUP($U$11,'PCU Values'!$B$9:$C$16,2,FALSE)</f>
        <v>0</v>
      </c>
      <c r="AD29" s="57">
        <f>$V$29*VLOOKUP($V$11,'PCU Values'!$B$9:$C$16,2,FALSE)</f>
        <v>0</v>
      </c>
      <c r="AE29" s="57">
        <f>$W$29*VLOOKUP($W$11,'PCU Values'!$B$9:$C$16,2,FALSE)</f>
        <v>0</v>
      </c>
      <c r="AF29" s="57">
        <f>$X$29*VLOOKUP($X$11,'PCU Values'!$B$9:$C$16,2,FALSE)</f>
        <v>0</v>
      </c>
      <c r="AG29" s="57">
        <f>$Y$29*VLOOKUP($Y$11,'PCU Values'!$B$9:$C$16,2,FALSE)</f>
        <v>0</v>
      </c>
      <c r="AH29" s="57">
        <f>$Z$29*VLOOKUP($Z$11,'PCU Values'!$B$9:$C$16,2,FALSE)</f>
        <v>0</v>
      </c>
      <c r="AI29" s="57">
        <f>$AA$29*VLOOKUP($AA$11,'PCU Values'!$B$9:$C$16,2,FALSE)</f>
        <v>0</v>
      </c>
      <c r="AJ29" s="65">
        <f>$AB$29*VLOOKUP($AB$11,'PCU Values'!$B$9:$C$16,2,FALSE)</f>
        <v>0</v>
      </c>
      <c r="AK29" s="66">
        <f>SUM($AC$29,$AD$29,$AE$29,$AF$29,$AG$29,$AH$29,$AI$29,$AJ$29)</f>
        <v>0</v>
      </c>
      <c r="AL29" s="52">
        <f>SUM($U$29,$V$29,$W$29,$X$29,$Y$29,$Z$29,$AA$29,$AB$29)</f>
        <v>0</v>
      </c>
      <c r="AM29" s="49">
        <v>0</v>
      </c>
      <c r="AN29" s="49">
        <v>0</v>
      </c>
      <c r="AO29" s="49">
        <v>0</v>
      </c>
      <c r="AP29" s="49">
        <v>0</v>
      </c>
      <c r="AQ29" s="49">
        <v>0</v>
      </c>
      <c r="AR29" s="49">
        <v>0</v>
      </c>
      <c r="AS29" s="49">
        <v>0</v>
      </c>
      <c r="AT29" s="58">
        <v>0</v>
      </c>
      <c r="AU29" s="57">
        <f>$AM$29*VLOOKUP($AM$11,'PCU Values'!$B$9:$C$16,2,FALSE)</f>
        <v>0</v>
      </c>
      <c r="AV29" s="57">
        <f>$AN$29*VLOOKUP($AN$11,'PCU Values'!$B$9:$C$16,2,FALSE)</f>
        <v>0</v>
      </c>
      <c r="AW29" s="57">
        <f>$AO$29*VLOOKUP($AO$11,'PCU Values'!$B$9:$C$16,2,FALSE)</f>
        <v>0</v>
      </c>
      <c r="AX29" s="57">
        <f>$AP$29*VLOOKUP($AP$11,'PCU Values'!$B$9:$C$16,2,FALSE)</f>
        <v>0</v>
      </c>
      <c r="AY29" s="57">
        <f>$AQ$29*VLOOKUP($AQ$11,'PCU Values'!$B$9:$C$16,2,FALSE)</f>
        <v>0</v>
      </c>
      <c r="AZ29" s="57">
        <f>$AR$29*VLOOKUP($AR$11,'PCU Values'!$B$9:$C$16,2,FALSE)</f>
        <v>0</v>
      </c>
      <c r="BA29" s="57">
        <f>$AS$29*VLOOKUP($AS$11,'PCU Values'!$B$9:$C$16,2,FALSE)</f>
        <v>0</v>
      </c>
      <c r="BB29" s="65">
        <f>$AT$29*VLOOKUP($AT$11,'PCU Values'!$B$9:$C$16,2,FALSE)</f>
        <v>0</v>
      </c>
      <c r="BC29" s="66">
        <f>SUM($AU$29,$AV$29,$AW$29,$AX$29,$AY$29,$AZ$29,$BA$29,$BB$29)</f>
        <v>0</v>
      </c>
      <c r="BD29" s="52">
        <f>SUM($AM$29,$AN$29,$AO$29,$AP$29,$AQ$29,$AR$29,$AS$29,$AT$29)</f>
        <v>0</v>
      </c>
      <c r="BE29" s="49">
        <v>0</v>
      </c>
      <c r="BF29" s="49">
        <v>0</v>
      </c>
      <c r="BG29" s="49">
        <v>0</v>
      </c>
      <c r="BH29" s="49">
        <v>0</v>
      </c>
      <c r="BI29" s="49">
        <v>0</v>
      </c>
      <c r="BJ29" s="49">
        <v>0</v>
      </c>
      <c r="BK29" s="49">
        <v>0</v>
      </c>
      <c r="BL29" s="58">
        <v>0</v>
      </c>
      <c r="BM29" s="77">
        <f>$BE$29*VLOOKUP($BE$11,'PCU Values'!$B$9:$C$16,2,FALSE)</f>
        <v>0</v>
      </c>
      <c r="BN29" s="77">
        <f>$BF$29*VLOOKUP($BF$11,'PCU Values'!$B$9:$C$16,2,FALSE)</f>
        <v>0</v>
      </c>
      <c r="BO29" s="77">
        <f>$BG$29*VLOOKUP($BG$11,'PCU Values'!$B$9:$C$16,2,FALSE)</f>
        <v>0</v>
      </c>
      <c r="BP29" s="77">
        <f>$BH$29*VLOOKUP($BH$11,'PCU Values'!$B$9:$C$16,2,FALSE)</f>
        <v>0</v>
      </c>
      <c r="BQ29" s="77">
        <f>$BI$29*VLOOKUP($BI$11,'PCU Values'!$B$9:$C$16,2,FALSE)</f>
        <v>0</v>
      </c>
      <c r="BR29" s="77">
        <f>$BJ$29*VLOOKUP($BJ$11,'PCU Values'!$B$9:$C$16,2,FALSE)</f>
        <v>0</v>
      </c>
      <c r="BS29" s="77">
        <f>$BK$29*VLOOKUP($BK$11,'PCU Values'!$B$9:$C$16,2,FALSE)</f>
        <v>0</v>
      </c>
      <c r="BT29" s="78">
        <f>$BL$29*VLOOKUP($BL$11,'PCU Values'!$B$9:$C$16,2,FALSE)</f>
        <v>0</v>
      </c>
      <c r="BU29" s="66">
        <f>SUM($BM$29,$BN$29,$BO$29,$BP$29,$BQ$29,$BR$29,$BS$29,$BT$29)</f>
        <v>0</v>
      </c>
      <c r="BV29" s="52">
        <f>SUM($BE$29,$BF$29,$BG$29,$BH$29,$BI$29,$BJ$29,$BK$29,$BL$29)</f>
        <v>0</v>
      </c>
      <c r="BX29" s="47" t="s">
        <v>45</v>
      </c>
      <c r="BY29" s="83">
        <f>SUM($C$29,$U$29,$AM$29,$BE$29)</f>
        <v>0</v>
      </c>
      <c r="BZ29" s="83">
        <f>SUM($D$29,$V$29,$AN$29,$BF$29)</f>
        <v>0</v>
      </c>
      <c r="CA29" s="83">
        <f>SUM($E$29,$W$29,$AO$29,$BG$29)</f>
        <v>0</v>
      </c>
      <c r="CB29" s="83">
        <f>SUM($F$29,$X$29,$AP$29,$BH$29)</f>
        <v>0</v>
      </c>
      <c r="CC29" s="83">
        <f>SUM($G$29,$Y$29,$AQ$29,$BI$29)</f>
        <v>0</v>
      </c>
      <c r="CD29" s="83">
        <f>SUM($H$29,$Z$29,$AR$29,$BJ$29)</f>
        <v>0</v>
      </c>
      <c r="CE29" s="83">
        <f>SUM($I$29,$AA$29,$AS$29,$BK$29)</f>
        <v>0</v>
      </c>
      <c r="CF29" s="86">
        <f>SUM($J$29,$AB$29,$AT$29,$BL$29)</f>
        <v>0</v>
      </c>
      <c r="CG29" s="77">
        <f>$BY$29*VLOOKUP($BY$11,'PCU Values'!$B$9:$C$16,2,FALSE)</f>
        <v>0</v>
      </c>
      <c r="CH29" s="77">
        <f>$BZ$29*VLOOKUP($BZ$11,'PCU Values'!$B$9:$C$16,2,FALSE)</f>
        <v>0</v>
      </c>
      <c r="CI29" s="77">
        <f>$CA$29*VLOOKUP($CA$11,'PCU Values'!$B$9:$C$16,2,FALSE)</f>
        <v>0</v>
      </c>
      <c r="CJ29" s="77">
        <f>$CB$29*VLOOKUP($CB$11,'PCU Values'!$B$9:$C$16,2,FALSE)</f>
        <v>0</v>
      </c>
      <c r="CK29" s="77">
        <f>$CC$29*VLOOKUP($CC$11,'PCU Values'!$B$9:$C$16,2,FALSE)</f>
        <v>0</v>
      </c>
      <c r="CL29" s="77">
        <f>$CD$29*VLOOKUP($CD$11,'PCU Values'!$B$9:$C$16,2,FALSE)</f>
        <v>0</v>
      </c>
      <c r="CM29" s="77">
        <f>$CE$29*VLOOKUP($CE$11,'PCU Values'!$B$9:$C$16,2,FALSE)</f>
        <v>0</v>
      </c>
      <c r="CN29" s="78">
        <f>$CF$29*VLOOKUP($CF$11,'PCU Values'!$B$9:$C$16,2,FALSE)</f>
        <v>0</v>
      </c>
      <c r="CO29" s="66">
        <f>SUM($CG$29,$CH$29,$CI$29,$CJ$29,$CK$29,$CL$29,$CM$29,$CN$29)</f>
        <v>0</v>
      </c>
      <c r="CP29" s="52">
        <f>SUM($BY$29,$BZ$29,$CA$29,$CB$29,$CC$29,$CD$29,$CE$29,$CF$29)</f>
        <v>0</v>
      </c>
      <c r="CQ29" s="89">
        <f>SUM('J1 A - (North) Bishopthorpe Roa'!$AM$29,'J1 B - Butcher Terrace'!$U$29,'J1 C - (South) Bishopthorpe Roa'!$C$29,'J1 D - South Bank Avenue'!$BE$29)</f>
        <v>0</v>
      </c>
      <c r="CR29" s="83">
        <f>SUM('J1 A - (North) Bishopthorpe Roa'!$AN$29,'J1 B - Butcher Terrace'!$V$29,'J1 C - (South) Bishopthorpe Roa'!$D$29,'J1 D - South Bank Avenue'!$BF$29)</f>
        <v>0</v>
      </c>
      <c r="CS29" s="83">
        <f>SUM('J1 A - (North) Bishopthorpe Roa'!$AO$29,'J1 B - Butcher Terrace'!$W$29,'J1 C - (South) Bishopthorpe Roa'!$E$29,'J1 D - South Bank Avenue'!$BG$29)</f>
        <v>0</v>
      </c>
      <c r="CT29" s="83">
        <f>SUM('J1 A - (North) Bishopthorpe Roa'!$AP$29,'J1 B - Butcher Terrace'!$X$29,'J1 C - (South) Bishopthorpe Roa'!$F$29,'J1 D - South Bank Avenue'!$BH$29)</f>
        <v>0</v>
      </c>
      <c r="CU29" s="83">
        <f>SUM('J1 A - (North) Bishopthorpe Roa'!$AQ$29,'J1 B - Butcher Terrace'!$Y$29,'J1 C - (South) Bishopthorpe Roa'!$G$29,'J1 D - South Bank Avenue'!$BI$29)</f>
        <v>0</v>
      </c>
      <c r="CV29" s="83">
        <f>SUM('J1 A - (North) Bishopthorpe Roa'!$AR$29,'J1 B - Butcher Terrace'!$Z$29,'J1 C - (South) Bishopthorpe Roa'!$H$29,'J1 D - South Bank Avenue'!$BJ$29)</f>
        <v>0</v>
      </c>
      <c r="CW29" s="83">
        <f>SUM('J1 A - (North) Bishopthorpe Roa'!$AS$29,'J1 B - Butcher Terrace'!$AA$29,'J1 C - (South) Bishopthorpe Roa'!$I$29,'J1 D - South Bank Avenue'!$BK$29)</f>
        <v>0</v>
      </c>
      <c r="CX29" s="86">
        <f>SUM('J1 A - (North) Bishopthorpe Roa'!$AT$29,'J1 B - Butcher Terrace'!$AB$29,'J1 C - (South) Bishopthorpe Roa'!$J$29,'J1 D - South Bank Avenue'!$BL$29)</f>
        <v>0</v>
      </c>
      <c r="CY29" s="77">
        <f>$CQ$29*VLOOKUP($CQ$11,'PCU Values'!$B$9:$C$16,2,FALSE)</f>
        <v>0</v>
      </c>
      <c r="CZ29" s="77">
        <f>$CR$29*VLOOKUP($CR$11,'PCU Values'!$B$9:$C$16,2,FALSE)</f>
        <v>0</v>
      </c>
      <c r="DA29" s="77">
        <f>$CS$29*VLOOKUP($CS$11,'PCU Values'!$B$9:$C$16,2,FALSE)</f>
        <v>0</v>
      </c>
      <c r="DB29" s="77">
        <f>$CT$29*VLOOKUP($CT$11,'PCU Values'!$B$9:$C$16,2,FALSE)</f>
        <v>0</v>
      </c>
      <c r="DC29" s="77">
        <f>$CU$29*VLOOKUP($CU$11,'PCU Values'!$B$9:$C$16,2,FALSE)</f>
        <v>0</v>
      </c>
      <c r="DD29" s="77">
        <f>$CV$29*VLOOKUP($CV$11,'PCU Values'!$B$9:$C$16,2,FALSE)</f>
        <v>0</v>
      </c>
      <c r="DE29" s="77">
        <f>$CW$29*VLOOKUP($CW$11,'PCU Values'!$B$9:$C$16,2,FALSE)</f>
        <v>0</v>
      </c>
      <c r="DF29" s="78">
        <f>$CX$29*VLOOKUP($CX$11,'PCU Values'!$B$9:$C$16,2,FALSE)</f>
        <v>0</v>
      </c>
      <c r="DG29" s="66">
        <f>SUM($CY$29,$CZ$29,$DA$29,$DB$29,$DC$29,$DD$29,$DE$29,$DF$29)</f>
        <v>0</v>
      </c>
      <c r="DH29" s="52">
        <f>SUM($CQ$29,$CR$29,$CS$29,$CT$29,$CU$29,$CV$29,$CW$29,$CX$29)</f>
        <v>0</v>
      </c>
    </row>
    <row r="30" spans="1:112" ht="21" customHeight="1">
      <c r="A30" s="46">
        <v>44395.15625</v>
      </c>
      <c r="B30" s="50" t="s">
        <v>46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9">
        <v>0</v>
      </c>
      <c r="K30" s="60">
        <f>$C$30*VLOOKUP($C$11,'PCU Values'!$B$9:$C$16,2,FALSE)</f>
        <v>0</v>
      </c>
      <c r="L30" s="60">
        <f>$D$30*VLOOKUP($D$11,'PCU Values'!$B$9:$C$16,2,FALSE)</f>
        <v>0</v>
      </c>
      <c r="M30" s="60">
        <f>$E$30*VLOOKUP($E$11,'PCU Values'!$B$9:$C$16,2,FALSE)</f>
        <v>0</v>
      </c>
      <c r="N30" s="60">
        <f>$F$30*VLOOKUP($F$11,'PCU Values'!$B$9:$C$16,2,FALSE)</f>
        <v>0</v>
      </c>
      <c r="O30" s="60">
        <f>$G$30*VLOOKUP($G$11,'PCU Values'!$B$9:$C$16,2,FALSE)</f>
        <v>0</v>
      </c>
      <c r="P30" s="60">
        <f>$H$30*VLOOKUP($H$11,'PCU Values'!$B$9:$C$16,2,FALSE)</f>
        <v>0</v>
      </c>
      <c r="Q30" s="60">
        <f>$I$30*VLOOKUP($I$11,'PCU Values'!$B$9:$C$16,2,FALSE)</f>
        <v>0</v>
      </c>
      <c r="R30" s="68">
        <f>$J$30*VLOOKUP($J$11,'PCU Values'!$B$9:$C$16,2,FALSE)</f>
        <v>0</v>
      </c>
      <c r="S30" s="63">
        <f>SUM($K$30,$L$30,$M$30,$N$30,$O$30,$P$30,$Q$30,$R$30)</f>
        <v>0</v>
      </c>
      <c r="T30" s="52">
        <f>SUM($C$30,$D$30,$E$30,$F$30,$G$30,$H$30,$I$30,$J$30)</f>
        <v>0</v>
      </c>
      <c r="U30" s="73">
        <v>0</v>
      </c>
      <c r="V30" s="51">
        <v>0</v>
      </c>
      <c r="W30" s="51">
        <v>0</v>
      </c>
      <c r="X30" s="51">
        <v>0</v>
      </c>
      <c r="Y30" s="51">
        <v>0</v>
      </c>
      <c r="Z30" s="51">
        <v>0</v>
      </c>
      <c r="AA30" s="51">
        <v>0</v>
      </c>
      <c r="AB30" s="59">
        <v>0</v>
      </c>
      <c r="AC30" s="60">
        <f>$U$30*VLOOKUP($U$11,'PCU Values'!$B$9:$C$16,2,FALSE)</f>
        <v>0</v>
      </c>
      <c r="AD30" s="60">
        <f>$V$30*VLOOKUP($V$11,'PCU Values'!$B$9:$C$16,2,FALSE)</f>
        <v>0</v>
      </c>
      <c r="AE30" s="60">
        <f>$W$30*VLOOKUP($W$11,'PCU Values'!$B$9:$C$16,2,FALSE)</f>
        <v>0</v>
      </c>
      <c r="AF30" s="60">
        <f>$X$30*VLOOKUP($X$11,'PCU Values'!$B$9:$C$16,2,FALSE)</f>
        <v>0</v>
      </c>
      <c r="AG30" s="60">
        <f>$Y$30*VLOOKUP($Y$11,'PCU Values'!$B$9:$C$16,2,FALSE)</f>
        <v>0</v>
      </c>
      <c r="AH30" s="60">
        <f>$Z$30*VLOOKUP($Z$11,'PCU Values'!$B$9:$C$16,2,FALSE)</f>
        <v>0</v>
      </c>
      <c r="AI30" s="60">
        <f>$AA$30*VLOOKUP($AA$11,'PCU Values'!$B$9:$C$16,2,FALSE)</f>
        <v>0</v>
      </c>
      <c r="AJ30" s="68">
        <f>$AB$30*VLOOKUP($AB$11,'PCU Values'!$B$9:$C$16,2,FALSE)</f>
        <v>0</v>
      </c>
      <c r="AK30" s="63">
        <f>SUM($AC$30,$AD$30,$AE$30,$AF$30,$AG$30,$AH$30,$AI$30,$AJ$30)</f>
        <v>0</v>
      </c>
      <c r="AL30" s="52">
        <f>SUM($U$30,$V$30,$W$30,$X$30,$Y$30,$Z$30,$AA$30,$AB$30)</f>
        <v>0</v>
      </c>
      <c r="AM30" s="73">
        <v>0</v>
      </c>
      <c r="AN30" s="51">
        <v>0</v>
      </c>
      <c r="AO30" s="51">
        <v>0</v>
      </c>
      <c r="AP30" s="51">
        <v>0</v>
      </c>
      <c r="AQ30" s="51">
        <v>0</v>
      </c>
      <c r="AR30" s="51">
        <v>0</v>
      </c>
      <c r="AS30" s="51">
        <v>0</v>
      </c>
      <c r="AT30" s="59">
        <v>0</v>
      </c>
      <c r="AU30" s="60">
        <f>$AM$30*VLOOKUP($AM$11,'PCU Values'!$B$9:$C$16,2,FALSE)</f>
        <v>0</v>
      </c>
      <c r="AV30" s="60">
        <f>$AN$30*VLOOKUP($AN$11,'PCU Values'!$B$9:$C$16,2,FALSE)</f>
        <v>0</v>
      </c>
      <c r="AW30" s="60">
        <f>$AO$30*VLOOKUP($AO$11,'PCU Values'!$B$9:$C$16,2,FALSE)</f>
        <v>0</v>
      </c>
      <c r="AX30" s="60">
        <f>$AP$30*VLOOKUP($AP$11,'PCU Values'!$B$9:$C$16,2,FALSE)</f>
        <v>0</v>
      </c>
      <c r="AY30" s="60">
        <f>$AQ$30*VLOOKUP($AQ$11,'PCU Values'!$B$9:$C$16,2,FALSE)</f>
        <v>0</v>
      </c>
      <c r="AZ30" s="60">
        <f>$AR$30*VLOOKUP($AR$11,'PCU Values'!$B$9:$C$16,2,FALSE)</f>
        <v>0</v>
      </c>
      <c r="BA30" s="60">
        <f>$AS$30*VLOOKUP($AS$11,'PCU Values'!$B$9:$C$16,2,FALSE)</f>
        <v>0</v>
      </c>
      <c r="BB30" s="68">
        <f>$AT$30*VLOOKUP($AT$11,'PCU Values'!$B$9:$C$16,2,FALSE)</f>
        <v>0</v>
      </c>
      <c r="BC30" s="63">
        <f>SUM($AU$30,$AV$30,$AW$30,$AX$30,$AY$30,$AZ$30,$BA$30,$BB$30)</f>
        <v>0</v>
      </c>
      <c r="BD30" s="52">
        <f>SUM($AM$30,$AN$30,$AO$30,$AP$30,$AQ$30,$AR$30,$AS$30,$AT$30)</f>
        <v>0</v>
      </c>
      <c r="BE30" s="73">
        <v>0</v>
      </c>
      <c r="BF30" s="51">
        <v>0</v>
      </c>
      <c r="BG30" s="51">
        <v>0</v>
      </c>
      <c r="BH30" s="51">
        <v>0</v>
      </c>
      <c r="BI30" s="51">
        <v>0</v>
      </c>
      <c r="BJ30" s="51">
        <v>0</v>
      </c>
      <c r="BK30" s="51">
        <v>0</v>
      </c>
      <c r="BL30" s="59">
        <v>0</v>
      </c>
      <c r="BM30" s="79">
        <f>$BE$30*VLOOKUP($BE$11,'PCU Values'!$B$9:$C$16,2,FALSE)</f>
        <v>0</v>
      </c>
      <c r="BN30" s="79">
        <f>$BF$30*VLOOKUP($BF$11,'PCU Values'!$B$9:$C$16,2,FALSE)</f>
        <v>0</v>
      </c>
      <c r="BO30" s="79">
        <f>$BG$30*VLOOKUP($BG$11,'PCU Values'!$B$9:$C$16,2,FALSE)</f>
        <v>0</v>
      </c>
      <c r="BP30" s="79">
        <f>$BH$30*VLOOKUP($BH$11,'PCU Values'!$B$9:$C$16,2,FALSE)</f>
        <v>0</v>
      </c>
      <c r="BQ30" s="79">
        <f>$BI$30*VLOOKUP($BI$11,'PCU Values'!$B$9:$C$16,2,FALSE)</f>
        <v>0</v>
      </c>
      <c r="BR30" s="79">
        <f>$BJ$30*VLOOKUP($BJ$11,'PCU Values'!$B$9:$C$16,2,FALSE)</f>
        <v>0</v>
      </c>
      <c r="BS30" s="79">
        <f>$BK$30*VLOOKUP($BK$11,'PCU Values'!$B$9:$C$16,2,FALSE)</f>
        <v>0</v>
      </c>
      <c r="BT30" s="80">
        <f>$BL$30*VLOOKUP($BL$11,'PCU Values'!$B$9:$C$16,2,FALSE)</f>
        <v>0</v>
      </c>
      <c r="BU30" s="63">
        <f>SUM($BM$30,$BN$30,$BO$30,$BP$30,$BQ$30,$BR$30,$BS$30,$BT$30)</f>
        <v>0</v>
      </c>
      <c r="BV30" s="52">
        <f>SUM($BE$30,$BF$30,$BG$30,$BH$30,$BI$30,$BJ$30,$BK$30,$BL$30)</f>
        <v>0</v>
      </c>
      <c r="BX30" s="50" t="s">
        <v>46</v>
      </c>
      <c r="BY30" s="84">
        <f>SUM($C$30,$U$30,$AM$30,$BE$30)</f>
        <v>0</v>
      </c>
      <c r="BZ30" s="84">
        <f>SUM($D$30,$V$30,$AN$30,$BF$30)</f>
        <v>0</v>
      </c>
      <c r="CA30" s="84">
        <f>SUM($E$30,$W$30,$AO$30,$BG$30)</f>
        <v>0</v>
      </c>
      <c r="CB30" s="84">
        <f>SUM($F$30,$X$30,$AP$30,$BH$30)</f>
        <v>0</v>
      </c>
      <c r="CC30" s="84">
        <f>SUM($G$30,$Y$30,$AQ$30,$BI$30)</f>
        <v>0</v>
      </c>
      <c r="CD30" s="84">
        <f>SUM($H$30,$Z$30,$AR$30,$BJ$30)</f>
        <v>0</v>
      </c>
      <c r="CE30" s="84">
        <f>SUM($I$30,$AA$30,$AS$30,$BK$30)</f>
        <v>0</v>
      </c>
      <c r="CF30" s="87">
        <f>SUM($J$30,$AB$30,$AT$30,$BL$30)</f>
        <v>0</v>
      </c>
      <c r="CG30" s="79">
        <f>$BY$30*VLOOKUP($BY$11,'PCU Values'!$B$9:$C$16,2,FALSE)</f>
        <v>0</v>
      </c>
      <c r="CH30" s="79">
        <f>$BZ$30*VLOOKUP($BZ$11,'PCU Values'!$B$9:$C$16,2,FALSE)</f>
        <v>0</v>
      </c>
      <c r="CI30" s="79">
        <f>$CA$30*VLOOKUP($CA$11,'PCU Values'!$B$9:$C$16,2,FALSE)</f>
        <v>0</v>
      </c>
      <c r="CJ30" s="79">
        <f>$CB$30*VLOOKUP($CB$11,'PCU Values'!$B$9:$C$16,2,FALSE)</f>
        <v>0</v>
      </c>
      <c r="CK30" s="79">
        <f>$CC$30*VLOOKUP($CC$11,'PCU Values'!$B$9:$C$16,2,FALSE)</f>
        <v>0</v>
      </c>
      <c r="CL30" s="79">
        <f>$CD$30*VLOOKUP($CD$11,'PCU Values'!$B$9:$C$16,2,FALSE)</f>
        <v>0</v>
      </c>
      <c r="CM30" s="79">
        <f>$CE$30*VLOOKUP($CE$11,'PCU Values'!$B$9:$C$16,2,FALSE)</f>
        <v>0</v>
      </c>
      <c r="CN30" s="80">
        <f>$CF$30*VLOOKUP($CF$11,'PCU Values'!$B$9:$C$16,2,FALSE)</f>
        <v>0</v>
      </c>
      <c r="CO30" s="63">
        <f>SUM($CG$30,$CH$30,$CI$30,$CJ$30,$CK$30,$CL$30,$CM$30,$CN$30)</f>
        <v>0</v>
      </c>
      <c r="CP30" s="52">
        <f>SUM($BY$30,$BZ$30,$CA$30,$CB$30,$CC$30,$CD$30,$CE$30,$CF$30)</f>
        <v>0</v>
      </c>
      <c r="CQ30" s="90">
        <f>SUM('J1 A - (North) Bishopthorpe Roa'!$AM$30,'J1 B - Butcher Terrace'!$U$30,'J1 C - (South) Bishopthorpe Roa'!$C$30,'J1 D - South Bank Avenue'!$BE$30)</f>
        <v>0</v>
      </c>
      <c r="CR30" s="84">
        <f>SUM('J1 A - (North) Bishopthorpe Roa'!$AN$30,'J1 B - Butcher Terrace'!$V$30,'J1 C - (South) Bishopthorpe Roa'!$D$30,'J1 D - South Bank Avenue'!$BF$30)</f>
        <v>0</v>
      </c>
      <c r="CS30" s="84">
        <f>SUM('J1 A - (North) Bishopthorpe Roa'!$AO$30,'J1 B - Butcher Terrace'!$W$30,'J1 C - (South) Bishopthorpe Roa'!$E$30,'J1 D - South Bank Avenue'!$BG$30)</f>
        <v>0</v>
      </c>
      <c r="CT30" s="84">
        <f>SUM('J1 A - (North) Bishopthorpe Roa'!$AP$30,'J1 B - Butcher Terrace'!$X$30,'J1 C - (South) Bishopthorpe Roa'!$F$30,'J1 D - South Bank Avenue'!$BH$30)</f>
        <v>0</v>
      </c>
      <c r="CU30" s="84">
        <f>SUM('J1 A - (North) Bishopthorpe Roa'!$AQ$30,'J1 B - Butcher Terrace'!$Y$30,'J1 C - (South) Bishopthorpe Roa'!$G$30,'J1 D - South Bank Avenue'!$BI$30)</f>
        <v>0</v>
      </c>
      <c r="CV30" s="84">
        <f>SUM('J1 A - (North) Bishopthorpe Roa'!$AR$30,'J1 B - Butcher Terrace'!$Z$30,'J1 C - (South) Bishopthorpe Roa'!$H$30,'J1 D - South Bank Avenue'!$BJ$30)</f>
        <v>0</v>
      </c>
      <c r="CW30" s="84">
        <f>SUM('J1 A - (North) Bishopthorpe Roa'!$AS$30,'J1 B - Butcher Terrace'!$AA$30,'J1 C - (South) Bishopthorpe Roa'!$I$30,'J1 D - South Bank Avenue'!$BK$30)</f>
        <v>0</v>
      </c>
      <c r="CX30" s="87">
        <f>SUM('J1 A - (North) Bishopthorpe Roa'!$AT$30,'J1 B - Butcher Terrace'!$AB$30,'J1 C - (South) Bishopthorpe Roa'!$J$30,'J1 D - South Bank Avenue'!$BL$30)</f>
        <v>0</v>
      </c>
      <c r="CY30" s="79">
        <f>$CQ$30*VLOOKUP($CQ$11,'PCU Values'!$B$9:$C$16,2,FALSE)</f>
        <v>0</v>
      </c>
      <c r="CZ30" s="79">
        <f>$CR$30*VLOOKUP($CR$11,'PCU Values'!$B$9:$C$16,2,FALSE)</f>
        <v>0</v>
      </c>
      <c r="DA30" s="79">
        <f>$CS$30*VLOOKUP($CS$11,'PCU Values'!$B$9:$C$16,2,FALSE)</f>
        <v>0</v>
      </c>
      <c r="DB30" s="79">
        <f>$CT$30*VLOOKUP($CT$11,'PCU Values'!$B$9:$C$16,2,FALSE)</f>
        <v>0</v>
      </c>
      <c r="DC30" s="79">
        <f>$CU$30*VLOOKUP($CU$11,'PCU Values'!$B$9:$C$16,2,FALSE)</f>
        <v>0</v>
      </c>
      <c r="DD30" s="79">
        <f>$CV$30*VLOOKUP($CV$11,'PCU Values'!$B$9:$C$16,2,FALSE)</f>
        <v>0</v>
      </c>
      <c r="DE30" s="79">
        <f>$CW$30*VLOOKUP($CW$11,'PCU Values'!$B$9:$C$16,2,FALSE)</f>
        <v>0</v>
      </c>
      <c r="DF30" s="80">
        <f>$CX$30*VLOOKUP($CX$11,'PCU Values'!$B$9:$C$16,2,FALSE)</f>
        <v>0</v>
      </c>
      <c r="DG30" s="63">
        <f>SUM($CY$30,$CZ$30,$DA$30,$DB$30,$DC$30,$DD$30,$DE$30,$DF$30)</f>
        <v>0</v>
      </c>
      <c r="DH30" s="52">
        <f>SUM($CQ$30,$CR$30,$CS$30,$CT$30,$CU$30,$CV$30,$CW$30,$CX$30)</f>
        <v>0</v>
      </c>
    </row>
    <row r="31" spans="1:112">
      <c r="B31" s="52" t="s">
        <v>34</v>
      </c>
      <c r="C31" s="52">
        <f>SUM($C$27:$C$30)</f>
        <v>0</v>
      </c>
      <c r="D31" s="52">
        <f>SUM($D$27:$D$30)</f>
        <v>0</v>
      </c>
      <c r="E31" s="52">
        <f>SUM($E$27:$E$30)</f>
        <v>0</v>
      </c>
      <c r="F31" s="52">
        <f>SUM($F$27:$F$30)</f>
        <v>0</v>
      </c>
      <c r="G31" s="52">
        <f>SUM($G$27:$G$30)</f>
        <v>0</v>
      </c>
      <c r="H31" s="52">
        <f>SUM($H$27:$H$30)</f>
        <v>0</v>
      </c>
      <c r="I31" s="52">
        <f>SUM($I$27:$I$30)</f>
        <v>0</v>
      </c>
      <c r="J31" s="52">
        <f>SUM($J$27:$J$30)</f>
        <v>0</v>
      </c>
      <c r="K31" s="52">
        <f>SUM($K$27:$K$30)</f>
        <v>0</v>
      </c>
      <c r="L31" s="52">
        <f>SUM($L$27:$L$30)</f>
        <v>0</v>
      </c>
      <c r="M31" s="52">
        <f>SUM($M$27:$M$30)</f>
        <v>0</v>
      </c>
      <c r="N31" s="52">
        <f>SUM($N$27:$N$30)</f>
        <v>0</v>
      </c>
      <c r="O31" s="52">
        <f>SUM($O$27:$O$30)</f>
        <v>0</v>
      </c>
      <c r="P31" s="52">
        <f>SUM($P$27:$P$30)</f>
        <v>0</v>
      </c>
      <c r="Q31" s="52">
        <f>SUM($Q$27:$Q$30)</f>
        <v>0</v>
      </c>
      <c r="R31" s="52">
        <f>SUM($R$27:$R$30)</f>
        <v>0</v>
      </c>
      <c r="S31" s="52">
        <f>SUM($K$31,$L$31,$M$31,$N$31,$O$31,$P$31,$Q$31,$R$31)</f>
        <v>0</v>
      </c>
      <c r="T31" s="52">
        <f>SUM($C$31,$D$31,$E$31,$F$31,$G$31,$H$31,$I$31,$J$31)</f>
        <v>0</v>
      </c>
      <c r="U31" s="52">
        <f>SUM($U$27:$U$30)</f>
        <v>0</v>
      </c>
      <c r="V31" s="52">
        <f>SUM($V$27:$V$30)</f>
        <v>0</v>
      </c>
      <c r="W31" s="52">
        <f>SUM($W$27:$W$30)</f>
        <v>0</v>
      </c>
      <c r="X31" s="52">
        <f>SUM($X$27:$X$30)</f>
        <v>0</v>
      </c>
      <c r="Y31" s="52">
        <f>SUM($Y$27:$Y$30)</f>
        <v>0</v>
      </c>
      <c r="Z31" s="52">
        <f>SUM($Z$27:$Z$30)</f>
        <v>0</v>
      </c>
      <c r="AA31" s="52">
        <f>SUM($AA$27:$AA$30)</f>
        <v>0</v>
      </c>
      <c r="AB31" s="52">
        <f>SUM($AB$27:$AB$30)</f>
        <v>0</v>
      </c>
      <c r="AC31" s="52">
        <f>SUM($AC$27:$AC$30)</f>
        <v>0</v>
      </c>
      <c r="AD31" s="52">
        <f>SUM($AD$27:$AD$30)</f>
        <v>0</v>
      </c>
      <c r="AE31" s="52">
        <f>SUM($AE$27:$AE$30)</f>
        <v>0</v>
      </c>
      <c r="AF31" s="52">
        <f>SUM($AF$27:$AF$30)</f>
        <v>0</v>
      </c>
      <c r="AG31" s="52">
        <f>SUM($AG$27:$AG$30)</f>
        <v>0</v>
      </c>
      <c r="AH31" s="52">
        <f>SUM($AH$27:$AH$30)</f>
        <v>0</v>
      </c>
      <c r="AI31" s="52">
        <f>SUM($AI$27:$AI$30)</f>
        <v>0</v>
      </c>
      <c r="AJ31" s="52">
        <f>SUM($AJ$27:$AJ$30)</f>
        <v>0</v>
      </c>
      <c r="AK31" s="52">
        <f>SUM($AC$31,$AD$31,$AE$31,$AF$31,$AG$31,$AH$31,$AI$31,$AJ$31)</f>
        <v>0</v>
      </c>
      <c r="AL31" s="52">
        <f>SUM($U$31,$V$31,$W$31,$X$31,$Y$31,$Z$31,$AA$31,$AB$31)</f>
        <v>0</v>
      </c>
      <c r="AM31" s="52">
        <f>SUM($AM$27:$AM$30)</f>
        <v>0</v>
      </c>
      <c r="AN31" s="52">
        <f>SUM($AN$27:$AN$30)</f>
        <v>0</v>
      </c>
      <c r="AO31" s="52">
        <f>SUM($AO$27:$AO$30)</f>
        <v>0</v>
      </c>
      <c r="AP31" s="52">
        <f>SUM($AP$27:$AP$30)</f>
        <v>0</v>
      </c>
      <c r="AQ31" s="52">
        <f>SUM($AQ$27:$AQ$30)</f>
        <v>0</v>
      </c>
      <c r="AR31" s="52">
        <f>SUM($AR$27:$AR$30)</f>
        <v>0</v>
      </c>
      <c r="AS31" s="52">
        <f>SUM($AS$27:$AS$30)</f>
        <v>0</v>
      </c>
      <c r="AT31" s="52">
        <f>SUM($AT$27:$AT$30)</f>
        <v>0</v>
      </c>
      <c r="AU31" s="52">
        <f>SUM($AU$27:$AU$30)</f>
        <v>0</v>
      </c>
      <c r="AV31" s="52">
        <f>SUM($AV$27:$AV$30)</f>
        <v>0</v>
      </c>
      <c r="AW31" s="52">
        <f>SUM($AW$27:$AW$30)</f>
        <v>0</v>
      </c>
      <c r="AX31" s="52">
        <f>SUM($AX$27:$AX$30)</f>
        <v>0</v>
      </c>
      <c r="AY31" s="52">
        <f>SUM($AY$27:$AY$30)</f>
        <v>0</v>
      </c>
      <c r="AZ31" s="52">
        <f>SUM($AZ$27:$AZ$30)</f>
        <v>0</v>
      </c>
      <c r="BA31" s="52">
        <f>SUM($BA$27:$BA$30)</f>
        <v>0</v>
      </c>
      <c r="BB31" s="52">
        <f>SUM($BB$27:$BB$30)</f>
        <v>0</v>
      </c>
      <c r="BC31" s="52">
        <f>SUM($AU$31,$AV$31,$AW$31,$AX$31,$AY$31,$AZ$31,$BA$31,$BB$31)</f>
        <v>0</v>
      </c>
      <c r="BD31" s="52">
        <f>SUM($AM$31,$AN$31,$AO$31,$AP$31,$AQ$31,$AR$31,$AS$31,$AT$31)</f>
        <v>0</v>
      </c>
      <c r="BE31" s="52">
        <f>SUM($BE$27:$BE$30)</f>
        <v>0</v>
      </c>
      <c r="BF31" s="52">
        <f>SUM($BF$27:$BF$30)</f>
        <v>0</v>
      </c>
      <c r="BG31" s="52">
        <f>SUM($BG$27:$BG$30)</f>
        <v>0</v>
      </c>
      <c r="BH31" s="52">
        <f>SUM($BH$27:$BH$30)</f>
        <v>0</v>
      </c>
      <c r="BI31" s="52">
        <f>SUM($BI$27:$BI$30)</f>
        <v>0</v>
      </c>
      <c r="BJ31" s="52">
        <f>SUM($BJ$27:$BJ$30)</f>
        <v>0</v>
      </c>
      <c r="BK31" s="52">
        <f>SUM($BK$27:$BK$30)</f>
        <v>0</v>
      </c>
      <c r="BL31" s="52">
        <f>SUM($BL$27:$BL$30)</f>
        <v>0</v>
      </c>
      <c r="BM31" s="52">
        <f>SUM($BM$27:$BM$30)</f>
        <v>0</v>
      </c>
      <c r="BN31" s="52">
        <f>SUM($BN$27:$BN$30)</f>
        <v>0</v>
      </c>
      <c r="BO31" s="52">
        <f>SUM($BO$27:$BO$30)</f>
        <v>0</v>
      </c>
      <c r="BP31" s="52">
        <f>SUM($BP$27:$BP$30)</f>
        <v>0</v>
      </c>
      <c r="BQ31" s="52">
        <f>SUM($BQ$27:$BQ$30)</f>
        <v>0</v>
      </c>
      <c r="BR31" s="52">
        <f>SUM($BR$27:$BR$30)</f>
        <v>0</v>
      </c>
      <c r="BS31" s="52">
        <f>SUM($BS$27:$BS$30)</f>
        <v>0</v>
      </c>
      <c r="BT31" s="52">
        <f>SUM($BT$27:$BT$30)</f>
        <v>0</v>
      </c>
      <c r="BU31" s="52">
        <f>SUM($BM$31,$BN$31,$BO$31,$BP$31,$BQ$31,$BR$31,$BS$31,$BT$31)</f>
        <v>0</v>
      </c>
      <c r="BV31" s="52">
        <f>SUM($BE$31,$BF$31,$BG$31,$BH$31,$BI$31,$BJ$31,$BK$31,$BL$31)</f>
        <v>0</v>
      </c>
      <c r="BX31" s="52" t="s">
        <v>34</v>
      </c>
      <c r="BY31" s="52">
        <f>SUM($BY$27:$BY$30)</f>
        <v>0</v>
      </c>
      <c r="BZ31" s="52">
        <f>SUM($BZ$27:$BZ$30)</f>
        <v>0</v>
      </c>
      <c r="CA31" s="52">
        <f>SUM($CA$27:$CA$30)</f>
        <v>0</v>
      </c>
      <c r="CB31" s="52">
        <f>SUM($CB$27:$CB$30)</f>
        <v>0</v>
      </c>
      <c r="CC31" s="52">
        <f>SUM($CC$27:$CC$30)</f>
        <v>0</v>
      </c>
      <c r="CD31" s="52">
        <f>SUM($CD$27:$CD$30)</f>
        <v>0</v>
      </c>
      <c r="CE31" s="52">
        <f>SUM($CE$27:$CE$30)</f>
        <v>0</v>
      </c>
      <c r="CF31" s="52">
        <f>SUM($CF$27:$CF$30)</f>
        <v>0</v>
      </c>
      <c r="CG31" s="52">
        <f>SUM($CG$27:$CG$30)</f>
        <v>0</v>
      </c>
      <c r="CH31" s="52">
        <f>SUM($CH$27:$CH$30)</f>
        <v>0</v>
      </c>
      <c r="CI31" s="52">
        <f>SUM($CI$27:$CI$30)</f>
        <v>0</v>
      </c>
      <c r="CJ31" s="52">
        <f>SUM($CJ$27:$CJ$30)</f>
        <v>0</v>
      </c>
      <c r="CK31" s="52">
        <f>SUM($CK$27:$CK$30)</f>
        <v>0</v>
      </c>
      <c r="CL31" s="52">
        <f>SUM($CL$27:$CL$30)</f>
        <v>0</v>
      </c>
      <c r="CM31" s="52">
        <f>SUM($CM$27:$CM$30)</f>
        <v>0</v>
      </c>
      <c r="CN31" s="52">
        <f>SUM($CN$27:$CN$30)</f>
        <v>0</v>
      </c>
      <c r="CO31" s="52">
        <f>SUM($CG$31,$CH$31,$CI$31,$CJ$31,$CK$31,$CL$31,$CM$31,$CN$31)</f>
        <v>0</v>
      </c>
      <c r="CP31" s="52">
        <f>SUM($BY$31,$BZ$31,$CA$31,$CB$31,$CC$31,$CD$31,$CE$31,$CF$31)</f>
        <v>0</v>
      </c>
      <c r="CQ31" s="52">
        <f>SUM($CQ$27:$CQ$30)</f>
        <v>2</v>
      </c>
      <c r="CR31" s="52">
        <f>SUM($CR$27:$CR$30)</f>
        <v>0</v>
      </c>
      <c r="CS31" s="52">
        <f>SUM($CS$27:$CS$30)</f>
        <v>0</v>
      </c>
      <c r="CT31" s="52">
        <f>SUM($CT$27:$CT$30)</f>
        <v>0</v>
      </c>
      <c r="CU31" s="52">
        <f>SUM($CU$27:$CU$30)</f>
        <v>0</v>
      </c>
      <c r="CV31" s="52">
        <f>SUM($CV$27:$CV$30)</f>
        <v>0</v>
      </c>
      <c r="CW31" s="52">
        <f>SUM($CW$27:$CW$30)</f>
        <v>0</v>
      </c>
      <c r="CX31" s="52">
        <f>SUM($CX$27:$CX$30)</f>
        <v>0</v>
      </c>
      <c r="CY31" s="52">
        <f>SUM($CY$27:$CY$30)</f>
        <v>2</v>
      </c>
      <c r="CZ31" s="52">
        <f>SUM($CZ$27:$CZ$30)</f>
        <v>0</v>
      </c>
      <c r="DA31" s="52">
        <f>SUM($DA$27:$DA$30)</f>
        <v>0</v>
      </c>
      <c r="DB31" s="52">
        <f>SUM($DB$27:$DB$30)</f>
        <v>0</v>
      </c>
      <c r="DC31" s="52">
        <f>SUM($DC$27:$DC$30)</f>
        <v>0</v>
      </c>
      <c r="DD31" s="52">
        <f>SUM($DD$27:$DD$30)</f>
        <v>0</v>
      </c>
      <c r="DE31" s="52">
        <f>SUM($DE$27:$DE$30)</f>
        <v>0</v>
      </c>
      <c r="DF31" s="52">
        <f>SUM($DF$27:$DF$30)</f>
        <v>0</v>
      </c>
      <c r="DG31" s="52">
        <f>SUM($CY$31,$CZ$31,$DA$31,$DB$31,$DC$31,$DD$31,$DE$31,$DF$31)</f>
        <v>2</v>
      </c>
      <c r="DH31" s="52">
        <f>SUM($CQ$31,$CR$31,$CS$31,$CT$31,$CU$31,$CV$31,$CW$31,$CX$31)</f>
        <v>2</v>
      </c>
    </row>
    <row r="32" spans="1:112" ht="21" customHeight="1">
      <c r="A32" s="46">
        <v>44395.166666666701</v>
      </c>
      <c r="B32" s="53" t="s">
        <v>47</v>
      </c>
      <c r="C32" s="54">
        <v>0</v>
      </c>
      <c r="D32" s="54">
        <v>0</v>
      </c>
      <c r="E32" s="54">
        <v>0</v>
      </c>
      <c r="F32" s="54">
        <v>0</v>
      </c>
      <c r="G32" s="54">
        <v>0</v>
      </c>
      <c r="H32" s="54">
        <v>0</v>
      </c>
      <c r="I32" s="54">
        <v>0</v>
      </c>
      <c r="J32" s="61">
        <v>0</v>
      </c>
      <c r="K32" s="62">
        <f>$C$32*VLOOKUP($C$11,'PCU Values'!$B$9:$C$16,2,FALSE)</f>
        <v>0</v>
      </c>
      <c r="L32" s="62">
        <f>$D$32*VLOOKUP($D$11,'PCU Values'!$B$9:$C$16,2,FALSE)</f>
        <v>0</v>
      </c>
      <c r="M32" s="62">
        <f>$E$32*VLOOKUP($E$11,'PCU Values'!$B$9:$C$16,2,FALSE)</f>
        <v>0</v>
      </c>
      <c r="N32" s="62">
        <f>$F$32*VLOOKUP($F$11,'PCU Values'!$B$9:$C$16,2,FALSE)</f>
        <v>0</v>
      </c>
      <c r="O32" s="62">
        <f>$G$32*VLOOKUP($G$11,'PCU Values'!$B$9:$C$16,2,FALSE)</f>
        <v>0</v>
      </c>
      <c r="P32" s="62">
        <f>$H$32*VLOOKUP($H$11,'PCU Values'!$B$9:$C$16,2,FALSE)</f>
        <v>0</v>
      </c>
      <c r="Q32" s="62">
        <f>$I$32*VLOOKUP($I$11,'PCU Values'!$B$9:$C$16,2,FALSE)</f>
        <v>0</v>
      </c>
      <c r="R32" s="70">
        <f>$J$32*VLOOKUP($J$11,'PCU Values'!$B$9:$C$16,2,FALSE)</f>
        <v>0</v>
      </c>
      <c r="S32" s="71">
        <f>SUM($K$32,$L$32,$M$32,$N$32,$O$32,$P$32,$Q$32,$R$32)</f>
        <v>0</v>
      </c>
      <c r="T32" s="52">
        <f>SUM($C$32,$D$32,$E$32,$F$32,$G$32,$H$32,$I$32,$J$32)</f>
        <v>0</v>
      </c>
      <c r="U32" s="72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61">
        <v>0</v>
      </c>
      <c r="AC32" s="62">
        <f>$U$32*VLOOKUP($U$11,'PCU Values'!$B$9:$C$16,2,FALSE)</f>
        <v>0</v>
      </c>
      <c r="AD32" s="62">
        <f>$V$32*VLOOKUP($V$11,'PCU Values'!$B$9:$C$16,2,FALSE)</f>
        <v>0</v>
      </c>
      <c r="AE32" s="62">
        <f>$W$32*VLOOKUP($W$11,'PCU Values'!$B$9:$C$16,2,FALSE)</f>
        <v>0</v>
      </c>
      <c r="AF32" s="62">
        <f>$X$32*VLOOKUP($X$11,'PCU Values'!$B$9:$C$16,2,FALSE)</f>
        <v>0</v>
      </c>
      <c r="AG32" s="62">
        <f>$Y$32*VLOOKUP($Y$11,'PCU Values'!$B$9:$C$16,2,FALSE)</f>
        <v>0</v>
      </c>
      <c r="AH32" s="62">
        <f>$Z$32*VLOOKUP($Z$11,'PCU Values'!$B$9:$C$16,2,FALSE)</f>
        <v>0</v>
      </c>
      <c r="AI32" s="62">
        <f>$AA$32*VLOOKUP($AA$11,'PCU Values'!$B$9:$C$16,2,FALSE)</f>
        <v>0</v>
      </c>
      <c r="AJ32" s="70">
        <f>$AB$32*VLOOKUP($AB$11,'PCU Values'!$B$9:$C$16,2,FALSE)</f>
        <v>0</v>
      </c>
      <c r="AK32" s="71">
        <f>SUM($AC$32,$AD$32,$AE$32,$AF$32,$AG$32,$AH$32,$AI$32,$AJ$32)</f>
        <v>0</v>
      </c>
      <c r="AL32" s="52">
        <f>SUM($U$32,$V$32,$W$32,$X$32,$Y$32,$Z$32,$AA$32,$AB$32)</f>
        <v>0</v>
      </c>
      <c r="AM32" s="72">
        <v>0</v>
      </c>
      <c r="AN32" s="54">
        <v>0</v>
      </c>
      <c r="AO32" s="54">
        <v>0</v>
      </c>
      <c r="AP32" s="54">
        <v>0</v>
      </c>
      <c r="AQ32" s="54">
        <v>0</v>
      </c>
      <c r="AR32" s="54">
        <v>0</v>
      </c>
      <c r="AS32" s="54">
        <v>0</v>
      </c>
      <c r="AT32" s="61">
        <v>0</v>
      </c>
      <c r="AU32" s="62">
        <f>$AM$32*VLOOKUP($AM$11,'PCU Values'!$B$9:$C$16,2,FALSE)</f>
        <v>0</v>
      </c>
      <c r="AV32" s="62">
        <f>$AN$32*VLOOKUP($AN$11,'PCU Values'!$B$9:$C$16,2,FALSE)</f>
        <v>0</v>
      </c>
      <c r="AW32" s="62">
        <f>$AO$32*VLOOKUP($AO$11,'PCU Values'!$B$9:$C$16,2,FALSE)</f>
        <v>0</v>
      </c>
      <c r="AX32" s="62">
        <f>$AP$32*VLOOKUP($AP$11,'PCU Values'!$B$9:$C$16,2,FALSE)</f>
        <v>0</v>
      </c>
      <c r="AY32" s="62">
        <f>$AQ$32*VLOOKUP($AQ$11,'PCU Values'!$B$9:$C$16,2,FALSE)</f>
        <v>0</v>
      </c>
      <c r="AZ32" s="62">
        <f>$AR$32*VLOOKUP($AR$11,'PCU Values'!$B$9:$C$16,2,FALSE)</f>
        <v>0</v>
      </c>
      <c r="BA32" s="62">
        <f>$AS$32*VLOOKUP($AS$11,'PCU Values'!$B$9:$C$16,2,FALSE)</f>
        <v>0</v>
      </c>
      <c r="BB32" s="70">
        <f>$AT$32*VLOOKUP($AT$11,'PCU Values'!$B$9:$C$16,2,FALSE)</f>
        <v>0</v>
      </c>
      <c r="BC32" s="71">
        <f>SUM($AU$32,$AV$32,$AW$32,$AX$32,$AY$32,$AZ$32,$BA$32,$BB$32)</f>
        <v>0</v>
      </c>
      <c r="BD32" s="52">
        <f>SUM($AM$32,$AN$32,$AO$32,$AP$32,$AQ$32,$AR$32,$AS$32,$AT$32)</f>
        <v>0</v>
      </c>
      <c r="BE32" s="72">
        <v>0</v>
      </c>
      <c r="BF32" s="54">
        <v>0</v>
      </c>
      <c r="BG32" s="54">
        <v>0</v>
      </c>
      <c r="BH32" s="54">
        <v>0</v>
      </c>
      <c r="BI32" s="54">
        <v>0</v>
      </c>
      <c r="BJ32" s="54">
        <v>0</v>
      </c>
      <c r="BK32" s="54">
        <v>0</v>
      </c>
      <c r="BL32" s="61">
        <v>0</v>
      </c>
      <c r="BM32" s="81">
        <f>$BE$32*VLOOKUP($BE$11,'PCU Values'!$B$9:$C$16,2,FALSE)</f>
        <v>0</v>
      </c>
      <c r="BN32" s="81">
        <f>$BF$32*VLOOKUP($BF$11,'PCU Values'!$B$9:$C$16,2,FALSE)</f>
        <v>0</v>
      </c>
      <c r="BO32" s="81">
        <f>$BG$32*VLOOKUP($BG$11,'PCU Values'!$B$9:$C$16,2,FALSE)</f>
        <v>0</v>
      </c>
      <c r="BP32" s="81">
        <f>$BH$32*VLOOKUP($BH$11,'PCU Values'!$B$9:$C$16,2,FALSE)</f>
        <v>0</v>
      </c>
      <c r="BQ32" s="81">
        <f>$BI$32*VLOOKUP($BI$11,'PCU Values'!$B$9:$C$16,2,FALSE)</f>
        <v>0</v>
      </c>
      <c r="BR32" s="81">
        <f>$BJ$32*VLOOKUP($BJ$11,'PCU Values'!$B$9:$C$16,2,FALSE)</f>
        <v>0</v>
      </c>
      <c r="BS32" s="81">
        <f>$BK$32*VLOOKUP($BK$11,'PCU Values'!$B$9:$C$16,2,FALSE)</f>
        <v>0</v>
      </c>
      <c r="BT32" s="82">
        <f>$BL$32*VLOOKUP($BL$11,'PCU Values'!$B$9:$C$16,2,FALSE)</f>
        <v>0</v>
      </c>
      <c r="BU32" s="71">
        <f>SUM($BM$32,$BN$32,$BO$32,$BP$32,$BQ$32,$BR$32,$BS$32,$BT$32)</f>
        <v>0</v>
      </c>
      <c r="BV32" s="52">
        <f>SUM($BE$32,$BF$32,$BG$32,$BH$32,$BI$32,$BJ$32,$BK$32,$BL$32)</f>
        <v>0</v>
      </c>
      <c r="BX32" s="53" t="s">
        <v>47</v>
      </c>
      <c r="BY32" s="85">
        <f>SUM($C$32,$U$32,$AM$32,$BE$32)</f>
        <v>0</v>
      </c>
      <c r="BZ32" s="85">
        <f>SUM($D$32,$V$32,$AN$32,$BF$32)</f>
        <v>0</v>
      </c>
      <c r="CA32" s="85">
        <f>SUM($E$32,$W$32,$AO$32,$BG$32)</f>
        <v>0</v>
      </c>
      <c r="CB32" s="85">
        <f>SUM($F$32,$X$32,$AP$32,$BH$32)</f>
        <v>0</v>
      </c>
      <c r="CC32" s="85">
        <f>SUM($G$32,$Y$32,$AQ$32,$BI$32)</f>
        <v>0</v>
      </c>
      <c r="CD32" s="85">
        <f>SUM($H$32,$Z$32,$AR$32,$BJ$32)</f>
        <v>0</v>
      </c>
      <c r="CE32" s="85">
        <f>SUM($I$32,$AA$32,$AS$32,$BK$32)</f>
        <v>0</v>
      </c>
      <c r="CF32" s="88">
        <f>SUM($J$32,$AB$32,$AT$32,$BL$32)</f>
        <v>0</v>
      </c>
      <c r="CG32" s="81">
        <f>$BY$32*VLOOKUP($BY$11,'PCU Values'!$B$9:$C$16,2,FALSE)</f>
        <v>0</v>
      </c>
      <c r="CH32" s="81">
        <f>$BZ$32*VLOOKUP($BZ$11,'PCU Values'!$B$9:$C$16,2,FALSE)</f>
        <v>0</v>
      </c>
      <c r="CI32" s="81">
        <f>$CA$32*VLOOKUP($CA$11,'PCU Values'!$B$9:$C$16,2,FALSE)</f>
        <v>0</v>
      </c>
      <c r="CJ32" s="81">
        <f>$CB$32*VLOOKUP($CB$11,'PCU Values'!$B$9:$C$16,2,FALSE)</f>
        <v>0</v>
      </c>
      <c r="CK32" s="81">
        <f>$CC$32*VLOOKUP($CC$11,'PCU Values'!$B$9:$C$16,2,FALSE)</f>
        <v>0</v>
      </c>
      <c r="CL32" s="81">
        <f>$CD$32*VLOOKUP($CD$11,'PCU Values'!$B$9:$C$16,2,FALSE)</f>
        <v>0</v>
      </c>
      <c r="CM32" s="81">
        <f>$CE$32*VLOOKUP($CE$11,'PCU Values'!$B$9:$C$16,2,FALSE)</f>
        <v>0</v>
      </c>
      <c r="CN32" s="82">
        <f>$CF$32*VLOOKUP($CF$11,'PCU Values'!$B$9:$C$16,2,FALSE)</f>
        <v>0</v>
      </c>
      <c r="CO32" s="71">
        <f>SUM($CG$32,$CH$32,$CI$32,$CJ$32,$CK$32,$CL$32,$CM$32,$CN$32)</f>
        <v>0</v>
      </c>
      <c r="CP32" s="52">
        <f>SUM($BY$32,$BZ$32,$CA$32,$CB$32,$CC$32,$CD$32,$CE$32,$CF$32)</f>
        <v>0</v>
      </c>
      <c r="CQ32" s="91">
        <f>SUM('J1 A - (North) Bishopthorpe Roa'!$AM$32,'J1 B - Butcher Terrace'!$U$32,'J1 C - (South) Bishopthorpe Roa'!$C$32,'J1 D - South Bank Avenue'!$BE$32)</f>
        <v>0</v>
      </c>
      <c r="CR32" s="85">
        <f>SUM('J1 A - (North) Bishopthorpe Roa'!$AN$32,'J1 B - Butcher Terrace'!$V$32,'J1 C - (South) Bishopthorpe Roa'!$D$32,'J1 D - South Bank Avenue'!$BF$32)</f>
        <v>0</v>
      </c>
      <c r="CS32" s="85">
        <f>SUM('J1 A - (North) Bishopthorpe Roa'!$AO$32,'J1 B - Butcher Terrace'!$W$32,'J1 C - (South) Bishopthorpe Roa'!$E$32,'J1 D - South Bank Avenue'!$BG$32)</f>
        <v>0</v>
      </c>
      <c r="CT32" s="85">
        <f>SUM('J1 A - (North) Bishopthorpe Roa'!$AP$32,'J1 B - Butcher Terrace'!$X$32,'J1 C - (South) Bishopthorpe Roa'!$F$32,'J1 D - South Bank Avenue'!$BH$32)</f>
        <v>0</v>
      </c>
      <c r="CU32" s="85">
        <f>SUM('J1 A - (North) Bishopthorpe Roa'!$AQ$32,'J1 B - Butcher Terrace'!$Y$32,'J1 C - (South) Bishopthorpe Roa'!$G$32,'J1 D - South Bank Avenue'!$BI$32)</f>
        <v>0</v>
      </c>
      <c r="CV32" s="85">
        <f>SUM('J1 A - (North) Bishopthorpe Roa'!$AR$32,'J1 B - Butcher Terrace'!$Z$32,'J1 C - (South) Bishopthorpe Roa'!$H$32,'J1 D - South Bank Avenue'!$BJ$32)</f>
        <v>0</v>
      </c>
      <c r="CW32" s="85">
        <f>SUM('J1 A - (North) Bishopthorpe Roa'!$AS$32,'J1 B - Butcher Terrace'!$AA$32,'J1 C - (South) Bishopthorpe Roa'!$I$32,'J1 D - South Bank Avenue'!$BK$32)</f>
        <v>0</v>
      </c>
      <c r="CX32" s="88">
        <f>SUM('J1 A - (North) Bishopthorpe Roa'!$AT$32,'J1 B - Butcher Terrace'!$AB$32,'J1 C - (South) Bishopthorpe Roa'!$J$32,'J1 D - South Bank Avenue'!$BL$32)</f>
        <v>0</v>
      </c>
      <c r="CY32" s="81">
        <f>$CQ$32*VLOOKUP($CQ$11,'PCU Values'!$B$9:$C$16,2,FALSE)</f>
        <v>0</v>
      </c>
      <c r="CZ32" s="81">
        <f>$CR$32*VLOOKUP($CR$11,'PCU Values'!$B$9:$C$16,2,FALSE)</f>
        <v>0</v>
      </c>
      <c r="DA32" s="81">
        <f>$CS$32*VLOOKUP($CS$11,'PCU Values'!$B$9:$C$16,2,FALSE)</f>
        <v>0</v>
      </c>
      <c r="DB32" s="81">
        <f>$CT$32*VLOOKUP($CT$11,'PCU Values'!$B$9:$C$16,2,FALSE)</f>
        <v>0</v>
      </c>
      <c r="DC32" s="81">
        <f>$CU$32*VLOOKUP($CU$11,'PCU Values'!$B$9:$C$16,2,FALSE)</f>
        <v>0</v>
      </c>
      <c r="DD32" s="81">
        <f>$CV$32*VLOOKUP($CV$11,'PCU Values'!$B$9:$C$16,2,FALSE)</f>
        <v>0</v>
      </c>
      <c r="DE32" s="81">
        <f>$CW$32*VLOOKUP($CW$11,'PCU Values'!$B$9:$C$16,2,FALSE)</f>
        <v>0</v>
      </c>
      <c r="DF32" s="82">
        <f>$CX$32*VLOOKUP($CX$11,'PCU Values'!$B$9:$C$16,2,FALSE)</f>
        <v>0</v>
      </c>
      <c r="DG32" s="71">
        <f>SUM($CY$32,$CZ$32,$DA$32,$DB$32,$DC$32,$DD$32,$DE$32,$DF$32)</f>
        <v>0</v>
      </c>
      <c r="DH32" s="52">
        <f>SUM($CQ$32,$CR$32,$CS$32,$CT$32,$CU$32,$CV$32,$CW$32,$CX$32)</f>
        <v>0</v>
      </c>
    </row>
    <row r="33" spans="1:112" ht="21" customHeight="1">
      <c r="A33" s="46">
        <v>44395.177083333299</v>
      </c>
      <c r="B33" s="47" t="s">
        <v>48</v>
      </c>
      <c r="C33" s="48">
        <v>0</v>
      </c>
      <c r="D33" s="48">
        <v>0</v>
      </c>
      <c r="E33" s="48">
        <v>0</v>
      </c>
      <c r="F33" s="48">
        <v>0</v>
      </c>
      <c r="G33" s="48">
        <v>0</v>
      </c>
      <c r="H33" s="48">
        <v>0</v>
      </c>
      <c r="I33" s="48">
        <v>0</v>
      </c>
      <c r="J33" s="56">
        <v>0</v>
      </c>
      <c r="K33" s="57">
        <f>$C$33*VLOOKUP($C$11,'PCU Values'!$B$9:$C$16,2,FALSE)</f>
        <v>0</v>
      </c>
      <c r="L33" s="57">
        <f>$D$33*VLOOKUP($D$11,'PCU Values'!$B$9:$C$16,2,FALSE)</f>
        <v>0</v>
      </c>
      <c r="M33" s="57">
        <f>$E$33*VLOOKUP($E$11,'PCU Values'!$B$9:$C$16,2,FALSE)</f>
        <v>0</v>
      </c>
      <c r="N33" s="57">
        <f>$F$33*VLOOKUP($F$11,'PCU Values'!$B$9:$C$16,2,FALSE)</f>
        <v>0</v>
      </c>
      <c r="O33" s="57">
        <f>$G$33*VLOOKUP($G$11,'PCU Values'!$B$9:$C$16,2,FALSE)</f>
        <v>0</v>
      </c>
      <c r="P33" s="57">
        <f>$H$33*VLOOKUP($H$11,'PCU Values'!$B$9:$C$16,2,FALSE)</f>
        <v>0</v>
      </c>
      <c r="Q33" s="57">
        <f>$I$33*VLOOKUP($I$11,'PCU Values'!$B$9:$C$16,2,FALSE)</f>
        <v>0</v>
      </c>
      <c r="R33" s="65">
        <f>$J$33*VLOOKUP($J$11,'PCU Values'!$B$9:$C$16,2,FALSE)</f>
        <v>0</v>
      </c>
      <c r="S33" s="66">
        <f>SUM($K$33,$L$33,$M$33,$N$33,$O$33,$P$33,$Q$33,$R$33)</f>
        <v>0</v>
      </c>
      <c r="T33" s="52">
        <f>SUM($C$33,$D$33,$E$33,$F$33,$G$33,$H$33,$I$33,$J$33)</f>
        <v>0</v>
      </c>
      <c r="U33" s="67">
        <v>0</v>
      </c>
      <c r="V33" s="48">
        <v>0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56">
        <v>0</v>
      </c>
      <c r="AC33" s="57">
        <f>$U$33*VLOOKUP($U$11,'PCU Values'!$B$9:$C$16,2,FALSE)</f>
        <v>0</v>
      </c>
      <c r="AD33" s="57">
        <f>$V$33*VLOOKUP($V$11,'PCU Values'!$B$9:$C$16,2,FALSE)</f>
        <v>0</v>
      </c>
      <c r="AE33" s="57">
        <f>$W$33*VLOOKUP($W$11,'PCU Values'!$B$9:$C$16,2,FALSE)</f>
        <v>0</v>
      </c>
      <c r="AF33" s="57">
        <f>$X$33*VLOOKUP($X$11,'PCU Values'!$B$9:$C$16,2,FALSE)</f>
        <v>0</v>
      </c>
      <c r="AG33" s="57">
        <f>$Y$33*VLOOKUP($Y$11,'PCU Values'!$B$9:$C$16,2,FALSE)</f>
        <v>0</v>
      </c>
      <c r="AH33" s="57">
        <f>$Z$33*VLOOKUP($Z$11,'PCU Values'!$B$9:$C$16,2,FALSE)</f>
        <v>0</v>
      </c>
      <c r="AI33" s="57">
        <f>$AA$33*VLOOKUP($AA$11,'PCU Values'!$B$9:$C$16,2,FALSE)</f>
        <v>0</v>
      </c>
      <c r="AJ33" s="65">
        <f>$AB$33*VLOOKUP($AB$11,'PCU Values'!$B$9:$C$16,2,FALSE)</f>
        <v>0</v>
      </c>
      <c r="AK33" s="66">
        <f>SUM($AC$33,$AD$33,$AE$33,$AF$33,$AG$33,$AH$33,$AI$33,$AJ$33)</f>
        <v>0</v>
      </c>
      <c r="AL33" s="52">
        <f>SUM($U$33,$V$33,$W$33,$X$33,$Y$33,$Z$33,$AA$33,$AB$33)</f>
        <v>0</v>
      </c>
      <c r="AM33" s="67">
        <v>0</v>
      </c>
      <c r="AN33" s="48">
        <v>0</v>
      </c>
      <c r="AO33" s="48">
        <v>0</v>
      </c>
      <c r="AP33" s="48">
        <v>0</v>
      </c>
      <c r="AQ33" s="48">
        <v>0</v>
      </c>
      <c r="AR33" s="48">
        <v>0</v>
      </c>
      <c r="AS33" s="48">
        <v>0</v>
      </c>
      <c r="AT33" s="56">
        <v>0</v>
      </c>
      <c r="AU33" s="57">
        <f>$AM$33*VLOOKUP($AM$11,'PCU Values'!$B$9:$C$16,2,FALSE)</f>
        <v>0</v>
      </c>
      <c r="AV33" s="57">
        <f>$AN$33*VLOOKUP($AN$11,'PCU Values'!$B$9:$C$16,2,FALSE)</f>
        <v>0</v>
      </c>
      <c r="AW33" s="57">
        <f>$AO$33*VLOOKUP($AO$11,'PCU Values'!$B$9:$C$16,2,FALSE)</f>
        <v>0</v>
      </c>
      <c r="AX33" s="57">
        <f>$AP$33*VLOOKUP($AP$11,'PCU Values'!$B$9:$C$16,2,FALSE)</f>
        <v>0</v>
      </c>
      <c r="AY33" s="57">
        <f>$AQ$33*VLOOKUP($AQ$11,'PCU Values'!$B$9:$C$16,2,FALSE)</f>
        <v>0</v>
      </c>
      <c r="AZ33" s="57">
        <f>$AR$33*VLOOKUP($AR$11,'PCU Values'!$B$9:$C$16,2,FALSE)</f>
        <v>0</v>
      </c>
      <c r="BA33" s="57">
        <f>$AS$33*VLOOKUP($AS$11,'PCU Values'!$B$9:$C$16,2,FALSE)</f>
        <v>0</v>
      </c>
      <c r="BB33" s="65">
        <f>$AT$33*VLOOKUP($AT$11,'PCU Values'!$B$9:$C$16,2,FALSE)</f>
        <v>0</v>
      </c>
      <c r="BC33" s="66">
        <f>SUM($AU$33,$AV$33,$AW$33,$AX$33,$AY$33,$AZ$33,$BA$33,$BB$33)</f>
        <v>0</v>
      </c>
      <c r="BD33" s="52">
        <f>SUM($AM$33,$AN$33,$AO$33,$AP$33,$AQ$33,$AR$33,$AS$33,$AT$33)</f>
        <v>0</v>
      </c>
      <c r="BE33" s="67">
        <v>0</v>
      </c>
      <c r="BF33" s="48">
        <v>0</v>
      </c>
      <c r="BG33" s="48">
        <v>0</v>
      </c>
      <c r="BH33" s="48">
        <v>0</v>
      </c>
      <c r="BI33" s="48">
        <v>0</v>
      </c>
      <c r="BJ33" s="48">
        <v>0</v>
      </c>
      <c r="BK33" s="48">
        <v>0</v>
      </c>
      <c r="BL33" s="56">
        <v>0</v>
      </c>
      <c r="BM33" s="77">
        <f>$BE$33*VLOOKUP($BE$11,'PCU Values'!$B$9:$C$16,2,FALSE)</f>
        <v>0</v>
      </c>
      <c r="BN33" s="77">
        <f>$BF$33*VLOOKUP($BF$11,'PCU Values'!$B$9:$C$16,2,FALSE)</f>
        <v>0</v>
      </c>
      <c r="BO33" s="77">
        <f>$BG$33*VLOOKUP($BG$11,'PCU Values'!$B$9:$C$16,2,FALSE)</f>
        <v>0</v>
      </c>
      <c r="BP33" s="77">
        <f>$BH$33*VLOOKUP($BH$11,'PCU Values'!$B$9:$C$16,2,FALSE)</f>
        <v>0</v>
      </c>
      <c r="BQ33" s="77">
        <f>$BI$33*VLOOKUP($BI$11,'PCU Values'!$B$9:$C$16,2,FALSE)</f>
        <v>0</v>
      </c>
      <c r="BR33" s="77">
        <f>$BJ$33*VLOOKUP($BJ$11,'PCU Values'!$B$9:$C$16,2,FALSE)</f>
        <v>0</v>
      </c>
      <c r="BS33" s="77">
        <f>$BK$33*VLOOKUP($BK$11,'PCU Values'!$B$9:$C$16,2,FALSE)</f>
        <v>0</v>
      </c>
      <c r="BT33" s="78">
        <f>$BL$33*VLOOKUP($BL$11,'PCU Values'!$B$9:$C$16,2,FALSE)</f>
        <v>0</v>
      </c>
      <c r="BU33" s="66">
        <f>SUM($BM$33,$BN$33,$BO$33,$BP$33,$BQ$33,$BR$33,$BS$33,$BT$33)</f>
        <v>0</v>
      </c>
      <c r="BV33" s="52">
        <f>SUM($BE$33,$BF$33,$BG$33,$BH$33,$BI$33,$BJ$33,$BK$33,$BL$33)</f>
        <v>0</v>
      </c>
      <c r="BX33" s="47" t="s">
        <v>48</v>
      </c>
      <c r="BY33" s="83">
        <f>SUM($C$33,$U$33,$AM$33,$BE$33)</f>
        <v>0</v>
      </c>
      <c r="BZ33" s="83">
        <f>SUM($D$33,$V$33,$AN$33,$BF$33)</f>
        <v>0</v>
      </c>
      <c r="CA33" s="83">
        <f>SUM($E$33,$W$33,$AO$33,$BG$33)</f>
        <v>0</v>
      </c>
      <c r="CB33" s="83">
        <f>SUM($F$33,$X$33,$AP$33,$BH$33)</f>
        <v>0</v>
      </c>
      <c r="CC33" s="83">
        <f>SUM($G$33,$Y$33,$AQ$33,$BI$33)</f>
        <v>0</v>
      </c>
      <c r="CD33" s="83">
        <f>SUM($H$33,$Z$33,$AR$33,$BJ$33)</f>
        <v>0</v>
      </c>
      <c r="CE33" s="83">
        <f>SUM($I$33,$AA$33,$AS$33,$BK$33)</f>
        <v>0</v>
      </c>
      <c r="CF33" s="86">
        <f>SUM($J$33,$AB$33,$AT$33,$BL$33)</f>
        <v>0</v>
      </c>
      <c r="CG33" s="77">
        <f>$BY$33*VLOOKUP($BY$11,'PCU Values'!$B$9:$C$16,2,FALSE)</f>
        <v>0</v>
      </c>
      <c r="CH33" s="77">
        <f>$BZ$33*VLOOKUP($BZ$11,'PCU Values'!$B$9:$C$16,2,FALSE)</f>
        <v>0</v>
      </c>
      <c r="CI33" s="77">
        <f>$CA$33*VLOOKUP($CA$11,'PCU Values'!$B$9:$C$16,2,FALSE)</f>
        <v>0</v>
      </c>
      <c r="CJ33" s="77">
        <f>$CB$33*VLOOKUP($CB$11,'PCU Values'!$B$9:$C$16,2,FALSE)</f>
        <v>0</v>
      </c>
      <c r="CK33" s="77">
        <f>$CC$33*VLOOKUP($CC$11,'PCU Values'!$B$9:$C$16,2,FALSE)</f>
        <v>0</v>
      </c>
      <c r="CL33" s="77">
        <f>$CD$33*VLOOKUP($CD$11,'PCU Values'!$B$9:$C$16,2,FALSE)</f>
        <v>0</v>
      </c>
      <c r="CM33" s="77">
        <f>$CE$33*VLOOKUP($CE$11,'PCU Values'!$B$9:$C$16,2,FALSE)</f>
        <v>0</v>
      </c>
      <c r="CN33" s="78">
        <f>$CF$33*VLOOKUP($CF$11,'PCU Values'!$B$9:$C$16,2,FALSE)</f>
        <v>0</v>
      </c>
      <c r="CO33" s="66">
        <f>SUM($CG$33,$CH$33,$CI$33,$CJ$33,$CK$33,$CL$33,$CM$33,$CN$33)</f>
        <v>0</v>
      </c>
      <c r="CP33" s="52">
        <f>SUM($BY$33,$BZ$33,$CA$33,$CB$33,$CC$33,$CD$33,$CE$33,$CF$33)</f>
        <v>0</v>
      </c>
      <c r="CQ33" s="89">
        <f>SUM('J1 A - (North) Bishopthorpe Roa'!$AM$33,'J1 B - Butcher Terrace'!$U$33,'J1 C - (South) Bishopthorpe Roa'!$C$33,'J1 D - South Bank Avenue'!$BE$33)</f>
        <v>0</v>
      </c>
      <c r="CR33" s="83">
        <f>SUM('J1 A - (North) Bishopthorpe Roa'!$AN$33,'J1 B - Butcher Terrace'!$V$33,'J1 C - (South) Bishopthorpe Roa'!$D$33,'J1 D - South Bank Avenue'!$BF$33)</f>
        <v>0</v>
      </c>
      <c r="CS33" s="83">
        <f>SUM('J1 A - (North) Bishopthorpe Roa'!$AO$33,'J1 B - Butcher Terrace'!$W$33,'J1 C - (South) Bishopthorpe Roa'!$E$33,'J1 D - South Bank Avenue'!$BG$33)</f>
        <v>0</v>
      </c>
      <c r="CT33" s="83">
        <f>SUM('J1 A - (North) Bishopthorpe Roa'!$AP$33,'J1 B - Butcher Terrace'!$X$33,'J1 C - (South) Bishopthorpe Roa'!$F$33,'J1 D - South Bank Avenue'!$BH$33)</f>
        <v>0</v>
      </c>
      <c r="CU33" s="83">
        <f>SUM('J1 A - (North) Bishopthorpe Roa'!$AQ$33,'J1 B - Butcher Terrace'!$Y$33,'J1 C - (South) Bishopthorpe Roa'!$G$33,'J1 D - South Bank Avenue'!$BI$33)</f>
        <v>0</v>
      </c>
      <c r="CV33" s="83">
        <f>SUM('J1 A - (North) Bishopthorpe Roa'!$AR$33,'J1 B - Butcher Terrace'!$Z$33,'J1 C - (South) Bishopthorpe Roa'!$H$33,'J1 D - South Bank Avenue'!$BJ$33)</f>
        <v>0</v>
      </c>
      <c r="CW33" s="83">
        <f>SUM('J1 A - (North) Bishopthorpe Roa'!$AS$33,'J1 B - Butcher Terrace'!$AA$33,'J1 C - (South) Bishopthorpe Roa'!$I$33,'J1 D - South Bank Avenue'!$BK$33)</f>
        <v>0</v>
      </c>
      <c r="CX33" s="86">
        <f>SUM('J1 A - (North) Bishopthorpe Roa'!$AT$33,'J1 B - Butcher Terrace'!$AB$33,'J1 C - (South) Bishopthorpe Roa'!$J$33,'J1 D - South Bank Avenue'!$BL$33)</f>
        <v>0</v>
      </c>
      <c r="CY33" s="77">
        <f>$CQ$33*VLOOKUP($CQ$11,'PCU Values'!$B$9:$C$16,2,FALSE)</f>
        <v>0</v>
      </c>
      <c r="CZ33" s="77">
        <f>$CR$33*VLOOKUP($CR$11,'PCU Values'!$B$9:$C$16,2,FALSE)</f>
        <v>0</v>
      </c>
      <c r="DA33" s="77">
        <f>$CS$33*VLOOKUP($CS$11,'PCU Values'!$B$9:$C$16,2,FALSE)</f>
        <v>0</v>
      </c>
      <c r="DB33" s="77">
        <f>$CT$33*VLOOKUP($CT$11,'PCU Values'!$B$9:$C$16,2,FALSE)</f>
        <v>0</v>
      </c>
      <c r="DC33" s="77">
        <f>$CU$33*VLOOKUP($CU$11,'PCU Values'!$B$9:$C$16,2,FALSE)</f>
        <v>0</v>
      </c>
      <c r="DD33" s="77">
        <f>$CV$33*VLOOKUP($CV$11,'PCU Values'!$B$9:$C$16,2,FALSE)</f>
        <v>0</v>
      </c>
      <c r="DE33" s="77">
        <f>$CW$33*VLOOKUP($CW$11,'PCU Values'!$B$9:$C$16,2,FALSE)</f>
        <v>0</v>
      </c>
      <c r="DF33" s="78">
        <f>$CX$33*VLOOKUP($CX$11,'PCU Values'!$B$9:$C$16,2,FALSE)</f>
        <v>0</v>
      </c>
      <c r="DG33" s="66">
        <f>SUM($CY$33,$CZ$33,$DA$33,$DB$33,$DC$33,$DD$33,$DE$33,$DF$33)</f>
        <v>0</v>
      </c>
      <c r="DH33" s="52">
        <f>SUM($CQ$33,$CR$33,$CS$33,$CT$33,$CU$33,$CV$33,$CW$33,$CX$33)</f>
        <v>0</v>
      </c>
    </row>
    <row r="34" spans="1:112" ht="21" customHeight="1">
      <c r="A34" s="46">
        <v>44395.1875</v>
      </c>
      <c r="B34" s="47" t="s">
        <v>49</v>
      </c>
      <c r="C34" s="48">
        <v>0</v>
      </c>
      <c r="D34" s="48">
        <v>0</v>
      </c>
      <c r="E34" s="48">
        <v>0</v>
      </c>
      <c r="F34" s="48">
        <v>0</v>
      </c>
      <c r="G34" s="48">
        <v>0</v>
      </c>
      <c r="H34" s="48">
        <v>1</v>
      </c>
      <c r="I34" s="48">
        <v>0</v>
      </c>
      <c r="J34" s="56">
        <v>0</v>
      </c>
      <c r="K34" s="57">
        <f>$C$34*VLOOKUP($C$11,'PCU Values'!$B$9:$C$16,2,FALSE)</f>
        <v>0</v>
      </c>
      <c r="L34" s="57">
        <f>$D$34*VLOOKUP($D$11,'PCU Values'!$B$9:$C$16,2,FALSE)</f>
        <v>0</v>
      </c>
      <c r="M34" s="57">
        <f>$E$34*VLOOKUP($E$11,'PCU Values'!$B$9:$C$16,2,FALSE)</f>
        <v>0</v>
      </c>
      <c r="N34" s="57">
        <f>$F$34*VLOOKUP($F$11,'PCU Values'!$B$9:$C$16,2,FALSE)</f>
        <v>0</v>
      </c>
      <c r="O34" s="57">
        <f>$G$34*VLOOKUP($G$11,'PCU Values'!$B$9:$C$16,2,FALSE)</f>
        <v>0</v>
      </c>
      <c r="P34" s="57">
        <f>$H$34*VLOOKUP($H$11,'PCU Values'!$B$9:$C$16,2,FALSE)</f>
        <v>0.2</v>
      </c>
      <c r="Q34" s="57">
        <f>$I$34*VLOOKUP($I$11,'PCU Values'!$B$9:$C$16,2,FALSE)</f>
        <v>0</v>
      </c>
      <c r="R34" s="65">
        <f>$J$34*VLOOKUP($J$11,'PCU Values'!$B$9:$C$16,2,FALSE)</f>
        <v>0</v>
      </c>
      <c r="S34" s="66">
        <f>SUM($K$34,$L$34,$M$34,$N$34,$O$34,$P$34,$Q$34,$R$34)</f>
        <v>0.2</v>
      </c>
      <c r="T34" s="52">
        <f>SUM($C$34,$D$34,$E$34,$F$34,$G$34,$H$34,$I$34,$J$34)</f>
        <v>1</v>
      </c>
      <c r="U34" s="67">
        <v>0</v>
      </c>
      <c r="V34" s="48">
        <v>0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56">
        <v>0</v>
      </c>
      <c r="AC34" s="57">
        <f>$U$34*VLOOKUP($U$11,'PCU Values'!$B$9:$C$16,2,FALSE)</f>
        <v>0</v>
      </c>
      <c r="AD34" s="57">
        <f>$V$34*VLOOKUP($V$11,'PCU Values'!$B$9:$C$16,2,FALSE)</f>
        <v>0</v>
      </c>
      <c r="AE34" s="57">
        <f>$W$34*VLOOKUP($W$11,'PCU Values'!$B$9:$C$16,2,FALSE)</f>
        <v>0</v>
      </c>
      <c r="AF34" s="57">
        <f>$X$34*VLOOKUP($X$11,'PCU Values'!$B$9:$C$16,2,FALSE)</f>
        <v>0</v>
      </c>
      <c r="AG34" s="57">
        <f>$Y$34*VLOOKUP($Y$11,'PCU Values'!$B$9:$C$16,2,FALSE)</f>
        <v>0</v>
      </c>
      <c r="AH34" s="57">
        <f>$Z$34*VLOOKUP($Z$11,'PCU Values'!$B$9:$C$16,2,FALSE)</f>
        <v>0</v>
      </c>
      <c r="AI34" s="57">
        <f>$AA$34*VLOOKUP($AA$11,'PCU Values'!$B$9:$C$16,2,FALSE)</f>
        <v>0</v>
      </c>
      <c r="AJ34" s="65">
        <f>$AB$34*VLOOKUP($AB$11,'PCU Values'!$B$9:$C$16,2,FALSE)</f>
        <v>0</v>
      </c>
      <c r="AK34" s="66">
        <f>SUM($AC$34,$AD$34,$AE$34,$AF$34,$AG$34,$AH$34,$AI$34,$AJ$34)</f>
        <v>0</v>
      </c>
      <c r="AL34" s="52">
        <f>SUM($U$34,$V$34,$W$34,$X$34,$Y$34,$Z$34,$AA$34,$AB$34)</f>
        <v>0</v>
      </c>
      <c r="AM34" s="67">
        <v>0</v>
      </c>
      <c r="AN34" s="48">
        <v>1</v>
      </c>
      <c r="AO34" s="48">
        <v>0</v>
      </c>
      <c r="AP34" s="48">
        <v>0</v>
      </c>
      <c r="AQ34" s="48">
        <v>0</v>
      </c>
      <c r="AR34" s="48">
        <v>0</v>
      </c>
      <c r="AS34" s="48">
        <v>0</v>
      </c>
      <c r="AT34" s="56">
        <v>0</v>
      </c>
      <c r="AU34" s="57">
        <f>$AM$34*VLOOKUP($AM$11,'PCU Values'!$B$9:$C$16,2,FALSE)</f>
        <v>0</v>
      </c>
      <c r="AV34" s="57">
        <f>$AN$34*VLOOKUP($AN$11,'PCU Values'!$B$9:$C$16,2,FALSE)</f>
        <v>1</v>
      </c>
      <c r="AW34" s="57">
        <f>$AO$34*VLOOKUP($AO$11,'PCU Values'!$B$9:$C$16,2,FALSE)</f>
        <v>0</v>
      </c>
      <c r="AX34" s="57">
        <f>$AP$34*VLOOKUP($AP$11,'PCU Values'!$B$9:$C$16,2,FALSE)</f>
        <v>0</v>
      </c>
      <c r="AY34" s="57">
        <f>$AQ$34*VLOOKUP($AQ$11,'PCU Values'!$B$9:$C$16,2,FALSE)</f>
        <v>0</v>
      </c>
      <c r="AZ34" s="57">
        <f>$AR$34*VLOOKUP($AR$11,'PCU Values'!$B$9:$C$16,2,FALSE)</f>
        <v>0</v>
      </c>
      <c r="BA34" s="57">
        <f>$AS$34*VLOOKUP($AS$11,'PCU Values'!$B$9:$C$16,2,FALSE)</f>
        <v>0</v>
      </c>
      <c r="BB34" s="65">
        <f>$AT$34*VLOOKUP($AT$11,'PCU Values'!$B$9:$C$16,2,FALSE)</f>
        <v>0</v>
      </c>
      <c r="BC34" s="66">
        <f>SUM($AU$34,$AV$34,$AW$34,$AX$34,$AY$34,$AZ$34,$BA$34,$BB$34)</f>
        <v>1</v>
      </c>
      <c r="BD34" s="52">
        <f>SUM($AM$34,$AN$34,$AO$34,$AP$34,$AQ$34,$AR$34,$AS$34,$AT$34)</f>
        <v>1</v>
      </c>
      <c r="BE34" s="67">
        <v>0</v>
      </c>
      <c r="BF34" s="48">
        <v>0</v>
      </c>
      <c r="BG34" s="48">
        <v>0</v>
      </c>
      <c r="BH34" s="48">
        <v>0</v>
      </c>
      <c r="BI34" s="48">
        <v>0</v>
      </c>
      <c r="BJ34" s="48">
        <v>0</v>
      </c>
      <c r="BK34" s="48">
        <v>0</v>
      </c>
      <c r="BL34" s="56">
        <v>0</v>
      </c>
      <c r="BM34" s="77">
        <f>$BE$34*VLOOKUP($BE$11,'PCU Values'!$B$9:$C$16,2,FALSE)</f>
        <v>0</v>
      </c>
      <c r="BN34" s="77">
        <f>$BF$34*VLOOKUP($BF$11,'PCU Values'!$B$9:$C$16,2,FALSE)</f>
        <v>0</v>
      </c>
      <c r="BO34" s="77">
        <f>$BG$34*VLOOKUP($BG$11,'PCU Values'!$B$9:$C$16,2,FALSE)</f>
        <v>0</v>
      </c>
      <c r="BP34" s="77">
        <f>$BH$34*VLOOKUP($BH$11,'PCU Values'!$B$9:$C$16,2,FALSE)</f>
        <v>0</v>
      </c>
      <c r="BQ34" s="77">
        <f>$BI$34*VLOOKUP($BI$11,'PCU Values'!$B$9:$C$16,2,FALSE)</f>
        <v>0</v>
      </c>
      <c r="BR34" s="77">
        <f>$BJ$34*VLOOKUP($BJ$11,'PCU Values'!$B$9:$C$16,2,FALSE)</f>
        <v>0</v>
      </c>
      <c r="BS34" s="77">
        <f>$BK$34*VLOOKUP($BK$11,'PCU Values'!$B$9:$C$16,2,FALSE)</f>
        <v>0</v>
      </c>
      <c r="BT34" s="78">
        <f>$BL$34*VLOOKUP($BL$11,'PCU Values'!$B$9:$C$16,2,FALSE)</f>
        <v>0</v>
      </c>
      <c r="BU34" s="66">
        <f>SUM($BM$34,$BN$34,$BO$34,$BP$34,$BQ$34,$BR$34,$BS$34,$BT$34)</f>
        <v>0</v>
      </c>
      <c r="BV34" s="52">
        <f>SUM($BE$34,$BF$34,$BG$34,$BH$34,$BI$34,$BJ$34,$BK$34,$BL$34)</f>
        <v>0</v>
      </c>
      <c r="BX34" s="47" t="s">
        <v>49</v>
      </c>
      <c r="BY34" s="83">
        <f>SUM($C$34,$U$34,$AM$34,$BE$34)</f>
        <v>0</v>
      </c>
      <c r="BZ34" s="83">
        <f>SUM($D$34,$V$34,$AN$34,$BF$34)</f>
        <v>1</v>
      </c>
      <c r="CA34" s="83">
        <f>SUM($E$34,$W$34,$AO$34,$BG$34)</f>
        <v>0</v>
      </c>
      <c r="CB34" s="83">
        <f>SUM($F$34,$X$34,$AP$34,$BH$34)</f>
        <v>0</v>
      </c>
      <c r="CC34" s="83">
        <f>SUM($G$34,$Y$34,$AQ$34,$BI$34)</f>
        <v>0</v>
      </c>
      <c r="CD34" s="83">
        <f>SUM($H$34,$Z$34,$AR$34,$BJ$34)</f>
        <v>1</v>
      </c>
      <c r="CE34" s="83">
        <f>SUM($I$34,$AA$34,$AS$34,$BK$34)</f>
        <v>0</v>
      </c>
      <c r="CF34" s="86">
        <f>SUM($J$34,$AB$34,$AT$34,$BL$34)</f>
        <v>0</v>
      </c>
      <c r="CG34" s="77">
        <f>$BY$34*VLOOKUP($BY$11,'PCU Values'!$B$9:$C$16,2,FALSE)</f>
        <v>0</v>
      </c>
      <c r="CH34" s="77">
        <f>$BZ$34*VLOOKUP($BZ$11,'PCU Values'!$B$9:$C$16,2,FALSE)</f>
        <v>1</v>
      </c>
      <c r="CI34" s="77">
        <f>$CA$34*VLOOKUP($CA$11,'PCU Values'!$B$9:$C$16,2,FALSE)</f>
        <v>0</v>
      </c>
      <c r="CJ34" s="77">
        <f>$CB$34*VLOOKUP($CB$11,'PCU Values'!$B$9:$C$16,2,FALSE)</f>
        <v>0</v>
      </c>
      <c r="CK34" s="77">
        <f>$CC$34*VLOOKUP($CC$11,'PCU Values'!$B$9:$C$16,2,FALSE)</f>
        <v>0</v>
      </c>
      <c r="CL34" s="77">
        <f>$CD$34*VLOOKUP($CD$11,'PCU Values'!$B$9:$C$16,2,FALSE)</f>
        <v>0.2</v>
      </c>
      <c r="CM34" s="77">
        <f>$CE$34*VLOOKUP($CE$11,'PCU Values'!$B$9:$C$16,2,FALSE)</f>
        <v>0</v>
      </c>
      <c r="CN34" s="78">
        <f>$CF$34*VLOOKUP($CF$11,'PCU Values'!$B$9:$C$16,2,FALSE)</f>
        <v>0</v>
      </c>
      <c r="CO34" s="66">
        <f>SUM($CG$34,$CH$34,$CI$34,$CJ$34,$CK$34,$CL$34,$CM$34,$CN$34)</f>
        <v>1.2</v>
      </c>
      <c r="CP34" s="52">
        <f>SUM($BY$34,$BZ$34,$CA$34,$CB$34,$CC$34,$CD$34,$CE$34,$CF$34)</f>
        <v>2</v>
      </c>
      <c r="CQ34" s="89">
        <f>SUM('J1 A - (North) Bishopthorpe Roa'!$AM$34,'J1 B - Butcher Terrace'!$U$34,'J1 C - (South) Bishopthorpe Roa'!$C$34,'J1 D - South Bank Avenue'!$BE$34)</f>
        <v>0</v>
      </c>
      <c r="CR34" s="83">
        <f>SUM('J1 A - (North) Bishopthorpe Roa'!$AN$34,'J1 B - Butcher Terrace'!$V$34,'J1 C - (South) Bishopthorpe Roa'!$D$34,'J1 D - South Bank Avenue'!$BF$34)</f>
        <v>0</v>
      </c>
      <c r="CS34" s="83">
        <f>SUM('J1 A - (North) Bishopthorpe Roa'!$AO$34,'J1 B - Butcher Terrace'!$W$34,'J1 C - (South) Bishopthorpe Roa'!$E$34,'J1 D - South Bank Avenue'!$BG$34)</f>
        <v>0</v>
      </c>
      <c r="CT34" s="83">
        <f>SUM('J1 A - (North) Bishopthorpe Roa'!$AP$34,'J1 B - Butcher Terrace'!$X$34,'J1 C - (South) Bishopthorpe Roa'!$F$34,'J1 D - South Bank Avenue'!$BH$34)</f>
        <v>0</v>
      </c>
      <c r="CU34" s="83">
        <f>SUM('J1 A - (North) Bishopthorpe Roa'!$AQ$34,'J1 B - Butcher Terrace'!$Y$34,'J1 C - (South) Bishopthorpe Roa'!$G$34,'J1 D - South Bank Avenue'!$BI$34)</f>
        <v>0</v>
      </c>
      <c r="CV34" s="83">
        <f>SUM('J1 A - (North) Bishopthorpe Roa'!$AR$34,'J1 B - Butcher Terrace'!$Z$34,'J1 C - (South) Bishopthorpe Roa'!$H$34,'J1 D - South Bank Avenue'!$BJ$34)</f>
        <v>0</v>
      </c>
      <c r="CW34" s="83">
        <f>SUM('J1 A - (North) Bishopthorpe Roa'!$AS$34,'J1 B - Butcher Terrace'!$AA$34,'J1 C - (South) Bishopthorpe Roa'!$I$34,'J1 D - South Bank Avenue'!$BK$34)</f>
        <v>0</v>
      </c>
      <c r="CX34" s="86">
        <f>SUM('J1 A - (North) Bishopthorpe Roa'!$AT$34,'J1 B - Butcher Terrace'!$AB$34,'J1 C - (South) Bishopthorpe Roa'!$J$34,'J1 D - South Bank Avenue'!$BL$34)</f>
        <v>0</v>
      </c>
      <c r="CY34" s="77">
        <f>$CQ$34*VLOOKUP($CQ$11,'PCU Values'!$B$9:$C$16,2,FALSE)</f>
        <v>0</v>
      </c>
      <c r="CZ34" s="77">
        <f>$CR$34*VLOOKUP($CR$11,'PCU Values'!$B$9:$C$16,2,FALSE)</f>
        <v>0</v>
      </c>
      <c r="DA34" s="77">
        <f>$CS$34*VLOOKUP($CS$11,'PCU Values'!$B$9:$C$16,2,FALSE)</f>
        <v>0</v>
      </c>
      <c r="DB34" s="77">
        <f>$CT$34*VLOOKUP($CT$11,'PCU Values'!$B$9:$C$16,2,FALSE)</f>
        <v>0</v>
      </c>
      <c r="DC34" s="77">
        <f>$CU$34*VLOOKUP($CU$11,'PCU Values'!$B$9:$C$16,2,FALSE)</f>
        <v>0</v>
      </c>
      <c r="DD34" s="77">
        <f>$CV$34*VLOOKUP($CV$11,'PCU Values'!$B$9:$C$16,2,FALSE)</f>
        <v>0</v>
      </c>
      <c r="DE34" s="77">
        <f>$CW$34*VLOOKUP($CW$11,'PCU Values'!$B$9:$C$16,2,FALSE)</f>
        <v>0</v>
      </c>
      <c r="DF34" s="78">
        <f>$CX$34*VLOOKUP($CX$11,'PCU Values'!$B$9:$C$16,2,FALSE)</f>
        <v>0</v>
      </c>
      <c r="DG34" s="66">
        <f>SUM($CY$34,$CZ$34,$DA$34,$DB$34,$DC$34,$DD$34,$DE$34,$DF$34)</f>
        <v>0</v>
      </c>
      <c r="DH34" s="52">
        <f>SUM($CQ$34,$CR$34,$CS$34,$CT$34,$CU$34,$CV$34,$CW$34,$CX$34)</f>
        <v>0</v>
      </c>
    </row>
    <row r="35" spans="1:112" ht="21" customHeight="1">
      <c r="A35" s="46">
        <v>44395.197916666701</v>
      </c>
      <c r="B35" s="50" t="s">
        <v>50</v>
      </c>
      <c r="C35" s="51">
        <v>0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9">
        <v>0</v>
      </c>
      <c r="K35" s="60">
        <f>$C$35*VLOOKUP($C$11,'PCU Values'!$B$9:$C$16,2,FALSE)</f>
        <v>0</v>
      </c>
      <c r="L35" s="60">
        <f>$D$35*VLOOKUP($D$11,'PCU Values'!$B$9:$C$16,2,FALSE)</f>
        <v>0</v>
      </c>
      <c r="M35" s="60">
        <f>$E$35*VLOOKUP($E$11,'PCU Values'!$B$9:$C$16,2,FALSE)</f>
        <v>0</v>
      </c>
      <c r="N35" s="60">
        <f>$F$35*VLOOKUP($F$11,'PCU Values'!$B$9:$C$16,2,FALSE)</f>
        <v>0</v>
      </c>
      <c r="O35" s="60">
        <f>$G$35*VLOOKUP($G$11,'PCU Values'!$B$9:$C$16,2,FALSE)</f>
        <v>0</v>
      </c>
      <c r="P35" s="60">
        <f>$H$35*VLOOKUP($H$11,'PCU Values'!$B$9:$C$16,2,FALSE)</f>
        <v>0</v>
      </c>
      <c r="Q35" s="60">
        <f>$I$35*VLOOKUP($I$11,'PCU Values'!$B$9:$C$16,2,FALSE)</f>
        <v>0</v>
      </c>
      <c r="R35" s="68">
        <f>$J$35*VLOOKUP($J$11,'PCU Values'!$B$9:$C$16,2,FALSE)</f>
        <v>0</v>
      </c>
      <c r="S35" s="63">
        <f>SUM($K$35,$L$35,$M$35,$N$35,$O$35,$P$35,$Q$35,$R$35)</f>
        <v>0</v>
      </c>
      <c r="T35" s="52">
        <f>SUM($C$35,$D$35,$E$35,$F$35,$G$35,$H$35,$I$35,$J$35)</f>
        <v>0</v>
      </c>
      <c r="U35" s="73">
        <v>0</v>
      </c>
      <c r="V35" s="51">
        <v>0</v>
      </c>
      <c r="W35" s="51">
        <v>0</v>
      </c>
      <c r="X35" s="51">
        <v>0</v>
      </c>
      <c r="Y35" s="51">
        <v>0</v>
      </c>
      <c r="Z35" s="51">
        <v>0</v>
      </c>
      <c r="AA35" s="51">
        <v>0</v>
      </c>
      <c r="AB35" s="59">
        <v>0</v>
      </c>
      <c r="AC35" s="60">
        <f>$U$35*VLOOKUP($U$11,'PCU Values'!$B$9:$C$16,2,FALSE)</f>
        <v>0</v>
      </c>
      <c r="AD35" s="60">
        <f>$V$35*VLOOKUP($V$11,'PCU Values'!$B$9:$C$16,2,FALSE)</f>
        <v>0</v>
      </c>
      <c r="AE35" s="60">
        <f>$W$35*VLOOKUP($W$11,'PCU Values'!$B$9:$C$16,2,FALSE)</f>
        <v>0</v>
      </c>
      <c r="AF35" s="60">
        <f>$X$35*VLOOKUP($X$11,'PCU Values'!$B$9:$C$16,2,FALSE)</f>
        <v>0</v>
      </c>
      <c r="AG35" s="60">
        <f>$Y$35*VLOOKUP($Y$11,'PCU Values'!$B$9:$C$16,2,FALSE)</f>
        <v>0</v>
      </c>
      <c r="AH35" s="60">
        <f>$Z$35*VLOOKUP($Z$11,'PCU Values'!$B$9:$C$16,2,FALSE)</f>
        <v>0</v>
      </c>
      <c r="AI35" s="60">
        <f>$AA$35*VLOOKUP($AA$11,'PCU Values'!$B$9:$C$16,2,FALSE)</f>
        <v>0</v>
      </c>
      <c r="AJ35" s="68">
        <f>$AB$35*VLOOKUP($AB$11,'PCU Values'!$B$9:$C$16,2,FALSE)</f>
        <v>0</v>
      </c>
      <c r="AK35" s="63">
        <f>SUM($AC$35,$AD$35,$AE$35,$AF$35,$AG$35,$AH$35,$AI$35,$AJ$35)</f>
        <v>0</v>
      </c>
      <c r="AL35" s="52">
        <f>SUM($U$35,$V$35,$W$35,$X$35,$Y$35,$Z$35,$AA$35,$AB$35)</f>
        <v>0</v>
      </c>
      <c r="AM35" s="73">
        <v>0</v>
      </c>
      <c r="AN35" s="51">
        <v>0</v>
      </c>
      <c r="AO35" s="51">
        <v>0</v>
      </c>
      <c r="AP35" s="51">
        <v>0</v>
      </c>
      <c r="AQ35" s="51">
        <v>0</v>
      </c>
      <c r="AR35" s="51">
        <v>0</v>
      </c>
      <c r="AS35" s="51">
        <v>0</v>
      </c>
      <c r="AT35" s="59">
        <v>0</v>
      </c>
      <c r="AU35" s="60">
        <f>$AM$35*VLOOKUP($AM$11,'PCU Values'!$B$9:$C$16,2,FALSE)</f>
        <v>0</v>
      </c>
      <c r="AV35" s="60">
        <f>$AN$35*VLOOKUP($AN$11,'PCU Values'!$B$9:$C$16,2,FALSE)</f>
        <v>0</v>
      </c>
      <c r="AW35" s="60">
        <f>$AO$35*VLOOKUP($AO$11,'PCU Values'!$B$9:$C$16,2,FALSE)</f>
        <v>0</v>
      </c>
      <c r="AX35" s="60">
        <f>$AP$35*VLOOKUP($AP$11,'PCU Values'!$B$9:$C$16,2,FALSE)</f>
        <v>0</v>
      </c>
      <c r="AY35" s="60">
        <f>$AQ$35*VLOOKUP($AQ$11,'PCU Values'!$B$9:$C$16,2,FALSE)</f>
        <v>0</v>
      </c>
      <c r="AZ35" s="60">
        <f>$AR$35*VLOOKUP($AR$11,'PCU Values'!$B$9:$C$16,2,FALSE)</f>
        <v>0</v>
      </c>
      <c r="BA35" s="60">
        <f>$AS$35*VLOOKUP($AS$11,'PCU Values'!$B$9:$C$16,2,FALSE)</f>
        <v>0</v>
      </c>
      <c r="BB35" s="68">
        <f>$AT$35*VLOOKUP($AT$11,'PCU Values'!$B$9:$C$16,2,FALSE)</f>
        <v>0</v>
      </c>
      <c r="BC35" s="63">
        <f>SUM($AU$35,$AV$35,$AW$35,$AX$35,$AY$35,$AZ$35,$BA$35,$BB$35)</f>
        <v>0</v>
      </c>
      <c r="BD35" s="52">
        <f>SUM($AM$35,$AN$35,$AO$35,$AP$35,$AQ$35,$AR$35,$AS$35,$AT$35)</f>
        <v>0</v>
      </c>
      <c r="BE35" s="73">
        <v>0</v>
      </c>
      <c r="BF35" s="51">
        <v>0</v>
      </c>
      <c r="BG35" s="51">
        <v>0</v>
      </c>
      <c r="BH35" s="51">
        <v>0</v>
      </c>
      <c r="BI35" s="51">
        <v>0</v>
      </c>
      <c r="BJ35" s="51">
        <v>0</v>
      </c>
      <c r="BK35" s="51">
        <v>0</v>
      </c>
      <c r="BL35" s="59">
        <v>0</v>
      </c>
      <c r="BM35" s="79">
        <f>$BE$35*VLOOKUP($BE$11,'PCU Values'!$B$9:$C$16,2,FALSE)</f>
        <v>0</v>
      </c>
      <c r="BN35" s="79">
        <f>$BF$35*VLOOKUP($BF$11,'PCU Values'!$B$9:$C$16,2,FALSE)</f>
        <v>0</v>
      </c>
      <c r="BO35" s="79">
        <f>$BG$35*VLOOKUP($BG$11,'PCU Values'!$B$9:$C$16,2,FALSE)</f>
        <v>0</v>
      </c>
      <c r="BP35" s="79">
        <f>$BH$35*VLOOKUP($BH$11,'PCU Values'!$B$9:$C$16,2,FALSE)</f>
        <v>0</v>
      </c>
      <c r="BQ35" s="79">
        <f>$BI$35*VLOOKUP($BI$11,'PCU Values'!$B$9:$C$16,2,FALSE)</f>
        <v>0</v>
      </c>
      <c r="BR35" s="79">
        <f>$BJ$35*VLOOKUP($BJ$11,'PCU Values'!$B$9:$C$16,2,FALSE)</f>
        <v>0</v>
      </c>
      <c r="BS35" s="79">
        <f>$BK$35*VLOOKUP($BK$11,'PCU Values'!$B$9:$C$16,2,FALSE)</f>
        <v>0</v>
      </c>
      <c r="BT35" s="80">
        <f>$BL$35*VLOOKUP($BL$11,'PCU Values'!$B$9:$C$16,2,FALSE)</f>
        <v>0</v>
      </c>
      <c r="BU35" s="63">
        <f>SUM($BM$35,$BN$35,$BO$35,$BP$35,$BQ$35,$BR$35,$BS$35,$BT$35)</f>
        <v>0</v>
      </c>
      <c r="BV35" s="52">
        <f>SUM($BE$35,$BF$35,$BG$35,$BH$35,$BI$35,$BJ$35,$BK$35,$BL$35)</f>
        <v>0</v>
      </c>
      <c r="BX35" s="50" t="s">
        <v>50</v>
      </c>
      <c r="BY35" s="84">
        <f>SUM($C$35,$U$35,$AM$35,$BE$35)</f>
        <v>0</v>
      </c>
      <c r="BZ35" s="84">
        <f>SUM($D$35,$V$35,$AN$35,$BF$35)</f>
        <v>0</v>
      </c>
      <c r="CA35" s="84">
        <f>SUM($E$35,$W$35,$AO$35,$BG$35)</f>
        <v>0</v>
      </c>
      <c r="CB35" s="84">
        <f>SUM($F$35,$X$35,$AP$35,$BH$35)</f>
        <v>0</v>
      </c>
      <c r="CC35" s="84">
        <f>SUM($G$35,$Y$35,$AQ$35,$BI$35)</f>
        <v>0</v>
      </c>
      <c r="CD35" s="84">
        <f>SUM($H$35,$Z$35,$AR$35,$BJ$35)</f>
        <v>0</v>
      </c>
      <c r="CE35" s="84">
        <f>SUM($I$35,$AA$35,$AS$35,$BK$35)</f>
        <v>0</v>
      </c>
      <c r="CF35" s="87">
        <f>SUM($J$35,$AB$35,$AT$35,$BL$35)</f>
        <v>0</v>
      </c>
      <c r="CG35" s="79">
        <f>$BY$35*VLOOKUP($BY$11,'PCU Values'!$B$9:$C$16,2,FALSE)</f>
        <v>0</v>
      </c>
      <c r="CH35" s="79">
        <f>$BZ$35*VLOOKUP($BZ$11,'PCU Values'!$B$9:$C$16,2,FALSE)</f>
        <v>0</v>
      </c>
      <c r="CI35" s="79">
        <f>$CA$35*VLOOKUP($CA$11,'PCU Values'!$B$9:$C$16,2,FALSE)</f>
        <v>0</v>
      </c>
      <c r="CJ35" s="79">
        <f>$CB$35*VLOOKUP($CB$11,'PCU Values'!$B$9:$C$16,2,FALSE)</f>
        <v>0</v>
      </c>
      <c r="CK35" s="79">
        <f>$CC$35*VLOOKUP($CC$11,'PCU Values'!$B$9:$C$16,2,FALSE)</f>
        <v>0</v>
      </c>
      <c r="CL35" s="79">
        <f>$CD$35*VLOOKUP($CD$11,'PCU Values'!$B$9:$C$16,2,FALSE)</f>
        <v>0</v>
      </c>
      <c r="CM35" s="79">
        <f>$CE$35*VLOOKUP($CE$11,'PCU Values'!$B$9:$C$16,2,FALSE)</f>
        <v>0</v>
      </c>
      <c r="CN35" s="80">
        <f>$CF$35*VLOOKUP($CF$11,'PCU Values'!$B$9:$C$16,2,FALSE)</f>
        <v>0</v>
      </c>
      <c r="CO35" s="63">
        <f>SUM($CG$35,$CH$35,$CI$35,$CJ$35,$CK$35,$CL$35,$CM$35,$CN$35)</f>
        <v>0</v>
      </c>
      <c r="CP35" s="52">
        <f>SUM($BY$35,$BZ$35,$CA$35,$CB$35,$CC$35,$CD$35,$CE$35,$CF$35)</f>
        <v>0</v>
      </c>
      <c r="CQ35" s="90">
        <f>SUM('J1 A - (North) Bishopthorpe Roa'!$AM$35,'J1 B - Butcher Terrace'!$U$35,'J1 C - (South) Bishopthorpe Roa'!$C$35,'J1 D - South Bank Avenue'!$BE$35)</f>
        <v>0</v>
      </c>
      <c r="CR35" s="84">
        <f>SUM('J1 A - (North) Bishopthorpe Roa'!$AN$35,'J1 B - Butcher Terrace'!$V$35,'J1 C - (South) Bishopthorpe Roa'!$D$35,'J1 D - South Bank Avenue'!$BF$35)</f>
        <v>0</v>
      </c>
      <c r="CS35" s="84">
        <f>SUM('J1 A - (North) Bishopthorpe Roa'!$AO$35,'J1 B - Butcher Terrace'!$W$35,'J1 C - (South) Bishopthorpe Roa'!$E$35,'J1 D - South Bank Avenue'!$BG$35)</f>
        <v>0</v>
      </c>
      <c r="CT35" s="84">
        <f>SUM('J1 A - (North) Bishopthorpe Roa'!$AP$35,'J1 B - Butcher Terrace'!$X$35,'J1 C - (South) Bishopthorpe Roa'!$F$35,'J1 D - South Bank Avenue'!$BH$35)</f>
        <v>0</v>
      </c>
      <c r="CU35" s="84">
        <f>SUM('J1 A - (North) Bishopthorpe Roa'!$AQ$35,'J1 B - Butcher Terrace'!$Y$35,'J1 C - (South) Bishopthorpe Roa'!$G$35,'J1 D - South Bank Avenue'!$BI$35)</f>
        <v>0</v>
      </c>
      <c r="CV35" s="84">
        <f>SUM('J1 A - (North) Bishopthorpe Roa'!$AR$35,'J1 B - Butcher Terrace'!$Z$35,'J1 C - (South) Bishopthorpe Roa'!$H$35,'J1 D - South Bank Avenue'!$BJ$35)</f>
        <v>0</v>
      </c>
      <c r="CW35" s="84">
        <f>SUM('J1 A - (North) Bishopthorpe Roa'!$AS$35,'J1 B - Butcher Terrace'!$AA$35,'J1 C - (South) Bishopthorpe Roa'!$I$35,'J1 D - South Bank Avenue'!$BK$35)</f>
        <v>0</v>
      </c>
      <c r="CX35" s="87">
        <f>SUM('J1 A - (North) Bishopthorpe Roa'!$AT$35,'J1 B - Butcher Terrace'!$AB$35,'J1 C - (South) Bishopthorpe Roa'!$J$35,'J1 D - South Bank Avenue'!$BL$35)</f>
        <v>0</v>
      </c>
      <c r="CY35" s="79">
        <f>$CQ$35*VLOOKUP($CQ$11,'PCU Values'!$B$9:$C$16,2,FALSE)</f>
        <v>0</v>
      </c>
      <c r="CZ35" s="79">
        <f>$CR$35*VLOOKUP($CR$11,'PCU Values'!$B$9:$C$16,2,FALSE)</f>
        <v>0</v>
      </c>
      <c r="DA35" s="79">
        <f>$CS$35*VLOOKUP($CS$11,'PCU Values'!$B$9:$C$16,2,FALSE)</f>
        <v>0</v>
      </c>
      <c r="DB35" s="79">
        <f>$CT$35*VLOOKUP($CT$11,'PCU Values'!$B$9:$C$16,2,FALSE)</f>
        <v>0</v>
      </c>
      <c r="DC35" s="79">
        <f>$CU$35*VLOOKUP($CU$11,'PCU Values'!$B$9:$C$16,2,FALSE)</f>
        <v>0</v>
      </c>
      <c r="DD35" s="79">
        <f>$CV$35*VLOOKUP($CV$11,'PCU Values'!$B$9:$C$16,2,FALSE)</f>
        <v>0</v>
      </c>
      <c r="DE35" s="79">
        <f>$CW$35*VLOOKUP($CW$11,'PCU Values'!$B$9:$C$16,2,FALSE)</f>
        <v>0</v>
      </c>
      <c r="DF35" s="80">
        <f>$CX$35*VLOOKUP($CX$11,'PCU Values'!$B$9:$C$16,2,FALSE)</f>
        <v>0</v>
      </c>
      <c r="DG35" s="63">
        <f>SUM($CY$35,$CZ$35,$DA$35,$DB$35,$DC$35,$DD$35,$DE$35,$DF$35)</f>
        <v>0</v>
      </c>
      <c r="DH35" s="52">
        <f>SUM($CQ$35,$CR$35,$CS$35,$CT$35,$CU$35,$CV$35,$CW$35,$CX$35)</f>
        <v>0</v>
      </c>
    </row>
    <row r="36" spans="1:112">
      <c r="B36" s="52" t="s">
        <v>34</v>
      </c>
      <c r="C36" s="52">
        <f>SUM($C$32:$C$35)</f>
        <v>0</v>
      </c>
      <c r="D36" s="52">
        <f>SUM($D$32:$D$35)</f>
        <v>0</v>
      </c>
      <c r="E36" s="52">
        <f>SUM($E$32:$E$35)</f>
        <v>0</v>
      </c>
      <c r="F36" s="52">
        <f>SUM($F$32:$F$35)</f>
        <v>0</v>
      </c>
      <c r="G36" s="52">
        <f>SUM($G$32:$G$35)</f>
        <v>0</v>
      </c>
      <c r="H36" s="52">
        <f>SUM($H$32:$H$35)</f>
        <v>1</v>
      </c>
      <c r="I36" s="52">
        <f>SUM($I$32:$I$35)</f>
        <v>0</v>
      </c>
      <c r="J36" s="52">
        <f>SUM($J$32:$J$35)</f>
        <v>0</v>
      </c>
      <c r="K36" s="52">
        <f>SUM($K$32:$K$35)</f>
        <v>0</v>
      </c>
      <c r="L36" s="52">
        <f>SUM($L$32:$L$35)</f>
        <v>0</v>
      </c>
      <c r="M36" s="52">
        <f>SUM($M$32:$M$35)</f>
        <v>0</v>
      </c>
      <c r="N36" s="52">
        <f>SUM($N$32:$N$35)</f>
        <v>0</v>
      </c>
      <c r="O36" s="52">
        <f>SUM($O$32:$O$35)</f>
        <v>0</v>
      </c>
      <c r="P36" s="52">
        <f>SUM($P$32:$P$35)</f>
        <v>0</v>
      </c>
      <c r="Q36" s="52">
        <f>SUM($Q$32:$Q$35)</f>
        <v>0</v>
      </c>
      <c r="R36" s="52">
        <f>SUM($R$32:$R$35)</f>
        <v>0</v>
      </c>
      <c r="S36" s="52">
        <f>SUM($K$36,$L$36,$M$36,$N$36,$O$36,$P$36,$Q$36,$R$36)</f>
        <v>0</v>
      </c>
      <c r="T36" s="52">
        <f>SUM($C$36,$D$36,$E$36,$F$36,$G$36,$H$36,$I$36,$J$36)</f>
        <v>1</v>
      </c>
      <c r="U36" s="52">
        <f>SUM($U$32:$U$35)</f>
        <v>0</v>
      </c>
      <c r="V36" s="52">
        <f>SUM($V$32:$V$35)</f>
        <v>0</v>
      </c>
      <c r="W36" s="52">
        <f>SUM($W$32:$W$35)</f>
        <v>0</v>
      </c>
      <c r="X36" s="52">
        <f>SUM($X$32:$X$35)</f>
        <v>0</v>
      </c>
      <c r="Y36" s="52">
        <f>SUM($Y$32:$Y$35)</f>
        <v>0</v>
      </c>
      <c r="Z36" s="52">
        <f>SUM($Z$32:$Z$35)</f>
        <v>0</v>
      </c>
      <c r="AA36" s="52">
        <f>SUM($AA$32:$AA$35)</f>
        <v>0</v>
      </c>
      <c r="AB36" s="52">
        <f>SUM($AB$32:$AB$35)</f>
        <v>0</v>
      </c>
      <c r="AC36" s="52">
        <f>SUM($AC$32:$AC$35)</f>
        <v>0</v>
      </c>
      <c r="AD36" s="52">
        <f>SUM($AD$32:$AD$35)</f>
        <v>0</v>
      </c>
      <c r="AE36" s="52">
        <f>SUM($AE$32:$AE$35)</f>
        <v>0</v>
      </c>
      <c r="AF36" s="52">
        <f>SUM($AF$32:$AF$35)</f>
        <v>0</v>
      </c>
      <c r="AG36" s="52">
        <f>SUM($AG$32:$AG$35)</f>
        <v>0</v>
      </c>
      <c r="AH36" s="52">
        <f>SUM($AH$32:$AH$35)</f>
        <v>0</v>
      </c>
      <c r="AI36" s="52">
        <f>SUM($AI$32:$AI$35)</f>
        <v>0</v>
      </c>
      <c r="AJ36" s="52">
        <f>SUM($AJ$32:$AJ$35)</f>
        <v>0</v>
      </c>
      <c r="AK36" s="52">
        <f>SUM($AC$36,$AD$36,$AE$36,$AF$36,$AG$36,$AH$36,$AI$36,$AJ$36)</f>
        <v>0</v>
      </c>
      <c r="AL36" s="52">
        <f>SUM($U$36,$V$36,$W$36,$X$36,$Y$36,$Z$36,$AA$36,$AB$36)</f>
        <v>0</v>
      </c>
      <c r="AM36" s="52">
        <f>SUM($AM$32:$AM$35)</f>
        <v>0</v>
      </c>
      <c r="AN36" s="52">
        <f>SUM($AN$32:$AN$35)</f>
        <v>1</v>
      </c>
      <c r="AO36" s="52">
        <f>SUM($AO$32:$AO$35)</f>
        <v>0</v>
      </c>
      <c r="AP36" s="52">
        <f>SUM($AP$32:$AP$35)</f>
        <v>0</v>
      </c>
      <c r="AQ36" s="52">
        <f>SUM($AQ$32:$AQ$35)</f>
        <v>0</v>
      </c>
      <c r="AR36" s="52">
        <f>SUM($AR$32:$AR$35)</f>
        <v>0</v>
      </c>
      <c r="AS36" s="52">
        <f>SUM($AS$32:$AS$35)</f>
        <v>0</v>
      </c>
      <c r="AT36" s="52">
        <f>SUM($AT$32:$AT$35)</f>
        <v>0</v>
      </c>
      <c r="AU36" s="52">
        <f>SUM($AU$32:$AU$35)</f>
        <v>0</v>
      </c>
      <c r="AV36" s="52">
        <f>SUM($AV$32:$AV$35)</f>
        <v>1</v>
      </c>
      <c r="AW36" s="52">
        <f>SUM($AW$32:$AW$35)</f>
        <v>0</v>
      </c>
      <c r="AX36" s="52">
        <f>SUM($AX$32:$AX$35)</f>
        <v>0</v>
      </c>
      <c r="AY36" s="52">
        <f>SUM($AY$32:$AY$35)</f>
        <v>0</v>
      </c>
      <c r="AZ36" s="52">
        <f>SUM($AZ$32:$AZ$35)</f>
        <v>0</v>
      </c>
      <c r="BA36" s="52">
        <f>SUM($BA$32:$BA$35)</f>
        <v>0</v>
      </c>
      <c r="BB36" s="52">
        <f>SUM($BB$32:$BB$35)</f>
        <v>0</v>
      </c>
      <c r="BC36" s="52">
        <f>SUM($AU$36,$AV$36,$AW$36,$AX$36,$AY$36,$AZ$36,$BA$36,$BB$36)</f>
        <v>1</v>
      </c>
      <c r="BD36" s="52">
        <f>SUM($AM$36,$AN$36,$AO$36,$AP$36,$AQ$36,$AR$36,$AS$36,$AT$36)</f>
        <v>1</v>
      </c>
      <c r="BE36" s="52">
        <f>SUM($BE$32:$BE$35)</f>
        <v>0</v>
      </c>
      <c r="BF36" s="52">
        <f>SUM($BF$32:$BF$35)</f>
        <v>0</v>
      </c>
      <c r="BG36" s="52">
        <f>SUM($BG$32:$BG$35)</f>
        <v>0</v>
      </c>
      <c r="BH36" s="52">
        <f>SUM($BH$32:$BH$35)</f>
        <v>0</v>
      </c>
      <c r="BI36" s="52">
        <f>SUM($BI$32:$BI$35)</f>
        <v>0</v>
      </c>
      <c r="BJ36" s="52">
        <f>SUM($BJ$32:$BJ$35)</f>
        <v>0</v>
      </c>
      <c r="BK36" s="52">
        <f>SUM($BK$32:$BK$35)</f>
        <v>0</v>
      </c>
      <c r="BL36" s="52">
        <f>SUM($BL$32:$BL$35)</f>
        <v>0</v>
      </c>
      <c r="BM36" s="52">
        <f>SUM($BM$32:$BM$35)</f>
        <v>0</v>
      </c>
      <c r="BN36" s="52">
        <f>SUM($BN$32:$BN$35)</f>
        <v>0</v>
      </c>
      <c r="BO36" s="52">
        <f>SUM($BO$32:$BO$35)</f>
        <v>0</v>
      </c>
      <c r="BP36" s="52">
        <f>SUM($BP$32:$BP$35)</f>
        <v>0</v>
      </c>
      <c r="BQ36" s="52">
        <f>SUM($BQ$32:$BQ$35)</f>
        <v>0</v>
      </c>
      <c r="BR36" s="52">
        <f>SUM($BR$32:$BR$35)</f>
        <v>0</v>
      </c>
      <c r="BS36" s="52">
        <f>SUM($BS$32:$BS$35)</f>
        <v>0</v>
      </c>
      <c r="BT36" s="52">
        <f>SUM($BT$32:$BT$35)</f>
        <v>0</v>
      </c>
      <c r="BU36" s="52">
        <f>SUM($BM$36,$BN$36,$BO$36,$BP$36,$BQ$36,$BR$36,$BS$36,$BT$36)</f>
        <v>0</v>
      </c>
      <c r="BV36" s="52">
        <f>SUM($BE$36,$BF$36,$BG$36,$BH$36,$BI$36,$BJ$36,$BK$36,$BL$36)</f>
        <v>0</v>
      </c>
      <c r="BX36" s="52" t="s">
        <v>34</v>
      </c>
      <c r="BY36" s="52">
        <f>SUM($BY$32:$BY$35)</f>
        <v>0</v>
      </c>
      <c r="BZ36" s="52">
        <f>SUM($BZ$32:$BZ$35)</f>
        <v>1</v>
      </c>
      <c r="CA36" s="52">
        <f>SUM($CA$32:$CA$35)</f>
        <v>0</v>
      </c>
      <c r="CB36" s="52">
        <f>SUM($CB$32:$CB$35)</f>
        <v>0</v>
      </c>
      <c r="CC36" s="52">
        <f>SUM($CC$32:$CC$35)</f>
        <v>0</v>
      </c>
      <c r="CD36" s="52">
        <f>SUM($CD$32:$CD$35)</f>
        <v>1</v>
      </c>
      <c r="CE36" s="52">
        <f>SUM($CE$32:$CE$35)</f>
        <v>0</v>
      </c>
      <c r="CF36" s="52">
        <f>SUM($CF$32:$CF$35)</f>
        <v>0</v>
      </c>
      <c r="CG36" s="52">
        <f>SUM($CG$32:$CG$35)</f>
        <v>0</v>
      </c>
      <c r="CH36" s="52">
        <f>SUM($CH$32:$CH$35)</f>
        <v>1</v>
      </c>
      <c r="CI36" s="52">
        <f>SUM($CI$32:$CI$35)</f>
        <v>0</v>
      </c>
      <c r="CJ36" s="52">
        <f>SUM($CJ$32:$CJ$35)</f>
        <v>0</v>
      </c>
      <c r="CK36" s="52">
        <f>SUM($CK$32:$CK$35)</f>
        <v>0</v>
      </c>
      <c r="CL36" s="52">
        <f>SUM($CL$32:$CL$35)</f>
        <v>0</v>
      </c>
      <c r="CM36" s="52">
        <f>SUM($CM$32:$CM$35)</f>
        <v>0</v>
      </c>
      <c r="CN36" s="52">
        <f>SUM($CN$32:$CN$35)</f>
        <v>0</v>
      </c>
      <c r="CO36" s="52">
        <f>SUM($CG$36,$CH$36,$CI$36,$CJ$36,$CK$36,$CL$36,$CM$36,$CN$36)</f>
        <v>1</v>
      </c>
      <c r="CP36" s="52">
        <f>SUM($BY$36,$BZ$36,$CA$36,$CB$36,$CC$36,$CD$36,$CE$36,$CF$36)</f>
        <v>2</v>
      </c>
      <c r="CQ36" s="52">
        <f>SUM($CQ$32:$CQ$35)</f>
        <v>0</v>
      </c>
      <c r="CR36" s="52">
        <f>SUM($CR$32:$CR$35)</f>
        <v>0</v>
      </c>
      <c r="CS36" s="52">
        <f>SUM($CS$32:$CS$35)</f>
        <v>0</v>
      </c>
      <c r="CT36" s="52">
        <f>SUM($CT$32:$CT$35)</f>
        <v>0</v>
      </c>
      <c r="CU36" s="52">
        <f>SUM($CU$32:$CU$35)</f>
        <v>0</v>
      </c>
      <c r="CV36" s="52">
        <f>SUM($CV$32:$CV$35)</f>
        <v>0</v>
      </c>
      <c r="CW36" s="52">
        <f>SUM($CW$32:$CW$35)</f>
        <v>0</v>
      </c>
      <c r="CX36" s="52">
        <f>SUM($CX$32:$CX$35)</f>
        <v>0</v>
      </c>
      <c r="CY36" s="52">
        <f>SUM($CY$32:$CY$35)</f>
        <v>0</v>
      </c>
      <c r="CZ36" s="52">
        <f>SUM($CZ$32:$CZ$35)</f>
        <v>0</v>
      </c>
      <c r="DA36" s="52">
        <f>SUM($DA$32:$DA$35)</f>
        <v>0</v>
      </c>
      <c r="DB36" s="52">
        <f>SUM($DB$32:$DB$35)</f>
        <v>0</v>
      </c>
      <c r="DC36" s="52">
        <f>SUM($DC$32:$DC$35)</f>
        <v>0</v>
      </c>
      <c r="DD36" s="52">
        <f>SUM($DD$32:$DD$35)</f>
        <v>0</v>
      </c>
      <c r="DE36" s="52">
        <f>SUM($DE$32:$DE$35)</f>
        <v>0</v>
      </c>
      <c r="DF36" s="52">
        <f>SUM($DF$32:$DF$35)</f>
        <v>0</v>
      </c>
      <c r="DG36" s="52">
        <f>SUM($CY$36,$CZ$36,$DA$36,$DB$36,$DC$36,$DD$36,$DE$36,$DF$36)</f>
        <v>0</v>
      </c>
      <c r="DH36" s="52">
        <f>SUM($CQ$36,$CR$36,$CS$36,$CT$36,$CU$36,$CV$36,$CW$36,$CX$36)</f>
        <v>0</v>
      </c>
    </row>
    <row r="37" spans="1:112" ht="21" customHeight="1">
      <c r="A37" s="46">
        <v>44395.208333333299</v>
      </c>
      <c r="B37" s="53" t="s">
        <v>51</v>
      </c>
      <c r="C37" s="54">
        <v>0</v>
      </c>
      <c r="D37" s="54">
        <v>0</v>
      </c>
      <c r="E37" s="54">
        <v>0</v>
      </c>
      <c r="F37" s="54">
        <v>0</v>
      </c>
      <c r="G37" s="54">
        <v>0</v>
      </c>
      <c r="H37" s="54">
        <v>0</v>
      </c>
      <c r="I37" s="54">
        <v>0</v>
      </c>
      <c r="J37" s="61">
        <v>0</v>
      </c>
      <c r="K37" s="62">
        <f>$C$37*VLOOKUP($C$11,'PCU Values'!$B$9:$C$16,2,FALSE)</f>
        <v>0</v>
      </c>
      <c r="L37" s="62">
        <f>$D$37*VLOOKUP($D$11,'PCU Values'!$B$9:$C$16,2,FALSE)</f>
        <v>0</v>
      </c>
      <c r="M37" s="62">
        <f>$E$37*VLOOKUP($E$11,'PCU Values'!$B$9:$C$16,2,FALSE)</f>
        <v>0</v>
      </c>
      <c r="N37" s="62">
        <f>$F$37*VLOOKUP($F$11,'PCU Values'!$B$9:$C$16,2,FALSE)</f>
        <v>0</v>
      </c>
      <c r="O37" s="62">
        <f>$G$37*VLOOKUP($G$11,'PCU Values'!$B$9:$C$16,2,FALSE)</f>
        <v>0</v>
      </c>
      <c r="P37" s="62">
        <f>$H$37*VLOOKUP($H$11,'PCU Values'!$B$9:$C$16,2,FALSE)</f>
        <v>0</v>
      </c>
      <c r="Q37" s="62">
        <f>$I$37*VLOOKUP($I$11,'PCU Values'!$B$9:$C$16,2,FALSE)</f>
        <v>0</v>
      </c>
      <c r="R37" s="70">
        <f>$J$37*VLOOKUP($J$11,'PCU Values'!$B$9:$C$16,2,FALSE)</f>
        <v>0</v>
      </c>
      <c r="S37" s="71">
        <f>SUM($K$37,$L$37,$M$37,$N$37,$O$37,$P$37,$Q$37,$R$37)</f>
        <v>0</v>
      </c>
      <c r="T37" s="52">
        <f>SUM($C$37,$D$37,$E$37,$F$37,$G$37,$H$37,$I$37,$J$37)</f>
        <v>0</v>
      </c>
      <c r="U37" s="72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61">
        <v>0</v>
      </c>
      <c r="AC37" s="62">
        <f>$U$37*VLOOKUP($U$11,'PCU Values'!$B$9:$C$16,2,FALSE)</f>
        <v>0</v>
      </c>
      <c r="AD37" s="62">
        <f>$V$37*VLOOKUP($V$11,'PCU Values'!$B$9:$C$16,2,FALSE)</f>
        <v>0</v>
      </c>
      <c r="AE37" s="62">
        <f>$W$37*VLOOKUP($W$11,'PCU Values'!$B$9:$C$16,2,FALSE)</f>
        <v>0</v>
      </c>
      <c r="AF37" s="62">
        <f>$X$37*VLOOKUP($X$11,'PCU Values'!$B$9:$C$16,2,FALSE)</f>
        <v>0</v>
      </c>
      <c r="AG37" s="62">
        <f>$Y$37*VLOOKUP($Y$11,'PCU Values'!$B$9:$C$16,2,FALSE)</f>
        <v>0</v>
      </c>
      <c r="AH37" s="62">
        <f>$Z$37*VLOOKUP($Z$11,'PCU Values'!$B$9:$C$16,2,FALSE)</f>
        <v>0</v>
      </c>
      <c r="AI37" s="62">
        <f>$AA$37*VLOOKUP($AA$11,'PCU Values'!$B$9:$C$16,2,FALSE)</f>
        <v>0</v>
      </c>
      <c r="AJ37" s="70">
        <f>$AB$37*VLOOKUP($AB$11,'PCU Values'!$B$9:$C$16,2,FALSE)</f>
        <v>0</v>
      </c>
      <c r="AK37" s="71">
        <f>SUM($AC$37,$AD$37,$AE$37,$AF$37,$AG$37,$AH$37,$AI$37,$AJ$37)</f>
        <v>0</v>
      </c>
      <c r="AL37" s="52">
        <f>SUM($U$37,$V$37,$W$37,$X$37,$Y$37,$Z$37,$AA$37,$AB$37)</f>
        <v>0</v>
      </c>
      <c r="AM37" s="72">
        <v>0</v>
      </c>
      <c r="AN37" s="54">
        <v>0</v>
      </c>
      <c r="AO37" s="54">
        <v>0</v>
      </c>
      <c r="AP37" s="54">
        <v>0</v>
      </c>
      <c r="AQ37" s="54">
        <v>0</v>
      </c>
      <c r="AR37" s="54">
        <v>0</v>
      </c>
      <c r="AS37" s="54">
        <v>0</v>
      </c>
      <c r="AT37" s="61">
        <v>0</v>
      </c>
      <c r="AU37" s="62">
        <f>$AM$37*VLOOKUP($AM$11,'PCU Values'!$B$9:$C$16,2,FALSE)</f>
        <v>0</v>
      </c>
      <c r="AV37" s="62">
        <f>$AN$37*VLOOKUP($AN$11,'PCU Values'!$B$9:$C$16,2,FALSE)</f>
        <v>0</v>
      </c>
      <c r="AW37" s="62">
        <f>$AO$37*VLOOKUP($AO$11,'PCU Values'!$B$9:$C$16,2,FALSE)</f>
        <v>0</v>
      </c>
      <c r="AX37" s="62">
        <f>$AP$37*VLOOKUP($AP$11,'PCU Values'!$B$9:$C$16,2,FALSE)</f>
        <v>0</v>
      </c>
      <c r="AY37" s="62">
        <f>$AQ$37*VLOOKUP($AQ$11,'PCU Values'!$B$9:$C$16,2,FALSE)</f>
        <v>0</v>
      </c>
      <c r="AZ37" s="62">
        <f>$AR$37*VLOOKUP($AR$11,'PCU Values'!$B$9:$C$16,2,FALSE)</f>
        <v>0</v>
      </c>
      <c r="BA37" s="62">
        <f>$AS$37*VLOOKUP($AS$11,'PCU Values'!$B$9:$C$16,2,FALSE)</f>
        <v>0</v>
      </c>
      <c r="BB37" s="70">
        <f>$AT$37*VLOOKUP($AT$11,'PCU Values'!$B$9:$C$16,2,FALSE)</f>
        <v>0</v>
      </c>
      <c r="BC37" s="71">
        <f>SUM($AU$37,$AV$37,$AW$37,$AX$37,$AY$37,$AZ$37,$BA$37,$BB$37)</f>
        <v>0</v>
      </c>
      <c r="BD37" s="52">
        <f>SUM($AM$37,$AN$37,$AO$37,$AP$37,$AQ$37,$AR$37,$AS$37,$AT$37)</f>
        <v>0</v>
      </c>
      <c r="BE37" s="72">
        <v>0</v>
      </c>
      <c r="BF37" s="54">
        <v>0</v>
      </c>
      <c r="BG37" s="54">
        <v>0</v>
      </c>
      <c r="BH37" s="54">
        <v>0</v>
      </c>
      <c r="BI37" s="54">
        <v>0</v>
      </c>
      <c r="BJ37" s="54">
        <v>0</v>
      </c>
      <c r="BK37" s="54">
        <v>0</v>
      </c>
      <c r="BL37" s="61">
        <v>0</v>
      </c>
      <c r="BM37" s="81">
        <f>$BE$37*VLOOKUP($BE$11,'PCU Values'!$B$9:$C$16,2,FALSE)</f>
        <v>0</v>
      </c>
      <c r="BN37" s="81">
        <f>$BF$37*VLOOKUP($BF$11,'PCU Values'!$B$9:$C$16,2,FALSE)</f>
        <v>0</v>
      </c>
      <c r="BO37" s="81">
        <f>$BG$37*VLOOKUP($BG$11,'PCU Values'!$B$9:$C$16,2,FALSE)</f>
        <v>0</v>
      </c>
      <c r="BP37" s="81">
        <f>$BH$37*VLOOKUP($BH$11,'PCU Values'!$B$9:$C$16,2,FALSE)</f>
        <v>0</v>
      </c>
      <c r="BQ37" s="81">
        <f>$BI$37*VLOOKUP($BI$11,'PCU Values'!$B$9:$C$16,2,FALSE)</f>
        <v>0</v>
      </c>
      <c r="BR37" s="81">
        <f>$BJ$37*VLOOKUP($BJ$11,'PCU Values'!$B$9:$C$16,2,FALSE)</f>
        <v>0</v>
      </c>
      <c r="BS37" s="81">
        <f>$BK$37*VLOOKUP($BK$11,'PCU Values'!$B$9:$C$16,2,FALSE)</f>
        <v>0</v>
      </c>
      <c r="BT37" s="82">
        <f>$BL$37*VLOOKUP($BL$11,'PCU Values'!$B$9:$C$16,2,FALSE)</f>
        <v>0</v>
      </c>
      <c r="BU37" s="71">
        <f>SUM($BM$37,$BN$37,$BO$37,$BP$37,$BQ$37,$BR$37,$BS$37,$BT$37)</f>
        <v>0</v>
      </c>
      <c r="BV37" s="52">
        <f>SUM($BE$37,$BF$37,$BG$37,$BH$37,$BI$37,$BJ$37,$BK$37,$BL$37)</f>
        <v>0</v>
      </c>
      <c r="BX37" s="53" t="s">
        <v>51</v>
      </c>
      <c r="BY37" s="85">
        <f>SUM($C$37,$U$37,$AM$37,$BE$37)</f>
        <v>0</v>
      </c>
      <c r="BZ37" s="85">
        <f>SUM($D$37,$V$37,$AN$37,$BF$37)</f>
        <v>0</v>
      </c>
      <c r="CA37" s="85">
        <f>SUM($E$37,$W$37,$AO$37,$BG$37)</f>
        <v>0</v>
      </c>
      <c r="CB37" s="85">
        <f>SUM($F$37,$X$37,$AP$37,$BH$37)</f>
        <v>0</v>
      </c>
      <c r="CC37" s="85">
        <f>SUM($G$37,$Y$37,$AQ$37,$BI$37)</f>
        <v>0</v>
      </c>
      <c r="CD37" s="85">
        <f>SUM($H$37,$Z$37,$AR$37,$BJ$37)</f>
        <v>0</v>
      </c>
      <c r="CE37" s="85">
        <f>SUM($I$37,$AA$37,$AS$37,$BK$37)</f>
        <v>0</v>
      </c>
      <c r="CF37" s="88">
        <f>SUM($J$37,$AB$37,$AT$37,$BL$37)</f>
        <v>0</v>
      </c>
      <c r="CG37" s="81">
        <f>$BY$37*VLOOKUP($BY$11,'PCU Values'!$B$9:$C$16,2,FALSE)</f>
        <v>0</v>
      </c>
      <c r="CH37" s="81">
        <f>$BZ$37*VLOOKUP($BZ$11,'PCU Values'!$B$9:$C$16,2,FALSE)</f>
        <v>0</v>
      </c>
      <c r="CI37" s="81">
        <f>$CA$37*VLOOKUP($CA$11,'PCU Values'!$B$9:$C$16,2,FALSE)</f>
        <v>0</v>
      </c>
      <c r="CJ37" s="81">
        <f>$CB$37*VLOOKUP($CB$11,'PCU Values'!$B$9:$C$16,2,FALSE)</f>
        <v>0</v>
      </c>
      <c r="CK37" s="81">
        <f>$CC$37*VLOOKUP($CC$11,'PCU Values'!$B$9:$C$16,2,FALSE)</f>
        <v>0</v>
      </c>
      <c r="CL37" s="81">
        <f>$CD$37*VLOOKUP($CD$11,'PCU Values'!$B$9:$C$16,2,FALSE)</f>
        <v>0</v>
      </c>
      <c r="CM37" s="81">
        <f>$CE$37*VLOOKUP($CE$11,'PCU Values'!$B$9:$C$16,2,FALSE)</f>
        <v>0</v>
      </c>
      <c r="CN37" s="82">
        <f>$CF$37*VLOOKUP($CF$11,'PCU Values'!$B$9:$C$16,2,FALSE)</f>
        <v>0</v>
      </c>
      <c r="CO37" s="71">
        <f>SUM($CG$37,$CH$37,$CI$37,$CJ$37,$CK$37,$CL$37,$CM$37,$CN$37)</f>
        <v>0</v>
      </c>
      <c r="CP37" s="52">
        <f>SUM($BY$37,$BZ$37,$CA$37,$CB$37,$CC$37,$CD$37,$CE$37,$CF$37)</f>
        <v>0</v>
      </c>
      <c r="CQ37" s="91">
        <f>SUM('J1 A - (North) Bishopthorpe Roa'!$AM$37,'J1 B - Butcher Terrace'!$U$37,'J1 C - (South) Bishopthorpe Roa'!$C$37,'J1 D - South Bank Avenue'!$BE$37)</f>
        <v>0</v>
      </c>
      <c r="CR37" s="85">
        <f>SUM('J1 A - (North) Bishopthorpe Roa'!$AN$37,'J1 B - Butcher Terrace'!$V$37,'J1 C - (South) Bishopthorpe Roa'!$D$37,'J1 D - South Bank Avenue'!$BF$37)</f>
        <v>0</v>
      </c>
      <c r="CS37" s="85">
        <f>SUM('J1 A - (North) Bishopthorpe Roa'!$AO$37,'J1 B - Butcher Terrace'!$W$37,'J1 C - (South) Bishopthorpe Roa'!$E$37,'J1 D - South Bank Avenue'!$BG$37)</f>
        <v>0</v>
      </c>
      <c r="CT37" s="85">
        <f>SUM('J1 A - (North) Bishopthorpe Roa'!$AP$37,'J1 B - Butcher Terrace'!$X$37,'J1 C - (South) Bishopthorpe Roa'!$F$37,'J1 D - South Bank Avenue'!$BH$37)</f>
        <v>0</v>
      </c>
      <c r="CU37" s="85">
        <f>SUM('J1 A - (North) Bishopthorpe Roa'!$AQ$37,'J1 B - Butcher Terrace'!$Y$37,'J1 C - (South) Bishopthorpe Roa'!$G$37,'J1 D - South Bank Avenue'!$BI$37)</f>
        <v>0</v>
      </c>
      <c r="CV37" s="85">
        <f>SUM('J1 A - (North) Bishopthorpe Roa'!$AR$37,'J1 B - Butcher Terrace'!$Z$37,'J1 C - (South) Bishopthorpe Roa'!$H$37,'J1 D - South Bank Avenue'!$BJ$37)</f>
        <v>0</v>
      </c>
      <c r="CW37" s="85">
        <f>SUM('J1 A - (North) Bishopthorpe Roa'!$AS$37,'J1 B - Butcher Terrace'!$AA$37,'J1 C - (South) Bishopthorpe Roa'!$I$37,'J1 D - South Bank Avenue'!$BK$37)</f>
        <v>0</v>
      </c>
      <c r="CX37" s="88">
        <f>SUM('J1 A - (North) Bishopthorpe Roa'!$AT$37,'J1 B - Butcher Terrace'!$AB$37,'J1 C - (South) Bishopthorpe Roa'!$J$37,'J1 D - South Bank Avenue'!$BL$37)</f>
        <v>0</v>
      </c>
      <c r="CY37" s="81">
        <f>$CQ$37*VLOOKUP($CQ$11,'PCU Values'!$B$9:$C$16,2,FALSE)</f>
        <v>0</v>
      </c>
      <c r="CZ37" s="81">
        <f>$CR$37*VLOOKUP($CR$11,'PCU Values'!$B$9:$C$16,2,FALSE)</f>
        <v>0</v>
      </c>
      <c r="DA37" s="81">
        <f>$CS$37*VLOOKUP($CS$11,'PCU Values'!$B$9:$C$16,2,FALSE)</f>
        <v>0</v>
      </c>
      <c r="DB37" s="81">
        <f>$CT$37*VLOOKUP($CT$11,'PCU Values'!$B$9:$C$16,2,FALSE)</f>
        <v>0</v>
      </c>
      <c r="DC37" s="81">
        <f>$CU$37*VLOOKUP($CU$11,'PCU Values'!$B$9:$C$16,2,FALSE)</f>
        <v>0</v>
      </c>
      <c r="DD37" s="81">
        <f>$CV$37*VLOOKUP($CV$11,'PCU Values'!$B$9:$C$16,2,FALSE)</f>
        <v>0</v>
      </c>
      <c r="DE37" s="81">
        <f>$CW$37*VLOOKUP($CW$11,'PCU Values'!$B$9:$C$16,2,FALSE)</f>
        <v>0</v>
      </c>
      <c r="DF37" s="82">
        <f>$CX$37*VLOOKUP($CX$11,'PCU Values'!$B$9:$C$16,2,FALSE)</f>
        <v>0</v>
      </c>
      <c r="DG37" s="71">
        <f>SUM($CY$37,$CZ$37,$DA$37,$DB$37,$DC$37,$DD$37,$DE$37,$DF$37)</f>
        <v>0</v>
      </c>
      <c r="DH37" s="52">
        <f>SUM($CQ$37,$CR$37,$CS$37,$CT$37,$CU$37,$CV$37,$CW$37,$CX$37)</f>
        <v>0</v>
      </c>
    </row>
    <row r="38" spans="1:112" ht="21" customHeight="1">
      <c r="A38" s="46">
        <v>44395.21875</v>
      </c>
      <c r="B38" s="47" t="s">
        <v>52</v>
      </c>
      <c r="C38" s="48">
        <v>1</v>
      </c>
      <c r="D38" s="48">
        <v>0</v>
      </c>
      <c r="E38" s="48">
        <v>0</v>
      </c>
      <c r="F38" s="48">
        <v>0</v>
      </c>
      <c r="G38" s="48">
        <v>0</v>
      </c>
      <c r="H38" s="48">
        <v>0</v>
      </c>
      <c r="I38" s="48">
        <v>0</v>
      </c>
      <c r="J38" s="56">
        <v>0</v>
      </c>
      <c r="K38" s="57">
        <f>$C$38*VLOOKUP($C$11,'PCU Values'!$B$9:$C$16,2,FALSE)</f>
        <v>1</v>
      </c>
      <c r="L38" s="57">
        <f>$D$38*VLOOKUP($D$11,'PCU Values'!$B$9:$C$16,2,FALSE)</f>
        <v>0</v>
      </c>
      <c r="M38" s="57">
        <f>$E$38*VLOOKUP($E$11,'PCU Values'!$B$9:$C$16,2,FALSE)</f>
        <v>0</v>
      </c>
      <c r="N38" s="57">
        <f>$F$38*VLOOKUP($F$11,'PCU Values'!$B$9:$C$16,2,FALSE)</f>
        <v>0</v>
      </c>
      <c r="O38" s="57">
        <f>$G$38*VLOOKUP($G$11,'PCU Values'!$B$9:$C$16,2,FALSE)</f>
        <v>0</v>
      </c>
      <c r="P38" s="57">
        <f>$H$38*VLOOKUP($H$11,'PCU Values'!$B$9:$C$16,2,FALSE)</f>
        <v>0</v>
      </c>
      <c r="Q38" s="57">
        <f>$I$38*VLOOKUP($I$11,'PCU Values'!$B$9:$C$16,2,FALSE)</f>
        <v>0</v>
      </c>
      <c r="R38" s="65">
        <f>$J$38*VLOOKUP($J$11,'PCU Values'!$B$9:$C$16,2,FALSE)</f>
        <v>0</v>
      </c>
      <c r="S38" s="66">
        <f>SUM($K$38,$L$38,$M$38,$N$38,$O$38,$P$38,$Q$38,$R$38)</f>
        <v>1</v>
      </c>
      <c r="T38" s="52">
        <f>SUM($C$38,$D$38,$E$38,$F$38,$G$38,$H$38,$I$38,$J$38)</f>
        <v>1</v>
      </c>
      <c r="U38" s="67">
        <v>0</v>
      </c>
      <c r="V38" s="48">
        <v>0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56">
        <v>0</v>
      </c>
      <c r="AC38" s="57">
        <f>$U$38*VLOOKUP($U$11,'PCU Values'!$B$9:$C$16,2,FALSE)</f>
        <v>0</v>
      </c>
      <c r="AD38" s="57">
        <f>$V$38*VLOOKUP($V$11,'PCU Values'!$B$9:$C$16,2,FALSE)</f>
        <v>0</v>
      </c>
      <c r="AE38" s="57">
        <f>$W$38*VLOOKUP($W$11,'PCU Values'!$B$9:$C$16,2,FALSE)</f>
        <v>0</v>
      </c>
      <c r="AF38" s="57">
        <f>$X$38*VLOOKUP($X$11,'PCU Values'!$B$9:$C$16,2,FALSE)</f>
        <v>0</v>
      </c>
      <c r="AG38" s="57">
        <f>$Y$38*VLOOKUP($Y$11,'PCU Values'!$B$9:$C$16,2,FALSE)</f>
        <v>0</v>
      </c>
      <c r="AH38" s="57">
        <f>$Z$38*VLOOKUP($Z$11,'PCU Values'!$B$9:$C$16,2,FALSE)</f>
        <v>0</v>
      </c>
      <c r="AI38" s="57">
        <f>$AA$38*VLOOKUP($AA$11,'PCU Values'!$B$9:$C$16,2,FALSE)</f>
        <v>0</v>
      </c>
      <c r="AJ38" s="65">
        <f>$AB$38*VLOOKUP($AB$11,'PCU Values'!$B$9:$C$16,2,FALSE)</f>
        <v>0</v>
      </c>
      <c r="AK38" s="66">
        <f>SUM($AC$38,$AD$38,$AE$38,$AF$38,$AG$38,$AH$38,$AI$38,$AJ$38)</f>
        <v>0</v>
      </c>
      <c r="AL38" s="52">
        <f>SUM($U$38,$V$38,$W$38,$X$38,$Y$38,$Z$38,$AA$38,$AB$38)</f>
        <v>0</v>
      </c>
      <c r="AM38" s="67">
        <v>0</v>
      </c>
      <c r="AN38" s="48">
        <v>0</v>
      </c>
      <c r="AO38" s="48">
        <v>0</v>
      </c>
      <c r="AP38" s="48">
        <v>0</v>
      </c>
      <c r="AQ38" s="48">
        <v>0</v>
      </c>
      <c r="AR38" s="48">
        <v>0</v>
      </c>
      <c r="AS38" s="48">
        <v>0</v>
      </c>
      <c r="AT38" s="56">
        <v>0</v>
      </c>
      <c r="AU38" s="57">
        <f>$AM$38*VLOOKUP($AM$11,'PCU Values'!$B$9:$C$16,2,FALSE)</f>
        <v>0</v>
      </c>
      <c r="AV38" s="57">
        <f>$AN$38*VLOOKUP($AN$11,'PCU Values'!$B$9:$C$16,2,FALSE)</f>
        <v>0</v>
      </c>
      <c r="AW38" s="57">
        <f>$AO$38*VLOOKUP($AO$11,'PCU Values'!$B$9:$C$16,2,FALSE)</f>
        <v>0</v>
      </c>
      <c r="AX38" s="57">
        <f>$AP$38*VLOOKUP($AP$11,'PCU Values'!$B$9:$C$16,2,FALSE)</f>
        <v>0</v>
      </c>
      <c r="AY38" s="57">
        <f>$AQ$38*VLOOKUP($AQ$11,'PCU Values'!$B$9:$C$16,2,FALSE)</f>
        <v>0</v>
      </c>
      <c r="AZ38" s="57">
        <f>$AR$38*VLOOKUP($AR$11,'PCU Values'!$B$9:$C$16,2,FALSE)</f>
        <v>0</v>
      </c>
      <c r="BA38" s="57">
        <f>$AS$38*VLOOKUP($AS$11,'PCU Values'!$B$9:$C$16,2,FALSE)</f>
        <v>0</v>
      </c>
      <c r="BB38" s="65">
        <f>$AT$38*VLOOKUP($AT$11,'PCU Values'!$B$9:$C$16,2,FALSE)</f>
        <v>0</v>
      </c>
      <c r="BC38" s="66">
        <f>SUM($AU$38,$AV$38,$AW$38,$AX$38,$AY$38,$AZ$38,$BA$38,$BB$38)</f>
        <v>0</v>
      </c>
      <c r="BD38" s="52">
        <f>SUM($AM$38,$AN$38,$AO$38,$AP$38,$AQ$38,$AR$38,$AS$38,$AT$38)</f>
        <v>0</v>
      </c>
      <c r="BE38" s="67">
        <v>0</v>
      </c>
      <c r="BF38" s="48">
        <v>0</v>
      </c>
      <c r="BG38" s="48">
        <v>0</v>
      </c>
      <c r="BH38" s="48">
        <v>0</v>
      </c>
      <c r="BI38" s="48">
        <v>0</v>
      </c>
      <c r="BJ38" s="48">
        <v>0</v>
      </c>
      <c r="BK38" s="48">
        <v>0</v>
      </c>
      <c r="BL38" s="56">
        <v>0</v>
      </c>
      <c r="BM38" s="77">
        <f>$BE$38*VLOOKUP($BE$11,'PCU Values'!$B$9:$C$16,2,FALSE)</f>
        <v>0</v>
      </c>
      <c r="BN38" s="77">
        <f>$BF$38*VLOOKUP($BF$11,'PCU Values'!$B$9:$C$16,2,FALSE)</f>
        <v>0</v>
      </c>
      <c r="BO38" s="77">
        <f>$BG$38*VLOOKUP($BG$11,'PCU Values'!$B$9:$C$16,2,FALSE)</f>
        <v>0</v>
      </c>
      <c r="BP38" s="77">
        <f>$BH$38*VLOOKUP($BH$11,'PCU Values'!$B$9:$C$16,2,FALSE)</f>
        <v>0</v>
      </c>
      <c r="BQ38" s="77">
        <f>$BI$38*VLOOKUP($BI$11,'PCU Values'!$B$9:$C$16,2,FALSE)</f>
        <v>0</v>
      </c>
      <c r="BR38" s="77">
        <f>$BJ$38*VLOOKUP($BJ$11,'PCU Values'!$B$9:$C$16,2,FALSE)</f>
        <v>0</v>
      </c>
      <c r="BS38" s="77">
        <f>$BK$38*VLOOKUP($BK$11,'PCU Values'!$B$9:$C$16,2,FALSE)</f>
        <v>0</v>
      </c>
      <c r="BT38" s="78">
        <f>$BL$38*VLOOKUP($BL$11,'PCU Values'!$B$9:$C$16,2,FALSE)</f>
        <v>0</v>
      </c>
      <c r="BU38" s="66">
        <f>SUM($BM$38,$BN$38,$BO$38,$BP$38,$BQ$38,$BR$38,$BS$38,$BT$38)</f>
        <v>0</v>
      </c>
      <c r="BV38" s="52">
        <f>SUM($BE$38,$BF$38,$BG$38,$BH$38,$BI$38,$BJ$38,$BK$38,$BL$38)</f>
        <v>0</v>
      </c>
      <c r="BX38" s="47" t="s">
        <v>52</v>
      </c>
      <c r="BY38" s="83">
        <f>SUM($C$38,$U$38,$AM$38,$BE$38)</f>
        <v>1</v>
      </c>
      <c r="BZ38" s="83">
        <f>SUM($D$38,$V$38,$AN$38,$BF$38)</f>
        <v>0</v>
      </c>
      <c r="CA38" s="83">
        <f>SUM($E$38,$W$38,$AO$38,$BG$38)</f>
        <v>0</v>
      </c>
      <c r="CB38" s="83">
        <f>SUM($F$38,$X$38,$AP$38,$BH$38)</f>
        <v>0</v>
      </c>
      <c r="CC38" s="83">
        <f>SUM($G$38,$Y$38,$AQ$38,$BI$38)</f>
        <v>0</v>
      </c>
      <c r="CD38" s="83">
        <f>SUM($H$38,$Z$38,$AR$38,$BJ$38)</f>
        <v>0</v>
      </c>
      <c r="CE38" s="83">
        <f>SUM($I$38,$AA$38,$AS$38,$BK$38)</f>
        <v>0</v>
      </c>
      <c r="CF38" s="86">
        <f>SUM($J$38,$AB$38,$AT$38,$BL$38)</f>
        <v>0</v>
      </c>
      <c r="CG38" s="77">
        <f>$BY$38*VLOOKUP($BY$11,'PCU Values'!$B$9:$C$16,2,FALSE)</f>
        <v>1</v>
      </c>
      <c r="CH38" s="77">
        <f>$BZ$38*VLOOKUP($BZ$11,'PCU Values'!$B$9:$C$16,2,FALSE)</f>
        <v>0</v>
      </c>
      <c r="CI38" s="77">
        <f>$CA$38*VLOOKUP($CA$11,'PCU Values'!$B$9:$C$16,2,FALSE)</f>
        <v>0</v>
      </c>
      <c r="CJ38" s="77">
        <f>$CB$38*VLOOKUP($CB$11,'PCU Values'!$B$9:$C$16,2,FALSE)</f>
        <v>0</v>
      </c>
      <c r="CK38" s="77">
        <f>$CC$38*VLOOKUP($CC$11,'PCU Values'!$B$9:$C$16,2,FALSE)</f>
        <v>0</v>
      </c>
      <c r="CL38" s="77">
        <f>$CD$38*VLOOKUP($CD$11,'PCU Values'!$B$9:$C$16,2,FALSE)</f>
        <v>0</v>
      </c>
      <c r="CM38" s="77">
        <f>$CE$38*VLOOKUP($CE$11,'PCU Values'!$B$9:$C$16,2,FALSE)</f>
        <v>0</v>
      </c>
      <c r="CN38" s="78">
        <f>$CF$38*VLOOKUP($CF$11,'PCU Values'!$B$9:$C$16,2,FALSE)</f>
        <v>0</v>
      </c>
      <c r="CO38" s="66">
        <f>SUM($CG$38,$CH$38,$CI$38,$CJ$38,$CK$38,$CL$38,$CM$38,$CN$38)</f>
        <v>1</v>
      </c>
      <c r="CP38" s="52">
        <f>SUM($BY$38,$BZ$38,$CA$38,$CB$38,$CC$38,$CD$38,$CE$38,$CF$38)</f>
        <v>1</v>
      </c>
      <c r="CQ38" s="89">
        <f>SUM('J1 A - (North) Bishopthorpe Roa'!$AM$38,'J1 B - Butcher Terrace'!$U$38,'J1 C - (South) Bishopthorpe Roa'!$C$38,'J1 D - South Bank Avenue'!$BE$38)</f>
        <v>0</v>
      </c>
      <c r="CR38" s="83">
        <f>SUM('J1 A - (North) Bishopthorpe Roa'!$AN$38,'J1 B - Butcher Terrace'!$V$38,'J1 C - (South) Bishopthorpe Roa'!$D$38,'J1 D - South Bank Avenue'!$BF$38)</f>
        <v>0</v>
      </c>
      <c r="CS38" s="83">
        <f>SUM('J1 A - (North) Bishopthorpe Roa'!$AO$38,'J1 B - Butcher Terrace'!$W$38,'J1 C - (South) Bishopthorpe Roa'!$E$38,'J1 D - South Bank Avenue'!$BG$38)</f>
        <v>0</v>
      </c>
      <c r="CT38" s="83">
        <f>SUM('J1 A - (North) Bishopthorpe Roa'!$AP$38,'J1 B - Butcher Terrace'!$X$38,'J1 C - (South) Bishopthorpe Roa'!$F$38,'J1 D - South Bank Avenue'!$BH$38)</f>
        <v>0</v>
      </c>
      <c r="CU38" s="83">
        <f>SUM('J1 A - (North) Bishopthorpe Roa'!$AQ$38,'J1 B - Butcher Terrace'!$Y$38,'J1 C - (South) Bishopthorpe Roa'!$G$38,'J1 D - South Bank Avenue'!$BI$38)</f>
        <v>0</v>
      </c>
      <c r="CV38" s="83">
        <f>SUM('J1 A - (North) Bishopthorpe Roa'!$AR$38,'J1 B - Butcher Terrace'!$Z$38,'J1 C - (South) Bishopthorpe Roa'!$H$38,'J1 D - South Bank Avenue'!$BJ$38)</f>
        <v>0</v>
      </c>
      <c r="CW38" s="83">
        <f>SUM('J1 A - (North) Bishopthorpe Roa'!$AS$38,'J1 B - Butcher Terrace'!$AA$38,'J1 C - (South) Bishopthorpe Roa'!$I$38,'J1 D - South Bank Avenue'!$BK$38)</f>
        <v>0</v>
      </c>
      <c r="CX38" s="86">
        <f>SUM('J1 A - (North) Bishopthorpe Roa'!$AT$38,'J1 B - Butcher Terrace'!$AB$38,'J1 C - (South) Bishopthorpe Roa'!$J$38,'J1 D - South Bank Avenue'!$BL$38)</f>
        <v>0</v>
      </c>
      <c r="CY38" s="77">
        <f>$CQ$38*VLOOKUP($CQ$11,'PCU Values'!$B$9:$C$16,2,FALSE)</f>
        <v>0</v>
      </c>
      <c r="CZ38" s="77">
        <f>$CR$38*VLOOKUP($CR$11,'PCU Values'!$B$9:$C$16,2,FALSE)</f>
        <v>0</v>
      </c>
      <c r="DA38" s="77">
        <f>$CS$38*VLOOKUP($CS$11,'PCU Values'!$B$9:$C$16,2,FALSE)</f>
        <v>0</v>
      </c>
      <c r="DB38" s="77">
        <f>$CT$38*VLOOKUP($CT$11,'PCU Values'!$B$9:$C$16,2,FALSE)</f>
        <v>0</v>
      </c>
      <c r="DC38" s="77">
        <f>$CU$38*VLOOKUP($CU$11,'PCU Values'!$B$9:$C$16,2,FALSE)</f>
        <v>0</v>
      </c>
      <c r="DD38" s="77">
        <f>$CV$38*VLOOKUP($CV$11,'PCU Values'!$B$9:$C$16,2,FALSE)</f>
        <v>0</v>
      </c>
      <c r="DE38" s="77">
        <f>$CW$38*VLOOKUP($CW$11,'PCU Values'!$B$9:$C$16,2,FALSE)</f>
        <v>0</v>
      </c>
      <c r="DF38" s="78">
        <f>$CX$38*VLOOKUP($CX$11,'PCU Values'!$B$9:$C$16,2,FALSE)</f>
        <v>0</v>
      </c>
      <c r="DG38" s="66">
        <f>SUM($CY$38,$CZ$38,$DA$38,$DB$38,$DC$38,$DD$38,$DE$38,$DF$38)</f>
        <v>0</v>
      </c>
      <c r="DH38" s="52">
        <f>SUM($CQ$38,$CR$38,$CS$38,$CT$38,$CU$38,$CV$38,$CW$38,$CX$38)</f>
        <v>0</v>
      </c>
    </row>
    <row r="39" spans="1:112" ht="21" customHeight="1">
      <c r="A39" s="46">
        <v>44395.229166666701</v>
      </c>
      <c r="B39" s="47" t="s">
        <v>53</v>
      </c>
      <c r="C39" s="48">
        <v>1</v>
      </c>
      <c r="D39" s="48">
        <v>0</v>
      </c>
      <c r="E39" s="48">
        <v>0</v>
      </c>
      <c r="F39" s="48">
        <v>0</v>
      </c>
      <c r="G39" s="48">
        <v>0</v>
      </c>
      <c r="H39" s="48">
        <v>0</v>
      </c>
      <c r="I39" s="48">
        <v>0</v>
      </c>
      <c r="J39" s="56">
        <v>0</v>
      </c>
      <c r="K39" s="57">
        <f>$C$39*VLOOKUP($C$11,'PCU Values'!$B$9:$C$16,2,FALSE)</f>
        <v>1</v>
      </c>
      <c r="L39" s="57">
        <f>$D$39*VLOOKUP($D$11,'PCU Values'!$B$9:$C$16,2,FALSE)</f>
        <v>0</v>
      </c>
      <c r="M39" s="57">
        <f>$E$39*VLOOKUP($E$11,'PCU Values'!$B$9:$C$16,2,FALSE)</f>
        <v>0</v>
      </c>
      <c r="N39" s="57">
        <f>$F$39*VLOOKUP($F$11,'PCU Values'!$B$9:$C$16,2,FALSE)</f>
        <v>0</v>
      </c>
      <c r="O39" s="57">
        <f>$G$39*VLOOKUP($G$11,'PCU Values'!$B$9:$C$16,2,FALSE)</f>
        <v>0</v>
      </c>
      <c r="P39" s="57">
        <f>$H$39*VLOOKUP($H$11,'PCU Values'!$B$9:$C$16,2,FALSE)</f>
        <v>0</v>
      </c>
      <c r="Q39" s="57">
        <f>$I$39*VLOOKUP($I$11,'PCU Values'!$B$9:$C$16,2,FALSE)</f>
        <v>0</v>
      </c>
      <c r="R39" s="65">
        <f>$J$39*VLOOKUP($J$11,'PCU Values'!$B$9:$C$16,2,FALSE)</f>
        <v>0</v>
      </c>
      <c r="S39" s="66">
        <f>SUM($K$39,$L$39,$M$39,$N$39,$O$39,$P$39,$Q$39,$R$39)</f>
        <v>1</v>
      </c>
      <c r="T39" s="52">
        <f>SUM($C$39,$D$39,$E$39,$F$39,$G$39,$H$39,$I$39,$J$39)</f>
        <v>1</v>
      </c>
      <c r="U39" s="67">
        <v>0</v>
      </c>
      <c r="V39" s="48">
        <v>0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56">
        <v>0</v>
      </c>
      <c r="AC39" s="57">
        <f>$U$39*VLOOKUP($U$11,'PCU Values'!$B$9:$C$16,2,FALSE)</f>
        <v>0</v>
      </c>
      <c r="AD39" s="57">
        <f>$V$39*VLOOKUP($V$11,'PCU Values'!$B$9:$C$16,2,FALSE)</f>
        <v>0</v>
      </c>
      <c r="AE39" s="57">
        <f>$W$39*VLOOKUP($W$11,'PCU Values'!$B$9:$C$16,2,FALSE)</f>
        <v>0</v>
      </c>
      <c r="AF39" s="57">
        <f>$X$39*VLOOKUP($X$11,'PCU Values'!$B$9:$C$16,2,FALSE)</f>
        <v>0</v>
      </c>
      <c r="AG39" s="57">
        <f>$Y$39*VLOOKUP($Y$11,'PCU Values'!$B$9:$C$16,2,FALSE)</f>
        <v>0</v>
      </c>
      <c r="AH39" s="57">
        <f>$Z$39*VLOOKUP($Z$11,'PCU Values'!$B$9:$C$16,2,FALSE)</f>
        <v>0</v>
      </c>
      <c r="AI39" s="57">
        <f>$AA$39*VLOOKUP($AA$11,'PCU Values'!$B$9:$C$16,2,FALSE)</f>
        <v>0</v>
      </c>
      <c r="AJ39" s="65">
        <f>$AB$39*VLOOKUP($AB$11,'PCU Values'!$B$9:$C$16,2,FALSE)</f>
        <v>0</v>
      </c>
      <c r="AK39" s="66">
        <f>SUM($AC$39,$AD$39,$AE$39,$AF$39,$AG$39,$AH$39,$AI$39,$AJ$39)</f>
        <v>0</v>
      </c>
      <c r="AL39" s="52">
        <f>SUM($U$39,$V$39,$W$39,$X$39,$Y$39,$Z$39,$AA$39,$AB$39)</f>
        <v>0</v>
      </c>
      <c r="AM39" s="67">
        <v>0</v>
      </c>
      <c r="AN39" s="48">
        <v>0</v>
      </c>
      <c r="AO39" s="48">
        <v>0</v>
      </c>
      <c r="AP39" s="48">
        <v>0</v>
      </c>
      <c r="AQ39" s="48">
        <v>0</v>
      </c>
      <c r="AR39" s="48">
        <v>0</v>
      </c>
      <c r="AS39" s="48">
        <v>0</v>
      </c>
      <c r="AT39" s="56">
        <v>0</v>
      </c>
      <c r="AU39" s="57">
        <f>$AM$39*VLOOKUP($AM$11,'PCU Values'!$B$9:$C$16,2,FALSE)</f>
        <v>0</v>
      </c>
      <c r="AV39" s="57">
        <f>$AN$39*VLOOKUP($AN$11,'PCU Values'!$B$9:$C$16,2,FALSE)</f>
        <v>0</v>
      </c>
      <c r="AW39" s="57">
        <f>$AO$39*VLOOKUP($AO$11,'PCU Values'!$B$9:$C$16,2,FALSE)</f>
        <v>0</v>
      </c>
      <c r="AX39" s="57">
        <f>$AP$39*VLOOKUP($AP$11,'PCU Values'!$B$9:$C$16,2,FALSE)</f>
        <v>0</v>
      </c>
      <c r="AY39" s="57">
        <f>$AQ$39*VLOOKUP($AQ$11,'PCU Values'!$B$9:$C$16,2,FALSE)</f>
        <v>0</v>
      </c>
      <c r="AZ39" s="57">
        <f>$AR$39*VLOOKUP($AR$11,'PCU Values'!$B$9:$C$16,2,FALSE)</f>
        <v>0</v>
      </c>
      <c r="BA39" s="57">
        <f>$AS$39*VLOOKUP($AS$11,'PCU Values'!$B$9:$C$16,2,FALSE)</f>
        <v>0</v>
      </c>
      <c r="BB39" s="65">
        <f>$AT$39*VLOOKUP($AT$11,'PCU Values'!$B$9:$C$16,2,FALSE)</f>
        <v>0</v>
      </c>
      <c r="BC39" s="66">
        <f>SUM($AU$39,$AV$39,$AW$39,$AX$39,$AY$39,$AZ$39,$BA$39,$BB$39)</f>
        <v>0</v>
      </c>
      <c r="BD39" s="52">
        <f>SUM($AM$39,$AN$39,$AO$39,$AP$39,$AQ$39,$AR$39,$AS$39,$AT$39)</f>
        <v>0</v>
      </c>
      <c r="BE39" s="67">
        <v>0</v>
      </c>
      <c r="BF39" s="48">
        <v>0</v>
      </c>
      <c r="BG39" s="48">
        <v>0</v>
      </c>
      <c r="BH39" s="48">
        <v>0</v>
      </c>
      <c r="BI39" s="48">
        <v>0</v>
      </c>
      <c r="BJ39" s="48">
        <v>0</v>
      </c>
      <c r="BK39" s="48">
        <v>0</v>
      </c>
      <c r="BL39" s="56">
        <v>0</v>
      </c>
      <c r="BM39" s="77">
        <f>$BE$39*VLOOKUP($BE$11,'PCU Values'!$B$9:$C$16,2,FALSE)</f>
        <v>0</v>
      </c>
      <c r="BN39" s="77">
        <f>$BF$39*VLOOKUP($BF$11,'PCU Values'!$B$9:$C$16,2,FALSE)</f>
        <v>0</v>
      </c>
      <c r="BO39" s="77">
        <f>$BG$39*VLOOKUP($BG$11,'PCU Values'!$B$9:$C$16,2,FALSE)</f>
        <v>0</v>
      </c>
      <c r="BP39" s="77">
        <f>$BH$39*VLOOKUP($BH$11,'PCU Values'!$B$9:$C$16,2,FALSE)</f>
        <v>0</v>
      </c>
      <c r="BQ39" s="77">
        <f>$BI$39*VLOOKUP($BI$11,'PCU Values'!$B$9:$C$16,2,FALSE)</f>
        <v>0</v>
      </c>
      <c r="BR39" s="77">
        <f>$BJ$39*VLOOKUP($BJ$11,'PCU Values'!$B$9:$C$16,2,FALSE)</f>
        <v>0</v>
      </c>
      <c r="BS39" s="77">
        <f>$BK$39*VLOOKUP($BK$11,'PCU Values'!$B$9:$C$16,2,FALSE)</f>
        <v>0</v>
      </c>
      <c r="BT39" s="78">
        <f>$BL$39*VLOOKUP($BL$11,'PCU Values'!$B$9:$C$16,2,FALSE)</f>
        <v>0</v>
      </c>
      <c r="BU39" s="66">
        <f>SUM($BM$39,$BN$39,$BO$39,$BP$39,$BQ$39,$BR$39,$BS$39,$BT$39)</f>
        <v>0</v>
      </c>
      <c r="BV39" s="52">
        <f>SUM($BE$39,$BF$39,$BG$39,$BH$39,$BI$39,$BJ$39,$BK$39,$BL$39)</f>
        <v>0</v>
      </c>
      <c r="BX39" s="47" t="s">
        <v>53</v>
      </c>
      <c r="BY39" s="83">
        <f>SUM($C$39,$U$39,$AM$39,$BE$39)</f>
        <v>1</v>
      </c>
      <c r="BZ39" s="83">
        <f>SUM($D$39,$V$39,$AN$39,$BF$39)</f>
        <v>0</v>
      </c>
      <c r="CA39" s="83">
        <f>SUM($E$39,$W$39,$AO$39,$BG$39)</f>
        <v>0</v>
      </c>
      <c r="CB39" s="83">
        <f>SUM($F$39,$X$39,$AP$39,$BH$39)</f>
        <v>0</v>
      </c>
      <c r="CC39" s="83">
        <f>SUM($G$39,$Y$39,$AQ$39,$BI$39)</f>
        <v>0</v>
      </c>
      <c r="CD39" s="83">
        <f>SUM($H$39,$Z$39,$AR$39,$BJ$39)</f>
        <v>0</v>
      </c>
      <c r="CE39" s="83">
        <f>SUM($I$39,$AA$39,$AS$39,$BK$39)</f>
        <v>0</v>
      </c>
      <c r="CF39" s="86">
        <f>SUM($J$39,$AB$39,$AT$39,$BL$39)</f>
        <v>0</v>
      </c>
      <c r="CG39" s="77">
        <f>$BY$39*VLOOKUP($BY$11,'PCU Values'!$B$9:$C$16,2,FALSE)</f>
        <v>1</v>
      </c>
      <c r="CH39" s="77">
        <f>$BZ$39*VLOOKUP($BZ$11,'PCU Values'!$B$9:$C$16,2,FALSE)</f>
        <v>0</v>
      </c>
      <c r="CI39" s="77">
        <f>$CA$39*VLOOKUP($CA$11,'PCU Values'!$B$9:$C$16,2,FALSE)</f>
        <v>0</v>
      </c>
      <c r="CJ39" s="77">
        <f>$CB$39*VLOOKUP($CB$11,'PCU Values'!$B$9:$C$16,2,FALSE)</f>
        <v>0</v>
      </c>
      <c r="CK39" s="77">
        <f>$CC$39*VLOOKUP($CC$11,'PCU Values'!$B$9:$C$16,2,FALSE)</f>
        <v>0</v>
      </c>
      <c r="CL39" s="77">
        <f>$CD$39*VLOOKUP($CD$11,'PCU Values'!$B$9:$C$16,2,FALSE)</f>
        <v>0</v>
      </c>
      <c r="CM39" s="77">
        <f>$CE$39*VLOOKUP($CE$11,'PCU Values'!$B$9:$C$16,2,FALSE)</f>
        <v>0</v>
      </c>
      <c r="CN39" s="78">
        <f>$CF$39*VLOOKUP($CF$11,'PCU Values'!$B$9:$C$16,2,FALSE)</f>
        <v>0</v>
      </c>
      <c r="CO39" s="66">
        <f>SUM($CG$39,$CH$39,$CI$39,$CJ$39,$CK$39,$CL$39,$CM$39,$CN$39)</f>
        <v>1</v>
      </c>
      <c r="CP39" s="52">
        <f>SUM($BY$39,$BZ$39,$CA$39,$CB$39,$CC$39,$CD$39,$CE$39,$CF$39)</f>
        <v>1</v>
      </c>
      <c r="CQ39" s="89">
        <f>SUM('J1 A - (North) Bishopthorpe Roa'!$AM$39,'J1 B - Butcher Terrace'!$U$39,'J1 C - (South) Bishopthorpe Roa'!$C$39,'J1 D - South Bank Avenue'!$BE$39)</f>
        <v>0</v>
      </c>
      <c r="CR39" s="83">
        <f>SUM('J1 A - (North) Bishopthorpe Roa'!$AN$39,'J1 B - Butcher Terrace'!$V$39,'J1 C - (South) Bishopthorpe Roa'!$D$39,'J1 D - South Bank Avenue'!$BF$39)</f>
        <v>0</v>
      </c>
      <c r="CS39" s="83">
        <f>SUM('J1 A - (North) Bishopthorpe Roa'!$AO$39,'J1 B - Butcher Terrace'!$W$39,'J1 C - (South) Bishopthorpe Roa'!$E$39,'J1 D - South Bank Avenue'!$BG$39)</f>
        <v>0</v>
      </c>
      <c r="CT39" s="83">
        <f>SUM('J1 A - (North) Bishopthorpe Roa'!$AP$39,'J1 B - Butcher Terrace'!$X$39,'J1 C - (South) Bishopthorpe Roa'!$F$39,'J1 D - South Bank Avenue'!$BH$39)</f>
        <v>0</v>
      </c>
      <c r="CU39" s="83">
        <f>SUM('J1 A - (North) Bishopthorpe Roa'!$AQ$39,'J1 B - Butcher Terrace'!$Y$39,'J1 C - (South) Bishopthorpe Roa'!$G$39,'J1 D - South Bank Avenue'!$BI$39)</f>
        <v>0</v>
      </c>
      <c r="CV39" s="83">
        <f>SUM('J1 A - (North) Bishopthorpe Roa'!$AR$39,'J1 B - Butcher Terrace'!$Z$39,'J1 C - (South) Bishopthorpe Roa'!$H$39,'J1 D - South Bank Avenue'!$BJ$39)</f>
        <v>0</v>
      </c>
      <c r="CW39" s="83">
        <f>SUM('J1 A - (North) Bishopthorpe Roa'!$AS$39,'J1 B - Butcher Terrace'!$AA$39,'J1 C - (South) Bishopthorpe Roa'!$I$39,'J1 D - South Bank Avenue'!$BK$39)</f>
        <v>0</v>
      </c>
      <c r="CX39" s="86">
        <f>SUM('J1 A - (North) Bishopthorpe Roa'!$AT$39,'J1 B - Butcher Terrace'!$AB$39,'J1 C - (South) Bishopthorpe Roa'!$J$39,'J1 D - South Bank Avenue'!$BL$39)</f>
        <v>0</v>
      </c>
      <c r="CY39" s="77">
        <f>$CQ$39*VLOOKUP($CQ$11,'PCU Values'!$B$9:$C$16,2,FALSE)</f>
        <v>0</v>
      </c>
      <c r="CZ39" s="77">
        <f>$CR$39*VLOOKUP($CR$11,'PCU Values'!$B$9:$C$16,2,FALSE)</f>
        <v>0</v>
      </c>
      <c r="DA39" s="77">
        <f>$CS$39*VLOOKUP($CS$11,'PCU Values'!$B$9:$C$16,2,FALSE)</f>
        <v>0</v>
      </c>
      <c r="DB39" s="77">
        <f>$CT$39*VLOOKUP($CT$11,'PCU Values'!$B$9:$C$16,2,FALSE)</f>
        <v>0</v>
      </c>
      <c r="DC39" s="77">
        <f>$CU$39*VLOOKUP($CU$11,'PCU Values'!$B$9:$C$16,2,FALSE)</f>
        <v>0</v>
      </c>
      <c r="DD39" s="77">
        <f>$CV$39*VLOOKUP($CV$11,'PCU Values'!$B$9:$C$16,2,FALSE)</f>
        <v>0</v>
      </c>
      <c r="DE39" s="77">
        <f>$CW$39*VLOOKUP($CW$11,'PCU Values'!$B$9:$C$16,2,FALSE)</f>
        <v>0</v>
      </c>
      <c r="DF39" s="78">
        <f>$CX$39*VLOOKUP($CX$11,'PCU Values'!$B$9:$C$16,2,FALSE)</f>
        <v>0</v>
      </c>
      <c r="DG39" s="66">
        <f>SUM($CY$39,$CZ$39,$DA$39,$DB$39,$DC$39,$DD$39,$DE$39,$DF$39)</f>
        <v>0</v>
      </c>
      <c r="DH39" s="52">
        <f>SUM($CQ$39,$CR$39,$CS$39,$CT$39,$CU$39,$CV$39,$CW$39,$CX$39)</f>
        <v>0</v>
      </c>
    </row>
    <row r="40" spans="1:112" ht="21" customHeight="1">
      <c r="A40" s="46">
        <v>44395.239583333299</v>
      </c>
      <c r="B40" s="50" t="s">
        <v>54</v>
      </c>
      <c r="C40" s="51">
        <v>6</v>
      </c>
      <c r="D40" s="51">
        <v>0</v>
      </c>
      <c r="E40" s="51">
        <v>0</v>
      </c>
      <c r="F40" s="51">
        <v>0</v>
      </c>
      <c r="G40" s="51">
        <v>0</v>
      </c>
      <c r="H40" s="51">
        <v>0</v>
      </c>
      <c r="I40" s="51">
        <v>0</v>
      </c>
      <c r="J40" s="59">
        <v>0</v>
      </c>
      <c r="K40" s="60">
        <f>$C$40*VLOOKUP($C$11,'PCU Values'!$B$9:$C$16,2,FALSE)</f>
        <v>6</v>
      </c>
      <c r="L40" s="60">
        <f>$D$40*VLOOKUP($D$11,'PCU Values'!$B$9:$C$16,2,FALSE)</f>
        <v>0</v>
      </c>
      <c r="M40" s="60">
        <f>$E$40*VLOOKUP($E$11,'PCU Values'!$B$9:$C$16,2,FALSE)</f>
        <v>0</v>
      </c>
      <c r="N40" s="60">
        <f>$F$40*VLOOKUP($F$11,'PCU Values'!$B$9:$C$16,2,FALSE)</f>
        <v>0</v>
      </c>
      <c r="O40" s="60">
        <f>$G$40*VLOOKUP($G$11,'PCU Values'!$B$9:$C$16,2,FALSE)</f>
        <v>0</v>
      </c>
      <c r="P40" s="60">
        <f>$H$40*VLOOKUP($H$11,'PCU Values'!$B$9:$C$16,2,FALSE)</f>
        <v>0</v>
      </c>
      <c r="Q40" s="60">
        <f>$I$40*VLOOKUP($I$11,'PCU Values'!$B$9:$C$16,2,FALSE)</f>
        <v>0</v>
      </c>
      <c r="R40" s="68">
        <f>$J$40*VLOOKUP($J$11,'PCU Values'!$B$9:$C$16,2,FALSE)</f>
        <v>0</v>
      </c>
      <c r="S40" s="63">
        <f>SUM($K$40,$L$40,$M$40,$N$40,$O$40,$P$40,$Q$40,$R$40)</f>
        <v>6</v>
      </c>
      <c r="T40" s="52">
        <f>SUM($C$40,$D$40,$E$40,$F$40,$G$40,$H$40,$I$40,$J$40)</f>
        <v>6</v>
      </c>
      <c r="U40" s="73">
        <v>0</v>
      </c>
      <c r="V40" s="51">
        <v>0</v>
      </c>
      <c r="W40" s="51">
        <v>0</v>
      </c>
      <c r="X40" s="51">
        <v>0</v>
      </c>
      <c r="Y40" s="51">
        <v>0</v>
      </c>
      <c r="Z40" s="51">
        <v>0</v>
      </c>
      <c r="AA40" s="51">
        <v>0</v>
      </c>
      <c r="AB40" s="59">
        <v>0</v>
      </c>
      <c r="AC40" s="60">
        <f>$U$40*VLOOKUP($U$11,'PCU Values'!$B$9:$C$16,2,FALSE)</f>
        <v>0</v>
      </c>
      <c r="AD40" s="60">
        <f>$V$40*VLOOKUP($V$11,'PCU Values'!$B$9:$C$16,2,FALSE)</f>
        <v>0</v>
      </c>
      <c r="AE40" s="60">
        <f>$W$40*VLOOKUP($W$11,'PCU Values'!$B$9:$C$16,2,FALSE)</f>
        <v>0</v>
      </c>
      <c r="AF40" s="60">
        <f>$X$40*VLOOKUP($X$11,'PCU Values'!$B$9:$C$16,2,FALSE)</f>
        <v>0</v>
      </c>
      <c r="AG40" s="60">
        <f>$Y$40*VLOOKUP($Y$11,'PCU Values'!$B$9:$C$16,2,FALSE)</f>
        <v>0</v>
      </c>
      <c r="AH40" s="60">
        <f>$Z$40*VLOOKUP($Z$11,'PCU Values'!$B$9:$C$16,2,FALSE)</f>
        <v>0</v>
      </c>
      <c r="AI40" s="60">
        <f>$AA$40*VLOOKUP($AA$11,'PCU Values'!$B$9:$C$16,2,FALSE)</f>
        <v>0</v>
      </c>
      <c r="AJ40" s="68">
        <f>$AB$40*VLOOKUP($AB$11,'PCU Values'!$B$9:$C$16,2,FALSE)</f>
        <v>0</v>
      </c>
      <c r="AK40" s="63">
        <f>SUM($AC$40,$AD$40,$AE$40,$AF$40,$AG$40,$AH$40,$AI$40,$AJ$40)</f>
        <v>0</v>
      </c>
      <c r="AL40" s="52">
        <f>SUM($U$40,$V$40,$W$40,$X$40,$Y$40,$Z$40,$AA$40,$AB$40)</f>
        <v>0</v>
      </c>
      <c r="AM40" s="73">
        <v>0</v>
      </c>
      <c r="AN40" s="51">
        <v>0</v>
      </c>
      <c r="AO40" s="51">
        <v>0</v>
      </c>
      <c r="AP40" s="51">
        <v>0</v>
      </c>
      <c r="AQ40" s="51">
        <v>0</v>
      </c>
      <c r="AR40" s="51">
        <v>0</v>
      </c>
      <c r="AS40" s="51">
        <v>0</v>
      </c>
      <c r="AT40" s="59">
        <v>0</v>
      </c>
      <c r="AU40" s="60">
        <f>$AM$40*VLOOKUP($AM$11,'PCU Values'!$B$9:$C$16,2,FALSE)</f>
        <v>0</v>
      </c>
      <c r="AV40" s="60">
        <f>$AN$40*VLOOKUP($AN$11,'PCU Values'!$B$9:$C$16,2,FALSE)</f>
        <v>0</v>
      </c>
      <c r="AW40" s="60">
        <f>$AO$40*VLOOKUP($AO$11,'PCU Values'!$B$9:$C$16,2,FALSE)</f>
        <v>0</v>
      </c>
      <c r="AX40" s="60">
        <f>$AP$40*VLOOKUP($AP$11,'PCU Values'!$B$9:$C$16,2,FALSE)</f>
        <v>0</v>
      </c>
      <c r="AY40" s="60">
        <f>$AQ$40*VLOOKUP($AQ$11,'PCU Values'!$B$9:$C$16,2,FALSE)</f>
        <v>0</v>
      </c>
      <c r="AZ40" s="60">
        <f>$AR$40*VLOOKUP($AR$11,'PCU Values'!$B$9:$C$16,2,FALSE)</f>
        <v>0</v>
      </c>
      <c r="BA40" s="60">
        <f>$AS$40*VLOOKUP($AS$11,'PCU Values'!$B$9:$C$16,2,FALSE)</f>
        <v>0</v>
      </c>
      <c r="BB40" s="68">
        <f>$AT$40*VLOOKUP($AT$11,'PCU Values'!$B$9:$C$16,2,FALSE)</f>
        <v>0</v>
      </c>
      <c r="BC40" s="63">
        <f>SUM($AU$40,$AV$40,$AW$40,$AX$40,$AY$40,$AZ$40,$BA$40,$BB$40)</f>
        <v>0</v>
      </c>
      <c r="BD40" s="52">
        <f>SUM($AM$40,$AN$40,$AO$40,$AP$40,$AQ$40,$AR$40,$AS$40,$AT$40)</f>
        <v>0</v>
      </c>
      <c r="BE40" s="73">
        <v>0</v>
      </c>
      <c r="BF40" s="51">
        <v>0</v>
      </c>
      <c r="BG40" s="51">
        <v>0</v>
      </c>
      <c r="BH40" s="51">
        <v>0</v>
      </c>
      <c r="BI40" s="51">
        <v>0</v>
      </c>
      <c r="BJ40" s="51">
        <v>0</v>
      </c>
      <c r="BK40" s="51">
        <v>0</v>
      </c>
      <c r="BL40" s="59">
        <v>0</v>
      </c>
      <c r="BM40" s="79">
        <f>$BE$40*VLOOKUP($BE$11,'PCU Values'!$B$9:$C$16,2,FALSE)</f>
        <v>0</v>
      </c>
      <c r="BN40" s="79">
        <f>$BF$40*VLOOKUP($BF$11,'PCU Values'!$B$9:$C$16,2,FALSE)</f>
        <v>0</v>
      </c>
      <c r="BO40" s="79">
        <f>$BG$40*VLOOKUP($BG$11,'PCU Values'!$B$9:$C$16,2,FALSE)</f>
        <v>0</v>
      </c>
      <c r="BP40" s="79">
        <f>$BH$40*VLOOKUP($BH$11,'PCU Values'!$B$9:$C$16,2,FALSE)</f>
        <v>0</v>
      </c>
      <c r="BQ40" s="79">
        <f>$BI$40*VLOOKUP($BI$11,'PCU Values'!$B$9:$C$16,2,FALSE)</f>
        <v>0</v>
      </c>
      <c r="BR40" s="79">
        <f>$BJ$40*VLOOKUP($BJ$11,'PCU Values'!$B$9:$C$16,2,FALSE)</f>
        <v>0</v>
      </c>
      <c r="BS40" s="79">
        <f>$BK$40*VLOOKUP($BK$11,'PCU Values'!$B$9:$C$16,2,FALSE)</f>
        <v>0</v>
      </c>
      <c r="BT40" s="80">
        <f>$BL$40*VLOOKUP($BL$11,'PCU Values'!$B$9:$C$16,2,FALSE)</f>
        <v>0</v>
      </c>
      <c r="BU40" s="63">
        <f>SUM($BM$40,$BN$40,$BO$40,$BP$40,$BQ$40,$BR$40,$BS$40,$BT$40)</f>
        <v>0</v>
      </c>
      <c r="BV40" s="52">
        <f>SUM($BE$40,$BF$40,$BG$40,$BH$40,$BI$40,$BJ$40,$BK$40,$BL$40)</f>
        <v>0</v>
      </c>
      <c r="BX40" s="50" t="s">
        <v>54</v>
      </c>
      <c r="BY40" s="84">
        <f>SUM($C$40,$U$40,$AM$40,$BE$40)</f>
        <v>6</v>
      </c>
      <c r="BZ40" s="84">
        <f>SUM($D$40,$V$40,$AN$40,$BF$40)</f>
        <v>0</v>
      </c>
      <c r="CA40" s="84">
        <f>SUM($E$40,$W$40,$AO$40,$BG$40)</f>
        <v>0</v>
      </c>
      <c r="CB40" s="84">
        <f>SUM($F$40,$X$40,$AP$40,$BH$40)</f>
        <v>0</v>
      </c>
      <c r="CC40" s="84">
        <f>SUM($G$40,$Y$40,$AQ$40,$BI$40)</f>
        <v>0</v>
      </c>
      <c r="CD40" s="84">
        <f>SUM($H$40,$Z$40,$AR$40,$BJ$40)</f>
        <v>0</v>
      </c>
      <c r="CE40" s="84">
        <f>SUM($I$40,$AA$40,$AS$40,$BK$40)</f>
        <v>0</v>
      </c>
      <c r="CF40" s="87">
        <f>SUM($J$40,$AB$40,$AT$40,$BL$40)</f>
        <v>0</v>
      </c>
      <c r="CG40" s="79">
        <f>$BY$40*VLOOKUP($BY$11,'PCU Values'!$B$9:$C$16,2,FALSE)</f>
        <v>6</v>
      </c>
      <c r="CH40" s="79">
        <f>$BZ$40*VLOOKUP($BZ$11,'PCU Values'!$B$9:$C$16,2,FALSE)</f>
        <v>0</v>
      </c>
      <c r="CI40" s="79">
        <f>$CA$40*VLOOKUP($CA$11,'PCU Values'!$B$9:$C$16,2,FALSE)</f>
        <v>0</v>
      </c>
      <c r="CJ40" s="79">
        <f>$CB$40*VLOOKUP($CB$11,'PCU Values'!$B$9:$C$16,2,FALSE)</f>
        <v>0</v>
      </c>
      <c r="CK40" s="79">
        <f>$CC$40*VLOOKUP($CC$11,'PCU Values'!$B$9:$C$16,2,FALSE)</f>
        <v>0</v>
      </c>
      <c r="CL40" s="79">
        <f>$CD$40*VLOOKUP($CD$11,'PCU Values'!$B$9:$C$16,2,FALSE)</f>
        <v>0</v>
      </c>
      <c r="CM40" s="79">
        <f>$CE$40*VLOOKUP($CE$11,'PCU Values'!$B$9:$C$16,2,FALSE)</f>
        <v>0</v>
      </c>
      <c r="CN40" s="80">
        <f>$CF$40*VLOOKUP($CF$11,'PCU Values'!$B$9:$C$16,2,FALSE)</f>
        <v>0</v>
      </c>
      <c r="CO40" s="63">
        <f>SUM($CG$40,$CH$40,$CI$40,$CJ$40,$CK$40,$CL$40,$CM$40,$CN$40)</f>
        <v>6</v>
      </c>
      <c r="CP40" s="52">
        <f>SUM($BY$40,$BZ$40,$CA$40,$CB$40,$CC$40,$CD$40,$CE$40,$CF$40)</f>
        <v>6</v>
      </c>
      <c r="CQ40" s="90">
        <f>SUM('J1 A - (North) Bishopthorpe Roa'!$AM$40,'J1 B - Butcher Terrace'!$U$40,'J1 C - (South) Bishopthorpe Roa'!$C$40,'J1 D - South Bank Avenue'!$BE$40)</f>
        <v>0</v>
      </c>
      <c r="CR40" s="84">
        <f>SUM('J1 A - (North) Bishopthorpe Roa'!$AN$40,'J1 B - Butcher Terrace'!$V$40,'J1 C - (South) Bishopthorpe Roa'!$D$40,'J1 D - South Bank Avenue'!$BF$40)</f>
        <v>0</v>
      </c>
      <c r="CS40" s="84">
        <f>SUM('J1 A - (North) Bishopthorpe Roa'!$AO$40,'J1 B - Butcher Terrace'!$W$40,'J1 C - (South) Bishopthorpe Roa'!$E$40,'J1 D - South Bank Avenue'!$BG$40)</f>
        <v>0</v>
      </c>
      <c r="CT40" s="84">
        <f>SUM('J1 A - (North) Bishopthorpe Roa'!$AP$40,'J1 B - Butcher Terrace'!$X$40,'J1 C - (South) Bishopthorpe Roa'!$F$40,'J1 D - South Bank Avenue'!$BH$40)</f>
        <v>0</v>
      </c>
      <c r="CU40" s="84">
        <f>SUM('J1 A - (North) Bishopthorpe Roa'!$AQ$40,'J1 B - Butcher Terrace'!$Y$40,'J1 C - (South) Bishopthorpe Roa'!$G$40,'J1 D - South Bank Avenue'!$BI$40)</f>
        <v>0</v>
      </c>
      <c r="CV40" s="84">
        <f>SUM('J1 A - (North) Bishopthorpe Roa'!$AR$40,'J1 B - Butcher Terrace'!$Z$40,'J1 C - (South) Bishopthorpe Roa'!$H$40,'J1 D - South Bank Avenue'!$BJ$40)</f>
        <v>0</v>
      </c>
      <c r="CW40" s="84">
        <f>SUM('J1 A - (North) Bishopthorpe Roa'!$AS$40,'J1 B - Butcher Terrace'!$AA$40,'J1 C - (South) Bishopthorpe Roa'!$I$40,'J1 D - South Bank Avenue'!$BK$40)</f>
        <v>0</v>
      </c>
      <c r="CX40" s="87">
        <f>SUM('J1 A - (North) Bishopthorpe Roa'!$AT$40,'J1 B - Butcher Terrace'!$AB$40,'J1 C - (South) Bishopthorpe Roa'!$J$40,'J1 D - South Bank Avenue'!$BL$40)</f>
        <v>0</v>
      </c>
      <c r="CY40" s="79">
        <f>$CQ$40*VLOOKUP($CQ$11,'PCU Values'!$B$9:$C$16,2,FALSE)</f>
        <v>0</v>
      </c>
      <c r="CZ40" s="79">
        <f>$CR$40*VLOOKUP($CR$11,'PCU Values'!$B$9:$C$16,2,FALSE)</f>
        <v>0</v>
      </c>
      <c r="DA40" s="79">
        <f>$CS$40*VLOOKUP($CS$11,'PCU Values'!$B$9:$C$16,2,FALSE)</f>
        <v>0</v>
      </c>
      <c r="DB40" s="79">
        <f>$CT$40*VLOOKUP($CT$11,'PCU Values'!$B$9:$C$16,2,FALSE)</f>
        <v>0</v>
      </c>
      <c r="DC40" s="79">
        <f>$CU$40*VLOOKUP($CU$11,'PCU Values'!$B$9:$C$16,2,FALSE)</f>
        <v>0</v>
      </c>
      <c r="DD40" s="79">
        <f>$CV$40*VLOOKUP($CV$11,'PCU Values'!$B$9:$C$16,2,FALSE)</f>
        <v>0</v>
      </c>
      <c r="DE40" s="79">
        <f>$CW$40*VLOOKUP($CW$11,'PCU Values'!$B$9:$C$16,2,FALSE)</f>
        <v>0</v>
      </c>
      <c r="DF40" s="80">
        <f>$CX$40*VLOOKUP($CX$11,'PCU Values'!$B$9:$C$16,2,FALSE)</f>
        <v>0</v>
      </c>
      <c r="DG40" s="63">
        <f>SUM($CY$40,$CZ$40,$DA$40,$DB$40,$DC$40,$DD$40,$DE$40,$DF$40)</f>
        <v>0</v>
      </c>
      <c r="DH40" s="52">
        <f>SUM($CQ$40,$CR$40,$CS$40,$CT$40,$CU$40,$CV$40,$CW$40,$CX$40)</f>
        <v>0</v>
      </c>
    </row>
    <row r="41" spans="1:112">
      <c r="B41" s="52" t="s">
        <v>34</v>
      </c>
      <c r="C41" s="52">
        <f>SUM($C$37:$C$40)</f>
        <v>8</v>
      </c>
      <c r="D41" s="52">
        <f>SUM($D$37:$D$40)</f>
        <v>0</v>
      </c>
      <c r="E41" s="52">
        <f>SUM($E$37:$E$40)</f>
        <v>0</v>
      </c>
      <c r="F41" s="52">
        <f>SUM($F$37:$F$40)</f>
        <v>0</v>
      </c>
      <c r="G41" s="52">
        <f>SUM($G$37:$G$40)</f>
        <v>0</v>
      </c>
      <c r="H41" s="52">
        <f>SUM($H$37:$H$40)</f>
        <v>0</v>
      </c>
      <c r="I41" s="52">
        <f>SUM($I$37:$I$40)</f>
        <v>0</v>
      </c>
      <c r="J41" s="52">
        <f>SUM($J$37:$J$40)</f>
        <v>0</v>
      </c>
      <c r="K41" s="52">
        <f>SUM($K$37:$K$40)</f>
        <v>8</v>
      </c>
      <c r="L41" s="52">
        <f>SUM($L$37:$L$40)</f>
        <v>0</v>
      </c>
      <c r="M41" s="52">
        <f>SUM($M$37:$M$40)</f>
        <v>0</v>
      </c>
      <c r="N41" s="52">
        <f>SUM($N$37:$N$40)</f>
        <v>0</v>
      </c>
      <c r="O41" s="52">
        <f>SUM($O$37:$O$40)</f>
        <v>0</v>
      </c>
      <c r="P41" s="52">
        <f>SUM($P$37:$P$40)</f>
        <v>0</v>
      </c>
      <c r="Q41" s="52">
        <f>SUM($Q$37:$Q$40)</f>
        <v>0</v>
      </c>
      <c r="R41" s="52">
        <f>SUM($R$37:$R$40)</f>
        <v>0</v>
      </c>
      <c r="S41" s="52">
        <f>SUM($K$41,$L$41,$M$41,$N$41,$O$41,$P$41,$Q$41,$R$41)</f>
        <v>8</v>
      </c>
      <c r="T41" s="52">
        <f>SUM($C$41,$D$41,$E$41,$F$41,$G$41,$H$41,$I$41,$J$41)</f>
        <v>8</v>
      </c>
      <c r="U41" s="52">
        <f>SUM($U$37:$U$40)</f>
        <v>0</v>
      </c>
      <c r="V41" s="52">
        <f>SUM($V$37:$V$40)</f>
        <v>0</v>
      </c>
      <c r="W41" s="52">
        <f>SUM($W$37:$W$40)</f>
        <v>0</v>
      </c>
      <c r="X41" s="52">
        <f>SUM($X$37:$X$40)</f>
        <v>0</v>
      </c>
      <c r="Y41" s="52">
        <f>SUM($Y$37:$Y$40)</f>
        <v>0</v>
      </c>
      <c r="Z41" s="52">
        <f>SUM($Z$37:$Z$40)</f>
        <v>0</v>
      </c>
      <c r="AA41" s="52">
        <f>SUM($AA$37:$AA$40)</f>
        <v>0</v>
      </c>
      <c r="AB41" s="52">
        <f>SUM($AB$37:$AB$40)</f>
        <v>0</v>
      </c>
      <c r="AC41" s="52">
        <f>SUM($AC$37:$AC$40)</f>
        <v>0</v>
      </c>
      <c r="AD41" s="52">
        <f>SUM($AD$37:$AD$40)</f>
        <v>0</v>
      </c>
      <c r="AE41" s="52">
        <f>SUM($AE$37:$AE$40)</f>
        <v>0</v>
      </c>
      <c r="AF41" s="52">
        <f>SUM($AF$37:$AF$40)</f>
        <v>0</v>
      </c>
      <c r="AG41" s="52">
        <f>SUM($AG$37:$AG$40)</f>
        <v>0</v>
      </c>
      <c r="AH41" s="52">
        <f>SUM($AH$37:$AH$40)</f>
        <v>0</v>
      </c>
      <c r="AI41" s="52">
        <f>SUM($AI$37:$AI$40)</f>
        <v>0</v>
      </c>
      <c r="AJ41" s="52">
        <f>SUM($AJ$37:$AJ$40)</f>
        <v>0</v>
      </c>
      <c r="AK41" s="52">
        <f>SUM($AC$41,$AD$41,$AE$41,$AF$41,$AG$41,$AH$41,$AI$41,$AJ$41)</f>
        <v>0</v>
      </c>
      <c r="AL41" s="52">
        <f>SUM($U$41,$V$41,$W$41,$X$41,$Y$41,$Z$41,$AA$41,$AB$41)</f>
        <v>0</v>
      </c>
      <c r="AM41" s="52">
        <f>SUM($AM$37:$AM$40)</f>
        <v>0</v>
      </c>
      <c r="AN41" s="52">
        <f>SUM($AN$37:$AN$40)</f>
        <v>0</v>
      </c>
      <c r="AO41" s="52">
        <f>SUM($AO$37:$AO$40)</f>
        <v>0</v>
      </c>
      <c r="AP41" s="52">
        <f>SUM($AP$37:$AP$40)</f>
        <v>0</v>
      </c>
      <c r="AQ41" s="52">
        <f>SUM($AQ$37:$AQ$40)</f>
        <v>0</v>
      </c>
      <c r="AR41" s="52">
        <f>SUM($AR$37:$AR$40)</f>
        <v>0</v>
      </c>
      <c r="AS41" s="52">
        <f>SUM($AS$37:$AS$40)</f>
        <v>0</v>
      </c>
      <c r="AT41" s="52">
        <f>SUM($AT$37:$AT$40)</f>
        <v>0</v>
      </c>
      <c r="AU41" s="52">
        <f>SUM($AU$37:$AU$40)</f>
        <v>0</v>
      </c>
      <c r="AV41" s="52">
        <f>SUM($AV$37:$AV$40)</f>
        <v>0</v>
      </c>
      <c r="AW41" s="52">
        <f>SUM($AW$37:$AW$40)</f>
        <v>0</v>
      </c>
      <c r="AX41" s="52">
        <f>SUM($AX$37:$AX$40)</f>
        <v>0</v>
      </c>
      <c r="AY41" s="52">
        <f>SUM($AY$37:$AY$40)</f>
        <v>0</v>
      </c>
      <c r="AZ41" s="52">
        <f>SUM($AZ$37:$AZ$40)</f>
        <v>0</v>
      </c>
      <c r="BA41" s="52">
        <f>SUM($BA$37:$BA$40)</f>
        <v>0</v>
      </c>
      <c r="BB41" s="52">
        <f>SUM($BB$37:$BB$40)</f>
        <v>0</v>
      </c>
      <c r="BC41" s="52">
        <f>SUM($AU$41,$AV$41,$AW$41,$AX$41,$AY$41,$AZ$41,$BA$41,$BB$41)</f>
        <v>0</v>
      </c>
      <c r="BD41" s="52">
        <f>SUM($AM$41,$AN$41,$AO$41,$AP$41,$AQ$41,$AR$41,$AS$41,$AT$41)</f>
        <v>0</v>
      </c>
      <c r="BE41" s="52">
        <f>SUM($BE$37:$BE$40)</f>
        <v>0</v>
      </c>
      <c r="BF41" s="52">
        <f>SUM($BF$37:$BF$40)</f>
        <v>0</v>
      </c>
      <c r="BG41" s="52">
        <f>SUM($BG$37:$BG$40)</f>
        <v>0</v>
      </c>
      <c r="BH41" s="52">
        <f>SUM($BH$37:$BH$40)</f>
        <v>0</v>
      </c>
      <c r="BI41" s="52">
        <f>SUM($BI$37:$BI$40)</f>
        <v>0</v>
      </c>
      <c r="BJ41" s="52">
        <f>SUM($BJ$37:$BJ$40)</f>
        <v>0</v>
      </c>
      <c r="BK41" s="52">
        <f>SUM($BK$37:$BK$40)</f>
        <v>0</v>
      </c>
      <c r="BL41" s="52">
        <f>SUM($BL$37:$BL$40)</f>
        <v>0</v>
      </c>
      <c r="BM41" s="52">
        <f>SUM($BM$37:$BM$40)</f>
        <v>0</v>
      </c>
      <c r="BN41" s="52">
        <f>SUM($BN$37:$BN$40)</f>
        <v>0</v>
      </c>
      <c r="BO41" s="52">
        <f>SUM($BO$37:$BO$40)</f>
        <v>0</v>
      </c>
      <c r="BP41" s="52">
        <f>SUM($BP$37:$BP$40)</f>
        <v>0</v>
      </c>
      <c r="BQ41" s="52">
        <f>SUM($BQ$37:$BQ$40)</f>
        <v>0</v>
      </c>
      <c r="BR41" s="52">
        <f>SUM($BR$37:$BR$40)</f>
        <v>0</v>
      </c>
      <c r="BS41" s="52">
        <f>SUM($BS$37:$BS$40)</f>
        <v>0</v>
      </c>
      <c r="BT41" s="52">
        <f>SUM($BT$37:$BT$40)</f>
        <v>0</v>
      </c>
      <c r="BU41" s="52">
        <f>SUM($BM$41,$BN$41,$BO$41,$BP$41,$BQ$41,$BR$41,$BS$41,$BT$41)</f>
        <v>0</v>
      </c>
      <c r="BV41" s="52">
        <f>SUM($BE$41,$BF$41,$BG$41,$BH$41,$BI$41,$BJ$41,$BK$41,$BL$41)</f>
        <v>0</v>
      </c>
      <c r="BX41" s="52" t="s">
        <v>34</v>
      </c>
      <c r="BY41" s="52">
        <f>SUM($BY$37:$BY$40)</f>
        <v>8</v>
      </c>
      <c r="BZ41" s="52">
        <f>SUM($BZ$37:$BZ$40)</f>
        <v>0</v>
      </c>
      <c r="CA41" s="52">
        <f>SUM($CA$37:$CA$40)</f>
        <v>0</v>
      </c>
      <c r="CB41" s="52">
        <f>SUM($CB$37:$CB$40)</f>
        <v>0</v>
      </c>
      <c r="CC41" s="52">
        <f>SUM($CC$37:$CC$40)</f>
        <v>0</v>
      </c>
      <c r="CD41" s="52">
        <f>SUM($CD$37:$CD$40)</f>
        <v>0</v>
      </c>
      <c r="CE41" s="52">
        <f>SUM($CE$37:$CE$40)</f>
        <v>0</v>
      </c>
      <c r="CF41" s="52">
        <f>SUM($CF$37:$CF$40)</f>
        <v>0</v>
      </c>
      <c r="CG41" s="52">
        <f>SUM($CG$37:$CG$40)</f>
        <v>8</v>
      </c>
      <c r="CH41" s="52">
        <f>SUM($CH$37:$CH$40)</f>
        <v>0</v>
      </c>
      <c r="CI41" s="52">
        <f>SUM($CI$37:$CI$40)</f>
        <v>0</v>
      </c>
      <c r="CJ41" s="52">
        <f>SUM($CJ$37:$CJ$40)</f>
        <v>0</v>
      </c>
      <c r="CK41" s="52">
        <f>SUM($CK$37:$CK$40)</f>
        <v>0</v>
      </c>
      <c r="CL41" s="52">
        <f>SUM($CL$37:$CL$40)</f>
        <v>0</v>
      </c>
      <c r="CM41" s="52">
        <f>SUM($CM$37:$CM$40)</f>
        <v>0</v>
      </c>
      <c r="CN41" s="52">
        <f>SUM($CN$37:$CN$40)</f>
        <v>0</v>
      </c>
      <c r="CO41" s="52">
        <f>SUM($CG$41,$CH$41,$CI$41,$CJ$41,$CK$41,$CL$41,$CM$41,$CN$41)</f>
        <v>8</v>
      </c>
      <c r="CP41" s="52">
        <f>SUM($BY$41,$BZ$41,$CA$41,$CB$41,$CC$41,$CD$41,$CE$41,$CF$41)</f>
        <v>8</v>
      </c>
      <c r="CQ41" s="52">
        <f>SUM($CQ$37:$CQ$40)</f>
        <v>0</v>
      </c>
      <c r="CR41" s="52">
        <f>SUM($CR$37:$CR$40)</f>
        <v>0</v>
      </c>
      <c r="CS41" s="52">
        <f>SUM($CS$37:$CS$40)</f>
        <v>0</v>
      </c>
      <c r="CT41" s="52">
        <f>SUM($CT$37:$CT$40)</f>
        <v>0</v>
      </c>
      <c r="CU41" s="52">
        <f>SUM($CU$37:$CU$40)</f>
        <v>0</v>
      </c>
      <c r="CV41" s="52">
        <f>SUM($CV$37:$CV$40)</f>
        <v>0</v>
      </c>
      <c r="CW41" s="52">
        <f>SUM($CW$37:$CW$40)</f>
        <v>0</v>
      </c>
      <c r="CX41" s="52">
        <f>SUM($CX$37:$CX$40)</f>
        <v>0</v>
      </c>
      <c r="CY41" s="52">
        <f>SUM($CY$37:$CY$40)</f>
        <v>0</v>
      </c>
      <c r="CZ41" s="52">
        <f>SUM($CZ$37:$CZ$40)</f>
        <v>0</v>
      </c>
      <c r="DA41" s="52">
        <f>SUM($DA$37:$DA$40)</f>
        <v>0</v>
      </c>
      <c r="DB41" s="52">
        <f>SUM($DB$37:$DB$40)</f>
        <v>0</v>
      </c>
      <c r="DC41" s="52">
        <f>SUM($DC$37:$DC$40)</f>
        <v>0</v>
      </c>
      <c r="DD41" s="52">
        <f>SUM($DD$37:$DD$40)</f>
        <v>0</v>
      </c>
      <c r="DE41" s="52">
        <f>SUM($DE$37:$DE$40)</f>
        <v>0</v>
      </c>
      <c r="DF41" s="52">
        <f>SUM($DF$37:$DF$40)</f>
        <v>0</v>
      </c>
      <c r="DG41" s="52">
        <f>SUM($CY$41,$CZ$41,$DA$41,$DB$41,$DC$41,$DD$41,$DE$41,$DF$41)</f>
        <v>0</v>
      </c>
      <c r="DH41" s="52">
        <f>SUM($CQ$41,$CR$41,$CS$41,$CT$41,$CU$41,$CV$41,$CW$41,$CX$41)</f>
        <v>0</v>
      </c>
    </row>
    <row r="42" spans="1:112" ht="21" customHeight="1">
      <c r="A42" s="46">
        <v>44395.25</v>
      </c>
      <c r="B42" s="53" t="s">
        <v>55</v>
      </c>
      <c r="C42" s="54">
        <v>0</v>
      </c>
      <c r="D42" s="54">
        <v>0</v>
      </c>
      <c r="E42" s="54">
        <v>0</v>
      </c>
      <c r="F42" s="54">
        <v>0</v>
      </c>
      <c r="G42" s="54">
        <v>0</v>
      </c>
      <c r="H42" s="54">
        <v>0</v>
      </c>
      <c r="I42" s="54">
        <v>0</v>
      </c>
      <c r="J42" s="61">
        <v>0</v>
      </c>
      <c r="K42" s="62">
        <f>$C$42*VLOOKUP($C$11,'PCU Values'!$B$9:$C$16,2,FALSE)</f>
        <v>0</v>
      </c>
      <c r="L42" s="62">
        <f>$D$42*VLOOKUP($D$11,'PCU Values'!$B$9:$C$16,2,FALSE)</f>
        <v>0</v>
      </c>
      <c r="M42" s="62">
        <f>$E$42*VLOOKUP($E$11,'PCU Values'!$B$9:$C$16,2,FALSE)</f>
        <v>0</v>
      </c>
      <c r="N42" s="62">
        <f>$F$42*VLOOKUP($F$11,'PCU Values'!$B$9:$C$16,2,FALSE)</f>
        <v>0</v>
      </c>
      <c r="O42" s="62">
        <f>$G$42*VLOOKUP($G$11,'PCU Values'!$B$9:$C$16,2,FALSE)</f>
        <v>0</v>
      </c>
      <c r="P42" s="62">
        <f>$H$42*VLOOKUP($H$11,'PCU Values'!$B$9:$C$16,2,FALSE)</f>
        <v>0</v>
      </c>
      <c r="Q42" s="62">
        <f>$I$42*VLOOKUP($I$11,'PCU Values'!$B$9:$C$16,2,FALSE)</f>
        <v>0</v>
      </c>
      <c r="R42" s="70">
        <f>$J$42*VLOOKUP($J$11,'PCU Values'!$B$9:$C$16,2,FALSE)</f>
        <v>0</v>
      </c>
      <c r="S42" s="71">
        <f>SUM($K$42,$L$42,$M$42,$N$42,$O$42,$P$42,$Q$42,$R$42)</f>
        <v>0</v>
      </c>
      <c r="T42" s="52">
        <f>SUM($C$42,$D$42,$E$42,$F$42,$G$42,$H$42,$I$42,$J$42)</f>
        <v>0</v>
      </c>
      <c r="U42" s="72">
        <v>0</v>
      </c>
      <c r="V42" s="54">
        <v>0</v>
      </c>
      <c r="W42" s="54">
        <v>0</v>
      </c>
      <c r="X42" s="54">
        <v>0</v>
      </c>
      <c r="Y42" s="54">
        <v>0</v>
      </c>
      <c r="Z42" s="54">
        <v>1</v>
      </c>
      <c r="AA42" s="54">
        <v>0</v>
      </c>
      <c r="AB42" s="61">
        <v>0</v>
      </c>
      <c r="AC42" s="62">
        <f>$U$42*VLOOKUP($U$11,'PCU Values'!$B$9:$C$16,2,FALSE)</f>
        <v>0</v>
      </c>
      <c r="AD42" s="62">
        <f>$V$42*VLOOKUP($V$11,'PCU Values'!$B$9:$C$16,2,FALSE)</f>
        <v>0</v>
      </c>
      <c r="AE42" s="62">
        <f>$W$42*VLOOKUP($W$11,'PCU Values'!$B$9:$C$16,2,FALSE)</f>
        <v>0</v>
      </c>
      <c r="AF42" s="62">
        <f>$X$42*VLOOKUP($X$11,'PCU Values'!$B$9:$C$16,2,FALSE)</f>
        <v>0</v>
      </c>
      <c r="AG42" s="62">
        <f>$Y$42*VLOOKUP($Y$11,'PCU Values'!$B$9:$C$16,2,FALSE)</f>
        <v>0</v>
      </c>
      <c r="AH42" s="62">
        <f>$Z$42*VLOOKUP($Z$11,'PCU Values'!$B$9:$C$16,2,FALSE)</f>
        <v>0.2</v>
      </c>
      <c r="AI42" s="62">
        <f>$AA$42*VLOOKUP($AA$11,'PCU Values'!$B$9:$C$16,2,FALSE)</f>
        <v>0</v>
      </c>
      <c r="AJ42" s="70">
        <f>$AB$42*VLOOKUP($AB$11,'PCU Values'!$B$9:$C$16,2,FALSE)</f>
        <v>0</v>
      </c>
      <c r="AK42" s="71">
        <f>SUM($AC$42,$AD$42,$AE$42,$AF$42,$AG$42,$AH$42,$AI$42,$AJ$42)</f>
        <v>0.2</v>
      </c>
      <c r="AL42" s="52">
        <f>SUM($U$42,$V$42,$W$42,$X$42,$Y$42,$Z$42,$AA$42,$AB$42)</f>
        <v>1</v>
      </c>
      <c r="AM42" s="72">
        <v>0</v>
      </c>
      <c r="AN42" s="54">
        <v>0</v>
      </c>
      <c r="AO42" s="54">
        <v>0</v>
      </c>
      <c r="AP42" s="54">
        <v>0</v>
      </c>
      <c r="AQ42" s="54">
        <v>0</v>
      </c>
      <c r="AR42" s="54">
        <v>0</v>
      </c>
      <c r="AS42" s="54">
        <v>0</v>
      </c>
      <c r="AT42" s="61">
        <v>0</v>
      </c>
      <c r="AU42" s="62">
        <f>$AM$42*VLOOKUP($AM$11,'PCU Values'!$B$9:$C$16,2,FALSE)</f>
        <v>0</v>
      </c>
      <c r="AV42" s="62">
        <f>$AN$42*VLOOKUP($AN$11,'PCU Values'!$B$9:$C$16,2,FALSE)</f>
        <v>0</v>
      </c>
      <c r="AW42" s="62">
        <f>$AO$42*VLOOKUP($AO$11,'PCU Values'!$B$9:$C$16,2,FALSE)</f>
        <v>0</v>
      </c>
      <c r="AX42" s="62">
        <f>$AP$42*VLOOKUP($AP$11,'PCU Values'!$B$9:$C$16,2,FALSE)</f>
        <v>0</v>
      </c>
      <c r="AY42" s="62">
        <f>$AQ$42*VLOOKUP($AQ$11,'PCU Values'!$B$9:$C$16,2,FALSE)</f>
        <v>0</v>
      </c>
      <c r="AZ42" s="62">
        <f>$AR$42*VLOOKUP($AR$11,'PCU Values'!$B$9:$C$16,2,FALSE)</f>
        <v>0</v>
      </c>
      <c r="BA42" s="62">
        <f>$AS$42*VLOOKUP($AS$11,'PCU Values'!$B$9:$C$16,2,FALSE)</f>
        <v>0</v>
      </c>
      <c r="BB42" s="70">
        <f>$AT$42*VLOOKUP($AT$11,'PCU Values'!$B$9:$C$16,2,FALSE)</f>
        <v>0</v>
      </c>
      <c r="BC42" s="71">
        <f>SUM($AU$42,$AV$42,$AW$42,$AX$42,$AY$42,$AZ$42,$BA$42,$BB$42)</f>
        <v>0</v>
      </c>
      <c r="BD42" s="52">
        <f>SUM($AM$42,$AN$42,$AO$42,$AP$42,$AQ$42,$AR$42,$AS$42,$AT$42)</f>
        <v>0</v>
      </c>
      <c r="BE42" s="72">
        <v>0</v>
      </c>
      <c r="BF42" s="54">
        <v>0</v>
      </c>
      <c r="BG42" s="54">
        <v>0</v>
      </c>
      <c r="BH42" s="54">
        <v>0</v>
      </c>
      <c r="BI42" s="54">
        <v>0</v>
      </c>
      <c r="BJ42" s="54">
        <v>0</v>
      </c>
      <c r="BK42" s="54">
        <v>0</v>
      </c>
      <c r="BL42" s="61">
        <v>0</v>
      </c>
      <c r="BM42" s="81">
        <f>$BE$42*VLOOKUP($BE$11,'PCU Values'!$B$9:$C$16,2,FALSE)</f>
        <v>0</v>
      </c>
      <c r="BN42" s="81">
        <f>$BF$42*VLOOKUP($BF$11,'PCU Values'!$B$9:$C$16,2,FALSE)</f>
        <v>0</v>
      </c>
      <c r="BO42" s="81">
        <f>$BG$42*VLOOKUP($BG$11,'PCU Values'!$B$9:$C$16,2,FALSE)</f>
        <v>0</v>
      </c>
      <c r="BP42" s="81">
        <f>$BH$42*VLOOKUP($BH$11,'PCU Values'!$B$9:$C$16,2,FALSE)</f>
        <v>0</v>
      </c>
      <c r="BQ42" s="81">
        <f>$BI$42*VLOOKUP($BI$11,'PCU Values'!$B$9:$C$16,2,FALSE)</f>
        <v>0</v>
      </c>
      <c r="BR42" s="81">
        <f>$BJ$42*VLOOKUP($BJ$11,'PCU Values'!$B$9:$C$16,2,FALSE)</f>
        <v>0</v>
      </c>
      <c r="BS42" s="81">
        <f>$BK$42*VLOOKUP($BK$11,'PCU Values'!$B$9:$C$16,2,FALSE)</f>
        <v>0</v>
      </c>
      <c r="BT42" s="82">
        <f>$BL$42*VLOOKUP($BL$11,'PCU Values'!$B$9:$C$16,2,FALSE)</f>
        <v>0</v>
      </c>
      <c r="BU42" s="71">
        <f>SUM($BM$42,$BN$42,$BO$42,$BP$42,$BQ$42,$BR$42,$BS$42,$BT$42)</f>
        <v>0</v>
      </c>
      <c r="BV42" s="52">
        <f>SUM($BE$42,$BF$42,$BG$42,$BH$42,$BI$42,$BJ$42,$BK$42,$BL$42)</f>
        <v>0</v>
      </c>
      <c r="BX42" s="53" t="s">
        <v>55</v>
      </c>
      <c r="BY42" s="85">
        <f>SUM($C$42,$U$42,$AM$42,$BE$42)</f>
        <v>0</v>
      </c>
      <c r="BZ42" s="85">
        <f>SUM($D$42,$V$42,$AN$42,$BF$42)</f>
        <v>0</v>
      </c>
      <c r="CA42" s="85">
        <f>SUM($E$42,$W$42,$AO$42,$BG$42)</f>
        <v>0</v>
      </c>
      <c r="CB42" s="85">
        <f>SUM($F$42,$X$42,$AP$42,$BH$42)</f>
        <v>0</v>
      </c>
      <c r="CC42" s="85">
        <f>SUM($G$42,$Y$42,$AQ$42,$BI$42)</f>
        <v>0</v>
      </c>
      <c r="CD42" s="85">
        <f>SUM($H$42,$Z$42,$AR$42,$BJ$42)</f>
        <v>1</v>
      </c>
      <c r="CE42" s="85">
        <f>SUM($I$42,$AA$42,$AS$42,$BK$42)</f>
        <v>0</v>
      </c>
      <c r="CF42" s="88">
        <f>SUM($J$42,$AB$42,$AT$42,$BL$42)</f>
        <v>0</v>
      </c>
      <c r="CG42" s="81">
        <f>$BY$42*VLOOKUP($BY$11,'PCU Values'!$B$9:$C$16,2,FALSE)</f>
        <v>0</v>
      </c>
      <c r="CH42" s="81">
        <f>$BZ$42*VLOOKUP($BZ$11,'PCU Values'!$B$9:$C$16,2,FALSE)</f>
        <v>0</v>
      </c>
      <c r="CI42" s="81">
        <f>$CA$42*VLOOKUP($CA$11,'PCU Values'!$B$9:$C$16,2,FALSE)</f>
        <v>0</v>
      </c>
      <c r="CJ42" s="81">
        <f>$CB$42*VLOOKUP($CB$11,'PCU Values'!$B$9:$C$16,2,FALSE)</f>
        <v>0</v>
      </c>
      <c r="CK42" s="81">
        <f>$CC$42*VLOOKUP($CC$11,'PCU Values'!$B$9:$C$16,2,FALSE)</f>
        <v>0</v>
      </c>
      <c r="CL42" s="81">
        <f>$CD$42*VLOOKUP($CD$11,'PCU Values'!$B$9:$C$16,2,FALSE)</f>
        <v>0.2</v>
      </c>
      <c r="CM42" s="81">
        <f>$CE$42*VLOOKUP($CE$11,'PCU Values'!$B$9:$C$16,2,FALSE)</f>
        <v>0</v>
      </c>
      <c r="CN42" s="82">
        <f>$CF$42*VLOOKUP($CF$11,'PCU Values'!$B$9:$C$16,2,FALSE)</f>
        <v>0</v>
      </c>
      <c r="CO42" s="71">
        <f>SUM($CG$42,$CH$42,$CI$42,$CJ$42,$CK$42,$CL$42,$CM$42,$CN$42)</f>
        <v>0.2</v>
      </c>
      <c r="CP42" s="52">
        <f>SUM($BY$42,$BZ$42,$CA$42,$CB$42,$CC$42,$CD$42,$CE$42,$CF$42)</f>
        <v>1</v>
      </c>
      <c r="CQ42" s="91">
        <f>SUM('J1 A - (North) Bishopthorpe Roa'!$AM$42,'J1 B - Butcher Terrace'!$U$42,'J1 C - (South) Bishopthorpe Roa'!$C$42,'J1 D - South Bank Avenue'!$BE$42)</f>
        <v>0</v>
      </c>
      <c r="CR42" s="85">
        <f>SUM('J1 A - (North) Bishopthorpe Roa'!$AN$42,'J1 B - Butcher Terrace'!$V$42,'J1 C - (South) Bishopthorpe Roa'!$D$42,'J1 D - South Bank Avenue'!$BF$42)</f>
        <v>0</v>
      </c>
      <c r="CS42" s="85">
        <f>SUM('J1 A - (North) Bishopthorpe Roa'!$AO$42,'J1 B - Butcher Terrace'!$W$42,'J1 C - (South) Bishopthorpe Roa'!$E$42,'J1 D - South Bank Avenue'!$BG$42)</f>
        <v>0</v>
      </c>
      <c r="CT42" s="85">
        <f>SUM('J1 A - (North) Bishopthorpe Roa'!$AP$42,'J1 B - Butcher Terrace'!$X$42,'J1 C - (South) Bishopthorpe Roa'!$F$42,'J1 D - South Bank Avenue'!$BH$42)</f>
        <v>0</v>
      </c>
      <c r="CU42" s="85">
        <f>SUM('J1 A - (North) Bishopthorpe Roa'!$AQ$42,'J1 B - Butcher Terrace'!$Y$42,'J1 C - (South) Bishopthorpe Roa'!$G$42,'J1 D - South Bank Avenue'!$BI$42)</f>
        <v>0</v>
      </c>
      <c r="CV42" s="85">
        <f>SUM('J1 A - (North) Bishopthorpe Roa'!$AR$42,'J1 B - Butcher Terrace'!$Z$42,'J1 C - (South) Bishopthorpe Roa'!$H$42,'J1 D - South Bank Avenue'!$BJ$42)</f>
        <v>2</v>
      </c>
      <c r="CW42" s="85">
        <f>SUM('J1 A - (North) Bishopthorpe Roa'!$AS$42,'J1 B - Butcher Terrace'!$AA$42,'J1 C - (South) Bishopthorpe Roa'!$I$42,'J1 D - South Bank Avenue'!$BK$42)</f>
        <v>0</v>
      </c>
      <c r="CX42" s="88">
        <f>SUM('J1 A - (North) Bishopthorpe Roa'!$AT$42,'J1 B - Butcher Terrace'!$AB$42,'J1 C - (South) Bishopthorpe Roa'!$J$42,'J1 D - South Bank Avenue'!$BL$42)</f>
        <v>0</v>
      </c>
      <c r="CY42" s="81">
        <f>$CQ$42*VLOOKUP($CQ$11,'PCU Values'!$B$9:$C$16,2,FALSE)</f>
        <v>0</v>
      </c>
      <c r="CZ42" s="81">
        <f>$CR$42*VLOOKUP($CR$11,'PCU Values'!$B$9:$C$16,2,FALSE)</f>
        <v>0</v>
      </c>
      <c r="DA42" s="81">
        <f>$CS$42*VLOOKUP($CS$11,'PCU Values'!$B$9:$C$16,2,FALSE)</f>
        <v>0</v>
      </c>
      <c r="DB42" s="81">
        <f>$CT$42*VLOOKUP($CT$11,'PCU Values'!$B$9:$C$16,2,FALSE)</f>
        <v>0</v>
      </c>
      <c r="DC42" s="81">
        <f>$CU$42*VLOOKUP($CU$11,'PCU Values'!$B$9:$C$16,2,FALSE)</f>
        <v>0</v>
      </c>
      <c r="DD42" s="81">
        <f>$CV$42*VLOOKUP($CV$11,'PCU Values'!$B$9:$C$16,2,FALSE)</f>
        <v>0.4</v>
      </c>
      <c r="DE42" s="81">
        <f>$CW$42*VLOOKUP($CW$11,'PCU Values'!$B$9:$C$16,2,FALSE)</f>
        <v>0</v>
      </c>
      <c r="DF42" s="82">
        <f>$CX$42*VLOOKUP($CX$11,'PCU Values'!$B$9:$C$16,2,FALSE)</f>
        <v>0</v>
      </c>
      <c r="DG42" s="71">
        <f>SUM($CY$42,$CZ$42,$DA$42,$DB$42,$DC$42,$DD$42,$DE$42,$DF$42)</f>
        <v>0.4</v>
      </c>
      <c r="DH42" s="52">
        <f>SUM($CQ$42,$CR$42,$CS$42,$CT$42,$CU$42,$CV$42,$CW$42,$CX$42)</f>
        <v>2</v>
      </c>
    </row>
    <row r="43" spans="1:112" ht="21" customHeight="1">
      <c r="A43" s="46">
        <v>44395.260416666701</v>
      </c>
      <c r="B43" s="47" t="s">
        <v>56</v>
      </c>
      <c r="C43" s="48">
        <v>0</v>
      </c>
      <c r="D43" s="48">
        <v>0</v>
      </c>
      <c r="E43" s="48">
        <v>0</v>
      </c>
      <c r="F43" s="48">
        <v>0</v>
      </c>
      <c r="G43" s="48">
        <v>0</v>
      </c>
      <c r="H43" s="48">
        <v>0</v>
      </c>
      <c r="I43" s="48">
        <v>0</v>
      </c>
      <c r="J43" s="56">
        <v>0</v>
      </c>
      <c r="K43" s="57">
        <f>$C$43*VLOOKUP($C$11,'PCU Values'!$B$9:$C$16,2,FALSE)</f>
        <v>0</v>
      </c>
      <c r="L43" s="57">
        <f>$D$43*VLOOKUP($D$11,'PCU Values'!$B$9:$C$16,2,FALSE)</f>
        <v>0</v>
      </c>
      <c r="M43" s="57">
        <f>$E$43*VLOOKUP($E$11,'PCU Values'!$B$9:$C$16,2,FALSE)</f>
        <v>0</v>
      </c>
      <c r="N43" s="57">
        <f>$F$43*VLOOKUP($F$11,'PCU Values'!$B$9:$C$16,2,FALSE)</f>
        <v>0</v>
      </c>
      <c r="O43" s="57">
        <f>$G$43*VLOOKUP($G$11,'PCU Values'!$B$9:$C$16,2,FALSE)</f>
        <v>0</v>
      </c>
      <c r="P43" s="57">
        <f>$H$43*VLOOKUP($H$11,'PCU Values'!$B$9:$C$16,2,FALSE)</f>
        <v>0</v>
      </c>
      <c r="Q43" s="57">
        <f>$I$43*VLOOKUP($I$11,'PCU Values'!$B$9:$C$16,2,FALSE)</f>
        <v>0</v>
      </c>
      <c r="R43" s="65">
        <f>$J$43*VLOOKUP($J$11,'PCU Values'!$B$9:$C$16,2,FALSE)</f>
        <v>0</v>
      </c>
      <c r="S43" s="66">
        <f>SUM($K$43,$L$43,$M$43,$N$43,$O$43,$P$43,$Q$43,$R$43)</f>
        <v>0</v>
      </c>
      <c r="T43" s="52">
        <f>SUM($C$43,$D$43,$E$43,$F$43,$G$43,$H$43,$I$43,$J$43)</f>
        <v>0</v>
      </c>
      <c r="U43" s="67">
        <v>0</v>
      </c>
      <c r="V43" s="48">
        <v>0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56">
        <v>0</v>
      </c>
      <c r="AC43" s="57">
        <f>$U$43*VLOOKUP($U$11,'PCU Values'!$B$9:$C$16,2,FALSE)</f>
        <v>0</v>
      </c>
      <c r="AD43" s="57">
        <f>$V$43*VLOOKUP($V$11,'PCU Values'!$B$9:$C$16,2,FALSE)</f>
        <v>0</v>
      </c>
      <c r="AE43" s="57">
        <f>$W$43*VLOOKUP($W$11,'PCU Values'!$B$9:$C$16,2,FALSE)</f>
        <v>0</v>
      </c>
      <c r="AF43" s="57">
        <f>$X$43*VLOOKUP($X$11,'PCU Values'!$B$9:$C$16,2,FALSE)</f>
        <v>0</v>
      </c>
      <c r="AG43" s="57">
        <f>$Y$43*VLOOKUP($Y$11,'PCU Values'!$B$9:$C$16,2,FALSE)</f>
        <v>0</v>
      </c>
      <c r="AH43" s="57">
        <f>$Z$43*VLOOKUP($Z$11,'PCU Values'!$B$9:$C$16,2,FALSE)</f>
        <v>0</v>
      </c>
      <c r="AI43" s="57">
        <f>$AA$43*VLOOKUP($AA$11,'PCU Values'!$B$9:$C$16,2,FALSE)</f>
        <v>0</v>
      </c>
      <c r="AJ43" s="65">
        <f>$AB$43*VLOOKUP($AB$11,'PCU Values'!$B$9:$C$16,2,FALSE)</f>
        <v>0</v>
      </c>
      <c r="AK43" s="66">
        <f>SUM($AC$43,$AD$43,$AE$43,$AF$43,$AG$43,$AH$43,$AI$43,$AJ$43)</f>
        <v>0</v>
      </c>
      <c r="AL43" s="52">
        <f>SUM($U$43,$V$43,$W$43,$X$43,$Y$43,$Z$43,$AA$43,$AB$43)</f>
        <v>0</v>
      </c>
      <c r="AM43" s="67">
        <v>1</v>
      </c>
      <c r="AN43" s="48">
        <v>0</v>
      </c>
      <c r="AO43" s="48">
        <v>0</v>
      </c>
      <c r="AP43" s="48">
        <v>0</v>
      </c>
      <c r="AQ43" s="48">
        <v>0</v>
      </c>
      <c r="AR43" s="48">
        <v>0</v>
      </c>
      <c r="AS43" s="48">
        <v>0</v>
      </c>
      <c r="AT43" s="56">
        <v>0</v>
      </c>
      <c r="AU43" s="57">
        <f>$AM$43*VLOOKUP($AM$11,'PCU Values'!$B$9:$C$16,2,FALSE)</f>
        <v>1</v>
      </c>
      <c r="AV43" s="57">
        <f>$AN$43*VLOOKUP($AN$11,'PCU Values'!$B$9:$C$16,2,FALSE)</f>
        <v>0</v>
      </c>
      <c r="AW43" s="57">
        <f>$AO$43*VLOOKUP($AO$11,'PCU Values'!$B$9:$C$16,2,FALSE)</f>
        <v>0</v>
      </c>
      <c r="AX43" s="57">
        <f>$AP$43*VLOOKUP($AP$11,'PCU Values'!$B$9:$C$16,2,FALSE)</f>
        <v>0</v>
      </c>
      <c r="AY43" s="57">
        <f>$AQ$43*VLOOKUP($AQ$11,'PCU Values'!$B$9:$C$16,2,FALSE)</f>
        <v>0</v>
      </c>
      <c r="AZ43" s="57">
        <f>$AR$43*VLOOKUP($AR$11,'PCU Values'!$B$9:$C$16,2,FALSE)</f>
        <v>0</v>
      </c>
      <c r="BA43" s="57">
        <f>$AS$43*VLOOKUP($AS$11,'PCU Values'!$B$9:$C$16,2,FALSE)</f>
        <v>0</v>
      </c>
      <c r="BB43" s="65">
        <f>$AT$43*VLOOKUP($AT$11,'PCU Values'!$B$9:$C$16,2,FALSE)</f>
        <v>0</v>
      </c>
      <c r="BC43" s="66">
        <f>SUM($AU$43,$AV$43,$AW$43,$AX$43,$AY$43,$AZ$43,$BA$43,$BB$43)</f>
        <v>1</v>
      </c>
      <c r="BD43" s="52">
        <f>SUM($AM$43,$AN$43,$AO$43,$AP$43,$AQ$43,$AR$43,$AS$43,$AT$43)</f>
        <v>1</v>
      </c>
      <c r="BE43" s="67">
        <v>0</v>
      </c>
      <c r="BF43" s="48">
        <v>0</v>
      </c>
      <c r="BG43" s="48">
        <v>0</v>
      </c>
      <c r="BH43" s="48">
        <v>0</v>
      </c>
      <c r="BI43" s="48">
        <v>0</v>
      </c>
      <c r="BJ43" s="48">
        <v>0</v>
      </c>
      <c r="BK43" s="48">
        <v>0</v>
      </c>
      <c r="BL43" s="56">
        <v>0</v>
      </c>
      <c r="BM43" s="77">
        <f>$BE$43*VLOOKUP($BE$11,'PCU Values'!$B$9:$C$16,2,FALSE)</f>
        <v>0</v>
      </c>
      <c r="BN43" s="77">
        <f>$BF$43*VLOOKUP($BF$11,'PCU Values'!$B$9:$C$16,2,FALSE)</f>
        <v>0</v>
      </c>
      <c r="BO43" s="77">
        <f>$BG$43*VLOOKUP($BG$11,'PCU Values'!$B$9:$C$16,2,FALSE)</f>
        <v>0</v>
      </c>
      <c r="BP43" s="77">
        <f>$BH$43*VLOOKUP($BH$11,'PCU Values'!$B$9:$C$16,2,FALSE)</f>
        <v>0</v>
      </c>
      <c r="BQ43" s="77">
        <f>$BI$43*VLOOKUP($BI$11,'PCU Values'!$B$9:$C$16,2,FALSE)</f>
        <v>0</v>
      </c>
      <c r="BR43" s="77">
        <f>$BJ$43*VLOOKUP($BJ$11,'PCU Values'!$B$9:$C$16,2,FALSE)</f>
        <v>0</v>
      </c>
      <c r="BS43" s="77">
        <f>$BK$43*VLOOKUP($BK$11,'PCU Values'!$B$9:$C$16,2,FALSE)</f>
        <v>0</v>
      </c>
      <c r="BT43" s="78">
        <f>$BL$43*VLOOKUP($BL$11,'PCU Values'!$B$9:$C$16,2,FALSE)</f>
        <v>0</v>
      </c>
      <c r="BU43" s="66">
        <f>SUM($BM$43,$BN$43,$BO$43,$BP$43,$BQ$43,$BR$43,$BS$43,$BT$43)</f>
        <v>0</v>
      </c>
      <c r="BV43" s="52">
        <f>SUM($BE$43,$BF$43,$BG$43,$BH$43,$BI$43,$BJ$43,$BK$43,$BL$43)</f>
        <v>0</v>
      </c>
      <c r="BX43" s="47" t="s">
        <v>56</v>
      </c>
      <c r="BY43" s="83">
        <f>SUM($C$43,$U$43,$AM$43,$BE$43)</f>
        <v>1</v>
      </c>
      <c r="BZ43" s="83">
        <f>SUM($D$43,$V$43,$AN$43,$BF$43)</f>
        <v>0</v>
      </c>
      <c r="CA43" s="83">
        <f>SUM($E$43,$W$43,$AO$43,$BG$43)</f>
        <v>0</v>
      </c>
      <c r="CB43" s="83">
        <f>SUM($F$43,$X$43,$AP$43,$BH$43)</f>
        <v>0</v>
      </c>
      <c r="CC43" s="83">
        <f>SUM($G$43,$Y$43,$AQ$43,$BI$43)</f>
        <v>0</v>
      </c>
      <c r="CD43" s="83">
        <f>SUM($H$43,$Z$43,$AR$43,$BJ$43)</f>
        <v>0</v>
      </c>
      <c r="CE43" s="83">
        <f>SUM($I$43,$AA$43,$AS$43,$BK$43)</f>
        <v>0</v>
      </c>
      <c r="CF43" s="86">
        <f>SUM($J$43,$AB$43,$AT$43,$BL$43)</f>
        <v>0</v>
      </c>
      <c r="CG43" s="77">
        <f>$BY$43*VLOOKUP($BY$11,'PCU Values'!$B$9:$C$16,2,FALSE)</f>
        <v>1</v>
      </c>
      <c r="CH43" s="77">
        <f>$BZ$43*VLOOKUP($BZ$11,'PCU Values'!$B$9:$C$16,2,FALSE)</f>
        <v>0</v>
      </c>
      <c r="CI43" s="77">
        <f>$CA$43*VLOOKUP($CA$11,'PCU Values'!$B$9:$C$16,2,FALSE)</f>
        <v>0</v>
      </c>
      <c r="CJ43" s="77">
        <f>$CB$43*VLOOKUP($CB$11,'PCU Values'!$B$9:$C$16,2,FALSE)</f>
        <v>0</v>
      </c>
      <c r="CK43" s="77">
        <f>$CC$43*VLOOKUP($CC$11,'PCU Values'!$B$9:$C$16,2,FALSE)</f>
        <v>0</v>
      </c>
      <c r="CL43" s="77">
        <f>$CD$43*VLOOKUP($CD$11,'PCU Values'!$B$9:$C$16,2,FALSE)</f>
        <v>0</v>
      </c>
      <c r="CM43" s="77">
        <f>$CE$43*VLOOKUP($CE$11,'PCU Values'!$B$9:$C$16,2,FALSE)</f>
        <v>0</v>
      </c>
      <c r="CN43" s="78">
        <f>$CF$43*VLOOKUP($CF$11,'PCU Values'!$B$9:$C$16,2,FALSE)</f>
        <v>0</v>
      </c>
      <c r="CO43" s="66">
        <f>SUM($CG$43,$CH$43,$CI$43,$CJ$43,$CK$43,$CL$43,$CM$43,$CN$43)</f>
        <v>1</v>
      </c>
      <c r="CP43" s="52">
        <f>SUM($BY$43,$BZ$43,$CA$43,$CB$43,$CC$43,$CD$43,$CE$43,$CF$43)</f>
        <v>1</v>
      </c>
      <c r="CQ43" s="89">
        <f>SUM('J1 A - (North) Bishopthorpe Roa'!$AM$43,'J1 B - Butcher Terrace'!$U$43,'J1 C - (South) Bishopthorpe Roa'!$C$43,'J1 D - South Bank Avenue'!$BE$43)</f>
        <v>1</v>
      </c>
      <c r="CR43" s="83">
        <f>SUM('J1 A - (North) Bishopthorpe Roa'!$AN$43,'J1 B - Butcher Terrace'!$V$43,'J1 C - (South) Bishopthorpe Roa'!$D$43,'J1 D - South Bank Avenue'!$BF$43)</f>
        <v>0</v>
      </c>
      <c r="CS43" s="83">
        <f>SUM('J1 A - (North) Bishopthorpe Roa'!$AO$43,'J1 B - Butcher Terrace'!$W$43,'J1 C - (South) Bishopthorpe Roa'!$E$43,'J1 D - South Bank Avenue'!$BG$43)</f>
        <v>0</v>
      </c>
      <c r="CT43" s="83">
        <f>SUM('J1 A - (North) Bishopthorpe Roa'!$AP$43,'J1 B - Butcher Terrace'!$X$43,'J1 C - (South) Bishopthorpe Roa'!$F$43,'J1 D - South Bank Avenue'!$BH$43)</f>
        <v>0</v>
      </c>
      <c r="CU43" s="83">
        <f>SUM('J1 A - (North) Bishopthorpe Roa'!$AQ$43,'J1 B - Butcher Terrace'!$Y$43,'J1 C - (South) Bishopthorpe Roa'!$G$43,'J1 D - South Bank Avenue'!$BI$43)</f>
        <v>0</v>
      </c>
      <c r="CV43" s="83">
        <f>SUM('J1 A - (North) Bishopthorpe Roa'!$AR$43,'J1 B - Butcher Terrace'!$Z$43,'J1 C - (South) Bishopthorpe Roa'!$H$43,'J1 D - South Bank Avenue'!$BJ$43)</f>
        <v>0</v>
      </c>
      <c r="CW43" s="83">
        <f>SUM('J1 A - (North) Bishopthorpe Roa'!$AS$43,'J1 B - Butcher Terrace'!$AA$43,'J1 C - (South) Bishopthorpe Roa'!$I$43,'J1 D - South Bank Avenue'!$BK$43)</f>
        <v>0</v>
      </c>
      <c r="CX43" s="86">
        <f>SUM('J1 A - (North) Bishopthorpe Roa'!$AT$43,'J1 B - Butcher Terrace'!$AB$43,'J1 C - (South) Bishopthorpe Roa'!$J$43,'J1 D - South Bank Avenue'!$BL$43)</f>
        <v>0</v>
      </c>
      <c r="CY43" s="77">
        <f>$CQ$43*VLOOKUP($CQ$11,'PCU Values'!$B$9:$C$16,2,FALSE)</f>
        <v>1</v>
      </c>
      <c r="CZ43" s="77">
        <f>$CR$43*VLOOKUP($CR$11,'PCU Values'!$B$9:$C$16,2,FALSE)</f>
        <v>0</v>
      </c>
      <c r="DA43" s="77">
        <f>$CS$43*VLOOKUP($CS$11,'PCU Values'!$B$9:$C$16,2,FALSE)</f>
        <v>0</v>
      </c>
      <c r="DB43" s="77">
        <f>$CT$43*VLOOKUP($CT$11,'PCU Values'!$B$9:$C$16,2,FALSE)</f>
        <v>0</v>
      </c>
      <c r="DC43" s="77">
        <f>$CU$43*VLOOKUP($CU$11,'PCU Values'!$B$9:$C$16,2,FALSE)</f>
        <v>0</v>
      </c>
      <c r="DD43" s="77">
        <f>$CV$43*VLOOKUP($CV$11,'PCU Values'!$B$9:$C$16,2,FALSE)</f>
        <v>0</v>
      </c>
      <c r="DE43" s="77">
        <f>$CW$43*VLOOKUP($CW$11,'PCU Values'!$B$9:$C$16,2,FALSE)</f>
        <v>0</v>
      </c>
      <c r="DF43" s="78">
        <f>$CX$43*VLOOKUP($CX$11,'PCU Values'!$B$9:$C$16,2,FALSE)</f>
        <v>0</v>
      </c>
      <c r="DG43" s="66">
        <f>SUM($CY$43,$CZ$43,$DA$43,$DB$43,$DC$43,$DD$43,$DE$43,$DF$43)</f>
        <v>1</v>
      </c>
      <c r="DH43" s="52">
        <f>SUM($CQ$43,$CR$43,$CS$43,$CT$43,$CU$43,$CV$43,$CW$43,$CX$43)</f>
        <v>1</v>
      </c>
    </row>
    <row r="44" spans="1:112" ht="21" customHeight="1">
      <c r="A44" s="46">
        <v>44395.270833333299</v>
      </c>
      <c r="B44" s="47" t="s">
        <v>57</v>
      </c>
      <c r="C44" s="49">
        <v>5</v>
      </c>
      <c r="D44" s="49">
        <v>0</v>
      </c>
      <c r="E44" s="49">
        <v>0</v>
      </c>
      <c r="F44" s="49">
        <v>0</v>
      </c>
      <c r="G44" s="49">
        <v>0</v>
      </c>
      <c r="H44" s="49">
        <v>0</v>
      </c>
      <c r="I44" s="49">
        <v>0</v>
      </c>
      <c r="J44" s="58">
        <v>0</v>
      </c>
      <c r="K44" s="57">
        <f>$C$44*VLOOKUP($C$11,'PCU Values'!$B$9:$C$16,2,FALSE)</f>
        <v>5</v>
      </c>
      <c r="L44" s="57">
        <f>$D$44*VLOOKUP($D$11,'PCU Values'!$B$9:$C$16,2,FALSE)</f>
        <v>0</v>
      </c>
      <c r="M44" s="57">
        <f>$E$44*VLOOKUP($E$11,'PCU Values'!$B$9:$C$16,2,FALSE)</f>
        <v>0</v>
      </c>
      <c r="N44" s="57">
        <f>$F$44*VLOOKUP($F$11,'PCU Values'!$B$9:$C$16,2,FALSE)</f>
        <v>0</v>
      </c>
      <c r="O44" s="57">
        <f>$G$44*VLOOKUP($G$11,'PCU Values'!$B$9:$C$16,2,FALSE)</f>
        <v>0</v>
      </c>
      <c r="P44" s="57">
        <f>$H$44*VLOOKUP($H$11,'PCU Values'!$B$9:$C$16,2,FALSE)</f>
        <v>0</v>
      </c>
      <c r="Q44" s="57">
        <f>$I$44*VLOOKUP($I$11,'PCU Values'!$B$9:$C$16,2,FALSE)</f>
        <v>0</v>
      </c>
      <c r="R44" s="65">
        <f>$J$44*VLOOKUP($J$11,'PCU Values'!$B$9:$C$16,2,FALSE)</f>
        <v>0</v>
      </c>
      <c r="S44" s="66">
        <f>SUM($K$44,$L$44,$M$44,$N$44,$O$44,$P$44,$Q$44,$R$44)</f>
        <v>5</v>
      </c>
      <c r="T44" s="52">
        <f>SUM($C$44,$D$44,$E$44,$F$44,$G$44,$H$44,$I$44,$J$44)</f>
        <v>5</v>
      </c>
      <c r="U44" s="49">
        <v>0</v>
      </c>
      <c r="V44" s="49">
        <v>0</v>
      </c>
      <c r="W44" s="49">
        <v>0</v>
      </c>
      <c r="X44" s="49">
        <v>0</v>
      </c>
      <c r="Y44" s="49">
        <v>0</v>
      </c>
      <c r="Z44" s="49">
        <v>4</v>
      </c>
      <c r="AA44" s="49">
        <v>0</v>
      </c>
      <c r="AB44" s="58">
        <v>0</v>
      </c>
      <c r="AC44" s="57">
        <f>$U$44*VLOOKUP($U$11,'PCU Values'!$B$9:$C$16,2,FALSE)</f>
        <v>0</v>
      </c>
      <c r="AD44" s="57">
        <f>$V$44*VLOOKUP($V$11,'PCU Values'!$B$9:$C$16,2,FALSE)</f>
        <v>0</v>
      </c>
      <c r="AE44" s="57">
        <f>$W$44*VLOOKUP($W$11,'PCU Values'!$B$9:$C$16,2,FALSE)</f>
        <v>0</v>
      </c>
      <c r="AF44" s="57">
        <f>$X$44*VLOOKUP($X$11,'PCU Values'!$B$9:$C$16,2,FALSE)</f>
        <v>0</v>
      </c>
      <c r="AG44" s="57">
        <f>$Y$44*VLOOKUP($Y$11,'PCU Values'!$B$9:$C$16,2,FALSE)</f>
        <v>0</v>
      </c>
      <c r="AH44" s="57">
        <f>$Z$44*VLOOKUP($Z$11,'PCU Values'!$B$9:$C$16,2,FALSE)</f>
        <v>0.8</v>
      </c>
      <c r="AI44" s="57">
        <f>$AA$44*VLOOKUP($AA$11,'PCU Values'!$B$9:$C$16,2,FALSE)</f>
        <v>0</v>
      </c>
      <c r="AJ44" s="65">
        <f>$AB$44*VLOOKUP($AB$11,'PCU Values'!$B$9:$C$16,2,FALSE)</f>
        <v>0</v>
      </c>
      <c r="AK44" s="66">
        <f>SUM($AC$44,$AD$44,$AE$44,$AF$44,$AG$44,$AH$44,$AI$44,$AJ$44)</f>
        <v>0.8</v>
      </c>
      <c r="AL44" s="52">
        <f>SUM($U$44,$V$44,$W$44,$X$44,$Y$44,$Z$44,$AA$44,$AB$44)</f>
        <v>4</v>
      </c>
      <c r="AM44" s="49">
        <v>1</v>
      </c>
      <c r="AN44" s="49">
        <v>0</v>
      </c>
      <c r="AO44" s="49">
        <v>0</v>
      </c>
      <c r="AP44" s="49">
        <v>0</v>
      </c>
      <c r="AQ44" s="49">
        <v>0</v>
      </c>
      <c r="AR44" s="49">
        <v>0</v>
      </c>
      <c r="AS44" s="49">
        <v>0</v>
      </c>
      <c r="AT44" s="58">
        <v>0</v>
      </c>
      <c r="AU44" s="57">
        <f>$AM$44*VLOOKUP($AM$11,'PCU Values'!$B$9:$C$16,2,FALSE)</f>
        <v>1</v>
      </c>
      <c r="AV44" s="57">
        <f>$AN$44*VLOOKUP($AN$11,'PCU Values'!$B$9:$C$16,2,FALSE)</f>
        <v>0</v>
      </c>
      <c r="AW44" s="57">
        <f>$AO$44*VLOOKUP($AO$11,'PCU Values'!$B$9:$C$16,2,FALSE)</f>
        <v>0</v>
      </c>
      <c r="AX44" s="57">
        <f>$AP$44*VLOOKUP($AP$11,'PCU Values'!$B$9:$C$16,2,FALSE)</f>
        <v>0</v>
      </c>
      <c r="AY44" s="57">
        <f>$AQ$44*VLOOKUP($AQ$11,'PCU Values'!$B$9:$C$16,2,FALSE)</f>
        <v>0</v>
      </c>
      <c r="AZ44" s="57">
        <f>$AR$44*VLOOKUP($AR$11,'PCU Values'!$B$9:$C$16,2,FALSE)</f>
        <v>0</v>
      </c>
      <c r="BA44" s="57">
        <f>$AS$44*VLOOKUP($AS$11,'PCU Values'!$B$9:$C$16,2,FALSE)</f>
        <v>0</v>
      </c>
      <c r="BB44" s="65">
        <f>$AT$44*VLOOKUP($AT$11,'PCU Values'!$B$9:$C$16,2,FALSE)</f>
        <v>0</v>
      </c>
      <c r="BC44" s="66">
        <f>SUM($AU$44,$AV$44,$AW$44,$AX$44,$AY$44,$AZ$44,$BA$44,$BB$44)</f>
        <v>1</v>
      </c>
      <c r="BD44" s="52">
        <f>SUM($AM$44,$AN$44,$AO$44,$AP$44,$AQ$44,$AR$44,$AS$44,$AT$44)</f>
        <v>1</v>
      </c>
      <c r="BE44" s="49">
        <v>0</v>
      </c>
      <c r="BF44" s="49">
        <v>0</v>
      </c>
      <c r="BG44" s="49">
        <v>0</v>
      </c>
      <c r="BH44" s="49">
        <v>0</v>
      </c>
      <c r="BI44" s="49">
        <v>0</v>
      </c>
      <c r="BJ44" s="49">
        <v>0</v>
      </c>
      <c r="BK44" s="49">
        <v>0</v>
      </c>
      <c r="BL44" s="58">
        <v>0</v>
      </c>
      <c r="BM44" s="77">
        <f>$BE$44*VLOOKUP($BE$11,'PCU Values'!$B$9:$C$16,2,FALSE)</f>
        <v>0</v>
      </c>
      <c r="BN44" s="77">
        <f>$BF$44*VLOOKUP($BF$11,'PCU Values'!$B$9:$C$16,2,FALSE)</f>
        <v>0</v>
      </c>
      <c r="BO44" s="77">
        <f>$BG$44*VLOOKUP($BG$11,'PCU Values'!$B$9:$C$16,2,FALSE)</f>
        <v>0</v>
      </c>
      <c r="BP44" s="77">
        <f>$BH$44*VLOOKUP($BH$11,'PCU Values'!$B$9:$C$16,2,FALSE)</f>
        <v>0</v>
      </c>
      <c r="BQ44" s="77">
        <f>$BI$44*VLOOKUP($BI$11,'PCU Values'!$B$9:$C$16,2,FALSE)</f>
        <v>0</v>
      </c>
      <c r="BR44" s="77">
        <f>$BJ$44*VLOOKUP($BJ$11,'PCU Values'!$B$9:$C$16,2,FALSE)</f>
        <v>0</v>
      </c>
      <c r="BS44" s="77">
        <f>$BK$44*VLOOKUP($BK$11,'PCU Values'!$B$9:$C$16,2,FALSE)</f>
        <v>0</v>
      </c>
      <c r="BT44" s="78">
        <f>$BL$44*VLOOKUP($BL$11,'PCU Values'!$B$9:$C$16,2,FALSE)</f>
        <v>0</v>
      </c>
      <c r="BU44" s="66">
        <f>SUM($BM$44,$BN$44,$BO$44,$BP$44,$BQ$44,$BR$44,$BS$44,$BT$44)</f>
        <v>0</v>
      </c>
      <c r="BV44" s="52">
        <f>SUM($BE$44,$BF$44,$BG$44,$BH$44,$BI$44,$BJ$44,$BK$44,$BL$44)</f>
        <v>0</v>
      </c>
      <c r="BX44" s="47" t="s">
        <v>57</v>
      </c>
      <c r="BY44" s="83">
        <f>SUM($C$44,$U$44,$AM$44,$BE$44)</f>
        <v>6</v>
      </c>
      <c r="BZ44" s="83">
        <f>SUM($D$44,$V$44,$AN$44,$BF$44)</f>
        <v>0</v>
      </c>
      <c r="CA44" s="83">
        <f>SUM($E$44,$W$44,$AO$44,$BG$44)</f>
        <v>0</v>
      </c>
      <c r="CB44" s="83">
        <f>SUM($F$44,$X$44,$AP$44,$BH$44)</f>
        <v>0</v>
      </c>
      <c r="CC44" s="83">
        <f>SUM($G$44,$Y$44,$AQ$44,$BI$44)</f>
        <v>0</v>
      </c>
      <c r="CD44" s="83">
        <f>SUM($H$44,$Z$44,$AR$44,$BJ$44)</f>
        <v>4</v>
      </c>
      <c r="CE44" s="83">
        <f>SUM($I$44,$AA$44,$AS$44,$BK$44)</f>
        <v>0</v>
      </c>
      <c r="CF44" s="86">
        <f>SUM($J$44,$AB$44,$AT$44,$BL$44)</f>
        <v>0</v>
      </c>
      <c r="CG44" s="77">
        <f>$BY$44*VLOOKUP($BY$11,'PCU Values'!$B$9:$C$16,2,FALSE)</f>
        <v>6</v>
      </c>
      <c r="CH44" s="77">
        <f>$BZ$44*VLOOKUP($BZ$11,'PCU Values'!$B$9:$C$16,2,FALSE)</f>
        <v>0</v>
      </c>
      <c r="CI44" s="77">
        <f>$CA$44*VLOOKUP($CA$11,'PCU Values'!$B$9:$C$16,2,FALSE)</f>
        <v>0</v>
      </c>
      <c r="CJ44" s="77">
        <f>$CB$44*VLOOKUP($CB$11,'PCU Values'!$B$9:$C$16,2,FALSE)</f>
        <v>0</v>
      </c>
      <c r="CK44" s="77">
        <f>$CC$44*VLOOKUP($CC$11,'PCU Values'!$B$9:$C$16,2,FALSE)</f>
        <v>0</v>
      </c>
      <c r="CL44" s="77">
        <f>$CD$44*VLOOKUP($CD$11,'PCU Values'!$B$9:$C$16,2,FALSE)</f>
        <v>0.8</v>
      </c>
      <c r="CM44" s="77">
        <f>$CE$44*VLOOKUP($CE$11,'PCU Values'!$B$9:$C$16,2,FALSE)</f>
        <v>0</v>
      </c>
      <c r="CN44" s="78">
        <f>$CF$44*VLOOKUP($CF$11,'PCU Values'!$B$9:$C$16,2,FALSE)</f>
        <v>0</v>
      </c>
      <c r="CO44" s="66">
        <f>SUM($CG$44,$CH$44,$CI$44,$CJ$44,$CK$44,$CL$44,$CM$44,$CN$44)</f>
        <v>6.8</v>
      </c>
      <c r="CP44" s="52">
        <f>SUM($BY$44,$BZ$44,$CA$44,$CB$44,$CC$44,$CD$44,$CE$44,$CF$44)</f>
        <v>10</v>
      </c>
      <c r="CQ44" s="89">
        <f>SUM('J1 A - (North) Bishopthorpe Roa'!$AM$44,'J1 B - Butcher Terrace'!$U$44,'J1 C - (South) Bishopthorpe Roa'!$C$44,'J1 D - South Bank Avenue'!$BE$44)</f>
        <v>0</v>
      </c>
      <c r="CR44" s="83">
        <f>SUM('J1 A - (North) Bishopthorpe Roa'!$AN$44,'J1 B - Butcher Terrace'!$V$44,'J1 C - (South) Bishopthorpe Roa'!$D$44,'J1 D - South Bank Avenue'!$BF$44)</f>
        <v>0</v>
      </c>
      <c r="CS44" s="83">
        <f>SUM('J1 A - (North) Bishopthorpe Roa'!$AO$44,'J1 B - Butcher Terrace'!$W$44,'J1 C - (South) Bishopthorpe Roa'!$E$44,'J1 D - South Bank Avenue'!$BG$44)</f>
        <v>0</v>
      </c>
      <c r="CT44" s="83">
        <f>SUM('J1 A - (North) Bishopthorpe Roa'!$AP$44,'J1 B - Butcher Terrace'!$X$44,'J1 C - (South) Bishopthorpe Roa'!$F$44,'J1 D - South Bank Avenue'!$BH$44)</f>
        <v>0</v>
      </c>
      <c r="CU44" s="83">
        <f>SUM('J1 A - (North) Bishopthorpe Roa'!$AQ$44,'J1 B - Butcher Terrace'!$Y$44,'J1 C - (South) Bishopthorpe Roa'!$G$44,'J1 D - South Bank Avenue'!$BI$44)</f>
        <v>0</v>
      </c>
      <c r="CV44" s="83">
        <f>SUM('J1 A - (North) Bishopthorpe Roa'!$AR$44,'J1 B - Butcher Terrace'!$Z$44,'J1 C - (South) Bishopthorpe Roa'!$H$44,'J1 D - South Bank Avenue'!$BJ$44)</f>
        <v>3</v>
      </c>
      <c r="CW44" s="83">
        <f>SUM('J1 A - (North) Bishopthorpe Roa'!$AS$44,'J1 B - Butcher Terrace'!$AA$44,'J1 C - (South) Bishopthorpe Roa'!$I$44,'J1 D - South Bank Avenue'!$BK$44)</f>
        <v>0</v>
      </c>
      <c r="CX44" s="86">
        <f>SUM('J1 A - (North) Bishopthorpe Roa'!$AT$44,'J1 B - Butcher Terrace'!$AB$44,'J1 C - (South) Bishopthorpe Roa'!$J$44,'J1 D - South Bank Avenue'!$BL$44)</f>
        <v>0</v>
      </c>
      <c r="CY44" s="77">
        <f>$CQ$44*VLOOKUP($CQ$11,'PCU Values'!$B$9:$C$16,2,FALSE)</f>
        <v>0</v>
      </c>
      <c r="CZ44" s="77">
        <f>$CR$44*VLOOKUP($CR$11,'PCU Values'!$B$9:$C$16,2,FALSE)</f>
        <v>0</v>
      </c>
      <c r="DA44" s="77">
        <f>$CS$44*VLOOKUP($CS$11,'PCU Values'!$B$9:$C$16,2,FALSE)</f>
        <v>0</v>
      </c>
      <c r="DB44" s="77">
        <f>$CT$44*VLOOKUP($CT$11,'PCU Values'!$B$9:$C$16,2,FALSE)</f>
        <v>0</v>
      </c>
      <c r="DC44" s="77">
        <f>$CU$44*VLOOKUP($CU$11,'PCU Values'!$B$9:$C$16,2,FALSE)</f>
        <v>0</v>
      </c>
      <c r="DD44" s="77">
        <f>$CV$44*VLOOKUP($CV$11,'PCU Values'!$B$9:$C$16,2,FALSE)</f>
        <v>0.6</v>
      </c>
      <c r="DE44" s="77">
        <f>$CW$44*VLOOKUP($CW$11,'PCU Values'!$B$9:$C$16,2,FALSE)</f>
        <v>0</v>
      </c>
      <c r="DF44" s="78">
        <f>$CX$44*VLOOKUP($CX$11,'PCU Values'!$B$9:$C$16,2,FALSE)</f>
        <v>0</v>
      </c>
      <c r="DG44" s="66">
        <f>SUM($CY$44,$CZ$44,$DA$44,$DB$44,$DC$44,$DD$44,$DE$44,$DF$44)</f>
        <v>0.6</v>
      </c>
      <c r="DH44" s="52">
        <f>SUM($CQ$44,$CR$44,$CS$44,$CT$44,$CU$44,$CV$44,$CW$44,$CX$44)</f>
        <v>3</v>
      </c>
    </row>
    <row r="45" spans="1:112" ht="21" customHeight="1">
      <c r="A45" s="46">
        <v>44395.28125</v>
      </c>
      <c r="B45" s="50" t="s">
        <v>58</v>
      </c>
      <c r="C45" s="51">
        <v>3</v>
      </c>
      <c r="D45" s="51">
        <v>0</v>
      </c>
      <c r="E45" s="51">
        <v>0</v>
      </c>
      <c r="F45" s="51">
        <v>0</v>
      </c>
      <c r="G45" s="51">
        <v>0</v>
      </c>
      <c r="H45" s="51">
        <v>0</v>
      </c>
      <c r="I45" s="51">
        <v>0</v>
      </c>
      <c r="J45" s="59">
        <v>0</v>
      </c>
      <c r="K45" s="60">
        <f>$C$45*VLOOKUP($C$11,'PCU Values'!$B$9:$C$16,2,FALSE)</f>
        <v>3</v>
      </c>
      <c r="L45" s="60">
        <f>$D$45*VLOOKUP($D$11,'PCU Values'!$B$9:$C$16,2,FALSE)</f>
        <v>0</v>
      </c>
      <c r="M45" s="60">
        <f>$E$45*VLOOKUP($E$11,'PCU Values'!$B$9:$C$16,2,FALSE)</f>
        <v>0</v>
      </c>
      <c r="N45" s="60">
        <f>$F$45*VLOOKUP($F$11,'PCU Values'!$B$9:$C$16,2,FALSE)</f>
        <v>0</v>
      </c>
      <c r="O45" s="60">
        <f>$G$45*VLOOKUP($G$11,'PCU Values'!$B$9:$C$16,2,FALSE)</f>
        <v>0</v>
      </c>
      <c r="P45" s="60">
        <f>$H$45*VLOOKUP($H$11,'PCU Values'!$B$9:$C$16,2,FALSE)</f>
        <v>0</v>
      </c>
      <c r="Q45" s="60">
        <f>$I$45*VLOOKUP($I$11,'PCU Values'!$B$9:$C$16,2,FALSE)</f>
        <v>0</v>
      </c>
      <c r="R45" s="68">
        <f>$J$45*VLOOKUP($J$11,'PCU Values'!$B$9:$C$16,2,FALSE)</f>
        <v>0</v>
      </c>
      <c r="S45" s="63">
        <f>SUM($K$45,$L$45,$M$45,$N$45,$O$45,$P$45,$Q$45,$R$45)</f>
        <v>3</v>
      </c>
      <c r="T45" s="52">
        <f>SUM($C$45,$D$45,$E$45,$F$45,$G$45,$H$45,$I$45,$J$45)</f>
        <v>3</v>
      </c>
      <c r="U45" s="73">
        <v>0</v>
      </c>
      <c r="V45" s="51">
        <v>0</v>
      </c>
      <c r="W45" s="51">
        <v>0</v>
      </c>
      <c r="X45" s="51">
        <v>0</v>
      </c>
      <c r="Y45" s="51">
        <v>0</v>
      </c>
      <c r="Z45" s="51">
        <v>1</v>
      </c>
      <c r="AA45" s="51">
        <v>0</v>
      </c>
      <c r="AB45" s="59">
        <v>0</v>
      </c>
      <c r="AC45" s="60">
        <f>$U$45*VLOOKUP($U$11,'PCU Values'!$B$9:$C$16,2,FALSE)</f>
        <v>0</v>
      </c>
      <c r="AD45" s="60">
        <f>$V$45*VLOOKUP($V$11,'PCU Values'!$B$9:$C$16,2,FALSE)</f>
        <v>0</v>
      </c>
      <c r="AE45" s="60">
        <f>$W$45*VLOOKUP($W$11,'PCU Values'!$B$9:$C$16,2,FALSE)</f>
        <v>0</v>
      </c>
      <c r="AF45" s="60">
        <f>$X$45*VLOOKUP($X$11,'PCU Values'!$B$9:$C$16,2,FALSE)</f>
        <v>0</v>
      </c>
      <c r="AG45" s="60">
        <f>$Y$45*VLOOKUP($Y$11,'PCU Values'!$B$9:$C$16,2,FALSE)</f>
        <v>0</v>
      </c>
      <c r="AH45" s="60">
        <f>$Z$45*VLOOKUP($Z$11,'PCU Values'!$B$9:$C$16,2,FALSE)</f>
        <v>0.2</v>
      </c>
      <c r="AI45" s="60">
        <f>$AA$45*VLOOKUP($AA$11,'PCU Values'!$B$9:$C$16,2,FALSE)</f>
        <v>0</v>
      </c>
      <c r="AJ45" s="68">
        <f>$AB$45*VLOOKUP($AB$11,'PCU Values'!$B$9:$C$16,2,FALSE)</f>
        <v>0</v>
      </c>
      <c r="AK45" s="63">
        <f>SUM($AC$45,$AD$45,$AE$45,$AF$45,$AG$45,$AH$45,$AI$45,$AJ$45)</f>
        <v>0.2</v>
      </c>
      <c r="AL45" s="52">
        <f>SUM($U$45,$V$45,$W$45,$X$45,$Y$45,$Z$45,$AA$45,$AB$45)</f>
        <v>1</v>
      </c>
      <c r="AM45" s="73">
        <v>0</v>
      </c>
      <c r="AN45" s="51">
        <v>0</v>
      </c>
      <c r="AO45" s="51">
        <v>0</v>
      </c>
      <c r="AP45" s="51">
        <v>0</v>
      </c>
      <c r="AQ45" s="51">
        <v>0</v>
      </c>
      <c r="AR45" s="51">
        <v>0</v>
      </c>
      <c r="AS45" s="51">
        <v>0</v>
      </c>
      <c r="AT45" s="59">
        <v>0</v>
      </c>
      <c r="AU45" s="60">
        <f>$AM$45*VLOOKUP($AM$11,'PCU Values'!$B$9:$C$16,2,FALSE)</f>
        <v>0</v>
      </c>
      <c r="AV45" s="60">
        <f>$AN$45*VLOOKUP($AN$11,'PCU Values'!$B$9:$C$16,2,FALSE)</f>
        <v>0</v>
      </c>
      <c r="AW45" s="60">
        <f>$AO$45*VLOOKUP($AO$11,'PCU Values'!$B$9:$C$16,2,FALSE)</f>
        <v>0</v>
      </c>
      <c r="AX45" s="60">
        <f>$AP$45*VLOOKUP($AP$11,'PCU Values'!$B$9:$C$16,2,FALSE)</f>
        <v>0</v>
      </c>
      <c r="AY45" s="60">
        <f>$AQ$45*VLOOKUP($AQ$11,'PCU Values'!$B$9:$C$16,2,FALSE)</f>
        <v>0</v>
      </c>
      <c r="AZ45" s="60">
        <f>$AR$45*VLOOKUP($AR$11,'PCU Values'!$B$9:$C$16,2,FALSE)</f>
        <v>0</v>
      </c>
      <c r="BA45" s="60">
        <f>$AS$45*VLOOKUP($AS$11,'PCU Values'!$B$9:$C$16,2,FALSE)</f>
        <v>0</v>
      </c>
      <c r="BB45" s="68">
        <f>$AT$45*VLOOKUP($AT$11,'PCU Values'!$B$9:$C$16,2,FALSE)</f>
        <v>0</v>
      </c>
      <c r="BC45" s="63">
        <f>SUM($AU$45,$AV$45,$AW$45,$AX$45,$AY$45,$AZ$45,$BA$45,$BB$45)</f>
        <v>0</v>
      </c>
      <c r="BD45" s="52">
        <f>SUM($AM$45,$AN$45,$AO$45,$AP$45,$AQ$45,$AR$45,$AS$45,$AT$45)</f>
        <v>0</v>
      </c>
      <c r="BE45" s="73">
        <v>0</v>
      </c>
      <c r="BF45" s="51">
        <v>0</v>
      </c>
      <c r="BG45" s="51">
        <v>0</v>
      </c>
      <c r="BH45" s="51">
        <v>0</v>
      </c>
      <c r="BI45" s="51">
        <v>0</v>
      </c>
      <c r="BJ45" s="51">
        <v>0</v>
      </c>
      <c r="BK45" s="51">
        <v>0</v>
      </c>
      <c r="BL45" s="59">
        <v>0</v>
      </c>
      <c r="BM45" s="79">
        <f>$BE$45*VLOOKUP($BE$11,'PCU Values'!$B$9:$C$16,2,FALSE)</f>
        <v>0</v>
      </c>
      <c r="BN45" s="79">
        <f>$BF$45*VLOOKUP($BF$11,'PCU Values'!$B$9:$C$16,2,FALSE)</f>
        <v>0</v>
      </c>
      <c r="BO45" s="79">
        <f>$BG$45*VLOOKUP($BG$11,'PCU Values'!$B$9:$C$16,2,FALSE)</f>
        <v>0</v>
      </c>
      <c r="BP45" s="79">
        <f>$BH$45*VLOOKUP($BH$11,'PCU Values'!$B$9:$C$16,2,FALSE)</f>
        <v>0</v>
      </c>
      <c r="BQ45" s="79">
        <f>$BI$45*VLOOKUP($BI$11,'PCU Values'!$B$9:$C$16,2,FALSE)</f>
        <v>0</v>
      </c>
      <c r="BR45" s="79">
        <f>$BJ$45*VLOOKUP($BJ$11,'PCU Values'!$B$9:$C$16,2,FALSE)</f>
        <v>0</v>
      </c>
      <c r="BS45" s="79">
        <f>$BK$45*VLOOKUP($BK$11,'PCU Values'!$B$9:$C$16,2,FALSE)</f>
        <v>0</v>
      </c>
      <c r="BT45" s="80">
        <f>$BL$45*VLOOKUP($BL$11,'PCU Values'!$B$9:$C$16,2,FALSE)</f>
        <v>0</v>
      </c>
      <c r="BU45" s="63">
        <f>SUM($BM$45,$BN$45,$BO$45,$BP$45,$BQ$45,$BR$45,$BS$45,$BT$45)</f>
        <v>0</v>
      </c>
      <c r="BV45" s="52">
        <f>SUM($BE$45,$BF$45,$BG$45,$BH$45,$BI$45,$BJ$45,$BK$45,$BL$45)</f>
        <v>0</v>
      </c>
      <c r="BX45" s="50" t="s">
        <v>58</v>
      </c>
      <c r="BY45" s="84">
        <f>SUM($C$45,$U$45,$AM$45,$BE$45)</f>
        <v>3</v>
      </c>
      <c r="BZ45" s="84">
        <f>SUM($D$45,$V$45,$AN$45,$BF$45)</f>
        <v>0</v>
      </c>
      <c r="CA45" s="84">
        <f>SUM($E$45,$W$45,$AO$45,$BG$45)</f>
        <v>0</v>
      </c>
      <c r="CB45" s="84">
        <f>SUM($F$45,$X$45,$AP$45,$BH$45)</f>
        <v>0</v>
      </c>
      <c r="CC45" s="84">
        <f>SUM($G$45,$Y$45,$AQ$45,$BI$45)</f>
        <v>0</v>
      </c>
      <c r="CD45" s="84">
        <f>SUM($H$45,$Z$45,$AR$45,$BJ$45)</f>
        <v>1</v>
      </c>
      <c r="CE45" s="84">
        <f>SUM($I$45,$AA$45,$AS$45,$BK$45)</f>
        <v>0</v>
      </c>
      <c r="CF45" s="87">
        <f>SUM($J$45,$AB$45,$AT$45,$BL$45)</f>
        <v>0</v>
      </c>
      <c r="CG45" s="79">
        <f>$BY$45*VLOOKUP($BY$11,'PCU Values'!$B$9:$C$16,2,FALSE)</f>
        <v>3</v>
      </c>
      <c r="CH45" s="79">
        <f>$BZ$45*VLOOKUP($BZ$11,'PCU Values'!$B$9:$C$16,2,FALSE)</f>
        <v>0</v>
      </c>
      <c r="CI45" s="79">
        <f>$CA$45*VLOOKUP($CA$11,'PCU Values'!$B$9:$C$16,2,FALSE)</f>
        <v>0</v>
      </c>
      <c r="CJ45" s="79">
        <f>$CB$45*VLOOKUP($CB$11,'PCU Values'!$B$9:$C$16,2,FALSE)</f>
        <v>0</v>
      </c>
      <c r="CK45" s="79">
        <f>$CC$45*VLOOKUP($CC$11,'PCU Values'!$B$9:$C$16,2,FALSE)</f>
        <v>0</v>
      </c>
      <c r="CL45" s="79">
        <f>$CD$45*VLOOKUP($CD$11,'PCU Values'!$B$9:$C$16,2,FALSE)</f>
        <v>0.2</v>
      </c>
      <c r="CM45" s="79">
        <f>$CE$45*VLOOKUP($CE$11,'PCU Values'!$B$9:$C$16,2,FALSE)</f>
        <v>0</v>
      </c>
      <c r="CN45" s="80">
        <f>$CF$45*VLOOKUP($CF$11,'PCU Values'!$B$9:$C$16,2,FALSE)</f>
        <v>0</v>
      </c>
      <c r="CO45" s="63">
        <f>SUM($CG$45,$CH$45,$CI$45,$CJ$45,$CK$45,$CL$45,$CM$45,$CN$45)</f>
        <v>3.2</v>
      </c>
      <c r="CP45" s="52">
        <f>SUM($BY$45,$BZ$45,$CA$45,$CB$45,$CC$45,$CD$45,$CE$45,$CF$45)</f>
        <v>4</v>
      </c>
      <c r="CQ45" s="90">
        <f>SUM('J1 A - (North) Bishopthorpe Roa'!$AM$45,'J1 B - Butcher Terrace'!$U$45,'J1 C - (South) Bishopthorpe Roa'!$C$45,'J1 D - South Bank Avenue'!$BE$45)</f>
        <v>0</v>
      </c>
      <c r="CR45" s="84">
        <f>SUM('J1 A - (North) Bishopthorpe Roa'!$AN$45,'J1 B - Butcher Terrace'!$V$45,'J1 C - (South) Bishopthorpe Roa'!$D$45,'J1 D - South Bank Avenue'!$BF$45)</f>
        <v>0</v>
      </c>
      <c r="CS45" s="84">
        <f>SUM('J1 A - (North) Bishopthorpe Roa'!$AO$45,'J1 B - Butcher Terrace'!$W$45,'J1 C - (South) Bishopthorpe Roa'!$E$45,'J1 D - South Bank Avenue'!$BG$45)</f>
        <v>0</v>
      </c>
      <c r="CT45" s="84">
        <f>SUM('J1 A - (North) Bishopthorpe Roa'!$AP$45,'J1 B - Butcher Terrace'!$X$45,'J1 C - (South) Bishopthorpe Roa'!$F$45,'J1 D - South Bank Avenue'!$BH$45)</f>
        <v>0</v>
      </c>
      <c r="CU45" s="84">
        <f>SUM('J1 A - (North) Bishopthorpe Roa'!$AQ$45,'J1 B - Butcher Terrace'!$Y$45,'J1 C - (South) Bishopthorpe Roa'!$G$45,'J1 D - South Bank Avenue'!$BI$45)</f>
        <v>0</v>
      </c>
      <c r="CV45" s="84">
        <f>SUM('J1 A - (North) Bishopthorpe Roa'!$AR$45,'J1 B - Butcher Terrace'!$Z$45,'J1 C - (South) Bishopthorpe Roa'!$H$45,'J1 D - South Bank Avenue'!$BJ$45)</f>
        <v>0</v>
      </c>
      <c r="CW45" s="84">
        <f>SUM('J1 A - (North) Bishopthorpe Roa'!$AS$45,'J1 B - Butcher Terrace'!$AA$45,'J1 C - (South) Bishopthorpe Roa'!$I$45,'J1 D - South Bank Avenue'!$BK$45)</f>
        <v>0</v>
      </c>
      <c r="CX45" s="87">
        <f>SUM('J1 A - (North) Bishopthorpe Roa'!$AT$45,'J1 B - Butcher Terrace'!$AB$45,'J1 C - (South) Bishopthorpe Roa'!$J$45,'J1 D - South Bank Avenue'!$BL$45)</f>
        <v>0</v>
      </c>
      <c r="CY45" s="79">
        <f>$CQ$45*VLOOKUP($CQ$11,'PCU Values'!$B$9:$C$16,2,FALSE)</f>
        <v>0</v>
      </c>
      <c r="CZ45" s="79">
        <f>$CR$45*VLOOKUP($CR$11,'PCU Values'!$B$9:$C$16,2,FALSE)</f>
        <v>0</v>
      </c>
      <c r="DA45" s="79">
        <f>$CS$45*VLOOKUP($CS$11,'PCU Values'!$B$9:$C$16,2,FALSE)</f>
        <v>0</v>
      </c>
      <c r="DB45" s="79">
        <f>$CT$45*VLOOKUP($CT$11,'PCU Values'!$B$9:$C$16,2,FALSE)</f>
        <v>0</v>
      </c>
      <c r="DC45" s="79">
        <f>$CU$45*VLOOKUP($CU$11,'PCU Values'!$B$9:$C$16,2,FALSE)</f>
        <v>0</v>
      </c>
      <c r="DD45" s="79">
        <f>$CV$45*VLOOKUP($CV$11,'PCU Values'!$B$9:$C$16,2,FALSE)</f>
        <v>0</v>
      </c>
      <c r="DE45" s="79">
        <f>$CW$45*VLOOKUP($CW$11,'PCU Values'!$B$9:$C$16,2,FALSE)</f>
        <v>0</v>
      </c>
      <c r="DF45" s="80">
        <f>$CX$45*VLOOKUP($CX$11,'PCU Values'!$B$9:$C$16,2,FALSE)</f>
        <v>0</v>
      </c>
      <c r="DG45" s="63">
        <f>SUM($CY$45,$CZ$45,$DA$45,$DB$45,$DC$45,$DD$45,$DE$45,$DF$45)</f>
        <v>0</v>
      </c>
      <c r="DH45" s="52">
        <f>SUM($CQ$45,$CR$45,$CS$45,$CT$45,$CU$45,$CV$45,$CW$45,$CX$45)</f>
        <v>0</v>
      </c>
    </row>
    <row r="46" spans="1:112">
      <c r="B46" s="52" t="s">
        <v>34</v>
      </c>
      <c r="C46" s="52">
        <f>SUM($C$42:$C$45)</f>
        <v>8</v>
      </c>
      <c r="D46" s="52">
        <f>SUM($D$42:$D$45)</f>
        <v>0</v>
      </c>
      <c r="E46" s="52">
        <f>SUM($E$42:$E$45)</f>
        <v>0</v>
      </c>
      <c r="F46" s="52">
        <f>SUM($F$42:$F$45)</f>
        <v>0</v>
      </c>
      <c r="G46" s="52">
        <f>SUM($G$42:$G$45)</f>
        <v>0</v>
      </c>
      <c r="H46" s="52">
        <f>SUM($H$42:$H$45)</f>
        <v>0</v>
      </c>
      <c r="I46" s="52">
        <f>SUM($I$42:$I$45)</f>
        <v>0</v>
      </c>
      <c r="J46" s="52">
        <f>SUM($J$42:$J$45)</f>
        <v>0</v>
      </c>
      <c r="K46" s="52">
        <f>SUM($K$42:$K$45)</f>
        <v>8</v>
      </c>
      <c r="L46" s="52">
        <f>SUM($L$42:$L$45)</f>
        <v>0</v>
      </c>
      <c r="M46" s="52">
        <f>SUM($M$42:$M$45)</f>
        <v>0</v>
      </c>
      <c r="N46" s="52">
        <f>SUM($N$42:$N$45)</f>
        <v>0</v>
      </c>
      <c r="O46" s="52">
        <f>SUM($O$42:$O$45)</f>
        <v>0</v>
      </c>
      <c r="P46" s="52">
        <f>SUM($P$42:$P$45)</f>
        <v>0</v>
      </c>
      <c r="Q46" s="52">
        <f>SUM($Q$42:$Q$45)</f>
        <v>0</v>
      </c>
      <c r="R46" s="52">
        <f>SUM($R$42:$R$45)</f>
        <v>0</v>
      </c>
      <c r="S46" s="52">
        <f>SUM($K$46,$L$46,$M$46,$N$46,$O$46,$P$46,$Q$46,$R$46)</f>
        <v>8</v>
      </c>
      <c r="T46" s="52">
        <f>SUM($C$46,$D$46,$E$46,$F$46,$G$46,$H$46,$I$46,$J$46)</f>
        <v>8</v>
      </c>
      <c r="U46" s="52">
        <f>SUM($U$42:$U$45)</f>
        <v>0</v>
      </c>
      <c r="V46" s="52">
        <f>SUM($V$42:$V$45)</f>
        <v>0</v>
      </c>
      <c r="W46" s="52">
        <f>SUM($W$42:$W$45)</f>
        <v>0</v>
      </c>
      <c r="X46" s="52">
        <f>SUM($X$42:$X$45)</f>
        <v>0</v>
      </c>
      <c r="Y46" s="52">
        <f>SUM($Y$42:$Y$45)</f>
        <v>0</v>
      </c>
      <c r="Z46" s="52">
        <f>SUM($Z$42:$Z$45)</f>
        <v>6</v>
      </c>
      <c r="AA46" s="52">
        <f>SUM($AA$42:$AA$45)</f>
        <v>0</v>
      </c>
      <c r="AB46" s="52">
        <f>SUM($AB$42:$AB$45)</f>
        <v>0</v>
      </c>
      <c r="AC46" s="52">
        <f>SUM($AC$42:$AC$45)</f>
        <v>0</v>
      </c>
      <c r="AD46" s="52">
        <f>SUM($AD$42:$AD$45)</f>
        <v>0</v>
      </c>
      <c r="AE46" s="52">
        <f>SUM($AE$42:$AE$45)</f>
        <v>0</v>
      </c>
      <c r="AF46" s="52">
        <f>SUM($AF$42:$AF$45)</f>
        <v>0</v>
      </c>
      <c r="AG46" s="52">
        <f>SUM($AG$42:$AG$45)</f>
        <v>0</v>
      </c>
      <c r="AH46" s="52">
        <f>SUM($AH$42:$AH$45)</f>
        <v>1</v>
      </c>
      <c r="AI46" s="52">
        <f>SUM($AI$42:$AI$45)</f>
        <v>0</v>
      </c>
      <c r="AJ46" s="52">
        <f>SUM($AJ$42:$AJ$45)</f>
        <v>0</v>
      </c>
      <c r="AK46" s="52">
        <f>SUM($AC$46,$AD$46,$AE$46,$AF$46,$AG$46,$AH$46,$AI$46,$AJ$46)</f>
        <v>1</v>
      </c>
      <c r="AL46" s="52">
        <f>SUM($U$46,$V$46,$W$46,$X$46,$Y$46,$Z$46,$AA$46,$AB$46)</f>
        <v>6</v>
      </c>
      <c r="AM46" s="52">
        <f>SUM($AM$42:$AM$45)</f>
        <v>2</v>
      </c>
      <c r="AN46" s="52">
        <f>SUM($AN$42:$AN$45)</f>
        <v>0</v>
      </c>
      <c r="AO46" s="52">
        <f>SUM($AO$42:$AO$45)</f>
        <v>0</v>
      </c>
      <c r="AP46" s="52">
        <f>SUM($AP$42:$AP$45)</f>
        <v>0</v>
      </c>
      <c r="AQ46" s="52">
        <f>SUM($AQ$42:$AQ$45)</f>
        <v>0</v>
      </c>
      <c r="AR46" s="52">
        <f>SUM($AR$42:$AR$45)</f>
        <v>0</v>
      </c>
      <c r="AS46" s="52">
        <f>SUM($AS$42:$AS$45)</f>
        <v>0</v>
      </c>
      <c r="AT46" s="52">
        <f>SUM($AT$42:$AT$45)</f>
        <v>0</v>
      </c>
      <c r="AU46" s="52">
        <f>SUM($AU$42:$AU$45)</f>
        <v>2</v>
      </c>
      <c r="AV46" s="52">
        <f>SUM($AV$42:$AV$45)</f>
        <v>0</v>
      </c>
      <c r="AW46" s="52">
        <f>SUM($AW$42:$AW$45)</f>
        <v>0</v>
      </c>
      <c r="AX46" s="52">
        <f>SUM($AX$42:$AX$45)</f>
        <v>0</v>
      </c>
      <c r="AY46" s="52">
        <f>SUM($AY$42:$AY$45)</f>
        <v>0</v>
      </c>
      <c r="AZ46" s="52">
        <f>SUM($AZ$42:$AZ$45)</f>
        <v>0</v>
      </c>
      <c r="BA46" s="52">
        <f>SUM($BA$42:$BA$45)</f>
        <v>0</v>
      </c>
      <c r="BB46" s="52">
        <f>SUM($BB$42:$BB$45)</f>
        <v>0</v>
      </c>
      <c r="BC46" s="52">
        <f>SUM($AU$46,$AV$46,$AW$46,$AX$46,$AY$46,$AZ$46,$BA$46,$BB$46)</f>
        <v>2</v>
      </c>
      <c r="BD46" s="52">
        <f>SUM($AM$46,$AN$46,$AO$46,$AP$46,$AQ$46,$AR$46,$AS$46,$AT$46)</f>
        <v>2</v>
      </c>
      <c r="BE46" s="52">
        <f>SUM($BE$42:$BE$45)</f>
        <v>0</v>
      </c>
      <c r="BF46" s="52">
        <f>SUM($BF$42:$BF$45)</f>
        <v>0</v>
      </c>
      <c r="BG46" s="52">
        <f>SUM($BG$42:$BG$45)</f>
        <v>0</v>
      </c>
      <c r="BH46" s="52">
        <f>SUM($BH$42:$BH$45)</f>
        <v>0</v>
      </c>
      <c r="BI46" s="52">
        <f>SUM($BI$42:$BI$45)</f>
        <v>0</v>
      </c>
      <c r="BJ46" s="52">
        <f>SUM($BJ$42:$BJ$45)</f>
        <v>0</v>
      </c>
      <c r="BK46" s="52">
        <f>SUM($BK$42:$BK$45)</f>
        <v>0</v>
      </c>
      <c r="BL46" s="52">
        <f>SUM($BL$42:$BL$45)</f>
        <v>0</v>
      </c>
      <c r="BM46" s="52">
        <f>SUM($BM$42:$BM$45)</f>
        <v>0</v>
      </c>
      <c r="BN46" s="52">
        <f>SUM($BN$42:$BN$45)</f>
        <v>0</v>
      </c>
      <c r="BO46" s="52">
        <f>SUM($BO$42:$BO$45)</f>
        <v>0</v>
      </c>
      <c r="BP46" s="52">
        <f>SUM($BP$42:$BP$45)</f>
        <v>0</v>
      </c>
      <c r="BQ46" s="52">
        <f>SUM($BQ$42:$BQ$45)</f>
        <v>0</v>
      </c>
      <c r="BR46" s="52">
        <f>SUM($BR$42:$BR$45)</f>
        <v>0</v>
      </c>
      <c r="BS46" s="52">
        <f>SUM($BS$42:$BS$45)</f>
        <v>0</v>
      </c>
      <c r="BT46" s="52">
        <f>SUM($BT$42:$BT$45)</f>
        <v>0</v>
      </c>
      <c r="BU46" s="52">
        <f>SUM($BM$46,$BN$46,$BO$46,$BP$46,$BQ$46,$BR$46,$BS$46,$BT$46)</f>
        <v>0</v>
      </c>
      <c r="BV46" s="52">
        <f>SUM($BE$46,$BF$46,$BG$46,$BH$46,$BI$46,$BJ$46,$BK$46,$BL$46)</f>
        <v>0</v>
      </c>
      <c r="BX46" s="52" t="s">
        <v>34</v>
      </c>
      <c r="BY46" s="52">
        <f>SUM($BY$42:$BY$45)</f>
        <v>10</v>
      </c>
      <c r="BZ46" s="52">
        <f>SUM($BZ$42:$BZ$45)</f>
        <v>0</v>
      </c>
      <c r="CA46" s="52">
        <f>SUM($CA$42:$CA$45)</f>
        <v>0</v>
      </c>
      <c r="CB46" s="52">
        <f>SUM($CB$42:$CB$45)</f>
        <v>0</v>
      </c>
      <c r="CC46" s="52">
        <f>SUM($CC$42:$CC$45)</f>
        <v>0</v>
      </c>
      <c r="CD46" s="52">
        <f>SUM($CD$42:$CD$45)</f>
        <v>6</v>
      </c>
      <c r="CE46" s="52">
        <f>SUM($CE$42:$CE$45)</f>
        <v>0</v>
      </c>
      <c r="CF46" s="52">
        <f>SUM($CF$42:$CF$45)</f>
        <v>0</v>
      </c>
      <c r="CG46" s="52">
        <f>SUM($CG$42:$CG$45)</f>
        <v>10</v>
      </c>
      <c r="CH46" s="52">
        <f>SUM($CH$42:$CH$45)</f>
        <v>0</v>
      </c>
      <c r="CI46" s="52">
        <f>SUM($CI$42:$CI$45)</f>
        <v>0</v>
      </c>
      <c r="CJ46" s="52">
        <f>SUM($CJ$42:$CJ$45)</f>
        <v>0</v>
      </c>
      <c r="CK46" s="52">
        <f>SUM($CK$42:$CK$45)</f>
        <v>0</v>
      </c>
      <c r="CL46" s="52">
        <f>SUM($CL$42:$CL$45)</f>
        <v>1</v>
      </c>
      <c r="CM46" s="52">
        <f>SUM($CM$42:$CM$45)</f>
        <v>0</v>
      </c>
      <c r="CN46" s="52">
        <f>SUM($CN$42:$CN$45)</f>
        <v>0</v>
      </c>
      <c r="CO46" s="52">
        <f>SUM($CG$46,$CH$46,$CI$46,$CJ$46,$CK$46,$CL$46,$CM$46,$CN$46)</f>
        <v>11</v>
      </c>
      <c r="CP46" s="52">
        <f>SUM($BY$46,$BZ$46,$CA$46,$CB$46,$CC$46,$CD$46,$CE$46,$CF$46)</f>
        <v>16</v>
      </c>
      <c r="CQ46" s="52">
        <f>SUM($CQ$42:$CQ$45)</f>
        <v>1</v>
      </c>
      <c r="CR46" s="52">
        <f>SUM($CR$42:$CR$45)</f>
        <v>0</v>
      </c>
      <c r="CS46" s="52">
        <f>SUM($CS$42:$CS$45)</f>
        <v>0</v>
      </c>
      <c r="CT46" s="52">
        <f>SUM($CT$42:$CT$45)</f>
        <v>0</v>
      </c>
      <c r="CU46" s="52">
        <f>SUM($CU$42:$CU$45)</f>
        <v>0</v>
      </c>
      <c r="CV46" s="52">
        <f>SUM($CV$42:$CV$45)</f>
        <v>5</v>
      </c>
      <c r="CW46" s="52">
        <f>SUM($CW$42:$CW$45)</f>
        <v>0</v>
      </c>
      <c r="CX46" s="52">
        <f>SUM($CX$42:$CX$45)</f>
        <v>0</v>
      </c>
      <c r="CY46" s="52">
        <f>SUM($CY$42:$CY$45)</f>
        <v>1</v>
      </c>
      <c r="CZ46" s="52">
        <f>SUM($CZ$42:$CZ$45)</f>
        <v>0</v>
      </c>
      <c r="DA46" s="52">
        <f>SUM($DA$42:$DA$45)</f>
        <v>0</v>
      </c>
      <c r="DB46" s="52">
        <f>SUM($DB$42:$DB$45)</f>
        <v>0</v>
      </c>
      <c r="DC46" s="52">
        <f>SUM($DC$42:$DC$45)</f>
        <v>0</v>
      </c>
      <c r="DD46" s="52">
        <f>SUM($DD$42:$DD$45)</f>
        <v>1</v>
      </c>
      <c r="DE46" s="52">
        <f>SUM($DE$42:$DE$45)</f>
        <v>0</v>
      </c>
      <c r="DF46" s="52">
        <f>SUM($DF$42:$DF$45)</f>
        <v>0</v>
      </c>
      <c r="DG46" s="52">
        <f>SUM($CY$46,$CZ$46,$DA$46,$DB$46,$DC$46,$DD$46,$DE$46,$DF$46)</f>
        <v>2</v>
      </c>
      <c r="DH46" s="52">
        <f>SUM($CQ$46,$CR$46,$CS$46,$CT$46,$CU$46,$CV$46,$CW$46,$CX$46)</f>
        <v>6</v>
      </c>
    </row>
    <row r="47" spans="1:112" ht="21" customHeight="1">
      <c r="A47" s="46">
        <v>44395.291666666701</v>
      </c>
      <c r="B47" s="53" t="s">
        <v>59</v>
      </c>
      <c r="C47" s="54">
        <v>2</v>
      </c>
      <c r="D47" s="54">
        <v>1</v>
      </c>
      <c r="E47" s="54">
        <v>0</v>
      </c>
      <c r="F47" s="54">
        <v>0</v>
      </c>
      <c r="G47" s="54">
        <v>0</v>
      </c>
      <c r="H47" s="54">
        <v>1</v>
      </c>
      <c r="I47" s="54">
        <v>1</v>
      </c>
      <c r="J47" s="61">
        <v>0</v>
      </c>
      <c r="K47" s="62">
        <f>$C$47*VLOOKUP($C$11,'PCU Values'!$B$9:$C$16,2,FALSE)</f>
        <v>2</v>
      </c>
      <c r="L47" s="62">
        <f>$D$47*VLOOKUP($D$11,'PCU Values'!$B$9:$C$16,2,FALSE)</f>
        <v>1</v>
      </c>
      <c r="M47" s="62">
        <f>$E$47*VLOOKUP($E$11,'PCU Values'!$B$9:$C$16,2,FALSE)</f>
        <v>0</v>
      </c>
      <c r="N47" s="62">
        <f>$F$47*VLOOKUP($F$11,'PCU Values'!$B$9:$C$16,2,FALSE)</f>
        <v>0</v>
      </c>
      <c r="O47" s="62">
        <f>$G$47*VLOOKUP($G$11,'PCU Values'!$B$9:$C$16,2,FALSE)</f>
        <v>0</v>
      </c>
      <c r="P47" s="62">
        <f>$H$47*VLOOKUP($H$11,'PCU Values'!$B$9:$C$16,2,FALSE)</f>
        <v>0.2</v>
      </c>
      <c r="Q47" s="62">
        <f>$I$47*VLOOKUP($I$11,'PCU Values'!$B$9:$C$16,2,FALSE)</f>
        <v>0.4</v>
      </c>
      <c r="R47" s="70">
        <f>$J$47*VLOOKUP($J$11,'PCU Values'!$B$9:$C$16,2,FALSE)</f>
        <v>0</v>
      </c>
      <c r="S47" s="71">
        <f>SUM($K$47,$L$47,$M$47,$N$47,$O$47,$P$47,$Q$47,$R$47)</f>
        <v>3.6</v>
      </c>
      <c r="T47" s="52">
        <f>SUM($C$47,$D$47,$E$47,$F$47,$G$47,$H$47,$I$47,$J$47)</f>
        <v>5</v>
      </c>
      <c r="U47" s="72">
        <v>0</v>
      </c>
      <c r="V47" s="54">
        <v>0</v>
      </c>
      <c r="W47" s="54">
        <v>0</v>
      </c>
      <c r="X47" s="54">
        <v>0</v>
      </c>
      <c r="Y47" s="54">
        <v>0</v>
      </c>
      <c r="Z47" s="54">
        <v>1</v>
      </c>
      <c r="AA47" s="54">
        <v>0</v>
      </c>
      <c r="AB47" s="61">
        <v>0</v>
      </c>
      <c r="AC47" s="62">
        <f>$U$47*VLOOKUP($U$11,'PCU Values'!$B$9:$C$16,2,FALSE)</f>
        <v>0</v>
      </c>
      <c r="AD47" s="62">
        <f>$V$47*VLOOKUP($V$11,'PCU Values'!$B$9:$C$16,2,FALSE)</f>
        <v>0</v>
      </c>
      <c r="AE47" s="62">
        <f>$W$47*VLOOKUP($W$11,'PCU Values'!$B$9:$C$16,2,FALSE)</f>
        <v>0</v>
      </c>
      <c r="AF47" s="62">
        <f>$X$47*VLOOKUP($X$11,'PCU Values'!$B$9:$C$16,2,FALSE)</f>
        <v>0</v>
      </c>
      <c r="AG47" s="62">
        <f>$Y$47*VLOOKUP($Y$11,'PCU Values'!$B$9:$C$16,2,FALSE)</f>
        <v>0</v>
      </c>
      <c r="AH47" s="62">
        <f>$Z$47*VLOOKUP($Z$11,'PCU Values'!$B$9:$C$16,2,FALSE)</f>
        <v>0.2</v>
      </c>
      <c r="AI47" s="62">
        <f>$AA$47*VLOOKUP($AA$11,'PCU Values'!$B$9:$C$16,2,FALSE)</f>
        <v>0</v>
      </c>
      <c r="AJ47" s="70">
        <f>$AB$47*VLOOKUP($AB$11,'PCU Values'!$B$9:$C$16,2,FALSE)</f>
        <v>0</v>
      </c>
      <c r="AK47" s="71">
        <f>SUM($AC$47,$AD$47,$AE$47,$AF$47,$AG$47,$AH$47,$AI$47,$AJ$47)</f>
        <v>0.2</v>
      </c>
      <c r="AL47" s="52">
        <f>SUM($U$47,$V$47,$W$47,$X$47,$Y$47,$Z$47,$AA$47,$AB$47)</f>
        <v>1</v>
      </c>
      <c r="AM47" s="72">
        <v>2</v>
      </c>
      <c r="AN47" s="54">
        <v>0</v>
      </c>
      <c r="AO47" s="54">
        <v>0</v>
      </c>
      <c r="AP47" s="54">
        <v>0</v>
      </c>
      <c r="AQ47" s="54">
        <v>0</v>
      </c>
      <c r="AR47" s="54">
        <v>1</v>
      </c>
      <c r="AS47" s="54">
        <v>0</v>
      </c>
      <c r="AT47" s="61">
        <v>0</v>
      </c>
      <c r="AU47" s="62">
        <f>$AM$47*VLOOKUP($AM$11,'PCU Values'!$B$9:$C$16,2,FALSE)</f>
        <v>2</v>
      </c>
      <c r="AV47" s="62">
        <f>$AN$47*VLOOKUP($AN$11,'PCU Values'!$B$9:$C$16,2,FALSE)</f>
        <v>0</v>
      </c>
      <c r="AW47" s="62">
        <f>$AO$47*VLOOKUP($AO$11,'PCU Values'!$B$9:$C$16,2,FALSE)</f>
        <v>0</v>
      </c>
      <c r="AX47" s="62">
        <f>$AP$47*VLOOKUP($AP$11,'PCU Values'!$B$9:$C$16,2,FALSE)</f>
        <v>0</v>
      </c>
      <c r="AY47" s="62">
        <f>$AQ$47*VLOOKUP($AQ$11,'PCU Values'!$B$9:$C$16,2,FALSE)</f>
        <v>0</v>
      </c>
      <c r="AZ47" s="62">
        <f>$AR$47*VLOOKUP($AR$11,'PCU Values'!$B$9:$C$16,2,FALSE)</f>
        <v>0.2</v>
      </c>
      <c r="BA47" s="62">
        <f>$AS$47*VLOOKUP($AS$11,'PCU Values'!$B$9:$C$16,2,FALSE)</f>
        <v>0</v>
      </c>
      <c r="BB47" s="70">
        <f>$AT$47*VLOOKUP($AT$11,'PCU Values'!$B$9:$C$16,2,FALSE)</f>
        <v>0</v>
      </c>
      <c r="BC47" s="71">
        <f>SUM($AU$47,$AV$47,$AW$47,$AX$47,$AY$47,$AZ$47,$BA$47,$BB$47)</f>
        <v>2.2000000000000002</v>
      </c>
      <c r="BD47" s="52">
        <f>SUM($AM$47,$AN$47,$AO$47,$AP$47,$AQ$47,$AR$47,$AS$47,$AT$47)</f>
        <v>3</v>
      </c>
      <c r="BE47" s="72">
        <v>0</v>
      </c>
      <c r="BF47" s="54">
        <v>0</v>
      </c>
      <c r="BG47" s="54">
        <v>0</v>
      </c>
      <c r="BH47" s="54">
        <v>0</v>
      </c>
      <c r="BI47" s="54">
        <v>0</v>
      </c>
      <c r="BJ47" s="54">
        <v>0</v>
      </c>
      <c r="BK47" s="54">
        <v>0</v>
      </c>
      <c r="BL47" s="61">
        <v>0</v>
      </c>
      <c r="BM47" s="81">
        <f>$BE$47*VLOOKUP($BE$11,'PCU Values'!$B$9:$C$16,2,FALSE)</f>
        <v>0</v>
      </c>
      <c r="BN47" s="81">
        <f>$BF$47*VLOOKUP($BF$11,'PCU Values'!$B$9:$C$16,2,FALSE)</f>
        <v>0</v>
      </c>
      <c r="BO47" s="81">
        <f>$BG$47*VLOOKUP($BG$11,'PCU Values'!$B$9:$C$16,2,FALSE)</f>
        <v>0</v>
      </c>
      <c r="BP47" s="81">
        <f>$BH$47*VLOOKUP($BH$11,'PCU Values'!$B$9:$C$16,2,FALSE)</f>
        <v>0</v>
      </c>
      <c r="BQ47" s="81">
        <f>$BI$47*VLOOKUP($BI$11,'PCU Values'!$B$9:$C$16,2,FALSE)</f>
        <v>0</v>
      </c>
      <c r="BR47" s="81">
        <f>$BJ$47*VLOOKUP($BJ$11,'PCU Values'!$B$9:$C$16,2,FALSE)</f>
        <v>0</v>
      </c>
      <c r="BS47" s="81">
        <f>$BK$47*VLOOKUP($BK$11,'PCU Values'!$B$9:$C$16,2,FALSE)</f>
        <v>0</v>
      </c>
      <c r="BT47" s="82">
        <f>$BL$47*VLOOKUP($BL$11,'PCU Values'!$B$9:$C$16,2,FALSE)</f>
        <v>0</v>
      </c>
      <c r="BU47" s="71">
        <f>SUM($BM$47,$BN$47,$BO$47,$BP$47,$BQ$47,$BR$47,$BS$47,$BT$47)</f>
        <v>0</v>
      </c>
      <c r="BV47" s="52">
        <f>SUM($BE$47,$BF$47,$BG$47,$BH$47,$BI$47,$BJ$47,$BK$47,$BL$47)</f>
        <v>0</v>
      </c>
      <c r="BX47" s="53" t="s">
        <v>59</v>
      </c>
      <c r="BY47" s="85">
        <f>SUM($C$47,$U$47,$AM$47,$BE$47)</f>
        <v>4</v>
      </c>
      <c r="BZ47" s="85">
        <f>SUM($D$47,$V$47,$AN$47,$BF$47)</f>
        <v>1</v>
      </c>
      <c r="CA47" s="85">
        <f>SUM($E$47,$W$47,$AO$47,$BG$47)</f>
        <v>0</v>
      </c>
      <c r="CB47" s="85">
        <f>SUM($F$47,$X$47,$AP$47,$BH$47)</f>
        <v>0</v>
      </c>
      <c r="CC47" s="85">
        <f>SUM($G$47,$Y$47,$AQ$47,$BI$47)</f>
        <v>0</v>
      </c>
      <c r="CD47" s="85">
        <f>SUM($H$47,$Z$47,$AR$47,$BJ$47)</f>
        <v>3</v>
      </c>
      <c r="CE47" s="85">
        <f>SUM($I$47,$AA$47,$AS$47,$BK$47)</f>
        <v>1</v>
      </c>
      <c r="CF47" s="88">
        <f>SUM($J$47,$AB$47,$AT$47,$BL$47)</f>
        <v>0</v>
      </c>
      <c r="CG47" s="81">
        <f>$BY$47*VLOOKUP($BY$11,'PCU Values'!$B$9:$C$16,2,FALSE)</f>
        <v>4</v>
      </c>
      <c r="CH47" s="81">
        <f>$BZ$47*VLOOKUP($BZ$11,'PCU Values'!$B$9:$C$16,2,FALSE)</f>
        <v>1</v>
      </c>
      <c r="CI47" s="81">
        <f>$CA$47*VLOOKUP($CA$11,'PCU Values'!$B$9:$C$16,2,FALSE)</f>
        <v>0</v>
      </c>
      <c r="CJ47" s="81">
        <f>$CB$47*VLOOKUP($CB$11,'PCU Values'!$B$9:$C$16,2,FALSE)</f>
        <v>0</v>
      </c>
      <c r="CK47" s="81">
        <f>$CC$47*VLOOKUP($CC$11,'PCU Values'!$B$9:$C$16,2,FALSE)</f>
        <v>0</v>
      </c>
      <c r="CL47" s="81">
        <f>$CD$47*VLOOKUP($CD$11,'PCU Values'!$B$9:$C$16,2,FALSE)</f>
        <v>0.6</v>
      </c>
      <c r="CM47" s="81">
        <f>$CE$47*VLOOKUP($CE$11,'PCU Values'!$B$9:$C$16,2,FALSE)</f>
        <v>0.4</v>
      </c>
      <c r="CN47" s="82">
        <f>$CF$47*VLOOKUP($CF$11,'PCU Values'!$B$9:$C$16,2,FALSE)</f>
        <v>0</v>
      </c>
      <c r="CO47" s="71">
        <f>SUM($CG$47,$CH$47,$CI$47,$CJ$47,$CK$47,$CL$47,$CM$47,$CN$47)</f>
        <v>6</v>
      </c>
      <c r="CP47" s="52">
        <f>SUM($BY$47,$BZ$47,$CA$47,$CB$47,$CC$47,$CD$47,$CE$47,$CF$47)</f>
        <v>9</v>
      </c>
      <c r="CQ47" s="91">
        <f>SUM('J1 A - (North) Bishopthorpe Roa'!$AM$47,'J1 B - Butcher Terrace'!$U$47,'J1 C - (South) Bishopthorpe Roa'!$C$47,'J1 D - South Bank Avenue'!$BE$47)</f>
        <v>1</v>
      </c>
      <c r="CR47" s="85">
        <f>SUM('J1 A - (North) Bishopthorpe Roa'!$AN$47,'J1 B - Butcher Terrace'!$V$47,'J1 C - (South) Bishopthorpe Roa'!$D$47,'J1 D - South Bank Avenue'!$BF$47)</f>
        <v>0</v>
      </c>
      <c r="CS47" s="85">
        <f>SUM('J1 A - (North) Bishopthorpe Roa'!$AO$47,'J1 B - Butcher Terrace'!$W$47,'J1 C - (South) Bishopthorpe Roa'!$E$47,'J1 D - South Bank Avenue'!$BG$47)</f>
        <v>0</v>
      </c>
      <c r="CT47" s="85">
        <f>SUM('J1 A - (North) Bishopthorpe Roa'!$AP$47,'J1 B - Butcher Terrace'!$X$47,'J1 C - (South) Bishopthorpe Roa'!$F$47,'J1 D - South Bank Avenue'!$BH$47)</f>
        <v>0</v>
      </c>
      <c r="CU47" s="85">
        <f>SUM('J1 A - (North) Bishopthorpe Roa'!$AQ$47,'J1 B - Butcher Terrace'!$Y$47,'J1 C - (South) Bishopthorpe Roa'!$G$47,'J1 D - South Bank Avenue'!$BI$47)</f>
        <v>0</v>
      </c>
      <c r="CV47" s="85">
        <f>SUM('J1 A - (North) Bishopthorpe Roa'!$AR$47,'J1 B - Butcher Terrace'!$Z$47,'J1 C - (South) Bishopthorpe Roa'!$H$47,'J1 D - South Bank Avenue'!$BJ$47)</f>
        <v>1</v>
      </c>
      <c r="CW47" s="85">
        <f>SUM('J1 A - (North) Bishopthorpe Roa'!$AS$47,'J1 B - Butcher Terrace'!$AA$47,'J1 C - (South) Bishopthorpe Roa'!$I$47,'J1 D - South Bank Avenue'!$BK$47)</f>
        <v>0</v>
      </c>
      <c r="CX47" s="88">
        <f>SUM('J1 A - (North) Bishopthorpe Roa'!$AT$47,'J1 B - Butcher Terrace'!$AB$47,'J1 C - (South) Bishopthorpe Roa'!$J$47,'J1 D - South Bank Avenue'!$BL$47)</f>
        <v>0</v>
      </c>
      <c r="CY47" s="81">
        <f>$CQ$47*VLOOKUP($CQ$11,'PCU Values'!$B$9:$C$16,2,FALSE)</f>
        <v>1</v>
      </c>
      <c r="CZ47" s="81">
        <f>$CR$47*VLOOKUP($CR$11,'PCU Values'!$B$9:$C$16,2,FALSE)</f>
        <v>0</v>
      </c>
      <c r="DA47" s="81">
        <f>$CS$47*VLOOKUP($CS$11,'PCU Values'!$B$9:$C$16,2,FALSE)</f>
        <v>0</v>
      </c>
      <c r="DB47" s="81">
        <f>$CT$47*VLOOKUP($CT$11,'PCU Values'!$B$9:$C$16,2,FALSE)</f>
        <v>0</v>
      </c>
      <c r="DC47" s="81">
        <f>$CU$47*VLOOKUP($CU$11,'PCU Values'!$B$9:$C$16,2,FALSE)</f>
        <v>0</v>
      </c>
      <c r="DD47" s="81">
        <f>$CV$47*VLOOKUP($CV$11,'PCU Values'!$B$9:$C$16,2,FALSE)</f>
        <v>0.2</v>
      </c>
      <c r="DE47" s="81">
        <f>$CW$47*VLOOKUP($CW$11,'PCU Values'!$B$9:$C$16,2,FALSE)</f>
        <v>0</v>
      </c>
      <c r="DF47" s="82">
        <f>$CX$47*VLOOKUP($CX$11,'PCU Values'!$B$9:$C$16,2,FALSE)</f>
        <v>0</v>
      </c>
      <c r="DG47" s="71">
        <f>SUM($CY$47,$CZ$47,$DA$47,$DB$47,$DC$47,$DD$47,$DE$47,$DF$47)</f>
        <v>1.2</v>
      </c>
      <c r="DH47" s="52">
        <f>SUM($CQ$47,$CR$47,$CS$47,$CT$47,$CU$47,$CV$47,$CW$47,$CX$47)</f>
        <v>2</v>
      </c>
    </row>
    <row r="48" spans="1:112" ht="21" customHeight="1">
      <c r="A48" s="46">
        <v>44395.302083333299</v>
      </c>
      <c r="B48" s="47" t="s">
        <v>60</v>
      </c>
      <c r="C48" s="48">
        <v>5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56">
        <v>0</v>
      </c>
      <c r="K48" s="57">
        <f>$C$48*VLOOKUP($C$11,'PCU Values'!$B$9:$C$16,2,FALSE)</f>
        <v>5</v>
      </c>
      <c r="L48" s="57">
        <f>$D$48*VLOOKUP($D$11,'PCU Values'!$B$9:$C$16,2,FALSE)</f>
        <v>0</v>
      </c>
      <c r="M48" s="57">
        <f>$E$48*VLOOKUP($E$11,'PCU Values'!$B$9:$C$16,2,FALSE)</f>
        <v>0</v>
      </c>
      <c r="N48" s="57">
        <f>$F$48*VLOOKUP($F$11,'PCU Values'!$B$9:$C$16,2,FALSE)</f>
        <v>0</v>
      </c>
      <c r="O48" s="57">
        <f>$G$48*VLOOKUP($G$11,'PCU Values'!$B$9:$C$16,2,FALSE)</f>
        <v>0</v>
      </c>
      <c r="P48" s="57">
        <f>$H$48*VLOOKUP($H$11,'PCU Values'!$B$9:$C$16,2,FALSE)</f>
        <v>0</v>
      </c>
      <c r="Q48" s="57">
        <f>$I$48*VLOOKUP($I$11,'PCU Values'!$B$9:$C$16,2,FALSE)</f>
        <v>0</v>
      </c>
      <c r="R48" s="65">
        <f>$J$48*VLOOKUP($J$11,'PCU Values'!$B$9:$C$16,2,FALSE)</f>
        <v>0</v>
      </c>
      <c r="S48" s="66">
        <f>SUM($K$48,$L$48,$M$48,$N$48,$O$48,$P$48,$Q$48,$R$48)</f>
        <v>5</v>
      </c>
      <c r="T48" s="52">
        <f>SUM($C$48,$D$48,$E$48,$F$48,$G$48,$H$48,$I$48,$J$48)</f>
        <v>5</v>
      </c>
      <c r="U48" s="67">
        <v>0</v>
      </c>
      <c r="V48" s="48">
        <v>0</v>
      </c>
      <c r="W48" s="48">
        <v>0</v>
      </c>
      <c r="X48" s="48">
        <v>0</v>
      </c>
      <c r="Y48" s="48">
        <v>0</v>
      </c>
      <c r="Z48" s="48">
        <v>4</v>
      </c>
      <c r="AA48" s="48">
        <v>0</v>
      </c>
      <c r="AB48" s="56">
        <v>0</v>
      </c>
      <c r="AC48" s="57">
        <f>$U$48*VLOOKUP($U$11,'PCU Values'!$B$9:$C$16,2,FALSE)</f>
        <v>0</v>
      </c>
      <c r="AD48" s="57">
        <f>$V$48*VLOOKUP($V$11,'PCU Values'!$B$9:$C$16,2,FALSE)</f>
        <v>0</v>
      </c>
      <c r="AE48" s="57">
        <f>$W$48*VLOOKUP($W$11,'PCU Values'!$B$9:$C$16,2,FALSE)</f>
        <v>0</v>
      </c>
      <c r="AF48" s="57">
        <f>$X$48*VLOOKUP($X$11,'PCU Values'!$B$9:$C$16,2,FALSE)</f>
        <v>0</v>
      </c>
      <c r="AG48" s="57">
        <f>$Y$48*VLOOKUP($Y$11,'PCU Values'!$B$9:$C$16,2,FALSE)</f>
        <v>0</v>
      </c>
      <c r="AH48" s="57">
        <f>$Z$48*VLOOKUP($Z$11,'PCU Values'!$B$9:$C$16,2,FALSE)</f>
        <v>0.8</v>
      </c>
      <c r="AI48" s="57">
        <f>$AA$48*VLOOKUP($AA$11,'PCU Values'!$B$9:$C$16,2,FALSE)</f>
        <v>0</v>
      </c>
      <c r="AJ48" s="65">
        <f>$AB$48*VLOOKUP($AB$11,'PCU Values'!$B$9:$C$16,2,FALSE)</f>
        <v>0</v>
      </c>
      <c r="AK48" s="66">
        <f>SUM($AC$48,$AD$48,$AE$48,$AF$48,$AG$48,$AH$48,$AI$48,$AJ$48)</f>
        <v>0.8</v>
      </c>
      <c r="AL48" s="52">
        <f>SUM($U$48,$V$48,$W$48,$X$48,$Y$48,$Z$48,$AA$48,$AB$48)</f>
        <v>4</v>
      </c>
      <c r="AM48" s="67">
        <v>0</v>
      </c>
      <c r="AN48" s="48">
        <v>0</v>
      </c>
      <c r="AO48" s="48">
        <v>0</v>
      </c>
      <c r="AP48" s="48">
        <v>0</v>
      </c>
      <c r="AQ48" s="48">
        <v>0</v>
      </c>
      <c r="AR48" s="48">
        <v>0</v>
      </c>
      <c r="AS48" s="48">
        <v>0</v>
      </c>
      <c r="AT48" s="56">
        <v>0</v>
      </c>
      <c r="AU48" s="57">
        <f>$AM$48*VLOOKUP($AM$11,'PCU Values'!$B$9:$C$16,2,FALSE)</f>
        <v>0</v>
      </c>
      <c r="AV48" s="57">
        <f>$AN$48*VLOOKUP($AN$11,'PCU Values'!$B$9:$C$16,2,FALSE)</f>
        <v>0</v>
      </c>
      <c r="AW48" s="57">
        <f>$AO$48*VLOOKUP($AO$11,'PCU Values'!$B$9:$C$16,2,FALSE)</f>
        <v>0</v>
      </c>
      <c r="AX48" s="57">
        <f>$AP$48*VLOOKUP($AP$11,'PCU Values'!$B$9:$C$16,2,FALSE)</f>
        <v>0</v>
      </c>
      <c r="AY48" s="57">
        <f>$AQ$48*VLOOKUP($AQ$11,'PCU Values'!$B$9:$C$16,2,FALSE)</f>
        <v>0</v>
      </c>
      <c r="AZ48" s="57">
        <f>$AR$48*VLOOKUP($AR$11,'PCU Values'!$B$9:$C$16,2,FALSE)</f>
        <v>0</v>
      </c>
      <c r="BA48" s="57">
        <f>$AS$48*VLOOKUP($AS$11,'PCU Values'!$B$9:$C$16,2,FALSE)</f>
        <v>0</v>
      </c>
      <c r="BB48" s="65">
        <f>$AT$48*VLOOKUP($AT$11,'PCU Values'!$B$9:$C$16,2,FALSE)</f>
        <v>0</v>
      </c>
      <c r="BC48" s="66">
        <f>SUM($AU$48,$AV$48,$AW$48,$AX$48,$AY$48,$AZ$48,$BA$48,$BB$48)</f>
        <v>0</v>
      </c>
      <c r="BD48" s="52">
        <f>SUM($AM$48,$AN$48,$AO$48,$AP$48,$AQ$48,$AR$48,$AS$48,$AT$48)</f>
        <v>0</v>
      </c>
      <c r="BE48" s="67">
        <v>0</v>
      </c>
      <c r="BF48" s="48">
        <v>0</v>
      </c>
      <c r="BG48" s="48">
        <v>0</v>
      </c>
      <c r="BH48" s="48">
        <v>0</v>
      </c>
      <c r="BI48" s="48">
        <v>0</v>
      </c>
      <c r="BJ48" s="48">
        <v>0</v>
      </c>
      <c r="BK48" s="48">
        <v>0</v>
      </c>
      <c r="BL48" s="56">
        <v>0</v>
      </c>
      <c r="BM48" s="77">
        <f>$BE$48*VLOOKUP($BE$11,'PCU Values'!$B$9:$C$16,2,FALSE)</f>
        <v>0</v>
      </c>
      <c r="BN48" s="77">
        <f>$BF$48*VLOOKUP($BF$11,'PCU Values'!$B$9:$C$16,2,FALSE)</f>
        <v>0</v>
      </c>
      <c r="BO48" s="77">
        <f>$BG$48*VLOOKUP($BG$11,'PCU Values'!$B$9:$C$16,2,FALSE)</f>
        <v>0</v>
      </c>
      <c r="BP48" s="77">
        <f>$BH$48*VLOOKUP($BH$11,'PCU Values'!$B$9:$C$16,2,FALSE)</f>
        <v>0</v>
      </c>
      <c r="BQ48" s="77">
        <f>$BI$48*VLOOKUP($BI$11,'PCU Values'!$B$9:$C$16,2,FALSE)</f>
        <v>0</v>
      </c>
      <c r="BR48" s="77">
        <f>$BJ$48*VLOOKUP($BJ$11,'PCU Values'!$B$9:$C$16,2,FALSE)</f>
        <v>0</v>
      </c>
      <c r="BS48" s="77">
        <f>$BK$48*VLOOKUP($BK$11,'PCU Values'!$B$9:$C$16,2,FALSE)</f>
        <v>0</v>
      </c>
      <c r="BT48" s="78">
        <f>$BL$48*VLOOKUP($BL$11,'PCU Values'!$B$9:$C$16,2,FALSE)</f>
        <v>0</v>
      </c>
      <c r="BU48" s="66">
        <f>SUM($BM$48,$BN$48,$BO$48,$BP$48,$BQ$48,$BR$48,$BS$48,$BT$48)</f>
        <v>0</v>
      </c>
      <c r="BV48" s="52">
        <f>SUM($BE$48,$BF$48,$BG$48,$BH$48,$BI$48,$BJ$48,$BK$48,$BL$48)</f>
        <v>0</v>
      </c>
      <c r="BX48" s="47" t="s">
        <v>60</v>
      </c>
      <c r="BY48" s="83">
        <f>SUM($C$48,$U$48,$AM$48,$BE$48)</f>
        <v>5</v>
      </c>
      <c r="BZ48" s="83">
        <f>SUM($D$48,$V$48,$AN$48,$BF$48)</f>
        <v>0</v>
      </c>
      <c r="CA48" s="83">
        <f>SUM($E$48,$W$48,$AO$48,$BG$48)</f>
        <v>0</v>
      </c>
      <c r="CB48" s="83">
        <f>SUM($F$48,$X$48,$AP$48,$BH$48)</f>
        <v>0</v>
      </c>
      <c r="CC48" s="83">
        <f>SUM($G$48,$Y$48,$AQ$48,$BI$48)</f>
        <v>0</v>
      </c>
      <c r="CD48" s="83">
        <f>SUM($H$48,$Z$48,$AR$48,$BJ$48)</f>
        <v>4</v>
      </c>
      <c r="CE48" s="83">
        <f>SUM($I$48,$AA$48,$AS$48,$BK$48)</f>
        <v>0</v>
      </c>
      <c r="CF48" s="86">
        <f>SUM($J$48,$AB$48,$AT$48,$BL$48)</f>
        <v>0</v>
      </c>
      <c r="CG48" s="77">
        <f>$BY$48*VLOOKUP($BY$11,'PCU Values'!$B$9:$C$16,2,FALSE)</f>
        <v>5</v>
      </c>
      <c r="CH48" s="77">
        <f>$BZ$48*VLOOKUP($BZ$11,'PCU Values'!$B$9:$C$16,2,FALSE)</f>
        <v>0</v>
      </c>
      <c r="CI48" s="77">
        <f>$CA$48*VLOOKUP($CA$11,'PCU Values'!$B$9:$C$16,2,FALSE)</f>
        <v>0</v>
      </c>
      <c r="CJ48" s="77">
        <f>$CB$48*VLOOKUP($CB$11,'PCU Values'!$B$9:$C$16,2,FALSE)</f>
        <v>0</v>
      </c>
      <c r="CK48" s="77">
        <f>$CC$48*VLOOKUP($CC$11,'PCU Values'!$B$9:$C$16,2,FALSE)</f>
        <v>0</v>
      </c>
      <c r="CL48" s="77">
        <f>$CD$48*VLOOKUP($CD$11,'PCU Values'!$B$9:$C$16,2,FALSE)</f>
        <v>0.8</v>
      </c>
      <c r="CM48" s="77">
        <f>$CE$48*VLOOKUP($CE$11,'PCU Values'!$B$9:$C$16,2,FALSE)</f>
        <v>0</v>
      </c>
      <c r="CN48" s="78">
        <f>$CF$48*VLOOKUP($CF$11,'PCU Values'!$B$9:$C$16,2,FALSE)</f>
        <v>0</v>
      </c>
      <c r="CO48" s="66">
        <f>SUM($CG$48,$CH$48,$CI$48,$CJ$48,$CK$48,$CL$48,$CM$48,$CN$48)</f>
        <v>5.8</v>
      </c>
      <c r="CP48" s="52">
        <f>SUM($BY$48,$BZ$48,$CA$48,$CB$48,$CC$48,$CD$48,$CE$48,$CF$48)</f>
        <v>9</v>
      </c>
      <c r="CQ48" s="89">
        <f>SUM('J1 A - (North) Bishopthorpe Roa'!$AM$48,'J1 B - Butcher Terrace'!$U$48,'J1 C - (South) Bishopthorpe Roa'!$C$48,'J1 D - South Bank Avenue'!$BE$48)</f>
        <v>1</v>
      </c>
      <c r="CR48" s="83">
        <f>SUM('J1 A - (North) Bishopthorpe Roa'!$AN$48,'J1 B - Butcher Terrace'!$V$48,'J1 C - (South) Bishopthorpe Roa'!$D$48,'J1 D - South Bank Avenue'!$BF$48)</f>
        <v>0</v>
      </c>
      <c r="CS48" s="83">
        <f>SUM('J1 A - (North) Bishopthorpe Roa'!$AO$48,'J1 B - Butcher Terrace'!$W$48,'J1 C - (South) Bishopthorpe Roa'!$E$48,'J1 D - South Bank Avenue'!$BG$48)</f>
        <v>0</v>
      </c>
      <c r="CT48" s="83">
        <f>SUM('J1 A - (North) Bishopthorpe Roa'!$AP$48,'J1 B - Butcher Terrace'!$X$48,'J1 C - (South) Bishopthorpe Roa'!$F$48,'J1 D - South Bank Avenue'!$BH$48)</f>
        <v>0</v>
      </c>
      <c r="CU48" s="83">
        <f>SUM('J1 A - (North) Bishopthorpe Roa'!$AQ$48,'J1 B - Butcher Terrace'!$Y$48,'J1 C - (South) Bishopthorpe Roa'!$G$48,'J1 D - South Bank Avenue'!$BI$48)</f>
        <v>0</v>
      </c>
      <c r="CV48" s="83">
        <f>SUM('J1 A - (North) Bishopthorpe Roa'!$AR$48,'J1 B - Butcher Terrace'!$Z$48,'J1 C - (South) Bishopthorpe Roa'!$H$48,'J1 D - South Bank Avenue'!$BJ$48)</f>
        <v>1</v>
      </c>
      <c r="CW48" s="83">
        <f>SUM('J1 A - (North) Bishopthorpe Roa'!$AS$48,'J1 B - Butcher Terrace'!$AA$48,'J1 C - (South) Bishopthorpe Roa'!$I$48,'J1 D - South Bank Avenue'!$BK$48)</f>
        <v>0</v>
      </c>
      <c r="CX48" s="86">
        <f>SUM('J1 A - (North) Bishopthorpe Roa'!$AT$48,'J1 B - Butcher Terrace'!$AB$48,'J1 C - (South) Bishopthorpe Roa'!$J$48,'J1 D - South Bank Avenue'!$BL$48)</f>
        <v>0</v>
      </c>
      <c r="CY48" s="77">
        <f>$CQ$48*VLOOKUP($CQ$11,'PCU Values'!$B$9:$C$16,2,FALSE)</f>
        <v>1</v>
      </c>
      <c r="CZ48" s="77">
        <f>$CR$48*VLOOKUP($CR$11,'PCU Values'!$B$9:$C$16,2,FALSE)</f>
        <v>0</v>
      </c>
      <c r="DA48" s="77">
        <f>$CS$48*VLOOKUP($CS$11,'PCU Values'!$B$9:$C$16,2,FALSE)</f>
        <v>0</v>
      </c>
      <c r="DB48" s="77">
        <f>$CT$48*VLOOKUP($CT$11,'PCU Values'!$B$9:$C$16,2,FALSE)</f>
        <v>0</v>
      </c>
      <c r="DC48" s="77">
        <f>$CU$48*VLOOKUP($CU$11,'PCU Values'!$B$9:$C$16,2,FALSE)</f>
        <v>0</v>
      </c>
      <c r="DD48" s="77">
        <f>$CV$48*VLOOKUP($CV$11,'PCU Values'!$B$9:$C$16,2,FALSE)</f>
        <v>0.2</v>
      </c>
      <c r="DE48" s="77">
        <f>$CW$48*VLOOKUP($CW$11,'PCU Values'!$B$9:$C$16,2,FALSE)</f>
        <v>0</v>
      </c>
      <c r="DF48" s="78">
        <f>$CX$48*VLOOKUP($CX$11,'PCU Values'!$B$9:$C$16,2,FALSE)</f>
        <v>0</v>
      </c>
      <c r="DG48" s="66">
        <f>SUM($CY$48,$CZ$48,$DA$48,$DB$48,$DC$48,$DD$48,$DE$48,$DF$48)</f>
        <v>1.2</v>
      </c>
      <c r="DH48" s="52">
        <f>SUM($CQ$48,$CR$48,$CS$48,$CT$48,$CU$48,$CV$48,$CW$48,$CX$48)</f>
        <v>2</v>
      </c>
    </row>
    <row r="49" spans="1:112" ht="21" customHeight="1">
      <c r="A49" s="46">
        <v>44395.3125</v>
      </c>
      <c r="B49" s="47" t="s">
        <v>61</v>
      </c>
      <c r="C49" s="48">
        <v>5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56">
        <v>0</v>
      </c>
      <c r="K49" s="57">
        <f>$C$49*VLOOKUP($C$11,'PCU Values'!$B$9:$C$16,2,FALSE)</f>
        <v>5</v>
      </c>
      <c r="L49" s="57">
        <f>$D$49*VLOOKUP($D$11,'PCU Values'!$B$9:$C$16,2,FALSE)</f>
        <v>0</v>
      </c>
      <c r="M49" s="57">
        <f>$E$49*VLOOKUP($E$11,'PCU Values'!$B$9:$C$16,2,FALSE)</f>
        <v>0</v>
      </c>
      <c r="N49" s="57">
        <f>$F$49*VLOOKUP($F$11,'PCU Values'!$B$9:$C$16,2,FALSE)</f>
        <v>0</v>
      </c>
      <c r="O49" s="57">
        <f>$G$49*VLOOKUP($G$11,'PCU Values'!$B$9:$C$16,2,FALSE)</f>
        <v>0</v>
      </c>
      <c r="P49" s="57">
        <f>$H$49*VLOOKUP($H$11,'PCU Values'!$B$9:$C$16,2,FALSE)</f>
        <v>0</v>
      </c>
      <c r="Q49" s="57">
        <f>$I$49*VLOOKUP($I$11,'PCU Values'!$B$9:$C$16,2,FALSE)</f>
        <v>0</v>
      </c>
      <c r="R49" s="65">
        <f>$J$49*VLOOKUP($J$11,'PCU Values'!$B$9:$C$16,2,FALSE)</f>
        <v>0</v>
      </c>
      <c r="S49" s="66">
        <f>SUM($K$49,$L$49,$M$49,$N$49,$O$49,$P$49,$Q$49,$R$49)</f>
        <v>5</v>
      </c>
      <c r="T49" s="52">
        <f>SUM($C$49,$D$49,$E$49,$F$49,$G$49,$H$49,$I$49,$J$49)</f>
        <v>5</v>
      </c>
      <c r="U49" s="67">
        <v>0</v>
      </c>
      <c r="V49" s="48">
        <v>0</v>
      </c>
      <c r="W49" s="48">
        <v>0</v>
      </c>
      <c r="X49" s="48">
        <v>0</v>
      </c>
      <c r="Y49" s="48">
        <v>0</v>
      </c>
      <c r="Z49" s="48">
        <v>4</v>
      </c>
      <c r="AA49" s="48">
        <v>0</v>
      </c>
      <c r="AB49" s="56">
        <v>0</v>
      </c>
      <c r="AC49" s="57">
        <f>$U$49*VLOOKUP($U$11,'PCU Values'!$B$9:$C$16,2,FALSE)</f>
        <v>0</v>
      </c>
      <c r="AD49" s="57">
        <f>$V$49*VLOOKUP($V$11,'PCU Values'!$B$9:$C$16,2,FALSE)</f>
        <v>0</v>
      </c>
      <c r="AE49" s="57">
        <f>$W$49*VLOOKUP($W$11,'PCU Values'!$B$9:$C$16,2,FALSE)</f>
        <v>0</v>
      </c>
      <c r="AF49" s="57">
        <f>$X$49*VLOOKUP($X$11,'PCU Values'!$B$9:$C$16,2,FALSE)</f>
        <v>0</v>
      </c>
      <c r="AG49" s="57">
        <f>$Y$49*VLOOKUP($Y$11,'PCU Values'!$B$9:$C$16,2,FALSE)</f>
        <v>0</v>
      </c>
      <c r="AH49" s="57">
        <f>$Z$49*VLOOKUP($Z$11,'PCU Values'!$B$9:$C$16,2,FALSE)</f>
        <v>0.8</v>
      </c>
      <c r="AI49" s="57">
        <f>$AA$49*VLOOKUP($AA$11,'PCU Values'!$B$9:$C$16,2,FALSE)</f>
        <v>0</v>
      </c>
      <c r="AJ49" s="65">
        <f>$AB$49*VLOOKUP($AB$11,'PCU Values'!$B$9:$C$16,2,FALSE)</f>
        <v>0</v>
      </c>
      <c r="AK49" s="66">
        <f>SUM($AC$49,$AD$49,$AE$49,$AF$49,$AG$49,$AH$49,$AI$49,$AJ$49)</f>
        <v>0.8</v>
      </c>
      <c r="AL49" s="52">
        <f>SUM($U$49,$V$49,$W$49,$X$49,$Y$49,$Z$49,$AA$49,$AB$49)</f>
        <v>4</v>
      </c>
      <c r="AM49" s="67">
        <v>2</v>
      </c>
      <c r="AN49" s="48">
        <v>0</v>
      </c>
      <c r="AO49" s="48">
        <v>0</v>
      </c>
      <c r="AP49" s="48">
        <v>0</v>
      </c>
      <c r="AQ49" s="48">
        <v>0</v>
      </c>
      <c r="AR49" s="48">
        <v>0</v>
      </c>
      <c r="AS49" s="48">
        <v>0</v>
      </c>
      <c r="AT49" s="56">
        <v>0</v>
      </c>
      <c r="AU49" s="57">
        <f>$AM$49*VLOOKUP($AM$11,'PCU Values'!$B$9:$C$16,2,FALSE)</f>
        <v>2</v>
      </c>
      <c r="AV49" s="57">
        <f>$AN$49*VLOOKUP($AN$11,'PCU Values'!$B$9:$C$16,2,FALSE)</f>
        <v>0</v>
      </c>
      <c r="AW49" s="57">
        <f>$AO$49*VLOOKUP($AO$11,'PCU Values'!$B$9:$C$16,2,FALSE)</f>
        <v>0</v>
      </c>
      <c r="AX49" s="57">
        <f>$AP$49*VLOOKUP($AP$11,'PCU Values'!$B$9:$C$16,2,FALSE)</f>
        <v>0</v>
      </c>
      <c r="AY49" s="57">
        <f>$AQ$49*VLOOKUP($AQ$11,'PCU Values'!$B$9:$C$16,2,FALSE)</f>
        <v>0</v>
      </c>
      <c r="AZ49" s="57">
        <f>$AR$49*VLOOKUP($AR$11,'PCU Values'!$B$9:$C$16,2,FALSE)</f>
        <v>0</v>
      </c>
      <c r="BA49" s="57">
        <f>$AS$49*VLOOKUP($AS$11,'PCU Values'!$B$9:$C$16,2,FALSE)</f>
        <v>0</v>
      </c>
      <c r="BB49" s="65">
        <f>$AT$49*VLOOKUP($AT$11,'PCU Values'!$B$9:$C$16,2,FALSE)</f>
        <v>0</v>
      </c>
      <c r="BC49" s="66">
        <f>SUM($AU$49,$AV$49,$AW$49,$AX$49,$AY$49,$AZ$49,$BA$49,$BB$49)</f>
        <v>2</v>
      </c>
      <c r="BD49" s="52">
        <f>SUM($AM$49,$AN$49,$AO$49,$AP$49,$AQ$49,$AR$49,$AS$49,$AT$49)</f>
        <v>2</v>
      </c>
      <c r="BE49" s="67">
        <v>0</v>
      </c>
      <c r="BF49" s="48">
        <v>0</v>
      </c>
      <c r="BG49" s="48">
        <v>0</v>
      </c>
      <c r="BH49" s="48">
        <v>0</v>
      </c>
      <c r="BI49" s="48">
        <v>0</v>
      </c>
      <c r="BJ49" s="48">
        <v>0</v>
      </c>
      <c r="BK49" s="48">
        <v>0</v>
      </c>
      <c r="BL49" s="56">
        <v>0</v>
      </c>
      <c r="BM49" s="77">
        <f>$BE$49*VLOOKUP($BE$11,'PCU Values'!$B$9:$C$16,2,FALSE)</f>
        <v>0</v>
      </c>
      <c r="BN49" s="77">
        <f>$BF$49*VLOOKUP($BF$11,'PCU Values'!$B$9:$C$16,2,FALSE)</f>
        <v>0</v>
      </c>
      <c r="BO49" s="77">
        <f>$BG$49*VLOOKUP($BG$11,'PCU Values'!$B$9:$C$16,2,FALSE)</f>
        <v>0</v>
      </c>
      <c r="BP49" s="77">
        <f>$BH$49*VLOOKUP($BH$11,'PCU Values'!$B$9:$C$16,2,FALSE)</f>
        <v>0</v>
      </c>
      <c r="BQ49" s="77">
        <f>$BI$49*VLOOKUP($BI$11,'PCU Values'!$B$9:$C$16,2,FALSE)</f>
        <v>0</v>
      </c>
      <c r="BR49" s="77">
        <f>$BJ$49*VLOOKUP($BJ$11,'PCU Values'!$B$9:$C$16,2,FALSE)</f>
        <v>0</v>
      </c>
      <c r="BS49" s="77">
        <f>$BK$49*VLOOKUP($BK$11,'PCU Values'!$B$9:$C$16,2,FALSE)</f>
        <v>0</v>
      </c>
      <c r="BT49" s="78">
        <f>$BL$49*VLOOKUP($BL$11,'PCU Values'!$B$9:$C$16,2,FALSE)</f>
        <v>0</v>
      </c>
      <c r="BU49" s="66">
        <f>SUM($BM$49,$BN$49,$BO$49,$BP$49,$BQ$49,$BR$49,$BS$49,$BT$49)</f>
        <v>0</v>
      </c>
      <c r="BV49" s="52">
        <f>SUM($BE$49,$BF$49,$BG$49,$BH$49,$BI$49,$BJ$49,$BK$49,$BL$49)</f>
        <v>0</v>
      </c>
      <c r="BX49" s="47" t="s">
        <v>61</v>
      </c>
      <c r="BY49" s="83">
        <f>SUM($C$49,$U$49,$AM$49,$BE$49)</f>
        <v>7</v>
      </c>
      <c r="BZ49" s="83">
        <f>SUM($D$49,$V$49,$AN$49,$BF$49)</f>
        <v>0</v>
      </c>
      <c r="CA49" s="83">
        <f>SUM($E$49,$W$49,$AO$49,$BG$49)</f>
        <v>0</v>
      </c>
      <c r="CB49" s="83">
        <f>SUM($F$49,$X$49,$AP$49,$BH$49)</f>
        <v>0</v>
      </c>
      <c r="CC49" s="83">
        <f>SUM($G$49,$Y$49,$AQ$49,$BI$49)</f>
        <v>0</v>
      </c>
      <c r="CD49" s="83">
        <f>SUM($H$49,$Z$49,$AR$49,$BJ$49)</f>
        <v>4</v>
      </c>
      <c r="CE49" s="83">
        <f>SUM($I$49,$AA$49,$AS$49,$BK$49)</f>
        <v>0</v>
      </c>
      <c r="CF49" s="86">
        <f>SUM($J$49,$AB$49,$AT$49,$BL$49)</f>
        <v>0</v>
      </c>
      <c r="CG49" s="77">
        <f>$BY$49*VLOOKUP($BY$11,'PCU Values'!$B$9:$C$16,2,FALSE)</f>
        <v>7</v>
      </c>
      <c r="CH49" s="77">
        <f>$BZ$49*VLOOKUP($BZ$11,'PCU Values'!$B$9:$C$16,2,FALSE)</f>
        <v>0</v>
      </c>
      <c r="CI49" s="77">
        <f>$CA$49*VLOOKUP($CA$11,'PCU Values'!$B$9:$C$16,2,FALSE)</f>
        <v>0</v>
      </c>
      <c r="CJ49" s="77">
        <f>$CB$49*VLOOKUP($CB$11,'PCU Values'!$B$9:$C$16,2,FALSE)</f>
        <v>0</v>
      </c>
      <c r="CK49" s="77">
        <f>$CC$49*VLOOKUP($CC$11,'PCU Values'!$B$9:$C$16,2,FALSE)</f>
        <v>0</v>
      </c>
      <c r="CL49" s="77">
        <f>$CD$49*VLOOKUP($CD$11,'PCU Values'!$B$9:$C$16,2,FALSE)</f>
        <v>0.8</v>
      </c>
      <c r="CM49" s="77">
        <f>$CE$49*VLOOKUP($CE$11,'PCU Values'!$B$9:$C$16,2,FALSE)</f>
        <v>0</v>
      </c>
      <c r="CN49" s="78">
        <f>$CF$49*VLOOKUP($CF$11,'PCU Values'!$B$9:$C$16,2,FALSE)</f>
        <v>0</v>
      </c>
      <c r="CO49" s="66">
        <f>SUM($CG$49,$CH$49,$CI$49,$CJ$49,$CK$49,$CL$49,$CM$49,$CN$49)</f>
        <v>7.8</v>
      </c>
      <c r="CP49" s="52">
        <f>SUM($BY$49,$BZ$49,$CA$49,$CB$49,$CC$49,$CD$49,$CE$49,$CF$49)</f>
        <v>11</v>
      </c>
      <c r="CQ49" s="89">
        <f>SUM('J1 A - (North) Bishopthorpe Roa'!$AM$49,'J1 B - Butcher Terrace'!$U$49,'J1 C - (South) Bishopthorpe Roa'!$C$49,'J1 D - South Bank Avenue'!$BE$49)</f>
        <v>4</v>
      </c>
      <c r="CR49" s="83">
        <f>SUM('J1 A - (North) Bishopthorpe Roa'!$AN$49,'J1 B - Butcher Terrace'!$V$49,'J1 C - (South) Bishopthorpe Roa'!$D$49,'J1 D - South Bank Avenue'!$BF$49)</f>
        <v>0</v>
      </c>
      <c r="CS49" s="83">
        <f>SUM('J1 A - (North) Bishopthorpe Roa'!$AO$49,'J1 B - Butcher Terrace'!$W$49,'J1 C - (South) Bishopthorpe Roa'!$E$49,'J1 D - South Bank Avenue'!$BG$49)</f>
        <v>0</v>
      </c>
      <c r="CT49" s="83">
        <f>SUM('J1 A - (North) Bishopthorpe Roa'!$AP$49,'J1 B - Butcher Terrace'!$X$49,'J1 C - (South) Bishopthorpe Roa'!$F$49,'J1 D - South Bank Avenue'!$BH$49)</f>
        <v>0</v>
      </c>
      <c r="CU49" s="83">
        <f>SUM('J1 A - (North) Bishopthorpe Roa'!$AQ$49,'J1 B - Butcher Terrace'!$Y$49,'J1 C - (South) Bishopthorpe Roa'!$G$49,'J1 D - South Bank Avenue'!$BI$49)</f>
        <v>0</v>
      </c>
      <c r="CV49" s="83">
        <f>SUM('J1 A - (North) Bishopthorpe Roa'!$AR$49,'J1 B - Butcher Terrace'!$Z$49,'J1 C - (South) Bishopthorpe Roa'!$H$49,'J1 D - South Bank Avenue'!$BJ$49)</f>
        <v>1</v>
      </c>
      <c r="CW49" s="83">
        <f>SUM('J1 A - (North) Bishopthorpe Roa'!$AS$49,'J1 B - Butcher Terrace'!$AA$49,'J1 C - (South) Bishopthorpe Roa'!$I$49,'J1 D - South Bank Avenue'!$BK$49)</f>
        <v>0</v>
      </c>
      <c r="CX49" s="86">
        <f>SUM('J1 A - (North) Bishopthorpe Roa'!$AT$49,'J1 B - Butcher Terrace'!$AB$49,'J1 C - (South) Bishopthorpe Roa'!$J$49,'J1 D - South Bank Avenue'!$BL$49)</f>
        <v>0</v>
      </c>
      <c r="CY49" s="77">
        <f>$CQ$49*VLOOKUP($CQ$11,'PCU Values'!$B$9:$C$16,2,FALSE)</f>
        <v>4</v>
      </c>
      <c r="CZ49" s="77">
        <f>$CR$49*VLOOKUP($CR$11,'PCU Values'!$B$9:$C$16,2,FALSE)</f>
        <v>0</v>
      </c>
      <c r="DA49" s="77">
        <f>$CS$49*VLOOKUP($CS$11,'PCU Values'!$B$9:$C$16,2,FALSE)</f>
        <v>0</v>
      </c>
      <c r="DB49" s="77">
        <f>$CT$49*VLOOKUP($CT$11,'PCU Values'!$B$9:$C$16,2,FALSE)</f>
        <v>0</v>
      </c>
      <c r="DC49" s="77">
        <f>$CU$49*VLOOKUP($CU$11,'PCU Values'!$B$9:$C$16,2,FALSE)</f>
        <v>0</v>
      </c>
      <c r="DD49" s="77">
        <f>$CV$49*VLOOKUP($CV$11,'PCU Values'!$B$9:$C$16,2,FALSE)</f>
        <v>0.2</v>
      </c>
      <c r="DE49" s="77">
        <f>$CW$49*VLOOKUP($CW$11,'PCU Values'!$B$9:$C$16,2,FALSE)</f>
        <v>0</v>
      </c>
      <c r="DF49" s="78">
        <f>$CX$49*VLOOKUP($CX$11,'PCU Values'!$B$9:$C$16,2,FALSE)</f>
        <v>0</v>
      </c>
      <c r="DG49" s="66">
        <f>SUM($CY$49,$CZ$49,$DA$49,$DB$49,$DC$49,$DD$49,$DE$49,$DF$49)</f>
        <v>4.2</v>
      </c>
      <c r="DH49" s="52">
        <f>SUM($CQ$49,$CR$49,$CS$49,$CT$49,$CU$49,$CV$49,$CW$49,$CX$49)</f>
        <v>5</v>
      </c>
    </row>
    <row r="50" spans="1:112" ht="21" customHeight="1">
      <c r="A50" s="46">
        <v>44395.322916666701</v>
      </c>
      <c r="B50" s="50" t="s">
        <v>62</v>
      </c>
      <c r="C50" s="51">
        <v>11</v>
      </c>
      <c r="D50" s="51">
        <v>0</v>
      </c>
      <c r="E50" s="51">
        <v>0</v>
      </c>
      <c r="F50" s="51">
        <v>0</v>
      </c>
      <c r="G50" s="51">
        <v>0</v>
      </c>
      <c r="H50" s="51">
        <v>2</v>
      </c>
      <c r="I50" s="51">
        <v>0</v>
      </c>
      <c r="J50" s="59">
        <v>0</v>
      </c>
      <c r="K50" s="60">
        <f>$C$50*VLOOKUP($C$11,'PCU Values'!$B$9:$C$16,2,FALSE)</f>
        <v>11</v>
      </c>
      <c r="L50" s="60">
        <f>$D$50*VLOOKUP($D$11,'PCU Values'!$B$9:$C$16,2,FALSE)</f>
        <v>0</v>
      </c>
      <c r="M50" s="60">
        <f>$E$50*VLOOKUP($E$11,'PCU Values'!$B$9:$C$16,2,FALSE)</f>
        <v>0</v>
      </c>
      <c r="N50" s="60">
        <f>$F$50*VLOOKUP($F$11,'PCU Values'!$B$9:$C$16,2,FALSE)</f>
        <v>0</v>
      </c>
      <c r="O50" s="60">
        <f>$G$50*VLOOKUP($G$11,'PCU Values'!$B$9:$C$16,2,FALSE)</f>
        <v>0</v>
      </c>
      <c r="P50" s="60">
        <f>$H$50*VLOOKUP($H$11,'PCU Values'!$B$9:$C$16,2,FALSE)</f>
        <v>0.4</v>
      </c>
      <c r="Q50" s="60">
        <f>$I$50*VLOOKUP($I$11,'PCU Values'!$B$9:$C$16,2,FALSE)</f>
        <v>0</v>
      </c>
      <c r="R50" s="68">
        <f>$J$50*VLOOKUP($J$11,'PCU Values'!$B$9:$C$16,2,FALSE)</f>
        <v>0</v>
      </c>
      <c r="S50" s="63">
        <f>SUM($K$50,$L$50,$M$50,$N$50,$O$50,$P$50,$Q$50,$R$50)</f>
        <v>11.4</v>
      </c>
      <c r="T50" s="52">
        <f>SUM($C$50,$D$50,$E$50,$F$50,$G$50,$H$50,$I$50,$J$50)</f>
        <v>13</v>
      </c>
      <c r="U50" s="73">
        <v>0</v>
      </c>
      <c r="V50" s="51">
        <v>0</v>
      </c>
      <c r="W50" s="51">
        <v>0</v>
      </c>
      <c r="X50" s="51">
        <v>0</v>
      </c>
      <c r="Y50" s="51">
        <v>0</v>
      </c>
      <c r="Z50" s="51">
        <v>5</v>
      </c>
      <c r="AA50" s="51">
        <v>0</v>
      </c>
      <c r="AB50" s="59">
        <v>0</v>
      </c>
      <c r="AC50" s="60">
        <f>$U$50*VLOOKUP($U$11,'PCU Values'!$B$9:$C$16,2,FALSE)</f>
        <v>0</v>
      </c>
      <c r="AD50" s="60">
        <f>$V$50*VLOOKUP($V$11,'PCU Values'!$B$9:$C$16,2,FALSE)</f>
        <v>0</v>
      </c>
      <c r="AE50" s="60">
        <f>$W$50*VLOOKUP($W$11,'PCU Values'!$B$9:$C$16,2,FALSE)</f>
        <v>0</v>
      </c>
      <c r="AF50" s="60">
        <f>$X$50*VLOOKUP($X$11,'PCU Values'!$B$9:$C$16,2,FALSE)</f>
        <v>0</v>
      </c>
      <c r="AG50" s="60">
        <f>$Y$50*VLOOKUP($Y$11,'PCU Values'!$B$9:$C$16,2,FALSE)</f>
        <v>0</v>
      </c>
      <c r="AH50" s="60">
        <f>$Z$50*VLOOKUP($Z$11,'PCU Values'!$B$9:$C$16,2,FALSE)</f>
        <v>1</v>
      </c>
      <c r="AI50" s="60">
        <f>$AA$50*VLOOKUP($AA$11,'PCU Values'!$B$9:$C$16,2,FALSE)</f>
        <v>0</v>
      </c>
      <c r="AJ50" s="68">
        <f>$AB$50*VLOOKUP($AB$11,'PCU Values'!$B$9:$C$16,2,FALSE)</f>
        <v>0</v>
      </c>
      <c r="AK50" s="63">
        <f>SUM($AC$50,$AD$50,$AE$50,$AF$50,$AG$50,$AH$50,$AI$50,$AJ$50)</f>
        <v>1</v>
      </c>
      <c r="AL50" s="52">
        <f>SUM($U$50,$V$50,$W$50,$X$50,$Y$50,$Z$50,$AA$50,$AB$50)</f>
        <v>5</v>
      </c>
      <c r="AM50" s="73">
        <v>0</v>
      </c>
      <c r="AN50" s="51">
        <v>0</v>
      </c>
      <c r="AO50" s="51">
        <v>0</v>
      </c>
      <c r="AP50" s="51">
        <v>0</v>
      </c>
      <c r="AQ50" s="51">
        <v>0</v>
      </c>
      <c r="AR50" s="51">
        <v>0</v>
      </c>
      <c r="AS50" s="51">
        <v>0</v>
      </c>
      <c r="AT50" s="59">
        <v>0</v>
      </c>
      <c r="AU50" s="60">
        <f>$AM$50*VLOOKUP($AM$11,'PCU Values'!$B$9:$C$16,2,FALSE)</f>
        <v>0</v>
      </c>
      <c r="AV50" s="60">
        <f>$AN$50*VLOOKUP($AN$11,'PCU Values'!$B$9:$C$16,2,FALSE)</f>
        <v>0</v>
      </c>
      <c r="AW50" s="60">
        <f>$AO$50*VLOOKUP($AO$11,'PCU Values'!$B$9:$C$16,2,FALSE)</f>
        <v>0</v>
      </c>
      <c r="AX50" s="60">
        <f>$AP$50*VLOOKUP($AP$11,'PCU Values'!$B$9:$C$16,2,FALSE)</f>
        <v>0</v>
      </c>
      <c r="AY50" s="60">
        <f>$AQ$50*VLOOKUP($AQ$11,'PCU Values'!$B$9:$C$16,2,FALSE)</f>
        <v>0</v>
      </c>
      <c r="AZ50" s="60">
        <f>$AR$50*VLOOKUP($AR$11,'PCU Values'!$B$9:$C$16,2,FALSE)</f>
        <v>0</v>
      </c>
      <c r="BA50" s="60">
        <f>$AS$50*VLOOKUP($AS$11,'PCU Values'!$B$9:$C$16,2,FALSE)</f>
        <v>0</v>
      </c>
      <c r="BB50" s="68">
        <f>$AT$50*VLOOKUP($AT$11,'PCU Values'!$B$9:$C$16,2,FALSE)</f>
        <v>0</v>
      </c>
      <c r="BC50" s="63">
        <f>SUM($AU$50,$AV$50,$AW$50,$AX$50,$AY$50,$AZ$50,$BA$50,$BB$50)</f>
        <v>0</v>
      </c>
      <c r="BD50" s="52">
        <f>SUM($AM$50,$AN$50,$AO$50,$AP$50,$AQ$50,$AR$50,$AS$50,$AT$50)</f>
        <v>0</v>
      </c>
      <c r="BE50" s="73">
        <v>0</v>
      </c>
      <c r="BF50" s="51">
        <v>0</v>
      </c>
      <c r="BG50" s="51">
        <v>0</v>
      </c>
      <c r="BH50" s="51">
        <v>0</v>
      </c>
      <c r="BI50" s="51">
        <v>0</v>
      </c>
      <c r="BJ50" s="51">
        <v>0</v>
      </c>
      <c r="BK50" s="51">
        <v>0</v>
      </c>
      <c r="BL50" s="59">
        <v>0</v>
      </c>
      <c r="BM50" s="79">
        <f>$BE$50*VLOOKUP($BE$11,'PCU Values'!$B$9:$C$16,2,FALSE)</f>
        <v>0</v>
      </c>
      <c r="BN50" s="79">
        <f>$BF$50*VLOOKUP($BF$11,'PCU Values'!$B$9:$C$16,2,FALSE)</f>
        <v>0</v>
      </c>
      <c r="BO50" s="79">
        <f>$BG$50*VLOOKUP($BG$11,'PCU Values'!$B$9:$C$16,2,FALSE)</f>
        <v>0</v>
      </c>
      <c r="BP50" s="79">
        <f>$BH$50*VLOOKUP($BH$11,'PCU Values'!$B$9:$C$16,2,FALSE)</f>
        <v>0</v>
      </c>
      <c r="BQ50" s="79">
        <f>$BI$50*VLOOKUP($BI$11,'PCU Values'!$B$9:$C$16,2,FALSE)</f>
        <v>0</v>
      </c>
      <c r="BR50" s="79">
        <f>$BJ$50*VLOOKUP($BJ$11,'PCU Values'!$B$9:$C$16,2,FALSE)</f>
        <v>0</v>
      </c>
      <c r="BS50" s="79">
        <f>$BK$50*VLOOKUP($BK$11,'PCU Values'!$B$9:$C$16,2,FALSE)</f>
        <v>0</v>
      </c>
      <c r="BT50" s="80">
        <f>$BL$50*VLOOKUP($BL$11,'PCU Values'!$B$9:$C$16,2,FALSE)</f>
        <v>0</v>
      </c>
      <c r="BU50" s="63">
        <f>SUM($BM$50,$BN$50,$BO$50,$BP$50,$BQ$50,$BR$50,$BS$50,$BT$50)</f>
        <v>0</v>
      </c>
      <c r="BV50" s="52">
        <f>SUM($BE$50,$BF$50,$BG$50,$BH$50,$BI$50,$BJ$50,$BK$50,$BL$50)</f>
        <v>0</v>
      </c>
      <c r="BX50" s="50" t="s">
        <v>62</v>
      </c>
      <c r="BY50" s="84">
        <f>SUM($C$50,$U$50,$AM$50,$BE$50)</f>
        <v>11</v>
      </c>
      <c r="BZ50" s="84">
        <f>SUM($D$50,$V$50,$AN$50,$BF$50)</f>
        <v>0</v>
      </c>
      <c r="CA50" s="84">
        <f>SUM($E$50,$W$50,$AO$50,$BG$50)</f>
        <v>0</v>
      </c>
      <c r="CB50" s="84">
        <f>SUM($F$50,$X$50,$AP$50,$BH$50)</f>
        <v>0</v>
      </c>
      <c r="CC50" s="84">
        <f>SUM($G$50,$Y$50,$AQ$50,$BI$50)</f>
        <v>0</v>
      </c>
      <c r="CD50" s="84">
        <f>SUM($H$50,$Z$50,$AR$50,$BJ$50)</f>
        <v>7</v>
      </c>
      <c r="CE50" s="84">
        <f>SUM($I$50,$AA$50,$AS$50,$BK$50)</f>
        <v>0</v>
      </c>
      <c r="CF50" s="87">
        <f>SUM($J$50,$AB$50,$AT$50,$BL$50)</f>
        <v>0</v>
      </c>
      <c r="CG50" s="79">
        <f>$BY$50*VLOOKUP($BY$11,'PCU Values'!$B$9:$C$16,2,FALSE)</f>
        <v>11</v>
      </c>
      <c r="CH50" s="79">
        <f>$BZ$50*VLOOKUP($BZ$11,'PCU Values'!$B$9:$C$16,2,FALSE)</f>
        <v>0</v>
      </c>
      <c r="CI50" s="79">
        <f>$CA$50*VLOOKUP($CA$11,'PCU Values'!$B$9:$C$16,2,FALSE)</f>
        <v>0</v>
      </c>
      <c r="CJ50" s="79">
        <f>$CB$50*VLOOKUP($CB$11,'PCU Values'!$B$9:$C$16,2,FALSE)</f>
        <v>0</v>
      </c>
      <c r="CK50" s="79">
        <f>$CC$50*VLOOKUP($CC$11,'PCU Values'!$B$9:$C$16,2,FALSE)</f>
        <v>0</v>
      </c>
      <c r="CL50" s="79">
        <f>$CD$50*VLOOKUP($CD$11,'PCU Values'!$B$9:$C$16,2,FALSE)</f>
        <v>1.4</v>
      </c>
      <c r="CM50" s="79">
        <f>$CE$50*VLOOKUP($CE$11,'PCU Values'!$B$9:$C$16,2,FALSE)</f>
        <v>0</v>
      </c>
      <c r="CN50" s="80">
        <f>$CF$50*VLOOKUP($CF$11,'PCU Values'!$B$9:$C$16,2,FALSE)</f>
        <v>0</v>
      </c>
      <c r="CO50" s="63">
        <f>SUM($CG$50,$CH$50,$CI$50,$CJ$50,$CK$50,$CL$50,$CM$50,$CN$50)</f>
        <v>12.4</v>
      </c>
      <c r="CP50" s="52">
        <f>SUM($BY$50,$BZ$50,$CA$50,$CB$50,$CC$50,$CD$50,$CE$50,$CF$50)</f>
        <v>18</v>
      </c>
      <c r="CQ50" s="90">
        <f>SUM('J1 A - (North) Bishopthorpe Roa'!$AM$50,'J1 B - Butcher Terrace'!$U$50,'J1 C - (South) Bishopthorpe Roa'!$C$50,'J1 D - South Bank Avenue'!$BE$50)</f>
        <v>3</v>
      </c>
      <c r="CR50" s="84">
        <f>SUM('J1 A - (North) Bishopthorpe Roa'!$AN$50,'J1 B - Butcher Terrace'!$V$50,'J1 C - (South) Bishopthorpe Roa'!$D$50,'J1 D - South Bank Avenue'!$BF$50)</f>
        <v>1</v>
      </c>
      <c r="CS50" s="84">
        <f>SUM('J1 A - (North) Bishopthorpe Roa'!$AO$50,'J1 B - Butcher Terrace'!$W$50,'J1 C - (South) Bishopthorpe Roa'!$E$50,'J1 D - South Bank Avenue'!$BG$50)</f>
        <v>0</v>
      </c>
      <c r="CT50" s="84">
        <f>SUM('J1 A - (North) Bishopthorpe Roa'!$AP$50,'J1 B - Butcher Terrace'!$X$50,'J1 C - (South) Bishopthorpe Roa'!$F$50,'J1 D - South Bank Avenue'!$BH$50)</f>
        <v>0</v>
      </c>
      <c r="CU50" s="84">
        <f>SUM('J1 A - (North) Bishopthorpe Roa'!$AQ$50,'J1 B - Butcher Terrace'!$Y$50,'J1 C - (South) Bishopthorpe Roa'!$G$50,'J1 D - South Bank Avenue'!$BI$50)</f>
        <v>0</v>
      </c>
      <c r="CV50" s="84">
        <f>SUM('J1 A - (North) Bishopthorpe Roa'!$AR$50,'J1 B - Butcher Terrace'!$Z$50,'J1 C - (South) Bishopthorpe Roa'!$H$50,'J1 D - South Bank Avenue'!$BJ$50)</f>
        <v>1</v>
      </c>
      <c r="CW50" s="84">
        <f>SUM('J1 A - (North) Bishopthorpe Roa'!$AS$50,'J1 B - Butcher Terrace'!$AA$50,'J1 C - (South) Bishopthorpe Roa'!$I$50,'J1 D - South Bank Avenue'!$BK$50)</f>
        <v>0</v>
      </c>
      <c r="CX50" s="87">
        <f>SUM('J1 A - (North) Bishopthorpe Roa'!$AT$50,'J1 B - Butcher Terrace'!$AB$50,'J1 C - (South) Bishopthorpe Roa'!$J$50,'J1 D - South Bank Avenue'!$BL$50)</f>
        <v>0</v>
      </c>
      <c r="CY50" s="79">
        <f>$CQ$50*VLOOKUP($CQ$11,'PCU Values'!$B$9:$C$16,2,FALSE)</f>
        <v>3</v>
      </c>
      <c r="CZ50" s="79">
        <f>$CR$50*VLOOKUP($CR$11,'PCU Values'!$B$9:$C$16,2,FALSE)</f>
        <v>1</v>
      </c>
      <c r="DA50" s="79">
        <f>$CS$50*VLOOKUP($CS$11,'PCU Values'!$B$9:$C$16,2,FALSE)</f>
        <v>0</v>
      </c>
      <c r="DB50" s="79">
        <f>$CT$50*VLOOKUP($CT$11,'PCU Values'!$B$9:$C$16,2,FALSE)</f>
        <v>0</v>
      </c>
      <c r="DC50" s="79">
        <f>$CU$50*VLOOKUP($CU$11,'PCU Values'!$B$9:$C$16,2,FALSE)</f>
        <v>0</v>
      </c>
      <c r="DD50" s="79">
        <f>$CV$50*VLOOKUP($CV$11,'PCU Values'!$B$9:$C$16,2,FALSE)</f>
        <v>0.2</v>
      </c>
      <c r="DE50" s="79">
        <f>$CW$50*VLOOKUP($CW$11,'PCU Values'!$B$9:$C$16,2,FALSE)</f>
        <v>0</v>
      </c>
      <c r="DF50" s="80">
        <f>$CX$50*VLOOKUP($CX$11,'PCU Values'!$B$9:$C$16,2,FALSE)</f>
        <v>0</v>
      </c>
      <c r="DG50" s="63">
        <f>SUM($CY$50,$CZ$50,$DA$50,$DB$50,$DC$50,$DD$50,$DE$50,$DF$50)</f>
        <v>4.2</v>
      </c>
      <c r="DH50" s="52">
        <f>SUM($CQ$50,$CR$50,$CS$50,$CT$50,$CU$50,$CV$50,$CW$50,$CX$50)</f>
        <v>5</v>
      </c>
    </row>
    <row r="51" spans="1:112">
      <c r="B51" s="52" t="s">
        <v>34</v>
      </c>
      <c r="C51" s="52">
        <f>SUM($C$47:$C$50)</f>
        <v>23</v>
      </c>
      <c r="D51" s="52">
        <f>SUM($D$47:$D$50)</f>
        <v>1</v>
      </c>
      <c r="E51" s="52">
        <f>SUM($E$47:$E$50)</f>
        <v>0</v>
      </c>
      <c r="F51" s="52">
        <f>SUM($F$47:$F$50)</f>
        <v>0</v>
      </c>
      <c r="G51" s="52">
        <f>SUM($G$47:$G$50)</f>
        <v>0</v>
      </c>
      <c r="H51" s="52">
        <f>SUM($H$47:$H$50)</f>
        <v>3</v>
      </c>
      <c r="I51" s="52">
        <f>SUM($I$47:$I$50)</f>
        <v>1</v>
      </c>
      <c r="J51" s="52">
        <f>SUM($J$47:$J$50)</f>
        <v>0</v>
      </c>
      <c r="K51" s="52">
        <f>SUM($K$47:$K$50)</f>
        <v>23</v>
      </c>
      <c r="L51" s="52">
        <f>SUM($L$47:$L$50)</f>
        <v>1</v>
      </c>
      <c r="M51" s="52">
        <f>SUM($M$47:$M$50)</f>
        <v>0</v>
      </c>
      <c r="N51" s="52">
        <f>SUM($N$47:$N$50)</f>
        <v>0</v>
      </c>
      <c r="O51" s="52">
        <f>SUM($O$47:$O$50)</f>
        <v>0</v>
      </c>
      <c r="P51" s="52">
        <f>SUM($P$47:$P$50)</f>
        <v>1</v>
      </c>
      <c r="Q51" s="52">
        <f>SUM($Q$47:$Q$50)</f>
        <v>0</v>
      </c>
      <c r="R51" s="52">
        <f>SUM($R$47:$R$50)</f>
        <v>0</v>
      </c>
      <c r="S51" s="52">
        <f>SUM($K$51,$L$51,$M$51,$N$51,$O$51,$P$51,$Q$51,$R$51)</f>
        <v>25</v>
      </c>
      <c r="T51" s="52">
        <f>SUM($C$51,$D$51,$E$51,$F$51,$G$51,$H$51,$I$51,$J$51)</f>
        <v>28</v>
      </c>
      <c r="U51" s="52">
        <f>SUM($U$47:$U$50)</f>
        <v>0</v>
      </c>
      <c r="V51" s="52">
        <f>SUM($V$47:$V$50)</f>
        <v>0</v>
      </c>
      <c r="W51" s="52">
        <f>SUM($W$47:$W$50)</f>
        <v>0</v>
      </c>
      <c r="X51" s="52">
        <f>SUM($X$47:$X$50)</f>
        <v>0</v>
      </c>
      <c r="Y51" s="52">
        <f>SUM($Y$47:$Y$50)</f>
        <v>0</v>
      </c>
      <c r="Z51" s="52">
        <f>SUM($Z$47:$Z$50)</f>
        <v>14</v>
      </c>
      <c r="AA51" s="52">
        <f>SUM($AA$47:$AA$50)</f>
        <v>0</v>
      </c>
      <c r="AB51" s="52">
        <f>SUM($AB$47:$AB$50)</f>
        <v>0</v>
      </c>
      <c r="AC51" s="52">
        <f>SUM($AC$47:$AC$50)</f>
        <v>0</v>
      </c>
      <c r="AD51" s="52">
        <f>SUM($AD$47:$AD$50)</f>
        <v>0</v>
      </c>
      <c r="AE51" s="52">
        <f>SUM($AE$47:$AE$50)</f>
        <v>0</v>
      </c>
      <c r="AF51" s="52">
        <f>SUM($AF$47:$AF$50)</f>
        <v>0</v>
      </c>
      <c r="AG51" s="52">
        <f>SUM($AG$47:$AG$50)</f>
        <v>0</v>
      </c>
      <c r="AH51" s="52">
        <f>SUM($AH$47:$AH$50)</f>
        <v>3</v>
      </c>
      <c r="AI51" s="52">
        <f>SUM($AI$47:$AI$50)</f>
        <v>0</v>
      </c>
      <c r="AJ51" s="52">
        <f>SUM($AJ$47:$AJ$50)</f>
        <v>0</v>
      </c>
      <c r="AK51" s="52">
        <f>SUM($AC$51,$AD$51,$AE$51,$AF$51,$AG$51,$AH$51,$AI$51,$AJ$51)</f>
        <v>3</v>
      </c>
      <c r="AL51" s="52">
        <f>SUM($U$51,$V$51,$W$51,$X$51,$Y$51,$Z$51,$AA$51,$AB$51)</f>
        <v>14</v>
      </c>
      <c r="AM51" s="52">
        <f>SUM($AM$47:$AM$50)</f>
        <v>4</v>
      </c>
      <c r="AN51" s="52">
        <f>SUM($AN$47:$AN$50)</f>
        <v>0</v>
      </c>
      <c r="AO51" s="52">
        <f>SUM($AO$47:$AO$50)</f>
        <v>0</v>
      </c>
      <c r="AP51" s="52">
        <f>SUM($AP$47:$AP$50)</f>
        <v>0</v>
      </c>
      <c r="AQ51" s="52">
        <f>SUM($AQ$47:$AQ$50)</f>
        <v>0</v>
      </c>
      <c r="AR51" s="52">
        <f>SUM($AR$47:$AR$50)</f>
        <v>1</v>
      </c>
      <c r="AS51" s="52">
        <f>SUM($AS$47:$AS$50)</f>
        <v>0</v>
      </c>
      <c r="AT51" s="52">
        <f>SUM($AT$47:$AT$50)</f>
        <v>0</v>
      </c>
      <c r="AU51" s="52">
        <f>SUM($AU$47:$AU$50)</f>
        <v>4</v>
      </c>
      <c r="AV51" s="52">
        <f>SUM($AV$47:$AV$50)</f>
        <v>0</v>
      </c>
      <c r="AW51" s="52">
        <f>SUM($AW$47:$AW$50)</f>
        <v>0</v>
      </c>
      <c r="AX51" s="52">
        <f>SUM($AX$47:$AX$50)</f>
        <v>0</v>
      </c>
      <c r="AY51" s="52">
        <f>SUM($AY$47:$AY$50)</f>
        <v>0</v>
      </c>
      <c r="AZ51" s="52">
        <f>SUM($AZ$47:$AZ$50)</f>
        <v>0</v>
      </c>
      <c r="BA51" s="52">
        <f>SUM($BA$47:$BA$50)</f>
        <v>0</v>
      </c>
      <c r="BB51" s="52">
        <f>SUM($BB$47:$BB$50)</f>
        <v>0</v>
      </c>
      <c r="BC51" s="52">
        <f>SUM($AU$51,$AV$51,$AW$51,$AX$51,$AY$51,$AZ$51,$BA$51,$BB$51)</f>
        <v>4</v>
      </c>
      <c r="BD51" s="52">
        <f>SUM($AM$51,$AN$51,$AO$51,$AP$51,$AQ$51,$AR$51,$AS$51,$AT$51)</f>
        <v>5</v>
      </c>
      <c r="BE51" s="52">
        <f>SUM($BE$47:$BE$50)</f>
        <v>0</v>
      </c>
      <c r="BF51" s="52">
        <f>SUM($BF$47:$BF$50)</f>
        <v>0</v>
      </c>
      <c r="BG51" s="52">
        <f>SUM($BG$47:$BG$50)</f>
        <v>0</v>
      </c>
      <c r="BH51" s="52">
        <f>SUM($BH$47:$BH$50)</f>
        <v>0</v>
      </c>
      <c r="BI51" s="52">
        <f>SUM($BI$47:$BI$50)</f>
        <v>0</v>
      </c>
      <c r="BJ51" s="52">
        <f>SUM($BJ$47:$BJ$50)</f>
        <v>0</v>
      </c>
      <c r="BK51" s="52">
        <f>SUM($BK$47:$BK$50)</f>
        <v>0</v>
      </c>
      <c r="BL51" s="52">
        <f>SUM($BL$47:$BL$50)</f>
        <v>0</v>
      </c>
      <c r="BM51" s="52">
        <f>SUM($BM$47:$BM$50)</f>
        <v>0</v>
      </c>
      <c r="BN51" s="52">
        <f>SUM($BN$47:$BN$50)</f>
        <v>0</v>
      </c>
      <c r="BO51" s="52">
        <f>SUM($BO$47:$BO$50)</f>
        <v>0</v>
      </c>
      <c r="BP51" s="52">
        <f>SUM($BP$47:$BP$50)</f>
        <v>0</v>
      </c>
      <c r="BQ51" s="52">
        <f>SUM($BQ$47:$BQ$50)</f>
        <v>0</v>
      </c>
      <c r="BR51" s="52">
        <f>SUM($BR$47:$BR$50)</f>
        <v>0</v>
      </c>
      <c r="BS51" s="52">
        <f>SUM($BS$47:$BS$50)</f>
        <v>0</v>
      </c>
      <c r="BT51" s="52">
        <f>SUM($BT$47:$BT$50)</f>
        <v>0</v>
      </c>
      <c r="BU51" s="52">
        <f>SUM($BM$51,$BN$51,$BO$51,$BP$51,$BQ$51,$BR$51,$BS$51,$BT$51)</f>
        <v>0</v>
      </c>
      <c r="BV51" s="52">
        <f>SUM($BE$51,$BF$51,$BG$51,$BH$51,$BI$51,$BJ$51,$BK$51,$BL$51)</f>
        <v>0</v>
      </c>
      <c r="BX51" s="52" t="s">
        <v>34</v>
      </c>
      <c r="BY51" s="52">
        <f>SUM($BY$47:$BY$50)</f>
        <v>27</v>
      </c>
      <c r="BZ51" s="52">
        <f>SUM($BZ$47:$BZ$50)</f>
        <v>1</v>
      </c>
      <c r="CA51" s="52">
        <f>SUM($CA$47:$CA$50)</f>
        <v>0</v>
      </c>
      <c r="CB51" s="52">
        <f>SUM($CB$47:$CB$50)</f>
        <v>0</v>
      </c>
      <c r="CC51" s="52">
        <f>SUM($CC$47:$CC$50)</f>
        <v>0</v>
      </c>
      <c r="CD51" s="52">
        <f>SUM($CD$47:$CD$50)</f>
        <v>18</v>
      </c>
      <c r="CE51" s="52">
        <f>SUM($CE$47:$CE$50)</f>
        <v>1</v>
      </c>
      <c r="CF51" s="52">
        <f>SUM($CF$47:$CF$50)</f>
        <v>0</v>
      </c>
      <c r="CG51" s="52">
        <f>SUM($CG$47:$CG$50)</f>
        <v>27</v>
      </c>
      <c r="CH51" s="52">
        <f>SUM($CH$47:$CH$50)</f>
        <v>1</v>
      </c>
      <c r="CI51" s="52">
        <f>SUM($CI$47:$CI$50)</f>
        <v>0</v>
      </c>
      <c r="CJ51" s="52">
        <f>SUM($CJ$47:$CJ$50)</f>
        <v>0</v>
      </c>
      <c r="CK51" s="52">
        <f>SUM($CK$47:$CK$50)</f>
        <v>0</v>
      </c>
      <c r="CL51" s="52">
        <f>SUM($CL$47:$CL$50)</f>
        <v>4</v>
      </c>
      <c r="CM51" s="52">
        <f>SUM($CM$47:$CM$50)</f>
        <v>0</v>
      </c>
      <c r="CN51" s="52">
        <f>SUM($CN$47:$CN$50)</f>
        <v>0</v>
      </c>
      <c r="CO51" s="52">
        <f>SUM($CG$51,$CH$51,$CI$51,$CJ$51,$CK$51,$CL$51,$CM$51,$CN$51)</f>
        <v>32</v>
      </c>
      <c r="CP51" s="52">
        <f>SUM($BY$51,$BZ$51,$CA$51,$CB$51,$CC$51,$CD$51,$CE$51,$CF$51)</f>
        <v>47</v>
      </c>
      <c r="CQ51" s="52">
        <f>SUM($CQ$47:$CQ$50)</f>
        <v>9</v>
      </c>
      <c r="CR51" s="52">
        <f>SUM($CR$47:$CR$50)</f>
        <v>1</v>
      </c>
      <c r="CS51" s="52">
        <f>SUM($CS$47:$CS$50)</f>
        <v>0</v>
      </c>
      <c r="CT51" s="52">
        <f>SUM($CT$47:$CT$50)</f>
        <v>0</v>
      </c>
      <c r="CU51" s="52">
        <f>SUM($CU$47:$CU$50)</f>
        <v>0</v>
      </c>
      <c r="CV51" s="52">
        <f>SUM($CV$47:$CV$50)</f>
        <v>4</v>
      </c>
      <c r="CW51" s="52">
        <f>SUM($CW$47:$CW$50)</f>
        <v>0</v>
      </c>
      <c r="CX51" s="52">
        <f>SUM($CX$47:$CX$50)</f>
        <v>0</v>
      </c>
      <c r="CY51" s="52">
        <f>SUM($CY$47:$CY$50)</f>
        <v>9</v>
      </c>
      <c r="CZ51" s="52">
        <f>SUM($CZ$47:$CZ$50)</f>
        <v>1</v>
      </c>
      <c r="DA51" s="52">
        <f>SUM($DA$47:$DA$50)</f>
        <v>0</v>
      </c>
      <c r="DB51" s="52">
        <f>SUM($DB$47:$DB$50)</f>
        <v>0</v>
      </c>
      <c r="DC51" s="52">
        <f>SUM($DC$47:$DC$50)</f>
        <v>0</v>
      </c>
      <c r="DD51" s="52">
        <f>SUM($DD$47:$DD$50)</f>
        <v>1</v>
      </c>
      <c r="DE51" s="52">
        <f>SUM($DE$47:$DE$50)</f>
        <v>0</v>
      </c>
      <c r="DF51" s="52">
        <f>SUM($DF$47:$DF$50)</f>
        <v>0</v>
      </c>
      <c r="DG51" s="52">
        <f>SUM($CY$51,$CZ$51,$DA$51,$DB$51,$DC$51,$DD$51,$DE$51,$DF$51)</f>
        <v>11</v>
      </c>
      <c r="DH51" s="52">
        <f>SUM($CQ$51,$CR$51,$CS$51,$CT$51,$CU$51,$CV$51,$CW$51,$CX$51)</f>
        <v>14</v>
      </c>
    </row>
    <row r="52" spans="1:112" ht="21" customHeight="1">
      <c r="A52" s="46">
        <v>44395.333333333299</v>
      </c>
      <c r="B52" s="53" t="s">
        <v>63</v>
      </c>
      <c r="C52" s="54">
        <v>3</v>
      </c>
      <c r="D52" s="54">
        <v>1</v>
      </c>
      <c r="E52" s="54">
        <v>0</v>
      </c>
      <c r="F52" s="54">
        <v>0</v>
      </c>
      <c r="G52" s="54">
        <v>0</v>
      </c>
      <c r="H52" s="54">
        <v>1</v>
      </c>
      <c r="I52" s="54">
        <v>0</v>
      </c>
      <c r="J52" s="61">
        <v>0</v>
      </c>
      <c r="K52" s="62">
        <f>$C$52*VLOOKUP($C$11,'PCU Values'!$B$9:$C$16,2,FALSE)</f>
        <v>3</v>
      </c>
      <c r="L52" s="62">
        <f>$D$52*VLOOKUP($D$11,'PCU Values'!$B$9:$C$16,2,FALSE)</f>
        <v>1</v>
      </c>
      <c r="M52" s="62">
        <f>$E$52*VLOOKUP($E$11,'PCU Values'!$B$9:$C$16,2,FALSE)</f>
        <v>0</v>
      </c>
      <c r="N52" s="62">
        <f>$F$52*VLOOKUP($F$11,'PCU Values'!$B$9:$C$16,2,FALSE)</f>
        <v>0</v>
      </c>
      <c r="O52" s="62">
        <f>$G$52*VLOOKUP($G$11,'PCU Values'!$B$9:$C$16,2,FALSE)</f>
        <v>0</v>
      </c>
      <c r="P52" s="62">
        <f>$H$52*VLOOKUP($H$11,'PCU Values'!$B$9:$C$16,2,FALSE)</f>
        <v>0.2</v>
      </c>
      <c r="Q52" s="62">
        <f>$I$52*VLOOKUP($I$11,'PCU Values'!$B$9:$C$16,2,FALSE)</f>
        <v>0</v>
      </c>
      <c r="R52" s="70">
        <f>$J$52*VLOOKUP($J$11,'PCU Values'!$B$9:$C$16,2,FALSE)</f>
        <v>0</v>
      </c>
      <c r="S52" s="71">
        <f>SUM($K$52,$L$52,$M$52,$N$52,$O$52,$P$52,$Q$52,$R$52)</f>
        <v>4.2</v>
      </c>
      <c r="T52" s="52">
        <f>SUM($C$52,$D$52,$E$52,$F$52,$G$52,$H$52,$I$52,$J$52)</f>
        <v>5</v>
      </c>
      <c r="U52" s="74">
        <v>0</v>
      </c>
      <c r="V52" s="75">
        <v>0</v>
      </c>
      <c r="W52" s="54">
        <v>0</v>
      </c>
      <c r="X52" s="54">
        <v>0</v>
      </c>
      <c r="Y52" s="75">
        <v>0</v>
      </c>
      <c r="Z52" s="75">
        <v>10</v>
      </c>
      <c r="AA52" s="54">
        <v>0</v>
      </c>
      <c r="AB52" s="61">
        <v>0</v>
      </c>
      <c r="AC52" s="62">
        <f>$U$52*VLOOKUP($U$11,'PCU Values'!$B$9:$C$16,2,FALSE)</f>
        <v>0</v>
      </c>
      <c r="AD52" s="62">
        <f>$V$52*VLOOKUP($V$11,'PCU Values'!$B$9:$C$16,2,FALSE)</f>
        <v>0</v>
      </c>
      <c r="AE52" s="62">
        <f>$W$52*VLOOKUP($W$11,'PCU Values'!$B$9:$C$16,2,FALSE)</f>
        <v>0</v>
      </c>
      <c r="AF52" s="62">
        <f>$X$52*VLOOKUP($X$11,'PCU Values'!$B$9:$C$16,2,FALSE)</f>
        <v>0</v>
      </c>
      <c r="AG52" s="62">
        <f>$Y$52*VLOOKUP($Y$11,'PCU Values'!$B$9:$C$16,2,FALSE)</f>
        <v>0</v>
      </c>
      <c r="AH52" s="62">
        <f>$Z$52*VLOOKUP($Z$11,'PCU Values'!$B$9:$C$16,2,FALSE)</f>
        <v>2</v>
      </c>
      <c r="AI52" s="62">
        <f>$AA$52*VLOOKUP($AA$11,'PCU Values'!$B$9:$C$16,2,FALSE)</f>
        <v>0</v>
      </c>
      <c r="AJ52" s="70">
        <f>$AB$52*VLOOKUP($AB$11,'PCU Values'!$B$9:$C$16,2,FALSE)</f>
        <v>0</v>
      </c>
      <c r="AK52" s="71">
        <f>SUM($AC$52,$AD$52,$AE$52,$AF$52,$AG$52,$AH$52,$AI$52,$AJ$52)</f>
        <v>2</v>
      </c>
      <c r="AL52" s="52">
        <f>SUM($U$52,$V$52,$W$52,$X$52,$Y$52,$Z$52,$AA$52,$AB$52)</f>
        <v>10</v>
      </c>
      <c r="AM52" s="72">
        <v>3</v>
      </c>
      <c r="AN52" s="54">
        <v>0</v>
      </c>
      <c r="AO52" s="54">
        <v>0</v>
      </c>
      <c r="AP52" s="54">
        <v>0</v>
      </c>
      <c r="AQ52" s="54">
        <v>0</v>
      </c>
      <c r="AR52" s="54">
        <v>0</v>
      </c>
      <c r="AS52" s="54">
        <v>0</v>
      </c>
      <c r="AT52" s="61">
        <v>0</v>
      </c>
      <c r="AU52" s="62">
        <f>$AM$52*VLOOKUP($AM$11,'PCU Values'!$B$9:$C$16,2,FALSE)</f>
        <v>3</v>
      </c>
      <c r="AV52" s="62">
        <f>$AN$52*VLOOKUP($AN$11,'PCU Values'!$B$9:$C$16,2,FALSE)</f>
        <v>0</v>
      </c>
      <c r="AW52" s="62">
        <f>$AO$52*VLOOKUP($AO$11,'PCU Values'!$B$9:$C$16,2,FALSE)</f>
        <v>0</v>
      </c>
      <c r="AX52" s="62">
        <f>$AP$52*VLOOKUP($AP$11,'PCU Values'!$B$9:$C$16,2,FALSE)</f>
        <v>0</v>
      </c>
      <c r="AY52" s="62">
        <f>$AQ$52*VLOOKUP($AQ$11,'PCU Values'!$B$9:$C$16,2,FALSE)</f>
        <v>0</v>
      </c>
      <c r="AZ52" s="62">
        <f>$AR$52*VLOOKUP($AR$11,'PCU Values'!$B$9:$C$16,2,FALSE)</f>
        <v>0</v>
      </c>
      <c r="BA52" s="62">
        <f>$AS$52*VLOOKUP($AS$11,'PCU Values'!$B$9:$C$16,2,FALSE)</f>
        <v>0</v>
      </c>
      <c r="BB52" s="70">
        <f>$AT$52*VLOOKUP($AT$11,'PCU Values'!$B$9:$C$16,2,FALSE)</f>
        <v>0</v>
      </c>
      <c r="BC52" s="71">
        <f>SUM($AU$52,$AV$52,$AW$52,$AX$52,$AY$52,$AZ$52,$BA$52,$BB$52)</f>
        <v>3</v>
      </c>
      <c r="BD52" s="52">
        <f>SUM($AM$52,$AN$52,$AO$52,$AP$52,$AQ$52,$AR$52,$AS$52,$AT$52)</f>
        <v>3</v>
      </c>
      <c r="BE52" s="72">
        <v>0</v>
      </c>
      <c r="BF52" s="54">
        <v>0</v>
      </c>
      <c r="BG52" s="54">
        <v>0</v>
      </c>
      <c r="BH52" s="54">
        <v>0</v>
      </c>
      <c r="BI52" s="54">
        <v>0</v>
      </c>
      <c r="BJ52" s="54">
        <v>0</v>
      </c>
      <c r="BK52" s="54">
        <v>0</v>
      </c>
      <c r="BL52" s="61">
        <v>0</v>
      </c>
      <c r="BM52" s="81">
        <f>$BE$52*VLOOKUP($BE$11,'PCU Values'!$B$9:$C$16,2,FALSE)</f>
        <v>0</v>
      </c>
      <c r="BN52" s="81">
        <f>$BF$52*VLOOKUP($BF$11,'PCU Values'!$B$9:$C$16,2,FALSE)</f>
        <v>0</v>
      </c>
      <c r="BO52" s="81">
        <f>$BG$52*VLOOKUP($BG$11,'PCU Values'!$B$9:$C$16,2,FALSE)</f>
        <v>0</v>
      </c>
      <c r="BP52" s="81">
        <f>$BH$52*VLOOKUP($BH$11,'PCU Values'!$B$9:$C$16,2,FALSE)</f>
        <v>0</v>
      </c>
      <c r="BQ52" s="81">
        <f>$BI$52*VLOOKUP($BI$11,'PCU Values'!$B$9:$C$16,2,FALSE)</f>
        <v>0</v>
      </c>
      <c r="BR52" s="81">
        <f>$BJ$52*VLOOKUP($BJ$11,'PCU Values'!$B$9:$C$16,2,FALSE)</f>
        <v>0</v>
      </c>
      <c r="BS52" s="81">
        <f>$BK$52*VLOOKUP($BK$11,'PCU Values'!$B$9:$C$16,2,FALSE)</f>
        <v>0</v>
      </c>
      <c r="BT52" s="82">
        <f>$BL$52*VLOOKUP($BL$11,'PCU Values'!$B$9:$C$16,2,FALSE)</f>
        <v>0</v>
      </c>
      <c r="BU52" s="71">
        <f>SUM($BM$52,$BN$52,$BO$52,$BP$52,$BQ$52,$BR$52,$BS$52,$BT$52)</f>
        <v>0</v>
      </c>
      <c r="BV52" s="52">
        <f>SUM($BE$52,$BF$52,$BG$52,$BH$52,$BI$52,$BJ$52,$BK$52,$BL$52)</f>
        <v>0</v>
      </c>
      <c r="BX52" s="53" t="s">
        <v>63</v>
      </c>
      <c r="BY52" s="85">
        <f>SUM($C$52,$U$52,$AM$52,$BE$52)</f>
        <v>6</v>
      </c>
      <c r="BZ52" s="85">
        <f>SUM($D$52,$V$52,$AN$52,$BF$52)</f>
        <v>1</v>
      </c>
      <c r="CA52" s="85">
        <f>SUM($E$52,$W$52,$AO$52,$BG$52)</f>
        <v>0</v>
      </c>
      <c r="CB52" s="85">
        <f>SUM($F$52,$X$52,$AP$52,$BH$52)</f>
        <v>0</v>
      </c>
      <c r="CC52" s="85">
        <f>SUM($G$52,$Y$52,$AQ$52,$BI$52)</f>
        <v>0</v>
      </c>
      <c r="CD52" s="85">
        <f>SUM($H$52,$Z$52,$AR$52,$BJ$52)</f>
        <v>11</v>
      </c>
      <c r="CE52" s="85">
        <f>SUM($I$52,$AA$52,$AS$52,$BK$52)</f>
        <v>0</v>
      </c>
      <c r="CF52" s="88">
        <f>SUM($J$52,$AB$52,$AT$52,$BL$52)</f>
        <v>0</v>
      </c>
      <c r="CG52" s="81">
        <f>$BY$52*VLOOKUP($BY$11,'PCU Values'!$B$9:$C$16,2,FALSE)</f>
        <v>6</v>
      </c>
      <c r="CH52" s="81">
        <f>$BZ$52*VLOOKUP($BZ$11,'PCU Values'!$B$9:$C$16,2,FALSE)</f>
        <v>1</v>
      </c>
      <c r="CI52" s="81">
        <f>$CA$52*VLOOKUP($CA$11,'PCU Values'!$B$9:$C$16,2,FALSE)</f>
        <v>0</v>
      </c>
      <c r="CJ52" s="81">
        <f>$CB$52*VLOOKUP($CB$11,'PCU Values'!$B$9:$C$16,2,FALSE)</f>
        <v>0</v>
      </c>
      <c r="CK52" s="81">
        <f>$CC$52*VLOOKUP($CC$11,'PCU Values'!$B$9:$C$16,2,FALSE)</f>
        <v>0</v>
      </c>
      <c r="CL52" s="81">
        <f>$CD$52*VLOOKUP($CD$11,'PCU Values'!$B$9:$C$16,2,FALSE)</f>
        <v>2.2000000000000002</v>
      </c>
      <c r="CM52" s="81">
        <f>$CE$52*VLOOKUP($CE$11,'PCU Values'!$B$9:$C$16,2,FALSE)</f>
        <v>0</v>
      </c>
      <c r="CN52" s="82">
        <f>$CF$52*VLOOKUP($CF$11,'PCU Values'!$B$9:$C$16,2,FALSE)</f>
        <v>0</v>
      </c>
      <c r="CO52" s="71">
        <f>SUM($CG$52,$CH$52,$CI$52,$CJ$52,$CK$52,$CL$52,$CM$52,$CN$52)</f>
        <v>9.1999999999999993</v>
      </c>
      <c r="CP52" s="52">
        <f>SUM($BY$52,$BZ$52,$CA$52,$CB$52,$CC$52,$CD$52,$CE$52,$CF$52)</f>
        <v>18</v>
      </c>
      <c r="CQ52" s="91">
        <f>SUM('J1 A - (North) Bishopthorpe Roa'!$AM$52,'J1 B - Butcher Terrace'!$U$52,'J1 C - (South) Bishopthorpe Roa'!$C$52,'J1 D - South Bank Avenue'!$BE$52)</f>
        <v>6</v>
      </c>
      <c r="CR52" s="85">
        <f>SUM('J1 A - (North) Bishopthorpe Roa'!$AN$52,'J1 B - Butcher Terrace'!$V$52,'J1 C - (South) Bishopthorpe Roa'!$D$52,'J1 D - South Bank Avenue'!$BF$52)</f>
        <v>1</v>
      </c>
      <c r="CS52" s="85">
        <f>SUM('J1 A - (North) Bishopthorpe Roa'!$AO$52,'J1 B - Butcher Terrace'!$W$52,'J1 C - (South) Bishopthorpe Roa'!$E$52,'J1 D - South Bank Avenue'!$BG$52)</f>
        <v>0</v>
      </c>
      <c r="CT52" s="85">
        <f>SUM('J1 A - (North) Bishopthorpe Roa'!$AP$52,'J1 B - Butcher Terrace'!$X$52,'J1 C - (South) Bishopthorpe Roa'!$F$52,'J1 D - South Bank Avenue'!$BH$52)</f>
        <v>0</v>
      </c>
      <c r="CU52" s="85">
        <f>SUM('J1 A - (North) Bishopthorpe Roa'!$AQ$52,'J1 B - Butcher Terrace'!$Y$52,'J1 C - (South) Bishopthorpe Roa'!$G$52,'J1 D - South Bank Avenue'!$BI$52)</f>
        <v>0</v>
      </c>
      <c r="CV52" s="85">
        <f>SUM('J1 A - (North) Bishopthorpe Roa'!$AR$52,'J1 B - Butcher Terrace'!$Z$52,'J1 C - (South) Bishopthorpe Roa'!$H$52,'J1 D - South Bank Avenue'!$BJ$52)</f>
        <v>1</v>
      </c>
      <c r="CW52" s="85">
        <f>SUM('J1 A - (North) Bishopthorpe Roa'!$AS$52,'J1 B - Butcher Terrace'!$AA$52,'J1 C - (South) Bishopthorpe Roa'!$I$52,'J1 D - South Bank Avenue'!$BK$52)</f>
        <v>0</v>
      </c>
      <c r="CX52" s="88">
        <f>SUM('J1 A - (North) Bishopthorpe Roa'!$AT$52,'J1 B - Butcher Terrace'!$AB$52,'J1 C - (South) Bishopthorpe Roa'!$J$52,'J1 D - South Bank Avenue'!$BL$52)</f>
        <v>0</v>
      </c>
      <c r="CY52" s="81">
        <f>$CQ$52*VLOOKUP($CQ$11,'PCU Values'!$B$9:$C$16,2,FALSE)</f>
        <v>6</v>
      </c>
      <c r="CZ52" s="81">
        <f>$CR$52*VLOOKUP($CR$11,'PCU Values'!$B$9:$C$16,2,FALSE)</f>
        <v>1</v>
      </c>
      <c r="DA52" s="81">
        <f>$CS$52*VLOOKUP($CS$11,'PCU Values'!$B$9:$C$16,2,FALSE)</f>
        <v>0</v>
      </c>
      <c r="DB52" s="81">
        <f>$CT$52*VLOOKUP($CT$11,'PCU Values'!$B$9:$C$16,2,FALSE)</f>
        <v>0</v>
      </c>
      <c r="DC52" s="81">
        <f>$CU$52*VLOOKUP($CU$11,'PCU Values'!$B$9:$C$16,2,FALSE)</f>
        <v>0</v>
      </c>
      <c r="DD52" s="81">
        <f>$CV$52*VLOOKUP($CV$11,'PCU Values'!$B$9:$C$16,2,FALSE)</f>
        <v>0.2</v>
      </c>
      <c r="DE52" s="81">
        <f>$CW$52*VLOOKUP($CW$11,'PCU Values'!$B$9:$C$16,2,FALSE)</f>
        <v>0</v>
      </c>
      <c r="DF52" s="82">
        <f>$CX$52*VLOOKUP($CX$11,'PCU Values'!$B$9:$C$16,2,FALSE)</f>
        <v>0</v>
      </c>
      <c r="DG52" s="71">
        <f>SUM($CY$52,$CZ$52,$DA$52,$DB$52,$DC$52,$DD$52,$DE$52,$DF$52)</f>
        <v>7.2</v>
      </c>
      <c r="DH52" s="52">
        <f>SUM($CQ$52,$CR$52,$CS$52,$CT$52,$CU$52,$CV$52,$CW$52,$CX$52)</f>
        <v>8</v>
      </c>
    </row>
    <row r="53" spans="1:112" ht="21" customHeight="1">
      <c r="A53" s="46">
        <v>44395.34375</v>
      </c>
      <c r="B53" s="47" t="s">
        <v>64</v>
      </c>
      <c r="C53" s="48">
        <v>2</v>
      </c>
      <c r="D53" s="48">
        <v>2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56">
        <v>0</v>
      </c>
      <c r="K53" s="57">
        <f>$C$53*VLOOKUP($C$11,'PCU Values'!$B$9:$C$16,2,FALSE)</f>
        <v>2</v>
      </c>
      <c r="L53" s="57">
        <f>$D$53*VLOOKUP($D$11,'PCU Values'!$B$9:$C$16,2,FALSE)</f>
        <v>2</v>
      </c>
      <c r="M53" s="57">
        <f>$E$53*VLOOKUP($E$11,'PCU Values'!$B$9:$C$16,2,FALSE)</f>
        <v>0</v>
      </c>
      <c r="N53" s="57">
        <f>$F$53*VLOOKUP($F$11,'PCU Values'!$B$9:$C$16,2,FALSE)</f>
        <v>0</v>
      </c>
      <c r="O53" s="57">
        <f>$G$53*VLOOKUP($G$11,'PCU Values'!$B$9:$C$16,2,FALSE)</f>
        <v>0</v>
      </c>
      <c r="P53" s="57">
        <f>$H$53*VLOOKUP($H$11,'PCU Values'!$B$9:$C$16,2,FALSE)</f>
        <v>0</v>
      </c>
      <c r="Q53" s="57">
        <f>$I$53*VLOOKUP($I$11,'PCU Values'!$B$9:$C$16,2,FALSE)</f>
        <v>0</v>
      </c>
      <c r="R53" s="65">
        <f>$J$53*VLOOKUP($J$11,'PCU Values'!$B$9:$C$16,2,FALSE)</f>
        <v>0</v>
      </c>
      <c r="S53" s="66">
        <f>SUM($K$53,$L$53,$M$53,$N$53,$O$53,$P$53,$Q$53,$R$53)</f>
        <v>4</v>
      </c>
      <c r="T53" s="52">
        <f>SUM($C$53,$D$53,$E$53,$F$53,$G$53,$H$53,$I$53,$J$53)</f>
        <v>4</v>
      </c>
      <c r="U53" s="67">
        <v>0</v>
      </c>
      <c r="V53" s="49">
        <v>0</v>
      </c>
      <c r="W53" s="48">
        <v>0</v>
      </c>
      <c r="X53" s="48">
        <v>0</v>
      </c>
      <c r="Y53" s="49">
        <v>0</v>
      </c>
      <c r="Z53" s="49">
        <v>15</v>
      </c>
      <c r="AA53" s="48">
        <v>0</v>
      </c>
      <c r="AB53" s="56">
        <v>0</v>
      </c>
      <c r="AC53" s="57">
        <f>$U$53*VLOOKUP($U$11,'PCU Values'!$B$9:$C$16,2,FALSE)</f>
        <v>0</v>
      </c>
      <c r="AD53" s="57">
        <f>$V$53*VLOOKUP($V$11,'PCU Values'!$B$9:$C$16,2,FALSE)</f>
        <v>0</v>
      </c>
      <c r="AE53" s="57">
        <f>$W$53*VLOOKUP($W$11,'PCU Values'!$B$9:$C$16,2,FALSE)</f>
        <v>0</v>
      </c>
      <c r="AF53" s="57">
        <f>$X$53*VLOOKUP($X$11,'PCU Values'!$B$9:$C$16,2,FALSE)</f>
        <v>0</v>
      </c>
      <c r="AG53" s="57">
        <f>$Y$53*VLOOKUP($Y$11,'PCU Values'!$B$9:$C$16,2,FALSE)</f>
        <v>0</v>
      </c>
      <c r="AH53" s="57">
        <f>$Z$53*VLOOKUP($Z$11,'PCU Values'!$B$9:$C$16,2,FALSE)</f>
        <v>3</v>
      </c>
      <c r="AI53" s="57">
        <f>$AA$53*VLOOKUP($AA$11,'PCU Values'!$B$9:$C$16,2,FALSE)</f>
        <v>0</v>
      </c>
      <c r="AJ53" s="65">
        <f>$AB$53*VLOOKUP($AB$11,'PCU Values'!$B$9:$C$16,2,FALSE)</f>
        <v>0</v>
      </c>
      <c r="AK53" s="66">
        <f>SUM($AC$53,$AD$53,$AE$53,$AF$53,$AG$53,$AH$53,$AI$53,$AJ$53)</f>
        <v>3</v>
      </c>
      <c r="AL53" s="52">
        <f>SUM($U$53,$V$53,$W$53,$X$53,$Y$53,$Z$53,$AA$53,$AB$53)</f>
        <v>15</v>
      </c>
      <c r="AM53" s="67">
        <v>1</v>
      </c>
      <c r="AN53" s="48">
        <v>0</v>
      </c>
      <c r="AO53" s="48">
        <v>0</v>
      </c>
      <c r="AP53" s="48">
        <v>0</v>
      </c>
      <c r="AQ53" s="48">
        <v>0</v>
      </c>
      <c r="AR53" s="48">
        <v>1</v>
      </c>
      <c r="AS53" s="48">
        <v>0</v>
      </c>
      <c r="AT53" s="56">
        <v>0</v>
      </c>
      <c r="AU53" s="57">
        <f>$AM$53*VLOOKUP($AM$11,'PCU Values'!$B$9:$C$16,2,FALSE)</f>
        <v>1</v>
      </c>
      <c r="AV53" s="57">
        <f>$AN$53*VLOOKUP($AN$11,'PCU Values'!$B$9:$C$16,2,FALSE)</f>
        <v>0</v>
      </c>
      <c r="AW53" s="57">
        <f>$AO$53*VLOOKUP($AO$11,'PCU Values'!$B$9:$C$16,2,FALSE)</f>
        <v>0</v>
      </c>
      <c r="AX53" s="57">
        <f>$AP$53*VLOOKUP($AP$11,'PCU Values'!$B$9:$C$16,2,FALSE)</f>
        <v>0</v>
      </c>
      <c r="AY53" s="57">
        <f>$AQ$53*VLOOKUP($AQ$11,'PCU Values'!$B$9:$C$16,2,FALSE)</f>
        <v>0</v>
      </c>
      <c r="AZ53" s="57">
        <f>$AR$53*VLOOKUP($AR$11,'PCU Values'!$B$9:$C$16,2,FALSE)</f>
        <v>0.2</v>
      </c>
      <c r="BA53" s="57">
        <f>$AS$53*VLOOKUP($AS$11,'PCU Values'!$B$9:$C$16,2,FALSE)</f>
        <v>0</v>
      </c>
      <c r="BB53" s="65">
        <f>$AT$53*VLOOKUP($AT$11,'PCU Values'!$B$9:$C$16,2,FALSE)</f>
        <v>0</v>
      </c>
      <c r="BC53" s="66">
        <f>SUM($AU$53,$AV$53,$AW$53,$AX$53,$AY$53,$AZ$53,$BA$53,$BB$53)</f>
        <v>1.2</v>
      </c>
      <c r="BD53" s="52">
        <f>SUM($AM$53,$AN$53,$AO$53,$AP$53,$AQ$53,$AR$53,$AS$53,$AT$53)</f>
        <v>2</v>
      </c>
      <c r="BE53" s="76">
        <v>0</v>
      </c>
      <c r="BF53" s="48">
        <v>0</v>
      </c>
      <c r="BG53" s="48">
        <v>0</v>
      </c>
      <c r="BH53" s="48">
        <v>0</v>
      </c>
      <c r="BI53" s="48">
        <v>0</v>
      </c>
      <c r="BJ53" s="48">
        <v>0</v>
      </c>
      <c r="BK53" s="48">
        <v>0</v>
      </c>
      <c r="BL53" s="56">
        <v>0</v>
      </c>
      <c r="BM53" s="77">
        <f>$BE$53*VLOOKUP($BE$11,'PCU Values'!$B$9:$C$16,2,FALSE)</f>
        <v>0</v>
      </c>
      <c r="BN53" s="77">
        <f>$BF$53*VLOOKUP($BF$11,'PCU Values'!$B$9:$C$16,2,FALSE)</f>
        <v>0</v>
      </c>
      <c r="BO53" s="77">
        <f>$BG$53*VLOOKUP($BG$11,'PCU Values'!$B$9:$C$16,2,FALSE)</f>
        <v>0</v>
      </c>
      <c r="BP53" s="77">
        <f>$BH$53*VLOOKUP($BH$11,'PCU Values'!$B$9:$C$16,2,FALSE)</f>
        <v>0</v>
      </c>
      <c r="BQ53" s="77">
        <f>$BI$53*VLOOKUP($BI$11,'PCU Values'!$B$9:$C$16,2,FALSE)</f>
        <v>0</v>
      </c>
      <c r="BR53" s="77">
        <f>$BJ$53*VLOOKUP($BJ$11,'PCU Values'!$B$9:$C$16,2,FALSE)</f>
        <v>0</v>
      </c>
      <c r="BS53" s="77">
        <f>$BK$53*VLOOKUP($BK$11,'PCU Values'!$B$9:$C$16,2,FALSE)</f>
        <v>0</v>
      </c>
      <c r="BT53" s="78">
        <f>$BL$53*VLOOKUP($BL$11,'PCU Values'!$B$9:$C$16,2,FALSE)</f>
        <v>0</v>
      </c>
      <c r="BU53" s="66">
        <f>SUM($BM$53,$BN$53,$BO$53,$BP$53,$BQ$53,$BR$53,$BS$53,$BT$53)</f>
        <v>0</v>
      </c>
      <c r="BV53" s="52">
        <f>SUM($BE$53,$BF$53,$BG$53,$BH$53,$BI$53,$BJ$53,$BK$53,$BL$53)</f>
        <v>0</v>
      </c>
      <c r="BX53" s="47" t="s">
        <v>64</v>
      </c>
      <c r="BY53" s="83">
        <f>SUM($C$53,$U$53,$AM$53,$BE$53)</f>
        <v>3</v>
      </c>
      <c r="BZ53" s="83">
        <f>SUM($D$53,$V$53,$AN$53,$BF$53)</f>
        <v>2</v>
      </c>
      <c r="CA53" s="83">
        <f>SUM($E$53,$W$53,$AO$53,$BG$53)</f>
        <v>0</v>
      </c>
      <c r="CB53" s="83">
        <f>SUM($F$53,$X$53,$AP$53,$BH$53)</f>
        <v>0</v>
      </c>
      <c r="CC53" s="83">
        <f>SUM($G$53,$Y$53,$AQ$53,$BI$53)</f>
        <v>0</v>
      </c>
      <c r="CD53" s="83">
        <f>SUM($H$53,$Z$53,$AR$53,$BJ$53)</f>
        <v>16</v>
      </c>
      <c r="CE53" s="83">
        <f>SUM($I$53,$AA$53,$AS$53,$BK$53)</f>
        <v>0</v>
      </c>
      <c r="CF53" s="86">
        <f>SUM($J$53,$AB$53,$AT$53,$BL$53)</f>
        <v>0</v>
      </c>
      <c r="CG53" s="77">
        <f>$BY$53*VLOOKUP($BY$11,'PCU Values'!$B$9:$C$16,2,FALSE)</f>
        <v>3</v>
      </c>
      <c r="CH53" s="77">
        <f>$BZ$53*VLOOKUP($BZ$11,'PCU Values'!$B$9:$C$16,2,FALSE)</f>
        <v>2</v>
      </c>
      <c r="CI53" s="77">
        <f>$CA$53*VLOOKUP($CA$11,'PCU Values'!$B$9:$C$16,2,FALSE)</f>
        <v>0</v>
      </c>
      <c r="CJ53" s="77">
        <f>$CB$53*VLOOKUP($CB$11,'PCU Values'!$B$9:$C$16,2,FALSE)</f>
        <v>0</v>
      </c>
      <c r="CK53" s="77">
        <f>$CC$53*VLOOKUP($CC$11,'PCU Values'!$B$9:$C$16,2,FALSE)</f>
        <v>0</v>
      </c>
      <c r="CL53" s="77">
        <f>$CD$53*VLOOKUP($CD$11,'PCU Values'!$B$9:$C$16,2,FALSE)</f>
        <v>3.2</v>
      </c>
      <c r="CM53" s="77">
        <f>$CE$53*VLOOKUP($CE$11,'PCU Values'!$B$9:$C$16,2,FALSE)</f>
        <v>0</v>
      </c>
      <c r="CN53" s="78">
        <f>$CF$53*VLOOKUP($CF$11,'PCU Values'!$B$9:$C$16,2,FALSE)</f>
        <v>0</v>
      </c>
      <c r="CO53" s="66">
        <f>SUM($CG$53,$CH$53,$CI$53,$CJ$53,$CK$53,$CL$53,$CM$53,$CN$53)</f>
        <v>8.1999999999999993</v>
      </c>
      <c r="CP53" s="52">
        <f>SUM($BY$53,$BZ$53,$CA$53,$CB$53,$CC$53,$CD$53,$CE$53,$CF$53)</f>
        <v>21</v>
      </c>
      <c r="CQ53" s="89">
        <f>SUM('J1 A - (North) Bishopthorpe Roa'!$AM$53,'J1 B - Butcher Terrace'!$U$53,'J1 C - (South) Bishopthorpe Roa'!$C$53,'J1 D - South Bank Avenue'!$BE$53)</f>
        <v>8</v>
      </c>
      <c r="CR53" s="83">
        <f>SUM('J1 A - (North) Bishopthorpe Roa'!$AN$53,'J1 B - Butcher Terrace'!$V$53,'J1 C - (South) Bishopthorpe Roa'!$D$53,'J1 D - South Bank Avenue'!$BF$53)</f>
        <v>3</v>
      </c>
      <c r="CS53" s="83">
        <f>SUM('J1 A - (North) Bishopthorpe Roa'!$AO$53,'J1 B - Butcher Terrace'!$W$53,'J1 C - (South) Bishopthorpe Roa'!$E$53,'J1 D - South Bank Avenue'!$BG$53)</f>
        <v>0</v>
      </c>
      <c r="CT53" s="83">
        <f>SUM('J1 A - (North) Bishopthorpe Roa'!$AP$53,'J1 B - Butcher Terrace'!$X$53,'J1 C - (South) Bishopthorpe Roa'!$F$53,'J1 D - South Bank Avenue'!$BH$53)</f>
        <v>0</v>
      </c>
      <c r="CU53" s="83">
        <f>SUM('J1 A - (North) Bishopthorpe Roa'!$AQ$53,'J1 B - Butcher Terrace'!$Y$53,'J1 C - (South) Bishopthorpe Roa'!$G$53,'J1 D - South Bank Avenue'!$BI$53)</f>
        <v>0</v>
      </c>
      <c r="CV53" s="83">
        <f>SUM('J1 A - (North) Bishopthorpe Roa'!$AR$53,'J1 B - Butcher Terrace'!$Z$53,'J1 C - (South) Bishopthorpe Roa'!$H$53,'J1 D - South Bank Avenue'!$BJ$53)</f>
        <v>3</v>
      </c>
      <c r="CW53" s="83">
        <f>SUM('J1 A - (North) Bishopthorpe Roa'!$AS$53,'J1 B - Butcher Terrace'!$AA$53,'J1 C - (South) Bishopthorpe Roa'!$I$53,'J1 D - South Bank Avenue'!$BK$53)</f>
        <v>0</v>
      </c>
      <c r="CX53" s="86">
        <f>SUM('J1 A - (North) Bishopthorpe Roa'!$AT$53,'J1 B - Butcher Terrace'!$AB$53,'J1 C - (South) Bishopthorpe Roa'!$J$53,'J1 D - South Bank Avenue'!$BL$53)</f>
        <v>0</v>
      </c>
      <c r="CY53" s="77">
        <f>$CQ$53*VLOOKUP($CQ$11,'PCU Values'!$B$9:$C$16,2,FALSE)</f>
        <v>8</v>
      </c>
      <c r="CZ53" s="77">
        <f>$CR$53*VLOOKUP($CR$11,'PCU Values'!$B$9:$C$16,2,FALSE)</f>
        <v>3</v>
      </c>
      <c r="DA53" s="77">
        <f>$CS$53*VLOOKUP($CS$11,'PCU Values'!$B$9:$C$16,2,FALSE)</f>
        <v>0</v>
      </c>
      <c r="DB53" s="77">
        <f>$CT$53*VLOOKUP($CT$11,'PCU Values'!$B$9:$C$16,2,FALSE)</f>
        <v>0</v>
      </c>
      <c r="DC53" s="77">
        <f>$CU$53*VLOOKUP($CU$11,'PCU Values'!$B$9:$C$16,2,FALSE)</f>
        <v>0</v>
      </c>
      <c r="DD53" s="77">
        <f>$CV$53*VLOOKUP($CV$11,'PCU Values'!$B$9:$C$16,2,FALSE)</f>
        <v>0.6</v>
      </c>
      <c r="DE53" s="77">
        <f>$CW$53*VLOOKUP($CW$11,'PCU Values'!$B$9:$C$16,2,FALSE)</f>
        <v>0</v>
      </c>
      <c r="DF53" s="78">
        <f>$CX$53*VLOOKUP($CX$11,'PCU Values'!$B$9:$C$16,2,FALSE)</f>
        <v>0</v>
      </c>
      <c r="DG53" s="66">
        <f>SUM($CY$53,$CZ$53,$DA$53,$DB$53,$DC$53,$DD$53,$DE$53,$DF$53)</f>
        <v>11.6</v>
      </c>
      <c r="DH53" s="52">
        <f>SUM($CQ$53,$CR$53,$CS$53,$CT$53,$CU$53,$CV$53,$CW$53,$CX$53)</f>
        <v>14</v>
      </c>
    </row>
    <row r="54" spans="1:112" ht="21" customHeight="1">
      <c r="A54" s="46">
        <v>44395.354166666701</v>
      </c>
      <c r="B54" s="47" t="s">
        <v>65</v>
      </c>
      <c r="C54" s="48">
        <v>5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56">
        <v>0</v>
      </c>
      <c r="K54" s="57">
        <f>$C$54*VLOOKUP($C$11,'PCU Values'!$B$9:$C$16,2,FALSE)</f>
        <v>5</v>
      </c>
      <c r="L54" s="57">
        <f>$D$54*VLOOKUP($D$11,'PCU Values'!$B$9:$C$16,2,FALSE)</f>
        <v>0</v>
      </c>
      <c r="M54" s="57">
        <f>$E$54*VLOOKUP($E$11,'PCU Values'!$B$9:$C$16,2,FALSE)</f>
        <v>0</v>
      </c>
      <c r="N54" s="57">
        <f>$F$54*VLOOKUP($F$11,'PCU Values'!$B$9:$C$16,2,FALSE)</f>
        <v>0</v>
      </c>
      <c r="O54" s="57">
        <f>$G$54*VLOOKUP($G$11,'PCU Values'!$B$9:$C$16,2,FALSE)</f>
        <v>0</v>
      </c>
      <c r="P54" s="57">
        <f>$H$54*VLOOKUP($H$11,'PCU Values'!$B$9:$C$16,2,FALSE)</f>
        <v>0</v>
      </c>
      <c r="Q54" s="57">
        <f>$I$54*VLOOKUP($I$11,'PCU Values'!$B$9:$C$16,2,FALSE)</f>
        <v>0</v>
      </c>
      <c r="R54" s="65">
        <f>$J$54*VLOOKUP($J$11,'PCU Values'!$B$9:$C$16,2,FALSE)</f>
        <v>0</v>
      </c>
      <c r="S54" s="66">
        <f>SUM($K$54,$L$54,$M$54,$N$54,$O$54,$P$54,$Q$54,$R$54)</f>
        <v>5</v>
      </c>
      <c r="T54" s="52">
        <f>SUM($C$54,$D$54,$E$54,$F$54,$G$54,$H$54,$I$54,$J$54)</f>
        <v>5</v>
      </c>
      <c r="U54" s="67">
        <v>0</v>
      </c>
      <c r="V54" s="48">
        <v>0</v>
      </c>
      <c r="W54" s="48">
        <v>0</v>
      </c>
      <c r="X54" s="48">
        <v>0</v>
      </c>
      <c r="Y54" s="48">
        <v>0</v>
      </c>
      <c r="Z54" s="48">
        <v>8</v>
      </c>
      <c r="AA54" s="48">
        <v>0</v>
      </c>
      <c r="AB54" s="56">
        <v>0</v>
      </c>
      <c r="AC54" s="57">
        <f>$U$54*VLOOKUP($U$11,'PCU Values'!$B$9:$C$16,2,FALSE)</f>
        <v>0</v>
      </c>
      <c r="AD54" s="57">
        <f>$V$54*VLOOKUP($V$11,'PCU Values'!$B$9:$C$16,2,FALSE)</f>
        <v>0</v>
      </c>
      <c r="AE54" s="57">
        <f>$W$54*VLOOKUP($W$11,'PCU Values'!$B$9:$C$16,2,FALSE)</f>
        <v>0</v>
      </c>
      <c r="AF54" s="57">
        <f>$X$54*VLOOKUP($X$11,'PCU Values'!$B$9:$C$16,2,FALSE)</f>
        <v>0</v>
      </c>
      <c r="AG54" s="57">
        <f>$Y$54*VLOOKUP($Y$11,'PCU Values'!$B$9:$C$16,2,FALSE)</f>
        <v>0</v>
      </c>
      <c r="AH54" s="57">
        <f>$Z$54*VLOOKUP($Z$11,'PCU Values'!$B$9:$C$16,2,FALSE)</f>
        <v>1.6</v>
      </c>
      <c r="AI54" s="57">
        <f>$AA$54*VLOOKUP($AA$11,'PCU Values'!$B$9:$C$16,2,FALSE)</f>
        <v>0</v>
      </c>
      <c r="AJ54" s="65">
        <f>$AB$54*VLOOKUP($AB$11,'PCU Values'!$B$9:$C$16,2,FALSE)</f>
        <v>0</v>
      </c>
      <c r="AK54" s="66">
        <f>SUM($AC$54,$AD$54,$AE$54,$AF$54,$AG$54,$AH$54,$AI$54,$AJ$54)</f>
        <v>1.6</v>
      </c>
      <c r="AL54" s="52">
        <f>SUM($U$54,$V$54,$W$54,$X$54,$Y$54,$Z$54,$AA$54,$AB$54)</f>
        <v>8</v>
      </c>
      <c r="AM54" s="76">
        <v>3</v>
      </c>
      <c r="AN54" s="49">
        <v>1</v>
      </c>
      <c r="AO54" s="48">
        <v>0</v>
      </c>
      <c r="AP54" s="48">
        <v>0</v>
      </c>
      <c r="AQ54" s="48">
        <v>0</v>
      </c>
      <c r="AR54" s="48">
        <v>0</v>
      </c>
      <c r="AS54" s="48">
        <v>0</v>
      </c>
      <c r="AT54" s="56">
        <v>0</v>
      </c>
      <c r="AU54" s="57">
        <f>$AM$54*VLOOKUP($AM$11,'PCU Values'!$B$9:$C$16,2,FALSE)</f>
        <v>3</v>
      </c>
      <c r="AV54" s="57">
        <f>$AN$54*VLOOKUP($AN$11,'PCU Values'!$B$9:$C$16,2,FALSE)</f>
        <v>1</v>
      </c>
      <c r="AW54" s="57">
        <f>$AO$54*VLOOKUP($AO$11,'PCU Values'!$B$9:$C$16,2,FALSE)</f>
        <v>0</v>
      </c>
      <c r="AX54" s="57">
        <f>$AP$54*VLOOKUP($AP$11,'PCU Values'!$B$9:$C$16,2,FALSE)</f>
        <v>0</v>
      </c>
      <c r="AY54" s="57">
        <f>$AQ$54*VLOOKUP($AQ$11,'PCU Values'!$B$9:$C$16,2,FALSE)</f>
        <v>0</v>
      </c>
      <c r="AZ54" s="57">
        <f>$AR$54*VLOOKUP($AR$11,'PCU Values'!$B$9:$C$16,2,FALSE)</f>
        <v>0</v>
      </c>
      <c r="BA54" s="57">
        <f>$AS$54*VLOOKUP($AS$11,'PCU Values'!$B$9:$C$16,2,FALSE)</f>
        <v>0</v>
      </c>
      <c r="BB54" s="65">
        <f>$AT$54*VLOOKUP($AT$11,'PCU Values'!$B$9:$C$16,2,FALSE)</f>
        <v>0</v>
      </c>
      <c r="BC54" s="66">
        <f>SUM($AU$54,$AV$54,$AW$54,$AX$54,$AY$54,$AZ$54,$BA$54,$BB$54)</f>
        <v>4</v>
      </c>
      <c r="BD54" s="52">
        <f>SUM($AM$54,$AN$54,$AO$54,$AP$54,$AQ$54,$AR$54,$AS$54,$AT$54)</f>
        <v>4</v>
      </c>
      <c r="BE54" s="67">
        <v>0</v>
      </c>
      <c r="BF54" s="48">
        <v>0</v>
      </c>
      <c r="BG54" s="48">
        <v>0</v>
      </c>
      <c r="BH54" s="48">
        <v>0</v>
      </c>
      <c r="BI54" s="48">
        <v>0</v>
      </c>
      <c r="BJ54" s="48">
        <v>0</v>
      </c>
      <c r="BK54" s="48">
        <v>0</v>
      </c>
      <c r="BL54" s="56">
        <v>0</v>
      </c>
      <c r="BM54" s="77">
        <f>$BE$54*VLOOKUP($BE$11,'PCU Values'!$B$9:$C$16,2,FALSE)</f>
        <v>0</v>
      </c>
      <c r="BN54" s="77">
        <f>$BF$54*VLOOKUP($BF$11,'PCU Values'!$B$9:$C$16,2,FALSE)</f>
        <v>0</v>
      </c>
      <c r="BO54" s="77">
        <f>$BG$54*VLOOKUP($BG$11,'PCU Values'!$B$9:$C$16,2,FALSE)</f>
        <v>0</v>
      </c>
      <c r="BP54" s="77">
        <f>$BH$54*VLOOKUP($BH$11,'PCU Values'!$B$9:$C$16,2,FALSE)</f>
        <v>0</v>
      </c>
      <c r="BQ54" s="77">
        <f>$BI$54*VLOOKUP($BI$11,'PCU Values'!$B$9:$C$16,2,FALSE)</f>
        <v>0</v>
      </c>
      <c r="BR54" s="77">
        <f>$BJ$54*VLOOKUP($BJ$11,'PCU Values'!$B$9:$C$16,2,FALSE)</f>
        <v>0</v>
      </c>
      <c r="BS54" s="77">
        <f>$BK$54*VLOOKUP($BK$11,'PCU Values'!$B$9:$C$16,2,FALSE)</f>
        <v>0</v>
      </c>
      <c r="BT54" s="78">
        <f>$BL$54*VLOOKUP($BL$11,'PCU Values'!$B$9:$C$16,2,FALSE)</f>
        <v>0</v>
      </c>
      <c r="BU54" s="66">
        <f>SUM($BM$54,$BN$54,$BO$54,$BP$54,$BQ$54,$BR$54,$BS$54,$BT$54)</f>
        <v>0</v>
      </c>
      <c r="BV54" s="52">
        <f>SUM($BE$54,$BF$54,$BG$54,$BH$54,$BI$54,$BJ$54,$BK$54,$BL$54)</f>
        <v>0</v>
      </c>
      <c r="BX54" s="47" t="s">
        <v>65</v>
      </c>
      <c r="BY54" s="83">
        <f>SUM($C$54,$U$54,$AM$54,$BE$54)</f>
        <v>8</v>
      </c>
      <c r="BZ54" s="83">
        <f>SUM($D$54,$V$54,$AN$54,$BF$54)</f>
        <v>1</v>
      </c>
      <c r="CA54" s="83">
        <f>SUM($E$54,$W$54,$AO$54,$BG$54)</f>
        <v>0</v>
      </c>
      <c r="CB54" s="83">
        <f>SUM($F$54,$X$54,$AP$54,$BH$54)</f>
        <v>0</v>
      </c>
      <c r="CC54" s="83">
        <f>SUM($G$54,$Y$54,$AQ$54,$BI$54)</f>
        <v>0</v>
      </c>
      <c r="CD54" s="83">
        <f>SUM($H$54,$Z$54,$AR$54,$BJ$54)</f>
        <v>8</v>
      </c>
      <c r="CE54" s="83">
        <f>SUM($I$54,$AA$54,$AS$54,$BK$54)</f>
        <v>0</v>
      </c>
      <c r="CF54" s="86">
        <f>SUM($J$54,$AB$54,$AT$54,$BL$54)</f>
        <v>0</v>
      </c>
      <c r="CG54" s="77">
        <f>$BY$54*VLOOKUP($BY$11,'PCU Values'!$B$9:$C$16,2,FALSE)</f>
        <v>8</v>
      </c>
      <c r="CH54" s="77">
        <f>$BZ$54*VLOOKUP($BZ$11,'PCU Values'!$B$9:$C$16,2,FALSE)</f>
        <v>1</v>
      </c>
      <c r="CI54" s="77">
        <f>$CA$54*VLOOKUP($CA$11,'PCU Values'!$B$9:$C$16,2,FALSE)</f>
        <v>0</v>
      </c>
      <c r="CJ54" s="77">
        <f>$CB$54*VLOOKUP($CB$11,'PCU Values'!$B$9:$C$16,2,FALSE)</f>
        <v>0</v>
      </c>
      <c r="CK54" s="77">
        <f>$CC$54*VLOOKUP($CC$11,'PCU Values'!$B$9:$C$16,2,FALSE)</f>
        <v>0</v>
      </c>
      <c r="CL54" s="77">
        <f>$CD$54*VLOOKUP($CD$11,'PCU Values'!$B$9:$C$16,2,FALSE)</f>
        <v>1.6</v>
      </c>
      <c r="CM54" s="77">
        <f>$CE$54*VLOOKUP($CE$11,'PCU Values'!$B$9:$C$16,2,FALSE)</f>
        <v>0</v>
      </c>
      <c r="CN54" s="78">
        <f>$CF$54*VLOOKUP($CF$11,'PCU Values'!$B$9:$C$16,2,FALSE)</f>
        <v>0</v>
      </c>
      <c r="CO54" s="66">
        <f>SUM($CG$54,$CH$54,$CI$54,$CJ$54,$CK$54,$CL$54,$CM$54,$CN$54)</f>
        <v>10.6</v>
      </c>
      <c r="CP54" s="52">
        <f>SUM($BY$54,$BZ$54,$CA$54,$CB$54,$CC$54,$CD$54,$CE$54,$CF$54)</f>
        <v>17</v>
      </c>
      <c r="CQ54" s="89">
        <f>SUM('J1 A - (North) Bishopthorpe Roa'!$AM$54,'J1 B - Butcher Terrace'!$U$54,'J1 C - (South) Bishopthorpe Roa'!$C$54,'J1 D - South Bank Avenue'!$BE$54)</f>
        <v>7</v>
      </c>
      <c r="CR54" s="83">
        <f>SUM('J1 A - (North) Bishopthorpe Roa'!$AN$54,'J1 B - Butcher Terrace'!$V$54,'J1 C - (South) Bishopthorpe Roa'!$D$54,'J1 D - South Bank Avenue'!$BF$54)</f>
        <v>1</v>
      </c>
      <c r="CS54" s="83">
        <f>SUM('J1 A - (North) Bishopthorpe Roa'!$AO$54,'J1 B - Butcher Terrace'!$W$54,'J1 C - (South) Bishopthorpe Roa'!$E$54,'J1 D - South Bank Avenue'!$BG$54)</f>
        <v>0</v>
      </c>
      <c r="CT54" s="83">
        <f>SUM('J1 A - (North) Bishopthorpe Roa'!$AP$54,'J1 B - Butcher Terrace'!$X$54,'J1 C - (South) Bishopthorpe Roa'!$F$54,'J1 D - South Bank Avenue'!$BH$54)</f>
        <v>0</v>
      </c>
      <c r="CU54" s="83">
        <f>SUM('J1 A - (North) Bishopthorpe Roa'!$AQ$54,'J1 B - Butcher Terrace'!$Y$54,'J1 C - (South) Bishopthorpe Roa'!$G$54,'J1 D - South Bank Avenue'!$BI$54)</f>
        <v>0</v>
      </c>
      <c r="CV54" s="83">
        <f>SUM('J1 A - (North) Bishopthorpe Roa'!$AR$54,'J1 B - Butcher Terrace'!$Z$54,'J1 C - (South) Bishopthorpe Roa'!$H$54,'J1 D - South Bank Avenue'!$BJ$54)</f>
        <v>8</v>
      </c>
      <c r="CW54" s="83">
        <f>SUM('J1 A - (North) Bishopthorpe Roa'!$AS$54,'J1 B - Butcher Terrace'!$AA$54,'J1 C - (South) Bishopthorpe Roa'!$I$54,'J1 D - South Bank Avenue'!$BK$54)</f>
        <v>0</v>
      </c>
      <c r="CX54" s="86">
        <f>SUM('J1 A - (North) Bishopthorpe Roa'!$AT$54,'J1 B - Butcher Terrace'!$AB$54,'J1 C - (South) Bishopthorpe Roa'!$J$54,'J1 D - South Bank Avenue'!$BL$54)</f>
        <v>0</v>
      </c>
      <c r="CY54" s="77">
        <f>$CQ$54*VLOOKUP($CQ$11,'PCU Values'!$B$9:$C$16,2,FALSE)</f>
        <v>7</v>
      </c>
      <c r="CZ54" s="77">
        <f>$CR$54*VLOOKUP($CR$11,'PCU Values'!$B$9:$C$16,2,FALSE)</f>
        <v>1</v>
      </c>
      <c r="DA54" s="77">
        <f>$CS$54*VLOOKUP($CS$11,'PCU Values'!$B$9:$C$16,2,FALSE)</f>
        <v>0</v>
      </c>
      <c r="DB54" s="77">
        <f>$CT$54*VLOOKUP($CT$11,'PCU Values'!$B$9:$C$16,2,FALSE)</f>
        <v>0</v>
      </c>
      <c r="DC54" s="77">
        <f>$CU$54*VLOOKUP($CU$11,'PCU Values'!$B$9:$C$16,2,FALSE)</f>
        <v>0</v>
      </c>
      <c r="DD54" s="77">
        <f>$CV$54*VLOOKUP($CV$11,'PCU Values'!$B$9:$C$16,2,FALSE)</f>
        <v>1.6</v>
      </c>
      <c r="DE54" s="77">
        <f>$CW$54*VLOOKUP($CW$11,'PCU Values'!$B$9:$C$16,2,FALSE)</f>
        <v>0</v>
      </c>
      <c r="DF54" s="78">
        <f>$CX$54*VLOOKUP($CX$11,'PCU Values'!$B$9:$C$16,2,FALSE)</f>
        <v>0</v>
      </c>
      <c r="DG54" s="66">
        <f>SUM($CY$54,$CZ$54,$DA$54,$DB$54,$DC$54,$DD$54,$DE$54,$DF$54)</f>
        <v>9.6</v>
      </c>
      <c r="DH54" s="52">
        <f>SUM($CQ$54,$CR$54,$CS$54,$CT$54,$CU$54,$CV$54,$CW$54,$CX$54)</f>
        <v>16</v>
      </c>
    </row>
    <row r="55" spans="1:112" ht="21" customHeight="1">
      <c r="A55" s="46">
        <v>44395.364583333299</v>
      </c>
      <c r="B55" s="50" t="s">
        <v>66</v>
      </c>
      <c r="C55" s="55">
        <v>15</v>
      </c>
      <c r="D55" s="55">
        <v>2</v>
      </c>
      <c r="E55" s="51">
        <v>0</v>
      </c>
      <c r="F55" s="51">
        <v>0</v>
      </c>
      <c r="G55" s="51">
        <v>0</v>
      </c>
      <c r="H55" s="55">
        <v>3</v>
      </c>
      <c r="I55" s="51">
        <v>0</v>
      </c>
      <c r="J55" s="59">
        <v>0</v>
      </c>
      <c r="K55" s="60">
        <f>$C$55*VLOOKUP($C$11,'PCU Values'!$B$9:$C$16,2,FALSE)</f>
        <v>15</v>
      </c>
      <c r="L55" s="60">
        <f>$D$55*VLOOKUP($D$11,'PCU Values'!$B$9:$C$16,2,FALSE)</f>
        <v>2</v>
      </c>
      <c r="M55" s="60">
        <f>$E$55*VLOOKUP($E$11,'PCU Values'!$B$9:$C$16,2,FALSE)</f>
        <v>0</v>
      </c>
      <c r="N55" s="60">
        <f>$F$55*VLOOKUP($F$11,'PCU Values'!$B$9:$C$16,2,FALSE)</f>
        <v>0</v>
      </c>
      <c r="O55" s="60">
        <f>$G$55*VLOOKUP($G$11,'PCU Values'!$B$9:$C$16,2,FALSE)</f>
        <v>0</v>
      </c>
      <c r="P55" s="60">
        <f>$H$55*VLOOKUP($H$11,'PCU Values'!$B$9:$C$16,2,FALSE)</f>
        <v>0.6</v>
      </c>
      <c r="Q55" s="60">
        <f>$I$55*VLOOKUP($I$11,'PCU Values'!$B$9:$C$16,2,FALSE)</f>
        <v>0</v>
      </c>
      <c r="R55" s="68">
        <f>$J$55*VLOOKUP($J$11,'PCU Values'!$B$9:$C$16,2,FALSE)</f>
        <v>0</v>
      </c>
      <c r="S55" s="63">
        <f>SUM($K$55,$L$55,$M$55,$N$55,$O$55,$P$55,$Q$55,$R$55)</f>
        <v>17.600000000000001</v>
      </c>
      <c r="T55" s="52">
        <f>SUM($C$55,$D$55,$E$55,$F$55,$G$55,$H$55,$I$55,$J$55)</f>
        <v>20</v>
      </c>
      <c r="U55" s="73">
        <v>0</v>
      </c>
      <c r="V55" s="51">
        <v>0</v>
      </c>
      <c r="W55" s="51">
        <v>0</v>
      </c>
      <c r="X55" s="51">
        <v>0</v>
      </c>
      <c r="Y55" s="51">
        <v>0</v>
      </c>
      <c r="Z55" s="51">
        <v>4</v>
      </c>
      <c r="AA55" s="51">
        <v>0</v>
      </c>
      <c r="AB55" s="59">
        <v>0</v>
      </c>
      <c r="AC55" s="60">
        <f>$U$55*VLOOKUP($U$11,'PCU Values'!$B$9:$C$16,2,FALSE)</f>
        <v>0</v>
      </c>
      <c r="AD55" s="60">
        <f>$V$55*VLOOKUP($V$11,'PCU Values'!$B$9:$C$16,2,FALSE)</f>
        <v>0</v>
      </c>
      <c r="AE55" s="60">
        <f>$W$55*VLOOKUP($W$11,'PCU Values'!$B$9:$C$16,2,FALSE)</f>
        <v>0</v>
      </c>
      <c r="AF55" s="60">
        <f>$X$55*VLOOKUP($X$11,'PCU Values'!$B$9:$C$16,2,FALSE)</f>
        <v>0</v>
      </c>
      <c r="AG55" s="60">
        <f>$Y$55*VLOOKUP($Y$11,'PCU Values'!$B$9:$C$16,2,FALSE)</f>
        <v>0</v>
      </c>
      <c r="AH55" s="60">
        <f>$Z$55*VLOOKUP($Z$11,'PCU Values'!$B$9:$C$16,2,FALSE)</f>
        <v>0.8</v>
      </c>
      <c r="AI55" s="60">
        <f>$AA$55*VLOOKUP($AA$11,'PCU Values'!$B$9:$C$16,2,FALSE)</f>
        <v>0</v>
      </c>
      <c r="AJ55" s="68">
        <f>$AB$55*VLOOKUP($AB$11,'PCU Values'!$B$9:$C$16,2,FALSE)</f>
        <v>0</v>
      </c>
      <c r="AK55" s="63">
        <f>SUM($AC$55,$AD$55,$AE$55,$AF$55,$AG$55,$AH$55,$AI$55,$AJ$55)</f>
        <v>0.8</v>
      </c>
      <c r="AL55" s="52">
        <f>SUM($U$55,$V$55,$W$55,$X$55,$Y$55,$Z$55,$AA$55,$AB$55)</f>
        <v>4</v>
      </c>
      <c r="AM55" s="73">
        <v>2</v>
      </c>
      <c r="AN55" s="51">
        <v>0</v>
      </c>
      <c r="AO55" s="51">
        <v>0</v>
      </c>
      <c r="AP55" s="51">
        <v>0</v>
      </c>
      <c r="AQ55" s="51">
        <v>0</v>
      </c>
      <c r="AR55" s="51">
        <v>0</v>
      </c>
      <c r="AS55" s="51">
        <v>0</v>
      </c>
      <c r="AT55" s="59">
        <v>0</v>
      </c>
      <c r="AU55" s="60">
        <f>$AM$55*VLOOKUP($AM$11,'PCU Values'!$B$9:$C$16,2,FALSE)</f>
        <v>2</v>
      </c>
      <c r="AV55" s="60">
        <f>$AN$55*VLOOKUP($AN$11,'PCU Values'!$B$9:$C$16,2,FALSE)</f>
        <v>0</v>
      </c>
      <c r="AW55" s="60">
        <f>$AO$55*VLOOKUP($AO$11,'PCU Values'!$B$9:$C$16,2,FALSE)</f>
        <v>0</v>
      </c>
      <c r="AX55" s="60">
        <f>$AP$55*VLOOKUP($AP$11,'PCU Values'!$B$9:$C$16,2,FALSE)</f>
        <v>0</v>
      </c>
      <c r="AY55" s="60">
        <f>$AQ$55*VLOOKUP($AQ$11,'PCU Values'!$B$9:$C$16,2,FALSE)</f>
        <v>0</v>
      </c>
      <c r="AZ55" s="60">
        <f>$AR$55*VLOOKUP($AR$11,'PCU Values'!$B$9:$C$16,2,FALSE)</f>
        <v>0</v>
      </c>
      <c r="BA55" s="60">
        <f>$AS$55*VLOOKUP($AS$11,'PCU Values'!$B$9:$C$16,2,FALSE)</f>
        <v>0</v>
      </c>
      <c r="BB55" s="68">
        <f>$AT$55*VLOOKUP($AT$11,'PCU Values'!$B$9:$C$16,2,FALSE)</f>
        <v>0</v>
      </c>
      <c r="BC55" s="63">
        <f>SUM($AU$55,$AV$55,$AW$55,$AX$55,$AY$55,$AZ$55,$BA$55,$BB$55)</f>
        <v>2</v>
      </c>
      <c r="BD55" s="52">
        <f>SUM($AM$55,$AN$55,$AO$55,$AP$55,$AQ$55,$AR$55,$AS$55,$AT$55)</f>
        <v>2</v>
      </c>
      <c r="BE55" s="73">
        <v>0</v>
      </c>
      <c r="BF55" s="51">
        <v>0</v>
      </c>
      <c r="BG55" s="51">
        <v>0</v>
      </c>
      <c r="BH55" s="51">
        <v>0</v>
      </c>
      <c r="BI55" s="51">
        <v>0</v>
      </c>
      <c r="BJ55" s="51">
        <v>0</v>
      </c>
      <c r="BK55" s="51">
        <v>0</v>
      </c>
      <c r="BL55" s="59">
        <v>0</v>
      </c>
      <c r="BM55" s="79">
        <f>$BE$55*VLOOKUP($BE$11,'PCU Values'!$B$9:$C$16,2,FALSE)</f>
        <v>0</v>
      </c>
      <c r="BN55" s="79">
        <f>$BF$55*VLOOKUP($BF$11,'PCU Values'!$B$9:$C$16,2,FALSE)</f>
        <v>0</v>
      </c>
      <c r="BO55" s="79">
        <f>$BG$55*VLOOKUP($BG$11,'PCU Values'!$B$9:$C$16,2,FALSE)</f>
        <v>0</v>
      </c>
      <c r="BP55" s="79">
        <f>$BH$55*VLOOKUP($BH$11,'PCU Values'!$B$9:$C$16,2,FALSE)</f>
        <v>0</v>
      </c>
      <c r="BQ55" s="79">
        <f>$BI$55*VLOOKUP($BI$11,'PCU Values'!$B$9:$C$16,2,FALSE)</f>
        <v>0</v>
      </c>
      <c r="BR55" s="79">
        <f>$BJ$55*VLOOKUP($BJ$11,'PCU Values'!$B$9:$C$16,2,FALSE)</f>
        <v>0</v>
      </c>
      <c r="BS55" s="79">
        <f>$BK$55*VLOOKUP($BK$11,'PCU Values'!$B$9:$C$16,2,FALSE)</f>
        <v>0</v>
      </c>
      <c r="BT55" s="80">
        <f>$BL$55*VLOOKUP($BL$11,'PCU Values'!$B$9:$C$16,2,FALSE)</f>
        <v>0</v>
      </c>
      <c r="BU55" s="63">
        <f>SUM($BM$55,$BN$55,$BO$55,$BP$55,$BQ$55,$BR$55,$BS$55,$BT$55)</f>
        <v>0</v>
      </c>
      <c r="BV55" s="52">
        <f>SUM($BE$55,$BF$55,$BG$55,$BH$55,$BI$55,$BJ$55,$BK$55,$BL$55)</f>
        <v>0</v>
      </c>
      <c r="BX55" s="50" t="s">
        <v>66</v>
      </c>
      <c r="BY55" s="84">
        <f>SUM($C$55,$U$55,$AM$55,$BE$55)</f>
        <v>17</v>
      </c>
      <c r="BZ55" s="84">
        <f>SUM($D$55,$V$55,$AN$55,$BF$55)</f>
        <v>2</v>
      </c>
      <c r="CA55" s="84">
        <f>SUM($E$55,$W$55,$AO$55,$BG$55)</f>
        <v>0</v>
      </c>
      <c r="CB55" s="84">
        <f>SUM($F$55,$X$55,$AP$55,$BH$55)</f>
        <v>0</v>
      </c>
      <c r="CC55" s="84">
        <f>SUM($G$55,$Y$55,$AQ$55,$BI$55)</f>
        <v>0</v>
      </c>
      <c r="CD55" s="84">
        <f>SUM($H$55,$Z$55,$AR$55,$BJ$55)</f>
        <v>7</v>
      </c>
      <c r="CE55" s="84">
        <f>SUM($I$55,$AA$55,$AS$55,$BK$55)</f>
        <v>0</v>
      </c>
      <c r="CF55" s="87">
        <f>SUM($J$55,$AB$55,$AT$55,$BL$55)</f>
        <v>0</v>
      </c>
      <c r="CG55" s="79">
        <f>$BY$55*VLOOKUP($BY$11,'PCU Values'!$B$9:$C$16,2,FALSE)</f>
        <v>17</v>
      </c>
      <c r="CH55" s="79">
        <f>$BZ$55*VLOOKUP($BZ$11,'PCU Values'!$B$9:$C$16,2,FALSE)</f>
        <v>2</v>
      </c>
      <c r="CI55" s="79">
        <f>$CA$55*VLOOKUP($CA$11,'PCU Values'!$B$9:$C$16,2,FALSE)</f>
        <v>0</v>
      </c>
      <c r="CJ55" s="79">
        <f>$CB$55*VLOOKUP($CB$11,'PCU Values'!$B$9:$C$16,2,FALSE)</f>
        <v>0</v>
      </c>
      <c r="CK55" s="79">
        <f>$CC$55*VLOOKUP($CC$11,'PCU Values'!$B$9:$C$16,2,FALSE)</f>
        <v>0</v>
      </c>
      <c r="CL55" s="79">
        <f>$CD$55*VLOOKUP($CD$11,'PCU Values'!$B$9:$C$16,2,FALSE)</f>
        <v>1.4</v>
      </c>
      <c r="CM55" s="79">
        <f>$CE$55*VLOOKUP($CE$11,'PCU Values'!$B$9:$C$16,2,FALSE)</f>
        <v>0</v>
      </c>
      <c r="CN55" s="80">
        <f>$CF$55*VLOOKUP($CF$11,'PCU Values'!$B$9:$C$16,2,FALSE)</f>
        <v>0</v>
      </c>
      <c r="CO55" s="63">
        <f>SUM($CG$55,$CH$55,$CI$55,$CJ$55,$CK$55,$CL$55,$CM$55,$CN$55)</f>
        <v>20.399999999999999</v>
      </c>
      <c r="CP55" s="52">
        <f>SUM($BY$55,$BZ$55,$CA$55,$CB$55,$CC$55,$CD$55,$CE$55,$CF$55)</f>
        <v>26</v>
      </c>
      <c r="CQ55" s="90">
        <f>SUM('J1 A - (North) Bishopthorpe Roa'!$AM$55,'J1 B - Butcher Terrace'!$U$55,'J1 C - (South) Bishopthorpe Roa'!$C$55,'J1 D - South Bank Avenue'!$BE$55)</f>
        <v>6</v>
      </c>
      <c r="CR55" s="84">
        <f>SUM('J1 A - (North) Bishopthorpe Roa'!$AN$55,'J1 B - Butcher Terrace'!$V$55,'J1 C - (South) Bishopthorpe Roa'!$D$55,'J1 D - South Bank Avenue'!$BF$55)</f>
        <v>2</v>
      </c>
      <c r="CS55" s="84">
        <f>SUM('J1 A - (North) Bishopthorpe Roa'!$AO$55,'J1 B - Butcher Terrace'!$W$55,'J1 C - (South) Bishopthorpe Roa'!$E$55,'J1 D - South Bank Avenue'!$BG$55)</f>
        <v>0</v>
      </c>
      <c r="CT55" s="84">
        <f>SUM('J1 A - (North) Bishopthorpe Roa'!$AP$55,'J1 B - Butcher Terrace'!$X$55,'J1 C - (South) Bishopthorpe Roa'!$F$55,'J1 D - South Bank Avenue'!$BH$55)</f>
        <v>0</v>
      </c>
      <c r="CU55" s="84">
        <f>SUM('J1 A - (North) Bishopthorpe Roa'!$AQ$55,'J1 B - Butcher Terrace'!$Y$55,'J1 C - (South) Bishopthorpe Roa'!$G$55,'J1 D - South Bank Avenue'!$BI$55)</f>
        <v>0</v>
      </c>
      <c r="CV55" s="84">
        <f>SUM('J1 A - (North) Bishopthorpe Roa'!$AR$55,'J1 B - Butcher Terrace'!$Z$55,'J1 C - (South) Bishopthorpe Roa'!$H$55,'J1 D - South Bank Avenue'!$BJ$55)</f>
        <v>3</v>
      </c>
      <c r="CW55" s="84">
        <f>SUM('J1 A - (North) Bishopthorpe Roa'!$AS$55,'J1 B - Butcher Terrace'!$AA$55,'J1 C - (South) Bishopthorpe Roa'!$I$55,'J1 D - South Bank Avenue'!$BK$55)</f>
        <v>0</v>
      </c>
      <c r="CX55" s="87">
        <f>SUM('J1 A - (North) Bishopthorpe Roa'!$AT$55,'J1 B - Butcher Terrace'!$AB$55,'J1 C - (South) Bishopthorpe Roa'!$J$55,'J1 D - South Bank Avenue'!$BL$55)</f>
        <v>0</v>
      </c>
      <c r="CY55" s="79">
        <f>$CQ$55*VLOOKUP($CQ$11,'PCU Values'!$B$9:$C$16,2,FALSE)</f>
        <v>6</v>
      </c>
      <c r="CZ55" s="79">
        <f>$CR$55*VLOOKUP($CR$11,'PCU Values'!$B$9:$C$16,2,FALSE)</f>
        <v>2</v>
      </c>
      <c r="DA55" s="79">
        <f>$CS$55*VLOOKUP($CS$11,'PCU Values'!$B$9:$C$16,2,FALSE)</f>
        <v>0</v>
      </c>
      <c r="DB55" s="79">
        <f>$CT$55*VLOOKUP($CT$11,'PCU Values'!$B$9:$C$16,2,FALSE)</f>
        <v>0</v>
      </c>
      <c r="DC55" s="79">
        <f>$CU$55*VLOOKUP($CU$11,'PCU Values'!$B$9:$C$16,2,FALSE)</f>
        <v>0</v>
      </c>
      <c r="DD55" s="79">
        <f>$CV$55*VLOOKUP($CV$11,'PCU Values'!$B$9:$C$16,2,FALSE)</f>
        <v>0.6</v>
      </c>
      <c r="DE55" s="79">
        <f>$CW$55*VLOOKUP($CW$11,'PCU Values'!$B$9:$C$16,2,FALSE)</f>
        <v>0</v>
      </c>
      <c r="DF55" s="80">
        <f>$CX$55*VLOOKUP($CX$11,'PCU Values'!$B$9:$C$16,2,FALSE)</f>
        <v>0</v>
      </c>
      <c r="DG55" s="63">
        <f>SUM($CY$55,$CZ$55,$DA$55,$DB$55,$DC$55,$DD$55,$DE$55,$DF$55)</f>
        <v>8.6</v>
      </c>
      <c r="DH55" s="52">
        <f>SUM($CQ$55,$CR$55,$CS$55,$CT$55,$CU$55,$CV$55,$CW$55,$CX$55)</f>
        <v>11</v>
      </c>
    </row>
    <row r="56" spans="1:112">
      <c r="B56" s="52" t="s">
        <v>34</v>
      </c>
      <c r="C56" s="52">
        <f>SUM($C$52:$C$55)</f>
        <v>25</v>
      </c>
      <c r="D56" s="52">
        <f>SUM($D$52:$D$55)</f>
        <v>5</v>
      </c>
      <c r="E56" s="52">
        <f>SUM($E$52:$E$55)</f>
        <v>0</v>
      </c>
      <c r="F56" s="52">
        <f>SUM($F$52:$F$55)</f>
        <v>0</v>
      </c>
      <c r="G56" s="52">
        <f>SUM($G$52:$G$55)</f>
        <v>0</v>
      </c>
      <c r="H56" s="52">
        <f>SUM($H$52:$H$55)</f>
        <v>4</v>
      </c>
      <c r="I56" s="52">
        <f>SUM($I$52:$I$55)</f>
        <v>0</v>
      </c>
      <c r="J56" s="52">
        <f>SUM($J$52:$J$55)</f>
        <v>0</v>
      </c>
      <c r="K56" s="52">
        <f>SUM($K$52:$K$55)</f>
        <v>25</v>
      </c>
      <c r="L56" s="52">
        <f>SUM($L$52:$L$55)</f>
        <v>5</v>
      </c>
      <c r="M56" s="52">
        <f>SUM($M$52:$M$55)</f>
        <v>0</v>
      </c>
      <c r="N56" s="52">
        <f>SUM($N$52:$N$55)</f>
        <v>0</v>
      </c>
      <c r="O56" s="52">
        <f>SUM($O$52:$O$55)</f>
        <v>0</v>
      </c>
      <c r="P56" s="52">
        <f>SUM($P$52:$P$55)</f>
        <v>1</v>
      </c>
      <c r="Q56" s="52">
        <f>SUM($Q$52:$Q$55)</f>
        <v>0</v>
      </c>
      <c r="R56" s="52">
        <f>SUM($R$52:$R$55)</f>
        <v>0</v>
      </c>
      <c r="S56" s="52">
        <f>SUM($K$56,$L$56,$M$56,$N$56,$O$56,$P$56,$Q$56,$R$56)</f>
        <v>31</v>
      </c>
      <c r="T56" s="52">
        <f>SUM($C$56,$D$56,$E$56,$F$56,$G$56,$H$56,$I$56,$J$56)</f>
        <v>34</v>
      </c>
      <c r="U56" s="52">
        <f>SUM($U$52:$U$55)</f>
        <v>0</v>
      </c>
      <c r="V56" s="52">
        <f>SUM($V$52:$V$55)</f>
        <v>0</v>
      </c>
      <c r="W56" s="52">
        <f>SUM($W$52:$W$55)</f>
        <v>0</v>
      </c>
      <c r="X56" s="52">
        <f>SUM($X$52:$X$55)</f>
        <v>0</v>
      </c>
      <c r="Y56" s="52">
        <f>SUM($Y$52:$Y$55)</f>
        <v>0</v>
      </c>
      <c r="Z56" s="52">
        <f>SUM($Z$52:$Z$55)</f>
        <v>37</v>
      </c>
      <c r="AA56" s="52">
        <f>SUM($AA$52:$AA$55)</f>
        <v>0</v>
      </c>
      <c r="AB56" s="52">
        <f>SUM($AB$52:$AB$55)</f>
        <v>0</v>
      </c>
      <c r="AC56" s="52">
        <f>SUM($AC$52:$AC$55)</f>
        <v>0</v>
      </c>
      <c r="AD56" s="52">
        <f>SUM($AD$52:$AD$55)</f>
        <v>0</v>
      </c>
      <c r="AE56" s="52">
        <f>SUM($AE$52:$AE$55)</f>
        <v>0</v>
      </c>
      <c r="AF56" s="52">
        <f>SUM($AF$52:$AF$55)</f>
        <v>0</v>
      </c>
      <c r="AG56" s="52">
        <f>SUM($AG$52:$AG$55)</f>
        <v>0</v>
      </c>
      <c r="AH56" s="52">
        <f>SUM($AH$52:$AH$55)</f>
        <v>7</v>
      </c>
      <c r="AI56" s="52">
        <f>SUM($AI$52:$AI$55)</f>
        <v>0</v>
      </c>
      <c r="AJ56" s="52">
        <f>SUM($AJ$52:$AJ$55)</f>
        <v>0</v>
      </c>
      <c r="AK56" s="52">
        <f>SUM($AC$56,$AD$56,$AE$56,$AF$56,$AG$56,$AH$56,$AI$56,$AJ$56)</f>
        <v>7</v>
      </c>
      <c r="AL56" s="52">
        <f>SUM($U$56,$V$56,$W$56,$X$56,$Y$56,$Z$56,$AA$56,$AB$56)</f>
        <v>37</v>
      </c>
      <c r="AM56" s="52">
        <f>SUM($AM$52:$AM$55)</f>
        <v>9</v>
      </c>
      <c r="AN56" s="52">
        <f>SUM($AN$52:$AN$55)</f>
        <v>1</v>
      </c>
      <c r="AO56" s="52">
        <f>SUM($AO$52:$AO$55)</f>
        <v>0</v>
      </c>
      <c r="AP56" s="52">
        <f>SUM($AP$52:$AP$55)</f>
        <v>0</v>
      </c>
      <c r="AQ56" s="52">
        <f>SUM($AQ$52:$AQ$55)</f>
        <v>0</v>
      </c>
      <c r="AR56" s="52">
        <f>SUM($AR$52:$AR$55)</f>
        <v>1</v>
      </c>
      <c r="AS56" s="52">
        <f>SUM($AS$52:$AS$55)</f>
        <v>0</v>
      </c>
      <c r="AT56" s="52">
        <f>SUM($AT$52:$AT$55)</f>
        <v>0</v>
      </c>
      <c r="AU56" s="52">
        <f>SUM($AU$52:$AU$55)</f>
        <v>9</v>
      </c>
      <c r="AV56" s="52">
        <f>SUM($AV$52:$AV$55)</f>
        <v>1</v>
      </c>
      <c r="AW56" s="52">
        <f>SUM($AW$52:$AW$55)</f>
        <v>0</v>
      </c>
      <c r="AX56" s="52">
        <f>SUM($AX$52:$AX$55)</f>
        <v>0</v>
      </c>
      <c r="AY56" s="52">
        <f>SUM($AY$52:$AY$55)</f>
        <v>0</v>
      </c>
      <c r="AZ56" s="52">
        <f>SUM($AZ$52:$AZ$55)</f>
        <v>0</v>
      </c>
      <c r="BA56" s="52">
        <f>SUM($BA$52:$BA$55)</f>
        <v>0</v>
      </c>
      <c r="BB56" s="52">
        <f>SUM($BB$52:$BB$55)</f>
        <v>0</v>
      </c>
      <c r="BC56" s="52">
        <f>SUM($AU$56,$AV$56,$AW$56,$AX$56,$AY$56,$AZ$56,$BA$56,$BB$56)</f>
        <v>10</v>
      </c>
      <c r="BD56" s="52">
        <f>SUM($AM$56,$AN$56,$AO$56,$AP$56,$AQ$56,$AR$56,$AS$56,$AT$56)</f>
        <v>11</v>
      </c>
      <c r="BE56" s="52">
        <f>SUM($BE$52:$BE$55)</f>
        <v>0</v>
      </c>
      <c r="BF56" s="52">
        <f>SUM($BF$52:$BF$55)</f>
        <v>0</v>
      </c>
      <c r="BG56" s="52">
        <f>SUM($BG$52:$BG$55)</f>
        <v>0</v>
      </c>
      <c r="BH56" s="52">
        <f>SUM($BH$52:$BH$55)</f>
        <v>0</v>
      </c>
      <c r="BI56" s="52">
        <f>SUM($BI$52:$BI$55)</f>
        <v>0</v>
      </c>
      <c r="BJ56" s="52">
        <f>SUM($BJ$52:$BJ$55)</f>
        <v>0</v>
      </c>
      <c r="BK56" s="52">
        <f>SUM($BK$52:$BK$55)</f>
        <v>0</v>
      </c>
      <c r="BL56" s="52">
        <f>SUM($BL$52:$BL$55)</f>
        <v>0</v>
      </c>
      <c r="BM56" s="52">
        <f>SUM($BM$52:$BM$55)</f>
        <v>0</v>
      </c>
      <c r="BN56" s="52">
        <f>SUM($BN$52:$BN$55)</f>
        <v>0</v>
      </c>
      <c r="BO56" s="52">
        <f>SUM($BO$52:$BO$55)</f>
        <v>0</v>
      </c>
      <c r="BP56" s="52">
        <f>SUM($BP$52:$BP$55)</f>
        <v>0</v>
      </c>
      <c r="BQ56" s="52">
        <f>SUM($BQ$52:$BQ$55)</f>
        <v>0</v>
      </c>
      <c r="BR56" s="52">
        <f>SUM($BR$52:$BR$55)</f>
        <v>0</v>
      </c>
      <c r="BS56" s="52">
        <f>SUM($BS$52:$BS$55)</f>
        <v>0</v>
      </c>
      <c r="BT56" s="52">
        <f>SUM($BT$52:$BT$55)</f>
        <v>0</v>
      </c>
      <c r="BU56" s="52">
        <f>SUM($BM$56,$BN$56,$BO$56,$BP$56,$BQ$56,$BR$56,$BS$56,$BT$56)</f>
        <v>0</v>
      </c>
      <c r="BV56" s="52">
        <f>SUM($BE$56,$BF$56,$BG$56,$BH$56,$BI$56,$BJ$56,$BK$56,$BL$56)</f>
        <v>0</v>
      </c>
      <c r="BX56" s="52" t="s">
        <v>34</v>
      </c>
      <c r="BY56" s="52">
        <f>SUM($BY$52:$BY$55)</f>
        <v>34</v>
      </c>
      <c r="BZ56" s="52">
        <f>SUM($BZ$52:$BZ$55)</f>
        <v>6</v>
      </c>
      <c r="CA56" s="52">
        <f>SUM($CA$52:$CA$55)</f>
        <v>0</v>
      </c>
      <c r="CB56" s="52">
        <f>SUM($CB$52:$CB$55)</f>
        <v>0</v>
      </c>
      <c r="CC56" s="52">
        <f>SUM($CC$52:$CC$55)</f>
        <v>0</v>
      </c>
      <c r="CD56" s="52">
        <f>SUM($CD$52:$CD$55)</f>
        <v>42</v>
      </c>
      <c r="CE56" s="52">
        <f>SUM($CE$52:$CE$55)</f>
        <v>0</v>
      </c>
      <c r="CF56" s="52">
        <f>SUM($CF$52:$CF$55)</f>
        <v>0</v>
      </c>
      <c r="CG56" s="52">
        <f>SUM($CG$52:$CG$55)</f>
        <v>34</v>
      </c>
      <c r="CH56" s="52">
        <f>SUM($CH$52:$CH$55)</f>
        <v>6</v>
      </c>
      <c r="CI56" s="52">
        <f>SUM($CI$52:$CI$55)</f>
        <v>0</v>
      </c>
      <c r="CJ56" s="52">
        <f>SUM($CJ$52:$CJ$55)</f>
        <v>0</v>
      </c>
      <c r="CK56" s="52">
        <f>SUM($CK$52:$CK$55)</f>
        <v>0</v>
      </c>
      <c r="CL56" s="52">
        <f>SUM($CL$52:$CL$55)</f>
        <v>8</v>
      </c>
      <c r="CM56" s="52">
        <f>SUM($CM$52:$CM$55)</f>
        <v>0</v>
      </c>
      <c r="CN56" s="52">
        <f>SUM($CN$52:$CN$55)</f>
        <v>0</v>
      </c>
      <c r="CO56" s="52">
        <f>SUM($CG$56,$CH$56,$CI$56,$CJ$56,$CK$56,$CL$56,$CM$56,$CN$56)</f>
        <v>48</v>
      </c>
      <c r="CP56" s="52">
        <f>SUM($BY$56,$BZ$56,$CA$56,$CB$56,$CC$56,$CD$56,$CE$56,$CF$56)</f>
        <v>82</v>
      </c>
      <c r="CQ56" s="52">
        <f>SUM($CQ$52:$CQ$55)</f>
        <v>27</v>
      </c>
      <c r="CR56" s="52">
        <f>SUM($CR$52:$CR$55)</f>
        <v>7</v>
      </c>
      <c r="CS56" s="52">
        <f>SUM($CS$52:$CS$55)</f>
        <v>0</v>
      </c>
      <c r="CT56" s="52">
        <f>SUM($CT$52:$CT$55)</f>
        <v>0</v>
      </c>
      <c r="CU56" s="52">
        <f>SUM($CU$52:$CU$55)</f>
        <v>0</v>
      </c>
      <c r="CV56" s="52">
        <f>SUM($CV$52:$CV$55)</f>
        <v>15</v>
      </c>
      <c r="CW56" s="52">
        <f>SUM($CW$52:$CW$55)</f>
        <v>0</v>
      </c>
      <c r="CX56" s="52">
        <f>SUM($CX$52:$CX$55)</f>
        <v>0</v>
      </c>
      <c r="CY56" s="52">
        <f>SUM($CY$52:$CY$55)</f>
        <v>27</v>
      </c>
      <c r="CZ56" s="52">
        <f>SUM($CZ$52:$CZ$55)</f>
        <v>7</v>
      </c>
      <c r="DA56" s="52">
        <f>SUM($DA$52:$DA$55)</f>
        <v>0</v>
      </c>
      <c r="DB56" s="52">
        <f>SUM($DB$52:$DB$55)</f>
        <v>0</v>
      </c>
      <c r="DC56" s="52">
        <f>SUM($DC$52:$DC$55)</f>
        <v>0</v>
      </c>
      <c r="DD56" s="52">
        <f>SUM($DD$52:$DD$55)</f>
        <v>3</v>
      </c>
      <c r="DE56" s="52">
        <f>SUM($DE$52:$DE$55)</f>
        <v>0</v>
      </c>
      <c r="DF56" s="52">
        <f>SUM($DF$52:$DF$55)</f>
        <v>0</v>
      </c>
      <c r="DG56" s="52">
        <f>SUM($CY$56,$CZ$56,$DA$56,$DB$56,$DC$56,$DD$56,$DE$56,$DF$56)</f>
        <v>37</v>
      </c>
      <c r="DH56" s="52">
        <f>SUM($CQ$56,$CR$56,$CS$56,$CT$56,$CU$56,$CV$56,$CW$56,$CX$56)</f>
        <v>49</v>
      </c>
    </row>
    <row r="57" spans="1:112" ht="21" customHeight="1">
      <c r="A57" s="46">
        <v>44395.375</v>
      </c>
      <c r="B57" s="53" t="s">
        <v>67</v>
      </c>
      <c r="C57" s="54">
        <v>7</v>
      </c>
      <c r="D57" s="54">
        <v>1</v>
      </c>
      <c r="E57" s="54">
        <v>1</v>
      </c>
      <c r="F57" s="54">
        <v>0</v>
      </c>
      <c r="G57" s="54">
        <v>0</v>
      </c>
      <c r="H57" s="54">
        <v>1</v>
      </c>
      <c r="I57" s="54">
        <v>0</v>
      </c>
      <c r="J57" s="61">
        <v>0</v>
      </c>
      <c r="K57" s="62">
        <f>$C$57*VLOOKUP($C$11,'PCU Values'!$B$9:$C$16,2,FALSE)</f>
        <v>7</v>
      </c>
      <c r="L57" s="62">
        <f>$D$57*VLOOKUP($D$11,'PCU Values'!$B$9:$C$16,2,FALSE)</f>
        <v>1</v>
      </c>
      <c r="M57" s="62">
        <f>$E$57*VLOOKUP($E$11,'PCU Values'!$B$9:$C$16,2,FALSE)</f>
        <v>1.5</v>
      </c>
      <c r="N57" s="62">
        <f>$F$57*VLOOKUP($F$11,'PCU Values'!$B$9:$C$16,2,FALSE)</f>
        <v>0</v>
      </c>
      <c r="O57" s="62">
        <f>$G$57*VLOOKUP($G$11,'PCU Values'!$B$9:$C$16,2,FALSE)</f>
        <v>0</v>
      </c>
      <c r="P57" s="62">
        <f>$H$57*VLOOKUP($H$11,'PCU Values'!$B$9:$C$16,2,FALSE)</f>
        <v>0.2</v>
      </c>
      <c r="Q57" s="62">
        <f>$I$57*VLOOKUP($I$11,'PCU Values'!$B$9:$C$16,2,FALSE)</f>
        <v>0</v>
      </c>
      <c r="R57" s="70">
        <f>$J$57*VLOOKUP($J$11,'PCU Values'!$B$9:$C$16,2,FALSE)</f>
        <v>0</v>
      </c>
      <c r="S57" s="71">
        <f>SUM($K$57,$L$57,$M$57,$N$57,$O$57,$P$57,$Q$57,$R$57)</f>
        <v>9.6999999999999993</v>
      </c>
      <c r="T57" s="52">
        <f>SUM($C$57,$D$57,$E$57,$F$57,$G$57,$H$57,$I$57,$J$57)</f>
        <v>10</v>
      </c>
      <c r="U57" s="72">
        <v>0</v>
      </c>
      <c r="V57" s="54">
        <v>0</v>
      </c>
      <c r="W57" s="54">
        <v>0</v>
      </c>
      <c r="X57" s="54">
        <v>0</v>
      </c>
      <c r="Y57" s="54">
        <v>0</v>
      </c>
      <c r="Z57" s="54">
        <v>9</v>
      </c>
      <c r="AA57" s="54">
        <v>0</v>
      </c>
      <c r="AB57" s="61">
        <v>0</v>
      </c>
      <c r="AC57" s="62">
        <f>$U$57*VLOOKUP($U$11,'PCU Values'!$B$9:$C$16,2,FALSE)</f>
        <v>0</v>
      </c>
      <c r="AD57" s="62">
        <f>$V$57*VLOOKUP($V$11,'PCU Values'!$B$9:$C$16,2,FALSE)</f>
        <v>0</v>
      </c>
      <c r="AE57" s="62">
        <f>$W$57*VLOOKUP($W$11,'PCU Values'!$B$9:$C$16,2,FALSE)</f>
        <v>0</v>
      </c>
      <c r="AF57" s="62">
        <f>$X$57*VLOOKUP($X$11,'PCU Values'!$B$9:$C$16,2,FALSE)</f>
        <v>0</v>
      </c>
      <c r="AG57" s="62">
        <f>$Y$57*VLOOKUP($Y$11,'PCU Values'!$B$9:$C$16,2,FALSE)</f>
        <v>0</v>
      </c>
      <c r="AH57" s="62">
        <f>$Z$57*VLOOKUP($Z$11,'PCU Values'!$B$9:$C$16,2,FALSE)</f>
        <v>1.8</v>
      </c>
      <c r="AI57" s="62">
        <f>$AA$57*VLOOKUP($AA$11,'PCU Values'!$B$9:$C$16,2,FALSE)</f>
        <v>0</v>
      </c>
      <c r="AJ57" s="70">
        <f>$AB$57*VLOOKUP($AB$11,'PCU Values'!$B$9:$C$16,2,FALSE)</f>
        <v>0</v>
      </c>
      <c r="AK57" s="71">
        <f>SUM($AC$57,$AD$57,$AE$57,$AF$57,$AG$57,$AH$57,$AI$57,$AJ$57)</f>
        <v>1.8</v>
      </c>
      <c r="AL57" s="52">
        <f>SUM($U$57,$V$57,$W$57,$X$57,$Y$57,$Z$57,$AA$57,$AB$57)</f>
        <v>9</v>
      </c>
      <c r="AM57" s="72">
        <v>3</v>
      </c>
      <c r="AN57" s="54">
        <v>0</v>
      </c>
      <c r="AO57" s="54">
        <v>0</v>
      </c>
      <c r="AP57" s="54">
        <v>0</v>
      </c>
      <c r="AQ57" s="54">
        <v>0</v>
      </c>
      <c r="AR57" s="54">
        <v>0</v>
      </c>
      <c r="AS57" s="54">
        <v>0</v>
      </c>
      <c r="AT57" s="61">
        <v>0</v>
      </c>
      <c r="AU57" s="62">
        <f>$AM$57*VLOOKUP($AM$11,'PCU Values'!$B$9:$C$16,2,FALSE)</f>
        <v>3</v>
      </c>
      <c r="AV57" s="62">
        <f>$AN$57*VLOOKUP($AN$11,'PCU Values'!$B$9:$C$16,2,FALSE)</f>
        <v>0</v>
      </c>
      <c r="AW57" s="62">
        <f>$AO$57*VLOOKUP($AO$11,'PCU Values'!$B$9:$C$16,2,FALSE)</f>
        <v>0</v>
      </c>
      <c r="AX57" s="62">
        <f>$AP$57*VLOOKUP($AP$11,'PCU Values'!$B$9:$C$16,2,FALSE)</f>
        <v>0</v>
      </c>
      <c r="AY57" s="62">
        <f>$AQ$57*VLOOKUP($AQ$11,'PCU Values'!$B$9:$C$16,2,FALSE)</f>
        <v>0</v>
      </c>
      <c r="AZ57" s="62">
        <f>$AR$57*VLOOKUP($AR$11,'PCU Values'!$B$9:$C$16,2,FALSE)</f>
        <v>0</v>
      </c>
      <c r="BA57" s="62">
        <f>$AS$57*VLOOKUP($AS$11,'PCU Values'!$B$9:$C$16,2,FALSE)</f>
        <v>0</v>
      </c>
      <c r="BB57" s="70">
        <f>$AT$57*VLOOKUP($AT$11,'PCU Values'!$B$9:$C$16,2,FALSE)</f>
        <v>0</v>
      </c>
      <c r="BC57" s="71">
        <f>SUM($AU$57,$AV$57,$AW$57,$AX$57,$AY$57,$AZ$57,$BA$57,$BB$57)</f>
        <v>3</v>
      </c>
      <c r="BD57" s="52">
        <f>SUM($AM$57,$AN$57,$AO$57,$AP$57,$AQ$57,$AR$57,$AS$57,$AT$57)</f>
        <v>3</v>
      </c>
      <c r="BE57" s="72">
        <v>0</v>
      </c>
      <c r="BF57" s="54">
        <v>0</v>
      </c>
      <c r="BG57" s="54">
        <v>0</v>
      </c>
      <c r="BH57" s="54">
        <v>0</v>
      </c>
      <c r="BI57" s="54">
        <v>0</v>
      </c>
      <c r="BJ57" s="54">
        <v>0</v>
      </c>
      <c r="BK57" s="54">
        <v>0</v>
      </c>
      <c r="BL57" s="61">
        <v>0</v>
      </c>
      <c r="BM57" s="81">
        <f>$BE$57*VLOOKUP($BE$11,'PCU Values'!$B$9:$C$16,2,FALSE)</f>
        <v>0</v>
      </c>
      <c r="BN57" s="81">
        <f>$BF$57*VLOOKUP($BF$11,'PCU Values'!$B$9:$C$16,2,FALSE)</f>
        <v>0</v>
      </c>
      <c r="BO57" s="81">
        <f>$BG$57*VLOOKUP($BG$11,'PCU Values'!$B$9:$C$16,2,FALSE)</f>
        <v>0</v>
      </c>
      <c r="BP57" s="81">
        <f>$BH$57*VLOOKUP($BH$11,'PCU Values'!$B$9:$C$16,2,FALSE)</f>
        <v>0</v>
      </c>
      <c r="BQ57" s="81">
        <f>$BI$57*VLOOKUP($BI$11,'PCU Values'!$B$9:$C$16,2,FALSE)</f>
        <v>0</v>
      </c>
      <c r="BR57" s="81">
        <f>$BJ$57*VLOOKUP($BJ$11,'PCU Values'!$B$9:$C$16,2,FALSE)</f>
        <v>0</v>
      </c>
      <c r="BS57" s="81">
        <f>$BK$57*VLOOKUP($BK$11,'PCU Values'!$B$9:$C$16,2,FALSE)</f>
        <v>0</v>
      </c>
      <c r="BT57" s="82">
        <f>$BL$57*VLOOKUP($BL$11,'PCU Values'!$B$9:$C$16,2,FALSE)</f>
        <v>0</v>
      </c>
      <c r="BU57" s="71">
        <f>SUM($BM$57,$BN$57,$BO$57,$BP$57,$BQ$57,$BR$57,$BS$57,$BT$57)</f>
        <v>0</v>
      </c>
      <c r="BV57" s="52">
        <f>SUM($BE$57,$BF$57,$BG$57,$BH$57,$BI$57,$BJ$57,$BK$57,$BL$57)</f>
        <v>0</v>
      </c>
      <c r="BX57" s="53" t="s">
        <v>67</v>
      </c>
      <c r="BY57" s="85">
        <f>SUM($C$57,$U$57,$AM$57,$BE$57)</f>
        <v>10</v>
      </c>
      <c r="BZ57" s="85">
        <f>SUM($D$57,$V$57,$AN$57,$BF$57)</f>
        <v>1</v>
      </c>
      <c r="CA57" s="85">
        <f>SUM($E$57,$W$57,$AO$57,$BG$57)</f>
        <v>1</v>
      </c>
      <c r="CB57" s="85">
        <f>SUM($F$57,$X$57,$AP$57,$BH$57)</f>
        <v>0</v>
      </c>
      <c r="CC57" s="85">
        <f>SUM($G$57,$Y$57,$AQ$57,$BI$57)</f>
        <v>0</v>
      </c>
      <c r="CD57" s="85">
        <f>SUM($H$57,$Z$57,$AR$57,$BJ$57)</f>
        <v>10</v>
      </c>
      <c r="CE57" s="85">
        <f>SUM($I$57,$AA$57,$AS$57,$BK$57)</f>
        <v>0</v>
      </c>
      <c r="CF57" s="88">
        <f>SUM($J$57,$AB$57,$AT$57,$BL$57)</f>
        <v>0</v>
      </c>
      <c r="CG57" s="81">
        <f>$BY$57*VLOOKUP($BY$11,'PCU Values'!$B$9:$C$16,2,FALSE)</f>
        <v>10</v>
      </c>
      <c r="CH57" s="81">
        <f>$BZ$57*VLOOKUP($BZ$11,'PCU Values'!$B$9:$C$16,2,FALSE)</f>
        <v>1</v>
      </c>
      <c r="CI57" s="81">
        <f>$CA$57*VLOOKUP($CA$11,'PCU Values'!$B$9:$C$16,2,FALSE)</f>
        <v>1.5</v>
      </c>
      <c r="CJ57" s="81">
        <f>$CB$57*VLOOKUP($CB$11,'PCU Values'!$B$9:$C$16,2,FALSE)</f>
        <v>0</v>
      </c>
      <c r="CK57" s="81">
        <f>$CC$57*VLOOKUP($CC$11,'PCU Values'!$B$9:$C$16,2,FALSE)</f>
        <v>0</v>
      </c>
      <c r="CL57" s="81">
        <f>$CD$57*VLOOKUP($CD$11,'PCU Values'!$B$9:$C$16,2,FALSE)</f>
        <v>2</v>
      </c>
      <c r="CM57" s="81">
        <f>$CE$57*VLOOKUP($CE$11,'PCU Values'!$B$9:$C$16,2,FALSE)</f>
        <v>0</v>
      </c>
      <c r="CN57" s="82">
        <f>$CF$57*VLOOKUP($CF$11,'PCU Values'!$B$9:$C$16,2,FALSE)</f>
        <v>0</v>
      </c>
      <c r="CO57" s="71">
        <f>SUM($CG$57,$CH$57,$CI$57,$CJ$57,$CK$57,$CL$57,$CM$57,$CN$57)</f>
        <v>14.5</v>
      </c>
      <c r="CP57" s="52">
        <f>SUM($BY$57,$BZ$57,$CA$57,$CB$57,$CC$57,$CD$57,$CE$57,$CF$57)</f>
        <v>22</v>
      </c>
      <c r="CQ57" s="91">
        <f>SUM('J1 A - (North) Bishopthorpe Roa'!$AM$57,'J1 B - Butcher Terrace'!$U$57,'J1 C - (South) Bishopthorpe Roa'!$C$57,'J1 D - South Bank Avenue'!$BE$57)</f>
        <v>4</v>
      </c>
      <c r="CR57" s="85">
        <f>SUM('J1 A - (North) Bishopthorpe Roa'!$AN$57,'J1 B - Butcher Terrace'!$V$57,'J1 C - (South) Bishopthorpe Roa'!$D$57,'J1 D - South Bank Avenue'!$BF$57)</f>
        <v>2</v>
      </c>
      <c r="CS57" s="85">
        <f>SUM('J1 A - (North) Bishopthorpe Roa'!$AO$57,'J1 B - Butcher Terrace'!$W$57,'J1 C - (South) Bishopthorpe Roa'!$E$57,'J1 D - South Bank Avenue'!$BG$57)</f>
        <v>0</v>
      </c>
      <c r="CT57" s="85">
        <f>SUM('J1 A - (North) Bishopthorpe Roa'!$AP$57,'J1 B - Butcher Terrace'!$X$57,'J1 C - (South) Bishopthorpe Roa'!$F$57,'J1 D - South Bank Avenue'!$BH$57)</f>
        <v>0</v>
      </c>
      <c r="CU57" s="85">
        <f>SUM('J1 A - (North) Bishopthorpe Roa'!$AQ$57,'J1 B - Butcher Terrace'!$Y$57,'J1 C - (South) Bishopthorpe Roa'!$G$57,'J1 D - South Bank Avenue'!$BI$57)</f>
        <v>0</v>
      </c>
      <c r="CV57" s="85">
        <f>SUM('J1 A - (North) Bishopthorpe Roa'!$AR$57,'J1 B - Butcher Terrace'!$Z$57,'J1 C - (South) Bishopthorpe Roa'!$H$57,'J1 D - South Bank Avenue'!$BJ$57)</f>
        <v>1</v>
      </c>
      <c r="CW57" s="85">
        <f>SUM('J1 A - (North) Bishopthorpe Roa'!$AS$57,'J1 B - Butcher Terrace'!$AA$57,'J1 C - (South) Bishopthorpe Roa'!$I$57,'J1 D - South Bank Avenue'!$BK$57)</f>
        <v>0</v>
      </c>
      <c r="CX57" s="88">
        <f>SUM('J1 A - (North) Bishopthorpe Roa'!$AT$57,'J1 B - Butcher Terrace'!$AB$57,'J1 C - (South) Bishopthorpe Roa'!$J$57,'J1 D - South Bank Avenue'!$BL$57)</f>
        <v>0</v>
      </c>
      <c r="CY57" s="81">
        <f>$CQ$57*VLOOKUP($CQ$11,'PCU Values'!$B$9:$C$16,2,FALSE)</f>
        <v>4</v>
      </c>
      <c r="CZ57" s="81">
        <f>$CR$57*VLOOKUP($CR$11,'PCU Values'!$B$9:$C$16,2,FALSE)</f>
        <v>2</v>
      </c>
      <c r="DA57" s="81">
        <f>$CS$57*VLOOKUP($CS$11,'PCU Values'!$B$9:$C$16,2,FALSE)</f>
        <v>0</v>
      </c>
      <c r="DB57" s="81">
        <f>$CT$57*VLOOKUP($CT$11,'PCU Values'!$B$9:$C$16,2,FALSE)</f>
        <v>0</v>
      </c>
      <c r="DC57" s="81">
        <f>$CU$57*VLOOKUP($CU$11,'PCU Values'!$B$9:$C$16,2,FALSE)</f>
        <v>0</v>
      </c>
      <c r="DD57" s="81">
        <f>$CV$57*VLOOKUP($CV$11,'PCU Values'!$B$9:$C$16,2,FALSE)</f>
        <v>0.2</v>
      </c>
      <c r="DE57" s="81">
        <f>$CW$57*VLOOKUP($CW$11,'PCU Values'!$B$9:$C$16,2,FALSE)</f>
        <v>0</v>
      </c>
      <c r="DF57" s="82">
        <f>$CX$57*VLOOKUP($CX$11,'PCU Values'!$B$9:$C$16,2,FALSE)</f>
        <v>0</v>
      </c>
      <c r="DG57" s="71">
        <f>SUM($CY$57,$CZ$57,$DA$57,$DB$57,$DC$57,$DD$57,$DE$57,$DF$57)</f>
        <v>6.2</v>
      </c>
      <c r="DH57" s="52">
        <f>SUM($CQ$57,$CR$57,$CS$57,$CT$57,$CU$57,$CV$57,$CW$57,$CX$57)</f>
        <v>7</v>
      </c>
    </row>
    <row r="58" spans="1:112" ht="21" customHeight="1">
      <c r="A58" s="46">
        <v>44395.385416666701</v>
      </c>
      <c r="B58" s="47" t="s">
        <v>68</v>
      </c>
      <c r="C58" s="48">
        <v>7</v>
      </c>
      <c r="D58" s="48">
        <v>1</v>
      </c>
      <c r="E58" s="48">
        <v>0</v>
      </c>
      <c r="F58" s="48">
        <v>0</v>
      </c>
      <c r="G58" s="48">
        <v>0</v>
      </c>
      <c r="H58" s="48">
        <v>2</v>
      </c>
      <c r="I58" s="48">
        <v>0</v>
      </c>
      <c r="J58" s="56">
        <v>0</v>
      </c>
      <c r="K58" s="57">
        <f>$C$58*VLOOKUP($C$11,'PCU Values'!$B$9:$C$16,2,FALSE)</f>
        <v>7</v>
      </c>
      <c r="L58" s="57">
        <f>$D$58*VLOOKUP($D$11,'PCU Values'!$B$9:$C$16,2,FALSE)</f>
        <v>1</v>
      </c>
      <c r="M58" s="57">
        <f>$E$58*VLOOKUP($E$11,'PCU Values'!$B$9:$C$16,2,FALSE)</f>
        <v>0</v>
      </c>
      <c r="N58" s="57">
        <f>$F$58*VLOOKUP($F$11,'PCU Values'!$B$9:$C$16,2,FALSE)</f>
        <v>0</v>
      </c>
      <c r="O58" s="57">
        <f>$G$58*VLOOKUP($G$11,'PCU Values'!$B$9:$C$16,2,FALSE)</f>
        <v>0</v>
      </c>
      <c r="P58" s="57">
        <f>$H$58*VLOOKUP($H$11,'PCU Values'!$B$9:$C$16,2,FALSE)</f>
        <v>0.4</v>
      </c>
      <c r="Q58" s="57">
        <f>$I$58*VLOOKUP($I$11,'PCU Values'!$B$9:$C$16,2,FALSE)</f>
        <v>0</v>
      </c>
      <c r="R58" s="65">
        <f>$J$58*VLOOKUP($J$11,'PCU Values'!$B$9:$C$16,2,FALSE)</f>
        <v>0</v>
      </c>
      <c r="S58" s="66">
        <f>SUM($K$58,$L$58,$M$58,$N$58,$O$58,$P$58,$Q$58,$R$58)</f>
        <v>8.4</v>
      </c>
      <c r="T58" s="52">
        <f>SUM($C$58,$D$58,$E$58,$F$58,$G$58,$H$58,$I$58,$J$58)</f>
        <v>10</v>
      </c>
      <c r="U58" s="67">
        <v>0</v>
      </c>
      <c r="V58" s="48">
        <v>0</v>
      </c>
      <c r="W58" s="48">
        <v>0</v>
      </c>
      <c r="X58" s="48">
        <v>0</v>
      </c>
      <c r="Y58" s="48">
        <v>0</v>
      </c>
      <c r="Z58" s="48">
        <v>7</v>
      </c>
      <c r="AA58" s="48">
        <v>0</v>
      </c>
      <c r="AB58" s="56">
        <v>0</v>
      </c>
      <c r="AC58" s="57">
        <f>$U$58*VLOOKUP($U$11,'PCU Values'!$B$9:$C$16,2,FALSE)</f>
        <v>0</v>
      </c>
      <c r="AD58" s="57">
        <f>$V$58*VLOOKUP($V$11,'PCU Values'!$B$9:$C$16,2,FALSE)</f>
        <v>0</v>
      </c>
      <c r="AE58" s="57">
        <f>$W$58*VLOOKUP($W$11,'PCU Values'!$B$9:$C$16,2,FALSE)</f>
        <v>0</v>
      </c>
      <c r="AF58" s="57">
        <f>$X$58*VLOOKUP($X$11,'PCU Values'!$B$9:$C$16,2,FALSE)</f>
        <v>0</v>
      </c>
      <c r="AG58" s="57">
        <f>$Y$58*VLOOKUP($Y$11,'PCU Values'!$B$9:$C$16,2,FALSE)</f>
        <v>0</v>
      </c>
      <c r="AH58" s="57">
        <f>$Z$58*VLOOKUP($Z$11,'PCU Values'!$B$9:$C$16,2,FALSE)</f>
        <v>1.4</v>
      </c>
      <c r="AI58" s="57">
        <f>$AA$58*VLOOKUP($AA$11,'PCU Values'!$B$9:$C$16,2,FALSE)</f>
        <v>0</v>
      </c>
      <c r="AJ58" s="65">
        <f>$AB$58*VLOOKUP($AB$11,'PCU Values'!$B$9:$C$16,2,FALSE)</f>
        <v>0</v>
      </c>
      <c r="AK58" s="66">
        <f>SUM($AC$58,$AD$58,$AE$58,$AF$58,$AG$58,$AH$58,$AI$58,$AJ$58)</f>
        <v>1.4</v>
      </c>
      <c r="AL58" s="52">
        <f>SUM($U$58,$V$58,$W$58,$X$58,$Y$58,$Z$58,$AA$58,$AB$58)</f>
        <v>7</v>
      </c>
      <c r="AM58" s="67">
        <v>1</v>
      </c>
      <c r="AN58" s="48">
        <v>0</v>
      </c>
      <c r="AO58" s="48">
        <v>0</v>
      </c>
      <c r="AP58" s="48">
        <v>0</v>
      </c>
      <c r="AQ58" s="48">
        <v>0</v>
      </c>
      <c r="AR58" s="48">
        <v>0</v>
      </c>
      <c r="AS58" s="48">
        <v>0</v>
      </c>
      <c r="AT58" s="56">
        <v>0</v>
      </c>
      <c r="AU58" s="57">
        <f>$AM$58*VLOOKUP($AM$11,'PCU Values'!$B$9:$C$16,2,FALSE)</f>
        <v>1</v>
      </c>
      <c r="AV58" s="57">
        <f>$AN$58*VLOOKUP($AN$11,'PCU Values'!$B$9:$C$16,2,FALSE)</f>
        <v>0</v>
      </c>
      <c r="AW58" s="57">
        <f>$AO$58*VLOOKUP($AO$11,'PCU Values'!$B$9:$C$16,2,FALSE)</f>
        <v>0</v>
      </c>
      <c r="AX58" s="57">
        <f>$AP$58*VLOOKUP($AP$11,'PCU Values'!$B$9:$C$16,2,FALSE)</f>
        <v>0</v>
      </c>
      <c r="AY58" s="57">
        <f>$AQ$58*VLOOKUP($AQ$11,'PCU Values'!$B$9:$C$16,2,FALSE)</f>
        <v>0</v>
      </c>
      <c r="AZ58" s="57">
        <f>$AR$58*VLOOKUP($AR$11,'PCU Values'!$B$9:$C$16,2,FALSE)</f>
        <v>0</v>
      </c>
      <c r="BA58" s="57">
        <f>$AS$58*VLOOKUP($AS$11,'PCU Values'!$B$9:$C$16,2,FALSE)</f>
        <v>0</v>
      </c>
      <c r="BB58" s="65">
        <f>$AT$58*VLOOKUP($AT$11,'PCU Values'!$B$9:$C$16,2,FALSE)</f>
        <v>0</v>
      </c>
      <c r="BC58" s="66">
        <f>SUM($AU$58,$AV$58,$AW$58,$AX$58,$AY$58,$AZ$58,$BA$58,$BB$58)</f>
        <v>1</v>
      </c>
      <c r="BD58" s="52">
        <f>SUM($AM$58,$AN$58,$AO$58,$AP$58,$AQ$58,$AR$58,$AS$58,$AT$58)</f>
        <v>1</v>
      </c>
      <c r="BE58" s="67">
        <v>0</v>
      </c>
      <c r="BF58" s="48">
        <v>0</v>
      </c>
      <c r="BG58" s="48">
        <v>0</v>
      </c>
      <c r="BH58" s="48">
        <v>0</v>
      </c>
      <c r="BI58" s="48">
        <v>0</v>
      </c>
      <c r="BJ58" s="48">
        <v>0</v>
      </c>
      <c r="BK58" s="48">
        <v>0</v>
      </c>
      <c r="BL58" s="56">
        <v>0</v>
      </c>
      <c r="BM58" s="77">
        <f>$BE$58*VLOOKUP($BE$11,'PCU Values'!$B$9:$C$16,2,FALSE)</f>
        <v>0</v>
      </c>
      <c r="BN58" s="77">
        <f>$BF$58*VLOOKUP($BF$11,'PCU Values'!$B$9:$C$16,2,FALSE)</f>
        <v>0</v>
      </c>
      <c r="BO58" s="77">
        <f>$BG$58*VLOOKUP($BG$11,'PCU Values'!$B$9:$C$16,2,FALSE)</f>
        <v>0</v>
      </c>
      <c r="BP58" s="77">
        <f>$BH$58*VLOOKUP($BH$11,'PCU Values'!$B$9:$C$16,2,FALSE)</f>
        <v>0</v>
      </c>
      <c r="BQ58" s="77">
        <f>$BI$58*VLOOKUP($BI$11,'PCU Values'!$B$9:$C$16,2,FALSE)</f>
        <v>0</v>
      </c>
      <c r="BR58" s="77">
        <f>$BJ$58*VLOOKUP($BJ$11,'PCU Values'!$B$9:$C$16,2,FALSE)</f>
        <v>0</v>
      </c>
      <c r="BS58" s="77">
        <f>$BK$58*VLOOKUP($BK$11,'PCU Values'!$B$9:$C$16,2,FALSE)</f>
        <v>0</v>
      </c>
      <c r="BT58" s="78">
        <f>$BL$58*VLOOKUP($BL$11,'PCU Values'!$B$9:$C$16,2,FALSE)</f>
        <v>0</v>
      </c>
      <c r="BU58" s="66">
        <f>SUM($BM$58,$BN$58,$BO$58,$BP$58,$BQ$58,$BR$58,$BS$58,$BT$58)</f>
        <v>0</v>
      </c>
      <c r="BV58" s="52">
        <f>SUM($BE$58,$BF$58,$BG$58,$BH$58,$BI$58,$BJ$58,$BK$58,$BL$58)</f>
        <v>0</v>
      </c>
      <c r="BX58" s="47" t="s">
        <v>68</v>
      </c>
      <c r="BY58" s="83">
        <f>SUM($C$58,$U$58,$AM$58,$BE$58)</f>
        <v>8</v>
      </c>
      <c r="BZ58" s="83">
        <f>SUM($D$58,$V$58,$AN$58,$BF$58)</f>
        <v>1</v>
      </c>
      <c r="CA58" s="83">
        <f>SUM($E$58,$W$58,$AO$58,$BG$58)</f>
        <v>0</v>
      </c>
      <c r="CB58" s="83">
        <f>SUM($F$58,$X$58,$AP$58,$BH$58)</f>
        <v>0</v>
      </c>
      <c r="CC58" s="83">
        <f>SUM($G$58,$Y$58,$AQ$58,$BI$58)</f>
        <v>0</v>
      </c>
      <c r="CD58" s="83">
        <f>SUM($H$58,$Z$58,$AR$58,$BJ$58)</f>
        <v>9</v>
      </c>
      <c r="CE58" s="83">
        <f>SUM($I$58,$AA$58,$AS$58,$BK$58)</f>
        <v>0</v>
      </c>
      <c r="CF58" s="86">
        <f>SUM($J$58,$AB$58,$AT$58,$BL$58)</f>
        <v>0</v>
      </c>
      <c r="CG58" s="77">
        <f>$BY$58*VLOOKUP($BY$11,'PCU Values'!$B$9:$C$16,2,FALSE)</f>
        <v>8</v>
      </c>
      <c r="CH58" s="77">
        <f>$BZ$58*VLOOKUP($BZ$11,'PCU Values'!$B$9:$C$16,2,FALSE)</f>
        <v>1</v>
      </c>
      <c r="CI58" s="77">
        <f>$CA$58*VLOOKUP($CA$11,'PCU Values'!$B$9:$C$16,2,FALSE)</f>
        <v>0</v>
      </c>
      <c r="CJ58" s="77">
        <f>$CB$58*VLOOKUP($CB$11,'PCU Values'!$B$9:$C$16,2,FALSE)</f>
        <v>0</v>
      </c>
      <c r="CK58" s="77">
        <f>$CC$58*VLOOKUP($CC$11,'PCU Values'!$B$9:$C$16,2,FALSE)</f>
        <v>0</v>
      </c>
      <c r="CL58" s="77">
        <f>$CD$58*VLOOKUP($CD$11,'PCU Values'!$B$9:$C$16,2,FALSE)</f>
        <v>1.8</v>
      </c>
      <c r="CM58" s="77">
        <f>$CE$58*VLOOKUP($CE$11,'PCU Values'!$B$9:$C$16,2,FALSE)</f>
        <v>0</v>
      </c>
      <c r="CN58" s="78">
        <f>$CF$58*VLOOKUP($CF$11,'PCU Values'!$B$9:$C$16,2,FALSE)</f>
        <v>0</v>
      </c>
      <c r="CO58" s="66">
        <f>SUM($CG$58,$CH$58,$CI$58,$CJ$58,$CK$58,$CL$58,$CM$58,$CN$58)</f>
        <v>10.8</v>
      </c>
      <c r="CP58" s="52">
        <f>SUM($BY$58,$BZ$58,$CA$58,$CB$58,$CC$58,$CD$58,$CE$58,$CF$58)</f>
        <v>18</v>
      </c>
      <c r="CQ58" s="89">
        <f>SUM('J1 A - (North) Bishopthorpe Roa'!$AM$58,'J1 B - Butcher Terrace'!$U$58,'J1 C - (South) Bishopthorpe Roa'!$C$58,'J1 D - South Bank Avenue'!$BE$58)</f>
        <v>4</v>
      </c>
      <c r="CR58" s="83">
        <f>SUM('J1 A - (North) Bishopthorpe Roa'!$AN$58,'J1 B - Butcher Terrace'!$V$58,'J1 C - (South) Bishopthorpe Roa'!$D$58,'J1 D - South Bank Avenue'!$BF$58)</f>
        <v>1</v>
      </c>
      <c r="CS58" s="83">
        <f>SUM('J1 A - (North) Bishopthorpe Roa'!$AO$58,'J1 B - Butcher Terrace'!$W$58,'J1 C - (South) Bishopthorpe Roa'!$E$58,'J1 D - South Bank Avenue'!$BG$58)</f>
        <v>0</v>
      </c>
      <c r="CT58" s="83">
        <f>SUM('J1 A - (North) Bishopthorpe Roa'!$AP$58,'J1 B - Butcher Terrace'!$X$58,'J1 C - (South) Bishopthorpe Roa'!$F$58,'J1 D - South Bank Avenue'!$BH$58)</f>
        <v>0</v>
      </c>
      <c r="CU58" s="83">
        <f>SUM('J1 A - (North) Bishopthorpe Roa'!$AQ$58,'J1 B - Butcher Terrace'!$Y$58,'J1 C - (South) Bishopthorpe Roa'!$G$58,'J1 D - South Bank Avenue'!$BI$58)</f>
        <v>0</v>
      </c>
      <c r="CV58" s="83">
        <f>SUM('J1 A - (North) Bishopthorpe Roa'!$AR$58,'J1 B - Butcher Terrace'!$Z$58,'J1 C - (South) Bishopthorpe Roa'!$H$58,'J1 D - South Bank Avenue'!$BJ$58)</f>
        <v>3</v>
      </c>
      <c r="CW58" s="83">
        <f>SUM('J1 A - (North) Bishopthorpe Roa'!$AS$58,'J1 B - Butcher Terrace'!$AA$58,'J1 C - (South) Bishopthorpe Roa'!$I$58,'J1 D - South Bank Avenue'!$BK$58)</f>
        <v>0</v>
      </c>
      <c r="CX58" s="86">
        <f>SUM('J1 A - (North) Bishopthorpe Roa'!$AT$58,'J1 B - Butcher Terrace'!$AB$58,'J1 C - (South) Bishopthorpe Roa'!$J$58,'J1 D - South Bank Avenue'!$BL$58)</f>
        <v>0</v>
      </c>
      <c r="CY58" s="77">
        <f>$CQ$58*VLOOKUP($CQ$11,'PCU Values'!$B$9:$C$16,2,FALSE)</f>
        <v>4</v>
      </c>
      <c r="CZ58" s="77">
        <f>$CR$58*VLOOKUP($CR$11,'PCU Values'!$B$9:$C$16,2,FALSE)</f>
        <v>1</v>
      </c>
      <c r="DA58" s="77">
        <f>$CS$58*VLOOKUP($CS$11,'PCU Values'!$B$9:$C$16,2,FALSE)</f>
        <v>0</v>
      </c>
      <c r="DB58" s="77">
        <f>$CT$58*VLOOKUP($CT$11,'PCU Values'!$B$9:$C$16,2,FALSE)</f>
        <v>0</v>
      </c>
      <c r="DC58" s="77">
        <f>$CU$58*VLOOKUP($CU$11,'PCU Values'!$B$9:$C$16,2,FALSE)</f>
        <v>0</v>
      </c>
      <c r="DD58" s="77">
        <f>$CV$58*VLOOKUP($CV$11,'PCU Values'!$B$9:$C$16,2,FALSE)</f>
        <v>0.6</v>
      </c>
      <c r="DE58" s="77">
        <f>$CW$58*VLOOKUP($CW$11,'PCU Values'!$B$9:$C$16,2,FALSE)</f>
        <v>0</v>
      </c>
      <c r="DF58" s="78">
        <f>$CX$58*VLOOKUP($CX$11,'PCU Values'!$B$9:$C$16,2,FALSE)</f>
        <v>0</v>
      </c>
      <c r="DG58" s="66">
        <f>SUM($CY$58,$CZ$58,$DA$58,$DB$58,$DC$58,$DD$58,$DE$58,$DF$58)</f>
        <v>5.6</v>
      </c>
      <c r="DH58" s="52">
        <f>SUM($CQ$58,$CR$58,$CS$58,$CT$58,$CU$58,$CV$58,$CW$58,$CX$58)</f>
        <v>8</v>
      </c>
    </row>
    <row r="59" spans="1:112" ht="21" customHeight="1">
      <c r="A59" s="46">
        <v>44395.395833333299</v>
      </c>
      <c r="B59" s="47" t="s">
        <v>69</v>
      </c>
      <c r="C59" s="49">
        <v>9</v>
      </c>
      <c r="D59" s="49">
        <v>1</v>
      </c>
      <c r="E59" s="49">
        <v>0</v>
      </c>
      <c r="F59" s="49">
        <v>0</v>
      </c>
      <c r="G59" s="49">
        <v>0</v>
      </c>
      <c r="H59" s="49">
        <v>0</v>
      </c>
      <c r="I59" s="49">
        <v>0</v>
      </c>
      <c r="J59" s="58">
        <v>0</v>
      </c>
      <c r="K59" s="57">
        <f>$C$59*VLOOKUP($C$11,'PCU Values'!$B$9:$C$16,2,FALSE)</f>
        <v>9</v>
      </c>
      <c r="L59" s="57">
        <f>$D$59*VLOOKUP($D$11,'PCU Values'!$B$9:$C$16,2,FALSE)</f>
        <v>1</v>
      </c>
      <c r="M59" s="57">
        <f>$E$59*VLOOKUP($E$11,'PCU Values'!$B$9:$C$16,2,FALSE)</f>
        <v>0</v>
      </c>
      <c r="N59" s="57">
        <f>$F$59*VLOOKUP($F$11,'PCU Values'!$B$9:$C$16,2,FALSE)</f>
        <v>0</v>
      </c>
      <c r="O59" s="57">
        <f>$G$59*VLOOKUP($G$11,'PCU Values'!$B$9:$C$16,2,FALSE)</f>
        <v>0</v>
      </c>
      <c r="P59" s="57">
        <f>$H$59*VLOOKUP($H$11,'PCU Values'!$B$9:$C$16,2,FALSE)</f>
        <v>0</v>
      </c>
      <c r="Q59" s="57">
        <f>$I$59*VLOOKUP($I$11,'PCU Values'!$B$9:$C$16,2,FALSE)</f>
        <v>0</v>
      </c>
      <c r="R59" s="65">
        <f>$J$59*VLOOKUP($J$11,'PCU Values'!$B$9:$C$16,2,FALSE)</f>
        <v>0</v>
      </c>
      <c r="S59" s="66">
        <f>SUM($K$59,$L$59,$M$59,$N$59,$O$59,$P$59,$Q$59,$R$59)</f>
        <v>10</v>
      </c>
      <c r="T59" s="52">
        <f>SUM($C$59,$D$59,$E$59,$F$59,$G$59,$H$59,$I$59,$J$59)</f>
        <v>10</v>
      </c>
      <c r="U59" s="49">
        <v>0</v>
      </c>
      <c r="V59" s="49">
        <v>0</v>
      </c>
      <c r="W59" s="49">
        <v>0</v>
      </c>
      <c r="X59" s="49">
        <v>0</v>
      </c>
      <c r="Y59" s="49">
        <v>0</v>
      </c>
      <c r="Z59" s="49">
        <v>2</v>
      </c>
      <c r="AA59" s="49">
        <v>0</v>
      </c>
      <c r="AB59" s="58">
        <v>0</v>
      </c>
      <c r="AC59" s="57">
        <f>$U$59*VLOOKUP($U$11,'PCU Values'!$B$9:$C$16,2,FALSE)</f>
        <v>0</v>
      </c>
      <c r="AD59" s="57">
        <f>$V$59*VLOOKUP($V$11,'PCU Values'!$B$9:$C$16,2,FALSE)</f>
        <v>0</v>
      </c>
      <c r="AE59" s="57">
        <f>$W$59*VLOOKUP($W$11,'PCU Values'!$B$9:$C$16,2,FALSE)</f>
        <v>0</v>
      </c>
      <c r="AF59" s="57">
        <f>$X$59*VLOOKUP($X$11,'PCU Values'!$B$9:$C$16,2,FALSE)</f>
        <v>0</v>
      </c>
      <c r="AG59" s="57">
        <f>$Y$59*VLOOKUP($Y$11,'PCU Values'!$B$9:$C$16,2,FALSE)</f>
        <v>0</v>
      </c>
      <c r="AH59" s="57">
        <f>$Z$59*VLOOKUP($Z$11,'PCU Values'!$B$9:$C$16,2,FALSE)</f>
        <v>0.4</v>
      </c>
      <c r="AI59" s="57">
        <f>$AA$59*VLOOKUP($AA$11,'PCU Values'!$B$9:$C$16,2,FALSE)</f>
        <v>0</v>
      </c>
      <c r="AJ59" s="65">
        <f>$AB$59*VLOOKUP($AB$11,'PCU Values'!$B$9:$C$16,2,FALSE)</f>
        <v>0</v>
      </c>
      <c r="AK59" s="66">
        <f>SUM($AC$59,$AD$59,$AE$59,$AF$59,$AG$59,$AH$59,$AI$59,$AJ$59)</f>
        <v>0.4</v>
      </c>
      <c r="AL59" s="52">
        <f>SUM($U$59,$V$59,$W$59,$X$59,$Y$59,$Z$59,$AA$59,$AB$59)</f>
        <v>2</v>
      </c>
      <c r="AM59" s="49">
        <v>0</v>
      </c>
      <c r="AN59" s="49">
        <v>4</v>
      </c>
      <c r="AO59" s="49">
        <v>0</v>
      </c>
      <c r="AP59" s="49">
        <v>0</v>
      </c>
      <c r="AQ59" s="49">
        <v>0</v>
      </c>
      <c r="AR59" s="49">
        <v>0</v>
      </c>
      <c r="AS59" s="49">
        <v>0</v>
      </c>
      <c r="AT59" s="58">
        <v>0</v>
      </c>
      <c r="AU59" s="57">
        <f>$AM$59*VLOOKUP($AM$11,'PCU Values'!$B$9:$C$16,2,FALSE)</f>
        <v>0</v>
      </c>
      <c r="AV59" s="57">
        <f>$AN$59*VLOOKUP($AN$11,'PCU Values'!$B$9:$C$16,2,FALSE)</f>
        <v>4</v>
      </c>
      <c r="AW59" s="57">
        <f>$AO$59*VLOOKUP($AO$11,'PCU Values'!$B$9:$C$16,2,FALSE)</f>
        <v>0</v>
      </c>
      <c r="AX59" s="57">
        <f>$AP$59*VLOOKUP($AP$11,'PCU Values'!$B$9:$C$16,2,FALSE)</f>
        <v>0</v>
      </c>
      <c r="AY59" s="57">
        <f>$AQ$59*VLOOKUP($AQ$11,'PCU Values'!$B$9:$C$16,2,FALSE)</f>
        <v>0</v>
      </c>
      <c r="AZ59" s="57">
        <f>$AR$59*VLOOKUP($AR$11,'PCU Values'!$B$9:$C$16,2,FALSE)</f>
        <v>0</v>
      </c>
      <c r="BA59" s="57">
        <f>$AS$59*VLOOKUP($AS$11,'PCU Values'!$B$9:$C$16,2,FALSE)</f>
        <v>0</v>
      </c>
      <c r="BB59" s="65">
        <f>$AT$59*VLOOKUP($AT$11,'PCU Values'!$B$9:$C$16,2,FALSE)</f>
        <v>0</v>
      </c>
      <c r="BC59" s="66">
        <f>SUM($AU$59,$AV$59,$AW$59,$AX$59,$AY$59,$AZ$59,$BA$59,$BB$59)</f>
        <v>4</v>
      </c>
      <c r="BD59" s="52">
        <f>SUM($AM$59,$AN$59,$AO$59,$AP$59,$AQ$59,$AR$59,$AS$59,$AT$59)</f>
        <v>4</v>
      </c>
      <c r="BE59" s="49">
        <v>0</v>
      </c>
      <c r="BF59" s="49">
        <v>0</v>
      </c>
      <c r="BG59" s="49">
        <v>0</v>
      </c>
      <c r="BH59" s="49">
        <v>0</v>
      </c>
      <c r="BI59" s="49">
        <v>0</v>
      </c>
      <c r="BJ59" s="49">
        <v>0</v>
      </c>
      <c r="BK59" s="49">
        <v>0</v>
      </c>
      <c r="BL59" s="58">
        <v>0</v>
      </c>
      <c r="BM59" s="77">
        <f>$BE$59*VLOOKUP($BE$11,'PCU Values'!$B$9:$C$16,2,FALSE)</f>
        <v>0</v>
      </c>
      <c r="BN59" s="77">
        <f>$BF$59*VLOOKUP($BF$11,'PCU Values'!$B$9:$C$16,2,FALSE)</f>
        <v>0</v>
      </c>
      <c r="BO59" s="77">
        <f>$BG$59*VLOOKUP($BG$11,'PCU Values'!$B$9:$C$16,2,FALSE)</f>
        <v>0</v>
      </c>
      <c r="BP59" s="77">
        <f>$BH$59*VLOOKUP($BH$11,'PCU Values'!$B$9:$C$16,2,FALSE)</f>
        <v>0</v>
      </c>
      <c r="BQ59" s="77">
        <f>$BI$59*VLOOKUP($BI$11,'PCU Values'!$B$9:$C$16,2,FALSE)</f>
        <v>0</v>
      </c>
      <c r="BR59" s="77">
        <f>$BJ$59*VLOOKUP($BJ$11,'PCU Values'!$B$9:$C$16,2,FALSE)</f>
        <v>0</v>
      </c>
      <c r="BS59" s="77">
        <f>$BK$59*VLOOKUP($BK$11,'PCU Values'!$B$9:$C$16,2,FALSE)</f>
        <v>0</v>
      </c>
      <c r="BT59" s="78">
        <f>$BL$59*VLOOKUP($BL$11,'PCU Values'!$B$9:$C$16,2,FALSE)</f>
        <v>0</v>
      </c>
      <c r="BU59" s="66">
        <f>SUM($BM$59,$BN$59,$BO$59,$BP$59,$BQ$59,$BR$59,$BS$59,$BT$59)</f>
        <v>0</v>
      </c>
      <c r="BV59" s="52">
        <f>SUM($BE$59,$BF$59,$BG$59,$BH$59,$BI$59,$BJ$59,$BK$59,$BL$59)</f>
        <v>0</v>
      </c>
      <c r="BX59" s="47" t="s">
        <v>69</v>
      </c>
      <c r="BY59" s="83">
        <f>SUM($C$59,$U$59,$AM$59,$BE$59)</f>
        <v>9</v>
      </c>
      <c r="BZ59" s="83">
        <f>SUM($D$59,$V$59,$AN$59,$BF$59)</f>
        <v>5</v>
      </c>
      <c r="CA59" s="83">
        <f>SUM($E$59,$W$59,$AO$59,$BG$59)</f>
        <v>0</v>
      </c>
      <c r="CB59" s="83">
        <f>SUM($F$59,$X$59,$AP$59,$BH$59)</f>
        <v>0</v>
      </c>
      <c r="CC59" s="83">
        <f>SUM($G$59,$Y$59,$AQ$59,$BI$59)</f>
        <v>0</v>
      </c>
      <c r="CD59" s="83">
        <f>SUM($H$59,$Z$59,$AR$59,$BJ$59)</f>
        <v>2</v>
      </c>
      <c r="CE59" s="83">
        <f>SUM($I$59,$AA$59,$AS$59,$BK$59)</f>
        <v>0</v>
      </c>
      <c r="CF59" s="86">
        <f>SUM($J$59,$AB$59,$AT$59,$BL$59)</f>
        <v>0</v>
      </c>
      <c r="CG59" s="77">
        <f>$BY$59*VLOOKUP($BY$11,'PCU Values'!$B$9:$C$16,2,FALSE)</f>
        <v>9</v>
      </c>
      <c r="CH59" s="77">
        <f>$BZ$59*VLOOKUP($BZ$11,'PCU Values'!$B$9:$C$16,2,FALSE)</f>
        <v>5</v>
      </c>
      <c r="CI59" s="77">
        <f>$CA$59*VLOOKUP($CA$11,'PCU Values'!$B$9:$C$16,2,FALSE)</f>
        <v>0</v>
      </c>
      <c r="CJ59" s="77">
        <f>$CB$59*VLOOKUP($CB$11,'PCU Values'!$B$9:$C$16,2,FALSE)</f>
        <v>0</v>
      </c>
      <c r="CK59" s="77">
        <f>$CC$59*VLOOKUP($CC$11,'PCU Values'!$B$9:$C$16,2,FALSE)</f>
        <v>0</v>
      </c>
      <c r="CL59" s="77">
        <f>$CD$59*VLOOKUP($CD$11,'PCU Values'!$B$9:$C$16,2,FALSE)</f>
        <v>0.4</v>
      </c>
      <c r="CM59" s="77">
        <f>$CE$59*VLOOKUP($CE$11,'PCU Values'!$B$9:$C$16,2,FALSE)</f>
        <v>0</v>
      </c>
      <c r="CN59" s="78">
        <f>$CF$59*VLOOKUP($CF$11,'PCU Values'!$B$9:$C$16,2,FALSE)</f>
        <v>0</v>
      </c>
      <c r="CO59" s="66">
        <f>SUM($CG$59,$CH$59,$CI$59,$CJ$59,$CK$59,$CL$59,$CM$59,$CN$59)</f>
        <v>14.4</v>
      </c>
      <c r="CP59" s="52">
        <f>SUM($BY$59,$BZ$59,$CA$59,$CB$59,$CC$59,$CD$59,$CE$59,$CF$59)</f>
        <v>16</v>
      </c>
      <c r="CQ59" s="89">
        <f>SUM('J1 A - (North) Bishopthorpe Roa'!$AM$59,'J1 B - Butcher Terrace'!$U$59,'J1 C - (South) Bishopthorpe Roa'!$C$59,'J1 D - South Bank Avenue'!$BE$59)</f>
        <v>6</v>
      </c>
      <c r="CR59" s="83">
        <f>SUM('J1 A - (North) Bishopthorpe Roa'!$AN$59,'J1 B - Butcher Terrace'!$V$59,'J1 C - (South) Bishopthorpe Roa'!$D$59,'J1 D - South Bank Avenue'!$BF$59)</f>
        <v>0</v>
      </c>
      <c r="CS59" s="83">
        <f>SUM('J1 A - (North) Bishopthorpe Roa'!$AO$59,'J1 B - Butcher Terrace'!$W$59,'J1 C - (South) Bishopthorpe Roa'!$E$59,'J1 D - South Bank Avenue'!$BG$59)</f>
        <v>0</v>
      </c>
      <c r="CT59" s="83">
        <f>SUM('J1 A - (North) Bishopthorpe Roa'!$AP$59,'J1 B - Butcher Terrace'!$X$59,'J1 C - (South) Bishopthorpe Roa'!$F$59,'J1 D - South Bank Avenue'!$BH$59)</f>
        <v>0</v>
      </c>
      <c r="CU59" s="83">
        <f>SUM('J1 A - (North) Bishopthorpe Roa'!$AQ$59,'J1 B - Butcher Terrace'!$Y$59,'J1 C - (South) Bishopthorpe Roa'!$G$59,'J1 D - South Bank Avenue'!$BI$59)</f>
        <v>0</v>
      </c>
      <c r="CV59" s="83">
        <f>SUM('J1 A - (North) Bishopthorpe Roa'!$AR$59,'J1 B - Butcher Terrace'!$Z$59,'J1 C - (South) Bishopthorpe Roa'!$H$59,'J1 D - South Bank Avenue'!$BJ$59)</f>
        <v>1</v>
      </c>
      <c r="CW59" s="83">
        <f>SUM('J1 A - (North) Bishopthorpe Roa'!$AS$59,'J1 B - Butcher Terrace'!$AA$59,'J1 C - (South) Bishopthorpe Roa'!$I$59,'J1 D - South Bank Avenue'!$BK$59)</f>
        <v>0</v>
      </c>
      <c r="CX59" s="86">
        <f>SUM('J1 A - (North) Bishopthorpe Roa'!$AT$59,'J1 B - Butcher Terrace'!$AB$59,'J1 C - (South) Bishopthorpe Roa'!$J$59,'J1 D - South Bank Avenue'!$BL$59)</f>
        <v>0</v>
      </c>
      <c r="CY59" s="77">
        <f>$CQ$59*VLOOKUP($CQ$11,'PCU Values'!$B$9:$C$16,2,FALSE)</f>
        <v>6</v>
      </c>
      <c r="CZ59" s="77">
        <f>$CR$59*VLOOKUP($CR$11,'PCU Values'!$B$9:$C$16,2,FALSE)</f>
        <v>0</v>
      </c>
      <c r="DA59" s="77">
        <f>$CS$59*VLOOKUP($CS$11,'PCU Values'!$B$9:$C$16,2,FALSE)</f>
        <v>0</v>
      </c>
      <c r="DB59" s="77">
        <f>$CT$59*VLOOKUP($CT$11,'PCU Values'!$B$9:$C$16,2,FALSE)</f>
        <v>0</v>
      </c>
      <c r="DC59" s="77">
        <f>$CU$59*VLOOKUP($CU$11,'PCU Values'!$B$9:$C$16,2,FALSE)</f>
        <v>0</v>
      </c>
      <c r="DD59" s="77">
        <f>$CV$59*VLOOKUP($CV$11,'PCU Values'!$B$9:$C$16,2,FALSE)</f>
        <v>0.2</v>
      </c>
      <c r="DE59" s="77">
        <f>$CW$59*VLOOKUP($CW$11,'PCU Values'!$B$9:$C$16,2,FALSE)</f>
        <v>0</v>
      </c>
      <c r="DF59" s="78">
        <f>$CX$59*VLOOKUP($CX$11,'PCU Values'!$B$9:$C$16,2,FALSE)</f>
        <v>0</v>
      </c>
      <c r="DG59" s="66">
        <f>SUM($CY$59,$CZ$59,$DA$59,$DB$59,$DC$59,$DD$59,$DE$59,$DF$59)</f>
        <v>6.2</v>
      </c>
      <c r="DH59" s="52">
        <f>SUM($CQ$59,$CR$59,$CS$59,$CT$59,$CU$59,$CV$59,$CW$59,$CX$59)</f>
        <v>7</v>
      </c>
    </row>
    <row r="60" spans="1:112" ht="21" customHeight="1">
      <c r="A60" s="46">
        <v>44395.40625</v>
      </c>
      <c r="B60" s="50" t="s">
        <v>70</v>
      </c>
      <c r="C60" s="51">
        <v>8</v>
      </c>
      <c r="D60" s="51">
        <v>2</v>
      </c>
      <c r="E60" s="51">
        <v>0</v>
      </c>
      <c r="F60" s="51">
        <v>0</v>
      </c>
      <c r="G60" s="51">
        <v>0</v>
      </c>
      <c r="H60" s="51">
        <v>2</v>
      </c>
      <c r="I60" s="51">
        <v>2</v>
      </c>
      <c r="J60" s="59">
        <v>0</v>
      </c>
      <c r="K60" s="60">
        <f>$C$60*VLOOKUP($C$11,'PCU Values'!$B$9:$C$16,2,FALSE)</f>
        <v>8</v>
      </c>
      <c r="L60" s="60">
        <f>$D$60*VLOOKUP($D$11,'PCU Values'!$B$9:$C$16,2,FALSE)</f>
        <v>2</v>
      </c>
      <c r="M60" s="60">
        <f>$E$60*VLOOKUP($E$11,'PCU Values'!$B$9:$C$16,2,FALSE)</f>
        <v>0</v>
      </c>
      <c r="N60" s="60">
        <f>$F$60*VLOOKUP($F$11,'PCU Values'!$B$9:$C$16,2,FALSE)</f>
        <v>0</v>
      </c>
      <c r="O60" s="60">
        <f>$G$60*VLOOKUP($G$11,'PCU Values'!$B$9:$C$16,2,FALSE)</f>
        <v>0</v>
      </c>
      <c r="P60" s="60">
        <f>$H$60*VLOOKUP($H$11,'PCU Values'!$B$9:$C$16,2,FALSE)</f>
        <v>0.4</v>
      </c>
      <c r="Q60" s="60">
        <f>$I$60*VLOOKUP($I$11,'PCU Values'!$B$9:$C$16,2,FALSE)</f>
        <v>0.8</v>
      </c>
      <c r="R60" s="68">
        <f>$J$60*VLOOKUP($J$11,'PCU Values'!$B$9:$C$16,2,FALSE)</f>
        <v>0</v>
      </c>
      <c r="S60" s="63">
        <f>SUM($K$60,$L$60,$M$60,$N$60,$O$60,$P$60,$Q$60,$R$60)</f>
        <v>11.2</v>
      </c>
      <c r="T60" s="52">
        <f>SUM($C$60,$D$60,$E$60,$F$60,$G$60,$H$60,$I$60,$J$60)</f>
        <v>14</v>
      </c>
      <c r="U60" s="73">
        <v>0</v>
      </c>
      <c r="V60" s="51">
        <v>0</v>
      </c>
      <c r="W60" s="51">
        <v>0</v>
      </c>
      <c r="X60" s="51">
        <v>0</v>
      </c>
      <c r="Y60" s="51">
        <v>0</v>
      </c>
      <c r="Z60" s="51">
        <v>4</v>
      </c>
      <c r="AA60" s="51">
        <v>0</v>
      </c>
      <c r="AB60" s="59">
        <v>0</v>
      </c>
      <c r="AC60" s="60">
        <f>$U$60*VLOOKUP($U$11,'PCU Values'!$B$9:$C$16,2,FALSE)</f>
        <v>0</v>
      </c>
      <c r="AD60" s="60">
        <f>$V$60*VLOOKUP($V$11,'PCU Values'!$B$9:$C$16,2,FALSE)</f>
        <v>0</v>
      </c>
      <c r="AE60" s="60">
        <f>$W$60*VLOOKUP($W$11,'PCU Values'!$B$9:$C$16,2,FALSE)</f>
        <v>0</v>
      </c>
      <c r="AF60" s="60">
        <f>$X$60*VLOOKUP($X$11,'PCU Values'!$B$9:$C$16,2,FALSE)</f>
        <v>0</v>
      </c>
      <c r="AG60" s="60">
        <f>$Y$60*VLOOKUP($Y$11,'PCU Values'!$B$9:$C$16,2,FALSE)</f>
        <v>0</v>
      </c>
      <c r="AH60" s="60">
        <f>$Z$60*VLOOKUP($Z$11,'PCU Values'!$B$9:$C$16,2,FALSE)</f>
        <v>0.8</v>
      </c>
      <c r="AI60" s="60">
        <f>$AA$60*VLOOKUP($AA$11,'PCU Values'!$B$9:$C$16,2,FALSE)</f>
        <v>0</v>
      </c>
      <c r="AJ60" s="68">
        <f>$AB$60*VLOOKUP($AB$11,'PCU Values'!$B$9:$C$16,2,FALSE)</f>
        <v>0</v>
      </c>
      <c r="AK60" s="63">
        <f>SUM($AC$60,$AD$60,$AE$60,$AF$60,$AG$60,$AH$60,$AI$60,$AJ$60)</f>
        <v>0.8</v>
      </c>
      <c r="AL60" s="52">
        <f>SUM($U$60,$V$60,$W$60,$X$60,$Y$60,$Z$60,$AA$60,$AB$60)</f>
        <v>4</v>
      </c>
      <c r="AM60" s="73">
        <v>1</v>
      </c>
      <c r="AN60" s="51">
        <v>1</v>
      </c>
      <c r="AO60" s="51">
        <v>0</v>
      </c>
      <c r="AP60" s="51">
        <v>0</v>
      </c>
      <c r="AQ60" s="51">
        <v>0</v>
      </c>
      <c r="AR60" s="51">
        <v>1</v>
      </c>
      <c r="AS60" s="51">
        <v>0</v>
      </c>
      <c r="AT60" s="59">
        <v>0</v>
      </c>
      <c r="AU60" s="60">
        <f>$AM$60*VLOOKUP($AM$11,'PCU Values'!$B$9:$C$16,2,FALSE)</f>
        <v>1</v>
      </c>
      <c r="AV60" s="60">
        <f>$AN$60*VLOOKUP($AN$11,'PCU Values'!$B$9:$C$16,2,FALSE)</f>
        <v>1</v>
      </c>
      <c r="AW60" s="60">
        <f>$AO$60*VLOOKUP($AO$11,'PCU Values'!$B$9:$C$16,2,FALSE)</f>
        <v>0</v>
      </c>
      <c r="AX60" s="60">
        <f>$AP$60*VLOOKUP($AP$11,'PCU Values'!$B$9:$C$16,2,FALSE)</f>
        <v>0</v>
      </c>
      <c r="AY60" s="60">
        <f>$AQ$60*VLOOKUP($AQ$11,'PCU Values'!$B$9:$C$16,2,FALSE)</f>
        <v>0</v>
      </c>
      <c r="AZ60" s="60">
        <f>$AR$60*VLOOKUP($AR$11,'PCU Values'!$B$9:$C$16,2,FALSE)</f>
        <v>0.2</v>
      </c>
      <c r="BA60" s="60">
        <f>$AS$60*VLOOKUP($AS$11,'PCU Values'!$B$9:$C$16,2,FALSE)</f>
        <v>0</v>
      </c>
      <c r="BB60" s="68">
        <f>$AT$60*VLOOKUP($AT$11,'PCU Values'!$B$9:$C$16,2,FALSE)</f>
        <v>0</v>
      </c>
      <c r="BC60" s="63">
        <f>SUM($AU$60,$AV$60,$AW$60,$AX$60,$AY$60,$AZ$60,$BA$60,$BB$60)</f>
        <v>2.2000000000000002</v>
      </c>
      <c r="BD60" s="52">
        <f>SUM($AM$60,$AN$60,$AO$60,$AP$60,$AQ$60,$AR$60,$AS$60,$AT$60)</f>
        <v>3</v>
      </c>
      <c r="BE60" s="73">
        <v>0</v>
      </c>
      <c r="BF60" s="51">
        <v>0</v>
      </c>
      <c r="BG60" s="51">
        <v>0</v>
      </c>
      <c r="BH60" s="51">
        <v>0</v>
      </c>
      <c r="BI60" s="51">
        <v>0</v>
      </c>
      <c r="BJ60" s="51">
        <v>0</v>
      </c>
      <c r="BK60" s="51">
        <v>0</v>
      </c>
      <c r="BL60" s="59">
        <v>0</v>
      </c>
      <c r="BM60" s="79">
        <f>$BE$60*VLOOKUP($BE$11,'PCU Values'!$B$9:$C$16,2,FALSE)</f>
        <v>0</v>
      </c>
      <c r="BN60" s="79">
        <f>$BF$60*VLOOKUP($BF$11,'PCU Values'!$B$9:$C$16,2,FALSE)</f>
        <v>0</v>
      </c>
      <c r="BO60" s="79">
        <f>$BG$60*VLOOKUP($BG$11,'PCU Values'!$B$9:$C$16,2,FALSE)</f>
        <v>0</v>
      </c>
      <c r="BP60" s="79">
        <f>$BH$60*VLOOKUP($BH$11,'PCU Values'!$B$9:$C$16,2,FALSE)</f>
        <v>0</v>
      </c>
      <c r="BQ60" s="79">
        <f>$BI$60*VLOOKUP($BI$11,'PCU Values'!$B$9:$C$16,2,FALSE)</f>
        <v>0</v>
      </c>
      <c r="BR60" s="79">
        <f>$BJ$60*VLOOKUP($BJ$11,'PCU Values'!$B$9:$C$16,2,FALSE)</f>
        <v>0</v>
      </c>
      <c r="BS60" s="79">
        <f>$BK$60*VLOOKUP($BK$11,'PCU Values'!$B$9:$C$16,2,FALSE)</f>
        <v>0</v>
      </c>
      <c r="BT60" s="80">
        <f>$BL$60*VLOOKUP($BL$11,'PCU Values'!$B$9:$C$16,2,FALSE)</f>
        <v>0</v>
      </c>
      <c r="BU60" s="63">
        <f>SUM($BM$60,$BN$60,$BO$60,$BP$60,$BQ$60,$BR$60,$BS$60,$BT$60)</f>
        <v>0</v>
      </c>
      <c r="BV60" s="52">
        <f>SUM($BE$60,$BF$60,$BG$60,$BH$60,$BI$60,$BJ$60,$BK$60,$BL$60)</f>
        <v>0</v>
      </c>
      <c r="BX60" s="50" t="s">
        <v>70</v>
      </c>
      <c r="BY60" s="84">
        <f>SUM($C$60,$U$60,$AM$60,$BE$60)</f>
        <v>9</v>
      </c>
      <c r="BZ60" s="84">
        <f>SUM($D$60,$V$60,$AN$60,$BF$60)</f>
        <v>3</v>
      </c>
      <c r="CA60" s="84">
        <f>SUM($E$60,$W$60,$AO$60,$BG$60)</f>
        <v>0</v>
      </c>
      <c r="CB60" s="84">
        <f>SUM($F$60,$X$60,$AP$60,$BH$60)</f>
        <v>0</v>
      </c>
      <c r="CC60" s="84">
        <f>SUM($G$60,$Y$60,$AQ$60,$BI$60)</f>
        <v>0</v>
      </c>
      <c r="CD60" s="84">
        <f>SUM($H$60,$Z$60,$AR$60,$BJ$60)</f>
        <v>7</v>
      </c>
      <c r="CE60" s="84">
        <f>SUM($I$60,$AA$60,$AS$60,$BK$60)</f>
        <v>2</v>
      </c>
      <c r="CF60" s="87">
        <f>SUM($J$60,$AB$60,$AT$60,$BL$60)</f>
        <v>0</v>
      </c>
      <c r="CG60" s="79">
        <f>$BY$60*VLOOKUP($BY$11,'PCU Values'!$B$9:$C$16,2,FALSE)</f>
        <v>9</v>
      </c>
      <c r="CH60" s="79">
        <f>$BZ$60*VLOOKUP($BZ$11,'PCU Values'!$B$9:$C$16,2,FALSE)</f>
        <v>3</v>
      </c>
      <c r="CI60" s="79">
        <f>$CA$60*VLOOKUP($CA$11,'PCU Values'!$B$9:$C$16,2,FALSE)</f>
        <v>0</v>
      </c>
      <c r="CJ60" s="79">
        <f>$CB$60*VLOOKUP($CB$11,'PCU Values'!$B$9:$C$16,2,FALSE)</f>
        <v>0</v>
      </c>
      <c r="CK60" s="79">
        <f>$CC$60*VLOOKUP($CC$11,'PCU Values'!$B$9:$C$16,2,FALSE)</f>
        <v>0</v>
      </c>
      <c r="CL60" s="79">
        <f>$CD$60*VLOOKUP($CD$11,'PCU Values'!$B$9:$C$16,2,FALSE)</f>
        <v>1.4</v>
      </c>
      <c r="CM60" s="79">
        <f>$CE$60*VLOOKUP($CE$11,'PCU Values'!$B$9:$C$16,2,FALSE)</f>
        <v>0.8</v>
      </c>
      <c r="CN60" s="80">
        <f>$CF$60*VLOOKUP($CF$11,'PCU Values'!$B$9:$C$16,2,FALSE)</f>
        <v>0</v>
      </c>
      <c r="CO60" s="63">
        <f>SUM($CG$60,$CH$60,$CI$60,$CJ$60,$CK$60,$CL$60,$CM$60,$CN$60)</f>
        <v>14.2</v>
      </c>
      <c r="CP60" s="52">
        <f>SUM($BY$60,$BZ$60,$CA$60,$CB$60,$CC$60,$CD$60,$CE$60,$CF$60)</f>
        <v>21</v>
      </c>
      <c r="CQ60" s="90">
        <f>SUM('J1 A - (North) Bishopthorpe Roa'!$AM$60,'J1 B - Butcher Terrace'!$U$60,'J1 C - (South) Bishopthorpe Roa'!$C$60,'J1 D - South Bank Avenue'!$BE$60)</f>
        <v>4</v>
      </c>
      <c r="CR60" s="84">
        <f>SUM('J1 A - (North) Bishopthorpe Roa'!$AN$60,'J1 B - Butcher Terrace'!$V$60,'J1 C - (South) Bishopthorpe Roa'!$D$60,'J1 D - South Bank Avenue'!$BF$60)</f>
        <v>2</v>
      </c>
      <c r="CS60" s="84">
        <f>SUM('J1 A - (North) Bishopthorpe Roa'!$AO$60,'J1 B - Butcher Terrace'!$W$60,'J1 C - (South) Bishopthorpe Roa'!$E$60,'J1 D - South Bank Avenue'!$BG$60)</f>
        <v>0</v>
      </c>
      <c r="CT60" s="84">
        <f>SUM('J1 A - (North) Bishopthorpe Roa'!$AP$60,'J1 B - Butcher Terrace'!$X$60,'J1 C - (South) Bishopthorpe Roa'!$F$60,'J1 D - South Bank Avenue'!$BH$60)</f>
        <v>0</v>
      </c>
      <c r="CU60" s="84">
        <f>SUM('J1 A - (North) Bishopthorpe Roa'!$AQ$60,'J1 B - Butcher Terrace'!$Y$60,'J1 C - (South) Bishopthorpe Roa'!$G$60,'J1 D - South Bank Avenue'!$BI$60)</f>
        <v>0</v>
      </c>
      <c r="CV60" s="84">
        <f>SUM('J1 A - (North) Bishopthorpe Roa'!$AR$60,'J1 B - Butcher Terrace'!$Z$60,'J1 C - (South) Bishopthorpe Roa'!$H$60,'J1 D - South Bank Avenue'!$BJ$60)</f>
        <v>2</v>
      </c>
      <c r="CW60" s="84">
        <f>SUM('J1 A - (North) Bishopthorpe Roa'!$AS$60,'J1 B - Butcher Terrace'!$AA$60,'J1 C - (South) Bishopthorpe Roa'!$I$60,'J1 D - South Bank Avenue'!$BK$60)</f>
        <v>0</v>
      </c>
      <c r="CX60" s="87">
        <f>SUM('J1 A - (North) Bishopthorpe Roa'!$AT$60,'J1 B - Butcher Terrace'!$AB$60,'J1 C - (South) Bishopthorpe Roa'!$J$60,'J1 D - South Bank Avenue'!$BL$60)</f>
        <v>0</v>
      </c>
      <c r="CY60" s="79">
        <f>$CQ$60*VLOOKUP($CQ$11,'PCU Values'!$B$9:$C$16,2,FALSE)</f>
        <v>4</v>
      </c>
      <c r="CZ60" s="79">
        <f>$CR$60*VLOOKUP($CR$11,'PCU Values'!$B$9:$C$16,2,FALSE)</f>
        <v>2</v>
      </c>
      <c r="DA60" s="79">
        <f>$CS$60*VLOOKUP($CS$11,'PCU Values'!$B$9:$C$16,2,FALSE)</f>
        <v>0</v>
      </c>
      <c r="DB60" s="79">
        <f>$CT$60*VLOOKUP($CT$11,'PCU Values'!$B$9:$C$16,2,FALSE)</f>
        <v>0</v>
      </c>
      <c r="DC60" s="79">
        <f>$CU$60*VLOOKUP($CU$11,'PCU Values'!$B$9:$C$16,2,FALSE)</f>
        <v>0</v>
      </c>
      <c r="DD60" s="79">
        <f>$CV$60*VLOOKUP($CV$11,'PCU Values'!$B$9:$C$16,2,FALSE)</f>
        <v>0.4</v>
      </c>
      <c r="DE60" s="79">
        <f>$CW$60*VLOOKUP($CW$11,'PCU Values'!$B$9:$C$16,2,FALSE)</f>
        <v>0</v>
      </c>
      <c r="DF60" s="80">
        <f>$CX$60*VLOOKUP($CX$11,'PCU Values'!$B$9:$C$16,2,FALSE)</f>
        <v>0</v>
      </c>
      <c r="DG60" s="63">
        <f>SUM($CY$60,$CZ$60,$DA$60,$DB$60,$DC$60,$DD$60,$DE$60,$DF$60)</f>
        <v>6.4</v>
      </c>
      <c r="DH60" s="52">
        <f>SUM($CQ$60,$CR$60,$CS$60,$CT$60,$CU$60,$CV$60,$CW$60,$CX$60)</f>
        <v>8</v>
      </c>
    </row>
    <row r="61" spans="1:112">
      <c r="B61" s="52" t="s">
        <v>34</v>
      </c>
      <c r="C61" s="52">
        <f>SUM($C$57:$C$60)</f>
        <v>31</v>
      </c>
      <c r="D61" s="52">
        <f>SUM($D$57:$D$60)</f>
        <v>5</v>
      </c>
      <c r="E61" s="52">
        <f>SUM($E$57:$E$60)</f>
        <v>1</v>
      </c>
      <c r="F61" s="52">
        <f>SUM($F$57:$F$60)</f>
        <v>0</v>
      </c>
      <c r="G61" s="52">
        <f>SUM($G$57:$G$60)</f>
        <v>0</v>
      </c>
      <c r="H61" s="52">
        <f>SUM($H$57:$H$60)</f>
        <v>5</v>
      </c>
      <c r="I61" s="52">
        <f>SUM($I$57:$I$60)</f>
        <v>2</v>
      </c>
      <c r="J61" s="52">
        <f>SUM($J$57:$J$60)</f>
        <v>0</v>
      </c>
      <c r="K61" s="52">
        <f>SUM($K$57:$K$60)</f>
        <v>31</v>
      </c>
      <c r="L61" s="52">
        <f>SUM($L$57:$L$60)</f>
        <v>5</v>
      </c>
      <c r="M61" s="52">
        <f>SUM($M$57:$M$60)</f>
        <v>2</v>
      </c>
      <c r="N61" s="52">
        <f>SUM($N$57:$N$60)</f>
        <v>0</v>
      </c>
      <c r="O61" s="52">
        <f>SUM($O$57:$O$60)</f>
        <v>0</v>
      </c>
      <c r="P61" s="52">
        <f>SUM($P$57:$P$60)</f>
        <v>1</v>
      </c>
      <c r="Q61" s="52">
        <f>SUM($Q$57:$Q$60)</f>
        <v>1</v>
      </c>
      <c r="R61" s="52">
        <f>SUM($R$57:$R$60)</f>
        <v>0</v>
      </c>
      <c r="S61" s="52">
        <f>SUM($K$61,$L$61,$M$61,$N$61,$O$61,$P$61,$Q$61,$R$61)</f>
        <v>40</v>
      </c>
      <c r="T61" s="52">
        <f>SUM($C$61,$D$61,$E$61,$F$61,$G$61,$H$61,$I$61,$J$61)</f>
        <v>44</v>
      </c>
      <c r="U61" s="52">
        <f>SUM($U$57:$U$60)</f>
        <v>0</v>
      </c>
      <c r="V61" s="52">
        <f>SUM($V$57:$V$60)</f>
        <v>0</v>
      </c>
      <c r="W61" s="52">
        <f>SUM($W$57:$W$60)</f>
        <v>0</v>
      </c>
      <c r="X61" s="52">
        <f>SUM($X$57:$X$60)</f>
        <v>0</v>
      </c>
      <c r="Y61" s="52">
        <f>SUM($Y$57:$Y$60)</f>
        <v>0</v>
      </c>
      <c r="Z61" s="52">
        <f>SUM($Z$57:$Z$60)</f>
        <v>22</v>
      </c>
      <c r="AA61" s="52">
        <f>SUM($AA$57:$AA$60)</f>
        <v>0</v>
      </c>
      <c r="AB61" s="52">
        <f>SUM($AB$57:$AB$60)</f>
        <v>0</v>
      </c>
      <c r="AC61" s="52">
        <f>SUM($AC$57:$AC$60)</f>
        <v>0</v>
      </c>
      <c r="AD61" s="52">
        <f>SUM($AD$57:$AD$60)</f>
        <v>0</v>
      </c>
      <c r="AE61" s="52">
        <f>SUM($AE$57:$AE$60)</f>
        <v>0</v>
      </c>
      <c r="AF61" s="52">
        <f>SUM($AF$57:$AF$60)</f>
        <v>0</v>
      </c>
      <c r="AG61" s="52">
        <f>SUM($AG$57:$AG$60)</f>
        <v>0</v>
      </c>
      <c r="AH61" s="52">
        <f>SUM($AH$57:$AH$60)</f>
        <v>4</v>
      </c>
      <c r="AI61" s="52">
        <f>SUM($AI$57:$AI$60)</f>
        <v>0</v>
      </c>
      <c r="AJ61" s="52">
        <f>SUM($AJ$57:$AJ$60)</f>
        <v>0</v>
      </c>
      <c r="AK61" s="52">
        <f>SUM($AC$61,$AD$61,$AE$61,$AF$61,$AG$61,$AH$61,$AI$61,$AJ$61)</f>
        <v>4</v>
      </c>
      <c r="AL61" s="52">
        <f>SUM($U$61,$V$61,$W$61,$X$61,$Y$61,$Z$61,$AA$61,$AB$61)</f>
        <v>22</v>
      </c>
      <c r="AM61" s="52">
        <f>SUM($AM$57:$AM$60)</f>
        <v>5</v>
      </c>
      <c r="AN61" s="52">
        <f>SUM($AN$57:$AN$60)</f>
        <v>5</v>
      </c>
      <c r="AO61" s="52">
        <f>SUM($AO$57:$AO$60)</f>
        <v>0</v>
      </c>
      <c r="AP61" s="52">
        <f>SUM($AP$57:$AP$60)</f>
        <v>0</v>
      </c>
      <c r="AQ61" s="52">
        <f>SUM($AQ$57:$AQ$60)</f>
        <v>0</v>
      </c>
      <c r="AR61" s="52">
        <f>SUM($AR$57:$AR$60)</f>
        <v>1</v>
      </c>
      <c r="AS61" s="52">
        <f>SUM($AS$57:$AS$60)</f>
        <v>0</v>
      </c>
      <c r="AT61" s="52">
        <f>SUM($AT$57:$AT$60)</f>
        <v>0</v>
      </c>
      <c r="AU61" s="52">
        <f>SUM($AU$57:$AU$60)</f>
        <v>5</v>
      </c>
      <c r="AV61" s="52">
        <f>SUM($AV$57:$AV$60)</f>
        <v>5</v>
      </c>
      <c r="AW61" s="52">
        <f>SUM($AW$57:$AW$60)</f>
        <v>0</v>
      </c>
      <c r="AX61" s="52">
        <f>SUM($AX$57:$AX$60)</f>
        <v>0</v>
      </c>
      <c r="AY61" s="52">
        <f>SUM($AY$57:$AY$60)</f>
        <v>0</v>
      </c>
      <c r="AZ61" s="52">
        <f>SUM($AZ$57:$AZ$60)</f>
        <v>0</v>
      </c>
      <c r="BA61" s="52">
        <f>SUM($BA$57:$BA$60)</f>
        <v>0</v>
      </c>
      <c r="BB61" s="52">
        <f>SUM($BB$57:$BB$60)</f>
        <v>0</v>
      </c>
      <c r="BC61" s="52">
        <f>SUM($AU$61,$AV$61,$AW$61,$AX$61,$AY$61,$AZ$61,$BA$61,$BB$61)</f>
        <v>10</v>
      </c>
      <c r="BD61" s="52">
        <f>SUM($AM$61,$AN$61,$AO$61,$AP$61,$AQ$61,$AR$61,$AS$61,$AT$61)</f>
        <v>11</v>
      </c>
      <c r="BE61" s="52">
        <f>SUM($BE$57:$BE$60)</f>
        <v>0</v>
      </c>
      <c r="BF61" s="52">
        <f>SUM($BF$57:$BF$60)</f>
        <v>0</v>
      </c>
      <c r="BG61" s="52">
        <f>SUM($BG$57:$BG$60)</f>
        <v>0</v>
      </c>
      <c r="BH61" s="52">
        <f>SUM($BH$57:$BH$60)</f>
        <v>0</v>
      </c>
      <c r="BI61" s="52">
        <f>SUM($BI$57:$BI$60)</f>
        <v>0</v>
      </c>
      <c r="BJ61" s="52">
        <f>SUM($BJ$57:$BJ$60)</f>
        <v>0</v>
      </c>
      <c r="BK61" s="52">
        <f>SUM($BK$57:$BK$60)</f>
        <v>0</v>
      </c>
      <c r="BL61" s="52">
        <f>SUM($BL$57:$BL$60)</f>
        <v>0</v>
      </c>
      <c r="BM61" s="52">
        <f>SUM($BM$57:$BM$60)</f>
        <v>0</v>
      </c>
      <c r="BN61" s="52">
        <f>SUM($BN$57:$BN$60)</f>
        <v>0</v>
      </c>
      <c r="BO61" s="52">
        <f>SUM($BO$57:$BO$60)</f>
        <v>0</v>
      </c>
      <c r="BP61" s="52">
        <f>SUM($BP$57:$BP$60)</f>
        <v>0</v>
      </c>
      <c r="BQ61" s="52">
        <f>SUM($BQ$57:$BQ$60)</f>
        <v>0</v>
      </c>
      <c r="BR61" s="52">
        <f>SUM($BR$57:$BR$60)</f>
        <v>0</v>
      </c>
      <c r="BS61" s="52">
        <f>SUM($BS$57:$BS$60)</f>
        <v>0</v>
      </c>
      <c r="BT61" s="52">
        <f>SUM($BT$57:$BT$60)</f>
        <v>0</v>
      </c>
      <c r="BU61" s="52">
        <f>SUM($BM$61,$BN$61,$BO$61,$BP$61,$BQ$61,$BR$61,$BS$61,$BT$61)</f>
        <v>0</v>
      </c>
      <c r="BV61" s="52">
        <f>SUM($BE$61,$BF$61,$BG$61,$BH$61,$BI$61,$BJ$61,$BK$61,$BL$61)</f>
        <v>0</v>
      </c>
      <c r="BX61" s="52" t="s">
        <v>34</v>
      </c>
      <c r="BY61" s="52">
        <f>SUM($BY$57:$BY$60)</f>
        <v>36</v>
      </c>
      <c r="BZ61" s="52">
        <f>SUM($BZ$57:$BZ$60)</f>
        <v>10</v>
      </c>
      <c r="CA61" s="52">
        <f>SUM($CA$57:$CA$60)</f>
        <v>1</v>
      </c>
      <c r="CB61" s="52">
        <f>SUM($CB$57:$CB$60)</f>
        <v>0</v>
      </c>
      <c r="CC61" s="52">
        <f>SUM($CC$57:$CC$60)</f>
        <v>0</v>
      </c>
      <c r="CD61" s="52">
        <f>SUM($CD$57:$CD$60)</f>
        <v>28</v>
      </c>
      <c r="CE61" s="52">
        <f>SUM($CE$57:$CE$60)</f>
        <v>2</v>
      </c>
      <c r="CF61" s="52">
        <f>SUM($CF$57:$CF$60)</f>
        <v>0</v>
      </c>
      <c r="CG61" s="52">
        <f>SUM($CG$57:$CG$60)</f>
        <v>36</v>
      </c>
      <c r="CH61" s="52">
        <f>SUM($CH$57:$CH$60)</f>
        <v>10</v>
      </c>
      <c r="CI61" s="52">
        <f>SUM($CI$57:$CI$60)</f>
        <v>2</v>
      </c>
      <c r="CJ61" s="52">
        <f>SUM($CJ$57:$CJ$60)</f>
        <v>0</v>
      </c>
      <c r="CK61" s="52">
        <f>SUM($CK$57:$CK$60)</f>
        <v>0</v>
      </c>
      <c r="CL61" s="52">
        <f>SUM($CL$57:$CL$60)</f>
        <v>6</v>
      </c>
      <c r="CM61" s="52">
        <f>SUM($CM$57:$CM$60)</f>
        <v>1</v>
      </c>
      <c r="CN61" s="52">
        <f>SUM($CN$57:$CN$60)</f>
        <v>0</v>
      </c>
      <c r="CO61" s="52">
        <f>SUM($CG$61,$CH$61,$CI$61,$CJ$61,$CK$61,$CL$61,$CM$61,$CN$61)</f>
        <v>55</v>
      </c>
      <c r="CP61" s="52">
        <f>SUM($BY$61,$BZ$61,$CA$61,$CB$61,$CC$61,$CD$61,$CE$61,$CF$61)</f>
        <v>77</v>
      </c>
      <c r="CQ61" s="52">
        <f>SUM($CQ$57:$CQ$60)</f>
        <v>18</v>
      </c>
      <c r="CR61" s="52">
        <f>SUM($CR$57:$CR$60)</f>
        <v>5</v>
      </c>
      <c r="CS61" s="52">
        <f>SUM($CS$57:$CS$60)</f>
        <v>0</v>
      </c>
      <c r="CT61" s="52">
        <f>SUM($CT$57:$CT$60)</f>
        <v>0</v>
      </c>
      <c r="CU61" s="52">
        <f>SUM($CU$57:$CU$60)</f>
        <v>0</v>
      </c>
      <c r="CV61" s="52">
        <f>SUM($CV$57:$CV$60)</f>
        <v>7</v>
      </c>
      <c r="CW61" s="52">
        <f>SUM($CW$57:$CW$60)</f>
        <v>0</v>
      </c>
      <c r="CX61" s="52">
        <f>SUM($CX$57:$CX$60)</f>
        <v>0</v>
      </c>
      <c r="CY61" s="52">
        <f>SUM($CY$57:$CY$60)</f>
        <v>18</v>
      </c>
      <c r="CZ61" s="52">
        <f>SUM($CZ$57:$CZ$60)</f>
        <v>5</v>
      </c>
      <c r="DA61" s="52">
        <f>SUM($DA$57:$DA$60)</f>
        <v>0</v>
      </c>
      <c r="DB61" s="52">
        <f>SUM($DB$57:$DB$60)</f>
        <v>0</v>
      </c>
      <c r="DC61" s="52">
        <f>SUM($DC$57:$DC$60)</f>
        <v>0</v>
      </c>
      <c r="DD61" s="52">
        <f>SUM($DD$57:$DD$60)</f>
        <v>1</v>
      </c>
      <c r="DE61" s="52">
        <f>SUM($DE$57:$DE$60)</f>
        <v>0</v>
      </c>
      <c r="DF61" s="52">
        <f>SUM($DF$57:$DF$60)</f>
        <v>0</v>
      </c>
      <c r="DG61" s="52">
        <f>SUM($CY$61,$CZ$61,$DA$61,$DB$61,$DC$61,$DD$61,$DE$61,$DF$61)</f>
        <v>24</v>
      </c>
      <c r="DH61" s="52">
        <f>SUM($CQ$61,$CR$61,$CS$61,$CT$61,$CU$61,$CV$61,$CW$61,$CX$61)</f>
        <v>30</v>
      </c>
    </row>
    <row r="62" spans="1:112" ht="21" customHeight="1">
      <c r="A62" s="46">
        <v>44395.416666666701</v>
      </c>
      <c r="B62" s="53" t="s">
        <v>71</v>
      </c>
      <c r="C62" s="54">
        <v>8</v>
      </c>
      <c r="D62" s="54">
        <v>2</v>
      </c>
      <c r="E62" s="54">
        <v>0</v>
      </c>
      <c r="F62" s="54">
        <v>0</v>
      </c>
      <c r="G62" s="54">
        <v>0</v>
      </c>
      <c r="H62" s="54">
        <v>1</v>
      </c>
      <c r="I62" s="54">
        <v>0</v>
      </c>
      <c r="J62" s="61">
        <v>0</v>
      </c>
      <c r="K62" s="62">
        <f>$C$62*VLOOKUP($C$11,'PCU Values'!$B$9:$C$16,2,FALSE)</f>
        <v>8</v>
      </c>
      <c r="L62" s="62">
        <f>$D$62*VLOOKUP($D$11,'PCU Values'!$B$9:$C$16,2,FALSE)</f>
        <v>2</v>
      </c>
      <c r="M62" s="62">
        <f>$E$62*VLOOKUP($E$11,'PCU Values'!$B$9:$C$16,2,FALSE)</f>
        <v>0</v>
      </c>
      <c r="N62" s="62">
        <f>$F$62*VLOOKUP($F$11,'PCU Values'!$B$9:$C$16,2,FALSE)</f>
        <v>0</v>
      </c>
      <c r="O62" s="62">
        <f>$G$62*VLOOKUP($G$11,'PCU Values'!$B$9:$C$16,2,FALSE)</f>
        <v>0</v>
      </c>
      <c r="P62" s="62">
        <f>$H$62*VLOOKUP($H$11,'PCU Values'!$B$9:$C$16,2,FALSE)</f>
        <v>0.2</v>
      </c>
      <c r="Q62" s="62">
        <f>$I$62*VLOOKUP($I$11,'PCU Values'!$B$9:$C$16,2,FALSE)</f>
        <v>0</v>
      </c>
      <c r="R62" s="70">
        <f>$J$62*VLOOKUP($J$11,'PCU Values'!$B$9:$C$16,2,FALSE)</f>
        <v>0</v>
      </c>
      <c r="S62" s="71">
        <f>SUM($K$62,$L$62,$M$62,$N$62,$O$62,$P$62,$Q$62,$R$62)</f>
        <v>10.199999999999999</v>
      </c>
      <c r="T62" s="52">
        <f>SUM($C$62,$D$62,$E$62,$F$62,$G$62,$H$62,$I$62,$J$62)</f>
        <v>11</v>
      </c>
      <c r="U62" s="72">
        <v>0</v>
      </c>
      <c r="V62" s="54">
        <v>0</v>
      </c>
      <c r="W62" s="54">
        <v>0</v>
      </c>
      <c r="X62" s="54">
        <v>0</v>
      </c>
      <c r="Y62" s="54">
        <v>0</v>
      </c>
      <c r="Z62" s="54">
        <v>3</v>
      </c>
      <c r="AA62" s="54">
        <v>0</v>
      </c>
      <c r="AB62" s="61">
        <v>0</v>
      </c>
      <c r="AC62" s="62">
        <f>$U$62*VLOOKUP($U$11,'PCU Values'!$B$9:$C$16,2,FALSE)</f>
        <v>0</v>
      </c>
      <c r="AD62" s="62">
        <f>$V$62*VLOOKUP($V$11,'PCU Values'!$B$9:$C$16,2,FALSE)</f>
        <v>0</v>
      </c>
      <c r="AE62" s="62">
        <f>$W$62*VLOOKUP($W$11,'PCU Values'!$B$9:$C$16,2,FALSE)</f>
        <v>0</v>
      </c>
      <c r="AF62" s="62">
        <f>$X$62*VLOOKUP($X$11,'PCU Values'!$B$9:$C$16,2,FALSE)</f>
        <v>0</v>
      </c>
      <c r="AG62" s="62">
        <f>$Y$62*VLOOKUP($Y$11,'PCU Values'!$B$9:$C$16,2,FALSE)</f>
        <v>0</v>
      </c>
      <c r="AH62" s="62">
        <f>$Z$62*VLOOKUP($Z$11,'PCU Values'!$B$9:$C$16,2,FALSE)</f>
        <v>0.6</v>
      </c>
      <c r="AI62" s="62">
        <f>$AA$62*VLOOKUP($AA$11,'PCU Values'!$B$9:$C$16,2,FALSE)</f>
        <v>0</v>
      </c>
      <c r="AJ62" s="70">
        <f>$AB$62*VLOOKUP($AB$11,'PCU Values'!$B$9:$C$16,2,FALSE)</f>
        <v>0</v>
      </c>
      <c r="AK62" s="71">
        <f>SUM($AC$62,$AD$62,$AE$62,$AF$62,$AG$62,$AH$62,$AI$62,$AJ$62)</f>
        <v>0.6</v>
      </c>
      <c r="AL62" s="52">
        <f>SUM($U$62,$V$62,$W$62,$X$62,$Y$62,$Z$62,$AA$62,$AB$62)</f>
        <v>3</v>
      </c>
      <c r="AM62" s="72">
        <v>2</v>
      </c>
      <c r="AN62" s="54">
        <v>1</v>
      </c>
      <c r="AO62" s="54">
        <v>0</v>
      </c>
      <c r="AP62" s="54">
        <v>0</v>
      </c>
      <c r="AQ62" s="54">
        <v>0</v>
      </c>
      <c r="AR62" s="54">
        <v>0</v>
      </c>
      <c r="AS62" s="54">
        <v>0</v>
      </c>
      <c r="AT62" s="61">
        <v>0</v>
      </c>
      <c r="AU62" s="62">
        <f>$AM$62*VLOOKUP($AM$11,'PCU Values'!$B$9:$C$16,2,FALSE)</f>
        <v>2</v>
      </c>
      <c r="AV62" s="62">
        <f>$AN$62*VLOOKUP($AN$11,'PCU Values'!$B$9:$C$16,2,FALSE)</f>
        <v>1</v>
      </c>
      <c r="AW62" s="62">
        <f>$AO$62*VLOOKUP($AO$11,'PCU Values'!$B$9:$C$16,2,FALSE)</f>
        <v>0</v>
      </c>
      <c r="AX62" s="62">
        <f>$AP$62*VLOOKUP($AP$11,'PCU Values'!$B$9:$C$16,2,FALSE)</f>
        <v>0</v>
      </c>
      <c r="AY62" s="62">
        <f>$AQ$62*VLOOKUP($AQ$11,'PCU Values'!$B$9:$C$16,2,FALSE)</f>
        <v>0</v>
      </c>
      <c r="AZ62" s="62">
        <f>$AR$62*VLOOKUP($AR$11,'PCU Values'!$B$9:$C$16,2,FALSE)</f>
        <v>0</v>
      </c>
      <c r="BA62" s="62">
        <f>$AS$62*VLOOKUP($AS$11,'PCU Values'!$B$9:$C$16,2,FALSE)</f>
        <v>0</v>
      </c>
      <c r="BB62" s="70">
        <f>$AT$62*VLOOKUP($AT$11,'PCU Values'!$B$9:$C$16,2,FALSE)</f>
        <v>0</v>
      </c>
      <c r="BC62" s="71">
        <f>SUM($AU$62,$AV$62,$AW$62,$AX$62,$AY$62,$AZ$62,$BA$62,$BB$62)</f>
        <v>3</v>
      </c>
      <c r="BD62" s="52">
        <f>SUM($AM$62,$AN$62,$AO$62,$AP$62,$AQ$62,$AR$62,$AS$62,$AT$62)</f>
        <v>3</v>
      </c>
      <c r="BE62" s="72">
        <v>0</v>
      </c>
      <c r="BF62" s="54">
        <v>0</v>
      </c>
      <c r="BG62" s="54">
        <v>0</v>
      </c>
      <c r="BH62" s="54">
        <v>0</v>
      </c>
      <c r="BI62" s="54">
        <v>0</v>
      </c>
      <c r="BJ62" s="54">
        <v>0</v>
      </c>
      <c r="BK62" s="54">
        <v>0</v>
      </c>
      <c r="BL62" s="61">
        <v>0</v>
      </c>
      <c r="BM62" s="81">
        <f>$BE$62*VLOOKUP($BE$11,'PCU Values'!$B$9:$C$16,2,FALSE)</f>
        <v>0</v>
      </c>
      <c r="BN62" s="81">
        <f>$BF$62*VLOOKUP($BF$11,'PCU Values'!$B$9:$C$16,2,FALSE)</f>
        <v>0</v>
      </c>
      <c r="BO62" s="81">
        <f>$BG$62*VLOOKUP($BG$11,'PCU Values'!$B$9:$C$16,2,FALSE)</f>
        <v>0</v>
      </c>
      <c r="BP62" s="81">
        <f>$BH$62*VLOOKUP($BH$11,'PCU Values'!$B$9:$C$16,2,FALSE)</f>
        <v>0</v>
      </c>
      <c r="BQ62" s="81">
        <f>$BI$62*VLOOKUP($BI$11,'PCU Values'!$B$9:$C$16,2,FALSE)</f>
        <v>0</v>
      </c>
      <c r="BR62" s="81">
        <f>$BJ$62*VLOOKUP($BJ$11,'PCU Values'!$B$9:$C$16,2,FALSE)</f>
        <v>0</v>
      </c>
      <c r="BS62" s="81">
        <f>$BK$62*VLOOKUP($BK$11,'PCU Values'!$B$9:$C$16,2,FALSE)</f>
        <v>0</v>
      </c>
      <c r="BT62" s="82">
        <f>$BL$62*VLOOKUP($BL$11,'PCU Values'!$B$9:$C$16,2,FALSE)</f>
        <v>0</v>
      </c>
      <c r="BU62" s="71">
        <f>SUM($BM$62,$BN$62,$BO$62,$BP$62,$BQ$62,$BR$62,$BS$62,$BT$62)</f>
        <v>0</v>
      </c>
      <c r="BV62" s="52">
        <f>SUM($BE$62,$BF$62,$BG$62,$BH$62,$BI$62,$BJ$62,$BK$62,$BL$62)</f>
        <v>0</v>
      </c>
      <c r="BX62" s="53" t="s">
        <v>71</v>
      </c>
      <c r="BY62" s="85">
        <f>SUM($C$62,$U$62,$AM$62,$BE$62)</f>
        <v>10</v>
      </c>
      <c r="BZ62" s="85">
        <f>SUM($D$62,$V$62,$AN$62,$BF$62)</f>
        <v>3</v>
      </c>
      <c r="CA62" s="85">
        <f>SUM($E$62,$W$62,$AO$62,$BG$62)</f>
        <v>0</v>
      </c>
      <c r="CB62" s="85">
        <f>SUM($F$62,$X$62,$AP$62,$BH$62)</f>
        <v>0</v>
      </c>
      <c r="CC62" s="85">
        <f>SUM($G$62,$Y$62,$AQ$62,$BI$62)</f>
        <v>0</v>
      </c>
      <c r="CD62" s="85">
        <f>SUM($H$62,$Z$62,$AR$62,$BJ$62)</f>
        <v>4</v>
      </c>
      <c r="CE62" s="85">
        <f>SUM($I$62,$AA$62,$AS$62,$BK$62)</f>
        <v>0</v>
      </c>
      <c r="CF62" s="88">
        <f>SUM($J$62,$AB$62,$AT$62,$BL$62)</f>
        <v>0</v>
      </c>
      <c r="CG62" s="81">
        <f>$BY$62*VLOOKUP($BY$11,'PCU Values'!$B$9:$C$16,2,FALSE)</f>
        <v>10</v>
      </c>
      <c r="CH62" s="81">
        <f>$BZ$62*VLOOKUP($BZ$11,'PCU Values'!$B$9:$C$16,2,FALSE)</f>
        <v>3</v>
      </c>
      <c r="CI62" s="81">
        <f>$CA$62*VLOOKUP($CA$11,'PCU Values'!$B$9:$C$16,2,FALSE)</f>
        <v>0</v>
      </c>
      <c r="CJ62" s="81">
        <f>$CB$62*VLOOKUP($CB$11,'PCU Values'!$B$9:$C$16,2,FALSE)</f>
        <v>0</v>
      </c>
      <c r="CK62" s="81">
        <f>$CC$62*VLOOKUP($CC$11,'PCU Values'!$B$9:$C$16,2,FALSE)</f>
        <v>0</v>
      </c>
      <c r="CL62" s="81">
        <f>$CD$62*VLOOKUP($CD$11,'PCU Values'!$B$9:$C$16,2,FALSE)</f>
        <v>0.8</v>
      </c>
      <c r="CM62" s="81">
        <f>$CE$62*VLOOKUP($CE$11,'PCU Values'!$B$9:$C$16,2,FALSE)</f>
        <v>0</v>
      </c>
      <c r="CN62" s="82">
        <f>$CF$62*VLOOKUP($CF$11,'PCU Values'!$B$9:$C$16,2,FALSE)</f>
        <v>0</v>
      </c>
      <c r="CO62" s="71">
        <f>SUM($CG$62,$CH$62,$CI$62,$CJ$62,$CK$62,$CL$62,$CM$62,$CN$62)</f>
        <v>13.8</v>
      </c>
      <c r="CP62" s="52">
        <f>SUM($BY$62,$BZ$62,$CA$62,$CB$62,$CC$62,$CD$62,$CE$62,$CF$62)</f>
        <v>17</v>
      </c>
      <c r="CQ62" s="91">
        <f>SUM('J1 A - (North) Bishopthorpe Roa'!$AM$62,'J1 B - Butcher Terrace'!$U$62,'J1 C - (South) Bishopthorpe Roa'!$C$62,'J1 D - South Bank Avenue'!$BE$62)</f>
        <v>6</v>
      </c>
      <c r="CR62" s="85">
        <f>SUM('J1 A - (North) Bishopthorpe Roa'!$AN$62,'J1 B - Butcher Terrace'!$V$62,'J1 C - (South) Bishopthorpe Roa'!$D$62,'J1 D - South Bank Avenue'!$BF$62)</f>
        <v>1</v>
      </c>
      <c r="CS62" s="85">
        <f>SUM('J1 A - (North) Bishopthorpe Roa'!$AO$62,'J1 B - Butcher Terrace'!$W$62,'J1 C - (South) Bishopthorpe Roa'!$E$62,'J1 D - South Bank Avenue'!$BG$62)</f>
        <v>2</v>
      </c>
      <c r="CT62" s="85">
        <f>SUM('J1 A - (North) Bishopthorpe Roa'!$AP$62,'J1 B - Butcher Terrace'!$X$62,'J1 C - (South) Bishopthorpe Roa'!$F$62,'J1 D - South Bank Avenue'!$BH$62)</f>
        <v>0</v>
      </c>
      <c r="CU62" s="85">
        <f>SUM('J1 A - (North) Bishopthorpe Roa'!$AQ$62,'J1 B - Butcher Terrace'!$Y$62,'J1 C - (South) Bishopthorpe Roa'!$G$62,'J1 D - South Bank Avenue'!$BI$62)</f>
        <v>0</v>
      </c>
      <c r="CV62" s="85">
        <f>SUM('J1 A - (North) Bishopthorpe Roa'!$AR$62,'J1 B - Butcher Terrace'!$Z$62,'J1 C - (South) Bishopthorpe Roa'!$H$62,'J1 D - South Bank Avenue'!$BJ$62)</f>
        <v>5</v>
      </c>
      <c r="CW62" s="85">
        <f>SUM('J1 A - (North) Bishopthorpe Roa'!$AS$62,'J1 B - Butcher Terrace'!$AA$62,'J1 C - (South) Bishopthorpe Roa'!$I$62,'J1 D - South Bank Avenue'!$BK$62)</f>
        <v>0</v>
      </c>
      <c r="CX62" s="88">
        <f>SUM('J1 A - (North) Bishopthorpe Roa'!$AT$62,'J1 B - Butcher Terrace'!$AB$62,'J1 C - (South) Bishopthorpe Roa'!$J$62,'J1 D - South Bank Avenue'!$BL$62)</f>
        <v>0</v>
      </c>
      <c r="CY62" s="81">
        <f>$CQ$62*VLOOKUP($CQ$11,'PCU Values'!$B$9:$C$16,2,FALSE)</f>
        <v>6</v>
      </c>
      <c r="CZ62" s="81">
        <f>$CR$62*VLOOKUP($CR$11,'PCU Values'!$B$9:$C$16,2,FALSE)</f>
        <v>1</v>
      </c>
      <c r="DA62" s="81">
        <f>$CS$62*VLOOKUP($CS$11,'PCU Values'!$B$9:$C$16,2,FALSE)</f>
        <v>3</v>
      </c>
      <c r="DB62" s="81">
        <f>$CT$62*VLOOKUP($CT$11,'PCU Values'!$B$9:$C$16,2,FALSE)</f>
        <v>0</v>
      </c>
      <c r="DC62" s="81">
        <f>$CU$62*VLOOKUP($CU$11,'PCU Values'!$B$9:$C$16,2,FALSE)</f>
        <v>0</v>
      </c>
      <c r="DD62" s="81">
        <f>$CV$62*VLOOKUP($CV$11,'PCU Values'!$B$9:$C$16,2,FALSE)</f>
        <v>1</v>
      </c>
      <c r="DE62" s="81">
        <f>$CW$62*VLOOKUP($CW$11,'PCU Values'!$B$9:$C$16,2,FALSE)</f>
        <v>0</v>
      </c>
      <c r="DF62" s="82">
        <f>$CX$62*VLOOKUP($CX$11,'PCU Values'!$B$9:$C$16,2,FALSE)</f>
        <v>0</v>
      </c>
      <c r="DG62" s="71">
        <f>SUM($CY$62,$CZ$62,$DA$62,$DB$62,$DC$62,$DD$62,$DE$62,$DF$62)</f>
        <v>11</v>
      </c>
      <c r="DH62" s="52">
        <f>SUM($CQ$62,$CR$62,$CS$62,$CT$62,$CU$62,$CV$62,$CW$62,$CX$62)</f>
        <v>14</v>
      </c>
    </row>
    <row r="63" spans="1:112" ht="21" customHeight="1">
      <c r="A63" s="46">
        <v>44395.427083333299</v>
      </c>
      <c r="B63" s="47" t="s">
        <v>72</v>
      </c>
      <c r="C63" s="48">
        <v>6</v>
      </c>
      <c r="D63" s="48">
        <v>2</v>
      </c>
      <c r="E63" s="48">
        <v>1</v>
      </c>
      <c r="F63" s="48">
        <v>0</v>
      </c>
      <c r="G63" s="48">
        <v>0</v>
      </c>
      <c r="H63" s="48">
        <v>0</v>
      </c>
      <c r="I63" s="48">
        <v>0</v>
      </c>
      <c r="J63" s="56">
        <v>0</v>
      </c>
      <c r="K63" s="57">
        <f>$C$63*VLOOKUP($C$11,'PCU Values'!$B$9:$C$16,2,FALSE)</f>
        <v>6</v>
      </c>
      <c r="L63" s="57">
        <f>$D$63*VLOOKUP($D$11,'PCU Values'!$B$9:$C$16,2,FALSE)</f>
        <v>2</v>
      </c>
      <c r="M63" s="57">
        <f>$E$63*VLOOKUP($E$11,'PCU Values'!$B$9:$C$16,2,FALSE)</f>
        <v>1.5</v>
      </c>
      <c r="N63" s="57">
        <f>$F$63*VLOOKUP($F$11,'PCU Values'!$B$9:$C$16,2,FALSE)</f>
        <v>0</v>
      </c>
      <c r="O63" s="57">
        <f>$G$63*VLOOKUP($G$11,'PCU Values'!$B$9:$C$16,2,FALSE)</f>
        <v>0</v>
      </c>
      <c r="P63" s="57">
        <f>$H$63*VLOOKUP($H$11,'PCU Values'!$B$9:$C$16,2,FALSE)</f>
        <v>0</v>
      </c>
      <c r="Q63" s="57">
        <f>$I$63*VLOOKUP($I$11,'PCU Values'!$B$9:$C$16,2,FALSE)</f>
        <v>0</v>
      </c>
      <c r="R63" s="65">
        <f>$J$63*VLOOKUP($J$11,'PCU Values'!$B$9:$C$16,2,FALSE)</f>
        <v>0</v>
      </c>
      <c r="S63" s="66">
        <f>SUM($K$63,$L$63,$M$63,$N$63,$O$63,$P$63,$Q$63,$R$63)</f>
        <v>9.5</v>
      </c>
      <c r="T63" s="52">
        <f>SUM($C$63,$D$63,$E$63,$F$63,$G$63,$H$63,$I$63,$J$63)</f>
        <v>9</v>
      </c>
      <c r="U63" s="67">
        <v>0</v>
      </c>
      <c r="V63" s="48">
        <v>0</v>
      </c>
      <c r="W63" s="48">
        <v>0</v>
      </c>
      <c r="X63" s="48">
        <v>0</v>
      </c>
      <c r="Y63" s="48">
        <v>0</v>
      </c>
      <c r="Z63" s="48">
        <v>3</v>
      </c>
      <c r="AA63" s="48">
        <v>0</v>
      </c>
      <c r="AB63" s="56">
        <v>0</v>
      </c>
      <c r="AC63" s="57">
        <f>$U$63*VLOOKUP($U$11,'PCU Values'!$B$9:$C$16,2,FALSE)</f>
        <v>0</v>
      </c>
      <c r="AD63" s="57">
        <f>$V$63*VLOOKUP($V$11,'PCU Values'!$B$9:$C$16,2,FALSE)</f>
        <v>0</v>
      </c>
      <c r="AE63" s="57">
        <f>$W$63*VLOOKUP($W$11,'PCU Values'!$B$9:$C$16,2,FALSE)</f>
        <v>0</v>
      </c>
      <c r="AF63" s="57">
        <f>$X$63*VLOOKUP($X$11,'PCU Values'!$B$9:$C$16,2,FALSE)</f>
        <v>0</v>
      </c>
      <c r="AG63" s="57">
        <f>$Y$63*VLOOKUP($Y$11,'PCU Values'!$B$9:$C$16,2,FALSE)</f>
        <v>0</v>
      </c>
      <c r="AH63" s="57">
        <f>$Z$63*VLOOKUP($Z$11,'PCU Values'!$B$9:$C$16,2,FALSE)</f>
        <v>0.6</v>
      </c>
      <c r="AI63" s="57">
        <f>$AA$63*VLOOKUP($AA$11,'PCU Values'!$B$9:$C$16,2,FALSE)</f>
        <v>0</v>
      </c>
      <c r="AJ63" s="65">
        <f>$AB$63*VLOOKUP($AB$11,'PCU Values'!$B$9:$C$16,2,FALSE)</f>
        <v>0</v>
      </c>
      <c r="AK63" s="66">
        <f>SUM($AC$63,$AD$63,$AE$63,$AF$63,$AG$63,$AH$63,$AI$63,$AJ$63)</f>
        <v>0.6</v>
      </c>
      <c r="AL63" s="52">
        <f>SUM($U$63,$V$63,$W$63,$X$63,$Y$63,$Z$63,$AA$63,$AB$63)</f>
        <v>3</v>
      </c>
      <c r="AM63" s="67">
        <v>1</v>
      </c>
      <c r="AN63" s="48">
        <v>0</v>
      </c>
      <c r="AO63" s="48">
        <v>0</v>
      </c>
      <c r="AP63" s="48">
        <v>0</v>
      </c>
      <c r="AQ63" s="48">
        <v>0</v>
      </c>
      <c r="AR63" s="48">
        <v>0</v>
      </c>
      <c r="AS63" s="48">
        <v>0</v>
      </c>
      <c r="AT63" s="56">
        <v>0</v>
      </c>
      <c r="AU63" s="57">
        <f>$AM$63*VLOOKUP($AM$11,'PCU Values'!$B$9:$C$16,2,FALSE)</f>
        <v>1</v>
      </c>
      <c r="AV63" s="57">
        <f>$AN$63*VLOOKUP($AN$11,'PCU Values'!$B$9:$C$16,2,FALSE)</f>
        <v>0</v>
      </c>
      <c r="AW63" s="57">
        <f>$AO$63*VLOOKUP($AO$11,'PCU Values'!$B$9:$C$16,2,FALSE)</f>
        <v>0</v>
      </c>
      <c r="AX63" s="57">
        <f>$AP$63*VLOOKUP($AP$11,'PCU Values'!$B$9:$C$16,2,FALSE)</f>
        <v>0</v>
      </c>
      <c r="AY63" s="57">
        <f>$AQ$63*VLOOKUP($AQ$11,'PCU Values'!$B$9:$C$16,2,FALSE)</f>
        <v>0</v>
      </c>
      <c r="AZ63" s="57">
        <f>$AR$63*VLOOKUP($AR$11,'PCU Values'!$B$9:$C$16,2,FALSE)</f>
        <v>0</v>
      </c>
      <c r="BA63" s="57">
        <f>$AS$63*VLOOKUP($AS$11,'PCU Values'!$B$9:$C$16,2,FALSE)</f>
        <v>0</v>
      </c>
      <c r="BB63" s="65">
        <f>$AT$63*VLOOKUP($AT$11,'PCU Values'!$B$9:$C$16,2,FALSE)</f>
        <v>0</v>
      </c>
      <c r="BC63" s="66">
        <f>SUM($AU$63,$AV$63,$AW$63,$AX$63,$AY$63,$AZ$63,$BA$63,$BB$63)</f>
        <v>1</v>
      </c>
      <c r="BD63" s="52">
        <f>SUM($AM$63,$AN$63,$AO$63,$AP$63,$AQ$63,$AR$63,$AS$63,$AT$63)</f>
        <v>1</v>
      </c>
      <c r="BE63" s="67">
        <v>0</v>
      </c>
      <c r="BF63" s="48">
        <v>0</v>
      </c>
      <c r="BG63" s="48">
        <v>0</v>
      </c>
      <c r="BH63" s="48">
        <v>0</v>
      </c>
      <c r="BI63" s="48">
        <v>0</v>
      </c>
      <c r="BJ63" s="48">
        <v>0</v>
      </c>
      <c r="BK63" s="48">
        <v>0</v>
      </c>
      <c r="BL63" s="56">
        <v>0</v>
      </c>
      <c r="BM63" s="77">
        <f>$BE$63*VLOOKUP($BE$11,'PCU Values'!$B$9:$C$16,2,FALSE)</f>
        <v>0</v>
      </c>
      <c r="BN63" s="77">
        <f>$BF$63*VLOOKUP($BF$11,'PCU Values'!$B$9:$C$16,2,FALSE)</f>
        <v>0</v>
      </c>
      <c r="BO63" s="77">
        <f>$BG$63*VLOOKUP($BG$11,'PCU Values'!$B$9:$C$16,2,FALSE)</f>
        <v>0</v>
      </c>
      <c r="BP63" s="77">
        <f>$BH$63*VLOOKUP($BH$11,'PCU Values'!$B$9:$C$16,2,FALSE)</f>
        <v>0</v>
      </c>
      <c r="BQ63" s="77">
        <f>$BI$63*VLOOKUP($BI$11,'PCU Values'!$B$9:$C$16,2,FALSE)</f>
        <v>0</v>
      </c>
      <c r="BR63" s="77">
        <f>$BJ$63*VLOOKUP($BJ$11,'PCU Values'!$B$9:$C$16,2,FALSE)</f>
        <v>0</v>
      </c>
      <c r="BS63" s="77">
        <f>$BK$63*VLOOKUP($BK$11,'PCU Values'!$B$9:$C$16,2,FALSE)</f>
        <v>0</v>
      </c>
      <c r="BT63" s="78">
        <f>$BL$63*VLOOKUP($BL$11,'PCU Values'!$B$9:$C$16,2,FALSE)</f>
        <v>0</v>
      </c>
      <c r="BU63" s="66">
        <f>SUM($BM$63,$BN$63,$BO$63,$BP$63,$BQ$63,$BR$63,$BS$63,$BT$63)</f>
        <v>0</v>
      </c>
      <c r="BV63" s="52">
        <f>SUM($BE$63,$BF$63,$BG$63,$BH$63,$BI$63,$BJ$63,$BK$63,$BL$63)</f>
        <v>0</v>
      </c>
      <c r="BX63" s="47" t="s">
        <v>72</v>
      </c>
      <c r="BY63" s="83">
        <f>SUM($C$63,$U$63,$AM$63,$BE$63)</f>
        <v>7</v>
      </c>
      <c r="BZ63" s="83">
        <f>SUM($D$63,$V$63,$AN$63,$BF$63)</f>
        <v>2</v>
      </c>
      <c r="CA63" s="83">
        <f>SUM($E$63,$W$63,$AO$63,$BG$63)</f>
        <v>1</v>
      </c>
      <c r="CB63" s="83">
        <f>SUM($F$63,$X$63,$AP$63,$BH$63)</f>
        <v>0</v>
      </c>
      <c r="CC63" s="83">
        <f>SUM($G$63,$Y$63,$AQ$63,$BI$63)</f>
        <v>0</v>
      </c>
      <c r="CD63" s="83">
        <f>SUM($H$63,$Z$63,$AR$63,$BJ$63)</f>
        <v>3</v>
      </c>
      <c r="CE63" s="83">
        <f>SUM($I$63,$AA$63,$AS$63,$BK$63)</f>
        <v>0</v>
      </c>
      <c r="CF63" s="86">
        <f>SUM($J$63,$AB$63,$AT$63,$BL$63)</f>
        <v>0</v>
      </c>
      <c r="CG63" s="77">
        <f>$BY$63*VLOOKUP($BY$11,'PCU Values'!$B$9:$C$16,2,FALSE)</f>
        <v>7</v>
      </c>
      <c r="CH63" s="77">
        <f>$BZ$63*VLOOKUP($BZ$11,'PCU Values'!$B$9:$C$16,2,FALSE)</f>
        <v>2</v>
      </c>
      <c r="CI63" s="77">
        <f>$CA$63*VLOOKUP($CA$11,'PCU Values'!$B$9:$C$16,2,FALSE)</f>
        <v>1.5</v>
      </c>
      <c r="CJ63" s="77">
        <f>$CB$63*VLOOKUP($CB$11,'PCU Values'!$B$9:$C$16,2,FALSE)</f>
        <v>0</v>
      </c>
      <c r="CK63" s="77">
        <f>$CC$63*VLOOKUP($CC$11,'PCU Values'!$B$9:$C$16,2,FALSE)</f>
        <v>0</v>
      </c>
      <c r="CL63" s="77">
        <f>$CD$63*VLOOKUP($CD$11,'PCU Values'!$B$9:$C$16,2,FALSE)</f>
        <v>0.6</v>
      </c>
      <c r="CM63" s="77">
        <f>$CE$63*VLOOKUP($CE$11,'PCU Values'!$B$9:$C$16,2,FALSE)</f>
        <v>0</v>
      </c>
      <c r="CN63" s="78">
        <f>$CF$63*VLOOKUP($CF$11,'PCU Values'!$B$9:$C$16,2,FALSE)</f>
        <v>0</v>
      </c>
      <c r="CO63" s="66">
        <f>SUM($CG$63,$CH$63,$CI$63,$CJ$63,$CK$63,$CL$63,$CM$63,$CN$63)</f>
        <v>11.1</v>
      </c>
      <c r="CP63" s="52">
        <f>SUM($BY$63,$BZ$63,$CA$63,$CB$63,$CC$63,$CD$63,$CE$63,$CF$63)</f>
        <v>13</v>
      </c>
      <c r="CQ63" s="89">
        <f>SUM('J1 A - (North) Bishopthorpe Roa'!$AM$63,'J1 B - Butcher Terrace'!$U$63,'J1 C - (South) Bishopthorpe Roa'!$C$63,'J1 D - South Bank Avenue'!$BE$63)</f>
        <v>5</v>
      </c>
      <c r="CR63" s="83">
        <f>SUM('J1 A - (North) Bishopthorpe Roa'!$AN$63,'J1 B - Butcher Terrace'!$V$63,'J1 C - (South) Bishopthorpe Roa'!$D$63,'J1 D - South Bank Avenue'!$BF$63)</f>
        <v>3</v>
      </c>
      <c r="CS63" s="83">
        <f>SUM('J1 A - (North) Bishopthorpe Roa'!$AO$63,'J1 B - Butcher Terrace'!$W$63,'J1 C - (South) Bishopthorpe Roa'!$E$63,'J1 D - South Bank Avenue'!$BG$63)</f>
        <v>0</v>
      </c>
      <c r="CT63" s="83">
        <f>SUM('J1 A - (North) Bishopthorpe Roa'!$AP$63,'J1 B - Butcher Terrace'!$X$63,'J1 C - (South) Bishopthorpe Roa'!$F$63,'J1 D - South Bank Avenue'!$BH$63)</f>
        <v>0</v>
      </c>
      <c r="CU63" s="83">
        <f>SUM('J1 A - (North) Bishopthorpe Roa'!$AQ$63,'J1 B - Butcher Terrace'!$Y$63,'J1 C - (South) Bishopthorpe Roa'!$G$63,'J1 D - South Bank Avenue'!$BI$63)</f>
        <v>0</v>
      </c>
      <c r="CV63" s="83">
        <f>SUM('J1 A - (North) Bishopthorpe Roa'!$AR$63,'J1 B - Butcher Terrace'!$Z$63,'J1 C - (South) Bishopthorpe Roa'!$H$63,'J1 D - South Bank Avenue'!$BJ$63)</f>
        <v>18</v>
      </c>
      <c r="CW63" s="83">
        <f>SUM('J1 A - (North) Bishopthorpe Roa'!$AS$63,'J1 B - Butcher Terrace'!$AA$63,'J1 C - (South) Bishopthorpe Roa'!$I$63,'J1 D - South Bank Avenue'!$BK$63)</f>
        <v>0</v>
      </c>
      <c r="CX63" s="86">
        <f>SUM('J1 A - (North) Bishopthorpe Roa'!$AT$63,'J1 B - Butcher Terrace'!$AB$63,'J1 C - (South) Bishopthorpe Roa'!$J$63,'J1 D - South Bank Avenue'!$BL$63)</f>
        <v>0</v>
      </c>
      <c r="CY63" s="77">
        <f>$CQ$63*VLOOKUP($CQ$11,'PCU Values'!$B$9:$C$16,2,FALSE)</f>
        <v>5</v>
      </c>
      <c r="CZ63" s="77">
        <f>$CR$63*VLOOKUP($CR$11,'PCU Values'!$B$9:$C$16,2,FALSE)</f>
        <v>3</v>
      </c>
      <c r="DA63" s="77">
        <f>$CS$63*VLOOKUP($CS$11,'PCU Values'!$B$9:$C$16,2,FALSE)</f>
        <v>0</v>
      </c>
      <c r="DB63" s="77">
        <f>$CT$63*VLOOKUP($CT$11,'PCU Values'!$B$9:$C$16,2,FALSE)</f>
        <v>0</v>
      </c>
      <c r="DC63" s="77">
        <f>$CU$63*VLOOKUP($CU$11,'PCU Values'!$B$9:$C$16,2,FALSE)</f>
        <v>0</v>
      </c>
      <c r="DD63" s="77">
        <f>$CV$63*VLOOKUP($CV$11,'PCU Values'!$B$9:$C$16,2,FALSE)</f>
        <v>3.6</v>
      </c>
      <c r="DE63" s="77">
        <f>$CW$63*VLOOKUP($CW$11,'PCU Values'!$B$9:$C$16,2,FALSE)</f>
        <v>0</v>
      </c>
      <c r="DF63" s="78">
        <f>$CX$63*VLOOKUP($CX$11,'PCU Values'!$B$9:$C$16,2,FALSE)</f>
        <v>0</v>
      </c>
      <c r="DG63" s="66">
        <f>SUM($CY$63,$CZ$63,$DA$63,$DB$63,$DC$63,$DD$63,$DE$63,$DF$63)</f>
        <v>11.6</v>
      </c>
      <c r="DH63" s="52">
        <f>SUM($CQ$63,$CR$63,$CS$63,$CT$63,$CU$63,$CV$63,$CW$63,$CX$63)</f>
        <v>26</v>
      </c>
    </row>
    <row r="64" spans="1:112" ht="21" customHeight="1">
      <c r="A64" s="46">
        <v>44395.4375</v>
      </c>
      <c r="B64" s="47" t="s">
        <v>73</v>
      </c>
      <c r="C64" s="48">
        <v>5</v>
      </c>
      <c r="D64" s="48">
        <v>3</v>
      </c>
      <c r="E64" s="48">
        <v>0</v>
      </c>
      <c r="F64" s="48">
        <v>0</v>
      </c>
      <c r="G64" s="48">
        <v>0</v>
      </c>
      <c r="H64" s="48">
        <v>1</v>
      </c>
      <c r="I64" s="48">
        <v>0</v>
      </c>
      <c r="J64" s="56">
        <v>0</v>
      </c>
      <c r="K64" s="57">
        <f>$C$64*VLOOKUP($C$11,'PCU Values'!$B$9:$C$16,2,FALSE)</f>
        <v>5</v>
      </c>
      <c r="L64" s="57">
        <f>$D$64*VLOOKUP($D$11,'PCU Values'!$B$9:$C$16,2,FALSE)</f>
        <v>3</v>
      </c>
      <c r="M64" s="57">
        <f>$E$64*VLOOKUP($E$11,'PCU Values'!$B$9:$C$16,2,FALSE)</f>
        <v>0</v>
      </c>
      <c r="N64" s="57">
        <f>$F$64*VLOOKUP($F$11,'PCU Values'!$B$9:$C$16,2,FALSE)</f>
        <v>0</v>
      </c>
      <c r="O64" s="57">
        <f>$G$64*VLOOKUP($G$11,'PCU Values'!$B$9:$C$16,2,FALSE)</f>
        <v>0</v>
      </c>
      <c r="P64" s="57">
        <f>$H$64*VLOOKUP($H$11,'PCU Values'!$B$9:$C$16,2,FALSE)</f>
        <v>0.2</v>
      </c>
      <c r="Q64" s="57">
        <f>$I$64*VLOOKUP($I$11,'PCU Values'!$B$9:$C$16,2,FALSE)</f>
        <v>0</v>
      </c>
      <c r="R64" s="65">
        <f>$J$64*VLOOKUP($J$11,'PCU Values'!$B$9:$C$16,2,FALSE)</f>
        <v>0</v>
      </c>
      <c r="S64" s="66">
        <f>SUM($K$64,$L$64,$M$64,$N$64,$O$64,$P$64,$Q$64,$R$64)</f>
        <v>8.1999999999999993</v>
      </c>
      <c r="T64" s="52">
        <f>SUM($C$64,$D$64,$E$64,$F$64,$G$64,$H$64,$I$64,$J$64)</f>
        <v>9</v>
      </c>
      <c r="U64" s="67">
        <v>0</v>
      </c>
      <c r="V64" s="48">
        <v>0</v>
      </c>
      <c r="W64" s="48">
        <v>0</v>
      </c>
      <c r="X64" s="48">
        <v>0</v>
      </c>
      <c r="Y64" s="48">
        <v>0</v>
      </c>
      <c r="Z64" s="48">
        <v>1</v>
      </c>
      <c r="AA64" s="48">
        <v>0</v>
      </c>
      <c r="AB64" s="56">
        <v>0</v>
      </c>
      <c r="AC64" s="57">
        <f>$U$64*VLOOKUP($U$11,'PCU Values'!$B$9:$C$16,2,FALSE)</f>
        <v>0</v>
      </c>
      <c r="AD64" s="57">
        <f>$V$64*VLOOKUP($V$11,'PCU Values'!$B$9:$C$16,2,FALSE)</f>
        <v>0</v>
      </c>
      <c r="AE64" s="57">
        <f>$W$64*VLOOKUP($W$11,'PCU Values'!$B$9:$C$16,2,FALSE)</f>
        <v>0</v>
      </c>
      <c r="AF64" s="57">
        <f>$X$64*VLOOKUP($X$11,'PCU Values'!$B$9:$C$16,2,FALSE)</f>
        <v>0</v>
      </c>
      <c r="AG64" s="57">
        <f>$Y$64*VLOOKUP($Y$11,'PCU Values'!$B$9:$C$16,2,FALSE)</f>
        <v>0</v>
      </c>
      <c r="AH64" s="57">
        <f>$Z$64*VLOOKUP($Z$11,'PCU Values'!$B$9:$C$16,2,FALSE)</f>
        <v>0.2</v>
      </c>
      <c r="AI64" s="57">
        <f>$AA$64*VLOOKUP($AA$11,'PCU Values'!$B$9:$C$16,2,FALSE)</f>
        <v>0</v>
      </c>
      <c r="AJ64" s="65">
        <f>$AB$64*VLOOKUP($AB$11,'PCU Values'!$B$9:$C$16,2,FALSE)</f>
        <v>0</v>
      </c>
      <c r="AK64" s="66">
        <f>SUM($AC$64,$AD$64,$AE$64,$AF$64,$AG$64,$AH$64,$AI$64,$AJ$64)</f>
        <v>0.2</v>
      </c>
      <c r="AL64" s="52">
        <f>SUM($U$64,$V$64,$W$64,$X$64,$Y$64,$Z$64,$AA$64,$AB$64)</f>
        <v>1</v>
      </c>
      <c r="AM64" s="67">
        <v>1</v>
      </c>
      <c r="AN64" s="48">
        <v>0</v>
      </c>
      <c r="AO64" s="48">
        <v>0</v>
      </c>
      <c r="AP64" s="48">
        <v>0</v>
      </c>
      <c r="AQ64" s="48">
        <v>0</v>
      </c>
      <c r="AR64" s="48">
        <v>0</v>
      </c>
      <c r="AS64" s="48">
        <v>0</v>
      </c>
      <c r="AT64" s="56">
        <v>0</v>
      </c>
      <c r="AU64" s="57">
        <f>$AM$64*VLOOKUP($AM$11,'PCU Values'!$B$9:$C$16,2,FALSE)</f>
        <v>1</v>
      </c>
      <c r="AV64" s="57">
        <f>$AN$64*VLOOKUP($AN$11,'PCU Values'!$B$9:$C$16,2,FALSE)</f>
        <v>0</v>
      </c>
      <c r="AW64" s="57">
        <f>$AO$64*VLOOKUP($AO$11,'PCU Values'!$B$9:$C$16,2,FALSE)</f>
        <v>0</v>
      </c>
      <c r="AX64" s="57">
        <f>$AP$64*VLOOKUP($AP$11,'PCU Values'!$B$9:$C$16,2,FALSE)</f>
        <v>0</v>
      </c>
      <c r="AY64" s="57">
        <f>$AQ$64*VLOOKUP($AQ$11,'PCU Values'!$B$9:$C$16,2,FALSE)</f>
        <v>0</v>
      </c>
      <c r="AZ64" s="57">
        <f>$AR$64*VLOOKUP($AR$11,'PCU Values'!$B$9:$C$16,2,FALSE)</f>
        <v>0</v>
      </c>
      <c r="BA64" s="57">
        <f>$AS$64*VLOOKUP($AS$11,'PCU Values'!$B$9:$C$16,2,FALSE)</f>
        <v>0</v>
      </c>
      <c r="BB64" s="65">
        <f>$AT$64*VLOOKUP($AT$11,'PCU Values'!$B$9:$C$16,2,FALSE)</f>
        <v>0</v>
      </c>
      <c r="BC64" s="66">
        <f>SUM($AU$64,$AV$64,$AW$64,$AX$64,$AY$64,$AZ$64,$BA$64,$BB$64)</f>
        <v>1</v>
      </c>
      <c r="BD64" s="52">
        <f>SUM($AM$64,$AN$64,$AO$64,$AP$64,$AQ$64,$AR$64,$AS$64,$AT$64)</f>
        <v>1</v>
      </c>
      <c r="BE64" s="67">
        <v>0</v>
      </c>
      <c r="BF64" s="48">
        <v>0</v>
      </c>
      <c r="BG64" s="48">
        <v>0</v>
      </c>
      <c r="BH64" s="48">
        <v>0</v>
      </c>
      <c r="BI64" s="48">
        <v>0</v>
      </c>
      <c r="BJ64" s="48">
        <v>0</v>
      </c>
      <c r="BK64" s="48">
        <v>0</v>
      </c>
      <c r="BL64" s="56">
        <v>0</v>
      </c>
      <c r="BM64" s="77">
        <f>$BE$64*VLOOKUP($BE$11,'PCU Values'!$B$9:$C$16,2,FALSE)</f>
        <v>0</v>
      </c>
      <c r="BN64" s="77">
        <f>$BF$64*VLOOKUP($BF$11,'PCU Values'!$B$9:$C$16,2,FALSE)</f>
        <v>0</v>
      </c>
      <c r="BO64" s="77">
        <f>$BG$64*VLOOKUP($BG$11,'PCU Values'!$B$9:$C$16,2,FALSE)</f>
        <v>0</v>
      </c>
      <c r="BP64" s="77">
        <f>$BH$64*VLOOKUP($BH$11,'PCU Values'!$B$9:$C$16,2,FALSE)</f>
        <v>0</v>
      </c>
      <c r="BQ64" s="77">
        <f>$BI$64*VLOOKUP($BI$11,'PCU Values'!$B$9:$C$16,2,FALSE)</f>
        <v>0</v>
      </c>
      <c r="BR64" s="77">
        <f>$BJ$64*VLOOKUP($BJ$11,'PCU Values'!$B$9:$C$16,2,FALSE)</f>
        <v>0</v>
      </c>
      <c r="BS64" s="77">
        <f>$BK$64*VLOOKUP($BK$11,'PCU Values'!$B$9:$C$16,2,FALSE)</f>
        <v>0</v>
      </c>
      <c r="BT64" s="78">
        <f>$BL$64*VLOOKUP($BL$11,'PCU Values'!$B$9:$C$16,2,FALSE)</f>
        <v>0</v>
      </c>
      <c r="BU64" s="66">
        <f>SUM($BM$64,$BN$64,$BO$64,$BP$64,$BQ$64,$BR$64,$BS$64,$BT$64)</f>
        <v>0</v>
      </c>
      <c r="BV64" s="52">
        <f>SUM($BE$64,$BF$64,$BG$64,$BH$64,$BI$64,$BJ$64,$BK$64,$BL$64)</f>
        <v>0</v>
      </c>
      <c r="BX64" s="47" t="s">
        <v>73</v>
      </c>
      <c r="BY64" s="83">
        <f>SUM($C$64,$U$64,$AM$64,$BE$64)</f>
        <v>6</v>
      </c>
      <c r="BZ64" s="83">
        <f>SUM($D$64,$V$64,$AN$64,$BF$64)</f>
        <v>3</v>
      </c>
      <c r="CA64" s="83">
        <f>SUM($E$64,$W$64,$AO$64,$BG$64)</f>
        <v>0</v>
      </c>
      <c r="CB64" s="83">
        <f>SUM($F$64,$X$64,$AP$64,$BH$64)</f>
        <v>0</v>
      </c>
      <c r="CC64" s="83">
        <f>SUM($G$64,$Y$64,$AQ$64,$BI$64)</f>
        <v>0</v>
      </c>
      <c r="CD64" s="83">
        <f>SUM($H$64,$Z$64,$AR$64,$BJ$64)</f>
        <v>2</v>
      </c>
      <c r="CE64" s="83">
        <f>SUM($I$64,$AA$64,$AS$64,$BK$64)</f>
        <v>0</v>
      </c>
      <c r="CF64" s="86">
        <f>SUM($J$64,$AB$64,$AT$64,$BL$64)</f>
        <v>0</v>
      </c>
      <c r="CG64" s="77">
        <f>$BY$64*VLOOKUP($BY$11,'PCU Values'!$B$9:$C$16,2,FALSE)</f>
        <v>6</v>
      </c>
      <c r="CH64" s="77">
        <f>$BZ$64*VLOOKUP($BZ$11,'PCU Values'!$B$9:$C$16,2,FALSE)</f>
        <v>3</v>
      </c>
      <c r="CI64" s="77">
        <f>$CA$64*VLOOKUP($CA$11,'PCU Values'!$B$9:$C$16,2,FALSE)</f>
        <v>0</v>
      </c>
      <c r="CJ64" s="77">
        <f>$CB$64*VLOOKUP($CB$11,'PCU Values'!$B$9:$C$16,2,FALSE)</f>
        <v>0</v>
      </c>
      <c r="CK64" s="77">
        <f>$CC$64*VLOOKUP($CC$11,'PCU Values'!$B$9:$C$16,2,FALSE)</f>
        <v>0</v>
      </c>
      <c r="CL64" s="77">
        <f>$CD$64*VLOOKUP($CD$11,'PCU Values'!$B$9:$C$16,2,FALSE)</f>
        <v>0.4</v>
      </c>
      <c r="CM64" s="77">
        <f>$CE$64*VLOOKUP($CE$11,'PCU Values'!$B$9:$C$16,2,FALSE)</f>
        <v>0</v>
      </c>
      <c r="CN64" s="78">
        <f>$CF$64*VLOOKUP($CF$11,'PCU Values'!$B$9:$C$16,2,FALSE)</f>
        <v>0</v>
      </c>
      <c r="CO64" s="66">
        <f>SUM($CG$64,$CH$64,$CI$64,$CJ$64,$CK$64,$CL$64,$CM$64,$CN$64)</f>
        <v>9.4</v>
      </c>
      <c r="CP64" s="52">
        <f>SUM($BY$64,$BZ$64,$CA$64,$CB$64,$CC$64,$CD$64,$CE$64,$CF$64)</f>
        <v>11</v>
      </c>
      <c r="CQ64" s="89">
        <f>SUM('J1 A - (North) Bishopthorpe Roa'!$AM$64,'J1 B - Butcher Terrace'!$U$64,'J1 C - (South) Bishopthorpe Roa'!$C$64,'J1 D - South Bank Avenue'!$BE$64)</f>
        <v>7</v>
      </c>
      <c r="CR64" s="83">
        <f>SUM('J1 A - (North) Bishopthorpe Roa'!$AN$64,'J1 B - Butcher Terrace'!$V$64,'J1 C - (South) Bishopthorpe Roa'!$D$64,'J1 D - South Bank Avenue'!$BF$64)</f>
        <v>0</v>
      </c>
      <c r="CS64" s="83">
        <f>SUM('J1 A - (North) Bishopthorpe Roa'!$AO$64,'J1 B - Butcher Terrace'!$W$64,'J1 C - (South) Bishopthorpe Roa'!$E$64,'J1 D - South Bank Avenue'!$BG$64)</f>
        <v>0</v>
      </c>
      <c r="CT64" s="83">
        <f>SUM('J1 A - (North) Bishopthorpe Roa'!$AP$64,'J1 B - Butcher Terrace'!$X$64,'J1 C - (South) Bishopthorpe Roa'!$F$64,'J1 D - South Bank Avenue'!$BH$64)</f>
        <v>0</v>
      </c>
      <c r="CU64" s="83">
        <f>SUM('J1 A - (North) Bishopthorpe Roa'!$AQ$64,'J1 B - Butcher Terrace'!$Y$64,'J1 C - (South) Bishopthorpe Roa'!$G$64,'J1 D - South Bank Avenue'!$BI$64)</f>
        <v>0</v>
      </c>
      <c r="CV64" s="83">
        <f>SUM('J1 A - (North) Bishopthorpe Roa'!$AR$64,'J1 B - Butcher Terrace'!$Z$64,'J1 C - (South) Bishopthorpe Roa'!$H$64,'J1 D - South Bank Avenue'!$BJ$64)</f>
        <v>5</v>
      </c>
      <c r="CW64" s="83">
        <f>SUM('J1 A - (North) Bishopthorpe Roa'!$AS$64,'J1 B - Butcher Terrace'!$AA$64,'J1 C - (South) Bishopthorpe Roa'!$I$64,'J1 D - South Bank Avenue'!$BK$64)</f>
        <v>0</v>
      </c>
      <c r="CX64" s="86">
        <f>SUM('J1 A - (North) Bishopthorpe Roa'!$AT$64,'J1 B - Butcher Terrace'!$AB$64,'J1 C - (South) Bishopthorpe Roa'!$J$64,'J1 D - South Bank Avenue'!$BL$64)</f>
        <v>0</v>
      </c>
      <c r="CY64" s="77">
        <f>$CQ$64*VLOOKUP($CQ$11,'PCU Values'!$B$9:$C$16,2,FALSE)</f>
        <v>7</v>
      </c>
      <c r="CZ64" s="77">
        <f>$CR$64*VLOOKUP($CR$11,'PCU Values'!$B$9:$C$16,2,FALSE)</f>
        <v>0</v>
      </c>
      <c r="DA64" s="77">
        <f>$CS$64*VLOOKUP($CS$11,'PCU Values'!$B$9:$C$16,2,FALSE)</f>
        <v>0</v>
      </c>
      <c r="DB64" s="77">
        <f>$CT$64*VLOOKUP($CT$11,'PCU Values'!$B$9:$C$16,2,FALSE)</f>
        <v>0</v>
      </c>
      <c r="DC64" s="77">
        <f>$CU$64*VLOOKUP($CU$11,'PCU Values'!$B$9:$C$16,2,FALSE)</f>
        <v>0</v>
      </c>
      <c r="DD64" s="77">
        <f>$CV$64*VLOOKUP($CV$11,'PCU Values'!$B$9:$C$16,2,FALSE)</f>
        <v>1</v>
      </c>
      <c r="DE64" s="77">
        <f>$CW$64*VLOOKUP($CW$11,'PCU Values'!$B$9:$C$16,2,FALSE)</f>
        <v>0</v>
      </c>
      <c r="DF64" s="78">
        <f>$CX$64*VLOOKUP($CX$11,'PCU Values'!$B$9:$C$16,2,FALSE)</f>
        <v>0</v>
      </c>
      <c r="DG64" s="66">
        <f>SUM($CY$64,$CZ$64,$DA$64,$DB$64,$DC$64,$DD$64,$DE$64,$DF$64)</f>
        <v>8</v>
      </c>
      <c r="DH64" s="52">
        <f>SUM($CQ$64,$CR$64,$CS$64,$CT$64,$CU$64,$CV$64,$CW$64,$CX$64)</f>
        <v>12</v>
      </c>
    </row>
    <row r="65" spans="1:112" ht="21" customHeight="1">
      <c r="A65" s="46">
        <v>44395.447916666701</v>
      </c>
      <c r="B65" s="50" t="s">
        <v>74</v>
      </c>
      <c r="C65" s="51">
        <v>7</v>
      </c>
      <c r="D65" s="51">
        <v>1</v>
      </c>
      <c r="E65" s="51">
        <v>0</v>
      </c>
      <c r="F65" s="51">
        <v>0</v>
      </c>
      <c r="G65" s="51">
        <v>0</v>
      </c>
      <c r="H65" s="51">
        <v>1</v>
      </c>
      <c r="I65" s="51">
        <v>0</v>
      </c>
      <c r="J65" s="59">
        <v>0</v>
      </c>
      <c r="K65" s="60">
        <f>$C$65*VLOOKUP($C$11,'PCU Values'!$B$9:$C$16,2,FALSE)</f>
        <v>7</v>
      </c>
      <c r="L65" s="60">
        <f>$D$65*VLOOKUP($D$11,'PCU Values'!$B$9:$C$16,2,FALSE)</f>
        <v>1</v>
      </c>
      <c r="M65" s="60">
        <f>$E$65*VLOOKUP($E$11,'PCU Values'!$B$9:$C$16,2,FALSE)</f>
        <v>0</v>
      </c>
      <c r="N65" s="60">
        <f>$F$65*VLOOKUP($F$11,'PCU Values'!$B$9:$C$16,2,FALSE)</f>
        <v>0</v>
      </c>
      <c r="O65" s="60">
        <f>$G$65*VLOOKUP($G$11,'PCU Values'!$B$9:$C$16,2,FALSE)</f>
        <v>0</v>
      </c>
      <c r="P65" s="60">
        <f>$H$65*VLOOKUP($H$11,'PCU Values'!$B$9:$C$16,2,FALSE)</f>
        <v>0.2</v>
      </c>
      <c r="Q65" s="60">
        <f>$I$65*VLOOKUP($I$11,'PCU Values'!$B$9:$C$16,2,FALSE)</f>
        <v>0</v>
      </c>
      <c r="R65" s="68">
        <f>$J$65*VLOOKUP($J$11,'PCU Values'!$B$9:$C$16,2,FALSE)</f>
        <v>0</v>
      </c>
      <c r="S65" s="63">
        <f>SUM($K$65,$L$65,$M$65,$N$65,$O$65,$P$65,$Q$65,$R$65)</f>
        <v>8.1999999999999993</v>
      </c>
      <c r="T65" s="52">
        <f>SUM($C$65,$D$65,$E$65,$F$65,$G$65,$H$65,$I$65,$J$65)</f>
        <v>9</v>
      </c>
      <c r="U65" s="73">
        <v>0</v>
      </c>
      <c r="V65" s="51">
        <v>0</v>
      </c>
      <c r="W65" s="51">
        <v>0</v>
      </c>
      <c r="X65" s="51">
        <v>0</v>
      </c>
      <c r="Y65" s="51">
        <v>0</v>
      </c>
      <c r="Z65" s="51">
        <v>7</v>
      </c>
      <c r="AA65" s="51">
        <v>0</v>
      </c>
      <c r="AB65" s="59">
        <v>0</v>
      </c>
      <c r="AC65" s="60">
        <f>$U$65*VLOOKUP($U$11,'PCU Values'!$B$9:$C$16,2,FALSE)</f>
        <v>0</v>
      </c>
      <c r="AD65" s="60">
        <f>$V$65*VLOOKUP($V$11,'PCU Values'!$B$9:$C$16,2,FALSE)</f>
        <v>0</v>
      </c>
      <c r="AE65" s="60">
        <f>$W$65*VLOOKUP($W$11,'PCU Values'!$B$9:$C$16,2,FALSE)</f>
        <v>0</v>
      </c>
      <c r="AF65" s="60">
        <f>$X$65*VLOOKUP($X$11,'PCU Values'!$B$9:$C$16,2,FALSE)</f>
        <v>0</v>
      </c>
      <c r="AG65" s="60">
        <f>$Y$65*VLOOKUP($Y$11,'PCU Values'!$B$9:$C$16,2,FALSE)</f>
        <v>0</v>
      </c>
      <c r="AH65" s="60">
        <f>$Z$65*VLOOKUP($Z$11,'PCU Values'!$B$9:$C$16,2,FALSE)</f>
        <v>1.4</v>
      </c>
      <c r="AI65" s="60">
        <f>$AA$65*VLOOKUP($AA$11,'PCU Values'!$B$9:$C$16,2,FALSE)</f>
        <v>0</v>
      </c>
      <c r="AJ65" s="68">
        <f>$AB$65*VLOOKUP($AB$11,'PCU Values'!$B$9:$C$16,2,FALSE)</f>
        <v>0</v>
      </c>
      <c r="AK65" s="63">
        <f>SUM($AC$65,$AD$65,$AE$65,$AF$65,$AG$65,$AH$65,$AI$65,$AJ$65)</f>
        <v>1.4</v>
      </c>
      <c r="AL65" s="52">
        <f>SUM($U$65,$V$65,$W$65,$X$65,$Y$65,$Z$65,$AA$65,$AB$65)</f>
        <v>7</v>
      </c>
      <c r="AM65" s="73">
        <v>1</v>
      </c>
      <c r="AN65" s="51">
        <v>0</v>
      </c>
      <c r="AO65" s="51">
        <v>0</v>
      </c>
      <c r="AP65" s="51">
        <v>0</v>
      </c>
      <c r="AQ65" s="51">
        <v>0</v>
      </c>
      <c r="AR65" s="51">
        <v>0</v>
      </c>
      <c r="AS65" s="51">
        <v>0</v>
      </c>
      <c r="AT65" s="59">
        <v>0</v>
      </c>
      <c r="AU65" s="60">
        <f>$AM$65*VLOOKUP($AM$11,'PCU Values'!$B$9:$C$16,2,FALSE)</f>
        <v>1</v>
      </c>
      <c r="AV65" s="60">
        <f>$AN$65*VLOOKUP($AN$11,'PCU Values'!$B$9:$C$16,2,FALSE)</f>
        <v>0</v>
      </c>
      <c r="AW65" s="60">
        <f>$AO$65*VLOOKUP($AO$11,'PCU Values'!$B$9:$C$16,2,FALSE)</f>
        <v>0</v>
      </c>
      <c r="AX65" s="60">
        <f>$AP$65*VLOOKUP($AP$11,'PCU Values'!$B$9:$C$16,2,FALSE)</f>
        <v>0</v>
      </c>
      <c r="AY65" s="60">
        <f>$AQ$65*VLOOKUP($AQ$11,'PCU Values'!$B$9:$C$16,2,FALSE)</f>
        <v>0</v>
      </c>
      <c r="AZ65" s="60">
        <f>$AR$65*VLOOKUP($AR$11,'PCU Values'!$B$9:$C$16,2,FALSE)</f>
        <v>0</v>
      </c>
      <c r="BA65" s="60">
        <f>$AS$65*VLOOKUP($AS$11,'PCU Values'!$B$9:$C$16,2,FALSE)</f>
        <v>0</v>
      </c>
      <c r="BB65" s="68">
        <f>$AT$65*VLOOKUP($AT$11,'PCU Values'!$B$9:$C$16,2,FALSE)</f>
        <v>0</v>
      </c>
      <c r="BC65" s="63">
        <f>SUM($AU$65,$AV$65,$AW$65,$AX$65,$AY$65,$AZ$65,$BA$65,$BB$65)</f>
        <v>1</v>
      </c>
      <c r="BD65" s="52">
        <f>SUM($AM$65,$AN$65,$AO$65,$AP$65,$AQ$65,$AR$65,$AS$65,$AT$65)</f>
        <v>1</v>
      </c>
      <c r="BE65" s="73">
        <v>0</v>
      </c>
      <c r="BF65" s="51">
        <v>0</v>
      </c>
      <c r="BG65" s="51">
        <v>0</v>
      </c>
      <c r="BH65" s="51">
        <v>0</v>
      </c>
      <c r="BI65" s="51">
        <v>0</v>
      </c>
      <c r="BJ65" s="51">
        <v>0</v>
      </c>
      <c r="BK65" s="51">
        <v>0</v>
      </c>
      <c r="BL65" s="59">
        <v>0</v>
      </c>
      <c r="BM65" s="79">
        <f>$BE$65*VLOOKUP($BE$11,'PCU Values'!$B$9:$C$16,2,FALSE)</f>
        <v>0</v>
      </c>
      <c r="BN65" s="79">
        <f>$BF$65*VLOOKUP($BF$11,'PCU Values'!$B$9:$C$16,2,FALSE)</f>
        <v>0</v>
      </c>
      <c r="BO65" s="79">
        <f>$BG$65*VLOOKUP($BG$11,'PCU Values'!$B$9:$C$16,2,FALSE)</f>
        <v>0</v>
      </c>
      <c r="BP65" s="79">
        <f>$BH$65*VLOOKUP($BH$11,'PCU Values'!$B$9:$C$16,2,FALSE)</f>
        <v>0</v>
      </c>
      <c r="BQ65" s="79">
        <f>$BI$65*VLOOKUP($BI$11,'PCU Values'!$B$9:$C$16,2,FALSE)</f>
        <v>0</v>
      </c>
      <c r="BR65" s="79">
        <f>$BJ$65*VLOOKUP($BJ$11,'PCU Values'!$B$9:$C$16,2,FALSE)</f>
        <v>0</v>
      </c>
      <c r="BS65" s="79">
        <f>$BK$65*VLOOKUP($BK$11,'PCU Values'!$B$9:$C$16,2,FALSE)</f>
        <v>0</v>
      </c>
      <c r="BT65" s="80">
        <f>$BL$65*VLOOKUP($BL$11,'PCU Values'!$B$9:$C$16,2,FALSE)</f>
        <v>0</v>
      </c>
      <c r="BU65" s="63">
        <f>SUM($BM$65,$BN$65,$BO$65,$BP$65,$BQ$65,$BR$65,$BS$65,$BT$65)</f>
        <v>0</v>
      </c>
      <c r="BV65" s="52">
        <f>SUM($BE$65,$BF$65,$BG$65,$BH$65,$BI$65,$BJ$65,$BK$65,$BL$65)</f>
        <v>0</v>
      </c>
      <c r="BX65" s="50" t="s">
        <v>74</v>
      </c>
      <c r="BY65" s="84">
        <f>SUM($C$65,$U$65,$AM$65,$BE$65)</f>
        <v>8</v>
      </c>
      <c r="BZ65" s="84">
        <f>SUM($D$65,$V$65,$AN$65,$BF$65)</f>
        <v>1</v>
      </c>
      <c r="CA65" s="84">
        <f>SUM($E$65,$W$65,$AO$65,$BG$65)</f>
        <v>0</v>
      </c>
      <c r="CB65" s="84">
        <f>SUM($F$65,$X$65,$AP$65,$BH$65)</f>
        <v>0</v>
      </c>
      <c r="CC65" s="84">
        <f>SUM($G$65,$Y$65,$AQ$65,$BI$65)</f>
        <v>0</v>
      </c>
      <c r="CD65" s="84">
        <f>SUM($H$65,$Z$65,$AR$65,$BJ$65)</f>
        <v>8</v>
      </c>
      <c r="CE65" s="84">
        <f>SUM($I$65,$AA$65,$AS$65,$BK$65)</f>
        <v>0</v>
      </c>
      <c r="CF65" s="87">
        <f>SUM($J$65,$AB$65,$AT$65,$BL$65)</f>
        <v>0</v>
      </c>
      <c r="CG65" s="79">
        <f>$BY$65*VLOOKUP($BY$11,'PCU Values'!$B$9:$C$16,2,FALSE)</f>
        <v>8</v>
      </c>
      <c r="CH65" s="79">
        <f>$BZ$65*VLOOKUP($BZ$11,'PCU Values'!$B$9:$C$16,2,FALSE)</f>
        <v>1</v>
      </c>
      <c r="CI65" s="79">
        <f>$CA$65*VLOOKUP($CA$11,'PCU Values'!$B$9:$C$16,2,FALSE)</f>
        <v>0</v>
      </c>
      <c r="CJ65" s="79">
        <f>$CB$65*VLOOKUP($CB$11,'PCU Values'!$B$9:$C$16,2,FALSE)</f>
        <v>0</v>
      </c>
      <c r="CK65" s="79">
        <f>$CC$65*VLOOKUP($CC$11,'PCU Values'!$B$9:$C$16,2,FALSE)</f>
        <v>0</v>
      </c>
      <c r="CL65" s="79">
        <f>$CD$65*VLOOKUP($CD$11,'PCU Values'!$B$9:$C$16,2,FALSE)</f>
        <v>1.6</v>
      </c>
      <c r="CM65" s="79">
        <f>$CE$65*VLOOKUP($CE$11,'PCU Values'!$B$9:$C$16,2,FALSE)</f>
        <v>0</v>
      </c>
      <c r="CN65" s="80">
        <f>$CF$65*VLOOKUP($CF$11,'PCU Values'!$B$9:$C$16,2,FALSE)</f>
        <v>0</v>
      </c>
      <c r="CO65" s="63">
        <f>SUM($CG$65,$CH$65,$CI$65,$CJ$65,$CK$65,$CL$65,$CM$65,$CN$65)</f>
        <v>10.6</v>
      </c>
      <c r="CP65" s="52">
        <f>SUM($BY$65,$BZ$65,$CA$65,$CB$65,$CC$65,$CD$65,$CE$65,$CF$65)</f>
        <v>17</v>
      </c>
      <c r="CQ65" s="90">
        <f>SUM('J1 A - (North) Bishopthorpe Roa'!$AM$65,'J1 B - Butcher Terrace'!$U$65,'J1 C - (South) Bishopthorpe Roa'!$C$65,'J1 D - South Bank Avenue'!$BE$65)</f>
        <v>9</v>
      </c>
      <c r="CR65" s="84">
        <f>SUM('J1 A - (North) Bishopthorpe Roa'!$AN$65,'J1 B - Butcher Terrace'!$V$65,'J1 C - (South) Bishopthorpe Roa'!$D$65,'J1 D - South Bank Avenue'!$BF$65)</f>
        <v>3</v>
      </c>
      <c r="CS65" s="84">
        <f>SUM('J1 A - (North) Bishopthorpe Roa'!$AO$65,'J1 B - Butcher Terrace'!$W$65,'J1 C - (South) Bishopthorpe Roa'!$E$65,'J1 D - South Bank Avenue'!$BG$65)</f>
        <v>0</v>
      </c>
      <c r="CT65" s="84">
        <f>SUM('J1 A - (North) Bishopthorpe Roa'!$AP$65,'J1 B - Butcher Terrace'!$X$65,'J1 C - (South) Bishopthorpe Roa'!$F$65,'J1 D - South Bank Avenue'!$BH$65)</f>
        <v>0</v>
      </c>
      <c r="CU65" s="84">
        <f>SUM('J1 A - (North) Bishopthorpe Roa'!$AQ$65,'J1 B - Butcher Terrace'!$Y$65,'J1 C - (South) Bishopthorpe Roa'!$G$65,'J1 D - South Bank Avenue'!$BI$65)</f>
        <v>0</v>
      </c>
      <c r="CV65" s="84">
        <f>SUM('J1 A - (North) Bishopthorpe Roa'!$AR$65,'J1 B - Butcher Terrace'!$Z$65,'J1 C - (South) Bishopthorpe Roa'!$H$65,'J1 D - South Bank Avenue'!$BJ$65)</f>
        <v>2</v>
      </c>
      <c r="CW65" s="84">
        <f>SUM('J1 A - (North) Bishopthorpe Roa'!$AS$65,'J1 B - Butcher Terrace'!$AA$65,'J1 C - (South) Bishopthorpe Roa'!$I$65,'J1 D - South Bank Avenue'!$BK$65)</f>
        <v>0</v>
      </c>
      <c r="CX65" s="87">
        <f>SUM('J1 A - (North) Bishopthorpe Roa'!$AT$65,'J1 B - Butcher Terrace'!$AB$65,'J1 C - (South) Bishopthorpe Roa'!$J$65,'J1 D - South Bank Avenue'!$BL$65)</f>
        <v>0</v>
      </c>
      <c r="CY65" s="79">
        <f>$CQ$65*VLOOKUP($CQ$11,'PCU Values'!$B$9:$C$16,2,FALSE)</f>
        <v>9</v>
      </c>
      <c r="CZ65" s="79">
        <f>$CR$65*VLOOKUP($CR$11,'PCU Values'!$B$9:$C$16,2,FALSE)</f>
        <v>3</v>
      </c>
      <c r="DA65" s="79">
        <f>$CS$65*VLOOKUP($CS$11,'PCU Values'!$B$9:$C$16,2,FALSE)</f>
        <v>0</v>
      </c>
      <c r="DB65" s="79">
        <f>$CT$65*VLOOKUP($CT$11,'PCU Values'!$B$9:$C$16,2,FALSE)</f>
        <v>0</v>
      </c>
      <c r="DC65" s="79">
        <f>$CU$65*VLOOKUP($CU$11,'PCU Values'!$B$9:$C$16,2,FALSE)</f>
        <v>0</v>
      </c>
      <c r="DD65" s="79">
        <f>$CV$65*VLOOKUP($CV$11,'PCU Values'!$B$9:$C$16,2,FALSE)</f>
        <v>0.4</v>
      </c>
      <c r="DE65" s="79">
        <f>$CW$65*VLOOKUP($CW$11,'PCU Values'!$B$9:$C$16,2,FALSE)</f>
        <v>0</v>
      </c>
      <c r="DF65" s="80">
        <f>$CX$65*VLOOKUP($CX$11,'PCU Values'!$B$9:$C$16,2,FALSE)</f>
        <v>0</v>
      </c>
      <c r="DG65" s="63">
        <f>SUM($CY$65,$CZ$65,$DA$65,$DB$65,$DC$65,$DD$65,$DE$65,$DF$65)</f>
        <v>12.4</v>
      </c>
      <c r="DH65" s="52">
        <f>SUM($CQ$65,$CR$65,$CS$65,$CT$65,$CU$65,$CV$65,$CW$65,$CX$65)</f>
        <v>14</v>
      </c>
    </row>
    <row r="66" spans="1:112">
      <c r="B66" s="52" t="s">
        <v>34</v>
      </c>
      <c r="C66" s="52">
        <f>SUM($C$62:$C$65)</f>
        <v>26</v>
      </c>
      <c r="D66" s="52">
        <f>SUM($D$62:$D$65)</f>
        <v>8</v>
      </c>
      <c r="E66" s="52">
        <f>SUM($E$62:$E$65)</f>
        <v>1</v>
      </c>
      <c r="F66" s="52">
        <f>SUM($F$62:$F$65)</f>
        <v>0</v>
      </c>
      <c r="G66" s="52">
        <f>SUM($G$62:$G$65)</f>
        <v>0</v>
      </c>
      <c r="H66" s="52">
        <f>SUM($H$62:$H$65)</f>
        <v>3</v>
      </c>
      <c r="I66" s="52">
        <f>SUM($I$62:$I$65)</f>
        <v>0</v>
      </c>
      <c r="J66" s="52">
        <f>SUM($J$62:$J$65)</f>
        <v>0</v>
      </c>
      <c r="K66" s="52">
        <f>SUM($K$62:$K$65)</f>
        <v>26</v>
      </c>
      <c r="L66" s="52">
        <f>SUM($L$62:$L$65)</f>
        <v>8</v>
      </c>
      <c r="M66" s="52">
        <f>SUM($M$62:$M$65)</f>
        <v>2</v>
      </c>
      <c r="N66" s="52">
        <f>SUM($N$62:$N$65)</f>
        <v>0</v>
      </c>
      <c r="O66" s="52">
        <f>SUM($O$62:$O$65)</f>
        <v>0</v>
      </c>
      <c r="P66" s="52">
        <f>SUM($P$62:$P$65)</f>
        <v>1</v>
      </c>
      <c r="Q66" s="52">
        <f>SUM($Q$62:$Q$65)</f>
        <v>0</v>
      </c>
      <c r="R66" s="52">
        <f>SUM($R$62:$R$65)</f>
        <v>0</v>
      </c>
      <c r="S66" s="52">
        <f>SUM($K$66,$L$66,$M$66,$N$66,$O$66,$P$66,$Q$66,$R$66)</f>
        <v>37</v>
      </c>
      <c r="T66" s="52">
        <f>SUM($C$66,$D$66,$E$66,$F$66,$G$66,$H$66,$I$66,$J$66)</f>
        <v>38</v>
      </c>
      <c r="U66" s="52">
        <f>SUM($U$62:$U$65)</f>
        <v>0</v>
      </c>
      <c r="V66" s="52">
        <f>SUM($V$62:$V$65)</f>
        <v>0</v>
      </c>
      <c r="W66" s="52">
        <f>SUM($W$62:$W$65)</f>
        <v>0</v>
      </c>
      <c r="X66" s="52">
        <f>SUM($X$62:$X$65)</f>
        <v>0</v>
      </c>
      <c r="Y66" s="52">
        <f>SUM($Y$62:$Y$65)</f>
        <v>0</v>
      </c>
      <c r="Z66" s="52">
        <f>SUM($Z$62:$Z$65)</f>
        <v>14</v>
      </c>
      <c r="AA66" s="52">
        <f>SUM($AA$62:$AA$65)</f>
        <v>0</v>
      </c>
      <c r="AB66" s="52">
        <f>SUM($AB$62:$AB$65)</f>
        <v>0</v>
      </c>
      <c r="AC66" s="52">
        <f>SUM($AC$62:$AC$65)</f>
        <v>0</v>
      </c>
      <c r="AD66" s="52">
        <f>SUM($AD$62:$AD$65)</f>
        <v>0</v>
      </c>
      <c r="AE66" s="52">
        <f>SUM($AE$62:$AE$65)</f>
        <v>0</v>
      </c>
      <c r="AF66" s="52">
        <f>SUM($AF$62:$AF$65)</f>
        <v>0</v>
      </c>
      <c r="AG66" s="52">
        <f>SUM($AG$62:$AG$65)</f>
        <v>0</v>
      </c>
      <c r="AH66" s="52">
        <f>SUM($AH$62:$AH$65)</f>
        <v>3</v>
      </c>
      <c r="AI66" s="52">
        <f>SUM($AI$62:$AI$65)</f>
        <v>0</v>
      </c>
      <c r="AJ66" s="52">
        <f>SUM($AJ$62:$AJ$65)</f>
        <v>0</v>
      </c>
      <c r="AK66" s="52">
        <f>SUM($AC$66,$AD$66,$AE$66,$AF$66,$AG$66,$AH$66,$AI$66,$AJ$66)</f>
        <v>3</v>
      </c>
      <c r="AL66" s="52">
        <f>SUM($U$66,$V$66,$W$66,$X$66,$Y$66,$Z$66,$AA$66,$AB$66)</f>
        <v>14</v>
      </c>
      <c r="AM66" s="52">
        <f>SUM($AM$62:$AM$65)</f>
        <v>5</v>
      </c>
      <c r="AN66" s="52">
        <f>SUM($AN$62:$AN$65)</f>
        <v>1</v>
      </c>
      <c r="AO66" s="52">
        <f>SUM($AO$62:$AO$65)</f>
        <v>0</v>
      </c>
      <c r="AP66" s="52">
        <f>SUM($AP$62:$AP$65)</f>
        <v>0</v>
      </c>
      <c r="AQ66" s="52">
        <f>SUM($AQ$62:$AQ$65)</f>
        <v>0</v>
      </c>
      <c r="AR66" s="52">
        <f>SUM($AR$62:$AR$65)</f>
        <v>0</v>
      </c>
      <c r="AS66" s="52">
        <f>SUM($AS$62:$AS$65)</f>
        <v>0</v>
      </c>
      <c r="AT66" s="52">
        <f>SUM($AT$62:$AT$65)</f>
        <v>0</v>
      </c>
      <c r="AU66" s="52">
        <f>SUM($AU$62:$AU$65)</f>
        <v>5</v>
      </c>
      <c r="AV66" s="52">
        <f>SUM($AV$62:$AV$65)</f>
        <v>1</v>
      </c>
      <c r="AW66" s="52">
        <f>SUM($AW$62:$AW$65)</f>
        <v>0</v>
      </c>
      <c r="AX66" s="52">
        <f>SUM($AX$62:$AX$65)</f>
        <v>0</v>
      </c>
      <c r="AY66" s="52">
        <f>SUM($AY$62:$AY$65)</f>
        <v>0</v>
      </c>
      <c r="AZ66" s="52">
        <f>SUM($AZ$62:$AZ$65)</f>
        <v>0</v>
      </c>
      <c r="BA66" s="52">
        <f>SUM($BA$62:$BA$65)</f>
        <v>0</v>
      </c>
      <c r="BB66" s="52">
        <f>SUM($BB$62:$BB$65)</f>
        <v>0</v>
      </c>
      <c r="BC66" s="52">
        <f>SUM($AU$66,$AV$66,$AW$66,$AX$66,$AY$66,$AZ$66,$BA$66,$BB$66)</f>
        <v>6</v>
      </c>
      <c r="BD66" s="52">
        <f>SUM($AM$66,$AN$66,$AO$66,$AP$66,$AQ$66,$AR$66,$AS$66,$AT$66)</f>
        <v>6</v>
      </c>
      <c r="BE66" s="52">
        <f>SUM($BE$62:$BE$65)</f>
        <v>0</v>
      </c>
      <c r="BF66" s="52">
        <f>SUM($BF$62:$BF$65)</f>
        <v>0</v>
      </c>
      <c r="BG66" s="52">
        <f>SUM($BG$62:$BG$65)</f>
        <v>0</v>
      </c>
      <c r="BH66" s="52">
        <f>SUM($BH$62:$BH$65)</f>
        <v>0</v>
      </c>
      <c r="BI66" s="52">
        <f>SUM($BI$62:$BI$65)</f>
        <v>0</v>
      </c>
      <c r="BJ66" s="52">
        <f>SUM($BJ$62:$BJ$65)</f>
        <v>0</v>
      </c>
      <c r="BK66" s="52">
        <f>SUM($BK$62:$BK$65)</f>
        <v>0</v>
      </c>
      <c r="BL66" s="52">
        <f>SUM($BL$62:$BL$65)</f>
        <v>0</v>
      </c>
      <c r="BM66" s="52">
        <f>SUM($BM$62:$BM$65)</f>
        <v>0</v>
      </c>
      <c r="BN66" s="52">
        <f>SUM($BN$62:$BN$65)</f>
        <v>0</v>
      </c>
      <c r="BO66" s="52">
        <f>SUM($BO$62:$BO$65)</f>
        <v>0</v>
      </c>
      <c r="BP66" s="52">
        <f>SUM($BP$62:$BP$65)</f>
        <v>0</v>
      </c>
      <c r="BQ66" s="52">
        <f>SUM($BQ$62:$BQ$65)</f>
        <v>0</v>
      </c>
      <c r="BR66" s="52">
        <f>SUM($BR$62:$BR$65)</f>
        <v>0</v>
      </c>
      <c r="BS66" s="52">
        <f>SUM($BS$62:$BS$65)</f>
        <v>0</v>
      </c>
      <c r="BT66" s="52">
        <f>SUM($BT$62:$BT$65)</f>
        <v>0</v>
      </c>
      <c r="BU66" s="52">
        <f>SUM($BM$66,$BN$66,$BO$66,$BP$66,$BQ$66,$BR$66,$BS$66,$BT$66)</f>
        <v>0</v>
      </c>
      <c r="BV66" s="52">
        <f>SUM($BE$66,$BF$66,$BG$66,$BH$66,$BI$66,$BJ$66,$BK$66,$BL$66)</f>
        <v>0</v>
      </c>
      <c r="BX66" s="52" t="s">
        <v>34</v>
      </c>
      <c r="BY66" s="52">
        <f>SUM($BY$62:$BY$65)</f>
        <v>31</v>
      </c>
      <c r="BZ66" s="52">
        <f>SUM($BZ$62:$BZ$65)</f>
        <v>9</v>
      </c>
      <c r="CA66" s="52">
        <f>SUM($CA$62:$CA$65)</f>
        <v>1</v>
      </c>
      <c r="CB66" s="52">
        <f>SUM($CB$62:$CB$65)</f>
        <v>0</v>
      </c>
      <c r="CC66" s="52">
        <f>SUM($CC$62:$CC$65)</f>
        <v>0</v>
      </c>
      <c r="CD66" s="52">
        <f>SUM($CD$62:$CD$65)</f>
        <v>17</v>
      </c>
      <c r="CE66" s="52">
        <f>SUM($CE$62:$CE$65)</f>
        <v>0</v>
      </c>
      <c r="CF66" s="52">
        <f>SUM($CF$62:$CF$65)</f>
        <v>0</v>
      </c>
      <c r="CG66" s="52">
        <f>SUM($CG$62:$CG$65)</f>
        <v>31</v>
      </c>
      <c r="CH66" s="52">
        <f>SUM($CH$62:$CH$65)</f>
        <v>9</v>
      </c>
      <c r="CI66" s="52">
        <f>SUM($CI$62:$CI$65)</f>
        <v>2</v>
      </c>
      <c r="CJ66" s="52">
        <f>SUM($CJ$62:$CJ$65)</f>
        <v>0</v>
      </c>
      <c r="CK66" s="52">
        <f>SUM($CK$62:$CK$65)</f>
        <v>0</v>
      </c>
      <c r="CL66" s="52">
        <f>SUM($CL$62:$CL$65)</f>
        <v>3</v>
      </c>
      <c r="CM66" s="52">
        <f>SUM($CM$62:$CM$65)</f>
        <v>0</v>
      </c>
      <c r="CN66" s="52">
        <f>SUM($CN$62:$CN$65)</f>
        <v>0</v>
      </c>
      <c r="CO66" s="52">
        <f>SUM($CG$66,$CH$66,$CI$66,$CJ$66,$CK$66,$CL$66,$CM$66,$CN$66)</f>
        <v>45</v>
      </c>
      <c r="CP66" s="52">
        <f>SUM($BY$66,$BZ$66,$CA$66,$CB$66,$CC$66,$CD$66,$CE$66,$CF$66)</f>
        <v>58</v>
      </c>
      <c r="CQ66" s="52">
        <f>SUM($CQ$62:$CQ$65)</f>
        <v>27</v>
      </c>
      <c r="CR66" s="52">
        <f>SUM($CR$62:$CR$65)</f>
        <v>7</v>
      </c>
      <c r="CS66" s="52">
        <f>SUM($CS$62:$CS$65)</f>
        <v>2</v>
      </c>
      <c r="CT66" s="52">
        <f>SUM($CT$62:$CT$65)</f>
        <v>0</v>
      </c>
      <c r="CU66" s="52">
        <f>SUM($CU$62:$CU$65)</f>
        <v>0</v>
      </c>
      <c r="CV66" s="52">
        <f>SUM($CV$62:$CV$65)</f>
        <v>30</v>
      </c>
      <c r="CW66" s="52">
        <f>SUM($CW$62:$CW$65)</f>
        <v>0</v>
      </c>
      <c r="CX66" s="52">
        <f>SUM($CX$62:$CX$65)</f>
        <v>0</v>
      </c>
      <c r="CY66" s="52">
        <f>SUM($CY$62:$CY$65)</f>
        <v>27</v>
      </c>
      <c r="CZ66" s="52">
        <f>SUM($CZ$62:$CZ$65)</f>
        <v>7</v>
      </c>
      <c r="DA66" s="52">
        <f>SUM($DA$62:$DA$65)</f>
        <v>3</v>
      </c>
      <c r="DB66" s="52">
        <f>SUM($DB$62:$DB$65)</f>
        <v>0</v>
      </c>
      <c r="DC66" s="52">
        <f>SUM($DC$62:$DC$65)</f>
        <v>0</v>
      </c>
      <c r="DD66" s="52">
        <f>SUM($DD$62:$DD$65)</f>
        <v>6</v>
      </c>
      <c r="DE66" s="52">
        <f>SUM($DE$62:$DE$65)</f>
        <v>0</v>
      </c>
      <c r="DF66" s="52">
        <f>SUM($DF$62:$DF$65)</f>
        <v>0</v>
      </c>
      <c r="DG66" s="52">
        <f>SUM($CY$66,$CZ$66,$DA$66,$DB$66,$DC$66,$DD$66,$DE$66,$DF$66)</f>
        <v>43</v>
      </c>
      <c r="DH66" s="52">
        <f>SUM($CQ$66,$CR$66,$CS$66,$CT$66,$CU$66,$CV$66,$CW$66,$CX$66)</f>
        <v>66</v>
      </c>
    </row>
    <row r="67" spans="1:112" ht="21" customHeight="1">
      <c r="A67" s="46">
        <v>44395.458333333299</v>
      </c>
      <c r="B67" s="53" t="s">
        <v>75</v>
      </c>
      <c r="C67" s="54">
        <v>4</v>
      </c>
      <c r="D67" s="54">
        <v>1</v>
      </c>
      <c r="E67" s="54">
        <v>0</v>
      </c>
      <c r="F67" s="54">
        <v>0</v>
      </c>
      <c r="G67" s="54">
        <v>0</v>
      </c>
      <c r="H67" s="54">
        <v>0</v>
      </c>
      <c r="I67" s="54">
        <v>0</v>
      </c>
      <c r="J67" s="61">
        <v>0</v>
      </c>
      <c r="K67" s="62">
        <f>$C$67*VLOOKUP($C$11,'PCU Values'!$B$9:$C$16,2,FALSE)</f>
        <v>4</v>
      </c>
      <c r="L67" s="62">
        <f>$D$67*VLOOKUP($D$11,'PCU Values'!$B$9:$C$16,2,FALSE)</f>
        <v>1</v>
      </c>
      <c r="M67" s="62">
        <f>$E$67*VLOOKUP($E$11,'PCU Values'!$B$9:$C$16,2,FALSE)</f>
        <v>0</v>
      </c>
      <c r="N67" s="62">
        <f>$F$67*VLOOKUP($F$11,'PCU Values'!$B$9:$C$16,2,FALSE)</f>
        <v>0</v>
      </c>
      <c r="O67" s="62">
        <f>$G$67*VLOOKUP($G$11,'PCU Values'!$B$9:$C$16,2,FALSE)</f>
        <v>0</v>
      </c>
      <c r="P67" s="62">
        <f>$H$67*VLOOKUP($H$11,'PCU Values'!$B$9:$C$16,2,FALSE)</f>
        <v>0</v>
      </c>
      <c r="Q67" s="62">
        <f>$I$67*VLOOKUP($I$11,'PCU Values'!$B$9:$C$16,2,FALSE)</f>
        <v>0</v>
      </c>
      <c r="R67" s="70">
        <f>$J$67*VLOOKUP($J$11,'PCU Values'!$B$9:$C$16,2,FALSE)</f>
        <v>0</v>
      </c>
      <c r="S67" s="71">
        <f>SUM($K$67,$L$67,$M$67,$N$67,$O$67,$P$67,$Q$67,$R$67)</f>
        <v>5</v>
      </c>
      <c r="T67" s="52">
        <f>SUM($C$67,$D$67,$E$67,$F$67,$G$67,$H$67,$I$67,$J$67)</f>
        <v>5</v>
      </c>
      <c r="U67" s="72">
        <v>0</v>
      </c>
      <c r="V67" s="54">
        <v>0</v>
      </c>
      <c r="W67" s="54">
        <v>0</v>
      </c>
      <c r="X67" s="54">
        <v>0</v>
      </c>
      <c r="Y67" s="54">
        <v>0</v>
      </c>
      <c r="Z67" s="54">
        <v>1</v>
      </c>
      <c r="AA67" s="54">
        <v>0</v>
      </c>
      <c r="AB67" s="61">
        <v>0</v>
      </c>
      <c r="AC67" s="62">
        <f>$U$67*VLOOKUP($U$11,'PCU Values'!$B$9:$C$16,2,FALSE)</f>
        <v>0</v>
      </c>
      <c r="AD67" s="62">
        <f>$V$67*VLOOKUP($V$11,'PCU Values'!$B$9:$C$16,2,FALSE)</f>
        <v>0</v>
      </c>
      <c r="AE67" s="62">
        <f>$W$67*VLOOKUP($W$11,'PCU Values'!$B$9:$C$16,2,FALSE)</f>
        <v>0</v>
      </c>
      <c r="AF67" s="62">
        <f>$X$67*VLOOKUP($X$11,'PCU Values'!$B$9:$C$16,2,FALSE)</f>
        <v>0</v>
      </c>
      <c r="AG67" s="62">
        <f>$Y$67*VLOOKUP($Y$11,'PCU Values'!$B$9:$C$16,2,FALSE)</f>
        <v>0</v>
      </c>
      <c r="AH67" s="62">
        <f>$Z$67*VLOOKUP($Z$11,'PCU Values'!$B$9:$C$16,2,FALSE)</f>
        <v>0.2</v>
      </c>
      <c r="AI67" s="62">
        <f>$AA$67*VLOOKUP($AA$11,'PCU Values'!$B$9:$C$16,2,FALSE)</f>
        <v>0</v>
      </c>
      <c r="AJ67" s="70">
        <f>$AB$67*VLOOKUP($AB$11,'PCU Values'!$B$9:$C$16,2,FALSE)</f>
        <v>0</v>
      </c>
      <c r="AK67" s="71">
        <f>SUM($AC$67,$AD$67,$AE$67,$AF$67,$AG$67,$AH$67,$AI$67,$AJ$67)</f>
        <v>0.2</v>
      </c>
      <c r="AL67" s="52">
        <f>SUM($U$67,$V$67,$W$67,$X$67,$Y$67,$Z$67,$AA$67,$AB$67)</f>
        <v>1</v>
      </c>
      <c r="AM67" s="72">
        <v>0</v>
      </c>
      <c r="AN67" s="54">
        <v>0</v>
      </c>
      <c r="AO67" s="54">
        <v>0</v>
      </c>
      <c r="AP67" s="54">
        <v>0</v>
      </c>
      <c r="AQ67" s="54">
        <v>0</v>
      </c>
      <c r="AR67" s="54">
        <v>0</v>
      </c>
      <c r="AS67" s="54">
        <v>0</v>
      </c>
      <c r="AT67" s="61">
        <v>0</v>
      </c>
      <c r="AU67" s="62">
        <f>$AM$67*VLOOKUP($AM$11,'PCU Values'!$B$9:$C$16,2,FALSE)</f>
        <v>0</v>
      </c>
      <c r="AV67" s="62">
        <f>$AN$67*VLOOKUP($AN$11,'PCU Values'!$B$9:$C$16,2,FALSE)</f>
        <v>0</v>
      </c>
      <c r="AW67" s="62">
        <f>$AO$67*VLOOKUP($AO$11,'PCU Values'!$B$9:$C$16,2,FALSE)</f>
        <v>0</v>
      </c>
      <c r="AX67" s="62">
        <f>$AP$67*VLOOKUP($AP$11,'PCU Values'!$B$9:$C$16,2,FALSE)</f>
        <v>0</v>
      </c>
      <c r="AY67" s="62">
        <f>$AQ$67*VLOOKUP($AQ$11,'PCU Values'!$B$9:$C$16,2,FALSE)</f>
        <v>0</v>
      </c>
      <c r="AZ67" s="62">
        <f>$AR$67*VLOOKUP($AR$11,'PCU Values'!$B$9:$C$16,2,FALSE)</f>
        <v>0</v>
      </c>
      <c r="BA67" s="62">
        <f>$AS$67*VLOOKUP($AS$11,'PCU Values'!$B$9:$C$16,2,FALSE)</f>
        <v>0</v>
      </c>
      <c r="BB67" s="70">
        <f>$AT$67*VLOOKUP($AT$11,'PCU Values'!$B$9:$C$16,2,FALSE)</f>
        <v>0</v>
      </c>
      <c r="BC67" s="71">
        <f>SUM($AU$67,$AV$67,$AW$67,$AX$67,$AY$67,$AZ$67,$BA$67,$BB$67)</f>
        <v>0</v>
      </c>
      <c r="BD67" s="52">
        <f>SUM($AM$67,$AN$67,$AO$67,$AP$67,$AQ$67,$AR$67,$AS$67,$AT$67)</f>
        <v>0</v>
      </c>
      <c r="BE67" s="72">
        <v>0</v>
      </c>
      <c r="BF67" s="54">
        <v>0</v>
      </c>
      <c r="BG67" s="54">
        <v>0</v>
      </c>
      <c r="BH67" s="54">
        <v>0</v>
      </c>
      <c r="BI67" s="54">
        <v>0</v>
      </c>
      <c r="BJ67" s="54">
        <v>0</v>
      </c>
      <c r="BK67" s="54">
        <v>0</v>
      </c>
      <c r="BL67" s="61">
        <v>0</v>
      </c>
      <c r="BM67" s="81">
        <f>$BE$67*VLOOKUP($BE$11,'PCU Values'!$B$9:$C$16,2,FALSE)</f>
        <v>0</v>
      </c>
      <c r="BN67" s="81">
        <f>$BF$67*VLOOKUP($BF$11,'PCU Values'!$B$9:$C$16,2,FALSE)</f>
        <v>0</v>
      </c>
      <c r="BO67" s="81">
        <f>$BG$67*VLOOKUP($BG$11,'PCU Values'!$B$9:$C$16,2,FALSE)</f>
        <v>0</v>
      </c>
      <c r="BP67" s="81">
        <f>$BH$67*VLOOKUP($BH$11,'PCU Values'!$B$9:$C$16,2,FALSE)</f>
        <v>0</v>
      </c>
      <c r="BQ67" s="81">
        <f>$BI$67*VLOOKUP($BI$11,'PCU Values'!$B$9:$C$16,2,FALSE)</f>
        <v>0</v>
      </c>
      <c r="BR67" s="81">
        <f>$BJ$67*VLOOKUP($BJ$11,'PCU Values'!$B$9:$C$16,2,FALSE)</f>
        <v>0</v>
      </c>
      <c r="BS67" s="81">
        <f>$BK$67*VLOOKUP($BK$11,'PCU Values'!$B$9:$C$16,2,FALSE)</f>
        <v>0</v>
      </c>
      <c r="BT67" s="82">
        <f>$BL$67*VLOOKUP($BL$11,'PCU Values'!$B$9:$C$16,2,FALSE)</f>
        <v>0</v>
      </c>
      <c r="BU67" s="71">
        <f>SUM($BM$67,$BN$67,$BO$67,$BP$67,$BQ$67,$BR$67,$BS$67,$BT$67)</f>
        <v>0</v>
      </c>
      <c r="BV67" s="52">
        <f>SUM($BE$67,$BF$67,$BG$67,$BH$67,$BI$67,$BJ$67,$BK$67,$BL$67)</f>
        <v>0</v>
      </c>
      <c r="BX67" s="53" t="s">
        <v>75</v>
      </c>
      <c r="BY67" s="85">
        <f>SUM($C$67,$U$67,$AM$67,$BE$67)</f>
        <v>4</v>
      </c>
      <c r="BZ67" s="85">
        <f>SUM($D$67,$V$67,$AN$67,$BF$67)</f>
        <v>1</v>
      </c>
      <c r="CA67" s="85">
        <f>SUM($E$67,$W$67,$AO$67,$BG$67)</f>
        <v>0</v>
      </c>
      <c r="CB67" s="85">
        <f>SUM($F$67,$X$67,$AP$67,$BH$67)</f>
        <v>0</v>
      </c>
      <c r="CC67" s="85">
        <f>SUM($G$67,$Y$67,$AQ$67,$BI$67)</f>
        <v>0</v>
      </c>
      <c r="CD67" s="85">
        <f>SUM($H$67,$Z$67,$AR$67,$BJ$67)</f>
        <v>1</v>
      </c>
      <c r="CE67" s="85">
        <f>SUM($I$67,$AA$67,$AS$67,$BK$67)</f>
        <v>0</v>
      </c>
      <c r="CF67" s="88">
        <f>SUM($J$67,$AB$67,$AT$67,$BL$67)</f>
        <v>0</v>
      </c>
      <c r="CG67" s="81">
        <f>$BY$67*VLOOKUP($BY$11,'PCU Values'!$B$9:$C$16,2,FALSE)</f>
        <v>4</v>
      </c>
      <c r="CH67" s="81">
        <f>$BZ$67*VLOOKUP($BZ$11,'PCU Values'!$B$9:$C$16,2,FALSE)</f>
        <v>1</v>
      </c>
      <c r="CI67" s="81">
        <f>$CA$67*VLOOKUP($CA$11,'PCU Values'!$B$9:$C$16,2,FALSE)</f>
        <v>0</v>
      </c>
      <c r="CJ67" s="81">
        <f>$CB$67*VLOOKUP($CB$11,'PCU Values'!$B$9:$C$16,2,FALSE)</f>
        <v>0</v>
      </c>
      <c r="CK67" s="81">
        <f>$CC$67*VLOOKUP($CC$11,'PCU Values'!$B$9:$C$16,2,FALSE)</f>
        <v>0</v>
      </c>
      <c r="CL67" s="81">
        <f>$CD$67*VLOOKUP($CD$11,'PCU Values'!$B$9:$C$16,2,FALSE)</f>
        <v>0.2</v>
      </c>
      <c r="CM67" s="81">
        <f>$CE$67*VLOOKUP($CE$11,'PCU Values'!$B$9:$C$16,2,FALSE)</f>
        <v>0</v>
      </c>
      <c r="CN67" s="82">
        <f>$CF$67*VLOOKUP($CF$11,'PCU Values'!$B$9:$C$16,2,FALSE)</f>
        <v>0</v>
      </c>
      <c r="CO67" s="71">
        <f>SUM($CG$67,$CH$67,$CI$67,$CJ$67,$CK$67,$CL$67,$CM$67,$CN$67)</f>
        <v>5.2</v>
      </c>
      <c r="CP67" s="52">
        <f>SUM($BY$67,$BZ$67,$CA$67,$CB$67,$CC$67,$CD$67,$CE$67,$CF$67)</f>
        <v>6</v>
      </c>
      <c r="CQ67" s="91">
        <f>SUM('J1 A - (North) Bishopthorpe Roa'!$AM$67,'J1 B - Butcher Terrace'!$U$67,'J1 C - (South) Bishopthorpe Roa'!$C$67,'J1 D - South Bank Avenue'!$BE$67)</f>
        <v>7</v>
      </c>
      <c r="CR67" s="85">
        <f>SUM('J1 A - (North) Bishopthorpe Roa'!$AN$67,'J1 B - Butcher Terrace'!$V$67,'J1 C - (South) Bishopthorpe Roa'!$D$67,'J1 D - South Bank Avenue'!$BF$67)</f>
        <v>0</v>
      </c>
      <c r="CS67" s="85">
        <f>SUM('J1 A - (North) Bishopthorpe Roa'!$AO$67,'J1 B - Butcher Terrace'!$W$67,'J1 C - (South) Bishopthorpe Roa'!$E$67,'J1 D - South Bank Avenue'!$BG$67)</f>
        <v>0</v>
      </c>
      <c r="CT67" s="85">
        <f>SUM('J1 A - (North) Bishopthorpe Roa'!$AP$67,'J1 B - Butcher Terrace'!$X$67,'J1 C - (South) Bishopthorpe Roa'!$F$67,'J1 D - South Bank Avenue'!$BH$67)</f>
        <v>0</v>
      </c>
      <c r="CU67" s="85">
        <f>SUM('J1 A - (North) Bishopthorpe Roa'!$AQ$67,'J1 B - Butcher Terrace'!$Y$67,'J1 C - (South) Bishopthorpe Roa'!$G$67,'J1 D - South Bank Avenue'!$BI$67)</f>
        <v>0</v>
      </c>
      <c r="CV67" s="85">
        <f>SUM('J1 A - (North) Bishopthorpe Roa'!$AR$67,'J1 B - Butcher Terrace'!$Z$67,'J1 C - (South) Bishopthorpe Roa'!$H$67,'J1 D - South Bank Avenue'!$BJ$67)</f>
        <v>2</v>
      </c>
      <c r="CW67" s="85">
        <f>SUM('J1 A - (North) Bishopthorpe Roa'!$AS$67,'J1 B - Butcher Terrace'!$AA$67,'J1 C - (South) Bishopthorpe Roa'!$I$67,'J1 D - South Bank Avenue'!$BK$67)</f>
        <v>0</v>
      </c>
      <c r="CX67" s="88">
        <f>SUM('J1 A - (North) Bishopthorpe Roa'!$AT$67,'J1 B - Butcher Terrace'!$AB$67,'J1 C - (South) Bishopthorpe Roa'!$J$67,'J1 D - South Bank Avenue'!$BL$67)</f>
        <v>0</v>
      </c>
      <c r="CY67" s="81">
        <f>$CQ$67*VLOOKUP($CQ$11,'PCU Values'!$B$9:$C$16,2,FALSE)</f>
        <v>7</v>
      </c>
      <c r="CZ67" s="81">
        <f>$CR$67*VLOOKUP($CR$11,'PCU Values'!$B$9:$C$16,2,FALSE)</f>
        <v>0</v>
      </c>
      <c r="DA67" s="81">
        <f>$CS$67*VLOOKUP($CS$11,'PCU Values'!$B$9:$C$16,2,FALSE)</f>
        <v>0</v>
      </c>
      <c r="DB67" s="81">
        <f>$CT$67*VLOOKUP($CT$11,'PCU Values'!$B$9:$C$16,2,FALSE)</f>
        <v>0</v>
      </c>
      <c r="DC67" s="81">
        <f>$CU$67*VLOOKUP($CU$11,'PCU Values'!$B$9:$C$16,2,FALSE)</f>
        <v>0</v>
      </c>
      <c r="DD67" s="81">
        <f>$CV$67*VLOOKUP($CV$11,'PCU Values'!$B$9:$C$16,2,FALSE)</f>
        <v>0.4</v>
      </c>
      <c r="DE67" s="81">
        <f>$CW$67*VLOOKUP($CW$11,'PCU Values'!$B$9:$C$16,2,FALSE)</f>
        <v>0</v>
      </c>
      <c r="DF67" s="82">
        <f>$CX$67*VLOOKUP($CX$11,'PCU Values'!$B$9:$C$16,2,FALSE)</f>
        <v>0</v>
      </c>
      <c r="DG67" s="71">
        <f>SUM($CY$67,$CZ$67,$DA$67,$DB$67,$DC$67,$DD$67,$DE$67,$DF$67)</f>
        <v>7.4</v>
      </c>
      <c r="DH67" s="52">
        <f>SUM($CQ$67,$CR$67,$CS$67,$CT$67,$CU$67,$CV$67,$CW$67,$CX$67)</f>
        <v>9</v>
      </c>
    </row>
    <row r="68" spans="1:112" ht="21" customHeight="1">
      <c r="A68" s="46">
        <v>44395.46875</v>
      </c>
      <c r="B68" s="47" t="s">
        <v>76</v>
      </c>
      <c r="C68" s="48">
        <v>8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56">
        <v>0</v>
      </c>
      <c r="K68" s="57">
        <f>$C$68*VLOOKUP($C$11,'PCU Values'!$B$9:$C$16,2,FALSE)</f>
        <v>8</v>
      </c>
      <c r="L68" s="57">
        <f>$D$68*VLOOKUP($D$11,'PCU Values'!$B$9:$C$16,2,FALSE)</f>
        <v>0</v>
      </c>
      <c r="M68" s="57">
        <f>$E$68*VLOOKUP($E$11,'PCU Values'!$B$9:$C$16,2,FALSE)</f>
        <v>0</v>
      </c>
      <c r="N68" s="57">
        <f>$F$68*VLOOKUP($F$11,'PCU Values'!$B$9:$C$16,2,FALSE)</f>
        <v>0</v>
      </c>
      <c r="O68" s="57">
        <f>$G$68*VLOOKUP($G$11,'PCU Values'!$B$9:$C$16,2,FALSE)</f>
        <v>0</v>
      </c>
      <c r="P68" s="57">
        <f>$H$68*VLOOKUP($H$11,'PCU Values'!$B$9:$C$16,2,FALSE)</f>
        <v>0</v>
      </c>
      <c r="Q68" s="57">
        <f>$I$68*VLOOKUP($I$11,'PCU Values'!$B$9:$C$16,2,FALSE)</f>
        <v>0</v>
      </c>
      <c r="R68" s="65">
        <f>$J$68*VLOOKUP($J$11,'PCU Values'!$B$9:$C$16,2,FALSE)</f>
        <v>0</v>
      </c>
      <c r="S68" s="66">
        <f>SUM($K$68,$L$68,$M$68,$N$68,$O$68,$P$68,$Q$68,$R$68)</f>
        <v>8</v>
      </c>
      <c r="T68" s="52">
        <f>SUM($C$68,$D$68,$E$68,$F$68,$G$68,$H$68,$I$68,$J$68)</f>
        <v>8</v>
      </c>
      <c r="U68" s="67">
        <v>0</v>
      </c>
      <c r="V68" s="48">
        <v>0</v>
      </c>
      <c r="W68" s="48">
        <v>0</v>
      </c>
      <c r="X68" s="48">
        <v>0</v>
      </c>
      <c r="Y68" s="48">
        <v>0</v>
      </c>
      <c r="Z68" s="48">
        <v>3</v>
      </c>
      <c r="AA68" s="48">
        <v>0</v>
      </c>
      <c r="AB68" s="56">
        <v>0</v>
      </c>
      <c r="AC68" s="57">
        <f>$U$68*VLOOKUP($U$11,'PCU Values'!$B$9:$C$16,2,FALSE)</f>
        <v>0</v>
      </c>
      <c r="AD68" s="57">
        <f>$V$68*VLOOKUP($V$11,'PCU Values'!$B$9:$C$16,2,FALSE)</f>
        <v>0</v>
      </c>
      <c r="AE68" s="57">
        <f>$W$68*VLOOKUP($W$11,'PCU Values'!$B$9:$C$16,2,FALSE)</f>
        <v>0</v>
      </c>
      <c r="AF68" s="57">
        <f>$X$68*VLOOKUP($X$11,'PCU Values'!$B$9:$C$16,2,FALSE)</f>
        <v>0</v>
      </c>
      <c r="AG68" s="57">
        <f>$Y$68*VLOOKUP($Y$11,'PCU Values'!$B$9:$C$16,2,FALSE)</f>
        <v>0</v>
      </c>
      <c r="AH68" s="57">
        <f>$Z$68*VLOOKUP($Z$11,'PCU Values'!$B$9:$C$16,2,FALSE)</f>
        <v>0.6</v>
      </c>
      <c r="AI68" s="57">
        <f>$AA$68*VLOOKUP($AA$11,'PCU Values'!$B$9:$C$16,2,FALSE)</f>
        <v>0</v>
      </c>
      <c r="AJ68" s="65">
        <f>$AB$68*VLOOKUP($AB$11,'PCU Values'!$B$9:$C$16,2,FALSE)</f>
        <v>0</v>
      </c>
      <c r="AK68" s="66">
        <f>SUM($AC$68,$AD$68,$AE$68,$AF$68,$AG$68,$AH$68,$AI$68,$AJ$68)</f>
        <v>0.6</v>
      </c>
      <c r="AL68" s="52">
        <f>SUM($U$68,$V$68,$W$68,$X$68,$Y$68,$Z$68,$AA$68,$AB$68)</f>
        <v>3</v>
      </c>
      <c r="AM68" s="67">
        <v>1</v>
      </c>
      <c r="AN68" s="48">
        <v>2</v>
      </c>
      <c r="AO68" s="48">
        <v>0</v>
      </c>
      <c r="AP68" s="48">
        <v>0</v>
      </c>
      <c r="AQ68" s="48">
        <v>0</v>
      </c>
      <c r="AR68" s="48">
        <v>0</v>
      </c>
      <c r="AS68" s="48">
        <v>0</v>
      </c>
      <c r="AT68" s="56">
        <v>0</v>
      </c>
      <c r="AU68" s="57">
        <f>$AM$68*VLOOKUP($AM$11,'PCU Values'!$B$9:$C$16,2,FALSE)</f>
        <v>1</v>
      </c>
      <c r="AV68" s="57">
        <f>$AN$68*VLOOKUP($AN$11,'PCU Values'!$B$9:$C$16,2,FALSE)</f>
        <v>2</v>
      </c>
      <c r="AW68" s="57">
        <f>$AO$68*VLOOKUP($AO$11,'PCU Values'!$B$9:$C$16,2,FALSE)</f>
        <v>0</v>
      </c>
      <c r="AX68" s="57">
        <f>$AP$68*VLOOKUP($AP$11,'PCU Values'!$B$9:$C$16,2,FALSE)</f>
        <v>0</v>
      </c>
      <c r="AY68" s="57">
        <f>$AQ$68*VLOOKUP($AQ$11,'PCU Values'!$B$9:$C$16,2,FALSE)</f>
        <v>0</v>
      </c>
      <c r="AZ68" s="57">
        <f>$AR$68*VLOOKUP($AR$11,'PCU Values'!$B$9:$C$16,2,FALSE)</f>
        <v>0</v>
      </c>
      <c r="BA68" s="57">
        <f>$AS$68*VLOOKUP($AS$11,'PCU Values'!$B$9:$C$16,2,FALSE)</f>
        <v>0</v>
      </c>
      <c r="BB68" s="65">
        <f>$AT$68*VLOOKUP($AT$11,'PCU Values'!$B$9:$C$16,2,FALSE)</f>
        <v>0</v>
      </c>
      <c r="BC68" s="66">
        <f>SUM($AU$68,$AV$68,$AW$68,$AX$68,$AY$68,$AZ$68,$BA$68,$BB$68)</f>
        <v>3</v>
      </c>
      <c r="BD68" s="52">
        <f>SUM($AM$68,$AN$68,$AO$68,$AP$68,$AQ$68,$AR$68,$AS$68,$AT$68)</f>
        <v>3</v>
      </c>
      <c r="BE68" s="67">
        <v>0</v>
      </c>
      <c r="BF68" s="48">
        <v>0</v>
      </c>
      <c r="BG68" s="48">
        <v>0</v>
      </c>
      <c r="BH68" s="48">
        <v>0</v>
      </c>
      <c r="BI68" s="48">
        <v>0</v>
      </c>
      <c r="BJ68" s="48">
        <v>0</v>
      </c>
      <c r="BK68" s="48">
        <v>0</v>
      </c>
      <c r="BL68" s="56">
        <v>0</v>
      </c>
      <c r="BM68" s="77">
        <f>$BE$68*VLOOKUP($BE$11,'PCU Values'!$B$9:$C$16,2,FALSE)</f>
        <v>0</v>
      </c>
      <c r="BN68" s="77">
        <f>$BF$68*VLOOKUP($BF$11,'PCU Values'!$B$9:$C$16,2,FALSE)</f>
        <v>0</v>
      </c>
      <c r="BO68" s="77">
        <f>$BG$68*VLOOKUP($BG$11,'PCU Values'!$B$9:$C$16,2,FALSE)</f>
        <v>0</v>
      </c>
      <c r="BP68" s="77">
        <f>$BH$68*VLOOKUP($BH$11,'PCU Values'!$B$9:$C$16,2,FALSE)</f>
        <v>0</v>
      </c>
      <c r="BQ68" s="77">
        <f>$BI$68*VLOOKUP($BI$11,'PCU Values'!$B$9:$C$16,2,FALSE)</f>
        <v>0</v>
      </c>
      <c r="BR68" s="77">
        <f>$BJ$68*VLOOKUP($BJ$11,'PCU Values'!$B$9:$C$16,2,FALSE)</f>
        <v>0</v>
      </c>
      <c r="BS68" s="77">
        <f>$BK$68*VLOOKUP($BK$11,'PCU Values'!$B$9:$C$16,2,FALSE)</f>
        <v>0</v>
      </c>
      <c r="BT68" s="78">
        <f>$BL$68*VLOOKUP($BL$11,'PCU Values'!$B$9:$C$16,2,FALSE)</f>
        <v>0</v>
      </c>
      <c r="BU68" s="66">
        <f>SUM($BM$68,$BN$68,$BO$68,$BP$68,$BQ$68,$BR$68,$BS$68,$BT$68)</f>
        <v>0</v>
      </c>
      <c r="BV68" s="52">
        <f>SUM($BE$68,$BF$68,$BG$68,$BH$68,$BI$68,$BJ$68,$BK$68,$BL$68)</f>
        <v>0</v>
      </c>
      <c r="BX68" s="47" t="s">
        <v>76</v>
      </c>
      <c r="BY68" s="83">
        <f>SUM($C$68,$U$68,$AM$68,$BE$68)</f>
        <v>9</v>
      </c>
      <c r="BZ68" s="83">
        <f>SUM($D$68,$V$68,$AN$68,$BF$68)</f>
        <v>2</v>
      </c>
      <c r="CA68" s="83">
        <f>SUM($E$68,$W$68,$AO$68,$BG$68)</f>
        <v>0</v>
      </c>
      <c r="CB68" s="83">
        <f>SUM($F$68,$X$68,$AP$68,$BH$68)</f>
        <v>0</v>
      </c>
      <c r="CC68" s="83">
        <f>SUM($G$68,$Y$68,$AQ$68,$BI$68)</f>
        <v>0</v>
      </c>
      <c r="CD68" s="83">
        <f>SUM($H$68,$Z$68,$AR$68,$BJ$68)</f>
        <v>3</v>
      </c>
      <c r="CE68" s="83">
        <f>SUM($I$68,$AA$68,$AS$68,$BK$68)</f>
        <v>0</v>
      </c>
      <c r="CF68" s="86">
        <f>SUM($J$68,$AB$68,$AT$68,$BL$68)</f>
        <v>0</v>
      </c>
      <c r="CG68" s="77">
        <f>$BY$68*VLOOKUP($BY$11,'PCU Values'!$B$9:$C$16,2,FALSE)</f>
        <v>9</v>
      </c>
      <c r="CH68" s="77">
        <f>$BZ$68*VLOOKUP($BZ$11,'PCU Values'!$B$9:$C$16,2,FALSE)</f>
        <v>2</v>
      </c>
      <c r="CI68" s="77">
        <f>$CA$68*VLOOKUP($CA$11,'PCU Values'!$B$9:$C$16,2,FALSE)</f>
        <v>0</v>
      </c>
      <c r="CJ68" s="77">
        <f>$CB$68*VLOOKUP($CB$11,'PCU Values'!$B$9:$C$16,2,FALSE)</f>
        <v>0</v>
      </c>
      <c r="CK68" s="77">
        <f>$CC$68*VLOOKUP($CC$11,'PCU Values'!$B$9:$C$16,2,FALSE)</f>
        <v>0</v>
      </c>
      <c r="CL68" s="77">
        <f>$CD$68*VLOOKUP($CD$11,'PCU Values'!$B$9:$C$16,2,FALSE)</f>
        <v>0.6</v>
      </c>
      <c r="CM68" s="77">
        <f>$CE$68*VLOOKUP($CE$11,'PCU Values'!$B$9:$C$16,2,FALSE)</f>
        <v>0</v>
      </c>
      <c r="CN68" s="78">
        <f>$CF$68*VLOOKUP($CF$11,'PCU Values'!$B$9:$C$16,2,FALSE)</f>
        <v>0</v>
      </c>
      <c r="CO68" s="66">
        <f>SUM($CG$68,$CH$68,$CI$68,$CJ$68,$CK$68,$CL$68,$CM$68,$CN$68)</f>
        <v>11.6</v>
      </c>
      <c r="CP68" s="52">
        <f>SUM($BY$68,$BZ$68,$CA$68,$CB$68,$CC$68,$CD$68,$CE$68,$CF$68)</f>
        <v>14</v>
      </c>
      <c r="CQ68" s="89">
        <f>SUM('J1 A - (North) Bishopthorpe Roa'!$AM$68,'J1 B - Butcher Terrace'!$U$68,'J1 C - (South) Bishopthorpe Roa'!$C$68,'J1 D - South Bank Avenue'!$BE$68)</f>
        <v>5</v>
      </c>
      <c r="CR68" s="83">
        <f>SUM('J1 A - (North) Bishopthorpe Roa'!$AN$68,'J1 B - Butcher Terrace'!$V$68,'J1 C - (South) Bishopthorpe Roa'!$D$68,'J1 D - South Bank Avenue'!$BF$68)</f>
        <v>4</v>
      </c>
      <c r="CS68" s="83">
        <f>SUM('J1 A - (North) Bishopthorpe Roa'!$AO$68,'J1 B - Butcher Terrace'!$W$68,'J1 C - (South) Bishopthorpe Roa'!$E$68,'J1 D - South Bank Avenue'!$BG$68)</f>
        <v>0</v>
      </c>
      <c r="CT68" s="83">
        <f>SUM('J1 A - (North) Bishopthorpe Roa'!$AP$68,'J1 B - Butcher Terrace'!$X$68,'J1 C - (South) Bishopthorpe Roa'!$F$68,'J1 D - South Bank Avenue'!$BH$68)</f>
        <v>0</v>
      </c>
      <c r="CU68" s="83">
        <f>SUM('J1 A - (North) Bishopthorpe Roa'!$AQ$68,'J1 B - Butcher Terrace'!$Y$68,'J1 C - (South) Bishopthorpe Roa'!$G$68,'J1 D - South Bank Avenue'!$BI$68)</f>
        <v>0</v>
      </c>
      <c r="CV68" s="83">
        <f>SUM('J1 A - (North) Bishopthorpe Roa'!$AR$68,'J1 B - Butcher Terrace'!$Z$68,'J1 C - (South) Bishopthorpe Roa'!$H$68,'J1 D - South Bank Avenue'!$BJ$68)</f>
        <v>3</v>
      </c>
      <c r="CW68" s="83">
        <f>SUM('J1 A - (North) Bishopthorpe Roa'!$AS$68,'J1 B - Butcher Terrace'!$AA$68,'J1 C - (South) Bishopthorpe Roa'!$I$68,'J1 D - South Bank Avenue'!$BK$68)</f>
        <v>0</v>
      </c>
      <c r="CX68" s="86">
        <f>SUM('J1 A - (North) Bishopthorpe Roa'!$AT$68,'J1 B - Butcher Terrace'!$AB$68,'J1 C - (South) Bishopthorpe Roa'!$J$68,'J1 D - South Bank Avenue'!$BL$68)</f>
        <v>0</v>
      </c>
      <c r="CY68" s="77">
        <f>$CQ$68*VLOOKUP($CQ$11,'PCU Values'!$B$9:$C$16,2,FALSE)</f>
        <v>5</v>
      </c>
      <c r="CZ68" s="77">
        <f>$CR$68*VLOOKUP($CR$11,'PCU Values'!$B$9:$C$16,2,FALSE)</f>
        <v>4</v>
      </c>
      <c r="DA68" s="77">
        <f>$CS$68*VLOOKUP($CS$11,'PCU Values'!$B$9:$C$16,2,FALSE)</f>
        <v>0</v>
      </c>
      <c r="DB68" s="77">
        <f>$CT$68*VLOOKUP($CT$11,'PCU Values'!$B$9:$C$16,2,FALSE)</f>
        <v>0</v>
      </c>
      <c r="DC68" s="77">
        <f>$CU$68*VLOOKUP($CU$11,'PCU Values'!$B$9:$C$16,2,FALSE)</f>
        <v>0</v>
      </c>
      <c r="DD68" s="77">
        <f>$CV$68*VLOOKUP($CV$11,'PCU Values'!$B$9:$C$16,2,FALSE)</f>
        <v>0.6</v>
      </c>
      <c r="DE68" s="77">
        <f>$CW$68*VLOOKUP($CW$11,'PCU Values'!$B$9:$C$16,2,FALSE)</f>
        <v>0</v>
      </c>
      <c r="DF68" s="78">
        <f>$CX$68*VLOOKUP($CX$11,'PCU Values'!$B$9:$C$16,2,FALSE)</f>
        <v>0</v>
      </c>
      <c r="DG68" s="66">
        <f>SUM($CY$68,$CZ$68,$DA$68,$DB$68,$DC$68,$DD$68,$DE$68,$DF$68)</f>
        <v>9.6</v>
      </c>
      <c r="DH68" s="52">
        <f>SUM($CQ$68,$CR$68,$CS$68,$CT$68,$CU$68,$CV$68,$CW$68,$CX$68)</f>
        <v>12</v>
      </c>
    </row>
    <row r="69" spans="1:112" ht="21" customHeight="1">
      <c r="A69" s="46">
        <v>44395.479166666701</v>
      </c>
      <c r="B69" s="47" t="s">
        <v>77</v>
      </c>
      <c r="C69" s="48">
        <v>6</v>
      </c>
      <c r="D69" s="48">
        <v>1</v>
      </c>
      <c r="E69" s="48">
        <v>0</v>
      </c>
      <c r="F69" s="48">
        <v>0</v>
      </c>
      <c r="G69" s="48">
        <v>0</v>
      </c>
      <c r="H69" s="48">
        <v>4</v>
      </c>
      <c r="I69" s="48">
        <v>0</v>
      </c>
      <c r="J69" s="56">
        <v>0</v>
      </c>
      <c r="K69" s="57">
        <f>$C$69*VLOOKUP($C$11,'PCU Values'!$B$9:$C$16,2,FALSE)</f>
        <v>6</v>
      </c>
      <c r="L69" s="57">
        <f>$D$69*VLOOKUP($D$11,'PCU Values'!$B$9:$C$16,2,FALSE)</f>
        <v>1</v>
      </c>
      <c r="M69" s="57">
        <f>$E$69*VLOOKUP($E$11,'PCU Values'!$B$9:$C$16,2,FALSE)</f>
        <v>0</v>
      </c>
      <c r="N69" s="57">
        <f>$F$69*VLOOKUP($F$11,'PCU Values'!$B$9:$C$16,2,FALSE)</f>
        <v>0</v>
      </c>
      <c r="O69" s="57">
        <f>$G$69*VLOOKUP($G$11,'PCU Values'!$B$9:$C$16,2,FALSE)</f>
        <v>0</v>
      </c>
      <c r="P69" s="57">
        <f>$H$69*VLOOKUP($H$11,'PCU Values'!$B$9:$C$16,2,FALSE)</f>
        <v>0.8</v>
      </c>
      <c r="Q69" s="57">
        <f>$I$69*VLOOKUP($I$11,'PCU Values'!$B$9:$C$16,2,FALSE)</f>
        <v>0</v>
      </c>
      <c r="R69" s="65">
        <f>$J$69*VLOOKUP($J$11,'PCU Values'!$B$9:$C$16,2,FALSE)</f>
        <v>0</v>
      </c>
      <c r="S69" s="66">
        <f>SUM($K$69,$L$69,$M$69,$N$69,$O$69,$P$69,$Q$69,$R$69)</f>
        <v>7.8</v>
      </c>
      <c r="T69" s="52">
        <f>SUM($C$69,$D$69,$E$69,$F$69,$G$69,$H$69,$I$69,$J$69)</f>
        <v>11</v>
      </c>
      <c r="U69" s="67">
        <v>1</v>
      </c>
      <c r="V69" s="48">
        <v>0</v>
      </c>
      <c r="W69" s="48">
        <v>0</v>
      </c>
      <c r="X69" s="48">
        <v>0</v>
      </c>
      <c r="Y69" s="48">
        <v>0</v>
      </c>
      <c r="Z69" s="48">
        <v>3</v>
      </c>
      <c r="AA69" s="48">
        <v>0</v>
      </c>
      <c r="AB69" s="56">
        <v>0</v>
      </c>
      <c r="AC69" s="57">
        <f>$U$69*VLOOKUP($U$11,'PCU Values'!$B$9:$C$16,2,FALSE)</f>
        <v>1</v>
      </c>
      <c r="AD69" s="57">
        <f>$V$69*VLOOKUP($V$11,'PCU Values'!$B$9:$C$16,2,FALSE)</f>
        <v>0</v>
      </c>
      <c r="AE69" s="57">
        <f>$W$69*VLOOKUP($W$11,'PCU Values'!$B$9:$C$16,2,FALSE)</f>
        <v>0</v>
      </c>
      <c r="AF69" s="57">
        <f>$X$69*VLOOKUP($X$11,'PCU Values'!$B$9:$C$16,2,FALSE)</f>
        <v>0</v>
      </c>
      <c r="AG69" s="57">
        <f>$Y$69*VLOOKUP($Y$11,'PCU Values'!$B$9:$C$16,2,FALSE)</f>
        <v>0</v>
      </c>
      <c r="AH69" s="57">
        <f>$Z$69*VLOOKUP($Z$11,'PCU Values'!$B$9:$C$16,2,FALSE)</f>
        <v>0.6</v>
      </c>
      <c r="AI69" s="57">
        <f>$AA$69*VLOOKUP($AA$11,'PCU Values'!$B$9:$C$16,2,FALSE)</f>
        <v>0</v>
      </c>
      <c r="AJ69" s="65">
        <f>$AB$69*VLOOKUP($AB$11,'PCU Values'!$B$9:$C$16,2,FALSE)</f>
        <v>0</v>
      </c>
      <c r="AK69" s="66">
        <f>SUM($AC$69,$AD$69,$AE$69,$AF$69,$AG$69,$AH$69,$AI$69,$AJ$69)</f>
        <v>1.6</v>
      </c>
      <c r="AL69" s="52">
        <f>SUM($U$69,$V$69,$W$69,$X$69,$Y$69,$Z$69,$AA$69,$AB$69)</f>
        <v>4</v>
      </c>
      <c r="AM69" s="76">
        <v>2</v>
      </c>
      <c r="AN69" s="48">
        <v>1</v>
      </c>
      <c r="AO69" s="48">
        <v>0</v>
      </c>
      <c r="AP69" s="48">
        <v>0</v>
      </c>
      <c r="AQ69" s="48">
        <v>0</v>
      </c>
      <c r="AR69" s="49">
        <v>0</v>
      </c>
      <c r="AS69" s="48">
        <v>0</v>
      </c>
      <c r="AT69" s="56">
        <v>0</v>
      </c>
      <c r="AU69" s="57">
        <f>$AM$69*VLOOKUP($AM$11,'PCU Values'!$B$9:$C$16,2,FALSE)</f>
        <v>2</v>
      </c>
      <c r="AV69" s="57">
        <f>$AN$69*VLOOKUP($AN$11,'PCU Values'!$B$9:$C$16,2,FALSE)</f>
        <v>1</v>
      </c>
      <c r="AW69" s="57">
        <f>$AO$69*VLOOKUP($AO$11,'PCU Values'!$B$9:$C$16,2,FALSE)</f>
        <v>0</v>
      </c>
      <c r="AX69" s="57">
        <f>$AP$69*VLOOKUP($AP$11,'PCU Values'!$B$9:$C$16,2,FALSE)</f>
        <v>0</v>
      </c>
      <c r="AY69" s="57">
        <f>$AQ$69*VLOOKUP($AQ$11,'PCU Values'!$B$9:$C$16,2,FALSE)</f>
        <v>0</v>
      </c>
      <c r="AZ69" s="57">
        <f>$AR$69*VLOOKUP($AR$11,'PCU Values'!$B$9:$C$16,2,FALSE)</f>
        <v>0</v>
      </c>
      <c r="BA69" s="57">
        <f>$AS$69*VLOOKUP($AS$11,'PCU Values'!$B$9:$C$16,2,FALSE)</f>
        <v>0</v>
      </c>
      <c r="BB69" s="65">
        <f>$AT$69*VLOOKUP($AT$11,'PCU Values'!$B$9:$C$16,2,FALSE)</f>
        <v>0</v>
      </c>
      <c r="BC69" s="66">
        <f>SUM($AU$69,$AV$69,$AW$69,$AX$69,$AY$69,$AZ$69,$BA$69,$BB$69)</f>
        <v>3</v>
      </c>
      <c r="BD69" s="52">
        <f>SUM($AM$69,$AN$69,$AO$69,$AP$69,$AQ$69,$AR$69,$AS$69,$AT$69)</f>
        <v>3</v>
      </c>
      <c r="BE69" s="67">
        <v>0</v>
      </c>
      <c r="BF69" s="48">
        <v>0</v>
      </c>
      <c r="BG69" s="48">
        <v>0</v>
      </c>
      <c r="BH69" s="48">
        <v>0</v>
      </c>
      <c r="BI69" s="48">
        <v>0</v>
      </c>
      <c r="BJ69" s="48">
        <v>0</v>
      </c>
      <c r="BK69" s="48">
        <v>0</v>
      </c>
      <c r="BL69" s="56">
        <v>0</v>
      </c>
      <c r="BM69" s="77">
        <f>$BE$69*VLOOKUP($BE$11,'PCU Values'!$B$9:$C$16,2,FALSE)</f>
        <v>0</v>
      </c>
      <c r="BN69" s="77">
        <f>$BF$69*VLOOKUP($BF$11,'PCU Values'!$B$9:$C$16,2,FALSE)</f>
        <v>0</v>
      </c>
      <c r="BO69" s="77">
        <f>$BG$69*VLOOKUP($BG$11,'PCU Values'!$B$9:$C$16,2,FALSE)</f>
        <v>0</v>
      </c>
      <c r="BP69" s="77">
        <f>$BH$69*VLOOKUP($BH$11,'PCU Values'!$B$9:$C$16,2,FALSE)</f>
        <v>0</v>
      </c>
      <c r="BQ69" s="77">
        <f>$BI$69*VLOOKUP($BI$11,'PCU Values'!$B$9:$C$16,2,FALSE)</f>
        <v>0</v>
      </c>
      <c r="BR69" s="77">
        <f>$BJ$69*VLOOKUP($BJ$11,'PCU Values'!$B$9:$C$16,2,FALSE)</f>
        <v>0</v>
      </c>
      <c r="BS69" s="77">
        <f>$BK$69*VLOOKUP($BK$11,'PCU Values'!$B$9:$C$16,2,FALSE)</f>
        <v>0</v>
      </c>
      <c r="BT69" s="78">
        <f>$BL$69*VLOOKUP($BL$11,'PCU Values'!$B$9:$C$16,2,FALSE)</f>
        <v>0</v>
      </c>
      <c r="BU69" s="66">
        <f>SUM($BM$69,$BN$69,$BO$69,$BP$69,$BQ$69,$BR$69,$BS$69,$BT$69)</f>
        <v>0</v>
      </c>
      <c r="BV69" s="52">
        <f>SUM($BE$69,$BF$69,$BG$69,$BH$69,$BI$69,$BJ$69,$BK$69,$BL$69)</f>
        <v>0</v>
      </c>
      <c r="BX69" s="47" t="s">
        <v>77</v>
      </c>
      <c r="BY69" s="83">
        <f>SUM($C$69,$U$69,$AM$69,$BE$69)</f>
        <v>9</v>
      </c>
      <c r="BZ69" s="83">
        <f>SUM($D$69,$V$69,$AN$69,$BF$69)</f>
        <v>2</v>
      </c>
      <c r="CA69" s="83">
        <f>SUM($E$69,$W$69,$AO$69,$BG$69)</f>
        <v>0</v>
      </c>
      <c r="CB69" s="83">
        <f>SUM($F$69,$X$69,$AP$69,$BH$69)</f>
        <v>0</v>
      </c>
      <c r="CC69" s="83">
        <f>SUM($G$69,$Y$69,$AQ$69,$BI$69)</f>
        <v>0</v>
      </c>
      <c r="CD69" s="83">
        <f>SUM($H$69,$Z$69,$AR$69,$BJ$69)</f>
        <v>7</v>
      </c>
      <c r="CE69" s="83">
        <f>SUM($I$69,$AA$69,$AS$69,$BK$69)</f>
        <v>0</v>
      </c>
      <c r="CF69" s="86">
        <f>SUM($J$69,$AB$69,$AT$69,$BL$69)</f>
        <v>0</v>
      </c>
      <c r="CG69" s="77">
        <f>$BY$69*VLOOKUP($BY$11,'PCU Values'!$B$9:$C$16,2,FALSE)</f>
        <v>9</v>
      </c>
      <c r="CH69" s="77">
        <f>$BZ$69*VLOOKUP($BZ$11,'PCU Values'!$B$9:$C$16,2,FALSE)</f>
        <v>2</v>
      </c>
      <c r="CI69" s="77">
        <f>$CA$69*VLOOKUP($CA$11,'PCU Values'!$B$9:$C$16,2,FALSE)</f>
        <v>0</v>
      </c>
      <c r="CJ69" s="77">
        <f>$CB$69*VLOOKUP($CB$11,'PCU Values'!$B$9:$C$16,2,FALSE)</f>
        <v>0</v>
      </c>
      <c r="CK69" s="77">
        <f>$CC$69*VLOOKUP($CC$11,'PCU Values'!$B$9:$C$16,2,FALSE)</f>
        <v>0</v>
      </c>
      <c r="CL69" s="77">
        <f>$CD$69*VLOOKUP($CD$11,'PCU Values'!$B$9:$C$16,2,FALSE)</f>
        <v>1.4</v>
      </c>
      <c r="CM69" s="77">
        <f>$CE$69*VLOOKUP($CE$11,'PCU Values'!$B$9:$C$16,2,FALSE)</f>
        <v>0</v>
      </c>
      <c r="CN69" s="78">
        <f>$CF$69*VLOOKUP($CF$11,'PCU Values'!$B$9:$C$16,2,FALSE)</f>
        <v>0</v>
      </c>
      <c r="CO69" s="66">
        <f>SUM($CG$69,$CH$69,$CI$69,$CJ$69,$CK$69,$CL$69,$CM$69,$CN$69)</f>
        <v>12.4</v>
      </c>
      <c r="CP69" s="52">
        <f>SUM($BY$69,$BZ$69,$CA$69,$CB$69,$CC$69,$CD$69,$CE$69,$CF$69)</f>
        <v>18</v>
      </c>
      <c r="CQ69" s="89">
        <f>SUM('J1 A - (North) Bishopthorpe Roa'!$AM$69,'J1 B - Butcher Terrace'!$U$69,'J1 C - (South) Bishopthorpe Roa'!$C$69,'J1 D - South Bank Avenue'!$BE$69)</f>
        <v>6</v>
      </c>
      <c r="CR69" s="83">
        <f>SUM('J1 A - (North) Bishopthorpe Roa'!$AN$69,'J1 B - Butcher Terrace'!$V$69,'J1 C - (South) Bishopthorpe Roa'!$D$69,'J1 D - South Bank Avenue'!$BF$69)</f>
        <v>2</v>
      </c>
      <c r="CS69" s="83">
        <f>SUM('J1 A - (North) Bishopthorpe Roa'!$AO$69,'J1 B - Butcher Terrace'!$W$69,'J1 C - (South) Bishopthorpe Roa'!$E$69,'J1 D - South Bank Avenue'!$BG$69)</f>
        <v>0</v>
      </c>
      <c r="CT69" s="83">
        <f>SUM('J1 A - (North) Bishopthorpe Roa'!$AP$69,'J1 B - Butcher Terrace'!$X$69,'J1 C - (South) Bishopthorpe Roa'!$F$69,'J1 D - South Bank Avenue'!$BH$69)</f>
        <v>0</v>
      </c>
      <c r="CU69" s="83">
        <f>SUM('J1 A - (North) Bishopthorpe Roa'!$AQ$69,'J1 B - Butcher Terrace'!$Y$69,'J1 C - (South) Bishopthorpe Roa'!$G$69,'J1 D - South Bank Avenue'!$BI$69)</f>
        <v>0</v>
      </c>
      <c r="CV69" s="83">
        <f>SUM('J1 A - (North) Bishopthorpe Roa'!$AR$69,'J1 B - Butcher Terrace'!$Z$69,'J1 C - (South) Bishopthorpe Roa'!$H$69,'J1 D - South Bank Avenue'!$BJ$69)</f>
        <v>1</v>
      </c>
      <c r="CW69" s="83">
        <f>SUM('J1 A - (North) Bishopthorpe Roa'!$AS$69,'J1 B - Butcher Terrace'!$AA$69,'J1 C - (South) Bishopthorpe Roa'!$I$69,'J1 D - South Bank Avenue'!$BK$69)</f>
        <v>0</v>
      </c>
      <c r="CX69" s="86">
        <f>SUM('J1 A - (North) Bishopthorpe Roa'!$AT$69,'J1 B - Butcher Terrace'!$AB$69,'J1 C - (South) Bishopthorpe Roa'!$J$69,'J1 D - South Bank Avenue'!$BL$69)</f>
        <v>0</v>
      </c>
      <c r="CY69" s="77">
        <f>$CQ$69*VLOOKUP($CQ$11,'PCU Values'!$B$9:$C$16,2,FALSE)</f>
        <v>6</v>
      </c>
      <c r="CZ69" s="77">
        <f>$CR$69*VLOOKUP($CR$11,'PCU Values'!$B$9:$C$16,2,FALSE)</f>
        <v>2</v>
      </c>
      <c r="DA69" s="77">
        <f>$CS$69*VLOOKUP($CS$11,'PCU Values'!$B$9:$C$16,2,FALSE)</f>
        <v>0</v>
      </c>
      <c r="DB69" s="77">
        <f>$CT$69*VLOOKUP($CT$11,'PCU Values'!$B$9:$C$16,2,FALSE)</f>
        <v>0</v>
      </c>
      <c r="DC69" s="77">
        <f>$CU$69*VLOOKUP($CU$11,'PCU Values'!$B$9:$C$16,2,FALSE)</f>
        <v>0</v>
      </c>
      <c r="DD69" s="77">
        <f>$CV$69*VLOOKUP($CV$11,'PCU Values'!$B$9:$C$16,2,FALSE)</f>
        <v>0.2</v>
      </c>
      <c r="DE69" s="77">
        <f>$CW$69*VLOOKUP($CW$11,'PCU Values'!$B$9:$C$16,2,FALSE)</f>
        <v>0</v>
      </c>
      <c r="DF69" s="78">
        <f>$CX$69*VLOOKUP($CX$11,'PCU Values'!$B$9:$C$16,2,FALSE)</f>
        <v>0</v>
      </c>
      <c r="DG69" s="66">
        <f>SUM($CY$69,$CZ$69,$DA$69,$DB$69,$DC$69,$DD$69,$DE$69,$DF$69)</f>
        <v>8.1999999999999993</v>
      </c>
      <c r="DH69" s="52">
        <f>SUM($CQ$69,$CR$69,$CS$69,$CT$69,$CU$69,$CV$69,$CW$69,$CX$69)</f>
        <v>9</v>
      </c>
    </row>
    <row r="70" spans="1:112" ht="21" customHeight="1">
      <c r="A70" s="46">
        <v>44395.489583333299</v>
      </c>
      <c r="B70" s="50" t="s">
        <v>78</v>
      </c>
      <c r="C70" s="51">
        <v>4</v>
      </c>
      <c r="D70" s="51">
        <v>0</v>
      </c>
      <c r="E70" s="51">
        <v>0</v>
      </c>
      <c r="F70" s="51">
        <v>0</v>
      </c>
      <c r="G70" s="51">
        <v>0</v>
      </c>
      <c r="H70" s="51">
        <v>3</v>
      </c>
      <c r="I70" s="51">
        <v>0</v>
      </c>
      <c r="J70" s="59">
        <v>0</v>
      </c>
      <c r="K70" s="60">
        <f>$C$70*VLOOKUP($C$11,'PCU Values'!$B$9:$C$16,2,FALSE)</f>
        <v>4</v>
      </c>
      <c r="L70" s="60">
        <f>$D$70*VLOOKUP($D$11,'PCU Values'!$B$9:$C$16,2,FALSE)</f>
        <v>0</v>
      </c>
      <c r="M70" s="60">
        <f>$E$70*VLOOKUP($E$11,'PCU Values'!$B$9:$C$16,2,FALSE)</f>
        <v>0</v>
      </c>
      <c r="N70" s="60">
        <f>$F$70*VLOOKUP($F$11,'PCU Values'!$B$9:$C$16,2,FALSE)</f>
        <v>0</v>
      </c>
      <c r="O70" s="60">
        <f>$G$70*VLOOKUP($G$11,'PCU Values'!$B$9:$C$16,2,FALSE)</f>
        <v>0</v>
      </c>
      <c r="P70" s="60">
        <f>$H$70*VLOOKUP($H$11,'PCU Values'!$B$9:$C$16,2,FALSE)</f>
        <v>0.6</v>
      </c>
      <c r="Q70" s="60">
        <f>$I$70*VLOOKUP($I$11,'PCU Values'!$B$9:$C$16,2,FALSE)</f>
        <v>0</v>
      </c>
      <c r="R70" s="68">
        <f>$J$70*VLOOKUP($J$11,'PCU Values'!$B$9:$C$16,2,FALSE)</f>
        <v>0</v>
      </c>
      <c r="S70" s="63">
        <f>SUM($K$70,$L$70,$M$70,$N$70,$O$70,$P$70,$Q$70,$R$70)</f>
        <v>4.5999999999999996</v>
      </c>
      <c r="T70" s="52">
        <f>SUM($C$70,$D$70,$E$70,$F$70,$G$70,$H$70,$I$70,$J$70)</f>
        <v>7</v>
      </c>
      <c r="U70" s="73">
        <v>0</v>
      </c>
      <c r="V70" s="51">
        <v>0</v>
      </c>
      <c r="W70" s="51">
        <v>0</v>
      </c>
      <c r="X70" s="51">
        <v>0</v>
      </c>
      <c r="Y70" s="51">
        <v>0</v>
      </c>
      <c r="Z70" s="51">
        <v>2</v>
      </c>
      <c r="AA70" s="51">
        <v>0</v>
      </c>
      <c r="AB70" s="59">
        <v>0</v>
      </c>
      <c r="AC70" s="60">
        <f>$U$70*VLOOKUP($U$11,'PCU Values'!$B$9:$C$16,2,FALSE)</f>
        <v>0</v>
      </c>
      <c r="AD70" s="60">
        <f>$V$70*VLOOKUP($V$11,'PCU Values'!$B$9:$C$16,2,FALSE)</f>
        <v>0</v>
      </c>
      <c r="AE70" s="60">
        <f>$W$70*VLOOKUP($W$11,'PCU Values'!$B$9:$C$16,2,FALSE)</f>
        <v>0</v>
      </c>
      <c r="AF70" s="60">
        <f>$X$70*VLOOKUP($X$11,'PCU Values'!$B$9:$C$16,2,FALSE)</f>
        <v>0</v>
      </c>
      <c r="AG70" s="60">
        <f>$Y$70*VLOOKUP($Y$11,'PCU Values'!$B$9:$C$16,2,FALSE)</f>
        <v>0</v>
      </c>
      <c r="AH70" s="60">
        <f>$Z$70*VLOOKUP($Z$11,'PCU Values'!$B$9:$C$16,2,FALSE)</f>
        <v>0.4</v>
      </c>
      <c r="AI70" s="60">
        <f>$AA$70*VLOOKUP($AA$11,'PCU Values'!$B$9:$C$16,2,FALSE)</f>
        <v>0</v>
      </c>
      <c r="AJ70" s="68">
        <f>$AB$70*VLOOKUP($AB$11,'PCU Values'!$B$9:$C$16,2,FALSE)</f>
        <v>0</v>
      </c>
      <c r="AK70" s="63">
        <f>SUM($AC$70,$AD$70,$AE$70,$AF$70,$AG$70,$AH$70,$AI$70,$AJ$70)</f>
        <v>0.4</v>
      </c>
      <c r="AL70" s="52">
        <f>SUM($U$70,$V$70,$W$70,$X$70,$Y$70,$Z$70,$AA$70,$AB$70)</f>
        <v>2</v>
      </c>
      <c r="AM70" s="69">
        <v>0</v>
      </c>
      <c r="AN70" s="51">
        <v>0</v>
      </c>
      <c r="AO70" s="51">
        <v>0</v>
      </c>
      <c r="AP70" s="51">
        <v>0</v>
      </c>
      <c r="AQ70" s="51">
        <v>0</v>
      </c>
      <c r="AR70" s="55">
        <v>0</v>
      </c>
      <c r="AS70" s="51">
        <v>0</v>
      </c>
      <c r="AT70" s="59">
        <v>0</v>
      </c>
      <c r="AU70" s="60">
        <f>$AM$70*VLOOKUP($AM$11,'PCU Values'!$B$9:$C$16,2,FALSE)</f>
        <v>0</v>
      </c>
      <c r="AV70" s="60">
        <f>$AN$70*VLOOKUP($AN$11,'PCU Values'!$B$9:$C$16,2,FALSE)</f>
        <v>0</v>
      </c>
      <c r="AW70" s="60">
        <f>$AO$70*VLOOKUP($AO$11,'PCU Values'!$B$9:$C$16,2,FALSE)</f>
        <v>0</v>
      </c>
      <c r="AX70" s="60">
        <f>$AP$70*VLOOKUP($AP$11,'PCU Values'!$B$9:$C$16,2,FALSE)</f>
        <v>0</v>
      </c>
      <c r="AY70" s="60">
        <f>$AQ$70*VLOOKUP($AQ$11,'PCU Values'!$B$9:$C$16,2,FALSE)</f>
        <v>0</v>
      </c>
      <c r="AZ70" s="60">
        <f>$AR$70*VLOOKUP($AR$11,'PCU Values'!$B$9:$C$16,2,FALSE)</f>
        <v>0</v>
      </c>
      <c r="BA70" s="60">
        <f>$AS$70*VLOOKUP($AS$11,'PCU Values'!$B$9:$C$16,2,FALSE)</f>
        <v>0</v>
      </c>
      <c r="BB70" s="68">
        <f>$AT$70*VLOOKUP($AT$11,'PCU Values'!$B$9:$C$16,2,FALSE)</f>
        <v>0</v>
      </c>
      <c r="BC70" s="63">
        <f>SUM($AU$70,$AV$70,$AW$70,$AX$70,$AY$70,$AZ$70,$BA$70,$BB$70)</f>
        <v>0</v>
      </c>
      <c r="BD70" s="52">
        <f>SUM($AM$70,$AN$70,$AO$70,$AP$70,$AQ$70,$AR$70,$AS$70,$AT$70)</f>
        <v>0</v>
      </c>
      <c r="BE70" s="73">
        <v>0</v>
      </c>
      <c r="BF70" s="51">
        <v>0</v>
      </c>
      <c r="BG70" s="51">
        <v>0</v>
      </c>
      <c r="BH70" s="51">
        <v>0</v>
      </c>
      <c r="BI70" s="51">
        <v>0</v>
      </c>
      <c r="BJ70" s="51">
        <v>0</v>
      </c>
      <c r="BK70" s="51">
        <v>0</v>
      </c>
      <c r="BL70" s="59">
        <v>0</v>
      </c>
      <c r="BM70" s="79">
        <f>$BE$70*VLOOKUP($BE$11,'PCU Values'!$B$9:$C$16,2,FALSE)</f>
        <v>0</v>
      </c>
      <c r="BN70" s="79">
        <f>$BF$70*VLOOKUP($BF$11,'PCU Values'!$B$9:$C$16,2,FALSE)</f>
        <v>0</v>
      </c>
      <c r="BO70" s="79">
        <f>$BG$70*VLOOKUP($BG$11,'PCU Values'!$B$9:$C$16,2,FALSE)</f>
        <v>0</v>
      </c>
      <c r="BP70" s="79">
        <f>$BH$70*VLOOKUP($BH$11,'PCU Values'!$B$9:$C$16,2,FALSE)</f>
        <v>0</v>
      </c>
      <c r="BQ70" s="79">
        <f>$BI$70*VLOOKUP($BI$11,'PCU Values'!$B$9:$C$16,2,FALSE)</f>
        <v>0</v>
      </c>
      <c r="BR70" s="79">
        <f>$BJ$70*VLOOKUP($BJ$11,'PCU Values'!$B$9:$C$16,2,FALSE)</f>
        <v>0</v>
      </c>
      <c r="BS70" s="79">
        <f>$BK$70*VLOOKUP($BK$11,'PCU Values'!$B$9:$C$16,2,FALSE)</f>
        <v>0</v>
      </c>
      <c r="BT70" s="80">
        <f>$BL$70*VLOOKUP($BL$11,'PCU Values'!$B$9:$C$16,2,FALSE)</f>
        <v>0</v>
      </c>
      <c r="BU70" s="63">
        <f>SUM($BM$70,$BN$70,$BO$70,$BP$70,$BQ$70,$BR$70,$BS$70,$BT$70)</f>
        <v>0</v>
      </c>
      <c r="BV70" s="52">
        <f>SUM($BE$70,$BF$70,$BG$70,$BH$70,$BI$70,$BJ$70,$BK$70,$BL$70)</f>
        <v>0</v>
      </c>
      <c r="BX70" s="50" t="s">
        <v>78</v>
      </c>
      <c r="BY70" s="84">
        <f>SUM($C$70,$U$70,$AM$70,$BE$70)</f>
        <v>4</v>
      </c>
      <c r="BZ70" s="84">
        <f>SUM($D$70,$V$70,$AN$70,$BF$70)</f>
        <v>0</v>
      </c>
      <c r="CA70" s="84">
        <f>SUM($E$70,$W$70,$AO$70,$BG$70)</f>
        <v>0</v>
      </c>
      <c r="CB70" s="84">
        <f>SUM($F$70,$X$70,$AP$70,$BH$70)</f>
        <v>0</v>
      </c>
      <c r="CC70" s="84">
        <f>SUM($G$70,$Y$70,$AQ$70,$BI$70)</f>
        <v>0</v>
      </c>
      <c r="CD70" s="84">
        <f>SUM($H$70,$Z$70,$AR$70,$BJ$70)</f>
        <v>5</v>
      </c>
      <c r="CE70" s="84">
        <f>SUM($I$70,$AA$70,$AS$70,$BK$70)</f>
        <v>0</v>
      </c>
      <c r="CF70" s="87">
        <f>SUM($J$70,$AB$70,$AT$70,$BL$70)</f>
        <v>0</v>
      </c>
      <c r="CG70" s="79">
        <f>$BY$70*VLOOKUP($BY$11,'PCU Values'!$B$9:$C$16,2,FALSE)</f>
        <v>4</v>
      </c>
      <c r="CH70" s="79">
        <f>$BZ$70*VLOOKUP($BZ$11,'PCU Values'!$B$9:$C$16,2,FALSE)</f>
        <v>0</v>
      </c>
      <c r="CI70" s="79">
        <f>$CA$70*VLOOKUP($CA$11,'PCU Values'!$B$9:$C$16,2,FALSE)</f>
        <v>0</v>
      </c>
      <c r="CJ70" s="79">
        <f>$CB$70*VLOOKUP($CB$11,'PCU Values'!$B$9:$C$16,2,FALSE)</f>
        <v>0</v>
      </c>
      <c r="CK70" s="79">
        <f>$CC$70*VLOOKUP($CC$11,'PCU Values'!$B$9:$C$16,2,FALSE)</f>
        <v>0</v>
      </c>
      <c r="CL70" s="79">
        <f>$CD$70*VLOOKUP($CD$11,'PCU Values'!$B$9:$C$16,2,FALSE)</f>
        <v>1</v>
      </c>
      <c r="CM70" s="79">
        <f>$CE$70*VLOOKUP($CE$11,'PCU Values'!$B$9:$C$16,2,FALSE)</f>
        <v>0</v>
      </c>
      <c r="CN70" s="80">
        <f>$CF$70*VLOOKUP($CF$11,'PCU Values'!$B$9:$C$16,2,FALSE)</f>
        <v>0</v>
      </c>
      <c r="CO70" s="63">
        <f>SUM($CG$70,$CH$70,$CI$70,$CJ$70,$CK$70,$CL$70,$CM$70,$CN$70)</f>
        <v>5</v>
      </c>
      <c r="CP70" s="52">
        <f>SUM($BY$70,$BZ$70,$CA$70,$CB$70,$CC$70,$CD$70,$CE$70,$CF$70)</f>
        <v>9</v>
      </c>
      <c r="CQ70" s="90">
        <f>SUM('J1 A - (North) Bishopthorpe Roa'!$AM$70,'J1 B - Butcher Terrace'!$U$70,'J1 C - (South) Bishopthorpe Roa'!$C$70,'J1 D - South Bank Avenue'!$BE$70)</f>
        <v>6</v>
      </c>
      <c r="CR70" s="84">
        <f>SUM('J1 A - (North) Bishopthorpe Roa'!$AN$70,'J1 B - Butcher Terrace'!$V$70,'J1 C - (South) Bishopthorpe Roa'!$D$70,'J1 D - South Bank Avenue'!$BF$70)</f>
        <v>2</v>
      </c>
      <c r="CS70" s="84">
        <f>SUM('J1 A - (North) Bishopthorpe Roa'!$AO$70,'J1 B - Butcher Terrace'!$W$70,'J1 C - (South) Bishopthorpe Roa'!$E$70,'J1 D - South Bank Avenue'!$BG$70)</f>
        <v>0</v>
      </c>
      <c r="CT70" s="84">
        <f>SUM('J1 A - (North) Bishopthorpe Roa'!$AP$70,'J1 B - Butcher Terrace'!$X$70,'J1 C - (South) Bishopthorpe Roa'!$F$70,'J1 D - South Bank Avenue'!$BH$70)</f>
        <v>0</v>
      </c>
      <c r="CU70" s="84">
        <f>SUM('J1 A - (North) Bishopthorpe Roa'!$AQ$70,'J1 B - Butcher Terrace'!$Y$70,'J1 C - (South) Bishopthorpe Roa'!$G$70,'J1 D - South Bank Avenue'!$BI$70)</f>
        <v>0</v>
      </c>
      <c r="CV70" s="84">
        <f>SUM('J1 A - (North) Bishopthorpe Roa'!$AR$70,'J1 B - Butcher Terrace'!$Z$70,'J1 C - (South) Bishopthorpe Roa'!$H$70,'J1 D - South Bank Avenue'!$BJ$70)</f>
        <v>6</v>
      </c>
      <c r="CW70" s="84">
        <f>SUM('J1 A - (North) Bishopthorpe Roa'!$AS$70,'J1 B - Butcher Terrace'!$AA$70,'J1 C - (South) Bishopthorpe Roa'!$I$70,'J1 D - South Bank Avenue'!$BK$70)</f>
        <v>0</v>
      </c>
      <c r="CX70" s="87">
        <f>SUM('J1 A - (North) Bishopthorpe Roa'!$AT$70,'J1 B - Butcher Terrace'!$AB$70,'J1 C - (South) Bishopthorpe Roa'!$J$70,'J1 D - South Bank Avenue'!$BL$70)</f>
        <v>0</v>
      </c>
      <c r="CY70" s="79">
        <f>$CQ$70*VLOOKUP($CQ$11,'PCU Values'!$B$9:$C$16,2,FALSE)</f>
        <v>6</v>
      </c>
      <c r="CZ70" s="79">
        <f>$CR$70*VLOOKUP($CR$11,'PCU Values'!$B$9:$C$16,2,FALSE)</f>
        <v>2</v>
      </c>
      <c r="DA70" s="79">
        <f>$CS$70*VLOOKUP($CS$11,'PCU Values'!$B$9:$C$16,2,FALSE)</f>
        <v>0</v>
      </c>
      <c r="DB70" s="79">
        <f>$CT$70*VLOOKUP($CT$11,'PCU Values'!$B$9:$C$16,2,FALSE)</f>
        <v>0</v>
      </c>
      <c r="DC70" s="79">
        <f>$CU$70*VLOOKUP($CU$11,'PCU Values'!$B$9:$C$16,2,FALSE)</f>
        <v>0</v>
      </c>
      <c r="DD70" s="79">
        <f>$CV$70*VLOOKUP($CV$11,'PCU Values'!$B$9:$C$16,2,FALSE)</f>
        <v>1.2</v>
      </c>
      <c r="DE70" s="79">
        <f>$CW$70*VLOOKUP($CW$11,'PCU Values'!$B$9:$C$16,2,FALSE)</f>
        <v>0</v>
      </c>
      <c r="DF70" s="80">
        <f>$CX$70*VLOOKUP($CX$11,'PCU Values'!$B$9:$C$16,2,FALSE)</f>
        <v>0</v>
      </c>
      <c r="DG70" s="63">
        <f>SUM($CY$70,$CZ$70,$DA$70,$DB$70,$DC$70,$DD$70,$DE$70,$DF$70)</f>
        <v>9.1999999999999993</v>
      </c>
      <c r="DH70" s="52">
        <f>SUM($CQ$70,$CR$70,$CS$70,$CT$70,$CU$70,$CV$70,$CW$70,$CX$70)</f>
        <v>14</v>
      </c>
    </row>
    <row r="71" spans="1:112">
      <c r="B71" s="52" t="s">
        <v>34</v>
      </c>
      <c r="C71" s="52">
        <f>SUM($C$67:$C$70)</f>
        <v>22</v>
      </c>
      <c r="D71" s="52">
        <f>SUM($D$67:$D$70)</f>
        <v>2</v>
      </c>
      <c r="E71" s="52">
        <f>SUM($E$67:$E$70)</f>
        <v>0</v>
      </c>
      <c r="F71" s="52">
        <f>SUM($F$67:$F$70)</f>
        <v>0</v>
      </c>
      <c r="G71" s="52">
        <f>SUM($G$67:$G$70)</f>
        <v>0</v>
      </c>
      <c r="H71" s="52">
        <f>SUM($H$67:$H$70)</f>
        <v>7</v>
      </c>
      <c r="I71" s="52">
        <f>SUM($I$67:$I$70)</f>
        <v>0</v>
      </c>
      <c r="J71" s="52">
        <f>SUM($J$67:$J$70)</f>
        <v>0</v>
      </c>
      <c r="K71" s="52">
        <f>SUM($K$67:$K$70)</f>
        <v>22</v>
      </c>
      <c r="L71" s="52">
        <f>SUM($L$67:$L$70)</f>
        <v>2</v>
      </c>
      <c r="M71" s="52">
        <f>SUM($M$67:$M$70)</f>
        <v>0</v>
      </c>
      <c r="N71" s="52">
        <f>SUM($N$67:$N$70)</f>
        <v>0</v>
      </c>
      <c r="O71" s="52">
        <f>SUM($O$67:$O$70)</f>
        <v>0</v>
      </c>
      <c r="P71" s="52">
        <f>SUM($P$67:$P$70)</f>
        <v>1</v>
      </c>
      <c r="Q71" s="52">
        <f>SUM($Q$67:$Q$70)</f>
        <v>0</v>
      </c>
      <c r="R71" s="52">
        <f>SUM($R$67:$R$70)</f>
        <v>0</v>
      </c>
      <c r="S71" s="52">
        <f>SUM($K$71,$L$71,$M$71,$N$71,$O$71,$P$71,$Q$71,$R$71)</f>
        <v>25</v>
      </c>
      <c r="T71" s="52">
        <f>SUM($C$71,$D$71,$E$71,$F$71,$G$71,$H$71,$I$71,$J$71)</f>
        <v>31</v>
      </c>
      <c r="U71" s="52">
        <f>SUM($U$67:$U$70)</f>
        <v>1</v>
      </c>
      <c r="V71" s="52">
        <f>SUM($V$67:$V$70)</f>
        <v>0</v>
      </c>
      <c r="W71" s="52">
        <f>SUM($W$67:$W$70)</f>
        <v>0</v>
      </c>
      <c r="X71" s="52">
        <f>SUM($X$67:$X$70)</f>
        <v>0</v>
      </c>
      <c r="Y71" s="52">
        <f>SUM($Y$67:$Y$70)</f>
        <v>0</v>
      </c>
      <c r="Z71" s="52">
        <f>SUM($Z$67:$Z$70)</f>
        <v>9</v>
      </c>
      <c r="AA71" s="52">
        <f>SUM($AA$67:$AA$70)</f>
        <v>0</v>
      </c>
      <c r="AB71" s="52">
        <f>SUM($AB$67:$AB$70)</f>
        <v>0</v>
      </c>
      <c r="AC71" s="52">
        <f>SUM($AC$67:$AC$70)</f>
        <v>1</v>
      </c>
      <c r="AD71" s="52">
        <f>SUM($AD$67:$AD$70)</f>
        <v>0</v>
      </c>
      <c r="AE71" s="52">
        <f>SUM($AE$67:$AE$70)</f>
        <v>0</v>
      </c>
      <c r="AF71" s="52">
        <f>SUM($AF$67:$AF$70)</f>
        <v>0</v>
      </c>
      <c r="AG71" s="52">
        <f>SUM($AG$67:$AG$70)</f>
        <v>0</v>
      </c>
      <c r="AH71" s="52">
        <f>SUM($AH$67:$AH$70)</f>
        <v>2</v>
      </c>
      <c r="AI71" s="52">
        <f>SUM($AI$67:$AI$70)</f>
        <v>0</v>
      </c>
      <c r="AJ71" s="52">
        <f>SUM($AJ$67:$AJ$70)</f>
        <v>0</v>
      </c>
      <c r="AK71" s="52">
        <f>SUM($AC$71,$AD$71,$AE$71,$AF$71,$AG$71,$AH$71,$AI$71,$AJ$71)</f>
        <v>3</v>
      </c>
      <c r="AL71" s="52">
        <f>SUM($U$71,$V$71,$W$71,$X$71,$Y$71,$Z$71,$AA$71,$AB$71)</f>
        <v>10</v>
      </c>
      <c r="AM71" s="52">
        <f>SUM($AM$67:$AM$70)</f>
        <v>3</v>
      </c>
      <c r="AN71" s="52">
        <f>SUM($AN$67:$AN$70)</f>
        <v>3</v>
      </c>
      <c r="AO71" s="52">
        <f>SUM($AO$67:$AO$70)</f>
        <v>0</v>
      </c>
      <c r="AP71" s="52">
        <f>SUM($AP$67:$AP$70)</f>
        <v>0</v>
      </c>
      <c r="AQ71" s="52">
        <f>SUM($AQ$67:$AQ$70)</f>
        <v>0</v>
      </c>
      <c r="AR71" s="52">
        <f>SUM($AR$67:$AR$70)</f>
        <v>0</v>
      </c>
      <c r="AS71" s="52">
        <f>SUM($AS$67:$AS$70)</f>
        <v>0</v>
      </c>
      <c r="AT71" s="52">
        <f>SUM($AT$67:$AT$70)</f>
        <v>0</v>
      </c>
      <c r="AU71" s="52">
        <f>SUM($AU$67:$AU$70)</f>
        <v>3</v>
      </c>
      <c r="AV71" s="52">
        <f>SUM($AV$67:$AV$70)</f>
        <v>3</v>
      </c>
      <c r="AW71" s="52">
        <f>SUM($AW$67:$AW$70)</f>
        <v>0</v>
      </c>
      <c r="AX71" s="52">
        <f>SUM($AX$67:$AX$70)</f>
        <v>0</v>
      </c>
      <c r="AY71" s="52">
        <f>SUM($AY$67:$AY$70)</f>
        <v>0</v>
      </c>
      <c r="AZ71" s="52">
        <f>SUM($AZ$67:$AZ$70)</f>
        <v>0</v>
      </c>
      <c r="BA71" s="52">
        <f>SUM($BA$67:$BA$70)</f>
        <v>0</v>
      </c>
      <c r="BB71" s="52">
        <f>SUM($BB$67:$BB$70)</f>
        <v>0</v>
      </c>
      <c r="BC71" s="52">
        <f>SUM($AU$71,$AV$71,$AW$71,$AX$71,$AY$71,$AZ$71,$BA$71,$BB$71)</f>
        <v>6</v>
      </c>
      <c r="BD71" s="52">
        <f>SUM($AM$71,$AN$71,$AO$71,$AP$71,$AQ$71,$AR$71,$AS$71,$AT$71)</f>
        <v>6</v>
      </c>
      <c r="BE71" s="52">
        <f>SUM($BE$67:$BE$70)</f>
        <v>0</v>
      </c>
      <c r="BF71" s="52">
        <f>SUM($BF$67:$BF$70)</f>
        <v>0</v>
      </c>
      <c r="BG71" s="52">
        <f>SUM($BG$67:$BG$70)</f>
        <v>0</v>
      </c>
      <c r="BH71" s="52">
        <f>SUM($BH$67:$BH$70)</f>
        <v>0</v>
      </c>
      <c r="BI71" s="52">
        <f>SUM($BI$67:$BI$70)</f>
        <v>0</v>
      </c>
      <c r="BJ71" s="52">
        <f>SUM($BJ$67:$BJ$70)</f>
        <v>0</v>
      </c>
      <c r="BK71" s="52">
        <f>SUM($BK$67:$BK$70)</f>
        <v>0</v>
      </c>
      <c r="BL71" s="52">
        <f>SUM($BL$67:$BL$70)</f>
        <v>0</v>
      </c>
      <c r="BM71" s="52">
        <f>SUM($BM$67:$BM$70)</f>
        <v>0</v>
      </c>
      <c r="BN71" s="52">
        <f>SUM($BN$67:$BN$70)</f>
        <v>0</v>
      </c>
      <c r="BO71" s="52">
        <f>SUM($BO$67:$BO$70)</f>
        <v>0</v>
      </c>
      <c r="BP71" s="52">
        <f>SUM($BP$67:$BP$70)</f>
        <v>0</v>
      </c>
      <c r="BQ71" s="52">
        <f>SUM($BQ$67:$BQ$70)</f>
        <v>0</v>
      </c>
      <c r="BR71" s="52">
        <f>SUM($BR$67:$BR$70)</f>
        <v>0</v>
      </c>
      <c r="BS71" s="52">
        <f>SUM($BS$67:$BS$70)</f>
        <v>0</v>
      </c>
      <c r="BT71" s="52">
        <f>SUM($BT$67:$BT$70)</f>
        <v>0</v>
      </c>
      <c r="BU71" s="52">
        <f>SUM($BM$71,$BN$71,$BO$71,$BP$71,$BQ$71,$BR$71,$BS$71,$BT$71)</f>
        <v>0</v>
      </c>
      <c r="BV71" s="52">
        <f>SUM($BE$71,$BF$71,$BG$71,$BH$71,$BI$71,$BJ$71,$BK$71,$BL$71)</f>
        <v>0</v>
      </c>
      <c r="BX71" s="52" t="s">
        <v>34</v>
      </c>
      <c r="BY71" s="52">
        <f>SUM($BY$67:$BY$70)</f>
        <v>26</v>
      </c>
      <c r="BZ71" s="52">
        <f>SUM($BZ$67:$BZ$70)</f>
        <v>5</v>
      </c>
      <c r="CA71" s="52">
        <f>SUM($CA$67:$CA$70)</f>
        <v>0</v>
      </c>
      <c r="CB71" s="52">
        <f>SUM($CB$67:$CB$70)</f>
        <v>0</v>
      </c>
      <c r="CC71" s="52">
        <f>SUM($CC$67:$CC$70)</f>
        <v>0</v>
      </c>
      <c r="CD71" s="52">
        <f>SUM($CD$67:$CD$70)</f>
        <v>16</v>
      </c>
      <c r="CE71" s="52">
        <f>SUM($CE$67:$CE$70)</f>
        <v>0</v>
      </c>
      <c r="CF71" s="52">
        <f>SUM($CF$67:$CF$70)</f>
        <v>0</v>
      </c>
      <c r="CG71" s="52">
        <f>SUM($CG$67:$CG$70)</f>
        <v>26</v>
      </c>
      <c r="CH71" s="52">
        <f>SUM($CH$67:$CH$70)</f>
        <v>5</v>
      </c>
      <c r="CI71" s="52">
        <f>SUM($CI$67:$CI$70)</f>
        <v>0</v>
      </c>
      <c r="CJ71" s="52">
        <f>SUM($CJ$67:$CJ$70)</f>
        <v>0</v>
      </c>
      <c r="CK71" s="52">
        <f>SUM($CK$67:$CK$70)</f>
        <v>0</v>
      </c>
      <c r="CL71" s="52">
        <f>SUM($CL$67:$CL$70)</f>
        <v>3</v>
      </c>
      <c r="CM71" s="52">
        <f>SUM($CM$67:$CM$70)</f>
        <v>0</v>
      </c>
      <c r="CN71" s="52">
        <f>SUM($CN$67:$CN$70)</f>
        <v>0</v>
      </c>
      <c r="CO71" s="52">
        <f>SUM($CG$71,$CH$71,$CI$71,$CJ$71,$CK$71,$CL$71,$CM$71,$CN$71)</f>
        <v>34</v>
      </c>
      <c r="CP71" s="52">
        <f>SUM($BY$71,$BZ$71,$CA$71,$CB$71,$CC$71,$CD$71,$CE$71,$CF$71)</f>
        <v>47</v>
      </c>
      <c r="CQ71" s="52">
        <f>SUM($CQ$67:$CQ$70)</f>
        <v>24</v>
      </c>
      <c r="CR71" s="52">
        <f>SUM($CR$67:$CR$70)</f>
        <v>8</v>
      </c>
      <c r="CS71" s="52">
        <f>SUM($CS$67:$CS$70)</f>
        <v>0</v>
      </c>
      <c r="CT71" s="52">
        <f>SUM($CT$67:$CT$70)</f>
        <v>0</v>
      </c>
      <c r="CU71" s="52">
        <f>SUM($CU$67:$CU$70)</f>
        <v>0</v>
      </c>
      <c r="CV71" s="52">
        <f>SUM($CV$67:$CV$70)</f>
        <v>12</v>
      </c>
      <c r="CW71" s="52">
        <f>SUM($CW$67:$CW$70)</f>
        <v>0</v>
      </c>
      <c r="CX71" s="52">
        <f>SUM($CX$67:$CX$70)</f>
        <v>0</v>
      </c>
      <c r="CY71" s="52">
        <f>SUM($CY$67:$CY$70)</f>
        <v>24</v>
      </c>
      <c r="CZ71" s="52">
        <f>SUM($CZ$67:$CZ$70)</f>
        <v>8</v>
      </c>
      <c r="DA71" s="52">
        <f>SUM($DA$67:$DA$70)</f>
        <v>0</v>
      </c>
      <c r="DB71" s="52">
        <f>SUM($DB$67:$DB$70)</f>
        <v>0</v>
      </c>
      <c r="DC71" s="52">
        <f>SUM($DC$67:$DC$70)</f>
        <v>0</v>
      </c>
      <c r="DD71" s="52">
        <f>SUM($DD$67:$DD$70)</f>
        <v>2</v>
      </c>
      <c r="DE71" s="52">
        <f>SUM($DE$67:$DE$70)</f>
        <v>0</v>
      </c>
      <c r="DF71" s="52">
        <f>SUM($DF$67:$DF$70)</f>
        <v>0</v>
      </c>
      <c r="DG71" s="52">
        <f>SUM($CY$71,$CZ$71,$DA$71,$DB$71,$DC$71,$DD$71,$DE$71,$DF$71)</f>
        <v>34</v>
      </c>
      <c r="DH71" s="52">
        <f>SUM($CQ$71,$CR$71,$CS$71,$CT$71,$CU$71,$CV$71,$CW$71,$CX$71)</f>
        <v>44</v>
      </c>
    </row>
    <row r="72" spans="1:112" ht="21" customHeight="1">
      <c r="A72" s="46">
        <v>44395.5</v>
      </c>
      <c r="B72" s="53" t="s">
        <v>79</v>
      </c>
      <c r="C72" s="54">
        <v>6</v>
      </c>
      <c r="D72" s="54">
        <v>2</v>
      </c>
      <c r="E72" s="54">
        <v>0</v>
      </c>
      <c r="F72" s="54">
        <v>0</v>
      </c>
      <c r="G72" s="54">
        <v>0</v>
      </c>
      <c r="H72" s="54">
        <v>2</v>
      </c>
      <c r="I72" s="54">
        <v>0</v>
      </c>
      <c r="J72" s="61">
        <v>0</v>
      </c>
      <c r="K72" s="62">
        <f>$C$72*VLOOKUP($C$11,'PCU Values'!$B$9:$C$16,2,FALSE)</f>
        <v>6</v>
      </c>
      <c r="L72" s="62">
        <f>$D$72*VLOOKUP($D$11,'PCU Values'!$B$9:$C$16,2,FALSE)</f>
        <v>2</v>
      </c>
      <c r="M72" s="62">
        <f>$E$72*VLOOKUP($E$11,'PCU Values'!$B$9:$C$16,2,FALSE)</f>
        <v>0</v>
      </c>
      <c r="N72" s="62">
        <f>$F$72*VLOOKUP($F$11,'PCU Values'!$B$9:$C$16,2,FALSE)</f>
        <v>0</v>
      </c>
      <c r="O72" s="62">
        <f>$G$72*VLOOKUP($G$11,'PCU Values'!$B$9:$C$16,2,FALSE)</f>
        <v>0</v>
      </c>
      <c r="P72" s="62">
        <f>$H$72*VLOOKUP($H$11,'PCU Values'!$B$9:$C$16,2,FALSE)</f>
        <v>0.4</v>
      </c>
      <c r="Q72" s="62">
        <f>$I$72*VLOOKUP($I$11,'PCU Values'!$B$9:$C$16,2,FALSE)</f>
        <v>0</v>
      </c>
      <c r="R72" s="70">
        <f>$J$72*VLOOKUP($J$11,'PCU Values'!$B$9:$C$16,2,FALSE)</f>
        <v>0</v>
      </c>
      <c r="S72" s="71">
        <f>SUM($K$72,$L$72,$M$72,$N$72,$O$72,$P$72,$Q$72,$R$72)</f>
        <v>8.4</v>
      </c>
      <c r="T72" s="52">
        <f>SUM($C$72,$D$72,$E$72,$F$72,$G$72,$H$72,$I$72,$J$72)</f>
        <v>10</v>
      </c>
      <c r="U72" s="72">
        <v>1</v>
      </c>
      <c r="V72" s="75">
        <v>0</v>
      </c>
      <c r="W72" s="75">
        <v>0</v>
      </c>
      <c r="X72" s="75">
        <v>0</v>
      </c>
      <c r="Y72" s="75">
        <v>0</v>
      </c>
      <c r="Z72" s="75">
        <v>2</v>
      </c>
      <c r="AA72" s="54">
        <v>0</v>
      </c>
      <c r="AB72" s="61">
        <v>0</v>
      </c>
      <c r="AC72" s="62">
        <f>$U$72*VLOOKUP($U$11,'PCU Values'!$B$9:$C$16,2,FALSE)</f>
        <v>1</v>
      </c>
      <c r="AD72" s="62">
        <f>$V$72*VLOOKUP($V$11,'PCU Values'!$B$9:$C$16,2,FALSE)</f>
        <v>0</v>
      </c>
      <c r="AE72" s="62">
        <f>$W$72*VLOOKUP($W$11,'PCU Values'!$B$9:$C$16,2,FALSE)</f>
        <v>0</v>
      </c>
      <c r="AF72" s="62">
        <f>$X$72*VLOOKUP($X$11,'PCU Values'!$B$9:$C$16,2,FALSE)</f>
        <v>0</v>
      </c>
      <c r="AG72" s="62">
        <f>$Y$72*VLOOKUP($Y$11,'PCU Values'!$B$9:$C$16,2,FALSE)</f>
        <v>0</v>
      </c>
      <c r="AH72" s="62">
        <f>$Z$72*VLOOKUP($Z$11,'PCU Values'!$B$9:$C$16,2,FALSE)</f>
        <v>0.4</v>
      </c>
      <c r="AI72" s="62">
        <f>$AA$72*VLOOKUP($AA$11,'PCU Values'!$B$9:$C$16,2,FALSE)</f>
        <v>0</v>
      </c>
      <c r="AJ72" s="70">
        <f>$AB$72*VLOOKUP($AB$11,'PCU Values'!$B$9:$C$16,2,FALSE)</f>
        <v>0</v>
      </c>
      <c r="AK72" s="71">
        <f>SUM($AC$72,$AD$72,$AE$72,$AF$72,$AG$72,$AH$72,$AI$72,$AJ$72)</f>
        <v>1.4</v>
      </c>
      <c r="AL72" s="52">
        <f>SUM($U$72,$V$72,$W$72,$X$72,$Y$72,$Z$72,$AA$72,$AB$72)</f>
        <v>3</v>
      </c>
      <c r="AM72" s="72">
        <v>1</v>
      </c>
      <c r="AN72" s="54">
        <v>0</v>
      </c>
      <c r="AO72" s="54">
        <v>0</v>
      </c>
      <c r="AP72" s="54">
        <v>0</v>
      </c>
      <c r="AQ72" s="54">
        <v>0</v>
      </c>
      <c r="AR72" s="54">
        <v>0</v>
      </c>
      <c r="AS72" s="54">
        <v>0</v>
      </c>
      <c r="AT72" s="61">
        <v>0</v>
      </c>
      <c r="AU72" s="62">
        <f>$AM$72*VLOOKUP($AM$11,'PCU Values'!$B$9:$C$16,2,FALSE)</f>
        <v>1</v>
      </c>
      <c r="AV72" s="62">
        <f>$AN$72*VLOOKUP($AN$11,'PCU Values'!$B$9:$C$16,2,FALSE)</f>
        <v>0</v>
      </c>
      <c r="AW72" s="62">
        <f>$AO$72*VLOOKUP($AO$11,'PCU Values'!$B$9:$C$16,2,FALSE)</f>
        <v>0</v>
      </c>
      <c r="AX72" s="62">
        <f>$AP$72*VLOOKUP($AP$11,'PCU Values'!$B$9:$C$16,2,FALSE)</f>
        <v>0</v>
      </c>
      <c r="AY72" s="62">
        <f>$AQ$72*VLOOKUP($AQ$11,'PCU Values'!$B$9:$C$16,2,FALSE)</f>
        <v>0</v>
      </c>
      <c r="AZ72" s="62">
        <f>$AR$72*VLOOKUP($AR$11,'PCU Values'!$B$9:$C$16,2,FALSE)</f>
        <v>0</v>
      </c>
      <c r="BA72" s="62">
        <f>$AS$72*VLOOKUP($AS$11,'PCU Values'!$B$9:$C$16,2,FALSE)</f>
        <v>0</v>
      </c>
      <c r="BB72" s="70">
        <f>$AT$72*VLOOKUP($AT$11,'PCU Values'!$B$9:$C$16,2,FALSE)</f>
        <v>0</v>
      </c>
      <c r="BC72" s="71">
        <f>SUM($AU$72,$AV$72,$AW$72,$AX$72,$AY$72,$AZ$72,$BA$72,$BB$72)</f>
        <v>1</v>
      </c>
      <c r="BD72" s="52">
        <f>SUM($AM$72,$AN$72,$AO$72,$AP$72,$AQ$72,$AR$72,$AS$72,$AT$72)</f>
        <v>1</v>
      </c>
      <c r="BE72" s="72">
        <v>0</v>
      </c>
      <c r="BF72" s="54">
        <v>0</v>
      </c>
      <c r="BG72" s="54">
        <v>0</v>
      </c>
      <c r="BH72" s="54">
        <v>0</v>
      </c>
      <c r="BI72" s="54">
        <v>0</v>
      </c>
      <c r="BJ72" s="54">
        <v>0</v>
      </c>
      <c r="BK72" s="54">
        <v>0</v>
      </c>
      <c r="BL72" s="61">
        <v>0</v>
      </c>
      <c r="BM72" s="81">
        <f>$BE$72*VLOOKUP($BE$11,'PCU Values'!$B$9:$C$16,2,FALSE)</f>
        <v>0</v>
      </c>
      <c r="BN72" s="81">
        <f>$BF$72*VLOOKUP($BF$11,'PCU Values'!$B$9:$C$16,2,FALSE)</f>
        <v>0</v>
      </c>
      <c r="BO72" s="81">
        <f>$BG$72*VLOOKUP($BG$11,'PCU Values'!$B$9:$C$16,2,FALSE)</f>
        <v>0</v>
      </c>
      <c r="BP72" s="81">
        <f>$BH$72*VLOOKUP($BH$11,'PCU Values'!$B$9:$C$16,2,FALSE)</f>
        <v>0</v>
      </c>
      <c r="BQ72" s="81">
        <f>$BI$72*VLOOKUP($BI$11,'PCU Values'!$B$9:$C$16,2,FALSE)</f>
        <v>0</v>
      </c>
      <c r="BR72" s="81">
        <f>$BJ$72*VLOOKUP($BJ$11,'PCU Values'!$B$9:$C$16,2,FALSE)</f>
        <v>0</v>
      </c>
      <c r="BS72" s="81">
        <f>$BK$72*VLOOKUP($BK$11,'PCU Values'!$B$9:$C$16,2,FALSE)</f>
        <v>0</v>
      </c>
      <c r="BT72" s="82">
        <f>$BL$72*VLOOKUP($BL$11,'PCU Values'!$B$9:$C$16,2,FALSE)</f>
        <v>0</v>
      </c>
      <c r="BU72" s="71">
        <f>SUM($BM$72,$BN$72,$BO$72,$BP$72,$BQ$72,$BR$72,$BS$72,$BT$72)</f>
        <v>0</v>
      </c>
      <c r="BV72" s="52">
        <f>SUM($BE$72,$BF$72,$BG$72,$BH$72,$BI$72,$BJ$72,$BK$72,$BL$72)</f>
        <v>0</v>
      </c>
      <c r="BX72" s="53" t="s">
        <v>79</v>
      </c>
      <c r="BY72" s="85">
        <f>SUM($C$72,$U$72,$AM$72,$BE$72)</f>
        <v>8</v>
      </c>
      <c r="BZ72" s="85">
        <f>SUM($D$72,$V$72,$AN$72,$BF$72)</f>
        <v>2</v>
      </c>
      <c r="CA72" s="85">
        <f>SUM($E$72,$W$72,$AO$72,$BG$72)</f>
        <v>0</v>
      </c>
      <c r="CB72" s="85">
        <f>SUM($F$72,$X$72,$AP$72,$BH$72)</f>
        <v>0</v>
      </c>
      <c r="CC72" s="85">
        <f>SUM($G$72,$Y$72,$AQ$72,$BI$72)</f>
        <v>0</v>
      </c>
      <c r="CD72" s="85">
        <f>SUM($H$72,$Z$72,$AR$72,$BJ$72)</f>
        <v>4</v>
      </c>
      <c r="CE72" s="85">
        <f>SUM($I$72,$AA$72,$AS$72,$BK$72)</f>
        <v>0</v>
      </c>
      <c r="CF72" s="88">
        <f>SUM($J$72,$AB$72,$AT$72,$BL$72)</f>
        <v>0</v>
      </c>
      <c r="CG72" s="81">
        <f>$BY$72*VLOOKUP($BY$11,'PCU Values'!$B$9:$C$16,2,FALSE)</f>
        <v>8</v>
      </c>
      <c r="CH72" s="81">
        <f>$BZ$72*VLOOKUP($BZ$11,'PCU Values'!$B$9:$C$16,2,FALSE)</f>
        <v>2</v>
      </c>
      <c r="CI72" s="81">
        <f>$CA$72*VLOOKUP($CA$11,'PCU Values'!$B$9:$C$16,2,FALSE)</f>
        <v>0</v>
      </c>
      <c r="CJ72" s="81">
        <f>$CB$72*VLOOKUP($CB$11,'PCU Values'!$B$9:$C$16,2,FALSE)</f>
        <v>0</v>
      </c>
      <c r="CK72" s="81">
        <f>$CC$72*VLOOKUP($CC$11,'PCU Values'!$B$9:$C$16,2,FALSE)</f>
        <v>0</v>
      </c>
      <c r="CL72" s="81">
        <f>$CD$72*VLOOKUP($CD$11,'PCU Values'!$B$9:$C$16,2,FALSE)</f>
        <v>0.8</v>
      </c>
      <c r="CM72" s="81">
        <f>$CE$72*VLOOKUP($CE$11,'PCU Values'!$B$9:$C$16,2,FALSE)</f>
        <v>0</v>
      </c>
      <c r="CN72" s="82">
        <f>$CF$72*VLOOKUP($CF$11,'PCU Values'!$B$9:$C$16,2,FALSE)</f>
        <v>0</v>
      </c>
      <c r="CO72" s="71">
        <f>SUM($CG$72,$CH$72,$CI$72,$CJ$72,$CK$72,$CL$72,$CM$72,$CN$72)</f>
        <v>10.8</v>
      </c>
      <c r="CP72" s="52">
        <f>SUM($BY$72,$BZ$72,$CA$72,$CB$72,$CC$72,$CD$72,$CE$72,$CF$72)</f>
        <v>14</v>
      </c>
      <c r="CQ72" s="91">
        <f>SUM('J1 A - (North) Bishopthorpe Roa'!$AM$72,'J1 B - Butcher Terrace'!$U$72,'J1 C - (South) Bishopthorpe Roa'!$C$72,'J1 D - South Bank Avenue'!$BE$72)</f>
        <v>10</v>
      </c>
      <c r="CR72" s="85">
        <f>SUM('J1 A - (North) Bishopthorpe Roa'!$AN$72,'J1 B - Butcher Terrace'!$V$72,'J1 C - (South) Bishopthorpe Roa'!$D$72,'J1 D - South Bank Avenue'!$BF$72)</f>
        <v>1</v>
      </c>
      <c r="CS72" s="85">
        <f>SUM('J1 A - (North) Bishopthorpe Roa'!$AO$72,'J1 B - Butcher Terrace'!$W$72,'J1 C - (South) Bishopthorpe Roa'!$E$72,'J1 D - South Bank Avenue'!$BG$72)</f>
        <v>0</v>
      </c>
      <c r="CT72" s="85">
        <f>SUM('J1 A - (North) Bishopthorpe Roa'!$AP$72,'J1 B - Butcher Terrace'!$X$72,'J1 C - (South) Bishopthorpe Roa'!$F$72,'J1 D - South Bank Avenue'!$BH$72)</f>
        <v>0</v>
      </c>
      <c r="CU72" s="85">
        <f>SUM('J1 A - (North) Bishopthorpe Roa'!$AQ$72,'J1 B - Butcher Terrace'!$Y$72,'J1 C - (South) Bishopthorpe Roa'!$G$72,'J1 D - South Bank Avenue'!$BI$72)</f>
        <v>0</v>
      </c>
      <c r="CV72" s="85">
        <f>SUM('J1 A - (North) Bishopthorpe Roa'!$AR$72,'J1 B - Butcher Terrace'!$Z$72,'J1 C - (South) Bishopthorpe Roa'!$H$72,'J1 D - South Bank Avenue'!$BJ$72)</f>
        <v>5</v>
      </c>
      <c r="CW72" s="85">
        <f>SUM('J1 A - (North) Bishopthorpe Roa'!$AS$72,'J1 B - Butcher Terrace'!$AA$72,'J1 C - (South) Bishopthorpe Roa'!$I$72,'J1 D - South Bank Avenue'!$BK$72)</f>
        <v>0</v>
      </c>
      <c r="CX72" s="88">
        <f>SUM('J1 A - (North) Bishopthorpe Roa'!$AT$72,'J1 B - Butcher Terrace'!$AB$72,'J1 C - (South) Bishopthorpe Roa'!$J$72,'J1 D - South Bank Avenue'!$BL$72)</f>
        <v>0</v>
      </c>
      <c r="CY72" s="81">
        <f>$CQ$72*VLOOKUP($CQ$11,'PCU Values'!$B$9:$C$16,2,FALSE)</f>
        <v>10</v>
      </c>
      <c r="CZ72" s="81">
        <f>$CR$72*VLOOKUP($CR$11,'PCU Values'!$B$9:$C$16,2,FALSE)</f>
        <v>1</v>
      </c>
      <c r="DA72" s="81">
        <f>$CS$72*VLOOKUP($CS$11,'PCU Values'!$B$9:$C$16,2,FALSE)</f>
        <v>0</v>
      </c>
      <c r="DB72" s="81">
        <f>$CT$72*VLOOKUP($CT$11,'PCU Values'!$B$9:$C$16,2,FALSE)</f>
        <v>0</v>
      </c>
      <c r="DC72" s="81">
        <f>$CU$72*VLOOKUP($CU$11,'PCU Values'!$B$9:$C$16,2,FALSE)</f>
        <v>0</v>
      </c>
      <c r="DD72" s="81">
        <f>$CV$72*VLOOKUP($CV$11,'PCU Values'!$B$9:$C$16,2,FALSE)</f>
        <v>1</v>
      </c>
      <c r="DE72" s="81">
        <f>$CW$72*VLOOKUP($CW$11,'PCU Values'!$B$9:$C$16,2,FALSE)</f>
        <v>0</v>
      </c>
      <c r="DF72" s="82">
        <f>$CX$72*VLOOKUP($CX$11,'PCU Values'!$B$9:$C$16,2,FALSE)</f>
        <v>0</v>
      </c>
      <c r="DG72" s="71">
        <f>SUM($CY$72,$CZ$72,$DA$72,$DB$72,$DC$72,$DD$72,$DE$72,$DF$72)</f>
        <v>12</v>
      </c>
      <c r="DH72" s="52">
        <f>SUM($CQ$72,$CR$72,$CS$72,$CT$72,$CU$72,$CV$72,$CW$72,$CX$72)</f>
        <v>16</v>
      </c>
    </row>
    <row r="73" spans="1:112" ht="21" customHeight="1">
      <c r="A73" s="46">
        <v>44395.510416666701</v>
      </c>
      <c r="B73" s="47" t="s">
        <v>80</v>
      </c>
      <c r="C73" s="48">
        <v>4</v>
      </c>
      <c r="D73" s="48">
        <v>2</v>
      </c>
      <c r="E73" s="48">
        <v>0</v>
      </c>
      <c r="F73" s="48">
        <v>0</v>
      </c>
      <c r="G73" s="48">
        <v>0</v>
      </c>
      <c r="H73" s="48">
        <v>1</v>
      </c>
      <c r="I73" s="48">
        <v>0</v>
      </c>
      <c r="J73" s="56">
        <v>0</v>
      </c>
      <c r="K73" s="57">
        <f>$C$73*VLOOKUP($C$11,'PCU Values'!$B$9:$C$16,2,FALSE)</f>
        <v>4</v>
      </c>
      <c r="L73" s="57">
        <f>$D$73*VLOOKUP($D$11,'PCU Values'!$B$9:$C$16,2,FALSE)</f>
        <v>2</v>
      </c>
      <c r="M73" s="57">
        <f>$E$73*VLOOKUP($E$11,'PCU Values'!$B$9:$C$16,2,FALSE)</f>
        <v>0</v>
      </c>
      <c r="N73" s="57">
        <f>$F$73*VLOOKUP($F$11,'PCU Values'!$B$9:$C$16,2,FALSE)</f>
        <v>0</v>
      </c>
      <c r="O73" s="57">
        <f>$G$73*VLOOKUP($G$11,'PCU Values'!$B$9:$C$16,2,FALSE)</f>
        <v>0</v>
      </c>
      <c r="P73" s="57">
        <f>$H$73*VLOOKUP($H$11,'PCU Values'!$B$9:$C$16,2,FALSE)</f>
        <v>0.2</v>
      </c>
      <c r="Q73" s="57">
        <f>$I$73*VLOOKUP($I$11,'PCU Values'!$B$9:$C$16,2,FALSE)</f>
        <v>0</v>
      </c>
      <c r="R73" s="65">
        <f>$J$73*VLOOKUP($J$11,'PCU Values'!$B$9:$C$16,2,FALSE)</f>
        <v>0</v>
      </c>
      <c r="S73" s="66">
        <f>SUM($K$73,$L$73,$M$73,$N$73,$O$73,$P$73,$Q$73,$R$73)</f>
        <v>6.2</v>
      </c>
      <c r="T73" s="52">
        <f>SUM($C$73,$D$73,$E$73,$F$73,$G$73,$H$73,$I$73,$J$73)</f>
        <v>7</v>
      </c>
      <c r="U73" s="67">
        <v>0</v>
      </c>
      <c r="V73" s="48">
        <v>0</v>
      </c>
      <c r="W73" s="48">
        <v>0</v>
      </c>
      <c r="X73" s="48">
        <v>0</v>
      </c>
      <c r="Y73" s="48">
        <v>0</v>
      </c>
      <c r="Z73" s="48">
        <v>4</v>
      </c>
      <c r="AA73" s="48">
        <v>0</v>
      </c>
      <c r="AB73" s="56">
        <v>0</v>
      </c>
      <c r="AC73" s="57">
        <f>$U$73*VLOOKUP($U$11,'PCU Values'!$B$9:$C$16,2,FALSE)</f>
        <v>0</v>
      </c>
      <c r="AD73" s="57">
        <f>$V$73*VLOOKUP($V$11,'PCU Values'!$B$9:$C$16,2,FALSE)</f>
        <v>0</v>
      </c>
      <c r="AE73" s="57">
        <f>$W$73*VLOOKUP($W$11,'PCU Values'!$B$9:$C$16,2,FALSE)</f>
        <v>0</v>
      </c>
      <c r="AF73" s="57">
        <f>$X$73*VLOOKUP($X$11,'PCU Values'!$B$9:$C$16,2,FALSE)</f>
        <v>0</v>
      </c>
      <c r="AG73" s="57">
        <f>$Y$73*VLOOKUP($Y$11,'PCU Values'!$B$9:$C$16,2,FALSE)</f>
        <v>0</v>
      </c>
      <c r="AH73" s="57">
        <f>$Z$73*VLOOKUP($Z$11,'PCU Values'!$B$9:$C$16,2,FALSE)</f>
        <v>0.8</v>
      </c>
      <c r="AI73" s="57">
        <f>$AA$73*VLOOKUP($AA$11,'PCU Values'!$B$9:$C$16,2,FALSE)</f>
        <v>0</v>
      </c>
      <c r="AJ73" s="65">
        <f>$AB$73*VLOOKUP($AB$11,'PCU Values'!$B$9:$C$16,2,FALSE)</f>
        <v>0</v>
      </c>
      <c r="AK73" s="66">
        <f>SUM($AC$73,$AD$73,$AE$73,$AF$73,$AG$73,$AH$73,$AI$73,$AJ$73)</f>
        <v>0.8</v>
      </c>
      <c r="AL73" s="52">
        <f>SUM($U$73,$V$73,$W$73,$X$73,$Y$73,$Z$73,$AA$73,$AB$73)</f>
        <v>4</v>
      </c>
      <c r="AM73" s="67">
        <v>2</v>
      </c>
      <c r="AN73" s="48">
        <v>0</v>
      </c>
      <c r="AO73" s="48">
        <v>0</v>
      </c>
      <c r="AP73" s="48">
        <v>0</v>
      </c>
      <c r="AQ73" s="48">
        <v>0</v>
      </c>
      <c r="AR73" s="48">
        <v>0</v>
      </c>
      <c r="AS73" s="48">
        <v>0</v>
      </c>
      <c r="AT73" s="56">
        <v>0</v>
      </c>
      <c r="AU73" s="57">
        <f>$AM$73*VLOOKUP($AM$11,'PCU Values'!$B$9:$C$16,2,FALSE)</f>
        <v>2</v>
      </c>
      <c r="AV73" s="57">
        <f>$AN$73*VLOOKUP($AN$11,'PCU Values'!$B$9:$C$16,2,FALSE)</f>
        <v>0</v>
      </c>
      <c r="AW73" s="57">
        <f>$AO$73*VLOOKUP($AO$11,'PCU Values'!$B$9:$C$16,2,FALSE)</f>
        <v>0</v>
      </c>
      <c r="AX73" s="57">
        <f>$AP$73*VLOOKUP($AP$11,'PCU Values'!$B$9:$C$16,2,FALSE)</f>
        <v>0</v>
      </c>
      <c r="AY73" s="57">
        <f>$AQ$73*VLOOKUP($AQ$11,'PCU Values'!$B$9:$C$16,2,FALSE)</f>
        <v>0</v>
      </c>
      <c r="AZ73" s="57">
        <f>$AR$73*VLOOKUP($AR$11,'PCU Values'!$B$9:$C$16,2,FALSE)</f>
        <v>0</v>
      </c>
      <c r="BA73" s="57">
        <f>$AS$73*VLOOKUP($AS$11,'PCU Values'!$B$9:$C$16,2,FALSE)</f>
        <v>0</v>
      </c>
      <c r="BB73" s="65">
        <f>$AT$73*VLOOKUP($AT$11,'PCU Values'!$B$9:$C$16,2,FALSE)</f>
        <v>0</v>
      </c>
      <c r="BC73" s="66">
        <f>SUM($AU$73,$AV$73,$AW$73,$AX$73,$AY$73,$AZ$73,$BA$73,$BB$73)</f>
        <v>2</v>
      </c>
      <c r="BD73" s="52">
        <f>SUM($AM$73,$AN$73,$AO$73,$AP$73,$AQ$73,$AR$73,$AS$73,$AT$73)</f>
        <v>2</v>
      </c>
      <c r="BE73" s="67">
        <v>0</v>
      </c>
      <c r="BF73" s="48">
        <v>0</v>
      </c>
      <c r="BG73" s="48">
        <v>0</v>
      </c>
      <c r="BH73" s="48">
        <v>0</v>
      </c>
      <c r="BI73" s="48">
        <v>0</v>
      </c>
      <c r="BJ73" s="48">
        <v>0</v>
      </c>
      <c r="BK73" s="48">
        <v>0</v>
      </c>
      <c r="BL73" s="56">
        <v>0</v>
      </c>
      <c r="BM73" s="77">
        <f>$BE$73*VLOOKUP($BE$11,'PCU Values'!$B$9:$C$16,2,FALSE)</f>
        <v>0</v>
      </c>
      <c r="BN73" s="77">
        <f>$BF$73*VLOOKUP($BF$11,'PCU Values'!$B$9:$C$16,2,FALSE)</f>
        <v>0</v>
      </c>
      <c r="BO73" s="77">
        <f>$BG$73*VLOOKUP($BG$11,'PCU Values'!$B$9:$C$16,2,FALSE)</f>
        <v>0</v>
      </c>
      <c r="BP73" s="77">
        <f>$BH$73*VLOOKUP($BH$11,'PCU Values'!$B$9:$C$16,2,FALSE)</f>
        <v>0</v>
      </c>
      <c r="BQ73" s="77">
        <f>$BI$73*VLOOKUP($BI$11,'PCU Values'!$B$9:$C$16,2,FALSE)</f>
        <v>0</v>
      </c>
      <c r="BR73" s="77">
        <f>$BJ$73*VLOOKUP($BJ$11,'PCU Values'!$B$9:$C$16,2,FALSE)</f>
        <v>0</v>
      </c>
      <c r="BS73" s="77">
        <f>$BK$73*VLOOKUP($BK$11,'PCU Values'!$B$9:$C$16,2,FALSE)</f>
        <v>0</v>
      </c>
      <c r="BT73" s="78">
        <f>$BL$73*VLOOKUP($BL$11,'PCU Values'!$B$9:$C$16,2,FALSE)</f>
        <v>0</v>
      </c>
      <c r="BU73" s="66">
        <f>SUM($BM$73,$BN$73,$BO$73,$BP$73,$BQ$73,$BR$73,$BS$73,$BT$73)</f>
        <v>0</v>
      </c>
      <c r="BV73" s="52">
        <f>SUM($BE$73,$BF$73,$BG$73,$BH$73,$BI$73,$BJ$73,$BK$73,$BL$73)</f>
        <v>0</v>
      </c>
      <c r="BX73" s="47" t="s">
        <v>80</v>
      </c>
      <c r="BY73" s="83">
        <f>SUM($C$73,$U$73,$AM$73,$BE$73)</f>
        <v>6</v>
      </c>
      <c r="BZ73" s="83">
        <f>SUM($D$73,$V$73,$AN$73,$BF$73)</f>
        <v>2</v>
      </c>
      <c r="CA73" s="83">
        <f>SUM($E$73,$W$73,$AO$73,$BG$73)</f>
        <v>0</v>
      </c>
      <c r="CB73" s="83">
        <f>SUM($F$73,$X$73,$AP$73,$BH$73)</f>
        <v>0</v>
      </c>
      <c r="CC73" s="83">
        <f>SUM($G$73,$Y$73,$AQ$73,$BI$73)</f>
        <v>0</v>
      </c>
      <c r="CD73" s="83">
        <f>SUM($H$73,$Z$73,$AR$73,$BJ$73)</f>
        <v>5</v>
      </c>
      <c r="CE73" s="83">
        <f>SUM($I$73,$AA$73,$AS$73,$BK$73)</f>
        <v>0</v>
      </c>
      <c r="CF73" s="86">
        <f>SUM($J$73,$AB$73,$AT$73,$BL$73)</f>
        <v>0</v>
      </c>
      <c r="CG73" s="77">
        <f>$BY$73*VLOOKUP($BY$11,'PCU Values'!$B$9:$C$16,2,FALSE)</f>
        <v>6</v>
      </c>
      <c r="CH73" s="77">
        <f>$BZ$73*VLOOKUP($BZ$11,'PCU Values'!$B$9:$C$16,2,FALSE)</f>
        <v>2</v>
      </c>
      <c r="CI73" s="77">
        <f>$CA$73*VLOOKUP($CA$11,'PCU Values'!$B$9:$C$16,2,FALSE)</f>
        <v>0</v>
      </c>
      <c r="CJ73" s="77">
        <f>$CB$73*VLOOKUP($CB$11,'PCU Values'!$B$9:$C$16,2,FALSE)</f>
        <v>0</v>
      </c>
      <c r="CK73" s="77">
        <f>$CC$73*VLOOKUP($CC$11,'PCU Values'!$B$9:$C$16,2,FALSE)</f>
        <v>0</v>
      </c>
      <c r="CL73" s="77">
        <f>$CD$73*VLOOKUP($CD$11,'PCU Values'!$B$9:$C$16,2,FALSE)</f>
        <v>1</v>
      </c>
      <c r="CM73" s="77">
        <f>$CE$73*VLOOKUP($CE$11,'PCU Values'!$B$9:$C$16,2,FALSE)</f>
        <v>0</v>
      </c>
      <c r="CN73" s="78">
        <f>$CF$73*VLOOKUP($CF$11,'PCU Values'!$B$9:$C$16,2,FALSE)</f>
        <v>0</v>
      </c>
      <c r="CO73" s="66">
        <f>SUM($CG$73,$CH$73,$CI$73,$CJ$73,$CK$73,$CL$73,$CM$73,$CN$73)</f>
        <v>9</v>
      </c>
      <c r="CP73" s="52">
        <f>SUM($BY$73,$BZ$73,$CA$73,$CB$73,$CC$73,$CD$73,$CE$73,$CF$73)</f>
        <v>13</v>
      </c>
      <c r="CQ73" s="89">
        <f>SUM('J1 A - (North) Bishopthorpe Roa'!$AM$73,'J1 B - Butcher Terrace'!$U$73,'J1 C - (South) Bishopthorpe Roa'!$C$73,'J1 D - South Bank Avenue'!$BE$73)</f>
        <v>10</v>
      </c>
      <c r="CR73" s="83">
        <f>SUM('J1 A - (North) Bishopthorpe Roa'!$AN$73,'J1 B - Butcher Terrace'!$V$73,'J1 C - (South) Bishopthorpe Roa'!$D$73,'J1 D - South Bank Avenue'!$BF$73)</f>
        <v>1</v>
      </c>
      <c r="CS73" s="83">
        <f>SUM('J1 A - (North) Bishopthorpe Roa'!$AO$73,'J1 B - Butcher Terrace'!$W$73,'J1 C - (South) Bishopthorpe Roa'!$E$73,'J1 D - South Bank Avenue'!$BG$73)</f>
        <v>0</v>
      </c>
      <c r="CT73" s="83">
        <f>SUM('J1 A - (North) Bishopthorpe Roa'!$AP$73,'J1 B - Butcher Terrace'!$X$73,'J1 C - (South) Bishopthorpe Roa'!$F$73,'J1 D - South Bank Avenue'!$BH$73)</f>
        <v>0</v>
      </c>
      <c r="CU73" s="83">
        <f>SUM('J1 A - (North) Bishopthorpe Roa'!$AQ$73,'J1 B - Butcher Terrace'!$Y$73,'J1 C - (South) Bishopthorpe Roa'!$G$73,'J1 D - South Bank Avenue'!$BI$73)</f>
        <v>0</v>
      </c>
      <c r="CV73" s="83">
        <f>SUM('J1 A - (North) Bishopthorpe Roa'!$AR$73,'J1 B - Butcher Terrace'!$Z$73,'J1 C - (South) Bishopthorpe Roa'!$H$73,'J1 D - South Bank Avenue'!$BJ$73)</f>
        <v>5</v>
      </c>
      <c r="CW73" s="83">
        <f>SUM('J1 A - (North) Bishopthorpe Roa'!$AS$73,'J1 B - Butcher Terrace'!$AA$73,'J1 C - (South) Bishopthorpe Roa'!$I$73,'J1 D - South Bank Avenue'!$BK$73)</f>
        <v>0</v>
      </c>
      <c r="CX73" s="86">
        <f>SUM('J1 A - (North) Bishopthorpe Roa'!$AT$73,'J1 B - Butcher Terrace'!$AB$73,'J1 C - (South) Bishopthorpe Roa'!$J$73,'J1 D - South Bank Avenue'!$BL$73)</f>
        <v>0</v>
      </c>
      <c r="CY73" s="77">
        <f>$CQ$73*VLOOKUP($CQ$11,'PCU Values'!$B$9:$C$16,2,FALSE)</f>
        <v>10</v>
      </c>
      <c r="CZ73" s="77">
        <f>$CR$73*VLOOKUP($CR$11,'PCU Values'!$B$9:$C$16,2,FALSE)</f>
        <v>1</v>
      </c>
      <c r="DA73" s="77">
        <f>$CS$73*VLOOKUP($CS$11,'PCU Values'!$B$9:$C$16,2,FALSE)</f>
        <v>0</v>
      </c>
      <c r="DB73" s="77">
        <f>$CT$73*VLOOKUP($CT$11,'PCU Values'!$B$9:$C$16,2,FALSE)</f>
        <v>0</v>
      </c>
      <c r="DC73" s="77">
        <f>$CU$73*VLOOKUP($CU$11,'PCU Values'!$B$9:$C$16,2,FALSE)</f>
        <v>0</v>
      </c>
      <c r="DD73" s="77">
        <f>$CV$73*VLOOKUP($CV$11,'PCU Values'!$B$9:$C$16,2,FALSE)</f>
        <v>1</v>
      </c>
      <c r="DE73" s="77">
        <f>$CW$73*VLOOKUP($CW$11,'PCU Values'!$B$9:$C$16,2,FALSE)</f>
        <v>0</v>
      </c>
      <c r="DF73" s="78">
        <f>$CX$73*VLOOKUP($CX$11,'PCU Values'!$B$9:$C$16,2,FALSE)</f>
        <v>0</v>
      </c>
      <c r="DG73" s="66">
        <f>SUM($CY$73,$CZ$73,$DA$73,$DB$73,$DC$73,$DD$73,$DE$73,$DF$73)</f>
        <v>12</v>
      </c>
      <c r="DH73" s="52">
        <f>SUM($CQ$73,$CR$73,$CS$73,$CT$73,$CU$73,$CV$73,$CW$73,$CX$73)</f>
        <v>16</v>
      </c>
    </row>
    <row r="74" spans="1:112" ht="21" customHeight="1">
      <c r="A74" s="46">
        <v>44395.520833333299</v>
      </c>
      <c r="B74" s="47" t="s">
        <v>81</v>
      </c>
      <c r="C74" s="49">
        <v>3</v>
      </c>
      <c r="D74" s="49">
        <v>2</v>
      </c>
      <c r="E74" s="49">
        <v>0</v>
      </c>
      <c r="F74" s="49">
        <v>0</v>
      </c>
      <c r="G74" s="49">
        <v>0</v>
      </c>
      <c r="H74" s="49">
        <v>0</v>
      </c>
      <c r="I74" s="49">
        <v>0</v>
      </c>
      <c r="J74" s="58">
        <v>0</v>
      </c>
      <c r="K74" s="57">
        <f>$C$74*VLOOKUP($C$11,'PCU Values'!$B$9:$C$16,2,FALSE)</f>
        <v>3</v>
      </c>
      <c r="L74" s="57">
        <f>$D$74*VLOOKUP($D$11,'PCU Values'!$B$9:$C$16,2,FALSE)</f>
        <v>2</v>
      </c>
      <c r="M74" s="57">
        <f>$E$74*VLOOKUP($E$11,'PCU Values'!$B$9:$C$16,2,FALSE)</f>
        <v>0</v>
      </c>
      <c r="N74" s="57">
        <f>$F$74*VLOOKUP($F$11,'PCU Values'!$B$9:$C$16,2,FALSE)</f>
        <v>0</v>
      </c>
      <c r="O74" s="57">
        <f>$G$74*VLOOKUP($G$11,'PCU Values'!$B$9:$C$16,2,FALSE)</f>
        <v>0</v>
      </c>
      <c r="P74" s="57">
        <f>$H$74*VLOOKUP($H$11,'PCU Values'!$B$9:$C$16,2,FALSE)</f>
        <v>0</v>
      </c>
      <c r="Q74" s="57">
        <f>$I$74*VLOOKUP($I$11,'PCU Values'!$B$9:$C$16,2,FALSE)</f>
        <v>0</v>
      </c>
      <c r="R74" s="65">
        <f>$J$74*VLOOKUP($J$11,'PCU Values'!$B$9:$C$16,2,FALSE)</f>
        <v>0</v>
      </c>
      <c r="S74" s="66">
        <f>SUM($K$74,$L$74,$M$74,$N$74,$O$74,$P$74,$Q$74,$R$74)</f>
        <v>5</v>
      </c>
      <c r="T74" s="52">
        <f>SUM($C$74,$D$74,$E$74,$F$74,$G$74,$H$74,$I$74,$J$74)</f>
        <v>5</v>
      </c>
      <c r="U74" s="49">
        <v>1</v>
      </c>
      <c r="V74" s="49">
        <v>1</v>
      </c>
      <c r="W74" s="49">
        <v>0</v>
      </c>
      <c r="X74" s="49">
        <v>0</v>
      </c>
      <c r="Y74" s="49">
        <v>0</v>
      </c>
      <c r="Z74" s="49">
        <v>6</v>
      </c>
      <c r="AA74" s="49">
        <v>0</v>
      </c>
      <c r="AB74" s="58">
        <v>0</v>
      </c>
      <c r="AC74" s="57">
        <f>$U$74*VLOOKUP($U$11,'PCU Values'!$B$9:$C$16,2,FALSE)</f>
        <v>1</v>
      </c>
      <c r="AD74" s="57">
        <f>$V$74*VLOOKUP($V$11,'PCU Values'!$B$9:$C$16,2,FALSE)</f>
        <v>1</v>
      </c>
      <c r="AE74" s="57">
        <f>$W$74*VLOOKUP($W$11,'PCU Values'!$B$9:$C$16,2,FALSE)</f>
        <v>0</v>
      </c>
      <c r="AF74" s="57">
        <f>$X$74*VLOOKUP($X$11,'PCU Values'!$B$9:$C$16,2,FALSE)</f>
        <v>0</v>
      </c>
      <c r="AG74" s="57">
        <f>$Y$74*VLOOKUP($Y$11,'PCU Values'!$B$9:$C$16,2,FALSE)</f>
        <v>0</v>
      </c>
      <c r="AH74" s="57">
        <f>$Z$74*VLOOKUP($Z$11,'PCU Values'!$B$9:$C$16,2,FALSE)</f>
        <v>1.2</v>
      </c>
      <c r="AI74" s="57">
        <f>$AA$74*VLOOKUP($AA$11,'PCU Values'!$B$9:$C$16,2,FALSE)</f>
        <v>0</v>
      </c>
      <c r="AJ74" s="65">
        <f>$AB$74*VLOOKUP($AB$11,'PCU Values'!$B$9:$C$16,2,FALSE)</f>
        <v>0</v>
      </c>
      <c r="AK74" s="66">
        <f>SUM($AC$74,$AD$74,$AE$74,$AF$74,$AG$74,$AH$74,$AI$74,$AJ$74)</f>
        <v>3.2</v>
      </c>
      <c r="AL74" s="52">
        <f>SUM($U$74,$V$74,$W$74,$X$74,$Y$74,$Z$74,$AA$74,$AB$74)</f>
        <v>8</v>
      </c>
      <c r="AM74" s="49">
        <v>2</v>
      </c>
      <c r="AN74" s="49">
        <v>0</v>
      </c>
      <c r="AO74" s="49">
        <v>0</v>
      </c>
      <c r="AP74" s="49">
        <v>0</v>
      </c>
      <c r="AQ74" s="49">
        <v>0</v>
      </c>
      <c r="AR74" s="49">
        <v>0</v>
      </c>
      <c r="AS74" s="49">
        <v>0</v>
      </c>
      <c r="AT74" s="58">
        <v>0</v>
      </c>
      <c r="AU74" s="57">
        <f>$AM$74*VLOOKUP($AM$11,'PCU Values'!$B$9:$C$16,2,FALSE)</f>
        <v>2</v>
      </c>
      <c r="AV74" s="57">
        <f>$AN$74*VLOOKUP($AN$11,'PCU Values'!$B$9:$C$16,2,FALSE)</f>
        <v>0</v>
      </c>
      <c r="AW74" s="57">
        <f>$AO$74*VLOOKUP($AO$11,'PCU Values'!$B$9:$C$16,2,FALSE)</f>
        <v>0</v>
      </c>
      <c r="AX74" s="57">
        <f>$AP$74*VLOOKUP($AP$11,'PCU Values'!$B$9:$C$16,2,FALSE)</f>
        <v>0</v>
      </c>
      <c r="AY74" s="57">
        <f>$AQ$74*VLOOKUP($AQ$11,'PCU Values'!$B$9:$C$16,2,FALSE)</f>
        <v>0</v>
      </c>
      <c r="AZ74" s="57">
        <f>$AR$74*VLOOKUP($AR$11,'PCU Values'!$B$9:$C$16,2,FALSE)</f>
        <v>0</v>
      </c>
      <c r="BA74" s="57">
        <f>$AS$74*VLOOKUP($AS$11,'PCU Values'!$B$9:$C$16,2,FALSE)</f>
        <v>0</v>
      </c>
      <c r="BB74" s="65">
        <f>$AT$74*VLOOKUP($AT$11,'PCU Values'!$B$9:$C$16,2,FALSE)</f>
        <v>0</v>
      </c>
      <c r="BC74" s="66">
        <f>SUM($AU$74,$AV$74,$AW$74,$AX$74,$AY$74,$AZ$74,$BA$74,$BB$74)</f>
        <v>2</v>
      </c>
      <c r="BD74" s="52">
        <f>SUM($AM$74,$AN$74,$AO$74,$AP$74,$AQ$74,$AR$74,$AS$74,$AT$74)</f>
        <v>2</v>
      </c>
      <c r="BE74" s="49">
        <v>0</v>
      </c>
      <c r="BF74" s="49">
        <v>0</v>
      </c>
      <c r="BG74" s="49">
        <v>0</v>
      </c>
      <c r="BH74" s="49">
        <v>0</v>
      </c>
      <c r="BI74" s="49">
        <v>0</v>
      </c>
      <c r="BJ74" s="49">
        <v>0</v>
      </c>
      <c r="BK74" s="49">
        <v>0</v>
      </c>
      <c r="BL74" s="58">
        <v>0</v>
      </c>
      <c r="BM74" s="77">
        <f>$BE$74*VLOOKUP($BE$11,'PCU Values'!$B$9:$C$16,2,FALSE)</f>
        <v>0</v>
      </c>
      <c r="BN74" s="77">
        <f>$BF$74*VLOOKUP($BF$11,'PCU Values'!$B$9:$C$16,2,FALSE)</f>
        <v>0</v>
      </c>
      <c r="BO74" s="77">
        <f>$BG$74*VLOOKUP($BG$11,'PCU Values'!$B$9:$C$16,2,FALSE)</f>
        <v>0</v>
      </c>
      <c r="BP74" s="77">
        <f>$BH$74*VLOOKUP($BH$11,'PCU Values'!$B$9:$C$16,2,FALSE)</f>
        <v>0</v>
      </c>
      <c r="BQ74" s="77">
        <f>$BI$74*VLOOKUP($BI$11,'PCU Values'!$B$9:$C$16,2,FALSE)</f>
        <v>0</v>
      </c>
      <c r="BR74" s="77">
        <f>$BJ$74*VLOOKUP($BJ$11,'PCU Values'!$B$9:$C$16,2,FALSE)</f>
        <v>0</v>
      </c>
      <c r="BS74" s="77">
        <f>$BK$74*VLOOKUP($BK$11,'PCU Values'!$B$9:$C$16,2,FALSE)</f>
        <v>0</v>
      </c>
      <c r="BT74" s="78">
        <f>$BL$74*VLOOKUP($BL$11,'PCU Values'!$B$9:$C$16,2,FALSE)</f>
        <v>0</v>
      </c>
      <c r="BU74" s="66">
        <f>SUM($BM$74,$BN$74,$BO$74,$BP$74,$BQ$74,$BR$74,$BS$74,$BT$74)</f>
        <v>0</v>
      </c>
      <c r="BV74" s="52">
        <f>SUM($BE$74,$BF$74,$BG$74,$BH$74,$BI$74,$BJ$74,$BK$74,$BL$74)</f>
        <v>0</v>
      </c>
      <c r="BX74" s="47" t="s">
        <v>81</v>
      </c>
      <c r="BY74" s="83">
        <f>SUM($C$74,$U$74,$AM$74,$BE$74)</f>
        <v>6</v>
      </c>
      <c r="BZ74" s="83">
        <f>SUM($D$74,$V$74,$AN$74,$BF$74)</f>
        <v>3</v>
      </c>
      <c r="CA74" s="83">
        <f>SUM($E$74,$W$74,$AO$74,$BG$74)</f>
        <v>0</v>
      </c>
      <c r="CB74" s="83">
        <f>SUM($F$74,$X$74,$AP$74,$BH$74)</f>
        <v>0</v>
      </c>
      <c r="CC74" s="83">
        <f>SUM($G$74,$Y$74,$AQ$74,$BI$74)</f>
        <v>0</v>
      </c>
      <c r="CD74" s="83">
        <f>SUM($H$74,$Z$74,$AR$74,$BJ$74)</f>
        <v>6</v>
      </c>
      <c r="CE74" s="83">
        <f>SUM($I$74,$AA$74,$AS$74,$BK$74)</f>
        <v>0</v>
      </c>
      <c r="CF74" s="86">
        <f>SUM($J$74,$AB$74,$AT$74,$BL$74)</f>
        <v>0</v>
      </c>
      <c r="CG74" s="77">
        <f>$BY$74*VLOOKUP($BY$11,'PCU Values'!$B$9:$C$16,2,FALSE)</f>
        <v>6</v>
      </c>
      <c r="CH74" s="77">
        <f>$BZ$74*VLOOKUP($BZ$11,'PCU Values'!$B$9:$C$16,2,FALSE)</f>
        <v>3</v>
      </c>
      <c r="CI74" s="77">
        <f>$CA$74*VLOOKUP($CA$11,'PCU Values'!$B$9:$C$16,2,FALSE)</f>
        <v>0</v>
      </c>
      <c r="CJ74" s="77">
        <f>$CB$74*VLOOKUP($CB$11,'PCU Values'!$B$9:$C$16,2,FALSE)</f>
        <v>0</v>
      </c>
      <c r="CK74" s="77">
        <f>$CC$74*VLOOKUP($CC$11,'PCU Values'!$B$9:$C$16,2,FALSE)</f>
        <v>0</v>
      </c>
      <c r="CL74" s="77">
        <f>$CD$74*VLOOKUP($CD$11,'PCU Values'!$B$9:$C$16,2,FALSE)</f>
        <v>1.2</v>
      </c>
      <c r="CM74" s="77">
        <f>$CE$74*VLOOKUP($CE$11,'PCU Values'!$B$9:$C$16,2,FALSE)</f>
        <v>0</v>
      </c>
      <c r="CN74" s="78">
        <f>$CF$74*VLOOKUP($CF$11,'PCU Values'!$B$9:$C$16,2,FALSE)</f>
        <v>0</v>
      </c>
      <c r="CO74" s="66">
        <f>SUM($CG$74,$CH$74,$CI$74,$CJ$74,$CK$74,$CL$74,$CM$74,$CN$74)</f>
        <v>10.199999999999999</v>
      </c>
      <c r="CP74" s="52">
        <f>SUM($BY$74,$BZ$74,$CA$74,$CB$74,$CC$74,$CD$74,$CE$74,$CF$74)</f>
        <v>15</v>
      </c>
      <c r="CQ74" s="89">
        <f>SUM('J1 A - (North) Bishopthorpe Roa'!$AM$74,'J1 B - Butcher Terrace'!$U$74,'J1 C - (South) Bishopthorpe Roa'!$C$74,'J1 D - South Bank Avenue'!$BE$74)</f>
        <v>7</v>
      </c>
      <c r="CR74" s="83">
        <f>SUM('J1 A - (North) Bishopthorpe Roa'!$AN$74,'J1 B - Butcher Terrace'!$V$74,'J1 C - (South) Bishopthorpe Roa'!$D$74,'J1 D - South Bank Avenue'!$BF$74)</f>
        <v>2</v>
      </c>
      <c r="CS74" s="83">
        <f>SUM('J1 A - (North) Bishopthorpe Roa'!$AO$74,'J1 B - Butcher Terrace'!$W$74,'J1 C - (South) Bishopthorpe Roa'!$E$74,'J1 D - South Bank Avenue'!$BG$74)</f>
        <v>0</v>
      </c>
      <c r="CT74" s="83">
        <f>SUM('J1 A - (North) Bishopthorpe Roa'!$AP$74,'J1 B - Butcher Terrace'!$X$74,'J1 C - (South) Bishopthorpe Roa'!$F$74,'J1 D - South Bank Avenue'!$BH$74)</f>
        <v>0</v>
      </c>
      <c r="CU74" s="83">
        <f>SUM('J1 A - (North) Bishopthorpe Roa'!$AQ$74,'J1 B - Butcher Terrace'!$Y$74,'J1 C - (South) Bishopthorpe Roa'!$G$74,'J1 D - South Bank Avenue'!$BI$74)</f>
        <v>0</v>
      </c>
      <c r="CV74" s="83">
        <f>SUM('J1 A - (North) Bishopthorpe Roa'!$AR$74,'J1 B - Butcher Terrace'!$Z$74,'J1 C - (South) Bishopthorpe Roa'!$H$74,'J1 D - South Bank Avenue'!$BJ$74)</f>
        <v>9</v>
      </c>
      <c r="CW74" s="83">
        <f>SUM('J1 A - (North) Bishopthorpe Roa'!$AS$74,'J1 B - Butcher Terrace'!$AA$74,'J1 C - (South) Bishopthorpe Roa'!$I$74,'J1 D - South Bank Avenue'!$BK$74)</f>
        <v>0</v>
      </c>
      <c r="CX74" s="86">
        <f>SUM('J1 A - (North) Bishopthorpe Roa'!$AT$74,'J1 B - Butcher Terrace'!$AB$74,'J1 C - (South) Bishopthorpe Roa'!$J$74,'J1 D - South Bank Avenue'!$BL$74)</f>
        <v>0</v>
      </c>
      <c r="CY74" s="77">
        <f>$CQ$74*VLOOKUP($CQ$11,'PCU Values'!$B$9:$C$16,2,FALSE)</f>
        <v>7</v>
      </c>
      <c r="CZ74" s="77">
        <f>$CR$74*VLOOKUP($CR$11,'PCU Values'!$B$9:$C$16,2,FALSE)</f>
        <v>2</v>
      </c>
      <c r="DA74" s="77">
        <f>$CS$74*VLOOKUP($CS$11,'PCU Values'!$B$9:$C$16,2,FALSE)</f>
        <v>0</v>
      </c>
      <c r="DB74" s="77">
        <f>$CT$74*VLOOKUP($CT$11,'PCU Values'!$B$9:$C$16,2,FALSE)</f>
        <v>0</v>
      </c>
      <c r="DC74" s="77">
        <f>$CU$74*VLOOKUP($CU$11,'PCU Values'!$B$9:$C$16,2,FALSE)</f>
        <v>0</v>
      </c>
      <c r="DD74" s="77">
        <f>$CV$74*VLOOKUP($CV$11,'PCU Values'!$B$9:$C$16,2,FALSE)</f>
        <v>1.8</v>
      </c>
      <c r="DE74" s="77">
        <f>$CW$74*VLOOKUP($CW$11,'PCU Values'!$B$9:$C$16,2,FALSE)</f>
        <v>0</v>
      </c>
      <c r="DF74" s="78">
        <f>$CX$74*VLOOKUP($CX$11,'PCU Values'!$B$9:$C$16,2,FALSE)</f>
        <v>0</v>
      </c>
      <c r="DG74" s="66">
        <f>SUM($CY$74,$CZ$74,$DA$74,$DB$74,$DC$74,$DD$74,$DE$74,$DF$74)</f>
        <v>10.8</v>
      </c>
      <c r="DH74" s="52">
        <f>SUM($CQ$74,$CR$74,$CS$74,$CT$74,$CU$74,$CV$74,$CW$74,$CX$74)</f>
        <v>18</v>
      </c>
    </row>
    <row r="75" spans="1:112" ht="21" customHeight="1">
      <c r="A75" s="46">
        <v>44395.53125</v>
      </c>
      <c r="B75" s="50" t="s">
        <v>82</v>
      </c>
      <c r="C75" s="51">
        <v>4</v>
      </c>
      <c r="D75" s="51">
        <v>0</v>
      </c>
      <c r="E75" s="51">
        <v>0</v>
      </c>
      <c r="F75" s="51">
        <v>0</v>
      </c>
      <c r="G75" s="51">
        <v>0</v>
      </c>
      <c r="H75" s="51">
        <v>2</v>
      </c>
      <c r="I75" s="51">
        <v>0</v>
      </c>
      <c r="J75" s="59">
        <v>0</v>
      </c>
      <c r="K75" s="60">
        <f>$C$75*VLOOKUP($C$11,'PCU Values'!$B$9:$C$16,2,FALSE)</f>
        <v>4</v>
      </c>
      <c r="L75" s="60">
        <f>$D$75*VLOOKUP($D$11,'PCU Values'!$B$9:$C$16,2,FALSE)</f>
        <v>0</v>
      </c>
      <c r="M75" s="60">
        <f>$E$75*VLOOKUP($E$11,'PCU Values'!$B$9:$C$16,2,FALSE)</f>
        <v>0</v>
      </c>
      <c r="N75" s="60">
        <f>$F$75*VLOOKUP($F$11,'PCU Values'!$B$9:$C$16,2,FALSE)</f>
        <v>0</v>
      </c>
      <c r="O75" s="60">
        <f>$G$75*VLOOKUP($G$11,'PCU Values'!$B$9:$C$16,2,FALSE)</f>
        <v>0</v>
      </c>
      <c r="P75" s="60">
        <f>$H$75*VLOOKUP($H$11,'PCU Values'!$B$9:$C$16,2,FALSE)</f>
        <v>0.4</v>
      </c>
      <c r="Q75" s="60">
        <f>$I$75*VLOOKUP($I$11,'PCU Values'!$B$9:$C$16,2,FALSE)</f>
        <v>0</v>
      </c>
      <c r="R75" s="68">
        <f>$J$75*VLOOKUP($J$11,'PCU Values'!$B$9:$C$16,2,FALSE)</f>
        <v>0</v>
      </c>
      <c r="S75" s="63">
        <f>SUM($K$75,$L$75,$M$75,$N$75,$O$75,$P$75,$Q$75,$R$75)</f>
        <v>4.4000000000000004</v>
      </c>
      <c r="T75" s="52">
        <f>SUM($C$75,$D$75,$E$75,$F$75,$G$75,$H$75,$I$75,$J$75)</f>
        <v>6</v>
      </c>
      <c r="U75" s="73">
        <v>1</v>
      </c>
      <c r="V75" s="51">
        <v>0</v>
      </c>
      <c r="W75" s="51">
        <v>0</v>
      </c>
      <c r="X75" s="51">
        <v>0</v>
      </c>
      <c r="Y75" s="51">
        <v>0</v>
      </c>
      <c r="Z75" s="51">
        <v>6</v>
      </c>
      <c r="AA75" s="51">
        <v>0</v>
      </c>
      <c r="AB75" s="59">
        <v>0</v>
      </c>
      <c r="AC75" s="60">
        <f>$U$75*VLOOKUP($U$11,'PCU Values'!$B$9:$C$16,2,FALSE)</f>
        <v>1</v>
      </c>
      <c r="AD75" s="60">
        <f>$V$75*VLOOKUP($V$11,'PCU Values'!$B$9:$C$16,2,FALSE)</f>
        <v>0</v>
      </c>
      <c r="AE75" s="60">
        <f>$W$75*VLOOKUP($W$11,'PCU Values'!$B$9:$C$16,2,FALSE)</f>
        <v>0</v>
      </c>
      <c r="AF75" s="60">
        <f>$X$75*VLOOKUP($X$11,'PCU Values'!$B$9:$C$16,2,FALSE)</f>
        <v>0</v>
      </c>
      <c r="AG75" s="60">
        <f>$Y$75*VLOOKUP($Y$11,'PCU Values'!$B$9:$C$16,2,FALSE)</f>
        <v>0</v>
      </c>
      <c r="AH75" s="60">
        <f>$Z$75*VLOOKUP($Z$11,'PCU Values'!$B$9:$C$16,2,FALSE)</f>
        <v>1.2</v>
      </c>
      <c r="AI75" s="60">
        <f>$AA$75*VLOOKUP($AA$11,'PCU Values'!$B$9:$C$16,2,FALSE)</f>
        <v>0</v>
      </c>
      <c r="AJ75" s="68">
        <f>$AB$75*VLOOKUP($AB$11,'PCU Values'!$B$9:$C$16,2,FALSE)</f>
        <v>0</v>
      </c>
      <c r="AK75" s="63">
        <f>SUM($AC$75,$AD$75,$AE$75,$AF$75,$AG$75,$AH$75,$AI$75,$AJ$75)</f>
        <v>2.2000000000000002</v>
      </c>
      <c r="AL75" s="52">
        <f>SUM($U$75,$V$75,$W$75,$X$75,$Y$75,$Z$75,$AA$75,$AB$75)</f>
        <v>7</v>
      </c>
      <c r="AM75" s="73">
        <v>3</v>
      </c>
      <c r="AN75" s="51">
        <v>1</v>
      </c>
      <c r="AO75" s="51">
        <v>0</v>
      </c>
      <c r="AP75" s="51">
        <v>0</v>
      </c>
      <c r="AQ75" s="51">
        <v>0</v>
      </c>
      <c r="AR75" s="51">
        <v>0</v>
      </c>
      <c r="AS75" s="51">
        <v>0</v>
      </c>
      <c r="AT75" s="59">
        <v>0</v>
      </c>
      <c r="AU75" s="60">
        <f>$AM$75*VLOOKUP($AM$11,'PCU Values'!$B$9:$C$16,2,FALSE)</f>
        <v>3</v>
      </c>
      <c r="AV75" s="60">
        <f>$AN$75*VLOOKUP($AN$11,'PCU Values'!$B$9:$C$16,2,FALSE)</f>
        <v>1</v>
      </c>
      <c r="AW75" s="60">
        <f>$AO$75*VLOOKUP($AO$11,'PCU Values'!$B$9:$C$16,2,FALSE)</f>
        <v>0</v>
      </c>
      <c r="AX75" s="60">
        <f>$AP$75*VLOOKUP($AP$11,'PCU Values'!$B$9:$C$16,2,FALSE)</f>
        <v>0</v>
      </c>
      <c r="AY75" s="60">
        <f>$AQ$75*VLOOKUP($AQ$11,'PCU Values'!$B$9:$C$16,2,FALSE)</f>
        <v>0</v>
      </c>
      <c r="AZ75" s="60">
        <f>$AR$75*VLOOKUP($AR$11,'PCU Values'!$B$9:$C$16,2,FALSE)</f>
        <v>0</v>
      </c>
      <c r="BA75" s="60">
        <f>$AS$75*VLOOKUP($AS$11,'PCU Values'!$B$9:$C$16,2,FALSE)</f>
        <v>0</v>
      </c>
      <c r="BB75" s="68">
        <f>$AT$75*VLOOKUP($AT$11,'PCU Values'!$B$9:$C$16,2,FALSE)</f>
        <v>0</v>
      </c>
      <c r="BC75" s="63">
        <f>SUM($AU$75,$AV$75,$AW$75,$AX$75,$AY$75,$AZ$75,$BA$75,$BB$75)</f>
        <v>4</v>
      </c>
      <c r="BD75" s="52">
        <f>SUM($AM$75,$AN$75,$AO$75,$AP$75,$AQ$75,$AR$75,$AS$75,$AT$75)</f>
        <v>4</v>
      </c>
      <c r="BE75" s="73">
        <v>0</v>
      </c>
      <c r="BF75" s="51">
        <v>0</v>
      </c>
      <c r="BG75" s="51">
        <v>0</v>
      </c>
      <c r="BH75" s="51">
        <v>0</v>
      </c>
      <c r="BI75" s="51">
        <v>0</v>
      </c>
      <c r="BJ75" s="51">
        <v>0</v>
      </c>
      <c r="BK75" s="51">
        <v>0</v>
      </c>
      <c r="BL75" s="59">
        <v>0</v>
      </c>
      <c r="BM75" s="79">
        <f>$BE$75*VLOOKUP($BE$11,'PCU Values'!$B$9:$C$16,2,FALSE)</f>
        <v>0</v>
      </c>
      <c r="BN75" s="79">
        <f>$BF$75*VLOOKUP($BF$11,'PCU Values'!$B$9:$C$16,2,FALSE)</f>
        <v>0</v>
      </c>
      <c r="BO75" s="79">
        <f>$BG$75*VLOOKUP($BG$11,'PCU Values'!$B$9:$C$16,2,FALSE)</f>
        <v>0</v>
      </c>
      <c r="BP75" s="79">
        <f>$BH$75*VLOOKUP($BH$11,'PCU Values'!$B$9:$C$16,2,FALSE)</f>
        <v>0</v>
      </c>
      <c r="BQ75" s="79">
        <f>$BI$75*VLOOKUP($BI$11,'PCU Values'!$B$9:$C$16,2,FALSE)</f>
        <v>0</v>
      </c>
      <c r="BR75" s="79">
        <f>$BJ$75*VLOOKUP($BJ$11,'PCU Values'!$B$9:$C$16,2,FALSE)</f>
        <v>0</v>
      </c>
      <c r="BS75" s="79">
        <f>$BK$75*VLOOKUP($BK$11,'PCU Values'!$B$9:$C$16,2,FALSE)</f>
        <v>0</v>
      </c>
      <c r="BT75" s="80">
        <f>$BL$75*VLOOKUP($BL$11,'PCU Values'!$B$9:$C$16,2,FALSE)</f>
        <v>0</v>
      </c>
      <c r="BU75" s="63">
        <f>SUM($BM$75,$BN$75,$BO$75,$BP$75,$BQ$75,$BR$75,$BS$75,$BT$75)</f>
        <v>0</v>
      </c>
      <c r="BV75" s="52">
        <f>SUM($BE$75,$BF$75,$BG$75,$BH$75,$BI$75,$BJ$75,$BK$75,$BL$75)</f>
        <v>0</v>
      </c>
      <c r="BX75" s="50" t="s">
        <v>82</v>
      </c>
      <c r="BY75" s="84">
        <f>SUM($C$75,$U$75,$AM$75,$BE$75)</f>
        <v>8</v>
      </c>
      <c r="BZ75" s="84">
        <f>SUM($D$75,$V$75,$AN$75,$BF$75)</f>
        <v>1</v>
      </c>
      <c r="CA75" s="84">
        <f>SUM($E$75,$W$75,$AO$75,$BG$75)</f>
        <v>0</v>
      </c>
      <c r="CB75" s="84">
        <f>SUM($F$75,$X$75,$AP$75,$BH$75)</f>
        <v>0</v>
      </c>
      <c r="CC75" s="84">
        <f>SUM($G$75,$Y$75,$AQ$75,$BI$75)</f>
        <v>0</v>
      </c>
      <c r="CD75" s="84">
        <f>SUM($H$75,$Z$75,$AR$75,$BJ$75)</f>
        <v>8</v>
      </c>
      <c r="CE75" s="84">
        <f>SUM($I$75,$AA$75,$AS$75,$BK$75)</f>
        <v>0</v>
      </c>
      <c r="CF75" s="87">
        <f>SUM($J$75,$AB$75,$AT$75,$BL$75)</f>
        <v>0</v>
      </c>
      <c r="CG75" s="79">
        <f>$BY$75*VLOOKUP($BY$11,'PCU Values'!$B$9:$C$16,2,FALSE)</f>
        <v>8</v>
      </c>
      <c r="CH75" s="79">
        <f>$BZ$75*VLOOKUP($BZ$11,'PCU Values'!$B$9:$C$16,2,FALSE)</f>
        <v>1</v>
      </c>
      <c r="CI75" s="79">
        <f>$CA$75*VLOOKUP($CA$11,'PCU Values'!$B$9:$C$16,2,FALSE)</f>
        <v>0</v>
      </c>
      <c r="CJ75" s="79">
        <f>$CB$75*VLOOKUP($CB$11,'PCU Values'!$B$9:$C$16,2,FALSE)</f>
        <v>0</v>
      </c>
      <c r="CK75" s="79">
        <f>$CC$75*VLOOKUP($CC$11,'PCU Values'!$B$9:$C$16,2,FALSE)</f>
        <v>0</v>
      </c>
      <c r="CL75" s="79">
        <f>$CD$75*VLOOKUP($CD$11,'PCU Values'!$B$9:$C$16,2,FALSE)</f>
        <v>1.6</v>
      </c>
      <c r="CM75" s="79">
        <f>$CE$75*VLOOKUP($CE$11,'PCU Values'!$B$9:$C$16,2,FALSE)</f>
        <v>0</v>
      </c>
      <c r="CN75" s="80">
        <f>$CF$75*VLOOKUP($CF$11,'PCU Values'!$B$9:$C$16,2,FALSE)</f>
        <v>0</v>
      </c>
      <c r="CO75" s="63">
        <f>SUM($CG$75,$CH$75,$CI$75,$CJ$75,$CK$75,$CL$75,$CM$75,$CN$75)</f>
        <v>10.6</v>
      </c>
      <c r="CP75" s="52">
        <f>SUM($BY$75,$BZ$75,$CA$75,$CB$75,$CC$75,$CD$75,$CE$75,$CF$75)</f>
        <v>17</v>
      </c>
      <c r="CQ75" s="90">
        <f>SUM('J1 A - (North) Bishopthorpe Roa'!$AM$75,'J1 B - Butcher Terrace'!$U$75,'J1 C - (South) Bishopthorpe Roa'!$C$75,'J1 D - South Bank Avenue'!$BE$75)</f>
        <v>3</v>
      </c>
      <c r="CR75" s="84">
        <f>SUM('J1 A - (North) Bishopthorpe Roa'!$AN$75,'J1 B - Butcher Terrace'!$V$75,'J1 C - (South) Bishopthorpe Roa'!$D$75,'J1 D - South Bank Avenue'!$BF$75)</f>
        <v>2</v>
      </c>
      <c r="CS75" s="84">
        <f>SUM('J1 A - (North) Bishopthorpe Roa'!$AO$75,'J1 B - Butcher Terrace'!$W$75,'J1 C - (South) Bishopthorpe Roa'!$E$75,'J1 D - South Bank Avenue'!$BG$75)</f>
        <v>0</v>
      </c>
      <c r="CT75" s="84">
        <f>SUM('J1 A - (North) Bishopthorpe Roa'!$AP$75,'J1 B - Butcher Terrace'!$X$75,'J1 C - (South) Bishopthorpe Roa'!$F$75,'J1 D - South Bank Avenue'!$BH$75)</f>
        <v>0</v>
      </c>
      <c r="CU75" s="84">
        <f>SUM('J1 A - (North) Bishopthorpe Roa'!$AQ$75,'J1 B - Butcher Terrace'!$Y$75,'J1 C - (South) Bishopthorpe Roa'!$G$75,'J1 D - South Bank Avenue'!$BI$75)</f>
        <v>0</v>
      </c>
      <c r="CV75" s="84">
        <f>SUM('J1 A - (North) Bishopthorpe Roa'!$AR$75,'J1 B - Butcher Terrace'!$Z$75,'J1 C - (South) Bishopthorpe Roa'!$H$75,'J1 D - South Bank Avenue'!$BJ$75)</f>
        <v>3</v>
      </c>
      <c r="CW75" s="84">
        <f>SUM('J1 A - (North) Bishopthorpe Roa'!$AS$75,'J1 B - Butcher Terrace'!$AA$75,'J1 C - (South) Bishopthorpe Roa'!$I$75,'J1 D - South Bank Avenue'!$BK$75)</f>
        <v>0</v>
      </c>
      <c r="CX75" s="87">
        <f>SUM('J1 A - (North) Bishopthorpe Roa'!$AT$75,'J1 B - Butcher Terrace'!$AB$75,'J1 C - (South) Bishopthorpe Roa'!$J$75,'J1 D - South Bank Avenue'!$BL$75)</f>
        <v>0</v>
      </c>
      <c r="CY75" s="79">
        <f>$CQ$75*VLOOKUP($CQ$11,'PCU Values'!$B$9:$C$16,2,FALSE)</f>
        <v>3</v>
      </c>
      <c r="CZ75" s="79">
        <f>$CR$75*VLOOKUP($CR$11,'PCU Values'!$B$9:$C$16,2,FALSE)</f>
        <v>2</v>
      </c>
      <c r="DA75" s="79">
        <f>$CS$75*VLOOKUP($CS$11,'PCU Values'!$B$9:$C$16,2,FALSE)</f>
        <v>0</v>
      </c>
      <c r="DB75" s="79">
        <f>$CT$75*VLOOKUP($CT$11,'PCU Values'!$B$9:$C$16,2,FALSE)</f>
        <v>0</v>
      </c>
      <c r="DC75" s="79">
        <f>$CU$75*VLOOKUP($CU$11,'PCU Values'!$B$9:$C$16,2,FALSE)</f>
        <v>0</v>
      </c>
      <c r="DD75" s="79">
        <f>$CV$75*VLOOKUP($CV$11,'PCU Values'!$B$9:$C$16,2,FALSE)</f>
        <v>0.6</v>
      </c>
      <c r="DE75" s="79">
        <f>$CW$75*VLOOKUP($CW$11,'PCU Values'!$B$9:$C$16,2,FALSE)</f>
        <v>0</v>
      </c>
      <c r="DF75" s="80">
        <f>$CX$75*VLOOKUP($CX$11,'PCU Values'!$B$9:$C$16,2,FALSE)</f>
        <v>0</v>
      </c>
      <c r="DG75" s="63">
        <f>SUM($CY$75,$CZ$75,$DA$75,$DB$75,$DC$75,$DD$75,$DE$75,$DF$75)</f>
        <v>5.6</v>
      </c>
      <c r="DH75" s="52">
        <f>SUM($CQ$75,$CR$75,$CS$75,$CT$75,$CU$75,$CV$75,$CW$75,$CX$75)</f>
        <v>8</v>
      </c>
    </row>
    <row r="76" spans="1:112">
      <c r="B76" s="52" t="s">
        <v>34</v>
      </c>
      <c r="C76" s="52">
        <f>SUM($C$72:$C$75)</f>
        <v>17</v>
      </c>
      <c r="D76" s="52">
        <f>SUM($D$72:$D$75)</f>
        <v>6</v>
      </c>
      <c r="E76" s="52">
        <f>SUM($E$72:$E$75)</f>
        <v>0</v>
      </c>
      <c r="F76" s="52">
        <f>SUM($F$72:$F$75)</f>
        <v>0</v>
      </c>
      <c r="G76" s="52">
        <f>SUM($G$72:$G$75)</f>
        <v>0</v>
      </c>
      <c r="H76" s="52">
        <f>SUM($H$72:$H$75)</f>
        <v>5</v>
      </c>
      <c r="I76" s="52">
        <f>SUM($I$72:$I$75)</f>
        <v>0</v>
      </c>
      <c r="J76" s="52">
        <f>SUM($J$72:$J$75)</f>
        <v>0</v>
      </c>
      <c r="K76" s="52">
        <f>SUM($K$72:$K$75)</f>
        <v>17</v>
      </c>
      <c r="L76" s="52">
        <f>SUM($L$72:$L$75)</f>
        <v>6</v>
      </c>
      <c r="M76" s="52">
        <f>SUM($M$72:$M$75)</f>
        <v>0</v>
      </c>
      <c r="N76" s="52">
        <f>SUM($N$72:$N$75)</f>
        <v>0</v>
      </c>
      <c r="O76" s="52">
        <f>SUM($O$72:$O$75)</f>
        <v>0</v>
      </c>
      <c r="P76" s="52">
        <f>SUM($P$72:$P$75)</f>
        <v>1</v>
      </c>
      <c r="Q76" s="52">
        <f>SUM($Q$72:$Q$75)</f>
        <v>0</v>
      </c>
      <c r="R76" s="52">
        <f>SUM($R$72:$R$75)</f>
        <v>0</v>
      </c>
      <c r="S76" s="52">
        <f>SUM($K$76,$L$76,$M$76,$N$76,$O$76,$P$76,$Q$76,$R$76)</f>
        <v>24</v>
      </c>
      <c r="T76" s="52">
        <f>SUM($C$76,$D$76,$E$76,$F$76,$G$76,$H$76,$I$76,$J$76)</f>
        <v>28</v>
      </c>
      <c r="U76" s="52">
        <f>SUM($U$72:$U$75)</f>
        <v>3</v>
      </c>
      <c r="V76" s="52">
        <f>SUM($V$72:$V$75)</f>
        <v>1</v>
      </c>
      <c r="W76" s="52">
        <f>SUM($W$72:$W$75)</f>
        <v>0</v>
      </c>
      <c r="X76" s="52">
        <f>SUM($X$72:$X$75)</f>
        <v>0</v>
      </c>
      <c r="Y76" s="52">
        <f>SUM($Y$72:$Y$75)</f>
        <v>0</v>
      </c>
      <c r="Z76" s="52">
        <f>SUM($Z$72:$Z$75)</f>
        <v>18</v>
      </c>
      <c r="AA76" s="52">
        <f>SUM($AA$72:$AA$75)</f>
        <v>0</v>
      </c>
      <c r="AB76" s="52">
        <f>SUM($AB$72:$AB$75)</f>
        <v>0</v>
      </c>
      <c r="AC76" s="52">
        <f>SUM($AC$72:$AC$75)</f>
        <v>3</v>
      </c>
      <c r="AD76" s="52">
        <f>SUM($AD$72:$AD$75)</f>
        <v>1</v>
      </c>
      <c r="AE76" s="52">
        <f>SUM($AE$72:$AE$75)</f>
        <v>0</v>
      </c>
      <c r="AF76" s="52">
        <f>SUM($AF$72:$AF$75)</f>
        <v>0</v>
      </c>
      <c r="AG76" s="52">
        <f>SUM($AG$72:$AG$75)</f>
        <v>0</v>
      </c>
      <c r="AH76" s="52">
        <f>SUM($AH$72:$AH$75)</f>
        <v>4</v>
      </c>
      <c r="AI76" s="52">
        <f>SUM($AI$72:$AI$75)</f>
        <v>0</v>
      </c>
      <c r="AJ76" s="52">
        <f>SUM($AJ$72:$AJ$75)</f>
        <v>0</v>
      </c>
      <c r="AK76" s="52">
        <f>SUM($AC$76,$AD$76,$AE$76,$AF$76,$AG$76,$AH$76,$AI$76,$AJ$76)</f>
        <v>8</v>
      </c>
      <c r="AL76" s="52">
        <f>SUM($U$76,$V$76,$W$76,$X$76,$Y$76,$Z$76,$AA$76,$AB$76)</f>
        <v>22</v>
      </c>
      <c r="AM76" s="52">
        <f>SUM($AM$72:$AM$75)</f>
        <v>8</v>
      </c>
      <c r="AN76" s="52">
        <f>SUM($AN$72:$AN$75)</f>
        <v>1</v>
      </c>
      <c r="AO76" s="52">
        <f>SUM($AO$72:$AO$75)</f>
        <v>0</v>
      </c>
      <c r="AP76" s="52">
        <f>SUM($AP$72:$AP$75)</f>
        <v>0</v>
      </c>
      <c r="AQ76" s="52">
        <f>SUM($AQ$72:$AQ$75)</f>
        <v>0</v>
      </c>
      <c r="AR76" s="52">
        <f>SUM($AR$72:$AR$75)</f>
        <v>0</v>
      </c>
      <c r="AS76" s="52">
        <f>SUM($AS$72:$AS$75)</f>
        <v>0</v>
      </c>
      <c r="AT76" s="52">
        <f>SUM($AT$72:$AT$75)</f>
        <v>0</v>
      </c>
      <c r="AU76" s="52">
        <f>SUM($AU$72:$AU$75)</f>
        <v>8</v>
      </c>
      <c r="AV76" s="52">
        <f>SUM($AV$72:$AV$75)</f>
        <v>1</v>
      </c>
      <c r="AW76" s="52">
        <f>SUM($AW$72:$AW$75)</f>
        <v>0</v>
      </c>
      <c r="AX76" s="52">
        <f>SUM($AX$72:$AX$75)</f>
        <v>0</v>
      </c>
      <c r="AY76" s="52">
        <f>SUM($AY$72:$AY$75)</f>
        <v>0</v>
      </c>
      <c r="AZ76" s="52">
        <f>SUM($AZ$72:$AZ$75)</f>
        <v>0</v>
      </c>
      <c r="BA76" s="52">
        <f>SUM($BA$72:$BA$75)</f>
        <v>0</v>
      </c>
      <c r="BB76" s="52">
        <f>SUM($BB$72:$BB$75)</f>
        <v>0</v>
      </c>
      <c r="BC76" s="52">
        <f>SUM($AU$76,$AV$76,$AW$76,$AX$76,$AY$76,$AZ$76,$BA$76,$BB$76)</f>
        <v>9</v>
      </c>
      <c r="BD76" s="52">
        <f>SUM($AM$76,$AN$76,$AO$76,$AP$76,$AQ$76,$AR$76,$AS$76,$AT$76)</f>
        <v>9</v>
      </c>
      <c r="BE76" s="52">
        <f>SUM($BE$72:$BE$75)</f>
        <v>0</v>
      </c>
      <c r="BF76" s="52">
        <f>SUM($BF$72:$BF$75)</f>
        <v>0</v>
      </c>
      <c r="BG76" s="52">
        <f>SUM($BG$72:$BG$75)</f>
        <v>0</v>
      </c>
      <c r="BH76" s="52">
        <f>SUM($BH$72:$BH$75)</f>
        <v>0</v>
      </c>
      <c r="BI76" s="52">
        <f>SUM($BI$72:$BI$75)</f>
        <v>0</v>
      </c>
      <c r="BJ76" s="52">
        <f>SUM($BJ$72:$BJ$75)</f>
        <v>0</v>
      </c>
      <c r="BK76" s="52">
        <f>SUM($BK$72:$BK$75)</f>
        <v>0</v>
      </c>
      <c r="BL76" s="52">
        <f>SUM($BL$72:$BL$75)</f>
        <v>0</v>
      </c>
      <c r="BM76" s="52">
        <f>SUM($BM$72:$BM$75)</f>
        <v>0</v>
      </c>
      <c r="BN76" s="52">
        <f>SUM($BN$72:$BN$75)</f>
        <v>0</v>
      </c>
      <c r="BO76" s="52">
        <f>SUM($BO$72:$BO$75)</f>
        <v>0</v>
      </c>
      <c r="BP76" s="52">
        <f>SUM($BP$72:$BP$75)</f>
        <v>0</v>
      </c>
      <c r="BQ76" s="52">
        <f>SUM($BQ$72:$BQ$75)</f>
        <v>0</v>
      </c>
      <c r="BR76" s="52">
        <f>SUM($BR$72:$BR$75)</f>
        <v>0</v>
      </c>
      <c r="BS76" s="52">
        <f>SUM($BS$72:$BS$75)</f>
        <v>0</v>
      </c>
      <c r="BT76" s="52">
        <f>SUM($BT$72:$BT$75)</f>
        <v>0</v>
      </c>
      <c r="BU76" s="52">
        <f>SUM($BM$76,$BN$76,$BO$76,$BP$76,$BQ$76,$BR$76,$BS$76,$BT$76)</f>
        <v>0</v>
      </c>
      <c r="BV76" s="52">
        <f>SUM($BE$76,$BF$76,$BG$76,$BH$76,$BI$76,$BJ$76,$BK$76,$BL$76)</f>
        <v>0</v>
      </c>
      <c r="BX76" s="52" t="s">
        <v>34</v>
      </c>
      <c r="BY76" s="52">
        <f>SUM($BY$72:$BY$75)</f>
        <v>28</v>
      </c>
      <c r="BZ76" s="52">
        <f>SUM($BZ$72:$BZ$75)</f>
        <v>8</v>
      </c>
      <c r="CA76" s="52">
        <f>SUM($CA$72:$CA$75)</f>
        <v>0</v>
      </c>
      <c r="CB76" s="52">
        <f>SUM($CB$72:$CB$75)</f>
        <v>0</v>
      </c>
      <c r="CC76" s="52">
        <f>SUM($CC$72:$CC$75)</f>
        <v>0</v>
      </c>
      <c r="CD76" s="52">
        <f>SUM($CD$72:$CD$75)</f>
        <v>23</v>
      </c>
      <c r="CE76" s="52">
        <f>SUM($CE$72:$CE$75)</f>
        <v>0</v>
      </c>
      <c r="CF76" s="52">
        <f>SUM($CF$72:$CF$75)</f>
        <v>0</v>
      </c>
      <c r="CG76" s="52">
        <f>SUM($CG$72:$CG$75)</f>
        <v>28</v>
      </c>
      <c r="CH76" s="52">
        <f>SUM($CH$72:$CH$75)</f>
        <v>8</v>
      </c>
      <c r="CI76" s="52">
        <f>SUM($CI$72:$CI$75)</f>
        <v>0</v>
      </c>
      <c r="CJ76" s="52">
        <f>SUM($CJ$72:$CJ$75)</f>
        <v>0</v>
      </c>
      <c r="CK76" s="52">
        <f>SUM($CK$72:$CK$75)</f>
        <v>0</v>
      </c>
      <c r="CL76" s="52">
        <f>SUM($CL$72:$CL$75)</f>
        <v>5</v>
      </c>
      <c r="CM76" s="52">
        <f>SUM($CM$72:$CM$75)</f>
        <v>0</v>
      </c>
      <c r="CN76" s="52">
        <f>SUM($CN$72:$CN$75)</f>
        <v>0</v>
      </c>
      <c r="CO76" s="52">
        <f>SUM($CG$76,$CH$76,$CI$76,$CJ$76,$CK$76,$CL$76,$CM$76,$CN$76)</f>
        <v>41</v>
      </c>
      <c r="CP76" s="52">
        <f>SUM($BY$76,$BZ$76,$CA$76,$CB$76,$CC$76,$CD$76,$CE$76,$CF$76)</f>
        <v>59</v>
      </c>
      <c r="CQ76" s="52">
        <f>SUM($CQ$72:$CQ$75)</f>
        <v>30</v>
      </c>
      <c r="CR76" s="52">
        <f>SUM($CR$72:$CR$75)</f>
        <v>6</v>
      </c>
      <c r="CS76" s="52">
        <f>SUM($CS$72:$CS$75)</f>
        <v>0</v>
      </c>
      <c r="CT76" s="52">
        <f>SUM($CT$72:$CT$75)</f>
        <v>0</v>
      </c>
      <c r="CU76" s="52">
        <f>SUM($CU$72:$CU$75)</f>
        <v>0</v>
      </c>
      <c r="CV76" s="52">
        <f>SUM($CV$72:$CV$75)</f>
        <v>22</v>
      </c>
      <c r="CW76" s="52">
        <f>SUM($CW$72:$CW$75)</f>
        <v>0</v>
      </c>
      <c r="CX76" s="52">
        <f>SUM($CX$72:$CX$75)</f>
        <v>0</v>
      </c>
      <c r="CY76" s="52">
        <f>SUM($CY$72:$CY$75)</f>
        <v>30</v>
      </c>
      <c r="CZ76" s="52">
        <f>SUM($CZ$72:$CZ$75)</f>
        <v>6</v>
      </c>
      <c r="DA76" s="52">
        <f>SUM($DA$72:$DA$75)</f>
        <v>0</v>
      </c>
      <c r="DB76" s="52">
        <f>SUM($DB$72:$DB$75)</f>
        <v>0</v>
      </c>
      <c r="DC76" s="52">
        <f>SUM($DC$72:$DC$75)</f>
        <v>0</v>
      </c>
      <c r="DD76" s="52">
        <f>SUM($DD$72:$DD$75)</f>
        <v>4</v>
      </c>
      <c r="DE76" s="52">
        <f>SUM($DE$72:$DE$75)</f>
        <v>0</v>
      </c>
      <c r="DF76" s="52">
        <f>SUM($DF$72:$DF$75)</f>
        <v>0</v>
      </c>
      <c r="DG76" s="52">
        <f>SUM($CY$76,$CZ$76,$DA$76,$DB$76,$DC$76,$DD$76,$DE$76,$DF$76)</f>
        <v>40</v>
      </c>
      <c r="DH76" s="52">
        <f>SUM($CQ$76,$CR$76,$CS$76,$CT$76,$CU$76,$CV$76,$CW$76,$CX$76)</f>
        <v>58</v>
      </c>
    </row>
    <row r="77" spans="1:112" ht="21" customHeight="1">
      <c r="A77" s="46">
        <v>44395.541666666701</v>
      </c>
      <c r="B77" s="53" t="s">
        <v>83</v>
      </c>
      <c r="C77" s="75">
        <v>9</v>
      </c>
      <c r="D77" s="75">
        <v>0</v>
      </c>
      <c r="E77" s="54">
        <v>1</v>
      </c>
      <c r="F77" s="54">
        <v>0</v>
      </c>
      <c r="G77" s="54">
        <v>0</v>
      </c>
      <c r="H77" s="75">
        <v>1</v>
      </c>
      <c r="I77" s="75">
        <v>1</v>
      </c>
      <c r="J77" s="92">
        <v>0</v>
      </c>
      <c r="K77" s="62">
        <f>$C$77*VLOOKUP($C$11,'PCU Values'!$B$9:$C$16,2,FALSE)</f>
        <v>9</v>
      </c>
      <c r="L77" s="62">
        <f>$D$77*VLOOKUP($D$11,'PCU Values'!$B$9:$C$16,2,FALSE)</f>
        <v>0</v>
      </c>
      <c r="M77" s="62">
        <f>$E$77*VLOOKUP($E$11,'PCU Values'!$B$9:$C$16,2,FALSE)</f>
        <v>1.5</v>
      </c>
      <c r="N77" s="62">
        <f>$F$77*VLOOKUP($F$11,'PCU Values'!$B$9:$C$16,2,FALSE)</f>
        <v>0</v>
      </c>
      <c r="O77" s="62">
        <f>$G$77*VLOOKUP($G$11,'PCU Values'!$B$9:$C$16,2,FALSE)</f>
        <v>0</v>
      </c>
      <c r="P77" s="62">
        <f>$H$77*VLOOKUP($H$11,'PCU Values'!$B$9:$C$16,2,FALSE)</f>
        <v>0.2</v>
      </c>
      <c r="Q77" s="62">
        <f>$I$77*VLOOKUP($I$11,'PCU Values'!$B$9:$C$16,2,FALSE)</f>
        <v>0.4</v>
      </c>
      <c r="R77" s="70">
        <f>$J$77*VLOOKUP($J$11,'PCU Values'!$B$9:$C$16,2,FALSE)</f>
        <v>0</v>
      </c>
      <c r="S77" s="71">
        <f>SUM($K$77,$L$77,$M$77,$N$77,$O$77,$P$77,$Q$77,$R$77)</f>
        <v>11.1</v>
      </c>
      <c r="T77" s="52">
        <f>SUM($C$77,$D$77,$E$77,$F$77,$G$77,$H$77,$I$77,$J$77)</f>
        <v>12</v>
      </c>
      <c r="U77" s="72">
        <v>2</v>
      </c>
      <c r="V77" s="54">
        <v>0</v>
      </c>
      <c r="W77" s="54">
        <v>0</v>
      </c>
      <c r="X77" s="54">
        <v>0</v>
      </c>
      <c r="Y77" s="54">
        <v>0</v>
      </c>
      <c r="Z77" s="54">
        <v>5</v>
      </c>
      <c r="AA77" s="54">
        <v>0</v>
      </c>
      <c r="AB77" s="61">
        <v>0</v>
      </c>
      <c r="AC77" s="62">
        <f>$U$77*VLOOKUP($U$11,'PCU Values'!$B$9:$C$16,2,FALSE)</f>
        <v>2</v>
      </c>
      <c r="AD77" s="62">
        <f>$V$77*VLOOKUP($V$11,'PCU Values'!$B$9:$C$16,2,FALSE)</f>
        <v>0</v>
      </c>
      <c r="AE77" s="62">
        <f>$W$77*VLOOKUP($W$11,'PCU Values'!$B$9:$C$16,2,FALSE)</f>
        <v>0</v>
      </c>
      <c r="AF77" s="62">
        <f>$X$77*VLOOKUP($X$11,'PCU Values'!$B$9:$C$16,2,FALSE)</f>
        <v>0</v>
      </c>
      <c r="AG77" s="62">
        <f>$Y$77*VLOOKUP($Y$11,'PCU Values'!$B$9:$C$16,2,FALSE)</f>
        <v>0</v>
      </c>
      <c r="AH77" s="62">
        <f>$Z$77*VLOOKUP($Z$11,'PCU Values'!$B$9:$C$16,2,FALSE)</f>
        <v>1</v>
      </c>
      <c r="AI77" s="62">
        <f>$AA$77*VLOOKUP($AA$11,'PCU Values'!$B$9:$C$16,2,FALSE)</f>
        <v>0</v>
      </c>
      <c r="AJ77" s="70">
        <f>$AB$77*VLOOKUP($AB$11,'PCU Values'!$B$9:$C$16,2,FALSE)</f>
        <v>0</v>
      </c>
      <c r="AK77" s="71">
        <f>SUM($AC$77,$AD$77,$AE$77,$AF$77,$AG$77,$AH$77,$AI$77,$AJ$77)</f>
        <v>3</v>
      </c>
      <c r="AL77" s="52">
        <f>SUM($U$77,$V$77,$W$77,$X$77,$Y$77,$Z$77,$AA$77,$AB$77)</f>
        <v>7</v>
      </c>
      <c r="AM77" s="72">
        <v>3</v>
      </c>
      <c r="AN77" s="54">
        <v>2</v>
      </c>
      <c r="AO77" s="54">
        <v>0</v>
      </c>
      <c r="AP77" s="54">
        <v>0</v>
      </c>
      <c r="AQ77" s="54">
        <v>0</v>
      </c>
      <c r="AR77" s="54">
        <v>0</v>
      </c>
      <c r="AS77" s="54">
        <v>0</v>
      </c>
      <c r="AT77" s="61">
        <v>0</v>
      </c>
      <c r="AU77" s="62">
        <f>$AM$77*VLOOKUP($AM$11,'PCU Values'!$B$9:$C$16,2,FALSE)</f>
        <v>3</v>
      </c>
      <c r="AV77" s="62">
        <f>$AN$77*VLOOKUP($AN$11,'PCU Values'!$B$9:$C$16,2,FALSE)</f>
        <v>2</v>
      </c>
      <c r="AW77" s="62">
        <f>$AO$77*VLOOKUP($AO$11,'PCU Values'!$B$9:$C$16,2,FALSE)</f>
        <v>0</v>
      </c>
      <c r="AX77" s="62">
        <f>$AP$77*VLOOKUP($AP$11,'PCU Values'!$B$9:$C$16,2,FALSE)</f>
        <v>0</v>
      </c>
      <c r="AY77" s="62">
        <f>$AQ$77*VLOOKUP($AQ$11,'PCU Values'!$B$9:$C$16,2,FALSE)</f>
        <v>0</v>
      </c>
      <c r="AZ77" s="62">
        <f>$AR$77*VLOOKUP($AR$11,'PCU Values'!$B$9:$C$16,2,FALSE)</f>
        <v>0</v>
      </c>
      <c r="BA77" s="62">
        <f>$AS$77*VLOOKUP($AS$11,'PCU Values'!$B$9:$C$16,2,FALSE)</f>
        <v>0</v>
      </c>
      <c r="BB77" s="70">
        <f>$AT$77*VLOOKUP($AT$11,'PCU Values'!$B$9:$C$16,2,FALSE)</f>
        <v>0</v>
      </c>
      <c r="BC77" s="71">
        <f>SUM($AU$77,$AV$77,$AW$77,$AX$77,$AY$77,$AZ$77,$BA$77,$BB$77)</f>
        <v>5</v>
      </c>
      <c r="BD77" s="52">
        <f>SUM($AM$77,$AN$77,$AO$77,$AP$77,$AQ$77,$AR$77,$AS$77,$AT$77)</f>
        <v>5</v>
      </c>
      <c r="BE77" s="74">
        <v>0</v>
      </c>
      <c r="BF77" s="54">
        <v>0</v>
      </c>
      <c r="BG77" s="54">
        <v>0</v>
      </c>
      <c r="BH77" s="54">
        <v>0</v>
      </c>
      <c r="BI77" s="54">
        <v>0</v>
      </c>
      <c r="BJ77" s="54">
        <v>0</v>
      </c>
      <c r="BK77" s="54">
        <v>0</v>
      </c>
      <c r="BL77" s="61">
        <v>0</v>
      </c>
      <c r="BM77" s="81">
        <f>$BE$77*VLOOKUP($BE$11,'PCU Values'!$B$9:$C$16,2,FALSE)</f>
        <v>0</v>
      </c>
      <c r="BN77" s="81">
        <f>$BF$77*VLOOKUP($BF$11,'PCU Values'!$B$9:$C$16,2,FALSE)</f>
        <v>0</v>
      </c>
      <c r="BO77" s="81">
        <f>$BG$77*VLOOKUP($BG$11,'PCU Values'!$B$9:$C$16,2,FALSE)</f>
        <v>0</v>
      </c>
      <c r="BP77" s="81">
        <f>$BH$77*VLOOKUP($BH$11,'PCU Values'!$B$9:$C$16,2,FALSE)</f>
        <v>0</v>
      </c>
      <c r="BQ77" s="81">
        <f>$BI$77*VLOOKUP($BI$11,'PCU Values'!$B$9:$C$16,2,FALSE)</f>
        <v>0</v>
      </c>
      <c r="BR77" s="81">
        <f>$BJ$77*VLOOKUP($BJ$11,'PCU Values'!$B$9:$C$16,2,FALSE)</f>
        <v>0</v>
      </c>
      <c r="BS77" s="81">
        <f>$BK$77*VLOOKUP($BK$11,'PCU Values'!$B$9:$C$16,2,FALSE)</f>
        <v>0</v>
      </c>
      <c r="BT77" s="82">
        <f>$BL$77*VLOOKUP($BL$11,'PCU Values'!$B$9:$C$16,2,FALSE)</f>
        <v>0</v>
      </c>
      <c r="BU77" s="71">
        <f>SUM($BM$77,$BN$77,$BO$77,$BP$77,$BQ$77,$BR$77,$BS$77,$BT$77)</f>
        <v>0</v>
      </c>
      <c r="BV77" s="52">
        <f>SUM($BE$77,$BF$77,$BG$77,$BH$77,$BI$77,$BJ$77,$BK$77,$BL$77)</f>
        <v>0</v>
      </c>
      <c r="BX77" s="53" t="s">
        <v>83</v>
      </c>
      <c r="BY77" s="85">
        <f>SUM($C$77,$U$77,$AM$77,$BE$77)</f>
        <v>14</v>
      </c>
      <c r="BZ77" s="85">
        <f>SUM($D$77,$V$77,$AN$77,$BF$77)</f>
        <v>2</v>
      </c>
      <c r="CA77" s="85">
        <f>SUM($E$77,$W$77,$AO$77,$BG$77)</f>
        <v>1</v>
      </c>
      <c r="CB77" s="85">
        <f>SUM($F$77,$X$77,$AP$77,$BH$77)</f>
        <v>0</v>
      </c>
      <c r="CC77" s="85">
        <f>SUM($G$77,$Y$77,$AQ$77,$BI$77)</f>
        <v>0</v>
      </c>
      <c r="CD77" s="85">
        <f>SUM($H$77,$Z$77,$AR$77,$BJ$77)</f>
        <v>6</v>
      </c>
      <c r="CE77" s="85">
        <f>SUM($I$77,$AA$77,$AS$77,$BK$77)</f>
        <v>1</v>
      </c>
      <c r="CF77" s="88">
        <f>SUM($J$77,$AB$77,$AT$77,$BL$77)</f>
        <v>0</v>
      </c>
      <c r="CG77" s="81">
        <f>$BY$77*VLOOKUP($BY$11,'PCU Values'!$B$9:$C$16,2,FALSE)</f>
        <v>14</v>
      </c>
      <c r="CH77" s="81">
        <f>$BZ$77*VLOOKUP($BZ$11,'PCU Values'!$B$9:$C$16,2,FALSE)</f>
        <v>2</v>
      </c>
      <c r="CI77" s="81">
        <f>$CA$77*VLOOKUP($CA$11,'PCU Values'!$B$9:$C$16,2,FALSE)</f>
        <v>1.5</v>
      </c>
      <c r="CJ77" s="81">
        <f>$CB$77*VLOOKUP($CB$11,'PCU Values'!$B$9:$C$16,2,FALSE)</f>
        <v>0</v>
      </c>
      <c r="CK77" s="81">
        <f>$CC$77*VLOOKUP($CC$11,'PCU Values'!$B$9:$C$16,2,FALSE)</f>
        <v>0</v>
      </c>
      <c r="CL77" s="81">
        <f>$CD$77*VLOOKUP($CD$11,'PCU Values'!$B$9:$C$16,2,FALSE)</f>
        <v>1.2</v>
      </c>
      <c r="CM77" s="81">
        <f>$CE$77*VLOOKUP($CE$11,'PCU Values'!$B$9:$C$16,2,FALSE)</f>
        <v>0.4</v>
      </c>
      <c r="CN77" s="82">
        <f>$CF$77*VLOOKUP($CF$11,'PCU Values'!$B$9:$C$16,2,FALSE)</f>
        <v>0</v>
      </c>
      <c r="CO77" s="71">
        <f>SUM($CG$77,$CH$77,$CI$77,$CJ$77,$CK$77,$CL$77,$CM$77,$CN$77)</f>
        <v>19.100000000000001</v>
      </c>
      <c r="CP77" s="52">
        <f>SUM($BY$77,$BZ$77,$CA$77,$CB$77,$CC$77,$CD$77,$CE$77,$CF$77)</f>
        <v>24</v>
      </c>
      <c r="CQ77" s="91">
        <f>SUM('J1 A - (North) Bishopthorpe Roa'!$AM$77,'J1 B - Butcher Terrace'!$U$77,'J1 C - (South) Bishopthorpe Roa'!$C$77,'J1 D - South Bank Avenue'!$BE$77)</f>
        <v>8</v>
      </c>
      <c r="CR77" s="85">
        <f>SUM('J1 A - (North) Bishopthorpe Roa'!$AN$77,'J1 B - Butcher Terrace'!$V$77,'J1 C - (South) Bishopthorpe Roa'!$D$77,'J1 D - South Bank Avenue'!$BF$77)</f>
        <v>3</v>
      </c>
      <c r="CS77" s="85">
        <f>SUM('J1 A - (North) Bishopthorpe Roa'!$AO$77,'J1 B - Butcher Terrace'!$W$77,'J1 C - (South) Bishopthorpe Roa'!$E$77,'J1 D - South Bank Avenue'!$BG$77)</f>
        <v>0</v>
      </c>
      <c r="CT77" s="85">
        <f>SUM('J1 A - (North) Bishopthorpe Roa'!$AP$77,'J1 B - Butcher Terrace'!$X$77,'J1 C - (South) Bishopthorpe Roa'!$F$77,'J1 D - South Bank Avenue'!$BH$77)</f>
        <v>0</v>
      </c>
      <c r="CU77" s="85">
        <f>SUM('J1 A - (North) Bishopthorpe Roa'!$AQ$77,'J1 B - Butcher Terrace'!$Y$77,'J1 C - (South) Bishopthorpe Roa'!$G$77,'J1 D - South Bank Avenue'!$BI$77)</f>
        <v>0</v>
      </c>
      <c r="CV77" s="85">
        <f>SUM('J1 A - (North) Bishopthorpe Roa'!$AR$77,'J1 B - Butcher Terrace'!$Z$77,'J1 C - (South) Bishopthorpe Roa'!$H$77,'J1 D - South Bank Avenue'!$BJ$77)</f>
        <v>4</v>
      </c>
      <c r="CW77" s="85">
        <f>SUM('J1 A - (North) Bishopthorpe Roa'!$AS$77,'J1 B - Butcher Terrace'!$AA$77,'J1 C - (South) Bishopthorpe Roa'!$I$77,'J1 D - South Bank Avenue'!$BK$77)</f>
        <v>1</v>
      </c>
      <c r="CX77" s="88">
        <f>SUM('J1 A - (North) Bishopthorpe Roa'!$AT$77,'J1 B - Butcher Terrace'!$AB$77,'J1 C - (South) Bishopthorpe Roa'!$J$77,'J1 D - South Bank Avenue'!$BL$77)</f>
        <v>0</v>
      </c>
      <c r="CY77" s="81">
        <f>$CQ$77*VLOOKUP($CQ$11,'PCU Values'!$B$9:$C$16,2,FALSE)</f>
        <v>8</v>
      </c>
      <c r="CZ77" s="81">
        <f>$CR$77*VLOOKUP($CR$11,'PCU Values'!$B$9:$C$16,2,FALSE)</f>
        <v>3</v>
      </c>
      <c r="DA77" s="81">
        <f>$CS$77*VLOOKUP($CS$11,'PCU Values'!$B$9:$C$16,2,FALSE)</f>
        <v>0</v>
      </c>
      <c r="DB77" s="81">
        <f>$CT$77*VLOOKUP($CT$11,'PCU Values'!$B$9:$C$16,2,FALSE)</f>
        <v>0</v>
      </c>
      <c r="DC77" s="81">
        <f>$CU$77*VLOOKUP($CU$11,'PCU Values'!$B$9:$C$16,2,FALSE)</f>
        <v>0</v>
      </c>
      <c r="DD77" s="81">
        <f>$CV$77*VLOOKUP($CV$11,'PCU Values'!$B$9:$C$16,2,FALSE)</f>
        <v>0.8</v>
      </c>
      <c r="DE77" s="81">
        <f>$CW$77*VLOOKUP($CW$11,'PCU Values'!$B$9:$C$16,2,FALSE)</f>
        <v>0.4</v>
      </c>
      <c r="DF77" s="82">
        <f>$CX$77*VLOOKUP($CX$11,'PCU Values'!$B$9:$C$16,2,FALSE)</f>
        <v>0</v>
      </c>
      <c r="DG77" s="71">
        <f>SUM($CY$77,$CZ$77,$DA$77,$DB$77,$DC$77,$DD$77,$DE$77,$DF$77)</f>
        <v>12.2</v>
      </c>
      <c r="DH77" s="52">
        <f>SUM($CQ$77,$CR$77,$CS$77,$CT$77,$CU$77,$CV$77,$CW$77,$CX$77)</f>
        <v>16</v>
      </c>
    </row>
    <row r="78" spans="1:112" ht="21" customHeight="1">
      <c r="A78" s="46">
        <v>44395.552083333299</v>
      </c>
      <c r="B78" s="47" t="s">
        <v>84</v>
      </c>
      <c r="C78" s="48">
        <v>3</v>
      </c>
      <c r="D78" s="48">
        <v>0</v>
      </c>
      <c r="E78" s="48">
        <v>1</v>
      </c>
      <c r="F78" s="48">
        <v>0</v>
      </c>
      <c r="G78" s="48">
        <v>0</v>
      </c>
      <c r="H78" s="48">
        <v>1</v>
      </c>
      <c r="I78" s="48">
        <v>0</v>
      </c>
      <c r="J78" s="56">
        <v>0</v>
      </c>
      <c r="K78" s="57">
        <f>$C$78*VLOOKUP($C$11,'PCU Values'!$B$9:$C$16,2,FALSE)</f>
        <v>3</v>
      </c>
      <c r="L78" s="57">
        <f>$D$78*VLOOKUP($D$11,'PCU Values'!$B$9:$C$16,2,FALSE)</f>
        <v>0</v>
      </c>
      <c r="M78" s="57">
        <f>$E$78*VLOOKUP($E$11,'PCU Values'!$B$9:$C$16,2,FALSE)</f>
        <v>1.5</v>
      </c>
      <c r="N78" s="57">
        <f>$F$78*VLOOKUP($F$11,'PCU Values'!$B$9:$C$16,2,FALSE)</f>
        <v>0</v>
      </c>
      <c r="O78" s="57">
        <f>$G$78*VLOOKUP($G$11,'PCU Values'!$B$9:$C$16,2,FALSE)</f>
        <v>0</v>
      </c>
      <c r="P78" s="57">
        <f>$H$78*VLOOKUP($H$11,'PCU Values'!$B$9:$C$16,2,FALSE)</f>
        <v>0.2</v>
      </c>
      <c r="Q78" s="57">
        <f>$I$78*VLOOKUP($I$11,'PCU Values'!$B$9:$C$16,2,FALSE)</f>
        <v>0</v>
      </c>
      <c r="R78" s="65">
        <f>$J$78*VLOOKUP($J$11,'PCU Values'!$B$9:$C$16,2,FALSE)</f>
        <v>0</v>
      </c>
      <c r="S78" s="66">
        <f>SUM($K$78,$L$78,$M$78,$N$78,$O$78,$P$78,$Q$78,$R$78)</f>
        <v>4.7</v>
      </c>
      <c r="T78" s="52">
        <f>SUM($C$78,$D$78,$E$78,$F$78,$G$78,$H$78,$I$78,$J$78)</f>
        <v>5</v>
      </c>
      <c r="U78" s="67">
        <v>1</v>
      </c>
      <c r="V78" s="48">
        <v>0</v>
      </c>
      <c r="W78" s="48">
        <v>0</v>
      </c>
      <c r="X78" s="48">
        <v>0</v>
      </c>
      <c r="Y78" s="48">
        <v>0</v>
      </c>
      <c r="Z78" s="48">
        <v>1</v>
      </c>
      <c r="AA78" s="48">
        <v>0</v>
      </c>
      <c r="AB78" s="56">
        <v>0</v>
      </c>
      <c r="AC78" s="57">
        <f>$U$78*VLOOKUP($U$11,'PCU Values'!$B$9:$C$16,2,FALSE)</f>
        <v>1</v>
      </c>
      <c r="AD78" s="57">
        <f>$V$78*VLOOKUP($V$11,'PCU Values'!$B$9:$C$16,2,FALSE)</f>
        <v>0</v>
      </c>
      <c r="AE78" s="57">
        <f>$W$78*VLOOKUP($W$11,'PCU Values'!$B$9:$C$16,2,FALSE)</f>
        <v>0</v>
      </c>
      <c r="AF78" s="57">
        <f>$X$78*VLOOKUP($X$11,'PCU Values'!$B$9:$C$16,2,FALSE)</f>
        <v>0</v>
      </c>
      <c r="AG78" s="57">
        <f>$Y$78*VLOOKUP($Y$11,'PCU Values'!$B$9:$C$16,2,FALSE)</f>
        <v>0</v>
      </c>
      <c r="AH78" s="57">
        <f>$Z$78*VLOOKUP($Z$11,'PCU Values'!$B$9:$C$16,2,FALSE)</f>
        <v>0.2</v>
      </c>
      <c r="AI78" s="57">
        <f>$AA$78*VLOOKUP($AA$11,'PCU Values'!$B$9:$C$16,2,FALSE)</f>
        <v>0</v>
      </c>
      <c r="AJ78" s="65">
        <f>$AB$78*VLOOKUP($AB$11,'PCU Values'!$B$9:$C$16,2,FALSE)</f>
        <v>0</v>
      </c>
      <c r="AK78" s="66">
        <f>SUM($AC$78,$AD$78,$AE$78,$AF$78,$AG$78,$AH$78,$AI$78,$AJ$78)</f>
        <v>1.2</v>
      </c>
      <c r="AL78" s="52">
        <f>SUM($U$78,$V$78,$W$78,$X$78,$Y$78,$Z$78,$AA$78,$AB$78)</f>
        <v>2</v>
      </c>
      <c r="AM78" s="67">
        <v>2</v>
      </c>
      <c r="AN78" s="48">
        <v>1</v>
      </c>
      <c r="AO78" s="48">
        <v>1</v>
      </c>
      <c r="AP78" s="48">
        <v>0</v>
      </c>
      <c r="AQ78" s="48">
        <v>0</v>
      </c>
      <c r="AR78" s="48">
        <v>0</v>
      </c>
      <c r="AS78" s="48">
        <v>0</v>
      </c>
      <c r="AT78" s="56">
        <v>0</v>
      </c>
      <c r="AU78" s="57">
        <f>$AM$78*VLOOKUP($AM$11,'PCU Values'!$B$9:$C$16,2,FALSE)</f>
        <v>2</v>
      </c>
      <c r="AV78" s="57">
        <f>$AN$78*VLOOKUP($AN$11,'PCU Values'!$B$9:$C$16,2,FALSE)</f>
        <v>1</v>
      </c>
      <c r="AW78" s="57">
        <f>$AO$78*VLOOKUP($AO$11,'PCU Values'!$B$9:$C$16,2,FALSE)</f>
        <v>1.5</v>
      </c>
      <c r="AX78" s="57">
        <f>$AP$78*VLOOKUP($AP$11,'PCU Values'!$B$9:$C$16,2,FALSE)</f>
        <v>0</v>
      </c>
      <c r="AY78" s="57">
        <f>$AQ$78*VLOOKUP($AQ$11,'PCU Values'!$B$9:$C$16,2,FALSE)</f>
        <v>0</v>
      </c>
      <c r="AZ78" s="57">
        <f>$AR$78*VLOOKUP($AR$11,'PCU Values'!$B$9:$C$16,2,FALSE)</f>
        <v>0</v>
      </c>
      <c r="BA78" s="57">
        <f>$AS$78*VLOOKUP($AS$11,'PCU Values'!$B$9:$C$16,2,FALSE)</f>
        <v>0</v>
      </c>
      <c r="BB78" s="65">
        <f>$AT$78*VLOOKUP($AT$11,'PCU Values'!$B$9:$C$16,2,FALSE)</f>
        <v>0</v>
      </c>
      <c r="BC78" s="66">
        <f>SUM($AU$78,$AV$78,$AW$78,$AX$78,$AY$78,$AZ$78,$BA$78,$BB$78)</f>
        <v>4.5</v>
      </c>
      <c r="BD78" s="52">
        <f>SUM($AM$78,$AN$78,$AO$78,$AP$78,$AQ$78,$AR$78,$AS$78,$AT$78)</f>
        <v>4</v>
      </c>
      <c r="BE78" s="67">
        <v>0</v>
      </c>
      <c r="BF78" s="48">
        <v>0</v>
      </c>
      <c r="BG78" s="48">
        <v>0</v>
      </c>
      <c r="BH78" s="48">
        <v>0</v>
      </c>
      <c r="BI78" s="48">
        <v>0</v>
      </c>
      <c r="BJ78" s="48">
        <v>0</v>
      </c>
      <c r="BK78" s="48">
        <v>0</v>
      </c>
      <c r="BL78" s="56">
        <v>0</v>
      </c>
      <c r="BM78" s="77">
        <f>$BE$78*VLOOKUP($BE$11,'PCU Values'!$B$9:$C$16,2,FALSE)</f>
        <v>0</v>
      </c>
      <c r="BN78" s="77">
        <f>$BF$78*VLOOKUP($BF$11,'PCU Values'!$B$9:$C$16,2,FALSE)</f>
        <v>0</v>
      </c>
      <c r="BO78" s="77">
        <f>$BG$78*VLOOKUP($BG$11,'PCU Values'!$B$9:$C$16,2,FALSE)</f>
        <v>0</v>
      </c>
      <c r="BP78" s="77">
        <f>$BH$78*VLOOKUP($BH$11,'PCU Values'!$B$9:$C$16,2,FALSE)</f>
        <v>0</v>
      </c>
      <c r="BQ78" s="77">
        <f>$BI$78*VLOOKUP($BI$11,'PCU Values'!$B$9:$C$16,2,FALSE)</f>
        <v>0</v>
      </c>
      <c r="BR78" s="77">
        <f>$BJ$78*VLOOKUP($BJ$11,'PCU Values'!$B$9:$C$16,2,FALSE)</f>
        <v>0</v>
      </c>
      <c r="BS78" s="77">
        <f>$BK$78*VLOOKUP($BK$11,'PCU Values'!$B$9:$C$16,2,FALSE)</f>
        <v>0</v>
      </c>
      <c r="BT78" s="78">
        <f>$BL$78*VLOOKUP($BL$11,'PCU Values'!$B$9:$C$16,2,FALSE)</f>
        <v>0</v>
      </c>
      <c r="BU78" s="66">
        <f>SUM($BM$78,$BN$78,$BO$78,$BP$78,$BQ$78,$BR$78,$BS$78,$BT$78)</f>
        <v>0</v>
      </c>
      <c r="BV78" s="52">
        <f>SUM($BE$78,$BF$78,$BG$78,$BH$78,$BI$78,$BJ$78,$BK$78,$BL$78)</f>
        <v>0</v>
      </c>
      <c r="BX78" s="47" t="s">
        <v>84</v>
      </c>
      <c r="BY78" s="83">
        <f>SUM($C$78,$U$78,$AM$78,$BE$78)</f>
        <v>6</v>
      </c>
      <c r="BZ78" s="83">
        <f>SUM($D$78,$V$78,$AN$78,$BF$78)</f>
        <v>1</v>
      </c>
      <c r="CA78" s="83">
        <f>SUM($E$78,$W$78,$AO$78,$BG$78)</f>
        <v>2</v>
      </c>
      <c r="CB78" s="83">
        <f>SUM($F$78,$X$78,$AP$78,$BH$78)</f>
        <v>0</v>
      </c>
      <c r="CC78" s="83">
        <f>SUM($G$78,$Y$78,$AQ$78,$BI$78)</f>
        <v>0</v>
      </c>
      <c r="CD78" s="83">
        <f>SUM($H$78,$Z$78,$AR$78,$BJ$78)</f>
        <v>2</v>
      </c>
      <c r="CE78" s="83">
        <f>SUM($I$78,$AA$78,$AS$78,$BK$78)</f>
        <v>0</v>
      </c>
      <c r="CF78" s="86">
        <f>SUM($J$78,$AB$78,$AT$78,$BL$78)</f>
        <v>0</v>
      </c>
      <c r="CG78" s="77">
        <f>$BY$78*VLOOKUP($BY$11,'PCU Values'!$B$9:$C$16,2,FALSE)</f>
        <v>6</v>
      </c>
      <c r="CH78" s="77">
        <f>$BZ$78*VLOOKUP($BZ$11,'PCU Values'!$B$9:$C$16,2,FALSE)</f>
        <v>1</v>
      </c>
      <c r="CI78" s="77">
        <f>$CA$78*VLOOKUP($CA$11,'PCU Values'!$B$9:$C$16,2,FALSE)</f>
        <v>3</v>
      </c>
      <c r="CJ78" s="77">
        <f>$CB$78*VLOOKUP($CB$11,'PCU Values'!$B$9:$C$16,2,FALSE)</f>
        <v>0</v>
      </c>
      <c r="CK78" s="77">
        <f>$CC$78*VLOOKUP($CC$11,'PCU Values'!$B$9:$C$16,2,FALSE)</f>
        <v>0</v>
      </c>
      <c r="CL78" s="77">
        <f>$CD$78*VLOOKUP($CD$11,'PCU Values'!$B$9:$C$16,2,FALSE)</f>
        <v>0.4</v>
      </c>
      <c r="CM78" s="77">
        <f>$CE$78*VLOOKUP($CE$11,'PCU Values'!$B$9:$C$16,2,FALSE)</f>
        <v>0</v>
      </c>
      <c r="CN78" s="78">
        <f>$CF$78*VLOOKUP($CF$11,'PCU Values'!$B$9:$C$16,2,FALSE)</f>
        <v>0</v>
      </c>
      <c r="CO78" s="66">
        <f>SUM($CG$78,$CH$78,$CI$78,$CJ$78,$CK$78,$CL$78,$CM$78,$CN$78)</f>
        <v>10.4</v>
      </c>
      <c r="CP78" s="52">
        <f>SUM($BY$78,$BZ$78,$CA$78,$CB$78,$CC$78,$CD$78,$CE$78,$CF$78)</f>
        <v>11</v>
      </c>
      <c r="CQ78" s="89">
        <f>SUM('J1 A - (North) Bishopthorpe Roa'!$AM$78,'J1 B - Butcher Terrace'!$U$78,'J1 C - (South) Bishopthorpe Roa'!$C$78,'J1 D - South Bank Avenue'!$BE$78)</f>
        <v>7</v>
      </c>
      <c r="CR78" s="83">
        <f>SUM('J1 A - (North) Bishopthorpe Roa'!$AN$78,'J1 B - Butcher Terrace'!$V$78,'J1 C - (South) Bishopthorpe Roa'!$D$78,'J1 D - South Bank Avenue'!$BF$78)</f>
        <v>2</v>
      </c>
      <c r="CS78" s="83">
        <f>SUM('J1 A - (North) Bishopthorpe Roa'!$AO$78,'J1 B - Butcher Terrace'!$W$78,'J1 C - (South) Bishopthorpe Roa'!$E$78,'J1 D - South Bank Avenue'!$BG$78)</f>
        <v>0</v>
      </c>
      <c r="CT78" s="83">
        <f>SUM('J1 A - (North) Bishopthorpe Roa'!$AP$78,'J1 B - Butcher Terrace'!$X$78,'J1 C - (South) Bishopthorpe Roa'!$F$78,'J1 D - South Bank Avenue'!$BH$78)</f>
        <v>0</v>
      </c>
      <c r="CU78" s="83">
        <f>SUM('J1 A - (North) Bishopthorpe Roa'!$AQ$78,'J1 B - Butcher Terrace'!$Y$78,'J1 C - (South) Bishopthorpe Roa'!$G$78,'J1 D - South Bank Avenue'!$BI$78)</f>
        <v>0</v>
      </c>
      <c r="CV78" s="83">
        <f>SUM('J1 A - (North) Bishopthorpe Roa'!$AR$78,'J1 B - Butcher Terrace'!$Z$78,'J1 C - (South) Bishopthorpe Roa'!$H$78,'J1 D - South Bank Avenue'!$BJ$78)</f>
        <v>12</v>
      </c>
      <c r="CW78" s="83">
        <f>SUM('J1 A - (North) Bishopthorpe Roa'!$AS$78,'J1 B - Butcher Terrace'!$AA$78,'J1 C - (South) Bishopthorpe Roa'!$I$78,'J1 D - South Bank Avenue'!$BK$78)</f>
        <v>0</v>
      </c>
      <c r="CX78" s="86">
        <f>SUM('J1 A - (North) Bishopthorpe Roa'!$AT$78,'J1 B - Butcher Terrace'!$AB$78,'J1 C - (South) Bishopthorpe Roa'!$J$78,'J1 D - South Bank Avenue'!$BL$78)</f>
        <v>0</v>
      </c>
      <c r="CY78" s="77">
        <f>$CQ$78*VLOOKUP($CQ$11,'PCU Values'!$B$9:$C$16,2,FALSE)</f>
        <v>7</v>
      </c>
      <c r="CZ78" s="77">
        <f>$CR$78*VLOOKUP($CR$11,'PCU Values'!$B$9:$C$16,2,FALSE)</f>
        <v>2</v>
      </c>
      <c r="DA78" s="77">
        <f>$CS$78*VLOOKUP($CS$11,'PCU Values'!$B$9:$C$16,2,FALSE)</f>
        <v>0</v>
      </c>
      <c r="DB78" s="77">
        <f>$CT$78*VLOOKUP($CT$11,'PCU Values'!$B$9:$C$16,2,FALSE)</f>
        <v>0</v>
      </c>
      <c r="DC78" s="77">
        <f>$CU$78*VLOOKUP($CU$11,'PCU Values'!$B$9:$C$16,2,FALSE)</f>
        <v>0</v>
      </c>
      <c r="DD78" s="77">
        <f>$CV$78*VLOOKUP($CV$11,'PCU Values'!$B$9:$C$16,2,FALSE)</f>
        <v>2.4</v>
      </c>
      <c r="DE78" s="77">
        <f>$CW$78*VLOOKUP($CW$11,'PCU Values'!$B$9:$C$16,2,FALSE)</f>
        <v>0</v>
      </c>
      <c r="DF78" s="78">
        <f>$CX$78*VLOOKUP($CX$11,'PCU Values'!$B$9:$C$16,2,FALSE)</f>
        <v>0</v>
      </c>
      <c r="DG78" s="66">
        <f>SUM($CY$78,$CZ$78,$DA$78,$DB$78,$DC$78,$DD$78,$DE$78,$DF$78)</f>
        <v>11.4</v>
      </c>
      <c r="DH78" s="52">
        <f>SUM($CQ$78,$CR$78,$CS$78,$CT$78,$CU$78,$CV$78,$CW$78,$CX$78)</f>
        <v>21</v>
      </c>
    </row>
    <row r="79" spans="1:112" ht="21" customHeight="1">
      <c r="A79" s="46">
        <v>44395.5625</v>
      </c>
      <c r="B79" s="47" t="s">
        <v>85</v>
      </c>
      <c r="C79" s="48">
        <v>5</v>
      </c>
      <c r="D79" s="48">
        <v>0</v>
      </c>
      <c r="E79" s="48">
        <v>1</v>
      </c>
      <c r="F79" s="48">
        <v>0</v>
      </c>
      <c r="G79" s="48">
        <v>0</v>
      </c>
      <c r="H79" s="48">
        <v>0</v>
      </c>
      <c r="I79" s="48">
        <v>0</v>
      </c>
      <c r="J79" s="56">
        <v>0</v>
      </c>
      <c r="K79" s="57">
        <f>$C$79*VLOOKUP($C$11,'PCU Values'!$B$9:$C$16,2,FALSE)</f>
        <v>5</v>
      </c>
      <c r="L79" s="57">
        <f>$D$79*VLOOKUP($D$11,'PCU Values'!$B$9:$C$16,2,FALSE)</f>
        <v>0</v>
      </c>
      <c r="M79" s="57">
        <f>$E$79*VLOOKUP($E$11,'PCU Values'!$B$9:$C$16,2,FALSE)</f>
        <v>1.5</v>
      </c>
      <c r="N79" s="57">
        <f>$F$79*VLOOKUP($F$11,'PCU Values'!$B$9:$C$16,2,FALSE)</f>
        <v>0</v>
      </c>
      <c r="O79" s="57">
        <f>$G$79*VLOOKUP($G$11,'PCU Values'!$B$9:$C$16,2,FALSE)</f>
        <v>0</v>
      </c>
      <c r="P79" s="57">
        <f>$H$79*VLOOKUP($H$11,'PCU Values'!$B$9:$C$16,2,FALSE)</f>
        <v>0</v>
      </c>
      <c r="Q79" s="57">
        <f>$I$79*VLOOKUP($I$11,'PCU Values'!$B$9:$C$16,2,FALSE)</f>
        <v>0</v>
      </c>
      <c r="R79" s="65">
        <f>$J$79*VLOOKUP($J$11,'PCU Values'!$B$9:$C$16,2,FALSE)</f>
        <v>0</v>
      </c>
      <c r="S79" s="66">
        <f>SUM($K$79,$L$79,$M$79,$N$79,$O$79,$P$79,$Q$79,$R$79)</f>
        <v>6.5</v>
      </c>
      <c r="T79" s="52">
        <f>SUM($C$79,$D$79,$E$79,$F$79,$G$79,$H$79,$I$79,$J$79)</f>
        <v>6</v>
      </c>
      <c r="U79" s="67">
        <v>0</v>
      </c>
      <c r="V79" s="48">
        <v>0</v>
      </c>
      <c r="W79" s="48">
        <v>0</v>
      </c>
      <c r="X79" s="48">
        <v>0</v>
      </c>
      <c r="Y79" s="48">
        <v>0</v>
      </c>
      <c r="Z79" s="48">
        <v>5</v>
      </c>
      <c r="AA79" s="48">
        <v>0</v>
      </c>
      <c r="AB79" s="56">
        <v>0</v>
      </c>
      <c r="AC79" s="57">
        <f>$U$79*VLOOKUP($U$11,'PCU Values'!$B$9:$C$16,2,FALSE)</f>
        <v>0</v>
      </c>
      <c r="AD79" s="57">
        <f>$V$79*VLOOKUP($V$11,'PCU Values'!$B$9:$C$16,2,FALSE)</f>
        <v>0</v>
      </c>
      <c r="AE79" s="57">
        <f>$W$79*VLOOKUP($W$11,'PCU Values'!$B$9:$C$16,2,FALSE)</f>
        <v>0</v>
      </c>
      <c r="AF79" s="57">
        <f>$X$79*VLOOKUP($X$11,'PCU Values'!$B$9:$C$16,2,FALSE)</f>
        <v>0</v>
      </c>
      <c r="AG79" s="57">
        <f>$Y$79*VLOOKUP($Y$11,'PCU Values'!$B$9:$C$16,2,FALSE)</f>
        <v>0</v>
      </c>
      <c r="AH79" s="57">
        <f>$Z$79*VLOOKUP($Z$11,'PCU Values'!$B$9:$C$16,2,FALSE)</f>
        <v>1</v>
      </c>
      <c r="AI79" s="57">
        <f>$AA$79*VLOOKUP($AA$11,'PCU Values'!$B$9:$C$16,2,FALSE)</f>
        <v>0</v>
      </c>
      <c r="AJ79" s="65">
        <f>$AB$79*VLOOKUP($AB$11,'PCU Values'!$B$9:$C$16,2,FALSE)</f>
        <v>0</v>
      </c>
      <c r="AK79" s="66">
        <f>SUM($AC$79,$AD$79,$AE$79,$AF$79,$AG$79,$AH$79,$AI$79,$AJ$79)</f>
        <v>1</v>
      </c>
      <c r="AL79" s="52">
        <f>SUM($U$79,$V$79,$W$79,$X$79,$Y$79,$Z$79,$AA$79,$AB$79)</f>
        <v>5</v>
      </c>
      <c r="AM79" s="67">
        <v>4</v>
      </c>
      <c r="AN79" s="48">
        <v>0</v>
      </c>
      <c r="AO79" s="48">
        <v>0</v>
      </c>
      <c r="AP79" s="48">
        <v>0</v>
      </c>
      <c r="AQ79" s="48">
        <v>0</v>
      </c>
      <c r="AR79" s="48">
        <v>0</v>
      </c>
      <c r="AS79" s="48">
        <v>0</v>
      </c>
      <c r="AT79" s="56">
        <v>0</v>
      </c>
      <c r="AU79" s="57">
        <f>$AM$79*VLOOKUP($AM$11,'PCU Values'!$B$9:$C$16,2,FALSE)</f>
        <v>4</v>
      </c>
      <c r="AV79" s="57">
        <f>$AN$79*VLOOKUP($AN$11,'PCU Values'!$B$9:$C$16,2,FALSE)</f>
        <v>0</v>
      </c>
      <c r="AW79" s="57">
        <f>$AO$79*VLOOKUP($AO$11,'PCU Values'!$B$9:$C$16,2,FALSE)</f>
        <v>0</v>
      </c>
      <c r="AX79" s="57">
        <f>$AP$79*VLOOKUP($AP$11,'PCU Values'!$B$9:$C$16,2,FALSE)</f>
        <v>0</v>
      </c>
      <c r="AY79" s="57">
        <f>$AQ$79*VLOOKUP($AQ$11,'PCU Values'!$B$9:$C$16,2,FALSE)</f>
        <v>0</v>
      </c>
      <c r="AZ79" s="57">
        <f>$AR$79*VLOOKUP($AR$11,'PCU Values'!$B$9:$C$16,2,FALSE)</f>
        <v>0</v>
      </c>
      <c r="BA79" s="57">
        <f>$AS$79*VLOOKUP($AS$11,'PCU Values'!$B$9:$C$16,2,FALSE)</f>
        <v>0</v>
      </c>
      <c r="BB79" s="65">
        <f>$AT$79*VLOOKUP($AT$11,'PCU Values'!$B$9:$C$16,2,FALSE)</f>
        <v>0</v>
      </c>
      <c r="BC79" s="66">
        <f>SUM($AU$79,$AV$79,$AW$79,$AX$79,$AY$79,$AZ$79,$BA$79,$BB$79)</f>
        <v>4</v>
      </c>
      <c r="BD79" s="52">
        <f>SUM($AM$79,$AN$79,$AO$79,$AP$79,$AQ$79,$AR$79,$AS$79,$AT$79)</f>
        <v>4</v>
      </c>
      <c r="BE79" s="67">
        <v>0</v>
      </c>
      <c r="BF79" s="48">
        <v>0</v>
      </c>
      <c r="BG79" s="48">
        <v>0</v>
      </c>
      <c r="BH79" s="48">
        <v>0</v>
      </c>
      <c r="BI79" s="48">
        <v>0</v>
      </c>
      <c r="BJ79" s="48">
        <v>0</v>
      </c>
      <c r="BK79" s="48">
        <v>0</v>
      </c>
      <c r="BL79" s="56">
        <v>0</v>
      </c>
      <c r="BM79" s="77">
        <f>$BE$79*VLOOKUP($BE$11,'PCU Values'!$B$9:$C$16,2,FALSE)</f>
        <v>0</v>
      </c>
      <c r="BN79" s="77">
        <f>$BF$79*VLOOKUP($BF$11,'PCU Values'!$B$9:$C$16,2,FALSE)</f>
        <v>0</v>
      </c>
      <c r="BO79" s="77">
        <f>$BG$79*VLOOKUP($BG$11,'PCU Values'!$B$9:$C$16,2,FALSE)</f>
        <v>0</v>
      </c>
      <c r="BP79" s="77">
        <f>$BH$79*VLOOKUP($BH$11,'PCU Values'!$B$9:$C$16,2,FALSE)</f>
        <v>0</v>
      </c>
      <c r="BQ79" s="77">
        <f>$BI$79*VLOOKUP($BI$11,'PCU Values'!$B$9:$C$16,2,FALSE)</f>
        <v>0</v>
      </c>
      <c r="BR79" s="77">
        <f>$BJ$79*VLOOKUP($BJ$11,'PCU Values'!$B$9:$C$16,2,FALSE)</f>
        <v>0</v>
      </c>
      <c r="BS79" s="77">
        <f>$BK$79*VLOOKUP($BK$11,'PCU Values'!$B$9:$C$16,2,FALSE)</f>
        <v>0</v>
      </c>
      <c r="BT79" s="78">
        <f>$BL$79*VLOOKUP($BL$11,'PCU Values'!$B$9:$C$16,2,FALSE)</f>
        <v>0</v>
      </c>
      <c r="BU79" s="66">
        <f>SUM($BM$79,$BN$79,$BO$79,$BP$79,$BQ$79,$BR$79,$BS$79,$BT$79)</f>
        <v>0</v>
      </c>
      <c r="BV79" s="52">
        <f>SUM($BE$79,$BF$79,$BG$79,$BH$79,$BI$79,$BJ$79,$BK$79,$BL$79)</f>
        <v>0</v>
      </c>
      <c r="BX79" s="47" t="s">
        <v>85</v>
      </c>
      <c r="BY79" s="83">
        <f>SUM($C$79,$U$79,$AM$79,$BE$79)</f>
        <v>9</v>
      </c>
      <c r="BZ79" s="83">
        <f>SUM($D$79,$V$79,$AN$79,$BF$79)</f>
        <v>0</v>
      </c>
      <c r="CA79" s="83">
        <f>SUM($E$79,$W$79,$AO$79,$BG$79)</f>
        <v>1</v>
      </c>
      <c r="CB79" s="83">
        <f>SUM($F$79,$X$79,$AP$79,$BH$79)</f>
        <v>0</v>
      </c>
      <c r="CC79" s="83">
        <f>SUM($G$79,$Y$79,$AQ$79,$BI$79)</f>
        <v>0</v>
      </c>
      <c r="CD79" s="83">
        <f>SUM($H$79,$Z$79,$AR$79,$BJ$79)</f>
        <v>5</v>
      </c>
      <c r="CE79" s="83">
        <f>SUM($I$79,$AA$79,$AS$79,$BK$79)</f>
        <v>0</v>
      </c>
      <c r="CF79" s="86">
        <f>SUM($J$79,$AB$79,$AT$79,$BL$79)</f>
        <v>0</v>
      </c>
      <c r="CG79" s="77">
        <f>$BY$79*VLOOKUP($BY$11,'PCU Values'!$B$9:$C$16,2,FALSE)</f>
        <v>9</v>
      </c>
      <c r="CH79" s="77">
        <f>$BZ$79*VLOOKUP($BZ$11,'PCU Values'!$B$9:$C$16,2,FALSE)</f>
        <v>0</v>
      </c>
      <c r="CI79" s="77">
        <f>$CA$79*VLOOKUP($CA$11,'PCU Values'!$B$9:$C$16,2,FALSE)</f>
        <v>1.5</v>
      </c>
      <c r="CJ79" s="77">
        <f>$CB$79*VLOOKUP($CB$11,'PCU Values'!$B$9:$C$16,2,FALSE)</f>
        <v>0</v>
      </c>
      <c r="CK79" s="77">
        <f>$CC$79*VLOOKUP($CC$11,'PCU Values'!$B$9:$C$16,2,FALSE)</f>
        <v>0</v>
      </c>
      <c r="CL79" s="77">
        <f>$CD$79*VLOOKUP($CD$11,'PCU Values'!$B$9:$C$16,2,FALSE)</f>
        <v>1</v>
      </c>
      <c r="CM79" s="77">
        <f>$CE$79*VLOOKUP($CE$11,'PCU Values'!$B$9:$C$16,2,FALSE)</f>
        <v>0</v>
      </c>
      <c r="CN79" s="78">
        <f>$CF$79*VLOOKUP($CF$11,'PCU Values'!$B$9:$C$16,2,FALSE)</f>
        <v>0</v>
      </c>
      <c r="CO79" s="66">
        <f>SUM($CG$79,$CH$79,$CI$79,$CJ$79,$CK$79,$CL$79,$CM$79,$CN$79)</f>
        <v>11.5</v>
      </c>
      <c r="CP79" s="52">
        <f>SUM($BY$79,$BZ$79,$CA$79,$CB$79,$CC$79,$CD$79,$CE$79,$CF$79)</f>
        <v>15</v>
      </c>
      <c r="CQ79" s="89">
        <f>SUM('J1 A - (North) Bishopthorpe Roa'!$AM$79,'J1 B - Butcher Terrace'!$U$79,'J1 C - (South) Bishopthorpe Roa'!$C$79,'J1 D - South Bank Avenue'!$BE$79)</f>
        <v>5</v>
      </c>
      <c r="CR79" s="83">
        <f>SUM('J1 A - (North) Bishopthorpe Roa'!$AN$79,'J1 B - Butcher Terrace'!$V$79,'J1 C - (South) Bishopthorpe Roa'!$D$79,'J1 D - South Bank Avenue'!$BF$79)</f>
        <v>1</v>
      </c>
      <c r="CS79" s="83">
        <f>SUM('J1 A - (North) Bishopthorpe Roa'!$AO$79,'J1 B - Butcher Terrace'!$W$79,'J1 C - (South) Bishopthorpe Roa'!$E$79,'J1 D - South Bank Avenue'!$BG$79)</f>
        <v>1</v>
      </c>
      <c r="CT79" s="83">
        <f>SUM('J1 A - (North) Bishopthorpe Roa'!$AP$79,'J1 B - Butcher Terrace'!$X$79,'J1 C - (South) Bishopthorpe Roa'!$F$79,'J1 D - South Bank Avenue'!$BH$79)</f>
        <v>0</v>
      </c>
      <c r="CU79" s="83">
        <f>SUM('J1 A - (North) Bishopthorpe Roa'!$AQ$79,'J1 B - Butcher Terrace'!$Y$79,'J1 C - (South) Bishopthorpe Roa'!$G$79,'J1 D - South Bank Avenue'!$BI$79)</f>
        <v>0</v>
      </c>
      <c r="CV79" s="83">
        <f>SUM('J1 A - (North) Bishopthorpe Roa'!$AR$79,'J1 B - Butcher Terrace'!$Z$79,'J1 C - (South) Bishopthorpe Roa'!$H$79,'J1 D - South Bank Avenue'!$BJ$79)</f>
        <v>12</v>
      </c>
      <c r="CW79" s="83">
        <f>SUM('J1 A - (North) Bishopthorpe Roa'!$AS$79,'J1 B - Butcher Terrace'!$AA$79,'J1 C - (South) Bishopthorpe Roa'!$I$79,'J1 D - South Bank Avenue'!$BK$79)</f>
        <v>0</v>
      </c>
      <c r="CX79" s="86">
        <f>SUM('J1 A - (North) Bishopthorpe Roa'!$AT$79,'J1 B - Butcher Terrace'!$AB$79,'J1 C - (South) Bishopthorpe Roa'!$J$79,'J1 D - South Bank Avenue'!$BL$79)</f>
        <v>0</v>
      </c>
      <c r="CY79" s="77">
        <f>$CQ$79*VLOOKUP($CQ$11,'PCU Values'!$B$9:$C$16,2,FALSE)</f>
        <v>5</v>
      </c>
      <c r="CZ79" s="77">
        <f>$CR$79*VLOOKUP($CR$11,'PCU Values'!$B$9:$C$16,2,FALSE)</f>
        <v>1</v>
      </c>
      <c r="DA79" s="77">
        <f>$CS$79*VLOOKUP($CS$11,'PCU Values'!$B$9:$C$16,2,FALSE)</f>
        <v>1.5</v>
      </c>
      <c r="DB79" s="77">
        <f>$CT$79*VLOOKUP($CT$11,'PCU Values'!$B$9:$C$16,2,FALSE)</f>
        <v>0</v>
      </c>
      <c r="DC79" s="77">
        <f>$CU$79*VLOOKUP($CU$11,'PCU Values'!$B$9:$C$16,2,FALSE)</f>
        <v>0</v>
      </c>
      <c r="DD79" s="77">
        <f>$CV$79*VLOOKUP($CV$11,'PCU Values'!$B$9:$C$16,2,FALSE)</f>
        <v>2.4</v>
      </c>
      <c r="DE79" s="77">
        <f>$CW$79*VLOOKUP($CW$11,'PCU Values'!$B$9:$C$16,2,FALSE)</f>
        <v>0</v>
      </c>
      <c r="DF79" s="78">
        <f>$CX$79*VLOOKUP($CX$11,'PCU Values'!$B$9:$C$16,2,FALSE)</f>
        <v>0</v>
      </c>
      <c r="DG79" s="66">
        <f>SUM($CY$79,$CZ$79,$DA$79,$DB$79,$DC$79,$DD$79,$DE$79,$DF$79)</f>
        <v>9.9</v>
      </c>
      <c r="DH79" s="52">
        <f>SUM($CQ$79,$CR$79,$CS$79,$CT$79,$CU$79,$CV$79,$CW$79,$CX$79)</f>
        <v>19</v>
      </c>
    </row>
    <row r="80" spans="1:112" ht="21" customHeight="1">
      <c r="A80" s="46">
        <v>44395.572916666701</v>
      </c>
      <c r="B80" s="50" t="s">
        <v>86</v>
      </c>
      <c r="C80" s="51">
        <v>4</v>
      </c>
      <c r="D80" s="51">
        <v>1</v>
      </c>
      <c r="E80" s="51">
        <v>0</v>
      </c>
      <c r="F80" s="51">
        <v>0</v>
      </c>
      <c r="G80" s="51">
        <v>0</v>
      </c>
      <c r="H80" s="51">
        <v>0</v>
      </c>
      <c r="I80" s="51">
        <v>0</v>
      </c>
      <c r="J80" s="59">
        <v>0</v>
      </c>
      <c r="K80" s="60">
        <f>$C$80*VLOOKUP($C$11,'PCU Values'!$B$9:$C$16,2,FALSE)</f>
        <v>4</v>
      </c>
      <c r="L80" s="60">
        <f>$D$80*VLOOKUP($D$11,'PCU Values'!$B$9:$C$16,2,FALSE)</f>
        <v>1</v>
      </c>
      <c r="M80" s="60">
        <f>$E$80*VLOOKUP($E$11,'PCU Values'!$B$9:$C$16,2,FALSE)</f>
        <v>0</v>
      </c>
      <c r="N80" s="60">
        <f>$F$80*VLOOKUP($F$11,'PCU Values'!$B$9:$C$16,2,FALSE)</f>
        <v>0</v>
      </c>
      <c r="O80" s="60">
        <f>$G$80*VLOOKUP($G$11,'PCU Values'!$B$9:$C$16,2,FALSE)</f>
        <v>0</v>
      </c>
      <c r="P80" s="60">
        <f>$H$80*VLOOKUP($H$11,'PCU Values'!$B$9:$C$16,2,FALSE)</f>
        <v>0</v>
      </c>
      <c r="Q80" s="60">
        <f>$I$80*VLOOKUP($I$11,'PCU Values'!$B$9:$C$16,2,FALSE)</f>
        <v>0</v>
      </c>
      <c r="R80" s="68">
        <f>$J$80*VLOOKUP($J$11,'PCU Values'!$B$9:$C$16,2,FALSE)</f>
        <v>0</v>
      </c>
      <c r="S80" s="63">
        <f>SUM($K$80,$L$80,$M$80,$N$80,$O$80,$P$80,$Q$80,$R$80)</f>
        <v>5</v>
      </c>
      <c r="T80" s="52">
        <f>SUM($C$80,$D$80,$E$80,$F$80,$G$80,$H$80,$I$80,$J$80)</f>
        <v>5</v>
      </c>
      <c r="U80" s="73">
        <v>1</v>
      </c>
      <c r="V80" s="51">
        <v>0</v>
      </c>
      <c r="W80" s="51">
        <v>0</v>
      </c>
      <c r="X80" s="51">
        <v>0</v>
      </c>
      <c r="Y80" s="51">
        <v>0</v>
      </c>
      <c r="Z80" s="51">
        <v>6</v>
      </c>
      <c r="AA80" s="51">
        <v>0</v>
      </c>
      <c r="AB80" s="59">
        <v>0</v>
      </c>
      <c r="AC80" s="60">
        <f>$U$80*VLOOKUP($U$11,'PCU Values'!$B$9:$C$16,2,FALSE)</f>
        <v>1</v>
      </c>
      <c r="AD80" s="60">
        <f>$V$80*VLOOKUP($V$11,'PCU Values'!$B$9:$C$16,2,FALSE)</f>
        <v>0</v>
      </c>
      <c r="AE80" s="60">
        <f>$W$80*VLOOKUP($W$11,'PCU Values'!$B$9:$C$16,2,FALSE)</f>
        <v>0</v>
      </c>
      <c r="AF80" s="60">
        <f>$X$80*VLOOKUP($X$11,'PCU Values'!$B$9:$C$16,2,FALSE)</f>
        <v>0</v>
      </c>
      <c r="AG80" s="60">
        <f>$Y$80*VLOOKUP($Y$11,'PCU Values'!$B$9:$C$16,2,FALSE)</f>
        <v>0</v>
      </c>
      <c r="AH80" s="60">
        <f>$Z$80*VLOOKUP($Z$11,'PCU Values'!$B$9:$C$16,2,FALSE)</f>
        <v>1.2</v>
      </c>
      <c r="AI80" s="60">
        <f>$AA$80*VLOOKUP($AA$11,'PCU Values'!$B$9:$C$16,2,FALSE)</f>
        <v>0</v>
      </c>
      <c r="AJ80" s="68">
        <f>$AB$80*VLOOKUP($AB$11,'PCU Values'!$B$9:$C$16,2,FALSE)</f>
        <v>0</v>
      </c>
      <c r="AK80" s="63">
        <f>SUM($AC$80,$AD$80,$AE$80,$AF$80,$AG$80,$AH$80,$AI$80,$AJ$80)</f>
        <v>2.2000000000000002</v>
      </c>
      <c r="AL80" s="52">
        <f>SUM($U$80,$V$80,$W$80,$X$80,$Y$80,$Z$80,$AA$80,$AB$80)</f>
        <v>7</v>
      </c>
      <c r="AM80" s="73">
        <v>1</v>
      </c>
      <c r="AN80" s="51">
        <v>0</v>
      </c>
      <c r="AO80" s="51">
        <v>0</v>
      </c>
      <c r="AP80" s="51">
        <v>0</v>
      </c>
      <c r="AQ80" s="51">
        <v>0</v>
      </c>
      <c r="AR80" s="51">
        <v>0</v>
      </c>
      <c r="AS80" s="51">
        <v>0</v>
      </c>
      <c r="AT80" s="59">
        <v>0</v>
      </c>
      <c r="AU80" s="60">
        <f>$AM$80*VLOOKUP($AM$11,'PCU Values'!$B$9:$C$16,2,FALSE)</f>
        <v>1</v>
      </c>
      <c r="AV80" s="60">
        <f>$AN$80*VLOOKUP($AN$11,'PCU Values'!$B$9:$C$16,2,FALSE)</f>
        <v>0</v>
      </c>
      <c r="AW80" s="60">
        <f>$AO$80*VLOOKUP($AO$11,'PCU Values'!$B$9:$C$16,2,FALSE)</f>
        <v>0</v>
      </c>
      <c r="AX80" s="60">
        <f>$AP$80*VLOOKUP($AP$11,'PCU Values'!$B$9:$C$16,2,FALSE)</f>
        <v>0</v>
      </c>
      <c r="AY80" s="60">
        <f>$AQ$80*VLOOKUP($AQ$11,'PCU Values'!$B$9:$C$16,2,FALSE)</f>
        <v>0</v>
      </c>
      <c r="AZ80" s="60">
        <f>$AR$80*VLOOKUP($AR$11,'PCU Values'!$B$9:$C$16,2,FALSE)</f>
        <v>0</v>
      </c>
      <c r="BA80" s="60">
        <f>$AS$80*VLOOKUP($AS$11,'PCU Values'!$B$9:$C$16,2,FALSE)</f>
        <v>0</v>
      </c>
      <c r="BB80" s="68">
        <f>$AT$80*VLOOKUP($AT$11,'PCU Values'!$B$9:$C$16,2,FALSE)</f>
        <v>0</v>
      </c>
      <c r="BC80" s="63">
        <f>SUM($AU$80,$AV$80,$AW$80,$AX$80,$AY$80,$AZ$80,$BA$80,$BB$80)</f>
        <v>1</v>
      </c>
      <c r="BD80" s="52">
        <f>SUM($AM$80,$AN$80,$AO$80,$AP$80,$AQ$80,$AR$80,$AS$80,$AT$80)</f>
        <v>1</v>
      </c>
      <c r="BE80" s="73">
        <v>0</v>
      </c>
      <c r="BF80" s="51">
        <v>0</v>
      </c>
      <c r="BG80" s="51">
        <v>0</v>
      </c>
      <c r="BH80" s="51">
        <v>0</v>
      </c>
      <c r="BI80" s="51">
        <v>0</v>
      </c>
      <c r="BJ80" s="51">
        <v>0</v>
      </c>
      <c r="BK80" s="51">
        <v>0</v>
      </c>
      <c r="BL80" s="59">
        <v>0</v>
      </c>
      <c r="BM80" s="79">
        <f>$BE$80*VLOOKUP($BE$11,'PCU Values'!$B$9:$C$16,2,FALSE)</f>
        <v>0</v>
      </c>
      <c r="BN80" s="79">
        <f>$BF$80*VLOOKUP($BF$11,'PCU Values'!$B$9:$C$16,2,FALSE)</f>
        <v>0</v>
      </c>
      <c r="BO80" s="79">
        <f>$BG$80*VLOOKUP($BG$11,'PCU Values'!$B$9:$C$16,2,FALSE)</f>
        <v>0</v>
      </c>
      <c r="BP80" s="79">
        <f>$BH$80*VLOOKUP($BH$11,'PCU Values'!$B$9:$C$16,2,FALSE)</f>
        <v>0</v>
      </c>
      <c r="BQ80" s="79">
        <f>$BI$80*VLOOKUP($BI$11,'PCU Values'!$B$9:$C$16,2,FALSE)</f>
        <v>0</v>
      </c>
      <c r="BR80" s="79">
        <f>$BJ$80*VLOOKUP($BJ$11,'PCU Values'!$B$9:$C$16,2,FALSE)</f>
        <v>0</v>
      </c>
      <c r="BS80" s="79">
        <f>$BK$80*VLOOKUP($BK$11,'PCU Values'!$B$9:$C$16,2,FALSE)</f>
        <v>0</v>
      </c>
      <c r="BT80" s="80">
        <f>$BL$80*VLOOKUP($BL$11,'PCU Values'!$B$9:$C$16,2,FALSE)</f>
        <v>0</v>
      </c>
      <c r="BU80" s="63">
        <f>SUM($BM$80,$BN$80,$BO$80,$BP$80,$BQ$80,$BR$80,$BS$80,$BT$80)</f>
        <v>0</v>
      </c>
      <c r="BV80" s="52">
        <f>SUM($BE$80,$BF$80,$BG$80,$BH$80,$BI$80,$BJ$80,$BK$80,$BL$80)</f>
        <v>0</v>
      </c>
      <c r="BX80" s="50" t="s">
        <v>86</v>
      </c>
      <c r="BY80" s="84">
        <f>SUM($C$80,$U$80,$AM$80,$BE$80)</f>
        <v>6</v>
      </c>
      <c r="BZ80" s="84">
        <f>SUM($D$80,$V$80,$AN$80,$BF$80)</f>
        <v>1</v>
      </c>
      <c r="CA80" s="84">
        <f>SUM($E$80,$W$80,$AO$80,$BG$80)</f>
        <v>0</v>
      </c>
      <c r="CB80" s="84">
        <f>SUM($F$80,$X$80,$AP$80,$BH$80)</f>
        <v>0</v>
      </c>
      <c r="CC80" s="84">
        <f>SUM($G$80,$Y$80,$AQ$80,$BI$80)</f>
        <v>0</v>
      </c>
      <c r="CD80" s="84">
        <f>SUM($H$80,$Z$80,$AR$80,$BJ$80)</f>
        <v>6</v>
      </c>
      <c r="CE80" s="84">
        <f>SUM($I$80,$AA$80,$AS$80,$BK$80)</f>
        <v>0</v>
      </c>
      <c r="CF80" s="87">
        <f>SUM($J$80,$AB$80,$AT$80,$BL$80)</f>
        <v>0</v>
      </c>
      <c r="CG80" s="79">
        <f>$BY$80*VLOOKUP($BY$11,'PCU Values'!$B$9:$C$16,2,FALSE)</f>
        <v>6</v>
      </c>
      <c r="CH80" s="79">
        <f>$BZ$80*VLOOKUP($BZ$11,'PCU Values'!$B$9:$C$16,2,FALSE)</f>
        <v>1</v>
      </c>
      <c r="CI80" s="79">
        <f>$CA$80*VLOOKUP($CA$11,'PCU Values'!$B$9:$C$16,2,FALSE)</f>
        <v>0</v>
      </c>
      <c r="CJ80" s="79">
        <f>$CB$80*VLOOKUP($CB$11,'PCU Values'!$B$9:$C$16,2,FALSE)</f>
        <v>0</v>
      </c>
      <c r="CK80" s="79">
        <f>$CC$80*VLOOKUP($CC$11,'PCU Values'!$B$9:$C$16,2,FALSE)</f>
        <v>0</v>
      </c>
      <c r="CL80" s="79">
        <f>$CD$80*VLOOKUP($CD$11,'PCU Values'!$B$9:$C$16,2,FALSE)</f>
        <v>1.2</v>
      </c>
      <c r="CM80" s="79">
        <f>$CE$80*VLOOKUP($CE$11,'PCU Values'!$B$9:$C$16,2,FALSE)</f>
        <v>0</v>
      </c>
      <c r="CN80" s="80">
        <f>$CF$80*VLOOKUP($CF$11,'PCU Values'!$B$9:$C$16,2,FALSE)</f>
        <v>0</v>
      </c>
      <c r="CO80" s="63">
        <f>SUM($CG$80,$CH$80,$CI$80,$CJ$80,$CK$80,$CL$80,$CM$80,$CN$80)</f>
        <v>8.1999999999999993</v>
      </c>
      <c r="CP80" s="52">
        <f>SUM($BY$80,$BZ$80,$CA$80,$CB$80,$CC$80,$CD$80,$CE$80,$CF$80)</f>
        <v>13</v>
      </c>
      <c r="CQ80" s="90">
        <f>SUM('J1 A - (North) Bishopthorpe Roa'!$AM$80,'J1 B - Butcher Terrace'!$U$80,'J1 C - (South) Bishopthorpe Roa'!$C$80,'J1 D - South Bank Avenue'!$BE$80)</f>
        <v>9</v>
      </c>
      <c r="CR80" s="84">
        <f>SUM('J1 A - (North) Bishopthorpe Roa'!$AN$80,'J1 B - Butcher Terrace'!$V$80,'J1 C - (South) Bishopthorpe Roa'!$D$80,'J1 D - South Bank Avenue'!$BF$80)</f>
        <v>1</v>
      </c>
      <c r="CS80" s="84">
        <f>SUM('J1 A - (North) Bishopthorpe Roa'!$AO$80,'J1 B - Butcher Terrace'!$W$80,'J1 C - (South) Bishopthorpe Roa'!$E$80,'J1 D - South Bank Avenue'!$BG$80)</f>
        <v>0</v>
      </c>
      <c r="CT80" s="84">
        <f>SUM('J1 A - (North) Bishopthorpe Roa'!$AP$80,'J1 B - Butcher Terrace'!$X$80,'J1 C - (South) Bishopthorpe Roa'!$F$80,'J1 D - South Bank Avenue'!$BH$80)</f>
        <v>0</v>
      </c>
      <c r="CU80" s="84">
        <f>SUM('J1 A - (North) Bishopthorpe Roa'!$AQ$80,'J1 B - Butcher Terrace'!$Y$80,'J1 C - (South) Bishopthorpe Roa'!$G$80,'J1 D - South Bank Avenue'!$BI$80)</f>
        <v>0</v>
      </c>
      <c r="CV80" s="84">
        <f>SUM('J1 A - (North) Bishopthorpe Roa'!$AR$80,'J1 B - Butcher Terrace'!$Z$80,'J1 C - (South) Bishopthorpe Roa'!$H$80,'J1 D - South Bank Avenue'!$BJ$80)</f>
        <v>3</v>
      </c>
      <c r="CW80" s="84">
        <f>SUM('J1 A - (North) Bishopthorpe Roa'!$AS$80,'J1 B - Butcher Terrace'!$AA$80,'J1 C - (South) Bishopthorpe Roa'!$I$80,'J1 D - South Bank Avenue'!$BK$80)</f>
        <v>0</v>
      </c>
      <c r="CX80" s="87">
        <f>SUM('J1 A - (North) Bishopthorpe Roa'!$AT$80,'J1 B - Butcher Terrace'!$AB$80,'J1 C - (South) Bishopthorpe Roa'!$J$80,'J1 D - South Bank Avenue'!$BL$80)</f>
        <v>0</v>
      </c>
      <c r="CY80" s="79">
        <f>$CQ$80*VLOOKUP($CQ$11,'PCU Values'!$B$9:$C$16,2,FALSE)</f>
        <v>9</v>
      </c>
      <c r="CZ80" s="79">
        <f>$CR$80*VLOOKUP($CR$11,'PCU Values'!$B$9:$C$16,2,FALSE)</f>
        <v>1</v>
      </c>
      <c r="DA80" s="79">
        <f>$CS$80*VLOOKUP($CS$11,'PCU Values'!$B$9:$C$16,2,FALSE)</f>
        <v>0</v>
      </c>
      <c r="DB80" s="79">
        <f>$CT$80*VLOOKUP($CT$11,'PCU Values'!$B$9:$C$16,2,FALSE)</f>
        <v>0</v>
      </c>
      <c r="DC80" s="79">
        <f>$CU$80*VLOOKUP($CU$11,'PCU Values'!$B$9:$C$16,2,FALSE)</f>
        <v>0</v>
      </c>
      <c r="DD80" s="79">
        <f>$CV$80*VLOOKUP($CV$11,'PCU Values'!$B$9:$C$16,2,FALSE)</f>
        <v>0.6</v>
      </c>
      <c r="DE80" s="79">
        <f>$CW$80*VLOOKUP($CW$11,'PCU Values'!$B$9:$C$16,2,FALSE)</f>
        <v>0</v>
      </c>
      <c r="DF80" s="80">
        <f>$CX$80*VLOOKUP($CX$11,'PCU Values'!$B$9:$C$16,2,FALSE)</f>
        <v>0</v>
      </c>
      <c r="DG80" s="63">
        <f>SUM($CY$80,$CZ$80,$DA$80,$DB$80,$DC$80,$DD$80,$DE$80,$DF$80)</f>
        <v>10.6</v>
      </c>
      <c r="DH80" s="52">
        <f>SUM($CQ$80,$CR$80,$CS$80,$CT$80,$CU$80,$CV$80,$CW$80,$CX$80)</f>
        <v>13</v>
      </c>
    </row>
    <row r="81" spans="1:112">
      <c r="B81" s="52" t="s">
        <v>34</v>
      </c>
      <c r="C81" s="52">
        <f>SUM($C$77:$C$80)</f>
        <v>21</v>
      </c>
      <c r="D81" s="52">
        <f>SUM($D$77:$D$80)</f>
        <v>1</v>
      </c>
      <c r="E81" s="52">
        <f>SUM($E$77:$E$80)</f>
        <v>3</v>
      </c>
      <c r="F81" s="52">
        <f>SUM($F$77:$F$80)</f>
        <v>0</v>
      </c>
      <c r="G81" s="52">
        <f>SUM($G$77:$G$80)</f>
        <v>0</v>
      </c>
      <c r="H81" s="52">
        <f>SUM($H$77:$H$80)</f>
        <v>2</v>
      </c>
      <c r="I81" s="52">
        <f>SUM($I$77:$I$80)</f>
        <v>1</v>
      </c>
      <c r="J81" s="52">
        <f>SUM($J$77:$J$80)</f>
        <v>0</v>
      </c>
      <c r="K81" s="52">
        <f>SUM($K$77:$K$80)</f>
        <v>21</v>
      </c>
      <c r="L81" s="52">
        <f>SUM($L$77:$L$80)</f>
        <v>1</v>
      </c>
      <c r="M81" s="52">
        <f>SUM($M$77:$M$80)</f>
        <v>5</v>
      </c>
      <c r="N81" s="52">
        <f>SUM($N$77:$N$80)</f>
        <v>0</v>
      </c>
      <c r="O81" s="52">
        <f>SUM($O$77:$O$80)</f>
        <v>0</v>
      </c>
      <c r="P81" s="52">
        <f>SUM($P$77:$P$80)</f>
        <v>0</v>
      </c>
      <c r="Q81" s="52">
        <f>SUM($Q$77:$Q$80)</f>
        <v>0</v>
      </c>
      <c r="R81" s="52">
        <f>SUM($R$77:$R$80)</f>
        <v>0</v>
      </c>
      <c r="S81" s="52">
        <f>SUM($K$81,$L$81,$M$81,$N$81,$O$81,$P$81,$Q$81,$R$81)</f>
        <v>27</v>
      </c>
      <c r="T81" s="52">
        <f>SUM($C$81,$D$81,$E$81,$F$81,$G$81,$H$81,$I$81,$J$81)</f>
        <v>28</v>
      </c>
      <c r="U81" s="52">
        <f>SUM($U$77:$U$80)</f>
        <v>4</v>
      </c>
      <c r="V81" s="52">
        <f>SUM($V$77:$V$80)</f>
        <v>0</v>
      </c>
      <c r="W81" s="52">
        <f>SUM($W$77:$W$80)</f>
        <v>0</v>
      </c>
      <c r="X81" s="52">
        <f>SUM($X$77:$X$80)</f>
        <v>0</v>
      </c>
      <c r="Y81" s="52">
        <f>SUM($Y$77:$Y$80)</f>
        <v>0</v>
      </c>
      <c r="Z81" s="52">
        <f>SUM($Z$77:$Z$80)</f>
        <v>17</v>
      </c>
      <c r="AA81" s="52">
        <f>SUM($AA$77:$AA$80)</f>
        <v>0</v>
      </c>
      <c r="AB81" s="52">
        <f>SUM($AB$77:$AB$80)</f>
        <v>0</v>
      </c>
      <c r="AC81" s="52">
        <f>SUM($AC$77:$AC$80)</f>
        <v>4</v>
      </c>
      <c r="AD81" s="52">
        <f>SUM($AD$77:$AD$80)</f>
        <v>0</v>
      </c>
      <c r="AE81" s="52">
        <f>SUM($AE$77:$AE$80)</f>
        <v>0</v>
      </c>
      <c r="AF81" s="52">
        <f>SUM($AF$77:$AF$80)</f>
        <v>0</v>
      </c>
      <c r="AG81" s="52">
        <f>SUM($AG$77:$AG$80)</f>
        <v>0</v>
      </c>
      <c r="AH81" s="52">
        <f>SUM($AH$77:$AH$80)</f>
        <v>3</v>
      </c>
      <c r="AI81" s="52">
        <f>SUM($AI$77:$AI$80)</f>
        <v>0</v>
      </c>
      <c r="AJ81" s="52">
        <f>SUM($AJ$77:$AJ$80)</f>
        <v>0</v>
      </c>
      <c r="AK81" s="52">
        <f>SUM($AC$81,$AD$81,$AE$81,$AF$81,$AG$81,$AH$81,$AI$81,$AJ$81)</f>
        <v>7</v>
      </c>
      <c r="AL81" s="52">
        <f>SUM($U$81,$V$81,$W$81,$X$81,$Y$81,$Z$81,$AA$81,$AB$81)</f>
        <v>21</v>
      </c>
      <c r="AM81" s="52">
        <f>SUM($AM$77:$AM$80)</f>
        <v>10</v>
      </c>
      <c r="AN81" s="52">
        <f>SUM($AN$77:$AN$80)</f>
        <v>3</v>
      </c>
      <c r="AO81" s="52">
        <f>SUM($AO$77:$AO$80)</f>
        <v>1</v>
      </c>
      <c r="AP81" s="52">
        <f>SUM($AP$77:$AP$80)</f>
        <v>0</v>
      </c>
      <c r="AQ81" s="52">
        <f>SUM($AQ$77:$AQ$80)</f>
        <v>0</v>
      </c>
      <c r="AR81" s="52">
        <f>SUM($AR$77:$AR$80)</f>
        <v>0</v>
      </c>
      <c r="AS81" s="52">
        <f>SUM($AS$77:$AS$80)</f>
        <v>0</v>
      </c>
      <c r="AT81" s="52">
        <f>SUM($AT$77:$AT$80)</f>
        <v>0</v>
      </c>
      <c r="AU81" s="52">
        <f>SUM($AU$77:$AU$80)</f>
        <v>10</v>
      </c>
      <c r="AV81" s="52">
        <f>SUM($AV$77:$AV$80)</f>
        <v>3</v>
      </c>
      <c r="AW81" s="52">
        <f>SUM($AW$77:$AW$80)</f>
        <v>2</v>
      </c>
      <c r="AX81" s="52">
        <f>SUM($AX$77:$AX$80)</f>
        <v>0</v>
      </c>
      <c r="AY81" s="52">
        <f>SUM($AY$77:$AY$80)</f>
        <v>0</v>
      </c>
      <c r="AZ81" s="52">
        <f>SUM($AZ$77:$AZ$80)</f>
        <v>0</v>
      </c>
      <c r="BA81" s="52">
        <f>SUM($BA$77:$BA$80)</f>
        <v>0</v>
      </c>
      <c r="BB81" s="52">
        <f>SUM($BB$77:$BB$80)</f>
        <v>0</v>
      </c>
      <c r="BC81" s="52">
        <f>SUM($AU$81,$AV$81,$AW$81,$AX$81,$AY$81,$AZ$81,$BA$81,$BB$81)</f>
        <v>15</v>
      </c>
      <c r="BD81" s="52">
        <f>SUM($AM$81,$AN$81,$AO$81,$AP$81,$AQ$81,$AR$81,$AS$81,$AT$81)</f>
        <v>14</v>
      </c>
      <c r="BE81" s="52">
        <f>SUM($BE$77:$BE$80)</f>
        <v>0</v>
      </c>
      <c r="BF81" s="52">
        <f>SUM($BF$77:$BF$80)</f>
        <v>0</v>
      </c>
      <c r="BG81" s="52">
        <f>SUM($BG$77:$BG$80)</f>
        <v>0</v>
      </c>
      <c r="BH81" s="52">
        <f>SUM($BH$77:$BH$80)</f>
        <v>0</v>
      </c>
      <c r="BI81" s="52">
        <f>SUM($BI$77:$BI$80)</f>
        <v>0</v>
      </c>
      <c r="BJ81" s="52">
        <f>SUM($BJ$77:$BJ$80)</f>
        <v>0</v>
      </c>
      <c r="BK81" s="52">
        <f>SUM($BK$77:$BK$80)</f>
        <v>0</v>
      </c>
      <c r="BL81" s="52">
        <f>SUM($BL$77:$BL$80)</f>
        <v>0</v>
      </c>
      <c r="BM81" s="52">
        <f>SUM($BM$77:$BM$80)</f>
        <v>0</v>
      </c>
      <c r="BN81" s="52">
        <f>SUM($BN$77:$BN$80)</f>
        <v>0</v>
      </c>
      <c r="BO81" s="52">
        <f>SUM($BO$77:$BO$80)</f>
        <v>0</v>
      </c>
      <c r="BP81" s="52">
        <f>SUM($BP$77:$BP$80)</f>
        <v>0</v>
      </c>
      <c r="BQ81" s="52">
        <f>SUM($BQ$77:$BQ$80)</f>
        <v>0</v>
      </c>
      <c r="BR81" s="52">
        <f>SUM($BR$77:$BR$80)</f>
        <v>0</v>
      </c>
      <c r="BS81" s="52">
        <f>SUM($BS$77:$BS$80)</f>
        <v>0</v>
      </c>
      <c r="BT81" s="52">
        <f>SUM($BT$77:$BT$80)</f>
        <v>0</v>
      </c>
      <c r="BU81" s="52">
        <f>SUM($BM$81,$BN$81,$BO$81,$BP$81,$BQ$81,$BR$81,$BS$81,$BT$81)</f>
        <v>0</v>
      </c>
      <c r="BV81" s="52">
        <f>SUM($BE$81,$BF$81,$BG$81,$BH$81,$BI$81,$BJ$81,$BK$81,$BL$81)</f>
        <v>0</v>
      </c>
      <c r="BX81" s="52" t="s">
        <v>34</v>
      </c>
      <c r="BY81" s="52">
        <f>SUM($BY$77:$BY$80)</f>
        <v>35</v>
      </c>
      <c r="BZ81" s="52">
        <f>SUM($BZ$77:$BZ$80)</f>
        <v>4</v>
      </c>
      <c r="CA81" s="52">
        <f>SUM($CA$77:$CA$80)</f>
        <v>4</v>
      </c>
      <c r="CB81" s="52">
        <f>SUM($CB$77:$CB$80)</f>
        <v>0</v>
      </c>
      <c r="CC81" s="52">
        <f>SUM($CC$77:$CC$80)</f>
        <v>0</v>
      </c>
      <c r="CD81" s="52">
        <f>SUM($CD$77:$CD$80)</f>
        <v>19</v>
      </c>
      <c r="CE81" s="52">
        <f>SUM($CE$77:$CE$80)</f>
        <v>1</v>
      </c>
      <c r="CF81" s="52">
        <f>SUM($CF$77:$CF$80)</f>
        <v>0</v>
      </c>
      <c r="CG81" s="52">
        <f>SUM($CG$77:$CG$80)</f>
        <v>35</v>
      </c>
      <c r="CH81" s="52">
        <f>SUM($CH$77:$CH$80)</f>
        <v>4</v>
      </c>
      <c r="CI81" s="52">
        <f>SUM($CI$77:$CI$80)</f>
        <v>6</v>
      </c>
      <c r="CJ81" s="52">
        <f>SUM($CJ$77:$CJ$80)</f>
        <v>0</v>
      </c>
      <c r="CK81" s="52">
        <f>SUM($CK$77:$CK$80)</f>
        <v>0</v>
      </c>
      <c r="CL81" s="52">
        <f>SUM($CL$77:$CL$80)</f>
        <v>4</v>
      </c>
      <c r="CM81" s="52">
        <f>SUM($CM$77:$CM$80)</f>
        <v>0</v>
      </c>
      <c r="CN81" s="52">
        <f>SUM($CN$77:$CN$80)</f>
        <v>0</v>
      </c>
      <c r="CO81" s="52">
        <f>SUM($CG$81,$CH$81,$CI$81,$CJ$81,$CK$81,$CL$81,$CM$81,$CN$81)</f>
        <v>49</v>
      </c>
      <c r="CP81" s="52">
        <f>SUM($BY$81,$BZ$81,$CA$81,$CB$81,$CC$81,$CD$81,$CE$81,$CF$81)</f>
        <v>63</v>
      </c>
      <c r="CQ81" s="52">
        <f>SUM($CQ$77:$CQ$80)</f>
        <v>29</v>
      </c>
      <c r="CR81" s="52">
        <f>SUM($CR$77:$CR$80)</f>
        <v>7</v>
      </c>
      <c r="CS81" s="52">
        <f>SUM($CS$77:$CS$80)</f>
        <v>1</v>
      </c>
      <c r="CT81" s="52">
        <f>SUM($CT$77:$CT$80)</f>
        <v>0</v>
      </c>
      <c r="CU81" s="52">
        <f>SUM($CU$77:$CU$80)</f>
        <v>0</v>
      </c>
      <c r="CV81" s="52">
        <f>SUM($CV$77:$CV$80)</f>
        <v>31</v>
      </c>
      <c r="CW81" s="52">
        <f>SUM($CW$77:$CW$80)</f>
        <v>1</v>
      </c>
      <c r="CX81" s="52">
        <f>SUM($CX$77:$CX$80)</f>
        <v>0</v>
      </c>
      <c r="CY81" s="52">
        <f>SUM($CY$77:$CY$80)</f>
        <v>29</v>
      </c>
      <c r="CZ81" s="52">
        <f>SUM($CZ$77:$CZ$80)</f>
        <v>7</v>
      </c>
      <c r="DA81" s="52">
        <f>SUM($DA$77:$DA$80)</f>
        <v>2</v>
      </c>
      <c r="DB81" s="52">
        <f>SUM($DB$77:$DB$80)</f>
        <v>0</v>
      </c>
      <c r="DC81" s="52">
        <f>SUM($DC$77:$DC$80)</f>
        <v>0</v>
      </c>
      <c r="DD81" s="52">
        <f>SUM($DD$77:$DD$80)</f>
        <v>6</v>
      </c>
      <c r="DE81" s="52">
        <f>SUM($DE$77:$DE$80)</f>
        <v>0</v>
      </c>
      <c r="DF81" s="52">
        <f>SUM($DF$77:$DF$80)</f>
        <v>0</v>
      </c>
      <c r="DG81" s="52">
        <f>SUM($CY$81,$CZ$81,$DA$81,$DB$81,$DC$81,$DD$81,$DE$81,$DF$81)</f>
        <v>44</v>
      </c>
      <c r="DH81" s="52">
        <f>SUM($CQ$81,$CR$81,$CS$81,$CT$81,$CU$81,$CV$81,$CW$81,$CX$81)</f>
        <v>69</v>
      </c>
    </row>
    <row r="82" spans="1:112" ht="21" customHeight="1">
      <c r="A82" s="46">
        <v>44395.583333333299</v>
      </c>
      <c r="B82" s="53" t="s">
        <v>87</v>
      </c>
      <c r="C82" s="54">
        <v>6</v>
      </c>
      <c r="D82" s="54">
        <v>1</v>
      </c>
      <c r="E82" s="54">
        <v>0</v>
      </c>
      <c r="F82" s="54">
        <v>0</v>
      </c>
      <c r="G82" s="54">
        <v>0</v>
      </c>
      <c r="H82" s="54">
        <v>0</v>
      </c>
      <c r="I82" s="54">
        <v>0</v>
      </c>
      <c r="J82" s="61">
        <v>0</v>
      </c>
      <c r="K82" s="62">
        <f>$C$82*VLOOKUP($C$11,'PCU Values'!$B$9:$C$16,2,FALSE)</f>
        <v>6</v>
      </c>
      <c r="L82" s="62">
        <f>$D$82*VLOOKUP($D$11,'PCU Values'!$B$9:$C$16,2,FALSE)</f>
        <v>1</v>
      </c>
      <c r="M82" s="62">
        <f>$E$82*VLOOKUP($E$11,'PCU Values'!$B$9:$C$16,2,FALSE)</f>
        <v>0</v>
      </c>
      <c r="N82" s="62">
        <f>$F$82*VLOOKUP($F$11,'PCU Values'!$B$9:$C$16,2,FALSE)</f>
        <v>0</v>
      </c>
      <c r="O82" s="62">
        <f>$G$82*VLOOKUP($G$11,'PCU Values'!$B$9:$C$16,2,FALSE)</f>
        <v>0</v>
      </c>
      <c r="P82" s="62">
        <f>$H$82*VLOOKUP($H$11,'PCU Values'!$B$9:$C$16,2,FALSE)</f>
        <v>0</v>
      </c>
      <c r="Q82" s="62">
        <f>$I$82*VLOOKUP($I$11,'PCU Values'!$B$9:$C$16,2,FALSE)</f>
        <v>0</v>
      </c>
      <c r="R82" s="70">
        <f>$J$82*VLOOKUP($J$11,'PCU Values'!$B$9:$C$16,2,FALSE)</f>
        <v>0</v>
      </c>
      <c r="S82" s="71">
        <f>SUM($K$82,$L$82,$M$82,$N$82,$O$82,$P$82,$Q$82,$R$82)</f>
        <v>7</v>
      </c>
      <c r="T82" s="52">
        <f>SUM($C$82,$D$82,$E$82,$F$82,$G$82,$H$82,$I$82,$J$82)</f>
        <v>7</v>
      </c>
      <c r="U82" s="72">
        <v>0</v>
      </c>
      <c r="V82" s="54">
        <v>0</v>
      </c>
      <c r="W82" s="54">
        <v>0</v>
      </c>
      <c r="X82" s="54">
        <v>0</v>
      </c>
      <c r="Y82" s="54">
        <v>0</v>
      </c>
      <c r="Z82" s="54">
        <v>3</v>
      </c>
      <c r="AA82" s="54">
        <v>0</v>
      </c>
      <c r="AB82" s="61">
        <v>0</v>
      </c>
      <c r="AC82" s="62">
        <f>$U$82*VLOOKUP($U$11,'PCU Values'!$B$9:$C$16,2,FALSE)</f>
        <v>0</v>
      </c>
      <c r="AD82" s="62">
        <f>$V$82*VLOOKUP($V$11,'PCU Values'!$B$9:$C$16,2,FALSE)</f>
        <v>0</v>
      </c>
      <c r="AE82" s="62">
        <f>$W$82*VLOOKUP($W$11,'PCU Values'!$B$9:$C$16,2,FALSE)</f>
        <v>0</v>
      </c>
      <c r="AF82" s="62">
        <f>$X$82*VLOOKUP($X$11,'PCU Values'!$B$9:$C$16,2,FALSE)</f>
        <v>0</v>
      </c>
      <c r="AG82" s="62">
        <f>$Y$82*VLOOKUP($Y$11,'PCU Values'!$B$9:$C$16,2,FALSE)</f>
        <v>0</v>
      </c>
      <c r="AH82" s="62">
        <f>$Z$82*VLOOKUP($Z$11,'PCU Values'!$B$9:$C$16,2,FALSE)</f>
        <v>0.6</v>
      </c>
      <c r="AI82" s="62">
        <f>$AA$82*VLOOKUP($AA$11,'PCU Values'!$B$9:$C$16,2,FALSE)</f>
        <v>0</v>
      </c>
      <c r="AJ82" s="70">
        <f>$AB$82*VLOOKUP($AB$11,'PCU Values'!$B$9:$C$16,2,FALSE)</f>
        <v>0</v>
      </c>
      <c r="AK82" s="71">
        <f>SUM($AC$82,$AD$82,$AE$82,$AF$82,$AG$82,$AH$82,$AI$82,$AJ$82)</f>
        <v>0.6</v>
      </c>
      <c r="AL82" s="52">
        <f>SUM($U$82,$V$82,$W$82,$X$82,$Y$82,$Z$82,$AA$82,$AB$82)</f>
        <v>3</v>
      </c>
      <c r="AM82" s="72">
        <v>3</v>
      </c>
      <c r="AN82" s="54">
        <v>0</v>
      </c>
      <c r="AO82" s="54">
        <v>0</v>
      </c>
      <c r="AP82" s="54">
        <v>0</v>
      </c>
      <c r="AQ82" s="54">
        <v>0</v>
      </c>
      <c r="AR82" s="54">
        <v>0</v>
      </c>
      <c r="AS82" s="54">
        <v>0</v>
      </c>
      <c r="AT82" s="61">
        <v>0</v>
      </c>
      <c r="AU82" s="62">
        <f>$AM$82*VLOOKUP($AM$11,'PCU Values'!$B$9:$C$16,2,FALSE)</f>
        <v>3</v>
      </c>
      <c r="AV82" s="62">
        <f>$AN$82*VLOOKUP($AN$11,'PCU Values'!$B$9:$C$16,2,FALSE)</f>
        <v>0</v>
      </c>
      <c r="AW82" s="62">
        <f>$AO$82*VLOOKUP($AO$11,'PCU Values'!$B$9:$C$16,2,FALSE)</f>
        <v>0</v>
      </c>
      <c r="AX82" s="62">
        <f>$AP$82*VLOOKUP($AP$11,'PCU Values'!$B$9:$C$16,2,FALSE)</f>
        <v>0</v>
      </c>
      <c r="AY82" s="62">
        <f>$AQ$82*VLOOKUP($AQ$11,'PCU Values'!$B$9:$C$16,2,FALSE)</f>
        <v>0</v>
      </c>
      <c r="AZ82" s="62">
        <f>$AR$82*VLOOKUP($AR$11,'PCU Values'!$B$9:$C$16,2,FALSE)</f>
        <v>0</v>
      </c>
      <c r="BA82" s="62">
        <f>$AS$82*VLOOKUP($AS$11,'PCU Values'!$B$9:$C$16,2,FALSE)</f>
        <v>0</v>
      </c>
      <c r="BB82" s="70">
        <f>$AT$82*VLOOKUP($AT$11,'PCU Values'!$B$9:$C$16,2,FALSE)</f>
        <v>0</v>
      </c>
      <c r="BC82" s="71">
        <f>SUM($AU$82,$AV$82,$AW$82,$AX$82,$AY$82,$AZ$82,$BA$82,$BB$82)</f>
        <v>3</v>
      </c>
      <c r="BD82" s="52">
        <f>SUM($AM$82,$AN$82,$AO$82,$AP$82,$AQ$82,$AR$82,$AS$82,$AT$82)</f>
        <v>3</v>
      </c>
      <c r="BE82" s="74">
        <v>0</v>
      </c>
      <c r="BF82" s="54">
        <v>0</v>
      </c>
      <c r="BG82" s="54">
        <v>0</v>
      </c>
      <c r="BH82" s="54">
        <v>0</v>
      </c>
      <c r="BI82" s="54">
        <v>0</v>
      </c>
      <c r="BJ82" s="54">
        <v>0</v>
      </c>
      <c r="BK82" s="54">
        <v>0</v>
      </c>
      <c r="BL82" s="61">
        <v>0</v>
      </c>
      <c r="BM82" s="81">
        <f>$BE$82*VLOOKUP($BE$11,'PCU Values'!$B$9:$C$16,2,FALSE)</f>
        <v>0</v>
      </c>
      <c r="BN82" s="81">
        <f>$BF$82*VLOOKUP($BF$11,'PCU Values'!$B$9:$C$16,2,FALSE)</f>
        <v>0</v>
      </c>
      <c r="BO82" s="81">
        <f>$BG$82*VLOOKUP($BG$11,'PCU Values'!$B$9:$C$16,2,FALSE)</f>
        <v>0</v>
      </c>
      <c r="BP82" s="81">
        <f>$BH$82*VLOOKUP($BH$11,'PCU Values'!$B$9:$C$16,2,FALSE)</f>
        <v>0</v>
      </c>
      <c r="BQ82" s="81">
        <f>$BI$82*VLOOKUP($BI$11,'PCU Values'!$B$9:$C$16,2,FALSE)</f>
        <v>0</v>
      </c>
      <c r="BR82" s="81">
        <f>$BJ$82*VLOOKUP($BJ$11,'PCU Values'!$B$9:$C$16,2,FALSE)</f>
        <v>0</v>
      </c>
      <c r="BS82" s="81">
        <f>$BK$82*VLOOKUP($BK$11,'PCU Values'!$B$9:$C$16,2,FALSE)</f>
        <v>0</v>
      </c>
      <c r="BT82" s="82">
        <f>$BL$82*VLOOKUP($BL$11,'PCU Values'!$B$9:$C$16,2,FALSE)</f>
        <v>0</v>
      </c>
      <c r="BU82" s="71">
        <f>SUM($BM$82,$BN$82,$BO$82,$BP$82,$BQ$82,$BR$82,$BS$82,$BT$82)</f>
        <v>0</v>
      </c>
      <c r="BV82" s="52">
        <f>SUM($BE$82,$BF$82,$BG$82,$BH$82,$BI$82,$BJ$82,$BK$82,$BL$82)</f>
        <v>0</v>
      </c>
      <c r="BX82" s="53" t="s">
        <v>87</v>
      </c>
      <c r="BY82" s="85">
        <f>SUM($C$82,$U$82,$AM$82,$BE$82)</f>
        <v>9</v>
      </c>
      <c r="BZ82" s="85">
        <f>SUM($D$82,$V$82,$AN$82,$BF$82)</f>
        <v>1</v>
      </c>
      <c r="CA82" s="85">
        <f>SUM($E$82,$W$82,$AO$82,$BG$82)</f>
        <v>0</v>
      </c>
      <c r="CB82" s="85">
        <f>SUM($F$82,$X$82,$AP$82,$BH$82)</f>
        <v>0</v>
      </c>
      <c r="CC82" s="85">
        <f>SUM($G$82,$Y$82,$AQ$82,$BI$82)</f>
        <v>0</v>
      </c>
      <c r="CD82" s="85">
        <f>SUM($H$82,$Z$82,$AR$82,$BJ$82)</f>
        <v>3</v>
      </c>
      <c r="CE82" s="85">
        <f>SUM($I$82,$AA$82,$AS$82,$BK$82)</f>
        <v>0</v>
      </c>
      <c r="CF82" s="88">
        <f>SUM($J$82,$AB$82,$AT$82,$BL$82)</f>
        <v>0</v>
      </c>
      <c r="CG82" s="81">
        <f>$BY$82*VLOOKUP($BY$11,'PCU Values'!$B$9:$C$16,2,FALSE)</f>
        <v>9</v>
      </c>
      <c r="CH82" s="81">
        <f>$BZ$82*VLOOKUP($BZ$11,'PCU Values'!$B$9:$C$16,2,FALSE)</f>
        <v>1</v>
      </c>
      <c r="CI82" s="81">
        <f>$CA$82*VLOOKUP($CA$11,'PCU Values'!$B$9:$C$16,2,FALSE)</f>
        <v>0</v>
      </c>
      <c r="CJ82" s="81">
        <f>$CB$82*VLOOKUP($CB$11,'PCU Values'!$B$9:$C$16,2,FALSE)</f>
        <v>0</v>
      </c>
      <c r="CK82" s="81">
        <f>$CC$82*VLOOKUP($CC$11,'PCU Values'!$B$9:$C$16,2,FALSE)</f>
        <v>0</v>
      </c>
      <c r="CL82" s="81">
        <f>$CD$82*VLOOKUP($CD$11,'PCU Values'!$B$9:$C$16,2,FALSE)</f>
        <v>0.6</v>
      </c>
      <c r="CM82" s="81">
        <f>$CE$82*VLOOKUP($CE$11,'PCU Values'!$B$9:$C$16,2,FALSE)</f>
        <v>0</v>
      </c>
      <c r="CN82" s="82">
        <f>$CF$82*VLOOKUP($CF$11,'PCU Values'!$B$9:$C$16,2,FALSE)</f>
        <v>0</v>
      </c>
      <c r="CO82" s="71">
        <f>SUM($CG$82,$CH$82,$CI$82,$CJ$82,$CK$82,$CL$82,$CM$82,$CN$82)</f>
        <v>10.6</v>
      </c>
      <c r="CP82" s="52">
        <f>SUM($BY$82,$BZ$82,$CA$82,$CB$82,$CC$82,$CD$82,$CE$82,$CF$82)</f>
        <v>13</v>
      </c>
      <c r="CQ82" s="91">
        <f>SUM('J1 A - (North) Bishopthorpe Roa'!$AM$82,'J1 B - Butcher Terrace'!$U$82,'J1 C - (South) Bishopthorpe Roa'!$C$82,'J1 D - South Bank Avenue'!$BE$82)</f>
        <v>8</v>
      </c>
      <c r="CR82" s="85">
        <f>SUM('J1 A - (North) Bishopthorpe Roa'!$AN$82,'J1 B - Butcher Terrace'!$V$82,'J1 C - (South) Bishopthorpe Roa'!$D$82,'J1 D - South Bank Avenue'!$BF$82)</f>
        <v>1</v>
      </c>
      <c r="CS82" s="85">
        <f>SUM('J1 A - (North) Bishopthorpe Roa'!$AO$82,'J1 B - Butcher Terrace'!$W$82,'J1 C - (South) Bishopthorpe Roa'!$E$82,'J1 D - South Bank Avenue'!$BG$82)</f>
        <v>0</v>
      </c>
      <c r="CT82" s="85">
        <f>SUM('J1 A - (North) Bishopthorpe Roa'!$AP$82,'J1 B - Butcher Terrace'!$X$82,'J1 C - (South) Bishopthorpe Roa'!$F$82,'J1 D - South Bank Avenue'!$BH$82)</f>
        <v>0</v>
      </c>
      <c r="CU82" s="85">
        <f>SUM('J1 A - (North) Bishopthorpe Roa'!$AQ$82,'J1 B - Butcher Terrace'!$Y$82,'J1 C - (South) Bishopthorpe Roa'!$G$82,'J1 D - South Bank Avenue'!$BI$82)</f>
        <v>0</v>
      </c>
      <c r="CV82" s="85">
        <f>SUM('J1 A - (North) Bishopthorpe Roa'!$AR$82,'J1 B - Butcher Terrace'!$Z$82,'J1 C - (South) Bishopthorpe Roa'!$H$82,'J1 D - South Bank Avenue'!$BJ$82)</f>
        <v>10</v>
      </c>
      <c r="CW82" s="85">
        <f>SUM('J1 A - (North) Bishopthorpe Roa'!$AS$82,'J1 B - Butcher Terrace'!$AA$82,'J1 C - (South) Bishopthorpe Roa'!$I$82,'J1 D - South Bank Avenue'!$BK$82)</f>
        <v>1</v>
      </c>
      <c r="CX82" s="88">
        <f>SUM('J1 A - (North) Bishopthorpe Roa'!$AT$82,'J1 B - Butcher Terrace'!$AB$82,'J1 C - (South) Bishopthorpe Roa'!$J$82,'J1 D - South Bank Avenue'!$BL$82)</f>
        <v>0</v>
      </c>
      <c r="CY82" s="81">
        <f>$CQ$82*VLOOKUP($CQ$11,'PCU Values'!$B$9:$C$16,2,FALSE)</f>
        <v>8</v>
      </c>
      <c r="CZ82" s="81">
        <f>$CR$82*VLOOKUP($CR$11,'PCU Values'!$B$9:$C$16,2,FALSE)</f>
        <v>1</v>
      </c>
      <c r="DA82" s="81">
        <f>$CS$82*VLOOKUP($CS$11,'PCU Values'!$B$9:$C$16,2,FALSE)</f>
        <v>0</v>
      </c>
      <c r="DB82" s="81">
        <f>$CT$82*VLOOKUP($CT$11,'PCU Values'!$B$9:$C$16,2,FALSE)</f>
        <v>0</v>
      </c>
      <c r="DC82" s="81">
        <f>$CU$82*VLOOKUP($CU$11,'PCU Values'!$B$9:$C$16,2,FALSE)</f>
        <v>0</v>
      </c>
      <c r="DD82" s="81">
        <f>$CV$82*VLOOKUP($CV$11,'PCU Values'!$B$9:$C$16,2,FALSE)</f>
        <v>2</v>
      </c>
      <c r="DE82" s="81">
        <f>$CW$82*VLOOKUP($CW$11,'PCU Values'!$B$9:$C$16,2,FALSE)</f>
        <v>0.4</v>
      </c>
      <c r="DF82" s="82">
        <f>$CX$82*VLOOKUP($CX$11,'PCU Values'!$B$9:$C$16,2,FALSE)</f>
        <v>0</v>
      </c>
      <c r="DG82" s="71">
        <f>SUM($CY$82,$CZ$82,$DA$82,$DB$82,$DC$82,$DD$82,$DE$82,$DF$82)</f>
        <v>11.4</v>
      </c>
      <c r="DH82" s="52">
        <f>SUM($CQ$82,$CR$82,$CS$82,$CT$82,$CU$82,$CV$82,$CW$82,$CX$82)</f>
        <v>20</v>
      </c>
    </row>
    <row r="83" spans="1:112" ht="21" customHeight="1">
      <c r="A83" s="46">
        <v>44395.59375</v>
      </c>
      <c r="B83" s="47" t="s">
        <v>88</v>
      </c>
      <c r="C83" s="48">
        <v>6</v>
      </c>
      <c r="D83" s="48">
        <v>1</v>
      </c>
      <c r="E83" s="48">
        <v>0</v>
      </c>
      <c r="F83" s="48">
        <v>0</v>
      </c>
      <c r="G83" s="48">
        <v>0</v>
      </c>
      <c r="H83" s="48">
        <v>0</v>
      </c>
      <c r="I83" s="48">
        <v>1</v>
      </c>
      <c r="J83" s="56">
        <v>0</v>
      </c>
      <c r="K83" s="57">
        <f>$C$83*VLOOKUP($C$11,'PCU Values'!$B$9:$C$16,2,FALSE)</f>
        <v>6</v>
      </c>
      <c r="L83" s="57">
        <f>$D$83*VLOOKUP($D$11,'PCU Values'!$B$9:$C$16,2,FALSE)</f>
        <v>1</v>
      </c>
      <c r="M83" s="57">
        <f>$E$83*VLOOKUP($E$11,'PCU Values'!$B$9:$C$16,2,FALSE)</f>
        <v>0</v>
      </c>
      <c r="N83" s="57">
        <f>$F$83*VLOOKUP($F$11,'PCU Values'!$B$9:$C$16,2,FALSE)</f>
        <v>0</v>
      </c>
      <c r="O83" s="57">
        <f>$G$83*VLOOKUP($G$11,'PCU Values'!$B$9:$C$16,2,FALSE)</f>
        <v>0</v>
      </c>
      <c r="P83" s="57">
        <f>$H$83*VLOOKUP($H$11,'PCU Values'!$B$9:$C$16,2,FALSE)</f>
        <v>0</v>
      </c>
      <c r="Q83" s="57">
        <f>$I$83*VLOOKUP($I$11,'PCU Values'!$B$9:$C$16,2,FALSE)</f>
        <v>0.4</v>
      </c>
      <c r="R83" s="65">
        <f>$J$83*VLOOKUP($J$11,'PCU Values'!$B$9:$C$16,2,FALSE)</f>
        <v>0</v>
      </c>
      <c r="S83" s="66">
        <f>SUM($K$83,$L$83,$M$83,$N$83,$O$83,$P$83,$Q$83,$R$83)</f>
        <v>7.4</v>
      </c>
      <c r="T83" s="52">
        <f>SUM($C$83,$D$83,$E$83,$F$83,$G$83,$H$83,$I$83,$J$83)</f>
        <v>8</v>
      </c>
      <c r="U83" s="67">
        <v>0</v>
      </c>
      <c r="V83" s="48">
        <v>0</v>
      </c>
      <c r="W83" s="48">
        <v>0</v>
      </c>
      <c r="X83" s="48">
        <v>0</v>
      </c>
      <c r="Y83" s="48">
        <v>0</v>
      </c>
      <c r="Z83" s="48">
        <v>5</v>
      </c>
      <c r="AA83" s="48">
        <v>0</v>
      </c>
      <c r="AB83" s="56">
        <v>0</v>
      </c>
      <c r="AC83" s="57">
        <f>$U$83*VLOOKUP($U$11,'PCU Values'!$B$9:$C$16,2,FALSE)</f>
        <v>0</v>
      </c>
      <c r="AD83" s="57">
        <f>$V$83*VLOOKUP($V$11,'PCU Values'!$B$9:$C$16,2,FALSE)</f>
        <v>0</v>
      </c>
      <c r="AE83" s="57">
        <f>$W$83*VLOOKUP($W$11,'PCU Values'!$B$9:$C$16,2,FALSE)</f>
        <v>0</v>
      </c>
      <c r="AF83" s="57">
        <f>$X$83*VLOOKUP($X$11,'PCU Values'!$B$9:$C$16,2,FALSE)</f>
        <v>0</v>
      </c>
      <c r="AG83" s="57">
        <f>$Y$83*VLOOKUP($Y$11,'PCU Values'!$B$9:$C$16,2,FALSE)</f>
        <v>0</v>
      </c>
      <c r="AH83" s="57">
        <f>$Z$83*VLOOKUP($Z$11,'PCU Values'!$B$9:$C$16,2,FALSE)</f>
        <v>1</v>
      </c>
      <c r="AI83" s="57">
        <f>$AA$83*VLOOKUP($AA$11,'PCU Values'!$B$9:$C$16,2,FALSE)</f>
        <v>0</v>
      </c>
      <c r="AJ83" s="65">
        <f>$AB$83*VLOOKUP($AB$11,'PCU Values'!$B$9:$C$16,2,FALSE)</f>
        <v>0</v>
      </c>
      <c r="AK83" s="66">
        <f>SUM($AC$83,$AD$83,$AE$83,$AF$83,$AG$83,$AH$83,$AI$83,$AJ$83)</f>
        <v>1</v>
      </c>
      <c r="AL83" s="52">
        <f>SUM($U$83,$V$83,$W$83,$X$83,$Y$83,$Z$83,$AA$83,$AB$83)</f>
        <v>5</v>
      </c>
      <c r="AM83" s="67">
        <v>2</v>
      </c>
      <c r="AN83" s="48">
        <v>0</v>
      </c>
      <c r="AO83" s="48">
        <v>0</v>
      </c>
      <c r="AP83" s="48">
        <v>0</v>
      </c>
      <c r="AQ83" s="48">
        <v>0</v>
      </c>
      <c r="AR83" s="48">
        <v>0</v>
      </c>
      <c r="AS83" s="48">
        <v>0</v>
      </c>
      <c r="AT83" s="56">
        <v>0</v>
      </c>
      <c r="AU83" s="57">
        <f>$AM$83*VLOOKUP($AM$11,'PCU Values'!$B$9:$C$16,2,FALSE)</f>
        <v>2</v>
      </c>
      <c r="AV83" s="57">
        <f>$AN$83*VLOOKUP($AN$11,'PCU Values'!$B$9:$C$16,2,FALSE)</f>
        <v>0</v>
      </c>
      <c r="AW83" s="57">
        <f>$AO$83*VLOOKUP($AO$11,'PCU Values'!$B$9:$C$16,2,FALSE)</f>
        <v>0</v>
      </c>
      <c r="AX83" s="57">
        <f>$AP$83*VLOOKUP($AP$11,'PCU Values'!$B$9:$C$16,2,FALSE)</f>
        <v>0</v>
      </c>
      <c r="AY83" s="57">
        <f>$AQ$83*VLOOKUP($AQ$11,'PCU Values'!$B$9:$C$16,2,FALSE)</f>
        <v>0</v>
      </c>
      <c r="AZ83" s="57">
        <f>$AR$83*VLOOKUP($AR$11,'PCU Values'!$B$9:$C$16,2,FALSE)</f>
        <v>0</v>
      </c>
      <c r="BA83" s="57">
        <f>$AS$83*VLOOKUP($AS$11,'PCU Values'!$B$9:$C$16,2,FALSE)</f>
        <v>0</v>
      </c>
      <c r="BB83" s="65">
        <f>$AT$83*VLOOKUP($AT$11,'PCU Values'!$B$9:$C$16,2,FALSE)</f>
        <v>0</v>
      </c>
      <c r="BC83" s="66">
        <f>SUM($AU$83,$AV$83,$AW$83,$AX$83,$AY$83,$AZ$83,$BA$83,$BB$83)</f>
        <v>2</v>
      </c>
      <c r="BD83" s="52">
        <f>SUM($AM$83,$AN$83,$AO$83,$AP$83,$AQ$83,$AR$83,$AS$83,$AT$83)</f>
        <v>2</v>
      </c>
      <c r="BE83" s="67">
        <v>0</v>
      </c>
      <c r="BF83" s="48">
        <v>0</v>
      </c>
      <c r="BG83" s="48">
        <v>0</v>
      </c>
      <c r="BH83" s="48">
        <v>0</v>
      </c>
      <c r="BI83" s="48">
        <v>0</v>
      </c>
      <c r="BJ83" s="48">
        <v>0</v>
      </c>
      <c r="BK83" s="48">
        <v>0</v>
      </c>
      <c r="BL83" s="56">
        <v>0</v>
      </c>
      <c r="BM83" s="77">
        <f>$BE$83*VLOOKUP($BE$11,'PCU Values'!$B$9:$C$16,2,FALSE)</f>
        <v>0</v>
      </c>
      <c r="BN83" s="77">
        <f>$BF$83*VLOOKUP($BF$11,'PCU Values'!$B$9:$C$16,2,FALSE)</f>
        <v>0</v>
      </c>
      <c r="BO83" s="77">
        <f>$BG$83*VLOOKUP($BG$11,'PCU Values'!$B$9:$C$16,2,FALSE)</f>
        <v>0</v>
      </c>
      <c r="BP83" s="77">
        <f>$BH$83*VLOOKUP($BH$11,'PCU Values'!$B$9:$C$16,2,FALSE)</f>
        <v>0</v>
      </c>
      <c r="BQ83" s="77">
        <f>$BI$83*VLOOKUP($BI$11,'PCU Values'!$B$9:$C$16,2,FALSE)</f>
        <v>0</v>
      </c>
      <c r="BR83" s="77">
        <f>$BJ$83*VLOOKUP($BJ$11,'PCU Values'!$B$9:$C$16,2,FALSE)</f>
        <v>0</v>
      </c>
      <c r="BS83" s="77">
        <f>$BK$83*VLOOKUP($BK$11,'PCU Values'!$B$9:$C$16,2,FALSE)</f>
        <v>0</v>
      </c>
      <c r="BT83" s="78">
        <f>$BL$83*VLOOKUP($BL$11,'PCU Values'!$B$9:$C$16,2,FALSE)</f>
        <v>0</v>
      </c>
      <c r="BU83" s="66">
        <f>SUM($BM$83,$BN$83,$BO$83,$BP$83,$BQ$83,$BR$83,$BS$83,$BT$83)</f>
        <v>0</v>
      </c>
      <c r="BV83" s="52">
        <f>SUM($BE$83,$BF$83,$BG$83,$BH$83,$BI$83,$BJ$83,$BK$83,$BL$83)</f>
        <v>0</v>
      </c>
      <c r="BX83" s="47" t="s">
        <v>88</v>
      </c>
      <c r="BY83" s="83">
        <f>SUM($C$83,$U$83,$AM$83,$BE$83)</f>
        <v>8</v>
      </c>
      <c r="BZ83" s="83">
        <f>SUM($D$83,$V$83,$AN$83,$BF$83)</f>
        <v>1</v>
      </c>
      <c r="CA83" s="83">
        <f>SUM($E$83,$W$83,$AO$83,$BG$83)</f>
        <v>0</v>
      </c>
      <c r="CB83" s="83">
        <f>SUM($F$83,$X$83,$AP$83,$BH$83)</f>
        <v>0</v>
      </c>
      <c r="CC83" s="83">
        <f>SUM($G$83,$Y$83,$AQ$83,$BI$83)</f>
        <v>0</v>
      </c>
      <c r="CD83" s="83">
        <f>SUM($H$83,$Z$83,$AR$83,$BJ$83)</f>
        <v>5</v>
      </c>
      <c r="CE83" s="83">
        <f>SUM($I$83,$AA$83,$AS$83,$BK$83)</f>
        <v>1</v>
      </c>
      <c r="CF83" s="86">
        <f>SUM($J$83,$AB$83,$AT$83,$BL$83)</f>
        <v>0</v>
      </c>
      <c r="CG83" s="77">
        <f>$BY$83*VLOOKUP($BY$11,'PCU Values'!$B$9:$C$16,2,FALSE)</f>
        <v>8</v>
      </c>
      <c r="CH83" s="77">
        <f>$BZ$83*VLOOKUP($BZ$11,'PCU Values'!$B$9:$C$16,2,FALSE)</f>
        <v>1</v>
      </c>
      <c r="CI83" s="77">
        <f>$CA$83*VLOOKUP($CA$11,'PCU Values'!$B$9:$C$16,2,FALSE)</f>
        <v>0</v>
      </c>
      <c r="CJ83" s="77">
        <f>$CB$83*VLOOKUP($CB$11,'PCU Values'!$B$9:$C$16,2,FALSE)</f>
        <v>0</v>
      </c>
      <c r="CK83" s="77">
        <f>$CC$83*VLOOKUP($CC$11,'PCU Values'!$B$9:$C$16,2,FALSE)</f>
        <v>0</v>
      </c>
      <c r="CL83" s="77">
        <f>$CD$83*VLOOKUP($CD$11,'PCU Values'!$B$9:$C$16,2,FALSE)</f>
        <v>1</v>
      </c>
      <c r="CM83" s="77">
        <f>$CE$83*VLOOKUP($CE$11,'PCU Values'!$B$9:$C$16,2,FALSE)</f>
        <v>0.4</v>
      </c>
      <c r="CN83" s="78">
        <f>$CF$83*VLOOKUP($CF$11,'PCU Values'!$B$9:$C$16,2,FALSE)</f>
        <v>0</v>
      </c>
      <c r="CO83" s="66">
        <f>SUM($CG$83,$CH$83,$CI$83,$CJ$83,$CK$83,$CL$83,$CM$83,$CN$83)</f>
        <v>10.4</v>
      </c>
      <c r="CP83" s="52">
        <f>SUM($BY$83,$BZ$83,$CA$83,$CB$83,$CC$83,$CD$83,$CE$83,$CF$83)</f>
        <v>15</v>
      </c>
      <c r="CQ83" s="89">
        <f>SUM('J1 A - (North) Bishopthorpe Roa'!$AM$83,'J1 B - Butcher Terrace'!$U$83,'J1 C - (South) Bishopthorpe Roa'!$C$83,'J1 D - South Bank Avenue'!$BE$83)</f>
        <v>5</v>
      </c>
      <c r="CR83" s="83">
        <f>SUM('J1 A - (North) Bishopthorpe Roa'!$AN$83,'J1 B - Butcher Terrace'!$V$83,'J1 C - (South) Bishopthorpe Roa'!$D$83,'J1 D - South Bank Avenue'!$BF$83)</f>
        <v>2</v>
      </c>
      <c r="CS83" s="83">
        <f>SUM('J1 A - (North) Bishopthorpe Roa'!$AO$83,'J1 B - Butcher Terrace'!$W$83,'J1 C - (South) Bishopthorpe Roa'!$E$83,'J1 D - South Bank Avenue'!$BG$83)</f>
        <v>0</v>
      </c>
      <c r="CT83" s="83">
        <f>SUM('J1 A - (North) Bishopthorpe Roa'!$AP$83,'J1 B - Butcher Terrace'!$X$83,'J1 C - (South) Bishopthorpe Roa'!$F$83,'J1 D - South Bank Avenue'!$BH$83)</f>
        <v>0</v>
      </c>
      <c r="CU83" s="83">
        <f>SUM('J1 A - (North) Bishopthorpe Roa'!$AQ$83,'J1 B - Butcher Terrace'!$Y$83,'J1 C - (South) Bishopthorpe Roa'!$G$83,'J1 D - South Bank Avenue'!$BI$83)</f>
        <v>0</v>
      </c>
      <c r="CV83" s="83">
        <f>SUM('J1 A - (North) Bishopthorpe Roa'!$AR$83,'J1 B - Butcher Terrace'!$Z$83,'J1 C - (South) Bishopthorpe Roa'!$H$83,'J1 D - South Bank Avenue'!$BJ$83)</f>
        <v>8</v>
      </c>
      <c r="CW83" s="83">
        <f>SUM('J1 A - (North) Bishopthorpe Roa'!$AS$83,'J1 B - Butcher Terrace'!$AA$83,'J1 C - (South) Bishopthorpe Roa'!$I$83,'J1 D - South Bank Avenue'!$BK$83)</f>
        <v>0</v>
      </c>
      <c r="CX83" s="86">
        <f>SUM('J1 A - (North) Bishopthorpe Roa'!$AT$83,'J1 B - Butcher Terrace'!$AB$83,'J1 C - (South) Bishopthorpe Roa'!$J$83,'J1 D - South Bank Avenue'!$BL$83)</f>
        <v>0</v>
      </c>
      <c r="CY83" s="77">
        <f>$CQ$83*VLOOKUP($CQ$11,'PCU Values'!$B$9:$C$16,2,FALSE)</f>
        <v>5</v>
      </c>
      <c r="CZ83" s="77">
        <f>$CR$83*VLOOKUP($CR$11,'PCU Values'!$B$9:$C$16,2,FALSE)</f>
        <v>2</v>
      </c>
      <c r="DA83" s="77">
        <f>$CS$83*VLOOKUP($CS$11,'PCU Values'!$B$9:$C$16,2,FALSE)</f>
        <v>0</v>
      </c>
      <c r="DB83" s="77">
        <f>$CT$83*VLOOKUP($CT$11,'PCU Values'!$B$9:$C$16,2,FALSE)</f>
        <v>0</v>
      </c>
      <c r="DC83" s="77">
        <f>$CU$83*VLOOKUP($CU$11,'PCU Values'!$B$9:$C$16,2,FALSE)</f>
        <v>0</v>
      </c>
      <c r="DD83" s="77">
        <f>$CV$83*VLOOKUP($CV$11,'PCU Values'!$B$9:$C$16,2,FALSE)</f>
        <v>1.6</v>
      </c>
      <c r="DE83" s="77">
        <f>$CW$83*VLOOKUP($CW$11,'PCU Values'!$B$9:$C$16,2,FALSE)</f>
        <v>0</v>
      </c>
      <c r="DF83" s="78">
        <f>$CX$83*VLOOKUP($CX$11,'PCU Values'!$B$9:$C$16,2,FALSE)</f>
        <v>0</v>
      </c>
      <c r="DG83" s="66">
        <f>SUM($CY$83,$CZ$83,$DA$83,$DB$83,$DC$83,$DD$83,$DE$83,$DF$83)</f>
        <v>8.6</v>
      </c>
      <c r="DH83" s="52">
        <f>SUM($CQ$83,$CR$83,$CS$83,$CT$83,$CU$83,$CV$83,$CW$83,$CX$83)</f>
        <v>15</v>
      </c>
    </row>
    <row r="84" spans="1:112" ht="21" customHeight="1">
      <c r="A84" s="46">
        <v>44395.604166666701</v>
      </c>
      <c r="B84" s="47" t="s">
        <v>89</v>
      </c>
      <c r="C84" s="48">
        <v>3</v>
      </c>
      <c r="D84" s="48">
        <v>1</v>
      </c>
      <c r="E84" s="48">
        <v>0</v>
      </c>
      <c r="F84" s="48">
        <v>0</v>
      </c>
      <c r="G84" s="48">
        <v>0</v>
      </c>
      <c r="H84" s="48">
        <v>1</v>
      </c>
      <c r="I84" s="48">
        <v>0</v>
      </c>
      <c r="J84" s="56">
        <v>0</v>
      </c>
      <c r="K84" s="57">
        <f>$C$84*VLOOKUP($C$11,'PCU Values'!$B$9:$C$16,2,FALSE)</f>
        <v>3</v>
      </c>
      <c r="L84" s="57">
        <f>$D$84*VLOOKUP($D$11,'PCU Values'!$B$9:$C$16,2,FALSE)</f>
        <v>1</v>
      </c>
      <c r="M84" s="57">
        <f>$E$84*VLOOKUP($E$11,'PCU Values'!$B$9:$C$16,2,FALSE)</f>
        <v>0</v>
      </c>
      <c r="N84" s="57">
        <f>$F$84*VLOOKUP($F$11,'PCU Values'!$B$9:$C$16,2,FALSE)</f>
        <v>0</v>
      </c>
      <c r="O84" s="57">
        <f>$G$84*VLOOKUP($G$11,'PCU Values'!$B$9:$C$16,2,FALSE)</f>
        <v>0</v>
      </c>
      <c r="P84" s="57">
        <f>$H$84*VLOOKUP($H$11,'PCU Values'!$B$9:$C$16,2,FALSE)</f>
        <v>0.2</v>
      </c>
      <c r="Q84" s="57">
        <f>$I$84*VLOOKUP($I$11,'PCU Values'!$B$9:$C$16,2,FALSE)</f>
        <v>0</v>
      </c>
      <c r="R84" s="65">
        <f>$J$84*VLOOKUP($J$11,'PCU Values'!$B$9:$C$16,2,FALSE)</f>
        <v>0</v>
      </c>
      <c r="S84" s="66">
        <f>SUM($K$84,$L$84,$M$84,$N$84,$O$84,$P$84,$Q$84,$R$84)</f>
        <v>4.2</v>
      </c>
      <c r="T84" s="52">
        <f>SUM($C$84,$D$84,$E$84,$F$84,$G$84,$H$84,$I$84,$J$84)</f>
        <v>5</v>
      </c>
      <c r="U84" s="76">
        <v>0</v>
      </c>
      <c r="V84" s="49">
        <v>0</v>
      </c>
      <c r="W84" s="48">
        <v>0</v>
      </c>
      <c r="X84" s="48">
        <v>0</v>
      </c>
      <c r="Y84" s="49">
        <v>0</v>
      </c>
      <c r="Z84" s="49">
        <v>6</v>
      </c>
      <c r="AA84" s="48">
        <v>0</v>
      </c>
      <c r="AB84" s="56">
        <v>0</v>
      </c>
      <c r="AC84" s="57">
        <f>$U$84*VLOOKUP($U$11,'PCU Values'!$B$9:$C$16,2,FALSE)</f>
        <v>0</v>
      </c>
      <c r="AD84" s="57">
        <f>$V$84*VLOOKUP($V$11,'PCU Values'!$B$9:$C$16,2,FALSE)</f>
        <v>0</v>
      </c>
      <c r="AE84" s="57">
        <f>$W$84*VLOOKUP($W$11,'PCU Values'!$B$9:$C$16,2,FALSE)</f>
        <v>0</v>
      </c>
      <c r="AF84" s="57">
        <f>$X$84*VLOOKUP($X$11,'PCU Values'!$B$9:$C$16,2,FALSE)</f>
        <v>0</v>
      </c>
      <c r="AG84" s="57">
        <f>$Y$84*VLOOKUP($Y$11,'PCU Values'!$B$9:$C$16,2,FALSE)</f>
        <v>0</v>
      </c>
      <c r="AH84" s="57">
        <f>$Z$84*VLOOKUP($Z$11,'PCU Values'!$B$9:$C$16,2,FALSE)</f>
        <v>1.2</v>
      </c>
      <c r="AI84" s="57">
        <f>$AA$84*VLOOKUP($AA$11,'PCU Values'!$B$9:$C$16,2,FALSE)</f>
        <v>0</v>
      </c>
      <c r="AJ84" s="65">
        <f>$AB$84*VLOOKUP($AB$11,'PCU Values'!$B$9:$C$16,2,FALSE)</f>
        <v>0</v>
      </c>
      <c r="AK84" s="66">
        <f>SUM($AC$84,$AD$84,$AE$84,$AF$84,$AG$84,$AH$84,$AI$84,$AJ$84)</f>
        <v>1.2</v>
      </c>
      <c r="AL84" s="52">
        <f>SUM($U$84,$V$84,$W$84,$X$84,$Y$84,$Z$84,$AA$84,$AB$84)</f>
        <v>6</v>
      </c>
      <c r="AM84" s="67">
        <v>0</v>
      </c>
      <c r="AN84" s="48">
        <v>1</v>
      </c>
      <c r="AO84" s="48">
        <v>0</v>
      </c>
      <c r="AP84" s="48">
        <v>0</v>
      </c>
      <c r="AQ84" s="48">
        <v>0</v>
      </c>
      <c r="AR84" s="48">
        <v>0</v>
      </c>
      <c r="AS84" s="48">
        <v>0</v>
      </c>
      <c r="AT84" s="56">
        <v>0</v>
      </c>
      <c r="AU84" s="57">
        <f>$AM$84*VLOOKUP($AM$11,'PCU Values'!$B$9:$C$16,2,FALSE)</f>
        <v>0</v>
      </c>
      <c r="AV84" s="57">
        <f>$AN$84*VLOOKUP($AN$11,'PCU Values'!$B$9:$C$16,2,FALSE)</f>
        <v>1</v>
      </c>
      <c r="AW84" s="57">
        <f>$AO$84*VLOOKUP($AO$11,'PCU Values'!$B$9:$C$16,2,FALSE)</f>
        <v>0</v>
      </c>
      <c r="AX84" s="57">
        <f>$AP$84*VLOOKUP($AP$11,'PCU Values'!$B$9:$C$16,2,FALSE)</f>
        <v>0</v>
      </c>
      <c r="AY84" s="57">
        <f>$AQ$84*VLOOKUP($AQ$11,'PCU Values'!$B$9:$C$16,2,FALSE)</f>
        <v>0</v>
      </c>
      <c r="AZ84" s="57">
        <f>$AR$84*VLOOKUP($AR$11,'PCU Values'!$B$9:$C$16,2,FALSE)</f>
        <v>0</v>
      </c>
      <c r="BA84" s="57">
        <f>$AS$84*VLOOKUP($AS$11,'PCU Values'!$B$9:$C$16,2,FALSE)</f>
        <v>0</v>
      </c>
      <c r="BB84" s="65">
        <f>$AT$84*VLOOKUP($AT$11,'PCU Values'!$B$9:$C$16,2,FALSE)</f>
        <v>0</v>
      </c>
      <c r="BC84" s="66">
        <f>SUM($AU$84,$AV$84,$AW$84,$AX$84,$AY$84,$AZ$84,$BA$84,$BB$84)</f>
        <v>1</v>
      </c>
      <c r="BD84" s="52">
        <f>SUM($AM$84,$AN$84,$AO$84,$AP$84,$AQ$84,$AR$84,$AS$84,$AT$84)</f>
        <v>1</v>
      </c>
      <c r="BE84" s="67">
        <v>0</v>
      </c>
      <c r="BF84" s="48">
        <v>0</v>
      </c>
      <c r="BG84" s="48">
        <v>0</v>
      </c>
      <c r="BH84" s="48">
        <v>0</v>
      </c>
      <c r="BI84" s="48">
        <v>0</v>
      </c>
      <c r="BJ84" s="48">
        <v>0</v>
      </c>
      <c r="BK84" s="48">
        <v>0</v>
      </c>
      <c r="BL84" s="56">
        <v>0</v>
      </c>
      <c r="BM84" s="77">
        <f>$BE$84*VLOOKUP($BE$11,'PCU Values'!$B$9:$C$16,2,FALSE)</f>
        <v>0</v>
      </c>
      <c r="BN84" s="77">
        <f>$BF$84*VLOOKUP($BF$11,'PCU Values'!$B$9:$C$16,2,FALSE)</f>
        <v>0</v>
      </c>
      <c r="BO84" s="77">
        <f>$BG$84*VLOOKUP($BG$11,'PCU Values'!$B$9:$C$16,2,FALSE)</f>
        <v>0</v>
      </c>
      <c r="BP84" s="77">
        <f>$BH$84*VLOOKUP($BH$11,'PCU Values'!$B$9:$C$16,2,FALSE)</f>
        <v>0</v>
      </c>
      <c r="BQ84" s="77">
        <f>$BI$84*VLOOKUP($BI$11,'PCU Values'!$B$9:$C$16,2,FALSE)</f>
        <v>0</v>
      </c>
      <c r="BR84" s="77">
        <f>$BJ$84*VLOOKUP($BJ$11,'PCU Values'!$B$9:$C$16,2,FALSE)</f>
        <v>0</v>
      </c>
      <c r="BS84" s="77">
        <f>$BK$84*VLOOKUP($BK$11,'PCU Values'!$B$9:$C$16,2,FALSE)</f>
        <v>0</v>
      </c>
      <c r="BT84" s="78">
        <f>$BL$84*VLOOKUP($BL$11,'PCU Values'!$B$9:$C$16,2,FALSE)</f>
        <v>0</v>
      </c>
      <c r="BU84" s="66">
        <f>SUM($BM$84,$BN$84,$BO$84,$BP$84,$BQ$84,$BR$84,$BS$84,$BT$84)</f>
        <v>0</v>
      </c>
      <c r="BV84" s="52">
        <f>SUM($BE$84,$BF$84,$BG$84,$BH$84,$BI$84,$BJ$84,$BK$84,$BL$84)</f>
        <v>0</v>
      </c>
      <c r="BX84" s="47" t="s">
        <v>89</v>
      </c>
      <c r="BY84" s="83">
        <f>SUM($C$84,$U$84,$AM$84,$BE$84)</f>
        <v>3</v>
      </c>
      <c r="BZ84" s="83">
        <f>SUM($D$84,$V$84,$AN$84,$BF$84)</f>
        <v>2</v>
      </c>
      <c r="CA84" s="83">
        <f>SUM($E$84,$W$84,$AO$84,$BG$84)</f>
        <v>0</v>
      </c>
      <c r="CB84" s="83">
        <f>SUM($F$84,$X$84,$AP$84,$BH$84)</f>
        <v>0</v>
      </c>
      <c r="CC84" s="83">
        <f>SUM($G$84,$Y$84,$AQ$84,$BI$84)</f>
        <v>0</v>
      </c>
      <c r="CD84" s="83">
        <f>SUM($H$84,$Z$84,$AR$84,$BJ$84)</f>
        <v>7</v>
      </c>
      <c r="CE84" s="83">
        <f>SUM($I$84,$AA$84,$AS$84,$BK$84)</f>
        <v>0</v>
      </c>
      <c r="CF84" s="86">
        <f>SUM($J$84,$AB$84,$AT$84,$BL$84)</f>
        <v>0</v>
      </c>
      <c r="CG84" s="77">
        <f>$BY$84*VLOOKUP($BY$11,'PCU Values'!$B$9:$C$16,2,FALSE)</f>
        <v>3</v>
      </c>
      <c r="CH84" s="77">
        <f>$BZ$84*VLOOKUP($BZ$11,'PCU Values'!$B$9:$C$16,2,FALSE)</f>
        <v>2</v>
      </c>
      <c r="CI84" s="77">
        <f>$CA$84*VLOOKUP($CA$11,'PCU Values'!$B$9:$C$16,2,FALSE)</f>
        <v>0</v>
      </c>
      <c r="CJ84" s="77">
        <f>$CB$84*VLOOKUP($CB$11,'PCU Values'!$B$9:$C$16,2,FALSE)</f>
        <v>0</v>
      </c>
      <c r="CK84" s="77">
        <f>$CC$84*VLOOKUP($CC$11,'PCU Values'!$B$9:$C$16,2,FALSE)</f>
        <v>0</v>
      </c>
      <c r="CL84" s="77">
        <f>$CD$84*VLOOKUP($CD$11,'PCU Values'!$B$9:$C$16,2,FALSE)</f>
        <v>1.4</v>
      </c>
      <c r="CM84" s="77">
        <f>$CE$84*VLOOKUP($CE$11,'PCU Values'!$B$9:$C$16,2,FALSE)</f>
        <v>0</v>
      </c>
      <c r="CN84" s="78">
        <f>$CF$84*VLOOKUP($CF$11,'PCU Values'!$B$9:$C$16,2,FALSE)</f>
        <v>0</v>
      </c>
      <c r="CO84" s="66">
        <f>SUM($CG$84,$CH$84,$CI$84,$CJ$84,$CK$84,$CL$84,$CM$84,$CN$84)</f>
        <v>6.4</v>
      </c>
      <c r="CP84" s="52">
        <f>SUM($BY$84,$BZ$84,$CA$84,$CB$84,$CC$84,$CD$84,$CE$84,$CF$84)</f>
        <v>12</v>
      </c>
      <c r="CQ84" s="89">
        <f>SUM('J1 A - (North) Bishopthorpe Roa'!$AM$84,'J1 B - Butcher Terrace'!$U$84,'J1 C - (South) Bishopthorpe Roa'!$C$84,'J1 D - South Bank Avenue'!$BE$84)</f>
        <v>8</v>
      </c>
      <c r="CR84" s="83">
        <f>SUM('J1 A - (North) Bishopthorpe Roa'!$AN$84,'J1 B - Butcher Terrace'!$V$84,'J1 C - (South) Bishopthorpe Roa'!$D$84,'J1 D - South Bank Avenue'!$BF$84)</f>
        <v>1</v>
      </c>
      <c r="CS84" s="83">
        <f>SUM('J1 A - (North) Bishopthorpe Roa'!$AO$84,'J1 B - Butcher Terrace'!$W$84,'J1 C - (South) Bishopthorpe Roa'!$E$84,'J1 D - South Bank Avenue'!$BG$84)</f>
        <v>0</v>
      </c>
      <c r="CT84" s="83">
        <f>SUM('J1 A - (North) Bishopthorpe Roa'!$AP$84,'J1 B - Butcher Terrace'!$X$84,'J1 C - (South) Bishopthorpe Roa'!$F$84,'J1 D - South Bank Avenue'!$BH$84)</f>
        <v>0</v>
      </c>
      <c r="CU84" s="83">
        <f>SUM('J1 A - (North) Bishopthorpe Roa'!$AQ$84,'J1 B - Butcher Terrace'!$Y$84,'J1 C - (South) Bishopthorpe Roa'!$G$84,'J1 D - South Bank Avenue'!$BI$84)</f>
        <v>0</v>
      </c>
      <c r="CV84" s="83">
        <f>SUM('J1 A - (North) Bishopthorpe Roa'!$AR$84,'J1 B - Butcher Terrace'!$Z$84,'J1 C - (South) Bishopthorpe Roa'!$H$84,'J1 D - South Bank Avenue'!$BJ$84)</f>
        <v>3</v>
      </c>
      <c r="CW84" s="83">
        <f>SUM('J1 A - (North) Bishopthorpe Roa'!$AS$84,'J1 B - Butcher Terrace'!$AA$84,'J1 C - (South) Bishopthorpe Roa'!$I$84,'J1 D - South Bank Avenue'!$BK$84)</f>
        <v>0</v>
      </c>
      <c r="CX84" s="86">
        <f>SUM('J1 A - (North) Bishopthorpe Roa'!$AT$84,'J1 B - Butcher Terrace'!$AB$84,'J1 C - (South) Bishopthorpe Roa'!$J$84,'J1 D - South Bank Avenue'!$BL$84)</f>
        <v>0</v>
      </c>
      <c r="CY84" s="77">
        <f>$CQ$84*VLOOKUP($CQ$11,'PCU Values'!$B$9:$C$16,2,FALSE)</f>
        <v>8</v>
      </c>
      <c r="CZ84" s="77">
        <f>$CR$84*VLOOKUP($CR$11,'PCU Values'!$B$9:$C$16,2,FALSE)</f>
        <v>1</v>
      </c>
      <c r="DA84" s="77">
        <f>$CS$84*VLOOKUP($CS$11,'PCU Values'!$B$9:$C$16,2,FALSE)</f>
        <v>0</v>
      </c>
      <c r="DB84" s="77">
        <f>$CT$84*VLOOKUP($CT$11,'PCU Values'!$B$9:$C$16,2,FALSE)</f>
        <v>0</v>
      </c>
      <c r="DC84" s="77">
        <f>$CU$84*VLOOKUP($CU$11,'PCU Values'!$B$9:$C$16,2,FALSE)</f>
        <v>0</v>
      </c>
      <c r="DD84" s="77">
        <f>$CV$84*VLOOKUP($CV$11,'PCU Values'!$B$9:$C$16,2,FALSE)</f>
        <v>0.6</v>
      </c>
      <c r="DE84" s="77">
        <f>$CW$84*VLOOKUP($CW$11,'PCU Values'!$B$9:$C$16,2,FALSE)</f>
        <v>0</v>
      </c>
      <c r="DF84" s="78">
        <f>$CX$84*VLOOKUP($CX$11,'PCU Values'!$B$9:$C$16,2,FALSE)</f>
        <v>0</v>
      </c>
      <c r="DG84" s="66">
        <f>SUM($CY$84,$CZ$84,$DA$84,$DB$84,$DC$84,$DD$84,$DE$84,$DF$84)</f>
        <v>9.6</v>
      </c>
      <c r="DH84" s="52">
        <f>SUM($CQ$84,$CR$84,$CS$84,$CT$84,$CU$84,$CV$84,$CW$84,$CX$84)</f>
        <v>12</v>
      </c>
    </row>
    <row r="85" spans="1:112" ht="21" customHeight="1">
      <c r="A85" s="46">
        <v>44395.614583333299</v>
      </c>
      <c r="B85" s="50" t="s">
        <v>90</v>
      </c>
      <c r="C85" s="51">
        <v>8</v>
      </c>
      <c r="D85" s="51">
        <v>1</v>
      </c>
      <c r="E85" s="51">
        <v>0</v>
      </c>
      <c r="F85" s="51">
        <v>0</v>
      </c>
      <c r="G85" s="51">
        <v>0</v>
      </c>
      <c r="H85" s="51">
        <v>2</v>
      </c>
      <c r="I85" s="51">
        <v>0</v>
      </c>
      <c r="J85" s="59">
        <v>0</v>
      </c>
      <c r="K85" s="60">
        <f>$C$85*VLOOKUP($C$11,'PCU Values'!$B$9:$C$16,2,FALSE)</f>
        <v>8</v>
      </c>
      <c r="L85" s="60">
        <f>$D$85*VLOOKUP($D$11,'PCU Values'!$B$9:$C$16,2,FALSE)</f>
        <v>1</v>
      </c>
      <c r="M85" s="60">
        <f>$E$85*VLOOKUP($E$11,'PCU Values'!$B$9:$C$16,2,FALSE)</f>
        <v>0</v>
      </c>
      <c r="N85" s="60">
        <f>$F$85*VLOOKUP($F$11,'PCU Values'!$B$9:$C$16,2,FALSE)</f>
        <v>0</v>
      </c>
      <c r="O85" s="60">
        <f>$G$85*VLOOKUP($G$11,'PCU Values'!$B$9:$C$16,2,FALSE)</f>
        <v>0</v>
      </c>
      <c r="P85" s="60">
        <f>$H$85*VLOOKUP($H$11,'PCU Values'!$B$9:$C$16,2,FALSE)</f>
        <v>0.4</v>
      </c>
      <c r="Q85" s="60">
        <f>$I$85*VLOOKUP($I$11,'PCU Values'!$B$9:$C$16,2,FALSE)</f>
        <v>0</v>
      </c>
      <c r="R85" s="68">
        <f>$J$85*VLOOKUP($J$11,'PCU Values'!$B$9:$C$16,2,FALSE)</f>
        <v>0</v>
      </c>
      <c r="S85" s="63">
        <f>SUM($K$85,$L$85,$M$85,$N$85,$O$85,$P$85,$Q$85,$R$85)</f>
        <v>9.4</v>
      </c>
      <c r="T85" s="52">
        <f>SUM($C$85,$D$85,$E$85,$F$85,$G$85,$H$85,$I$85,$J$85)</f>
        <v>11</v>
      </c>
      <c r="U85" s="73">
        <v>2</v>
      </c>
      <c r="V85" s="51">
        <v>0</v>
      </c>
      <c r="W85" s="51">
        <v>0</v>
      </c>
      <c r="X85" s="51">
        <v>0</v>
      </c>
      <c r="Y85" s="51">
        <v>0</v>
      </c>
      <c r="Z85" s="51">
        <v>1</v>
      </c>
      <c r="AA85" s="51">
        <v>1</v>
      </c>
      <c r="AB85" s="59">
        <v>0</v>
      </c>
      <c r="AC85" s="60">
        <f>$U$85*VLOOKUP($U$11,'PCU Values'!$B$9:$C$16,2,FALSE)</f>
        <v>2</v>
      </c>
      <c r="AD85" s="60">
        <f>$V$85*VLOOKUP($V$11,'PCU Values'!$B$9:$C$16,2,FALSE)</f>
        <v>0</v>
      </c>
      <c r="AE85" s="60">
        <f>$W$85*VLOOKUP($W$11,'PCU Values'!$B$9:$C$16,2,FALSE)</f>
        <v>0</v>
      </c>
      <c r="AF85" s="60">
        <f>$X$85*VLOOKUP($X$11,'PCU Values'!$B$9:$C$16,2,FALSE)</f>
        <v>0</v>
      </c>
      <c r="AG85" s="60">
        <f>$Y$85*VLOOKUP($Y$11,'PCU Values'!$B$9:$C$16,2,FALSE)</f>
        <v>0</v>
      </c>
      <c r="AH85" s="60">
        <f>$Z$85*VLOOKUP($Z$11,'PCU Values'!$B$9:$C$16,2,FALSE)</f>
        <v>0.2</v>
      </c>
      <c r="AI85" s="60">
        <f>$AA$85*VLOOKUP($AA$11,'PCU Values'!$B$9:$C$16,2,FALSE)</f>
        <v>0.4</v>
      </c>
      <c r="AJ85" s="68">
        <f>$AB$85*VLOOKUP($AB$11,'PCU Values'!$B$9:$C$16,2,FALSE)</f>
        <v>0</v>
      </c>
      <c r="AK85" s="63">
        <f>SUM($AC$85,$AD$85,$AE$85,$AF$85,$AG$85,$AH$85,$AI$85,$AJ$85)</f>
        <v>2.6</v>
      </c>
      <c r="AL85" s="52">
        <f>SUM($U$85,$V$85,$W$85,$X$85,$Y$85,$Z$85,$AA$85,$AB$85)</f>
        <v>4</v>
      </c>
      <c r="AM85" s="73">
        <v>0</v>
      </c>
      <c r="AN85" s="51">
        <v>0</v>
      </c>
      <c r="AO85" s="51">
        <v>0</v>
      </c>
      <c r="AP85" s="51">
        <v>0</v>
      </c>
      <c r="AQ85" s="51">
        <v>0</v>
      </c>
      <c r="AR85" s="51">
        <v>0</v>
      </c>
      <c r="AS85" s="51">
        <v>0</v>
      </c>
      <c r="AT85" s="59">
        <v>0</v>
      </c>
      <c r="AU85" s="60">
        <f>$AM$85*VLOOKUP($AM$11,'PCU Values'!$B$9:$C$16,2,FALSE)</f>
        <v>0</v>
      </c>
      <c r="AV85" s="60">
        <f>$AN$85*VLOOKUP($AN$11,'PCU Values'!$B$9:$C$16,2,FALSE)</f>
        <v>0</v>
      </c>
      <c r="AW85" s="60">
        <f>$AO$85*VLOOKUP($AO$11,'PCU Values'!$B$9:$C$16,2,FALSE)</f>
        <v>0</v>
      </c>
      <c r="AX85" s="60">
        <f>$AP$85*VLOOKUP($AP$11,'PCU Values'!$B$9:$C$16,2,FALSE)</f>
        <v>0</v>
      </c>
      <c r="AY85" s="60">
        <f>$AQ$85*VLOOKUP($AQ$11,'PCU Values'!$B$9:$C$16,2,FALSE)</f>
        <v>0</v>
      </c>
      <c r="AZ85" s="60">
        <f>$AR$85*VLOOKUP($AR$11,'PCU Values'!$B$9:$C$16,2,FALSE)</f>
        <v>0</v>
      </c>
      <c r="BA85" s="60">
        <f>$AS$85*VLOOKUP($AS$11,'PCU Values'!$B$9:$C$16,2,FALSE)</f>
        <v>0</v>
      </c>
      <c r="BB85" s="68">
        <f>$AT$85*VLOOKUP($AT$11,'PCU Values'!$B$9:$C$16,2,FALSE)</f>
        <v>0</v>
      </c>
      <c r="BC85" s="63">
        <f>SUM($AU$85,$AV$85,$AW$85,$AX$85,$AY$85,$AZ$85,$BA$85,$BB$85)</f>
        <v>0</v>
      </c>
      <c r="BD85" s="52">
        <f>SUM($AM$85,$AN$85,$AO$85,$AP$85,$AQ$85,$AR$85,$AS$85,$AT$85)</f>
        <v>0</v>
      </c>
      <c r="BE85" s="73">
        <v>0</v>
      </c>
      <c r="BF85" s="51">
        <v>0</v>
      </c>
      <c r="BG85" s="51">
        <v>0</v>
      </c>
      <c r="BH85" s="51">
        <v>0</v>
      </c>
      <c r="BI85" s="51">
        <v>0</v>
      </c>
      <c r="BJ85" s="51">
        <v>0</v>
      </c>
      <c r="BK85" s="51">
        <v>0</v>
      </c>
      <c r="BL85" s="59">
        <v>0</v>
      </c>
      <c r="BM85" s="79">
        <f>$BE$85*VLOOKUP($BE$11,'PCU Values'!$B$9:$C$16,2,FALSE)</f>
        <v>0</v>
      </c>
      <c r="BN85" s="79">
        <f>$BF$85*VLOOKUP($BF$11,'PCU Values'!$B$9:$C$16,2,FALSE)</f>
        <v>0</v>
      </c>
      <c r="BO85" s="79">
        <f>$BG$85*VLOOKUP($BG$11,'PCU Values'!$B$9:$C$16,2,FALSE)</f>
        <v>0</v>
      </c>
      <c r="BP85" s="79">
        <f>$BH$85*VLOOKUP($BH$11,'PCU Values'!$B$9:$C$16,2,FALSE)</f>
        <v>0</v>
      </c>
      <c r="BQ85" s="79">
        <f>$BI$85*VLOOKUP($BI$11,'PCU Values'!$B$9:$C$16,2,FALSE)</f>
        <v>0</v>
      </c>
      <c r="BR85" s="79">
        <f>$BJ$85*VLOOKUP($BJ$11,'PCU Values'!$B$9:$C$16,2,FALSE)</f>
        <v>0</v>
      </c>
      <c r="BS85" s="79">
        <f>$BK$85*VLOOKUP($BK$11,'PCU Values'!$B$9:$C$16,2,FALSE)</f>
        <v>0</v>
      </c>
      <c r="BT85" s="80">
        <f>$BL$85*VLOOKUP($BL$11,'PCU Values'!$B$9:$C$16,2,FALSE)</f>
        <v>0</v>
      </c>
      <c r="BU85" s="63">
        <f>SUM($BM$85,$BN$85,$BO$85,$BP$85,$BQ$85,$BR$85,$BS$85,$BT$85)</f>
        <v>0</v>
      </c>
      <c r="BV85" s="52">
        <f>SUM($BE$85,$BF$85,$BG$85,$BH$85,$BI$85,$BJ$85,$BK$85,$BL$85)</f>
        <v>0</v>
      </c>
      <c r="BX85" s="50" t="s">
        <v>90</v>
      </c>
      <c r="BY85" s="84">
        <f>SUM($C$85,$U$85,$AM$85,$BE$85)</f>
        <v>10</v>
      </c>
      <c r="BZ85" s="84">
        <f>SUM($D$85,$V$85,$AN$85,$BF$85)</f>
        <v>1</v>
      </c>
      <c r="CA85" s="84">
        <f>SUM($E$85,$W$85,$AO$85,$BG$85)</f>
        <v>0</v>
      </c>
      <c r="CB85" s="84">
        <f>SUM($F$85,$X$85,$AP$85,$BH$85)</f>
        <v>0</v>
      </c>
      <c r="CC85" s="84">
        <f>SUM($G$85,$Y$85,$AQ$85,$BI$85)</f>
        <v>0</v>
      </c>
      <c r="CD85" s="84">
        <f>SUM($H$85,$Z$85,$AR$85,$BJ$85)</f>
        <v>3</v>
      </c>
      <c r="CE85" s="84">
        <f>SUM($I$85,$AA$85,$AS$85,$BK$85)</f>
        <v>1</v>
      </c>
      <c r="CF85" s="87">
        <f>SUM($J$85,$AB$85,$AT$85,$BL$85)</f>
        <v>0</v>
      </c>
      <c r="CG85" s="79">
        <f>$BY$85*VLOOKUP($BY$11,'PCU Values'!$B$9:$C$16,2,FALSE)</f>
        <v>10</v>
      </c>
      <c r="CH85" s="79">
        <f>$BZ$85*VLOOKUP($BZ$11,'PCU Values'!$B$9:$C$16,2,FALSE)</f>
        <v>1</v>
      </c>
      <c r="CI85" s="79">
        <f>$CA$85*VLOOKUP($CA$11,'PCU Values'!$B$9:$C$16,2,FALSE)</f>
        <v>0</v>
      </c>
      <c r="CJ85" s="79">
        <f>$CB$85*VLOOKUP($CB$11,'PCU Values'!$B$9:$C$16,2,FALSE)</f>
        <v>0</v>
      </c>
      <c r="CK85" s="79">
        <f>$CC$85*VLOOKUP($CC$11,'PCU Values'!$B$9:$C$16,2,FALSE)</f>
        <v>0</v>
      </c>
      <c r="CL85" s="79">
        <f>$CD$85*VLOOKUP($CD$11,'PCU Values'!$B$9:$C$16,2,FALSE)</f>
        <v>0.6</v>
      </c>
      <c r="CM85" s="79">
        <f>$CE$85*VLOOKUP($CE$11,'PCU Values'!$B$9:$C$16,2,FALSE)</f>
        <v>0.4</v>
      </c>
      <c r="CN85" s="80">
        <f>$CF$85*VLOOKUP($CF$11,'PCU Values'!$B$9:$C$16,2,FALSE)</f>
        <v>0</v>
      </c>
      <c r="CO85" s="63">
        <f>SUM($CG$85,$CH$85,$CI$85,$CJ$85,$CK$85,$CL$85,$CM$85,$CN$85)</f>
        <v>12</v>
      </c>
      <c r="CP85" s="52">
        <f>SUM($BY$85,$BZ$85,$CA$85,$CB$85,$CC$85,$CD$85,$CE$85,$CF$85)</f>
        <v>15</v>
      </c>
      <c r="CQ85" s="90">
        <f>SUM('J1 A - (North) Bishopthorpe Roa'!$AM$85,'J1 B - Butcher Terrace'!$U$85,'J1 C - (South) Bishopthorpe Roa'!$C$85,'J1 D - South Bank Avenue'!$BE$85)</f>
        <v>3</v>
      </c>
      <c r="CR85" s="84">
        <f>SUM('J1 A - (North) Bishopthorpe Roa'!$AN$85,'J1 B - Butcher Terrace'!$V$85,'J1 C - (South) Bishopthorpe Roa'!$D$85,'J1 D - South Bank Avenue'!$BF$85)</f>
        <v>2</v>
      </c>
      <c r="CS85" s="84">
        <f>SUM('J1 A - (North) Bishopthorpe Roa'!$AO$85,'J1 B - Butcher Terrace'!$W$85,'J1 C - (South) Bishopthorpe Roa'!$E$85,'J1 D - South Bank Avenue'!$BG$85)</f>
        <v>0</v>
      </c>
      <c r="CT85" s="84">
        <f>SUM('J1 A - (North) Bishopthorpe Roa'!$AP$85,'J1 B - Butcher Terrace'!$X$85,'J1 C - (South) Bishopthorpe Roa'!$F$85,'J1 D - South Bank Avenue'!$BH$85)</f>
        <v>0</v>
      </c>
      <c r="CU85" s="84">
        <f>SUM('J1 A - (North) Bishopthorpe Roa'!$AQ$85,'J1 B - Butcher Terrace'!$Y$85,'J1 C - (South) Bishopthorpe Roa'!$G$85,'J1 D - South Bank Avenue'!$BI$85)</f>
        <v>0</v>
      </c>
      <c r="CV85" s="84">
        <f>SUM('J1 A - (North) Bishopthorpe Roa'!$AR$85,'J1 B - Butcher Terrace'!$Z$85,'J1 C - (South) Bishopthorpe Roa'!$H$85,'J1 D - South Bank Avenue'!$BJ$85)</f>
        <v>4</v>
      </c>
      <c r="CW85" s="84">
        <f>SUM('J1 A - (North) Bishopthorpe Roa'!$AS$85,'J1 B - Butcher Terrace'!$AA$85,'J1 C - (South) Bishopthorpe Roa'!$I$85,'J1 D - South Bank Avenue'!$BK$85)</f>
        <v>0</v>
      </c>
      <c r="CX85" s="87">
        <f>SUM('J1 A - (North) Bishopthorpe Roa'!$AT$85,'J1 B - Butcher Terrace'!$AB$85,'J1 C - (South) Bishopthorpe Roa'!$J$85,'J1 D - South Bank Avenue'!$BL$85)</f>
        <v>0</v>
      </c>
      <c r="CY85" s="79">
        <f>$CQ$85*VLOOKUP($CQ$11,'PCU Values'!$B$9:$C$16,2,FALSE)</f>
        <v>3</v>
      </c>
      <c r="CZ85" s="79">
        <f>$CR$85*VLOOKUP($CR$11,'PCU Values'!$B$9:$C$16,2,FALSE)</f>
        <v>2</v>
      </c>
      <c r="DA85" s="79">
        <f>$CS$85*VLOOKUP($CS$11,'PCU Values'!$B$9:$C$16,2,FALSE)</f>
        <v>0</v>
      </c>
      <c r="DB85" s="79">
        <f>$CT$85*VLOOKUP($CT$11,'PCU Values'!$B$9:$C$16,2,FALSE)</f>
        <v>0</v>
      </c>
      <c r="DC85" s="79">
        <f>$CU$85*VLOOKUP($CU$11,'PCU Values'!$B$9:$C$16,2,FALSE)</f>
        <v>0</v>
      </c>
      <c r="DD85" s="79">
        <f>$CV$85*VLOOKUP($CV$11,'PCU Values'!$B$9:$C$16,2,FALSE)</f>
        <v>0.8</v>
      </c>
      <c r="DE85" s="79">
        <f>$CW$85*VLOOKUP($CW$11,'PCU Values'!$B$9:$C$16,2,FALSE)</f>
        <v>0</v>
      </c>
      <c r="DF85" s="80">
        <f>$CX$85*VLOOKUP($CX$11,'PCU Values'!$B$9:$C$16,2,FALSE)</f>
        <v>0</v>
      </c>
      <c r="DG85" s="63">
        <f>SUM($CY$85,$CZ$85,$DA$85,$DB$85,$DC$85,$DD$85,$DE$85,$DF$85)</f>
        <v>5.8</v>
      </c>
      <c r="DH85" s="52">
        <f>SUM($CQ$85,$CR$85,$CS$85,$CT$85,$CU$85,$CV$85,$CW$85,$CX$85)</f>
        <v>9</v>
      </c>
    </row>
    <row r="86" spans="1:112">
      <c r="B86" s="52" t="s">
        <v>34</v>
      </c>
      <c r="C86" s="52">
        <f>SUM($C$82:$C$85)</f>
        <v>23</v>
      </c>
      <c r="D86" s="52">
        <f>SUM($D$82:$D$85)</f>
        <v>4</v>
      </c>
      <c r="E86" s="52">
        <f>SUM($E$82:$E$85)</f>
        <v>0</v>
      </c>
      <c r="F86" s="52">
        <f>SUM($F$82:$F$85)</f>
        <v>0</v>
      </c>
      <c r="G86" s="52">
        <f>SUM($G$82:$G$85)</f>
        <v>0</v>
      </c>
      <c r="H86" s="52">
        <f>SUM($H$82:$H$85)</f>
        <v>3</v>
      </c>
      <c r="I86" s="52">
        <f>SUM($I$82:$I$85)</f>
        <v>1</v>
      </c>
      <c r="J86" s="52">
        <f>SUM($J$82:$J$85)</f>
        <v>0</v>
      </c>
      <c r="K86" s="52">
        <f>SUM($K$82:$K$85)</f>
        <v>23</v>
      </c>
      <c r="L86" s="52">
        <f>SUM($L$82:$L$85)</f>
        <v>4</v>
      </c>
      <c r="M86" s="52">
        <f>SUM($M$82:$M$85)</f>
        <v>0</v>
      </c>
      <c r="N86" s="52">
        <f>SUM($N$82:$N$85)</f>
        <v>0</v>
      </c>
      <c r="O86" s="52">
        <f>SUM($O$82:$O$85)</f>
        <v>0</v>
      </c>
      <c r="P86" s="52">
        <f>SUM($P$82:$P$85)</f>
        <v>1</v>
      </c>
      <c r="Q86" s="52">
        <f>SUM($Q$82:$Q$85)</f>
        <v>0</v>
      </c>
      <c r="R86" s="52">
        <f>SUM($R$82:$R$85)</f>
        <v>0</v>
      </c>
      <c r="S86" s="52">
        <f>SUM($K$86,$L$86,$M$86,$N$86,$O$86,$P$86,$Q$86,$R$86)</f>
        <v>28</v>
      </c>
      <c r="T86" s="52">
        <f>SUM($C$86,$D$86,$E$86,$F$86,$G$86,$H$86,$I$86,$J$86)</f>
        <v>31</v>
      </c>
      <c r="U86" s="52">
        <f>SUM($U$82:$U$85)</f>
        <v>2</v>
      </c>
      <c r="V86" s="52">
        <f>SUM($V$82:$V$85)</f>
        <v>0</v>
      </c>
      <c r="W86" s="52">
        <f>SUM($W$82:$W$85)</f>
        <v>0</v>
      </c>
      <c r="X86" s="52">
        <f>SUM($X$82:$X$85)</f>
        <v>0</v>
      </c>
      <c r="Y86" s="52">
        <f>SUM($Y$82:$Y$85)</f>
        <v>0</v>
      </c>
      <c r="Z86" s="52">
        <f>SUM($Z$82:$Z$85)</f>
        <v>15</v>
      </c>
      <c r="AA86" s="52">
        <f>SUM($AA$82:$AA$85)</f>
        <v>1</v>
      </c>
      <c r="AB86" s="52">
        <f>SUM($AB$82:$AB$85)</f>
        <v>0</v>
      </c>
      <c r="AC86" s="52">
        <f>SUM($AC$82:$AC$85)</f>
        <v>2</v>
      </c>
      <c r="AD86" s="52">
        <f>SUM($AD$82:$AD$85)</f>
        <v>0</v>
      </c>
      <c r="AE86" s="52">
        <f>SUM($AE$82:$AE$85)</f>
        <v>0</v>
      </c>
      <c r="AF86" s="52">
        <f>SUM($AF$82:$AF$85)</f>
        <v>0</v>
      </c>
      <c r="AG86" s="52">
        <f>SUM($AG$82:$AG$85)</f>
        <v>0</v>
      </c>
      <c r="AH86" s="52">
        <f>SUM($AH$82:$AH$85)</f>
        <v>3</v>
      </c>
      <c r="AI86" s="52">
        <f>SUM($AI$82:$AI$85)</f>
        <v>0</v>
      </c>
      <c r="AJ86" s="52">
        <f>SUM($AJ$82:$AJ$85)</f>
        <v>0</v>
      </c>
      <c r="AK86" s="52">
        <f>SUM($AC$86,$AD$86,$AE$86,$AF$86,$AG$86,$AH$86,$AI$86,$AJ$86)</f>
        <v>5</v>
      </c>
      <c r="AL86" s="52">
        <f>SUM($U$86,$V$86,$W$86,$X$86,$Y$86,$Z$86,$AA$86,$AB$86)</f>
        <v>18</v>
      </c>
      <c r="AM86" s="52">
        <f>SUM($AM$82:$AM$85)</f>
        <v>5</v>
      </c>
      <c r="AN86" s="52">
        <f>SUM($AN$82:$AN$85)</f>
        <v>1</v>
      </c>
      <c r="AO86" s="52">
        <f>SUM($AO$82:$AO$85)</f>
        <v>0</v>
      </c>
      <c r="AP86" s="52">
        <f>SUM($AP$82:$AP$85)</f>
        <v>0</v>
      </c>
      <c r="AQ86" s="52">
        <f>SUM($AQ$82:$AQ$85)</f>
        <v>0</v>
      </c>
      <c r="AR86" s="52">
        <f>SUM($AR$82:$AR$85)</f>
        <v>0</v>
      </c>
      <c r="AS86" s="52">
        <f>SUM($AS$82:$AS$85)</f>
        <v>0</v>
      </c>
      <c r="AT86" s="52">
        <f>SUM($AT$82:$AT$85)</f>
        <v>0</v>
      </c>
      <c r="AU86" s="52">
        <f>SUM($AU$82:$AU$85)</f>
        <v>5</v>
      </c>
      <c r="AV86" s="52">
        <f>SUM($AV$82:$AV$85)</f>
        <v>1</v>
      </c>
      <c r="AW86" s="52">
        <f>SUM($AW$82:$AW$85)</f>
        <v>0</v>
      </c>
      <c r="AX86" s="52">
        <f>SUM($AX$82:$AX$85)</f>
        <v>0</v>
      </c>
      <c r="AY86" s="52">
        <f>SUM($AY$82:$AY$85)</f>
        <v>0</v>
      </c>
      <c r="AZ86" s="52">
        <f>SUM($AZ$82:$AZ$85)</f>
        <v>0</v>
      </c>
      <c r="BA86" s="52">
        <f>SUM($BA$82:$BA$85)</f>
        <v>0</v>
      </c>
      <c r="BB86" s="52">
        <f>SUM($BB$82:$BB$85)</f>
        <v>0</v>
      </c>
      <c r="BC86" s="52">
        <f>SUM($AU$86,$AV$86,$AW$86,$AX$86,$AY$86,$AZ$86,$BA$86,$BB$86)</f>
        <v>6</v>
      </c>
      <c r="BD86" s="52">
        <f>SUM($AM$86,$AN$86,$AO$86,$AP$86,$AQ$86,$AR$86,$AS$86,$AT$86)</f>
        <v>6</v>
      </c>
      <c r="BE86" s="52">
        <f>SUM($BE$82:$BE$85)</f>
        <v>0</v>
      </c>
      <c r="BF86" s="52">
        <f>SUM($BF$82:$BF$85)</f>
        <v>0</v>
      </c>
      <c r="BG86" s="52">
        <f>SUM($BG$82:$BG$85)</f>
        <v>0</v>
      </c>
      <c r="BH86" s="52">
        <f>SUM($BH$82:$BH$85)</f>
        <v>0</v>
      </c>
      <c r="BI86" s="52">
        <f>SUM($BI$82:$BI$85)</f>
        <v>0</v>
      </c>
      <c r="BJ86" s="52">
        <f>SUM($BJ$82:$BJ$85)</f>
        <v>0</v>
      </c>
      <c r="BK86" s="52">
        <f>SUM($BK$82:$BK$85)</f>
        <v>0</v>
      </c>
      <c r="BL86" s="52">
        <f>SUM($BL$82:$BL$85)</f>
        <v>0</v>
      </c>
      <c r="BM86" s="52">
        <f>SUM($BM$82:$BM$85)</f>
        <v>0</v>
      </c>
      <c r="BN86" s="52">
        <f>SUM($BN$82:$BN$85)</f>
        <v>0</v>
      </c>
      <c r="BO86" s="52">
        <f>SUM($BO$82:$BO$85)</f>
        <v>0</v>
      </c>
      <c r="BP86" s="52">
        <f>SUM($BP$82:$BP$85)</f>
        <v>0</v>
      </c>
      <c r="BQ86" s="52">
        <f>SUM($BQ$82:$BQ$85)</f>
        <v>0</v>
      </c>
      <c r="BR86" s="52">
        <f>SUM($BR$82:$BR$85)</f>
        <v>0</v>
      </c>
      <c r="BS86" s="52">
        <f>SUM($BS$82:$BS$85)</f>
        <v>0</v>
      </c>
      <c r="BT86" s="52">
        <f>SUM($BT$82:$BT$85)</f>
        <v>0</v>
      </c>
      <c r="BU86" s="52">
        <f>SUM($BM$86,$BN$86,$BO$86,$BP$86,$BQ$86,$BR$86,$BS$86,$BT$86)</f>
        <v>0</v>
      </c>
      <c r="BV86" s="52">
        <f>SUM($BE$86,$BF$86,$BG$86,$BH$86,$BI$86,$BJ$86,$BK$86,$BL$86)</f>
        <v>0</v>
      </c>
      <c r="BX86" s="52" t="s">
        <v>34</v>
      </c>
      <c r="BY86" s="52">
        <f>SUM($BY$82:$BY$85)</f>
        <v>30</v>
      </c>
      <c r="BZ86" s="52">
        <f>SUM($BZ$82:$BZ$85)</f>
        <v>5</v>
      </c>
      <c r="CA86" s="52">
        <f>SUM($CA$82:$CA$85)</f>
        <v>0</v>
      </c>
      <c r="CB86" s="52">
        <f>SUM($CB$82:$CB$85)</f>
        <v>0</v>
      </c>
      <c r="CC86" s="52">
        <f>SUM($CC$82:$CC$85)</f>
        <v>0</v>
      </c>
      <c r="CD86" s="52">
        <f>SUM($CD$82:$CD$85)</f>
        <v>18</v>
      </c>
      <c r="CE86" s="52">
        <f>SUM($CE$82:$CE$85)</f>
        <v>2</v>
      </c>
      <c r="CF86" s="52">
        <f>SUM($CF$82:$CF$85)</f>
        <v>0</v>
      </c>
      <c r="CG86" s="52">
        <f>SUM($CG$82:$CG$85)</f>
        <v>30</v>
      </c>
      <c r="CH86" s="52">
        <f>SUM($CH$82:$CH$85)</f>
        <v>5</v>
      </c>
      <c r="CI86" s="52">
        <f>SUM($CI$82:$CI$85)</f>
        <v>0</v>
      </c>
      <c r="CJ86" s="52">
        <f>SUM($CJ$82:$CJ$85)</f>
        <v>0</v>
      </c>
      <c r="CK86" s="52">
        <f>SUM($CK$82:$CK$85)</f>
        <v>0</v>
      </c>
      <c r="CL86" s="52">
        <f>SUM($CL$82:$CL$85)</f>
        <v>4</v>
      </c>
      <c r="CM86" s="52">
        <f>SUM($CM$82:$CM$85)</f>
        <v>1</v>
      </c>
      <c r="CN86" s="52">
        <f>SUM($CN$82:$CN$85)</f>
        <v>0</v>
      </c>
      <c r="CO86" s="52">
        <f>SUM($CG$86,$CH$86,$CI$86,$CJ$86,$CK$86,$CL$86,$CM$86,$CN$86)</f>
        <v>40</v>
      </c>
      <c r="CP86" s="52">
        <f>SUM($BY$86,$BZ$86,$CA$86,$CB$86,$CC$86,$CD$86,$CE$86,$CF$86)</f>
        <v>55</v>
      </c>
      <c r="CQ86" s="52">
        <f>SUM($CQ$82:$CQ$85)</f>
        <v>24</v>
      </c>
      <c r="CR86" s="52">
        <f>SUM($CR$82:$CR$85)</f>
        <v>6</v>
      </c>
      <c r="CS86" s="52">
        <f>SUM($CS$82:$CS$85)</f>
        <v>0</v>
      </c>
      <c r="CT86" s="52">
        <f>SUM($CT$82:$CT$85)</f>
        <v>0</v>
      </c>
      <c r="CU86" s="52">
        <f>SUM($CU$82:$CU$85)</f>
        <v>0</v>
      </c>
      <c r="CV86" s="52">
        <f>SUM($CV$82:$CV$85)</f>
        <v>25</v>
      </c>
      <c r="CW86" s="52">
        <f>SUM($CW$82:$CW$85)</f>
        <v>1</v>
      </c>
      <c r="CX86" s="52">
        <f>SUM($CX$82:$CX$85)</f>
        <v>0</v>
      </c>
      <c r="CY86" s="52">
        <f>SUM($CY$82:$CY$85)</f>
        <v>24</v>
      </c>
      <c r="CZ86" s="52">
        <f>SUM($CZ$82:$CZ$85)</f>
        <v>6</v>
      </c>
      <c r="DA86" s="52">
        <f>SUM($DA$82:$DA$85)</f>
        <v>0</v>
      </c>
      <c r="DB86" s="52">
        <f>SUM($DB$82:$DB$85)</f>
        <v>0</v>
      </c>
      <c r="DC86" s="52">
        <f>SUM($DC$82:$DC$85)</f>
        <v>0</v>
      </c>
      <c r="DD86" s="52">
        <f>SUM($DD$82:$DD$85)</f>
        <v>5</v>
      </c>
      <c r="DE86" s="52">
        <f>SUM($DE$82:$DE$85)</f>
        <v>0</v>
      </c>
      <c r="DF86" s="52">
        <f>SUM($DF$82:$DF$85)</f>
        <v>0</v>
      </c>
      <c r="DG86" s="52">
        <f>SUM($CY$86,$CZ$86,$DA$86,$DB$86,$DC$86,$DD$86,$DE$86,$DF$86)</f>
        <v>35</v>
      </c>
      <c r="DH86" s="52">
        <f>SUM($CQ$86,$CR$86,$CS$86,$CT$86,$CU$86,$CV$86,$CW$86,$CX$86)</f>
        <v>56</v>
      </c>
    </row>
    <row r="87" spans="1:112" ht="21" customHeight="1">
      <c r="A87" s="46">
        <v>44395.625</v>
      </c>
      <c r="B87" s="53" t="s">
        <v>91</v>
      </c>
      <c r="C87" s="54">
        <v>8</v>
      </c>
      <c r="D87" s="54">
        <v>0</v>
      </c>
      <c r="E87" s="54">
        <v>0</v>
      </c>
      <c r="F87" s="54">
        <v>0</v>
      </c>
      <c r="G87" s="54">
        <v>0</v>
      </c>
      <c r="H87" s="54">
        <v>0</v>
      </c>
      <c r="I87" s="54">
        <v>0</v>
      </c>
      <c r="J87" s="61">
        <v>0</v>
      </c>
      <c r="K87" s="62">
        <f>$C$87*VLOOKUP($C$11,'PCU Values'!$B$9:$C$16,2,FALSE)</f>
        <v>8</v>
      </c>
      <c r="L87" s="62">
        <f>$D$87*VLOOKUP($D$11,'PCU Values'!$B$9:$C$16,2,FALSE)</f>
        <v>0</v>
      </c>
      <c r="M87" s="62">
        <f>$E$87*VLOOKUP($E$11,'PCU Values'!$B$9:$C$16,2,FALSE)</f>
        <v>0</v>
      </c>
      <c r="N87" s="62">
        <f>$F$87*VLOOKUP($F$11,'PCU Values'!$B$9:$C$16,2,FALSE)</f>
        <v>0</v>
      </c>
      <c r="O87" s="62">
        <f>$G$87*VLOOKUP($G$11,'PCU Values'!$B$9:$C$16,2,FALSE)</f>
        <v>0</v>
      </c>
      <c r="P87" s="62">
        <f>$H$87*VLOOKUP($H$11,'PCU Values'!$B$9:$C$16,2,FALSE)</f>
        <v>0</v>
      </c>
      <c r="Q87" s="62">
        <f>$I$87*VLOOKUP($I$11,'PCU Values'!$B$9:$C$16,2,FALSE)</f>
        <v>0</v>
      </c>
      <c r="R87" s="70">
        <f>$J$87*VLOOKUP($J$11,'PCU Values'!$B$9:$C$16,2,FALSE)</f>
        <v>0</v>
      </c>
      <c r="S87" s="71">
        <f>SUM($K$87,$L$87,$M$87,$N$87,$O$87,$P$87,$Q$87,$R$87)</f>
        <v>8</v>
      </c>
      <c r="T87" s="52">
        <f>SUM($C$87,$D$87,$E$87,$F$87,$G$87,$H$87,$I$87,$J$87)</f>
        <v>8</v>
      </c>
      <c r="U87" s="74">
        <v>0</v>
      </c>
      <c r="V87" s="75">
        <v>1</v>
      </c>
      <c r="W87" s="75">
        <v>0</v>
      </c>
      <c r="X87" s="75">
        <v>0</v>
      </c>
      <c r="Y87" s="75">
        <v>0</v>
      </c>
      <c r="Z87" s="75">
        <v>2</v>
      </c>
      <c r="AA87" s="54">
        <v>0</v>
      </c>
      <c r="AB87" s="61">
        <v>0</v>
      </c>
      <c r="AC87" s="62">
        <f>$U$87*VLOOKUP($U$11,'PCU Values'!$B$9:$C$16,2,FALSE)</f>
        <v>0</v>
      </c>
      <c r="AD87" s="62">
        <f>$V$87*VLOOKUP($V$11,'PCU Values'!$B$9:$C$16,2,FALSE)</f>
        <v>1</v>
      </c>
      <c r="AE87" s="62">
        <f>$W$87*VLOOKUP($W$11,'PCU Values'!$B$9:$C$16,2,FALSE)</f>
        <v>0</v>
      </c>
      <c r="AF87" s="62">
        <f>$X$87*VLOOKUP($X$11,'PCU Values'!$B$9:$C$16,2,FALSE)</f>
        <v>0</v>
      </c>
      <c r="AG87" s="62">
        <f>$Y$87*VLOOKUP($Y$11,'PCU Values'!$B$9:$C$16,2,FALSE)</f>
        <v>0</v>
      </c>
      <c r="AH87" s="62">
        <f>$Z$87*VLOOKUP($Z$11,'PCU Values'!$B$9:$C$16,2,FALSE)</f>
        <v>0.4</v>
      </c>
      <c r="AI87" s="62">
        <f>$AA$87*VLOOKUP($AA$11,'PCU Values'!$B$9:$C$16,2,FALSE)</f>
        <v>0</v>
      </c>
      <c r="AJ87" s="70">
        <f>$AB$87*VLOOKUP($AB$11,'PCU Values'!$B$9:$C$16,2,FALSE)</f>
        <v>0</v>
      </c>
      <c r="AK87" s="71">
        <f>SUM($AC$87,$AD$87,$AE$87,$AF$87,$AG$87,$AH$87,$AI$87,$AJ$87)</f>
        <v>1.4</v>
      </c>
      <c r="AL87" s="52">
        <f>SUM($U$87,$V$87,$W$87,$X$87,$Y$87,$Z$87,$AA$87,$AB$87)</f>
        <v>3</v>
      </c>
      <c r="AM87" s="72">
        <v>4</v>
      </c>
      <c r="AN87" s="54">
        <v>0</v>
      </c>
      <c r="AO87" s="54">
        <v>0</v>
      </c>
      <c r="AP87" s="54">
        <v>0</v>
      </c>
      <c r="AQ87" s="54">
        <v>0</v>
      </c>
      <c r="AR87" s="54">
        <v>0</v>
      </c>
      <c r="AS87" s="54">
        <v>0</v>
      </c>
      <c r="AT87" s="61">
        <v>0</v>
      </c>
      <c r="AU87" s="62">
        <f>$AM$87*VLOOKUP($AM$11,'PCU Values'!$B$9:$C$16,2,FALSE)</f>
        <v>4</v>
      </c>
      <c r="AV87" s="62">
        <f>$AN$87*VLOOKUP($AN$11,'PCU Values'!$B$9:$C$16,2,FALSE)</f>
        <v>0</v>
      </c>
      <c r="AW87" s="62">
        <f>$AO$87*VLOOKUP($AO$11,'PCU Values'!$B$9:$C$16,2,FALSE)</f>
        <v>0</v>
      </c>
      <c r="AX87" s="62">
        <f>$AP$87*VLOOKUP($AP$11,'PCU Values'!$B$9:$C$16,2,FALSE)</f>
        <v>0</v>
      </c>
      <c r="AY87" s="62">
        <f>$AQ$87*VLOOKUP($AQ$11,'PCU Values'!$B$9:$C$16,2,FALSE)</f>
        <v>0</v>
      </c>
      <c r="AZ87" s="62">
        <f>$AR$87*VLOOKUP($AR$11,'PCU Values'!$B$9:$C$16,2,FALSE)</f>
        <v>0</v>
      </c>
      <c r="BA87" s="62">
        <f>$AS$87*VLOOKUP($AS$11,'PCU Values'!$B$9:$C$16,2,FALSE)</f>
        <v>0</v>
      </c>
      <c r="BB87" s="70">
        <f>$AT$87*VLOOKUP($AT$11,'PCU Values'!$B$9:$C$16,2,FALSE)</f>
        <v>0</v>
      </c>
      <c r="BC87" s="71">
        <f>SUM($AU$87,$AV$87,$AW$87,$AX$87,$AY$87,$AZ$87,$BA$87,$BB$87)</f>
        <v>4</v>
      </c>
      <c r="BD87" s="52">
        <f>SUM($AM$87,$AN$87,$AO$87,$AP$87,$AQ$87,$AR$87,$AS$87,$AT$87)</f>
        <v>4</v>
      </c>
      <c r="BE87" s="72">
        <v>0</v>
      </c>
      <c r="BF87" s="54">
        <v>0</v>
      </c>
      <c r="BG87" s="54">
        <v>0</v>
      </c>
      <c r="BH87" s="54">
        <v>0</v>
      </c>
      <c r="BI87" s="54">
        <v>0</v>
      </c>
      <c r="BJ87" s="54">
        <v>0</v>
      </c>
      <c r="BK87" s="54">
        <v>0</v>
      </c>
      <c r="BL87" s="61">
        <v>0</v>
      </c>
      <c r="BM87" s="81">
        <f>$BE$87*VLOOKUP($BE$11,'PCU Values'!$B$9:$C$16,2,FALSE)</f>
        <v>0</v>
      </c>
      <c r="BN87" s="81">
        <f>$BF$87*VLOOKUP($BF$11,'PCU Values'!$B$9:$C$16,2,FALSE)</f>
        <v>0</v>
      </c>
      <c r="BO87" s="81">
        <f>$BG$87*VLOOKUP($BG$11,'PCU Values'!$B$9:$C$16,2,FALSE)</f>
        <v>0</v>
      </c>
      <c r="BP87" s="81">
        <f>$BH$87*VLOOKUP($BH$11,'PCU Values'!$B$9:$C$16,2,FALSE)</f>
        <v>0</v>
      </c>
      <c r="BQ87" s="81">
        <f>$BI$87*VLOOKUP($BI$11,'PCU Values'!$B$9:$C$16,2,FALSE)</f>
        <v>0</v>
      </c>
      <c r="BR87" s="81">
        <f>$BJ$87*VLOOKUP($BJ$11,'PCU Values'!$B$9:$C$16,2,FALSE)</f>
        <v>0</v>
      </c>
      <c r="BS87" s="81">
        <f>$BK$87*VLOOKUP($BK$11,'PCU Values'!$B$9:$C$16,2,FALSE)</f>
        <v>0</v>
      </c>
      <c r="BT87" s="82">
        <f>$BL$87*VLOOKUP($BL$11,'PCU Values'!$B$9:$C$16,2,FALSE)</f>
        <v>0</v>
      </c>
      <c r="BU87" s="71">
        <f>SUM($BM$87,$BN$87,$BO$87,$BP$87,$BQ$87,$BR$87,$BS$87,$BT$87)</f>
        <v>0</v>
      </c>
      <c r="BV87" s="52">
        <f>SUM($BE$87,$BF$87,$BG$87,$BH$87,$BI$87,$BJ$87,$BK$87,$BL$87)</f>
        <v>0</v>
      </c>
      <c r="BX87" s="53" t="s">
        <v>91</v>
      </c>
      <c r="BY87" s="85">
        <f>SUM($C$87,$U$87,$AM$87,$BE$87)</f>
        <v>12</v>
      </c>
      <c r="BZ87" s="85">
        <f>SUM($D$87,$V$87,$AN$87,$BF$87)</f>
        <v>1</v>
      </c>
      <c r="CA87" s="85">
        <f>SUM($E$87,$W$87,$AO$87,$BG$87)</f>
        <v>0</v>
      </c>
      <c r="CB87" s="85">
        <f>SUM($F$87,$X$87,$AP$87,$BH$87)</f>
        <v>0</v>
      </c>
      <c r="CC87" s="85">
        <f>SUM($G$87,$Y$87,$AQ$87,$BI$87)</f>
        <v>0</v>
      </c>
      <c r="CD87" s="85">
        <f>SUM($H$87,$Z$87,$AR$87,$BJ$87)</f>
        <v>2</v>
      </c>
      <c r="CE87" s="85">
        <f>SUM($I$87,$AA$87,$AS$87,$BK$87)</f>
        <v>0</v>
      </c>
      <c r="CF87" s="88">
        <f>SUM($J$87,$AB$87,$AT$87,$BL$87)</f>
        <v>0</v>
      </c>
      <c r="CG87" s="81">
        <f>$BY$87*VLOOKUP($BY$11,'PCU Values'!$B$9:$C$16,2,FALSE)</f>
        <v>12</v>
      </c>
      <c r="CH87" s="81">
        <f>$BZ$87*VLOOKUP($BZ$11,'PCU Values'!$B$9:$C$16,2,FALSE)</f>
        <v>1</v>
      </c>
      <c r="CI87" s="81">
        <f>$CA$87*VLOOKUP($CA$11,'PCU Values'!$B$9:$C$16,2,FALSE)</f>
        <v>0</v>
      </c>
      <c r="CJ87" s="81">
        <f>$CB$87*VLOOKUP($CB$11,'PCU Values'!$B$9:$C$16,2,FALSE)</f>
        <v>0</v>
      </c>
      <c r="CK87" s="81">
        <f>$CC$87*VLOOKUP($CC$11,'PCU Values'!$B$9:$C$16,2,FALSE)</f>
        <v>0</v>
      </c>
      <c r="CL87" s="81">
        <f>$CD$87*VLOOKUP($CD$11,'PCU Values'!$B$9:$C$16,2,FALSE)</f>
        <v>0.4</v>
      </c>
      <c r="CM87" s="81">
        <f>$CE$87*VLOOKUP($CE$11,'PCU Values'!$B$9:$C$16,2,FALSE)</f>
        <v>0</v>
      </c>
      <c r="CN87" s="82">
        <f>$CF$87*VLOOKUP($CF$11,'PCU Values'!$B$9:$C$16,2,FALSE)</f>
        <v>0</v>
      </c>
      <c r="CO87" s="71">
        <f>SUM($CG$87,$CH$87,$CI$87,$CJ$87,$CK$87,$CL$87,$CM$87,$CN$87)</f>
        <v>13.4</v>
      </c>
      <c r="CP87" s="52">
        <f>SUM($BY$87,$BZ$87,$CA$87,$CB$87,$CC$87,$CD$87,$CE$87,$CF$87)</f>
        <v>15</v>
      </c>
      <c r="CQ87" s="91">
        <f>SUM('J1 A - (North) Bishopthorpe Roa'!$AM$87,'J1 B - Butcher Terrace'!$U$87,'J1 C - (South) Bishopthorpe Roa'!$C$87,'J1 D - South Bank Avenue'!$BE$87)</f>
        <v>5</v>
      </c>
      <c r="CR87" s="85">
        <f>SUM('J1 A - (North) Bishopthorpe Roa'!$AN$87,'J1 B - Butcher Terrace'!$V$87,'J1 C - (South) Bishopthorpe Roa'!$D$87,'J1 D - South Bank Avenue'!$BF$87)</f>
        <v>0</v>
      </c>
      <c r="CS87" s="85">
        <f>SUM('J1 A - (North) Bishopthorpe Roa'!$AO$87,'J1 B - Butcher Terrace'!$W$87,'J1 C - (South) Bishopthorpe Roa'!$E$87,'J1 D - South Bank Avenue'!$BG$87)</f>
        <v>0</v>
      </c>
      <c r="CT87" s="85">
        <f>SUM('J1 A - (North) Bishopthorpe Roa'!$AP$87,'J1 B - Butcher Terrace'!$X$87,'J1 C - (South) Bishopthorpe Roa'!$F$87,'J1 D - South Bank Avenue'!$BH$87)</f>
        <v>0</v>
      </c>
      <c r="CU87" s="85">
        <f>SUM('J1 A - (North) Bishopthorpe Roa'!$AQ$87,'J1 B - Butcher Terrace'!$Y$87,'J1 C - (South) Bishopthorpe Roa'!$G$87,'J1 D - South Bank Avenue'!$BI$87)</f>
        <v>0</v>
      </c>
      <c r="CV87" s="85">
        <f>SUM('J1 A - (North) Bishopthorpe Roa'!$AR$87,'J1 B - Butcher Terrace'!$Z$87,'J1 C - (South) Bishopthorpe Roa'!$H$87,'J1 D - South Bank Avenue'!$BJ$87)</f>
        <v>15</v>
      </c>
      <c r="CW87" s="85">
        <f>SUM('J1 A - (North) Bishopthorpe Roa'!$AS$87,'J1 B - Butcher Terrace'!$AA$87,'J1 C - (South) Bishopthorpe Roa'!$I$87,'J1 D - South Bank Avenue'!$BK$87)</f>
        <v>1</v>
      </c>
      <c r="CX87" s="88">
        <f>SUM('J1 A - (North) Bishopthorpe Roa'!$AT$87,'J1 B - Butcher Terrace'!$AB$87,'J1 C - (South) Bishopthorpe Roa'!$J$87,'J1 D - South Bank Avenue'!$BL$87)</f>
        <v>0</v>
      </c>
      <c r="CY87" s="81">
        <f>$CQ$87*VLOOKUP($CQ$11,'PCU Values'!$B$9:$C$16,2,FALSE)</f>
        <v>5</v>
      </c>
      <c r="CZ87" s="81">
        <f>$CR$87*VLOOKUP($CR$11,'PCU Values'!$B$9:$C$16,2,FALSE)</f>
        <v>0</v>
      </c>
      <c r="DA87" s="81">
        <f>$CS$87*VLOOKUP($CS$11,'PCU Values'!$B$9:$C$16,2,FALSE)</f>
        <v>0</v>
      </c>
      <c r="DB87" s="81">
        <f>$CT$87*VLOOKUP($CT$11,'PCU Values'!$B$9:$C$16,2,FALSE)</f>
        <v>0</v>
      </c>
      <c r="DC87" s="81">
        <f>$CU$87*VLOOKUP($CU$11,'PCU Values'!$B$9:$C$16,2,FALSE)</f>
        <v>0</v>
      </c>
      <c r="DD87" s="81">
        <f>$CV$87*VLOOKUP($CV$11,'PCU Values'!$B$9:$C$16,2,FALSE)</f>
        <v>3</v>
      </c>
      <c r="DE87" s="81">
        <f>$CW$87*VLOOKUP($CW$11,'PCU Values'!$B$9:$C$16,2,FALSE)</f>
        <v>0.4</v>
      </c>
      <c r="DF87" s="82">
        <f>$CX$87*VLOOKUP($CX$11,'PCU Values'!$B$9:$C$16,2,FALSE)</f>
        <v>0</v>
      </c>
      <c r="DG87" s="71">
        <f>SUM($CY$87,$CZ$87,$DA$87,$DB$87,$DC$87,$DD$87,$DE$87,$DF$87)</f>
        <v>8.4</v>
      </c>
      <c r="DH87" s="52">
        <f>SUM($CQ$87,$CR$87,$CS$87,$CT$87,$CU$87,$CV$87,$CW$87,$CX$87)</f>
        <v>21</v>
      </c>
    </row>
    <row r="88" spans="1:112" ht="21" customHeight="1">
      <c r="A88" s="46">
        <v>44395.635416666701</v>
      </c>
      <c r="B88" s="47" t="s">
        <v>92</v>
      </c>
      <c r="C88" s="48">
        <v>5</v>
      </c>
      <c r="D88" s="48">
        <v>4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56">
        <v>0</v>
      </c>
      <c r="K88" s="57">
        <f>$C$88*VLOOKUP($C$11,'PCU Values'!$B$9:$C$16,2,FALSE)</f>
        <v>5</v>
      </c>
      <c r="L88" s="57">
        <f>$D$88*VLOOKUP($D$11,'PCU Values'!$B$9:$C$16,2,FALSE)</f>
        <v>4</v>
      </c>
      <c r="M88" s="57">
        <f>$E$88*VLOOKUP($E$11,'PCU Values'!$B$9:$C$16,2,FALSE)</f>
        <v>0</v>
      </c>
      <c r="N88" s="57">
        <f>$F$88*VLOOKUP($F$11,'PCU Values'!$B$9:$C$16,2,FALSE)</f>
        <v>0</v>
      </c>
      <c r="O88" s="57">
        <f>$G$88*VLOOKUP($G$11,'PCU Values'!$B$9:$C$16,2,FALSE)</f>
        <v>0</v>
      </c>
      <c r="P88" s="57">
        <f>$H$88*VLOOKUP($H$11,'PCU Values'!$B$9:$C$16,2,FALSE)</f>
        <v>0</v>
      </c>
      <c r="Q88" s="57">
        <f>$I$88*VLOOKUP($I$11,'PCU Values'!$B$9:$C$16,2,FALSE)</f>
        <v>0</v>
      </c>
      <c r="R88" s="65">
        <f>$J$88*VLOOKUP($J$11,'PCU Values'!$B$9:$C$16,2,FALSE)</f>
        <v>0</v>
      </c>
      <c r="S88" s="66">
        <f>SUM($K$88,$L$88,$M$88,$N$88,$O$88,$P$88,$Q$88,$R$88)</f>
        <v>9</v>
      </c>
      <c r="T88" s="52">
        <f>SUM($C$88,$D$88,$E$88,$F$88,$G$88,$H$88,$I$88,$J$88)</f>
        <v>9</v>
      </c>
      <c r="U88" s="67">
        <v>0</v>
      </c>
      <c r="V88" s="48">
        <v>0</v>
      </c>
      <c r="W88" s="48">
        <v>0</v>
      </c>
      <c r="X88" s="48">
        <v>0</v>
      </c>
      <c r="Y88" s="48">
        <v>0</v>
      </c>
      <c r="Z88" s="48">
        <v>3</v>
      </c>
      <c r="AA88" s="48">
        <v>0</v>
      </c>
      <c r="AB88" s="56">
        <v>0</v>
      </c>
      <c r="AC88" s="57">
        <f>$U$88*VLOOKUP($U$11,'PCU Values'!$B$9:$C$16,2,FALSE)</f>
        <v>0</v>
      </c>
      <c r="AD88" s="57">
        <f>$V$88*VLOOKUP($V$11,'PCU Values'!$B$9:$C$16,2,FALSE)</f>
        <v>0</v>
      </c>
      <c r="AE88" s="57">
        <f>$W$88*VLOOKUP($W$11,'PCU Values'!$B$9:$C$16,2,FALSE)</f>
        <v>0</v>
      </c>
      <c r="AF88" s="57">
        <f>$X$88*VLOOKUP($X$11,'PCU Values'!$B$9:$C$16,2,FALSE)</f>
        <v>0</v>
      </c>
      <c r="AG88" s="57">
        <f>$Y$88*VLOOKUP($Y$11,'PCU Values'!$B$9:$C$16,2,FALSE)</f>
        <v>0</v>
      </c>
      <c r="AH88" s="57">
        <f>$Z$88*VLOOKUP($Z$11,'PCU Values'!$B$9:$C$16,2,FALSE)</f>
        <v>0.6</v>
      </c>
      <c r="AI88" s="57">
        <f>$AA$88*VLOOKUP($AA$11,'PCU Values'!$B$9:$C$16,2,FALSE)</f>
        <v>0</v>
      </c>
      <c r="AJ88" s="65">
        <f>$AB$88*VLOOKUP($AB$11,'PCU Values'!$B$9:$C$16,2,FALSE)</f>
        <v>0</v>
      </c>
      <c r="AK88" s="66">
        <f>SUM($AC$88,$AD$88,$AE$88,$AF$88,$AG$88,$AH$88,$AI$88,$AJ$88)</f>
        <v>0.6</v>
      </c>
      <c r="AL88" s="52">
        <f>SUM($U$88,$V$88,$W$88,$X$88,$Y$88,$Z$88,$AA$88,$AB$88)</f>
        <v>3</v>
      </c>
      <c r="AM88" s="67">
        <v>3</v>
      </c>
      <c r="AN88" s="48">
        <v>0</v>
      </c>
      <c r="AO88" s="48">
        <v>0</v>
      </c>
      <c r="AP88" s="48">
        <v>0</v>
      </c>
      <c r="AQ88" s="48">
        <v>0</v>
      </c>
      <c r="AR88" s="48">
        <v>0</v>
      </c>
      <c r="AS88" s="48">
        <v>0</v>
      </c>
      <c r="AT88" s="56">
        <v>0</v>
      </c>
      <c r="AU88" s="57">
        <f>$AM$88*VLOOKUP($AM$11,'PCU Values'!$B$9:$C$16,2,FALSE)</f>
        <v>3</v>
      </c>
      <c r="AV88" s="57">
        <f>$AN$88*VLOOKUP($AN$11,'PCU Values'!$B$9:$C$16,2,FALSE)</f>
        <v>0</v>
      </c>
      <c r="AW88" s="57">
        <f>$AO$88*VLOOKUP($AO$11,'PCU Values'!$B$9:$C$16,2,FALSE)</f>
        <v>0</v>
      </c>
      <c r="AX88" s="57">
        <f>$AP$88*VLOOKUP($AP$11,'PCU Values'!$B$9:$C$16,2,FALSE)</f>
        <v>0</v>
      </c>
      <c r="AY88" s="57">
        <f>$AQ$88*VLOOKUP($AQ$11,'PCU Values'!$B$9:$C$16,2,FALSE)</f>
        <v>0</v>
      </c>
      <c r="AZ88" s="57">
        <f>$AR$88*VLOOKUP($AR$11,'PCU Values'!$B$9:$C$16,2,FALSE)</f>
        <v>0</v>
      </c>
      <c r="BA88" s="57">
        <f>$AS$88*VLOOKUP($AS$11,'PCU Values'!$B$9:$C$16,2,FALSE)</f>
        <v>0</v>
      </c>
      <c r="BB88" s="65">
        <f>$AT$88*VLOOKUP($AT$11,'PCU Values'!$B$9:$C$16,2,FALSE)</f>
        <v>0</v>
      </c>
      <c r="BC88" s="66">
        <f>SUM($AU$88,$AV$88,$AW$88,$AX$88,$AY$88,$AZ$88,$BA$88,$BB$88)</f>
        <v>3</v>
      </c>
      <c r="BD88" s="52">
        <f>SUM($AM$88,$AN$88,$AO$88,$AP$88,$AQ$88,$AR$88,$AS$88,$AT$88)</f>
        <v>3</v>
      </c>
      <c r="BE88" s="67">
        <v>0</v>
      </c>
      <c r="BF88" s="48">
        <v>0</v>
      </c>
      <c r="BG88" s="48">
        <v>0</v>
      </c>
      <c r="BH88" s="48">
        <v>0</v>
      </c>
      <c r="BI88" s="48">
        <v>0</v>
      </c>
      <c r="BJ88" s="48">
        <v>0</v>
      </c>
      <c r="BK88" s="48">
        <v>0</v>
      </c>
      <c r="BL88" s="56">
        <v>0</v>
      </c>
      <c r="BM88" s="77">
        <f>$BE$88*VLOOKUP($BE$11,'PCU Values'!$B$9:$C$16,2,FALSE)</f>
        <v>0</v>
      </c>
      <c r="BN88" s="77">
        <f>$BF$88*VLOOKUP($BF$11,'PCU Values'!$B$9:$C$16,2,FALSE)</f>
        <v>0</v>
      </c>
      <c r="BO88" s="77">
        <f>$BG$88*VLOOKUP($BG$11,'PCU Values'!$B$9:$C$16,2,FALSE)</f>
        <v>0</v>
      </c>
      <c r="BP88" s="77">
        <f>$BH$88*VLOOKUP($BH$11,'PCU Values'!$B$9:$C$16,2,FALSE)</f>
        <v>0</v>
      </c>
      <c r="BQ88" s="77">
        <f>$BI$88*VLOOKUP($BI$11,'PCU Values'!$B$9:$C$16,2,FALSE)</f>
        <v>0</v>
      </c>
      <c r="BR88" s="77">
        <f>$BJ$88*VLOOKUP($BJ$11,'PCU Values'!$B$9:$C$16,2,FALSE)</f>
        <v>0</v>
      </c>
      <c r="BS88" s="77">
        <f>$BK$88*VLOOKUP($BK$11,'PCU Values'!$B$9:$C$16,2,FALSE)</f>
        <v>0</v>
      </c>
      <c r="BT88" s="78">
        <f>$BL$88*VLOOKUP($BL$11,'PCU Values'!$B$9:$C$16,2,FALSE)</f>
        <v>0</v>
      </c>
      <c r="BU88" s="66">
        <f>SUM($BM$88,$BN$88,$BO$88,$BP$88,$BQ$88,$BR$88,$BS$88,$BT$88)</f>
        <v>0</v>
      </c>
      <c r="BV88" s="52">
        <f>SUM($BE$88,$BF$88,$BG$88,$BH$88,$BI$88,$BJ$88,$BK$88,$BL$88)</f>
        <v>0</v>
      </c>
      <c r="BX88" s="47" t="s">
        <v>92</v>
      </c>
      <c r="BY88" s="83">
        <f>SUM($C$88,$U$88,$AM$88,$BE$88)</f>
        <v>8</v>
      </c>
      <c r="BZ88" s="83">
        <f>SUM($D$88,$V$88,$AN$88,$BF$88)</f>
        <v>4</v>
      </c>
      <c r="CA88" s="83">
        <f>SUM($E$88,$W$88,$AO$88,$BG$88)</f>
        <v>0</v>
      </c>
      <c r="CB88" s="83">
        <f>SUM($F$88,$X$88,$AP$88,$BH$88)</f>
        <v>0</v>
      </c>
      <c r="CC88" s="83">
        <f>SUM($G$88,$Y$88,$AQ$88,$BI$88)</f>
        <v>0</v>
      </c>
      <c r="CD88" s="83">
        <f>SUM($H$88,$Z$88,$AR$88,$BJ$88)</f>
        <v>3</v>
      </c>
      <c r="CE88" s="83">
        <f>SUM($I$88,$AA$88,$AS$88,$BK$88)</f>
        <v>0</v>
      </c>
      <c r="CF88" s="86">
        <f>SUM($J$88,$AB$88,$AT$88,$BL$88)</f>
        <v>0</v>
      </c>
      <c r="CG88" s="77">
        <f>$BY$88*VLOOKUP($BY$11,'PCU Values'!$B$9:$C$16,2,FALSE)</f>
        <v>8</v>
      </c>
      <c r="CH88" s="77">
        <f>$BZ$88*VLOOKUP($BZ$11,'PCU Values'!$B$9:$C$16,2,FALSE)</f>
        <v>4</v>
      </c>
      <c r="CI88" s="77">
        <f>$CA$88*VLOOKUP($CA$11,'PCU Values'!$B$9:$C$16,2,FALSE)</f>
        <v>0</v>
      </c>
      <c r="CJ88" s="77">
        <f>$CB$88*VLOOKUP($CB$11,'PCU Values'!$B$9:$C$16,2,FALSE)</f>
        <v>0</v>
      </c>
      <c r="CK88" s="77">
        <f>$CC$88*VLOOKUP($CC$11,'PCU Values'!$B$9:$C$16,2,FALSE)</f>
        <v>0</v>
      </c>
      <c r="CL88" s="77">
        <f>$CD$88*VLOOKUP($CD$11,'PCU Values'!$B$9:$C$16,2,FALSE)</f>
        <v>0.6</v>
      </c>
      <c r="CM88" s="77">
        <f>$CE$88*VLOOKUP($CE$11,'PCU Values'!$B$9:$C$16,2,FALSE)</f>
        <v>0</v>
      </c>
      <c r="CN88" s="78">
        <f>$CF$88*VLOOKUP($CF$11,'PCU Values'!$B$9:$C$16,2,FALSE)</f>
        <v>0</v>
      </c>
      <c r="CO88" s="66">
        <f>SUM($CG$88,$CH$88,$CI$88,$CJ$88,$CK$88,$CL$88,$CM$88,$CN$88)</f>
        <v>12.6</v>
      </c>
      <c r="CP88" s="52">
        <f>SUM($BY$88,$BZ$88,$CA$88,$CB$88,$CC$88,$CD$88,$CE$88,$CF$88)</f>
        <v>15</v>
      </c>
      <c r="CQ88" s="89">
        <f>SUM('J1 A - (North) Bishopthorpe Roa'!$AM$88,'J1 B - Butcher Terrace'!$U$88,'J1 C - (South) Bishopthorpe Roa'!$C$88,'J1 D - South Bank Avenue'!$BE$88)</f>
        <v>8</v>
      </c>
      <c r="CR88" s="83">
        <f>SUM('J1 A - (North) Bishopthorpe Roa'!$AN$88,'J1 B - Butcher Terrace'!$V$88,'J1 C - (South) Bishopthorpe Roa'!$D$88,'J1 D - South Bank Avenue'!$BF$88)</f>
        <v>3</v>
      </c>
      <c r="CS88" s="83">
        <f>SUM('J1 A - (North) Bishopthorpe Roa'!$AO$88,'J1 B - Butcher Terrace'!$W$88,'J1 C - (South) Bishopthorpe Roa'!$E$88,'J1 D - South Bank Avenue'!$BG$88)</f>
        <v>0</v>
      </c>
      <c r="CT88" s="83">
        <f>SUM('J1 A - (North) Bishopthorpe Roa'!$AP$88,'J1 B - Butcher Terrace'!$X$88,'J1 C - (South) Bishopthorpe Roa'!$F$88,'J1 D - South Bank Avenue'!$BH$88)</f>
        <v>0</v>
      </c>
      <c r="CU88" s="83">
        <f>SUM('J1 A - (North) Bishopthorpe Roa'!$AQ$88,'J1 B - Butcher Terrace'!$Y$88,'J1 C - (South) Bishopthorpe Roa'!$G$88,'J1 D - South Bank Avenue'!$BI$88)</f>
        <v>0</v>
      </c>
      <c r="CV88" s="83">
        <f>SUM('J1 A - (North) Bishopthorpe Roa'!$AR$88,'J1 B - Butcher Terrace'!$Z$88,'J1 C - (South) Bishopthorpe Roa'!$H$88,'J1 D - South Bank Avenue'!$BJ$88)</f>
        <v>14</v>
      </c>
      <c r="CW88" s="83">
        <f>SUM('J1 A - (North) Bishopthorpe Roa'!$AS$88,'J1 B - Butcher Terrace'!$AA$88,'J1 C - (South) Bishopthorpe Roa'!$I$88,'J1 D - South Bank Avenue'!$BK$88)</f>
        <v>0</v>
      </c>
      <c r="CX88" s="86">
        <f>SUM('J1 A - (North) Bishopthorpe Roa'!$AT$88,'J1 B - Butcher Terrace'!$AB$88,'J1 C - (South) Bishopthorpe Roa'!$J$88,'J1 D - South Bank Avenue'!$BL$88)</f>
        <v>0</v>
      </c>
      <c r="CY88" s="77">
        <f>$CQ$88*VLOOKUP($CQ$11,'PCU Values'!$B$9:$C$16,2,FALSE)</f>
        <v>8</v>
      </c>
      <c r="CZ88" s="77">
        <f>$CR$88*VLOOKUP($CR$11,'PCU Values'!$B$9:$C$16,2,FALSE)</f>
        <v>3</v>
      </c>
      <c r="DA88" s="77">
        <f>$CS$88*VLOOKUP($CS$11,'PCU Values'!$B$9:$C$16,2,FALSE)</f>
        <v>0</v>
      </c>
      <c r="DB88" s="77">
        <f>$CT$88*VLOOKUP($CT$11,'PCU Values'!$B$9:$C$16,2,FALSE)</f>
        <v>0</v>
      </c>
      <c r="DC88" s="77">
        <f>$CU$88*VLOOKUP($CU$11,'PCU Values'!$B$9:$C$16,2,FALSE)</f>
        <v>0</v>
      </c>
      <c r="DD88" s="77">
        <f>$CV$88*VLOOKUP($CV$11,'PCU Values'!$B$9:$C$16,2,FALSE)</f>
        <v>2.8</v>
      </c>
      <c r="DE88" s="77">
        <f>$CW$88*VLOOKUP($CW$11,'PCU Values'!$B$9:$C$16,2,FALSE)</f>
        <v>0</v>
      </c>
      <c r="DF88" s="78">
        <f>$CX$88*VLOOKUP($CX$11,'PCU Values'!$B$9:$C$16,2,FALSE)</f>
        <v>0</v>
      </c>
      <c r="DG88" s="66">
        <f>SUM($CY$88,$CZ$88,$DA$88,$DB$88,$DC$88,$DD$88,$DE$88,$DF$88)</f>
        <v>13.8</v>
      </c>
      <c r="DH88" s="52">
        <f>SUM($CQ$88,$CR$88,$CS$88,$CT$88,$CU$88,$CV$88,$CW$88,$CX$88)</f>
        <v>25</v>
      </c>
    </row>
    <row r="89" spans="1:112" ht="21" customHeight="1">
      <c r="A89" s="46">
        <v>44395.645833333299</v>
      </c>
      <c r="B89" s="47" t="s">
        <v>93</v>
      </c>
      <c r="C89" s="49">
        <v>6</v>
      </c>
      <c r="D89" s="49">
        <v>0</v>
      </c>
      <c r="E89" s="49">
        <v>0</v>
      </c>
      <c r="F89" s="49">
        <v>0</v>
      </c>
      <c r="G89" s="49">
        <v>0</v>
      </c>
      <c r="H89" s="49">
        <v>1</v>
      </c>
      <c r="I89" s="49">
        <v>0</v>
      </c>
      <c r="J89" s="58">
        <v>0</v>
      </c>
      <c r="K89" s="57">
        <f>$C$89*VLOOKUP($C$11,'PCU Values'!$B$9:$C$16,2,FALSE)</f>
        <v>6</v>
      </c>
      <c r="L89" s="57">
        <f>$D$89*VLOOKUP($D$11,'PCU Values'!$B$9:$C$16,2,FALSE)</f>
        <v>0</v>
      </c>
      <c r="M89" s="57">
        <f>$E$89*VLOOKUP($E$11,'PCU Values'!$B$9:$C$16,2,FALSE)</f>
        <v>0</v>
      </c>
      <c r="N89" s="57">
        <f>$F$89*VLOOKUP($F$11,'PCU Values'!$B$9:$C$16,2,FALSE)</f>
        <v>0</v>
      </c>
      <c r="O89" s="57">
        <f>$G$89*VLOOKUP($G$11,'PCU Values'!$B$9:$C$16,2,FALSE)</f>
        <v>0</v>
      </c>
      <c r="P89" s="57">
        <f>$H$89*VLOOKUP($H$11,'PCU Values'!$B$9:$C$16,2,FALSE)</f>
        <v>0.2</v>
      </c>
      <c r="Q89" s="57">
        <f>$I$89*VLOOKUP($I$11,'PCU Values'!$B$9:$C$16,2,FALSE)</f>
        <v>0</v>
      </c>
      <c r="R89" s="65">
        <f>$J$89*VLOOKUP($J$11,'PCU Values'!$B$9:$C$16,2,FALSE)</f>
        <v>0</v>
      </c>
      <c r="S89" s="66">
        <f>SUM($K$89,$L$89,$M$89,$N$89,$O$89,$P$89,$Q$89,$R$89)</f>
        <v>6.2</v>
      </c>
      <c r="T89" s="52">
        <f>SUM($C$89,$D$89,$E$89,$F$89,$G$89,$H$89,$I$89,$J$89)</f>
        <v>7</v>
      </c>
      <c r="U89" s="49">
        <v>0</v>
      </c>
      <c r="V89" s="49">
        <v>0</v>
      </c>
      <c r="W89" s="49">
        <v>0</v>
      </c>
      <c r="X89" s="49">
        <v>0</v>
      </c>
      <c r="Y89" s="49">
        <v>0</v>
      </c>
      <c r="Z89" s="49">
        <v>0</v>
      </c>
      <c r="AA89" s="49">
        <v>0</v>
      </c>
      <c r="AB89" s="58">
        <v>0</v>
      </c>
      <c r="AC89" s="57">
        <f>$U$89*VLOOKUP($U$11,'PCU Values'!$B$9:$C$16,2,FALSE)</f>
        <v>0</v>
      </c>
      <c r="AD89" s="57">
        <f>$V$89*VLOOKUP($V$11,'PCU Values'!$B$9:$C$16,2,FALSE)</f>
        <v>0</v>
      </c>
      <c r="AE89" s="57">
        <f>$W$89*VLOOKUP($W$11,'PCU Values'!$B$9:$C$16,2,FALSE)</f>
        <v>0</v>
      </c>
      <c r="AF89" s="57">
        <f>$X$89*VLOOKUP($X$11,'PCU Values'!$B$9:$C$16,2,FALSE)</f>
        <v>0</v>
      </c>
      <c r="AG89" s="57">
        <f>$Y$89*VLOOKUP($Y$11,'PCU Values'!$B$9:$C$16,2,FALSE)</f>
        <v>0</v>
      </c>
      <c r="AH89" s="57">
        <f>$Z$89*VLOOKUP($Z$11,'PCU Values'!$B$9:$C$16,2,FALSE)</f>
        <v>0</v>
      </c>
      <c r="AI89" s="57">
        <f>$AA$89*VLOOKUP($AA$11,'PCU Values'!$B$9:$C$16,2,FALSE)</f>
        <v>0</v>
      </c>
      <c r="AJ89" s="65">
        <f>$AB$89*VLOOKUP($AB$11,'PCU Values'!$B$9:$C$16,2,FALSE)</f>
        <v>0</v>
      </c>
      <c r="AK89" s="66">
        <f>SUM($AC$89,$AD$89,$AE$89,$AF$89,$AG$89,$AH$89,$AI$89,$AJ$89)</f>
        <v>0</v>
      </c>
      <c r="AL89" s="52">
        <f>SUM($U$89,$V$89,$W$89,$X$89,$Y$89,$Z$89,$AA$89,$AB$89)</f>
        <v>0</v>
      </c>
      <c r="AM89" s="49">
        <v>1</v>
      </c>
      <c r="AN89" s="49">
        <v>0</v>
      </c>
      <c r="AO89" s="49">
        <v>0</v>
      </c>
      <c r="AP89" s="49">
        <v>0</v>
      </c>
      <c r="AQ89" s="49">
        <v>0</v>
      </c>
      <c r="AR89" s="49">
        <v>0</v>
      </c>
      <c r="AS89" s="49">
        <v>0</v>
      </c>
      <c r="AT89" s="58">
        <v>0</v>
      </c>
      <c r="AU89" s="57">
        <f>$AM$89*VLOOKUP($AM$11,'PCU Values'!$B$9:$C$16,2,FALSE)</f>
        <v>1</v>
      </c>
      <c r="AV89" s="57">
        <f>$AN$89*VLOOKUP($AN$11,'PCU Values'!$B$9:$C$16,2,FALSE)</f>
        <v>0</v>
      </c>
      <c r="AW89" s="57">
        <f>$AO$89*VLOOKUP($AO$11,'PCU Values'!$B$9:$C$16,2,FALSE)</f>
        <v>0</v>
      </c>
      <c r="AX89" s="57">
        <f>$AP$89*VLOOKUP($AP$11,'PCU Values'!$B$9:$C$16,2,FALSE)</f>
        <v>0</v>
      </c>
      <c r="AY89" s="57">
        <f>$AQ$89*VLOOKUP($AQ$11,'PCU Values'!$B$9:$C$16,2,FALSE)</f>
        <v>0</v>
      </c>
      <c r="AZ89" s="57">
        <f>$AR$89*VLOOKUP($AR$11,'PCU Values'!$B$9:$C$16,2,FALSE)</f>
        <v>0</v>
      </c>
      <c r="BA89" s="57">
        <f>$AS$89*VLOOKUP($AS$11,'PCU Values'!$B$9:$C$16,2,FALSE)</f>
        <v>0</v>
      </c>
      <c r="BB89" s="65">
        <f>$AT$89*VLOOKUP($AT$11,'PCU Values'!$B$9:$C$16,2,FALSE)</f>
        <v>0</v>
      </c>
      <c r="BC89" s="66">
        <f>SUM($AU$89,$AV$89,$AW$89,$AX$89,$AY$89,$AZ$89,$BA$89,$BB$89)</f>
        <v>1</v>
      </c>
      <c r="BD89" s="52">
        <f>SUM($AM$89,$AN$89,$AO$89,$AP$89,$AQ$89,$AR$89,$AS$89,$AT$89)</f>
        <v>1</v>
      </c>
      <c r="BE89" s="49">
        <v>0</v>
      </c>
      <c r="BF89" s="49">
        <v>0</v>
      </c>
      <c r="BG89" s="49">
        <v>0</v>
      </c>
      <c r="BH89" s="49">
        <v>0</v>
      </c>
      <c r="BI89" s="49">
        <v>0</v>
      </c>
      <c r="BJ89" s="49">
        <v>0</v>
      </c>
      <c r="BK89" s="49">
        <v>0</v>
      </c>
      <c r="BL89" s="58">
        <v>0</v>
      </c>
      <c r="BM89" s="77">
        <f>$BE$89*VLOOKUP($BE$11,'PCU Values'!$B$9:$C$16,2,FALSE)</f>
        <v>0</v>
      </c>
      <c r="BN89" s="77">
        <f>$BF$89*VLOOKUP($BF$11,'PCU Values'!$B$9:$C$16,2,FALSE)</f>
        <v>0</v>
      </c>
      <c r="BO89" s="77">
        <f>$BG$89*VLOOKUP($BG$11,'PCU Values'!$B$9:$C$16,2,FALSE)</f>
        <v>0</v>
      </c>
      <c r="BP89" s="77">
        <f>$BH$89*VLOOKUP($BH$11,'PCU Values'!$B$9:$C$16,2,FALSE)</f>
        <v>0</v>
      </c>
      <c r="BQ89" s="77">
        <f>$BI$89*VLOOKUP($BI$11,'PCU Values'!$B$9:$C$16,2,FALSE)</f>
        <v>0</v>
      </c>
      <c r="BR89" s="77">
        <f>$BJ$89*VLOOKUP($BJ$11,'PCU Values'!$B$9:$C$16,2,FALSE)</f>
        <v>0</v>
      </c>
      <c r="BS89" s="77">
        <f>$BK$89*VLOOKUP($BK$11,'PCU Values'!$B$9:$C$16,2,FALSE)</f>
        <v>0</v>
      </c>
      <c r="BT89" s="78">
        <f>$BL$89*VLOOKUP($BL$11,'PCU Values'!$B$9:$C$16,2,FALSE)</f>
        <v>0</v>
      </c>
      <c r="BU89" s="66">
        <f>SUM($BM$89,$BN$89,$BO$89,$BP$89,$BQ$89,$BR$89,$BS$89,$BT$89)</f>
        <v>0</v>
      </c>
      <c r="BV89" s="52">
        <f>SUM($BE$89,$BF$89,$BG$89,$BH$89,$BI$89,$BJ$89,$BK$89,$BL$89)</f>
        <v>0</v>
      </c>
      <c r="BX89" s="47" t="s">
        <v>93</v>
      </c>
      <c r="BY89" s="83">
        <f>SUM($C$89,$U$89,$AM$89,$BE$89)</f>
        <v>7</v>
      </c>
      <c r="BZ89" s="83">
        <f>SUM($D$89,$V$89,$AN$89,$BF$89)</f>
        <v>0</v>
      </c>
      <c r="CA89" s="83">
        <f>SUM($E$89,$W$89,$AO$89,$BG$89)</f>
        <v>0</v>
      </c>
      <c r="CB89" s="83">
        <f>SUM($F$89,$X$89,$AP$89,$BH$89)</f>
        <v>0</v>
      </c>
      <c r="CC89" s="83">
        <f>SUM($G$89,$Y$89,$AQ$89,$BI$89)</f>
        <v>0</v>
      </c>
      <c r="CD89" s="83">
        <f>SUM($H$89,$Z$89,$AR$89,$BJ$89)</f>
        <v>1</v>
      </c>
      <c r="CE89" s="83">
        <f>SUM($I$89,$AA$89,$AS$89,$BK$89)</f>
        <v>0</v>
      </c>
      <c r="CF89" s="86">
        <f>SUM($J$89,$AB$89,$AT$89,$BL$89)</f>
        <v>0</v>
      </c>
      <c r="CG89" s="77">
        <f>$BY$89*VLOOKUP($BY$11,'PCU Values'!$B$9:$C$16,2,FALSE)</f>
        <v>7</v>
      </c>
      <c r="CH89" s="77">
        <f>$BZ$89*VLOOKUP($BZ$11,'PCU Values'!$B$9:$C$16,2,FALSE)</f>
        <v>0</v>
      </c>
      <c r="CI89" s="77">
        <f>$CA$89*VLOOKUP($CA$11,'PCU Values'!$B$9:$C$16,2,FALSE)</f>
        <v>0</v>
      </c>
      <c r="CJ89" s="77">
        <f>$CB$89*VLOOKUP($CB$11,'PCU Values'!$B$9:$C$16,2,FALSE)</f>
        <v>0</v>
      </c>
      <c r="CK89" s="77">
        <f>$CC$89*VLOOKUP($CC$11,'PCU Values'!$B$9:$C$16,2,FALSE)</f>
        <v>0</v>
      </c>
      <c r="CL89" s="77">
        <f>$CD$89*VLOOKUP($CD$11,'PCU Values'!$B$9:$C$16,2,FALSE)</f>
        <v>0.2</v>
      </c>
      <c r="CM89" s="77">
        <f>$CE$89*VLOOKUP($CE$11,'PCU Values'!$B$9:$C$16,2,FALSE)</f>
        <v>0</v>
      </c>
      <c r="CN89" s="78">
        <f>$CF$89*VLOOKUP($CF$11,'PCU Values'!$B$9:$C$16,2,FALSE)</f>
        <v>0</v>
      </c>
      <c r="CO89" s="66">
        <f>SUM($CG$89,$CH$89,$CI$89,$CJ$89,$CK$89,$CL$89,$CM$89,$CN$89)</f>
        <v>7.2</v>
      </c>
      <c r="CP89" s="52">
        <f>SUM($BY$89,$BZ$89,$CA$89,$CB$89,$CC$89,$CD$89,$CE$89,$CF$89)</f>
        <v>8</v>
      </c>
      <c r="CQ89" s="89">
        <f>SUM('J1 A - (North) Bishopthorpe Roa'!$AM$89,'J1 B - Butcher Terrace'!$U$89,'J1 C - (South) Bishopthorpe Roa'!$C$89,'J1 D - South Bank Avenue'!$BE$89)</f>
        <v>14</v>
      </c>
      <c r="CR89" s="83">
        <f>SUM('J1 A - (North) Bishopthorpe Roa'!$AN$89,'J1 B - Butcher Terrace'!$V$89,'J1 C - (South) Bishopthorpe Roa'!$D$89,'J1 D - South Bank Avenue'!$BF$89)</f>
        <v>0</v>
      </c>
      <c r="CS89" s="83">
        <f>SUM('J1 A - (North) Bishopthorpe Roa'!$AO$89,'J1 B - Butcher Terrace'!$W$89,'J1 C - (South) Bishopthorpe Roa'!$E$89,'J1 D - South Bank Avenue'!$BG$89)</f>
        <v>0</v>
      </c>
      <c r="CT89" s="83">
        <f>SUM('J1 A - (North) Bishopthorpe Roa'!$AP$89,'J1 B - Butcher Terrace'!$X$89,'J1 C - (South) Bishopthorpe Roa'!$F$89,'J1 D - South Bank Avenue'!$BH$89)</f>
        <v>0</v>
      </c>
      <c r="CU89" s="83">
        <f>SUM('J1 A - (North) Bishopthorpe Roa'!$AQ$89,'J1 B - Butcher Terrace'!$Y$89,'J1 C - (South) Bishopthorpe Roa'!$G$89,'J1 D - South Bank Avenue'!$BI$89)</f>
        <v>0</v>
      </c>
      <c r="CV89" s="83">
        <f>SUM('J1 A - (North) Bishopthorpe Roa'!$AR$89,'J1 B - Butcher Terrace'!$Z$89,'J1 C - (South) Bishopthorpe Roa'!$H$89,'J1 D - South Bank Avenue'!$BJ$89)</f>
        <v>9</v>
      </c>
      <c r="CW89" s="83">
        <f>SUM('J1 A - (North) Bishopthorpe Roa'!$AS$89,'J1 B - Butcher Terrace'!$AA$89,'J1 C - (South) Bishopthorpe Roa'!$I$89,'J1 D - South Bank Avenue'!$BK$89)</f>
        <v>0</v>
      </c>
      <c r="CX89" s="86">
        <f>SUM('J1 A - (North) Bishopthorpe Roa'!$AT$89,'J1 B - Butcher Terrace'!$AB$89,'J1 C - (South) Bishopthorpe Roa'!$J$89,'J1 D - South Bank Avenue'!$BL$89)</f>
        <v>0</v>
      </c>
      <c r="CY89" s="77">
        <f>$CQ$89*VLOOKUP($CQ$11,'PCU Values'!$B$9:$C$16,2,FALSE)</f>
        <v>14</v>
      </c>
      <c r="CZ89" s="77">
        <f>$CR$89*VLOOKUP($CR$11,'PCU Values'!$B$9:$C$16,2,FALSE)</f>
        <v>0</v>
      </c>
      <c r="DA89" s="77">
        <f>$CS$89*VLOOKUP($CS$11,'PCU Values'!$B$9:$C$16,2,FALSE)</f>
        <v>0</v>
      </c>
      <c r="DB89" s="77">
        <f>$CT$89*VLOOKUP($CT$11,'PCU Values'!$B$9:$C$16,2,FALSE)</f>
        <v>0</v>
      </c>
      <c r="DC89" s="77">
        <f>$CU$89*VLOOKUP($CU$11,'PCU Values'!$B$9:$C$16,2,FALSE)</f>
        <v>0</v>
      </c>
      <c r="DD89" s="77">
        <f>$CV$89*VLOOKUP($CV$11,'PCU Values'!$B$9:$C$16,2,FALSE)</f>
        <v>1.8</v>
      </c>
      <c r="DE89" s="77">
        <f>$CW$89*VLOOKUP($CW$11,'PCU Values'!$B$9:$C$16,2,FALSE)</f>
        <v>0</v>
      </c>
      <c r="DF89" s="78">
        <f>$CX$89*VLOOKUP($CX$11,'PCU Values'!$B$9:$C$16,2,FALSE)</f>
        <v>0</v>
      </c>
      <c r="DG89" s="66">
        <f>SUM($CY$89,$CZ$89,$DA$89,$DB$89,$DC$89,$DD$89,$DE$89,$DF$89)</f>
        <v>15.8</v>
      </c>
      <c r="DH89" s="52">
        <f>SUM($CQ$89,$CR$89,$CS$89,$CT$89,$CU$89,$CV$89,$CW$89,$CX$89)</f>
        <v>23</v>
      </c>
    </row>
    <row r="90" spans="1:112" ht="21" customHeight="1">
      <c r="A90" s="46">
        <v>44395.65625</v>
      </c>
      <c r="B90" s="50" t="s">
        <v>94</v>
      </c>
      <c r="C90" s="51">
        <v>12</v>
      </c>
      <c r="D90" s="51">
        <v>0</v>
      </c>
      <c r="E90" s="51">
        <v>0</v>
      </c>
      <c r="F90" s="51">
        <v>0</v>
      </c>
      <c r="G90" s="51">
        <v>0</v>
      </c>
      <c r="H90" s="51">
        <v>4</v>
      </c>
      <c r="I90" s="51">
        <v>0</v>
      </c>
      <c r="J90" s="59">
        <v>0</v>
      </c>
      <c r="K90" s="60">
        <f>$C$90*VLOOKUP($C$11,'PCU Values'!$B$9:$C$16,2,FALSE)</f>
        <v>12</v>
      </c>
      <c r="L90" s="60">
        <f>$D$90*VLOOKUP($D$11,'PCU Values'!$B$9:$C$16,2,FALSE)</f>
        <v>0</v>
      </c>
      <c r="M90" s="60">
        <f>$E$90*VLOOKUP($E$11,'PCU Values'!$B$9:$C$16,2,FALSE)</f>
        <v>0</v>
      </c>
      <c r="N90" s="60">
        <f>$F$90*VLOOKUP($F$11,'PCU Values'!$B$9:$C$16,2,FALSE)</f>
        <v>0</v>
      </c>
      <c r="O90" s="60">
        <f>$G$90*VLOOKUP($G$11,'PCU Values'!$B$9:$C$16,2,FALSE)</f>
        <v>0</v>
      </c>
      <c r="P90" s="60">
        <f>$H$90*VLOOKUP($H$11,'PCU Values'!$B$9:$C$16,2,FALSE)</f>
        <v>0.8</v>
      </c>
      <c r="Q90" s="60">
        <f>$I$90*VLOOKUP($I$11,'PCU Values'!$B$9:$C$16,2,FALSE)</f>
        <v>0</v>
      </c>
      <c r="R90" s="68">
        <f>$J$90*VLOOKUP($J$11,'PCU Values'!$B$9:$C$16,2,FALSE)</f>
        <v>0</v>
      </c>
      <c r="S90" s="63">
        <f>SUM($K$90,$L$90,$M$90,$N$90,$O$90,$P$90,$Q$90,$R$90)</f>
        <v>12.8</v>
      </c>
      <c r="T90" s="52">
        <f>SUM($C$90,$D$90,$E$90,$F$90,$G$90,$H$90,$I$90,$J$90)</f>
        <v>16</v>
      </c>
      <c r="U90" s="73">
        <v>1</v>
      </c>
      <c r="V90" s="51">
        <v>0</v>
      </c>
      <c r="W90" s="51">
        <v>0</v>
      </c>
      <c r="X90" s="51">
        <v>0</v>
      </c>
      <c r="Y90" s="51">
        <v>0</v>
      </c>
      <c r="Z90" s="51">
        <v>3</v>
      </c>
      <c r="AA90" s="51">
        <v>0</v>
      </c>
      <c r="AB90" s="59">
        <v>0</v>
      </c>
      <c r="AC90" s="60">
        <f>$U$90*VLOOKUP($U$11,'PCU Values'!$B$9:$C$16,2,FALSE)</f>
        <v>1</v>
      </c>
      <c r="AD90" s="60">
        <f>$V$90*VLOOKUP($V$11,'PCU Values'!$B$9:$C$16,2,FALSE)</f>
        <v>0</v>
      </c>
      <c r="AE90" s="60">
        <f>$W$90*VLOOKUP($W$11,'PCU Values'!$B$9:$C$16,2,FALSE)</f>
        <v>0</v>
      </c>
      <c r="AF90" s="60">
        <f>$X$90*VLOOKUP($X$11,'PCU Values'!$B$9:$C$16,2,FALSE)</f>
        <v>0</v>
      </c>
      <c r="AG90" s="60">
        <f>$Y$90*VLOOKUP($Y$11,'PCU Values'!$B$9:$C$16,2,FALSE)</f>
        <v>0</v>
      </c>
      <c r="AH90" s="60">
        <f>$Z$90*VLOOKUP($Z$11,'PCU Values'!$B$9:$C$16,2,FALSE)</f>
        <v>0.6</v>
      </c>
      <c r="AI90" s="60">
        <f>$AA$90*VLOOKUP($AA$11,'PCU Values'!$B$9:$C$16,2,FALSE)</f>
        <v>0</v>
      </c>
      <c r="AJ90" s="68">
        <f>$AB$90*VLOOKUP($AB$11,'PCU Values'!$B$9:$C$16,2,FALSE)</f>
        <v>0</v>
      </c>
      <c r="AK90" s="63">
        <f>SUM($AC$90,$AD$90,$AE$90,$AF$90,$AG$90,$AH$90,$AI$90,$AJ$90)</f>
        <v>1.6</v>
      </c>
      <c r="AL90" s="52">
        <f>SUM($U$90,$V$90,$W$90,$X$90,$Y$90,$Z$90,$AA$90,$AB$90)</f>
        <v>4</v>
      </c>
      <c r="AM90" s="73">
        <v>2</v>
      </c>
      <c r="AN90" s="51">
        <v>1</v>
      </c>
      <c r="AO90" s="51">
        <v>0</v>
      </c>
      <c r="AP90" s="51">
        <v>0</v>
      </c>
      <c r="AQ90" s="51">
        <v>0</v>
      </c>
      <c r="AR90" s="51">
        <v>0</v>
      </c>
      <c r="AS90" s="51">
        <v>0</v>
      </c>
      <c r="AT90" s="59">
        <v>0</v>
      </c>
      <c r="AU90" s="60">
        <f>$AM$90*VLOOKUP($AM$11,'PCU Values'!$B$9:$C$16,2,FALSE)</f>
        <v>2</v>
      </c>
      <c r="AV90" s="60">
        <f>$AN$90*VLOOKUP($AN$11,'PCU Values'!$B$9:$C$16,2,FALSE)</f>
        <v>1</v>
      </c>
      <c r="AW90" s="60">
        <f>$AO$90*VLOOKUP($AO$11,'PCU Values'!$B$9:$C$16,2,FALSE)</f>
        <v>0</v>
      </c>
      <c r="AX90" s="60">
        <f>$AP$90*VLOOKUP($AP$11,'PCU Values'!$B$9:$C$16,2,FALSE)</f>
        <v>0</v>
      </c>
      <c r="AY90" s="60">
        <f>$AQ$90*VLOOKUP($AQ$11,'PCU Values'!$B$9:$C$16,2,FALSE)</f>
        <v>0</v>
      </c>
      <c r="AZ90" s="60">
        <f>$AR$90*VLOOKUP($AR$11,'PCU Values'!$B$9:$C$16,2,FALSE)</f>
        <v>0</v>
      </c>
      <c r="BA90" s="60">
        <f>$AS$90*VLOOKUP($AS$11,'PCU Values'!$B$9:$C$16,2,FALSE)</f>
        <v>0</v>
      </c>
      <c r="BB90" s="68">
        <f>$AT$90*VLOOKUP($AT$11,'PCU Values'!$B$9:$C$16,2,FALSE)</f>
        <v>0</v>
      </c>
      <c r="BC90" s="63">
        <f>SUM($AU$90,$AV$90,$AW$90,$AX$90,$AY$90,$AZ$90,$BA$90,$BB$90)</f>
        <v>3</v>
      </c>
      <c r="BD90" s="52">
        <f>SUM($AM$90,$AN$90,$AO$90,$AP$90,$AQ$90,$AR$90,$AS$90,$AT$90)</f>
        <v>3</v>
      </c>
      <c r="BE90" s="73">
        <v>0</v>
      </c>
      <c r="BF90" s="51">
        <v>0</v>
      </c>
      <c r="BG90" s="51">
        <v>0</v>
      </c>
      <c r="BH90" s="51">
        <v>0</v>
      </c>
      <c r="BI90" s="51">
        <v>0</v>
      </c>
      <c r="BJ90" s="51">
        <v>0</v>
      </c>
      <c r="BK90" s="51">
        <v>0</v>
      </c>
      <c r="BL90" s="59">
        <v>0</v>
      </c>
      <c r="BM90" s="79">
        <f>$BE$90*VLOOKUP($BE$11,'PCU Values'!$B$9:$C$16,2,FALSE)</f>
        <v>0</v>
      </c>
      <c r="BN90" s="79">
        <f>$BF$90*VLOOKUP($BF$11,'PCU Values'!$B$9:$C$16,2,FALSE)</f>
        <v>0</v>
      </c>
      <c r="BO90" s="79">
        <f>$BG$90*VLOOKUP($BG$11,'PCU Values'!$B$9:$C$16,2,FALSE)</f>
        <v>0</v>
      </c>
      <c r="BP90" s="79">
        <f>$BH$90*VLOOKUP($BH$11,'PCU Values'!$B$9:$C$16,2,FALSE)</f>
        <v>0</v>
      </c>
      <c r="BQ90" s="79">
        <f>$BI$90*VLOOKUP($BI$11,'PCU Values'!$B$9:$C$16,2,FALSE)</f>
        <v>0</v>
      </c>
      <c r="BR90" s="79">
        <f>$BJ$90*VLOOKUP($BJ$11,'PCU Values'!$B$9:$C$16,2,FALSE)</f>
        <v>0</v>
      </c>
      <c r="BS90" s="79">
        <f>$BK$90*VLOOKUP($BK$11,'PCU Values'!$B$9:$C$16,2,FALSE)</f>
        <v>0</v>
      </c>
      <c r="BT90" s="80">
        <f>$BL$90*VLOOKUP($BL$11,'PCU Values'!$B$9:$C$16,2,FALSE)</f>
        <v>0</v>
      </c>
      <c r="BU90" s="63">
        <f>SUM($BM$90,$BN$90,$BO$90,$BP$90,$BQ$90,$BR$90,$BS$90,$BT$90)</f>
        <v>0</v>
      </c>
      <c r="BV90" s="52">
        <f>SUM($BE$90,$BF$90,$BG$90,$BH$90,$BI$90,$BJ$90,$BK$90,$BL$90)</f>
        <v>0</v>
      </c>
      <c r="BX90" s="50" t="s">
        <v>94</v>
      </c>
      <c r="BY90" s="84">
        <f>SUM($C$90,$U$90,$AM$90,$BE$90)</f>
        <v>15</v>
      </c>
      <c r="BZ90" s="84">
        <f>SUM($D$90,$V$90,$AN$90,$BF$90)</f>
        <v>1</v>
      </c>
      <c r="CA90" s="84">
        <f>SUM($E$90,$W$90,$AO$90,$BG$90)</f>
        <v>0</v>
      </c>
      <c r="CB90" s="84">
        <f>SUM($F$90,$X$90,$AP$90,$BH$90)</f>
        <v>0</v>
      </c>
      <c r="CC90" s="84">
        <f>SUM($G$90,$Y$90,$AQ$90,$BI$90)</f>
        <v>0</v>
      </c>
      <c r="CD90" s="84">
        <f>SUM($H$90,$Z$90,$AR$90,$BJ$90)</f>
        <v>7</v>
      </c>
      <c r="CE90" s="84">
        <f>SUM($I$90,$AA$90,$AS$90,$BK$90)</f>
        <v>0</v>
      </c>
      <c r="CF90" s="87">
        <f>SUM($J$90,$AB$90,$AT$90,$BL$90)</f>
        <v>0</v>
      </c>
      <c r="CG90" s="79">
        <f>$BY$90*VLOOKUP($BY$11,'PCU Values'!$B$9:$C$16,2,FALSE)</f>
        <v>15</v>
      </c>
      <c r="CH90" s="79">
        <f>$BZ$90*VLOOKUP($BZ$11,'PCU Values'!$B$9:$C$16,2,FALSE)</f>
        <v>1</v>
      </c>
      <c r="CI90" s="79">
        <f>$CA$90*VLOOKUP($CA$11,'PCU Values'!$B$9:$C$16,2,FALSE)</f>
        <v>0</v>
      </c>
      <c r="CJ90" s="79">
        <f>$CB$90*VLOOKUP($CB$11,'PCU Values'!$B$9:$C$16,2,FALSE)</f>
        <v>0</v>
      </c>
      <c r="CK90" s="79">
        <f>$CC$90*VLOOKUP($CC$11,'PCU Values'!$B$9:$C$16,2,FALSE)</f>
        <v>0</v>
      </c>
      <c r="CL90" s="79">
        <f>$CD$90*VLOOKUP($CD$11,'PCU Values'!$B$9:$C$16,2,FALSE)</f>
        <v>1.4</v>
      </c>
      <c r="CM90" s="79">
        <f>$CE$90*VLOOKUP($CE$11,'PCU Values'!$B$9:$C$16,2,FALSE)</f>
        <v>0</v>
      </c>
      <c r="CN90" s="80">
        <f>$CF$90*VLOOKUP($CF$11,'PCU Values'!$B$9:$C$16,2,FALSE)</f>
        <v>0</v>
      </c>
      <c r="CO90" s="63">
        <f>SUM($CG$90,$CH$90,$CI$90,$CJ$90,$CK$90,$CL$90,$CM$90,$CN$90)</f>
        <v>17.399999999999999</v>
      </c>
      <c r="CP90" s="52">
        <f>SUM($BY$90,$BZ$90,$CA$90,$CB$90,$CC$90,$CD$90,$CE$90,$CF$90)</f>
        <v>23</v>
      </c>
      <c r="CQ90" s="90">
        <f>SUM('J1 A - (North) Bishopthorpe Roa'!$AM$90,'J1 B - Butcher Terrace'!$U$90,'J1 C - (South) Bishopthorpe Roa'!$C$90,'J1 D - South Bank Avenue'!$BE$90)</f>
        <v>9</v>
      </c>
      <c r="CR90" s="84">
        <f>SUM('J1 A - (North) Bishopthorpe Roa'!$AN$90,'J1 B - Butcher Terrace'!$V$90,'J1 C - (South) Bishopthorpe Roa'!$D$90,'J1 D - South Bank Avenue'!$BF$90)</f>
        <v>4</v>
      </c>
      <c r="CS90" s="84">
        <f>SUM('J1 A - (North) Bishopthorpe Roa'!$AO$90,'J1 B - Butcher Terrace'!$W$90,'J1 C - (South) Bishopthorpe Roa'!$E$90,'J1 D - South Bank Avenue'!$BG$90)</f>
        <v>2</v>
      </c>
      <c r="CT90" s="84">
        <f>SUM('J1 A - (North) Bishopthorpe Roa'!$AP$90,'J1 B - Butcher Terrace'!$X$90,'J1 C - (South) Bishopthorpe Roa'!$F$90,'J1 D - South Bank Avenue'!$BH$90)</f>
        <v>0</v>
      </c>
      <c r="CU90" s="84">
        <f>SUM('J1 A - (North) Bishopthorpe Roa'!$AQ$90,'J1 B - Butcher Terrace'!$Y$90,'J1 C - (South) Bishopthorpe Roa'!$G$90,'J1 D - South Bank Avenue'!$BI$90)</f>
        <v>0</v>
      </c>
      <c r="CV90" s="84">
        <f>SUM('J1 A - (North) Bishopthorpe Roa'!$AR$90,'J1 B - Butcher Terrace'!$Z$90,'J1 C - (South) Bishopthorpe Roa'!$H$90,'J1 D - South Bank Avenue'!$BJ$90)</f>
        <v>9</v>
      </c>
      <c r="CW90" s="84">
        <f>SUM('J1 A - (North) Bishopthorpe Roa'!$AS$90,'J1 B - Butcher Terrace'!$AA$90,'J1 C - (South) Bishopthorpe Roa'!$I$90,'J1 D - South Bank Avenue'!$BK$90)</f>
        <v>0</v>
      </c>
      <c r="CX90" s="87">
        <f>SUM('J1 A - (North) Bishopthorpe Roa'!$AT$90,'J1 B - Butcher Terrace'!$AB$90,'J1 C - (South) Bishopthorpe Roa'!$J$90,'J1 D - South Bank Avenue'!$BL$90)</f>
        <v>0</v>
      </c>
      <c r="CY90" s="79">
        <f>$CQ$90*VLOOKUP($CQ$11,'PCU Values'!$B$9:$C$16,2,FALSE)</f>
        <v>9</v>
      </c>
      <c r="CZ90" s="79">
        <f>$CR$90*VLOOKUP($CR$11,'PCU Values'!$B$9:$C$16,2,FALSE)</f>
        <v>4</v>
      </c>
      <c r="DA90" s="79">
        <f>$CS$90*VLOOKUP($CS$11,'PCU Values'!$B$9:$C$16,2,FALSE)</f>
        <v>3</v>
      </c>
      <c r="DB90" s="79">
        <f>$CT$90*VLOOKUP($CT$11,'PCU Values'!$B$9:$C$16,2,FALSE)</f>
        <v>0</v>
      </c>
      <c r="DC90" s="79">
        <f>$CU$90*VLOOKUP($CU$11,'PCU Values'!$B$9:$C$16,2,FALSE)</f>
        <v>0</v>
      </c>
      <c r="DD90" s="79">
        <f>$CV$90*VLOOKUP($CV$11,'PCU Values'!$B$9:$C$16,2,FALSE)</f>
        <v>1.8</v>
      </c>
      <c r="DE90" s="79">
        <f>$CW$90*VLOOKUP($CW$11,'PCU Values'!$B$9:$C$16,2,FALSE)</f>
        <v>0</v>
      </c>
      <c r="DF90" s="80">
        <f>$CX$90*VLOOKUP($CX$11,'PCU Values'!$B$9:$C$16,2,FALSE)</f>
        <v>0</v>
      </c>
      <c r="DG90" s="63">
        <f>SUM($CY$90,$CZ$90,$DA$90,$DB$90,$DC$90,$DD$90,$DE$90,$DF$90)</f>
        <v>17.8</v>
      </c>
      <c r="DH90" s="52">
        <f>SUM($CQ$90,$CR$90,$CS$90,$CT$90,$CU$90,$CV$90,$CW$90,$CX$90)</f>
        <v>24</v>
      </c>
    </row>
    <row r="91" spans="1:112">
      <c r="B91" s="52" t="s">
        <v>34</v>
      </c>
      <c r="C91" s="52">
        <f>SUM($C$87:$C$90)</f>
        <v>31</v>
      </c>
      <c r="D91" s="52">
        <f>SUM($D$87:$D$90)</f>
        <v>4</v>
      </c>
      <c r="E91" s="52">
        <f>SUM($E$87:$E$90)</f>
        <v>0</v>
      </c>
      <c r="F91" s="52">
        <f>SUM($F$87:$F$90)</f>
        <v>0</v>
      </c>
      <c r="G91" s="52">
        <f>SUM($G$87:$G$90)</f>
        <v>0</v>
      </c>
      <c r="H91" s="52">
        <f>SUM($H$87:$H$90)</f>
        <v>5</v>
      </c>
      <c r="I91" s="52">
        <f>SUM($I$87:$I$90)</f>
        <v>0</v>
      </c>
      <c r="J91" s="52">
        <f>SUM($J$87:$J$90)</f>
        <v>0</v>
      </c>
      <c r="K91" s="52">
        <f>SUM($K$87:$K$90)</f>
        <v>31</v>
      </c>
      <c r="L91" s="52">
        <f>SUM($L$87:$L$90)</f>
        <v>4</v>
      </c>
      <c r="M91" s="52">
        <f>SUM($M$87:$M$90)</f>
        <v>0</v>
      </c>
      <c r="N91" s="52">
        <f>SUM($N$87:$N$90)</f>
        <v>0</v>
      </c>
      <c r="O91" s="52">
        <f>SUM($O$87:$O$90)</f>
        <v>0</v>
      </c>
      <c r="P91" s="52">
        <f>SUM($P$87:$P$90)</f>
        <v>1</v>
      </c>
      <c r="Q91" s="52">
        <f>SUM($Q$87:$Q$90)</f>
        <v>0</v>
      </c>
      <c r="R91" s="52">
        <f>SUM($R$87:$R$90)</f>
        <v>0</v>
      </c>
      <c r="S91" s="52">
        <f>SUM($K$91,$L$91,$M$91,$N$91,$O$91,$P$91,$Q$91,$R$91)</f>
        <v>36</v>
      </c>
      <c r="T91" s="52">
        <f>SUM($C$91,$D$91,$E$91,$F$91,$G$91,$H$91,$I$91,$J$91)</f>
        <v>40</v>
      </c>
      <c r="U91" s="52">
        <f>SUM($U$87:$U$90)</f>
        <v>1</v>
      </c>
      <c r="V91" s="52">
        <f>SUM($V$87:$V$90)</f>
        <v>1</v>
      </c>
      <c r="W91" s="52">
        <f>SUM($W$87:$W$90)</f>
        <v>0</v>
      </c>
      <c r="X91" s="52">
        <f>SUM($X$87:$X$90)</f>
        <v>0</v>
      </c>
      <c r="Y91" s="52">
        <f>SUM($Y$87:$Y$90)</f>
        <v>0</v>
      </c>
      <c r="Z91" s="52">
        <f>SUM($Z$87:$Z$90)</f>
        <v>8</v>
      </c>
      <c r="AA91" s="52">
        <f>SUM($AA$87:$AA$90)</f>
        <v>0</v>
      </c>
      <c r="AB91" s="52">
        <f>SUM($AB$87:$AB$90)</f>
        <v>0</v>
      </c>
      <c r="AC91" s="52">
        <f>SUM($AC$87:$AC$90)</f>
        <v>1</v>
      </c>
      <c r="AD91" s="52">
        <f>SUM($AD$87:$AD$90)</f>
        <v>1</v>
      </c>
      <c r="AE91" s="52">
        <f>SUM($AE$87:$AE$90)</f>
        <v>0</v>
      </c>
      <c r="AF91" s="52">
        <f>SUM($AF$87:$AF$90)</f>
        <v>0</v>
      </c>
      <c r="AG91" s="52">
        <f>SUM($AG$87:$AG$90)</f>
        <v>0</v>
      </c>
      <c r="AH91" s="52">
        <f>SUM($AH$87:$AH$90)</f>
        <v>2</v>
      </c>
      <c r="AI91" s="52">
        <f>SUM($AI$87:$AI$90)</f>
        <v>0</v>
      </c>
      <c r="AJ91" s="52">
        <f>SUM($AJ$87:$AJ$90)</f>
        <v>0</v>
      </c>
      <c r="AK91" s="52">
        <f>SUM($AC$91,$AD$91,$AE$91,$AF$91,$AG$91,$AH$91,$AI$91,$AJ$91)</f>
        <v>4</v>
      </c>
      <c r="AL91" s="52">
        <f>SUM($U$91,$V$91,$W$91,$X$91,$Y$91,$Z$91,$AA$91,$AB$91)</f>
        <v>10</v>
      </c>
      <c r="AM91" s="52">
        <f>SUM($AM$87:$AM$90)</f>
        <v>10</v>
      </c>
      <c r="AN91" s="52">
        <f>SUM($AN$87:$AN$90)</f>
        <v>1</v>
      </c>
      <c r="AO91" s="52">
        <f>SUM($AO$87:$AO$90)</f>
        <v>0</v>
      </c>
      <c r="AP91" s="52">
        <f>SUM($AP$87:$AP$90)</f>
        <v>0</v>
      </c>
      <c r="AQ91" s="52">
        <f>SUM($AQ$87:$AQ$90)</f>
        <v>0</v>
      </c>
      <c r="AR91" s="52">
        <f>SUM($AR$87:$AR$90)</f>
        <v>0</v>
      </c>
      <c r="AS91" s="52">
        <f>SUM($AS$87:$AS$90)</f>
        <v>0</v>
      </c>
      <c r="AT91" s="52">
        <f>SUM($AT$87:$AT$90)</f>
        <v>0</v>
      </c>
      <c r="AU91" s="52">
        <f>SUM($AU$87:$AU$90)</f>
        <v>10</v>
      </c>
      <c r="AV91" s="52">
        <f>SUM($AV$87:$AV$90)</f>
        <v>1</v>
      </c>
      <c r="AW91" s="52">
        <f>SUM($AW$87:$AW$90)</f>
        <v>0</v>
      </c>
      <c r="AX91" s="52">
        <f>SUM($AX$87:$AX$90)</f>
        <v>0</v>
      </c>
      <c r="AY91" s="52">
        <f>SUM($AY$87:$AY$90)</f>
        <v>0</v>
      </c>
      <c r="AZ91" s="52">
        <f>SUM($AZ$87:$AZ$90)</f>
        <v>0</v>
      </c>
      <c r="BA91" s="52">
        <f>SUM($BA$87:$BA$90)</f>
        <v>0</v>
      </c>
      <c r="BB91" s="52">
        <f>SUM($BB$87:$BB$90)</f>
        <v>0</v>
      </c>
      <c r="BC91" s="52">
        <f>SUM($AU$91,$AV$91,$AW$91,$AX$91,$AY$91,$AZ$91,$BA$91,$BB$91)</f>
        <v>11</v>
      </c>
      <c r="BD91" s="52">
        <f>SUM($AM$91,$AN$91,$AO$91,$AP$91,$AQ$91,$AR$91,$AS$91,$AT$91)</f>
        <v>11</v>
      </c>
      <c r="BE91" s="52">
        <f>SUM($BE$87:$BE$90)</f>
        <v>0</v>
      </c>
      <c r="BF91" s="52">
        <f>SUM($BF$87:$BF$90)</f>
        <v>0</v>
      </c>
      <c r="BG91" s="52">
        <f>SUM($BG$87:$BG$90)</f>
        <v>0</v>
      </c>
      <c r="BH91" s="52">
        <f>SUM($BH$87:$BH$90)</f>
        <v>0</v>
      </c>
      <c r="BI91" s="52">
        <f>SUM($BI$87:$BI$90)</f>
        <v>0</v>
      </c>
      <c r="BJ91" s="52">
        <f>SUM($BJ$87:$BJ$90)</f>
        <v>0</v>
      </c>
      <c r="BK91" s="52">
        <f>SUM($BK$87:$BK$90)</f>
        <v>0</v>
      </c>
      <c r="BL91" s="52">
        <f>SUM($BL$87:$BL$90)</f>
        <v>0</v>
      </c>
      <c r="BM91" s="52">
        <f>SUM($BM$87:$BM$90)</f>
        <v>0</v>
      </c>
      <c r="BN91" s="52">
        <f>SUM($BN$87:$BN$90)</f>
        <v>0</v>
      </c>
      <c r="BO91" s="52">
        <f>SUM($BO$87:$BO$90)</f>
        <v>0</v>
      </c>
      <c r="BP91" s="52">
        <f>SUM($BP$87:$BP$90)</f>
        <v>0</v>
      </c>
      <c r="BQ91" s="52">
        <f>SUM($BQ$87:$BQ$90)</f>
        <v>0</v>
      </c>
      <c r="BR91" s="52">
        <f>SUM($BR$87:$BR$90)</f>
        <v>0</v>
      </c>
      <c r="BS91" s="52">
        <f>SUM($BS$87:$BS$90)</f>
        <v>0</v>
      </c>
      <c r="BT91" s="52">
        <f>SUM($BT$87:$BT$90)</f>
        <v>0</v>
      </c>
      <c r="BU91" s="52">
        <f>SUM($BM$91,$BN$91,$BO$91,$BP$91,$BQ$91,$BR$91,$BS$91,$BT$91)</f>
        <v>0</v>
      </c>
      <c r="BV91" s="52">
        <f>SUM($BE$91,$BF$91,$BG$91,$BH$91,$BI$91,$BJ$91,$BK$91,$BL$91)</f>
        <v>0</v>
      </c>
      <c r="BX91" s="52" t="s">
        <v>34</v>
      </c>
      <c r="BY91" s="52">
        <f>SUM($BY$87:$BY$90)</f>
        <v>42</v>
      </c>
      <c r="BZ91" s="52">
        <f>SUM($BZ$87:$BZ$90)</f>
        <v>6</v>
      </c>
      <c r="CA91" s="52">
        <f>SUM($CA$87:$CA$90)</f>
        <v>0</v>
      </c>
      <c r="CB91" s="52">
        <f>SUM($CB$87:$CB$90)</f>
        <v>0</v>
      </c>
      <c r="CC91" s="52">
        <f>SUM($CC$87:$CC$90)</f>
        <v>0</v>
      </c>
      <c r="CD91" s="52">
        <f>SUM($CD$87:$CD$90)</f>
        <v>13</v>
      </c>
      <c r="CE91" s="52">
        <f>SUM($CE$87:$CE$90)</f>
        <v>0</v>
      </c>
      <c r="CF91" s="52">
        <f>SUM($CF$87:$CF$90)</f>
        <v>0</v>
      </c>
      <c r="CG91" s="52">
        <f>SUM($CG$87:$CG$90)</f>
        <v>42</v>
      </c>
      <c r="CH91" s="52">
        <f>SUM($CH$87:$CH$90)</f>
        <v>6</v>
      </c>
      <c r="CI91" s="52">
        <f>SUM($CI$87:$CI$90)</f>
        <v>0</v>
      </c>
      <c r="CJ91" s="52">
        <f>SUM($CJ$87:$CJ$90)</f>
        <v>0</v>
      </c>
      <c r="CK91" s="52">
        <f>SUM($CK$87:$CK$90)</f>
        <v>0</v>
      </c>
      <c r="CL91" s="52">
        <f>SUM($CL$87:$CL$90)</f>
        <v>3</v>
      </c>
      <c r="CM91" s="52">
        <f>SUM($CM$87:$CM$90)</f>
        <v>0</v>
      </c>
      <c r="CN91" s="52">
        <f>SUM($CN$87:$CN$90)</f>
        <v>0</v>
      </c>
      <c r="CO91" s="52">
        <f>SUM($CG$91,$CH$91,$CI$91,$CJ$91,$CK$91,$CL$91,$CM$91,$CN$91)</f>
        <v>51</v>
      </c>
      <c r="CP91" s="52">
        <f>SUM($BY$91,$BZ$91,$CA$91,$CB$91,$CC$91,$CD$91,$CE$91,$CF$91)</f>
        <v>61</v>
      </c>
      <c r="CQ91" s="52">
        <f>SUM($CQ$87:$CQ$90)</f>
        <v>36</v>
      </c>
      <c r="CR91" s="52">
        <f>SUM($CR$87:$CR$90)</f>
        <v>7</v>
      </c>
      <c r="CS91" s="52">
        <f>SUM($CS$87:$CS$90)</f>
        <v>2</v>
      </c>
      <c r="CT91" s="52">
        <f>SUM($CT$87:$CT$90)</f>
        <v>0</v>
      </c>
      <c r="CU91" s="52">
        <f>SUM($CU$87:$CU$90)</f>
        <v>0</v>
      </c>
      <c r="CV91" s="52">
        <f>SUM($CV$87:$CV$90)</f>
        <v>47</v>
      </c>
      <c r="CW91" s="52">
        <f>SUM($CW$87:$CW$90)</f>
        <v>1</v>
      </c>
      <c r="CX91" s="52">
        <f>SUM($CX$87:$CX$90)</f>
        <v>0</v>
      </c>
      <c r="CY91" s="52">
        <f>SUM($CY$87:$CY$90)</f>
        <v>36</v>
      </c>
      <c r="CZ91" s="52">
        <f>SUM($CZ$87:$CZ$90)</f>
        <v>7</v>
      </c>
      <c r="DA91" s="52">
        <f>SUM($DA$87:$DA$90)</f>
        <v>3</v>
      </c>
      <c r="DB91" s="52">
        <f>SUM($DB$87:$DB$90)</f>
        <v>0</v>
      </c>
      <c r="DC91" s="52">
        <f>SUM($DC$87:$DC$90)</f>
        <v>0</v>
      </c>
      <c r="DD91" s="52">
        <f>SUM($DD$87:$DD$90)</f>
        <v>9</v>
      </c>
      <c r="DE91" s="52">
        <f>SUM($DE$87:$DE$90)</f>
        <v>0</v>
      </c>
      <c r="DF91" s="52">
        <f>SUM($DF$87:$DF$90)</f>
        <v>0</v>
      </c>
      <c r="DG91" s="52">
        <f>SUM($CY$91,$CZ$91,$DA$91,$DB$91,$DC$91,$DD$91,$DE$91,$DF$91)</f>
        <v>55</v>
      </c>
      <c r="DH91" s="52">
        <f>SUM($CQ$91,$CR$91,$CS$91,$CT$91,$CU$91,$CV$91,$CW$91,$CX$91)</f>
        <v>93</v>
      </c>
    </row>
    <row r="92" spans="1:112" ht="21" customHeight="1">
      <c r="A92" s="46">
        <v>44395.666666666701</v>
      </c>
      <c r="B92" s="53" t="s">
        <v>95</v>
      </c>
      <c r="C92" s="54">
        <v>11</v>
      </c>
      <c r="D92" s="54">
        <v>2</v>
      </c>
      <c r="E92" s="54">
        <v>2</v>
      </c>
      <c r="F92" s="54">
        <v>0</v>
      </c>
      <c r="G92" s="54">
        <v>0</v>
      </c>
      <c r="H92" s="54">
        <v>1</v>
      </c>
      <c r="I92" s="54">
        <v>0</v>
      </c>
      <c r="J92" s="61">
        <v>0</v>
      </c>
      <c r="K92" s="62">
        <f>$C$92*VLOOKUP($C$11,'PCU Values'!$B$9:$C$16,2,FALSE)</f>
        <v>11</v>
      </c>
      <c r="L92" s="62">
        <f>$D$92*VLOOKUP($D$11,'PCU Values'!$B$9:$C$16,2,FALSE)</f>
        <v>2</v>
      </c>
      <c r="M92" s="62">
        <f>$E$92*VLOOKUP($E$11,'PCU Values'!$B$9:$C$16,2,FALSE)</f>
        <v>3</v>
      </c>
      <c r="N92" s="62">
        <f>$F$92*VLOOKUP($F$11,'PCU Values'!$B$9:$C$16,2,FALSE)</f>
        <v>0</v>
      </c>
      <c r="O92" s="62">
        <f>$G$92*VLOOKUP($G$11,'PCU Values'!$B$9:$C$16,2,FALSE)</f>
        <v>0</v>
      </c>
      <c r="P92" s="62">
        <f>$H$92*VLOOKUP($H$11,'PCU Values'!$B$9:$C$16,2,FALSE)</f>
        <v>0.2</v>
      </c>
      <c r="Q92" s="62">
        <f>$I$92*VLOOKUP($I$11,'PCU Values'!$B$9:$C$16,2,FALSE)</f>
        <v>0</v>
      </c>
      <c r="R92" s="70">
        <f>$J$92*VLOOKUP($J$11,'PCU Values'!$B$9:$C$16,2,FALSE)</f>
        <v>0</v>
      </c>
      <c r="S92" s="71">
        <f>SUM($K$92,$L$92,$M$92,$N$92,$O$92,$P$92,$Q$92,$R$92)</f>
        <v>16.2</v>
      </c>
      <c r="T92" s="52">
        <f>SUM($C$92,$D$92,$E$92,$F$92,$G$92,$H$92,$I$92,$J$92)</f>
        <v>16</v>
      </c>
      <c r="U92" s="72">
        <v>0</v>
      </c>
      <c r="V92" s="54">
        <v>0</v>
      </c>
      <c r="W92" s="54">
        <v>0</v>
      </c>
      <c r="X92" s="54">
        <v>0</v>
      </c>
      <c r="Y92" s="54">
        <v>0</v>
      </c>
      <c r="Z92" s="54">
        <v>1</v>
      </c>
      <c r="AA92" s="54">
        <v>0</v>
      </c>
      <c r="AB92" s="61">
        <v>0</v>
      </c>
      <c r="AC92" s="62">
        <f>$U$92*VLOOKUP($U$11,'PCU Values'!$B$9:$C$16,2,FALSE)</f>
        <v>0</v>
      </c>
      <c r="AD92" s="62">
        <f>$V$92*VLOOKUP($V$11,'PCU Values'!$B$9:$C$16,2,FALSE)</f>
        <v>0</v>
      </c>
      <c r="AE92" s="62">
        <f>$W$92*VLOOKUP($W$11,'PCU Values'!$B$9:$C$16,2,FALSE)</f>
        <v>0</v>
      </c>
      <c r="AF92" s="62">
        <f>$X$92*VLOOKUP($X$11,'PCU Values'!$B$9:$C$16,2,FALSE)</f>
        <v>0</v>
      </c>
      <c r="AG92" s="62">
        <f>$Y$92*VLOOKUP($Y$11,'PCU Values'!$B$9:$C$16,2,FALSE)</f>
        <v>0</v>
      </c>
      <c r="AH92" s="62">
        <f>$Z$92*VLOOKUP($Z$11,'PCU Values'!$B$9:$C$16,2,FALSE)</f>
        <v>0.2</v>
      </c>
      <c r="AI92" s="62">
        <f>$AA$92*VLOOKUP($AA$11,'PCU Values'!$B$9:$C$16,2,FALSE)</f>
        <v>0</v>
      </c>
      <c r="AJ92" s="70">
        <f>$AB$92*VLOOKUP($AB$11,'PCU Values'!$B$9:$C$16,2,FALSE)</f>
        <v>0</v>
      </c>
      <c r="AK92" s="71">
        <f>SUM($AC$92,$AD$92,$AE$92,$AF$92,$AG$92,$AH$92,$AI$92,$AJ$92)</f>
        <v>0.2</v>
      </c>
      <c r="AL92" s="52">
        <f>SUM($U$92,$V$92,$W$92,$X$92,$Y$92,$Z$92,$AA$92,$AB$92)</f>
        <v>1</v>
      </c>
      <c r="AM92" s="72">
        <v>5</v>
      </c>
      <c r="AN92" s="54">
        <v>1</v>
      </c>
      <c r="AO92" s="54">
        <v>0</v>
      </c>
      <c r="AP92" s="54">
        <v>0</v>
      </c>
      <c r="AQ92" s="54">
        <v>0</v>
      </c>
      <c r="AR92" s="54">
        <v>0</v>
      </c>
      <c r="AS92" s="54">
        <v>0</v>
      </c>
      <c r="AT92" s="61">
        <v>0</v>
      </c>
      <c r="AU92" s="62">
        <f>$AM$92*VLOOKUP($AM$11,'PCU Values'!$B$9:$C$16,2,FALSE)</f>
        <v>5</v>
      </c>
      <c r="AV92" s="62">
        <f>$AN$92*VLOOKUP($AN$11,'PCU Values'!$B$9:$C$16,2,FALSE)</f>
        <v>1</v>
      </c>
      <c r="AW92" s="62">
        <f>$AO$92*VLOOKUP($AO$11,'PCU Values'!$B$9:$C$16,2,FALSE)</f>
        <v>0</v>
      </c>
      <c r="AX92" s="62">
        <f>$AP$92*VLOOKUP($AP$11,'PCU Values'!$B$9:$C$16,2,FALSE)</f>
        <v>0</v>
      </c>
      <c r="AY92" s="62">
        <f>$AQ$92*VLOOKUP($AQ$11,'PCU Values'!$B$9:$C$16,2,FALSE)</f>
        <v>0</v>
      </c>
      <c r="AZ92" s="62">
        <f>$AR$92*VLOOKUP($AR$11,'PCU Values'!$B$9:$C$16,2,FALSE)</f>
        <v>0</v>
      </c>
      <c r="BA92" s="62">
        <f>$AS$92*VLOOKUP($AS$11,'PCU Values'!$B$9:$C$16,2,FALSE)</f>
        <v>0</v>
      </c>
      <c r="BB92" s="70">
        <f>$AT$92*VLOOKUP($AT$11,'PCU Values'!$B$9:$C$16,2,FALSE)</f>
        <v>0</v>
      </c>
      <c r="BC92" s="71">
        <f>SUM($AU$92,$AV$92,$AW$92,$AX$92,$AY$92,$AZ$92,$BA$92,$BB$92)</f>
        <v>6</v>
      </c>
      <c r="BD92" s="52">
        <f>SUM($AM$92,$AN$92,$AO$92,$AP$92,$AQ$92,$AR$92,$AS$92,$AT$92)</f>
        <v>6</v>
      </c>
      <c r="BE92" s="72">
        <v>0</v>
      </c>
      <c r="BF92" s="54">
        <v>0</v>
      </c>
      <c r="BG92" s="54">
        <v>0</v>
      </c>
      <c r="BH92" s="54">
        <v>0</v>
      </c>
      <c r="BI92" s="54">
        <v>0</v>
      </c>
      <c r="BJ92" s="54">
        <v>0</v>
      </c>
      <c r="BK92" s="54">
        <v>0</v>
      </c>
      <c r="BL92" s="61">
        <v>0</v>
      </c>
      <c r="BM92" s="81">
        <f>$BE$92*VLOOKUP($BE$11,'PCU Values'!$B$9:$C$16,2,FALSE)</f>
        <v>0</v>
      </c>
      <c r="BN92" s="81">
        <f>$BF$92*VLOOKUP($BF$11,'PCU Values'!$B$9:$C$16,2,FALSE)</f>
        <v>0</v>
      </c>
      <c r="BO92" s="81">
        <f>$BG$92*VLOOKUP($BG$11,'PCU Values'!$B$9:$C$16,2,FALSE)</f>
        <v>0</v>
      </c>
      <c r="BP92" s="81">
        <f>$BH$92*VLOOKUP($BH$11,'PCU Values'!$B$9:$C$16,2,FALSE)</f>
        <v>0</v>
      </c>
      <c r="BQ92" s="81">
        <f>$BI$92*VLOOKUP($BI$11,'PCU Values'!$B$9:$C$16,2,FALSE)</f>
        <v>0</v>
      </c>
      <c r="BR92" s="81">
        <f>$BJ$92*VLOOKUP($BJ$11,'PCU Values'!$B$9:$C$16,2,FALSE)</f>
        <v>0</v>
      </c>
      <c r="BS92" s="81">
        <f>$BK$92*VLOOKUP($BK$11,'PCU Values'!$B$9:$C$16,2,FALSE)</f>
        <v>0</v>
      </c>
      <c r="BT92" s="82">
        <f>$BL$92*VLOOKUP($BL$11,'PCU Values'!$B$9:$C$16,2,FALSE)</f>
        <v>0</v>
      </c>
      <c r="BU92" s="71">
        <f>SUM($BM$92,$BN$92,$BO$92,$BP$92,$BQ$92,$BR$92,$BS$92,$BT$92)</f>
        <v>0</v>
      </c>
      <c r="BV92" s="52">
        <f>SUM($BE$92,$BF$92,$BG$92,$BH$92,$BI$92,$BJ$92,$BK$92,$BL$92)</f>
        <v>0</v>
      </c>
      <c r="BX92" s="53" t="s">
        <v>95</v>
      </c>
      <c r="BY92" s="85">
        <f>SUM($C$92,$U$92,$AM$92,$BE$92)</f>
        <v>16</v>
      </c>
      <c r="BZ92" s="85">
        <f>SUM($D$92,$V$92,$AN$92,$BF$92)</f>
        <v>3</v>
      </c>
      <c r="CA92" s="85">
        <f>SUM($E$92,$W$92,$AO$92,$BG$92)</f>
        <v>2</v>
      </c>
      <c r="CB92" s="85">
        <f>SUM($F$92,$X$92,$AP$92,$BH$92)</f>
        <v>0</v>
      </c>
      <c r="CC92" s="85">
        <f>SUM($G$92,$Y$92,$AQ$92,$BI$92)</f>
        <v>0</v>
      </c>
      <c r="CD92" s="85">
        <f>SUM($H$92,$Z$92,$AR$92,$BJ$92)</f>
        <v>2</v>
      </c>
      <c r="CE92" s="85">
        <f>SUM($I$92,$AA$92,$AS$92,$BK$92)</f>
        <v>0</v>
      </c>
      <c r="CF92" s="88">
        <f>SUM($J$92,$AB$92,$AT$92,$BL$92)</f>
        <v>0</v>
      </c>
      <c r="CG92" s="81">
        <f>$BY$92*VLOOKUP($BY$11,'PCU Values'!$B$9:$C$16,2,FALSE)</f>
        <v>16</v>
      </c>
      <c r="CH92" s="81">
        <f>$BZ$92*VLOOKUP($BZ$11,'PCU Values'!$B$9:$C$16,2,FALSE)</f>
        <v>3</v>
      </c>
      <c r="CI92" s="81">
        <f>$CA$92*VLOOKUP($CA$11,'PCU Values'!$B$9:$C$16,2,FALSE)</f>
        <v>3</v>
      </c>
      <c r="CJ92" s="81">
        <f>$CB$92*VLOOKUP($CB$11,'PCU Values'!$B$9:$C$16,2,FALSE)</f>
        <v>0</v>
      </c>
      <c r="CK92" s="81">
        <f>$CC$92*VLOOKUP($CC$11,'PCU Values'!$B$9:$C$16,2,FALSE)</f>
        <v>0</v>
      </c>
      <c r="CL92" s="81">
        <f>$CD$92*VLOOKUP($CD$11,'PCU Values'!$B$9:$C$16,2,FALSE)</f>
        <v>0.4</v>
      </c>
      <c r="CM92" s="81">
        <f>$CE$92*VLOOKUP($CE$11,'PCU Values'!$B$9:$C$16,2,FALSE)</f>
        <v>0</v>
      </c>
      <c r="CN92" s="82">
        <f>$CF$92*VLOOKUP($CF$11,'PCU Values'!$B$9:$C$16,2,FALSE)</f>
        <v>0</v>
      </c>
      <c r="CO92" s="71">
        <f>SUM($CG$92,$CH$92,$CI$92,$CJ$92,$CK$92,$CL$92,$CM$92,$CN$92)</f>
        <v>22.4</v>
      </c>
      <c r="CP92" s="52">
        <f>SUM($BY$92,$BZ$92,$CA$92,$CB$92,$CC$92,$CD$92,$CE$92,$CF$92)</f>
        <v>23</v>
      </c>
      <c r="CQ92" s="91">
        <f>SUM('J1 A - (North) Bishopthorpe Roa'!$AM$92,'J1 B - Butcher Terrace'!$U$92,'J1 C - (South) Bishopthorpe Roa'!$C$92,'J1 D - South Bank Avenue'!$BE$92)</f>
        <v>7</v>
      </c>
      <c r="CR92" s="85">
        <f>SUM('J1 A - (North) Bishopthorpe Roa'!$AN$92,'J1 B - Butcher Terrace'!$V$92,'J1 C - (South) Bishopthorpe Roa'!$D$92,'J1 D - South Bank Avenue'!$BF$92)</f>
        <v>1</v>
      </c>
      <c r="CS92" s="85">
        <f>SUM('J1 A - (North) Bishopthorpe Roa'!$AO$92,'J1 B - Butcher Terrace'!$W$92,'J1 C - (South) Bishopthorpe Roa'!$E$92,'J1 D - South Bank Avenue'!$BG$92)</f>
        <v>0</v>
      </c>
      <c r="CT92" s="85">
        <f>SUM('J1 A - (North) Bishopthorpe Roa'!$AP$92,'J1 B - Butcher Terrace'!$X$92,'J1 C - (South) Bishopthorpe Roa'!$F$92,'J1 D - South Bank Avenue'!$BH$92)</f>
        <v>0</v>
      </c>
      <c r="CU92" s="85">
        <f>SUM('J1 A - (North) Bishopthorpe Roa'!$AQ$92,'J1 B - Butcher Terrace'!$Y$92,'J1 C - (South) Bishopthorpe Roa'!$G$92,'J1 D - South Bank Avenue'!$BI$92)</f>
        <v>0</v>
      </c>
      <c r="CV92" s="85">
        <f>SUM('J1 A - (North) Bishopthorpe Roa'!$AR$92,'J1 B - Butcher Terrace'!$Z$92,'J1 C - (South) Bishopthorpe Roa'!$H$92,'J1 D - South Bank Avenue'!$BJ$92)</f>
        <v>7</v>
      </c>
      <c r="CW92" s="85">
        <f>SUM('J1 A - (North) Bishopthorpe Roa'!$AS$92,'J1 B - Butcher Terrace'!$AA$92,'J1 C - (South) Bishopthorpe Roa'!$I$92,'J1 D - South Bank Avenue'!$BK$92)</f>
        <v>0</v>
      </c>
      <c r="CX92" s="88">
        <f>SUM('J1 A - (North) Bishopthorpe Roa'!$AT$92,'J1 B - Butcher Terrace'!$AB$92,'J1 C - (South) Bishopthorpe Roa'!$J$92,'J1 D - South Bank Avenue'!$BL$92)</f>
        <v>0</v>
      </c>
      <c r="CY92" s="81">
        <f>$CQ$92*VLOOKUP($CQ$11,'PCU Values'!$B$9:$C$16,2,FALSE)</f>
        <v>7</v>
      </c>
      <c r="CZ92" s="81">
        <f>$CR$92*VLOOKUP($CR$11,'PCU Values'!$B$9:$C$16,2,FALSE)</f>
        <v>1</v>
      </c>
      <c r="DA92" s="81">
        <f>$CS$92*VLOOKUP($CS$11,'PCU Values'!$B$9:$C$16,2,FALSE)</f>
        <v>0</v>
      </c>
      <c r="DB92" s="81">
        <f>$CT$92*VLOOKUP($CT$11,'PCU Values'!$B$9:$C$16,2,FALSE)</f>
        <v>0</v>
      </c>
      <c r="DC92" s="81">
        <f>$CU$92*VLOOKUP($CU$11,'PCU Values'!$B$9:$C$16,2,FALSE)</f>
        <v>0</v>
      </c>
      <c r="DD92" s="81">
        <f>$CV$92*VLOOKUP($CV$11,'PCU Values'!$B$9:$C$16,2,FALSE)</f>
        <v>1.4</v>
      </c>
      <c r="DE92" s="81">
        <f>$CW$92*VLOOKUP($CW$11,'PCU Values'!$B$9:$C$16,2,FALSE)</f>
        <v>0</v>
      </c>
      <c r="DF92" s="82">
        <f>$CX$92*VLOOKUP($CX$11,'PCU Values'!$B$9:$C$16,2,FALSE)</f>
        <v>0</v>
      </c>
      <c r="DG92" s="71">
        <f>SUM($CY$92,$CZ$92,$DA$92,$DB$92,$DC$92,$DD$92,$DE$92,$DF$92)</f>
        <v>9.4</v>
      </c>
      <c r="DH92" s="52">
        <f>SUM($CQ$92,$CR$92,$CS$92,$CT$92,$CU$92,$CV$92,$CW$92,$CX$92)</f>
        <v>15</v>
      </c>
    </row>
    <row r="93" spans="1:112" ht="21" customHeight="1">
      <c r="A93" s="46">
        <v>44395.677083333299</v>
      </c>
      <c r="B93" s="47" t="s">
        <v>96</v>
      </c>
      <c r="C93" s="48">
        <v>3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56">
        <v>0</v>
      </c>
      <c r="K93" s="57">
        <f>$C$93*VLOOKUP($C$11,'PCU Values'!$B$9:$C$16,2,FALSE)</f>
        <v>3</v>
      </c>
      <c r="L93" s="57">
        <f>$D$93*VLOOKUP($D$11,'PCU Values'!$B$9:$C$16,2,FALSE)</f>
        <v>0</v>
      </c>
      <c r="M93" s="57">
        <f>$E$93*VLOOKUP($E$11,'PCU Values'!$B$9:$C$16,2,FALSE)</f>
        <v>0</v>
      </c>
      <c r="N93" s="57">
        <f>$F$93*VLOOKUP($F$11,'PCU Values'!$B$9:$C$16,2,FALSE)</f>
        <v>0</v>
      </c>
      <c r="O93" s="57">
        <f>$G$93*VLOOKUP($G$11,'PCU Values'!$B$9:$C$16,2,FALSE)</f>
        <v>0</v>
      </c>
      <c r="P93" s="57">
        <f>$H$93*VLOOKUP($H$11,'PCU Values'!$B$9:$C$16,2,FALSE)</f>
        <v>0</v>
      </c>
      <c r="Q93" s="57">
        <f>$I$93*VLOOKUP($I$11,'PCU Values'!$B$9:$C$16,2,FALSE)</f>
        <v>0</v>
      </c>
      <c r="R93" s="65">
        <f>$J$93*VLOOKUP($J$11,'PCU Values'!$B$9:$C$16,2,FALSE)</f>
        <v>0</v>
      </c>
      <c r="S93" s="66">
        <f>SUM($K$93,$L$93,$M$93,$N$93,$O$93,$P$93,$Q$93,$R$93)</f>
        <v>3</v>
      </c>
      <c r="T93" s="52">
        <f>SUM($C$93,$D$93,$E$93,$F$93,$G$93,$H$93,$I$93,$J$93)</f>
        <v>3</v>
      </c>
      <c r="U93" s="67">
        <v>0</v>
      </c>
      <c r="V93" s="48">
        <v>0</v>
      </c>
      <c r="W93" s="48">
        <v>0</v>
      </c>
      <c r="X93" s="48">
        <v>0</v>
      </c>
      <c r="Y93" s="48">
        <v>0</v>
      </c>
      <c r="Z93" s="48">
        <v>4</v>
      </c>
      <c r="AA93" s="48">
        <v>0</v>
      </c>
      <c r="AB93" s="56">
        <v>0</v>
      </c>
      <c r="AC93" s="57">
        <f>$U$93*VLOOKUP($U$11,'PCU Values'!$B$9:$C$16,2,FALSE)</f>
        <v>0</v>
      </c>
      <c r="AD93" s="57">
        <f>$V$93*VLOOKUP($V$11,'PCU Values'!$B$9:$C$16,2,FALSE)</f>
        <v>0</v>
      </c>
      <c r="AE93" s="57">
        <f>$W$93*VLOOKUP($W$11,'PCU Values'!$B$9:$C$16,2,FALSE)</f>
        <v>0</v>
      </c>
      <c r="AF93" s="57">
        <f>$X$93*VLOOKUP($X$11,'PCU Values'!$B$9:$C$16,2,FALSE)</f>
        <v>0</v>
      </c>
      <c r="AG93" s="57">
        <f>$Y$93*VLOOKUP($Y$11,'PCU Values'!$B$9:$C$16,2,FALSE)</f>
        <v>0</v>
      </c>
      <c r="AH93" s="57">
        <f>$Z$93*VLOOKUP($Z$11,'PCU Values'!$B$9:$C$16,2,FALSE)</f>
        <v>0.8</v>
      </c>
      <c r="AI93" s="57">
        <f>$AA$93*VLOOKUP($AA$11,'PCU Values'!$B$9:$C$16,2,FALSE)</f>
        <v>0</v>
      </c>
      <c r="AJ93" s="65">
        <f>$AB$93*VLOOKUP($AB$11,'PCU Values'!$B$9:$C$16,2,FALSE)</f>
        <v>0</v>
      </c>
      <c r="AK93" s="66">
        <f>SUM($AC$93,$AD$93,$AE$93,$AF$93,$AG$93,$AH$93,$AI$93,$AJ$93)</f>
        <v>0.8</v>
      </c>
      <c r="AL93" s="52">
        <f>SUM($U$93,$V$93,$W$93,$X$93,$Y$93,$Z$93,$AA$93,$AB$93)</f>
        <v>4</v>
      </c>
      <c r="AM93" s="67">
        <v>2</v>
      </c>
      <c r="AN93" s="48">
        <v>0</v>
      </c>
      <c r="AO93" s="48">
        <v>0</v>
      </c>
      <c r="AP93" s="48">
        <v>0</v>
      </c>
      <c r="AQ93" s="48">
        <v>0</v>
      </c>
      <c r="AR93" s="48">
        <v>0</v>
      </c>
      <c r="AS93" s="48">
        <v>0</v>
      </c>
      <c r="AT93" s="56">
        <v>0</v>
      </c>
      <c r="AU93" s="57">
        <f>$AM$93*VLOOKUP($AM$11,'PCU Values'!$B$9:$C$16,2,FALSE)</f>
        <v>2</v>
      </c>
      <c r="AV93" s="57">
        <f>$AN$93*VLOOKUP($AN$11,'PCU Values'!$B$9:$C$16,2,FALSE)</f>
        <v>0</v>
      </c>
      <c r="AW93" s="57">
        <f>$AO$93*VLOOKUP($AO$11,'PCU Values'!$B$9:$C$16,2,FALSE)</f>
        <v>0</v>
      </c>
      <c r="AX93" s="57">
        <f>$AP$93*VLOOKUP($AP$11,'PCU Values'!$B$9:$C$16,2,FALSE)</f>
        <v>0</v>
      </c>
      <c r="AY93" s="57">
        <f>$AQ$93*VLOOKUP($AQ$11,'PCU Values'!$B$9:$C$16,2,FALSE)</f>
        <v>0</v>
      </c>
      <c r="AZ93" s="57">
        <f>$AR$93*VLOOKUP($AR$11,'PCU Values'!$B$9:$C$16,2,FALSE)</f>
        <v>0</v>
      </c>
      <c r="BA93" s="57">
        <f>$AS$93*VLOOKUP($AS$11,'PCU Values'!$B$9:$C$16,2,FALSE)</f>
        <v>0</v>
      </c>
      <c r="BB93" s="65">
        <f>$AT$93*VLOOKUP($AT$11,'PCU Values'!$B$9:$C$16,2,FALSE)</f>
        <v>0</v>
      </c>
      <c r="BC93" s="66">
        <f>SUM($AU$93,$AV$93,$AW$93,$AX$93,$AY$93,$AZ$93,$BA$93,$BB$93)</f>
        <v>2</v>
      </c>
      <c r="BD93" s="52">
        <f>SUM($AM$93,$AN$93,$AO$93,$AP$93,$AQ$93,$AR$93,$AS$93,$AT$93)</f>
        <v>2</v>
      </c>
      <c r="BE93" s="67">
        <v>0</v>
      </c>
      <c r="BF93" s="48">
        <v>0</v>
      </c>
      <c r="BG93" s="48">
        <v>0</v>
      </c>
      <c r="BH93" s="48">
        <v>0</v>
      </c>
      <c r="BI93" s="48">
        <v>0</v>
      </c>
      <c r="BJ93" s="48">
        <v>0</v>
      </c>
      <c r="BK93" s="48">
        <v>0</v>
      </c>
      <c r="BL93" s="56">
        <v>0</v>
      </c>
      <c r="BM93" s="77">
        <f>$BE$93*VLOOKUP($BE$11,'PCU Values'!$B$9:$C$16,2,FALSE)</f>
        <v>0</v>
      </c>
      <c r="BN93" s="77">
        <f>$BF$93*VLOOKUP($BF$11,'PCU Values'!$B$9:$C$16,2,FALSE)</f>
        <v>0</v>
      </c>
      <c r="BO93" s="77">
        <f>$BG$93*VLOOKUP($BG$11,'PCU Values'!$B$9:$C$16,2,FALSE)</f>
        <v>0</v>
      </c>
      <c r="BP93" s="77">
        <f>$BH$93*VLOOKUP($BH$11,'PCU Values'!$B$9:$C$16,2,FALSE)</f>
        <v>0</v>
      </c>
      <c r="BQ93" s="77">
        <f>$BI$93*VLOOKUP($BI$11,'PCU Values'!$B$9:$C$16,2,FALSE)</f>
        <v>0</v>
      </c>
      <c r="BR93" s="77">
        <f>$BJ$93*VLOOKUP($BJ$11,'PCU Values'!$B$9:$C$16,2,FALSE)</f>
        <v>0</v>
      </c>
      <c r="BS93" s="77">
        <f>$BK$93*VLOOKUP($BK$11,'PCU Values'!$B$9:$C$16,2,FALSE)</f>
        <v>0</v>
      </c>
      <c r="BT93" s="78">
        <f>$BL$93*VLOOKUP($BL$11,'PCU Values'!$B$9:$C$16,2,FALSE)</f>
        <v>0</v>
      </c>
      <c r="BU93" s="66">
        <f>SUM($BM$93,$BN$93,$BO$93,$BP$93,$BQ$93,$BR$93,$BS$93,$BT$93)</f>
        <v>0</v>
      </c>
      <c r="BV93" s="52">
        <f>SUM($BE$93,$BF$93,$BG$93,$BH$93,$BI$93,$BJ$93,$BK$93,$BL$93)</f>
        <v>0</v>
      </c>
      <c r="BX93" s="47" t="s">
        <v>96</v>
      </c>
      <c r="BY93" s="83">
        <f>SUM($C$93,$U$93,$AM$93,$BE$93)</f>
        <v>5</v>
      </c>
      <c r="BZ93" s="83">
        <f>SUM($D$93,$V$93,$AN$93,$BF$93)</f>
        <v>0</v>
      </c>
      <c r="CA93" s="83">
        <f>SUM($E$93,$W$93,$AO$93,$BG$93)</f>
        <v>0</v>
      </c>
      <c r="CB93" s="83">
        <f>SUM($F$93,$X$93,$AP$93,$BH$93)</f>
        <v>0</v>
      </c>
      <c r="CC93" s="83">
        <f>SUM($G$93,$Y$93,$AQ$93,$BI$93)</f>
        <v>0</v>
      </c>
      <c r="CD93" s="83">
        <f>SUM($H$93,$Z$93,$AR$93,$BJ$93)</f>
        <v>4</v>
      </c>
      <c r="CE93" s="83">
        <f>SUM($I$93,$AA$93,$AS$93,$BK$93)</f>
        <v>0</v>
      </c>
      <c r="CF93" s="86">
        <f>SUM($J$93,$AB$93,$AT$93,$BL$93)</f>
        <v>0</v>
      </c>
      <c r="CG93" s="77">
        <f>$BY$93*VLOOKUP($BY$11,'PCU Values'!$B$9:$C$16,2,FALSE)</f>
        <v>5</v>
      </c>
      <c r="CH93" s="77">
        <f>$BZ$93*VLOOKUP($BZ$11,'PCU Values'!$B$9:$C$16,2,FALSE)</f>
        <v>0</v>
      </c>
      <c r="CI93" s="77">
        <f>$CA$93*VLOOKUP($CA$11,'PCU Values'!$B$9:$C$16,2,FALSE)</f>
        <v>0</v>
      </c>
      <c r="CJ93" s="77">
        <f>$CB$93*VLOOKUP($CB$11,'PCU Values'!$B$9:$C$16,2,FALSE)</f>
        <v>0</v>
      </c>
      <c r="CK93" s="77">
        <f>$CC$93*VLOOKUP($CC$11,'PCU Values'!$B$9:$C$16,2,FALSE)</f>
        <v>0</v>
      </c>
      <c r="CL93" s="77">
        <f>$CD$93*VLOOKUP($CD$11,'PCU Values'!$B$9:$C$16,2,FALSE)</f>
        <v>0.8</v>
      </c>
      <c r="CM93" s="77">
        <f>$CE$93*VLOOKUP($CE$11,'PCU Values'!$B$9:$C$16,2,FALSE)</f>
        <v>0</v>
      </c>
      <c r="CN93" s="78">
        <f>$CF$93*VLOOKUP($CF$11,'PCU Values'!$B$9:$C$16,2,FALSE)</f>
        <v>0</v>
      </c>
      <c r="CO93" s="66">
        <f>SUM($CG$93,$CH$93,$CI$93,$CJ$93,$CK$93,$CL$93,$CM$93,$CN$93)</f>
        <v>5.8</v>
      </c>
      <c r="CP93" s="52">
        <f>SUM($BY$93,$BZ$93,$CA$93,$CB$93,$CC$93,$CD$93,$CE$93,$CF$93)</f>
        <v>9</v>
      </c>
      <c r="CQ93" s="89">
        <f>SUM('J1 A - (North) Bishopthorpe Roa'!$AM$93,'J1 B - Butcher Terrace'!$U$93,'J1 C - (South) Bishopthorpe Roa'!$C$93,'J1 D - South Bank Avenue'!$BE$93)</f>
        <v>10</v>
      </c>
      <c r="CR93" s="83">
        <f>SUM('J1 A - (North) Bishopthorpe Roa'!$AN$93,'J1 B - Butcher Terrace'!$V$93,'J1 C - (South) Bishopthorpe Roa'!$D$93,'J1 D - South Bank Avenue'!$BF$93)</f>
        <v>3</v>
      </c>
      <c r="CS93" s="83">
        <f>SUM('J1 A - (North) Bishopthorpe Roa'!$AO$93,'J1 B - Butcher Terrace'!$W$93,'J1 C - (South) Bishopthorpe Roa'!$E$93,'J1 D - South Bank Avenue'!$BG$93)</f>
        <v>0</v>
      </c>
      <c r="CT93" s="83">
        <f>SUM('J1 A - (North) Bishopthorpe Roa'!$AP$93,'J1 B - Butcher Terrace'!$X$93,'J1 C - (South) Bishopthorpe Roa'!$F$93,'J1 D - South Bank Avenue'!$BH$93)</f>
        <v>0</v>
      </c>
      <c r="CU93" s="83">
        <f>SUM('J1 A - (North) Bishopthorpe Roa'!$AQ$93,'J1 B - Butcher Terrace'!$Y$93,'J1 C - (South) Bishopthorpe Roa'!$G$93,'J1 D - South Bank Avenue'!$BI$93)</f>
        <v>0</v>
      </c>
      <c r="CV93" s="83">
        <f>SUM('J1 A - (North) Bishopthorpe Roa'!$AR$93,'J1 B - Butcher Terrace'!$Z$93,'J1 C - (South) Bishopthorpe Roa'!$H$93,'J1 D - South Bank Avenue'!$BJ$93)</f>
        <v>14</v>
      </c>
      <c r="CW93" s="83">
        <f>SUM('J1 A - (North) Bishopthorpe Roa'!$AS$93,'J1 B - Butcher Terrace'!$AA$93,'J1 C - (South) Bishopthorpe Roa'!$I$93,'J1 D - South Bank Avenue'!$BK$93)</f>
        <v>0</v>
      </c>
      <c r="CX93" s="86">
        <f>SUM('J1 A - (North) Bishopthorpe Roa'!$AT$93,'J1 B - Butcher Terrace'!$AB$93,'J1 C - (South) Bishopthorpe Roa'!$J$93,'J1 D - South Bank Avenue'!$BL$93)</f>
        <v>0</v>
      </c>
      <c r="CY93" s="77">
        <f>$CQ$93*VLOOKUP($CQ$11,'PCU Values'!$B$9:$C$16,2,FALSE)</f>
        <v>10</v>
      </c>
      <c r="CZ93" s="77">
        <f>$CR$93*VLOOKUP($CR$11,'PCU Values'!$B$9:$C$16,2,FALSE)</f>
        <v>3</v>
      </c>
      <c r="DA93" s="77">
        <f>$CS$93*VLOOKUP($CS$11,'PCU Values'!$B$9:$C$16,2,FALSE)</f>
        <v>0</v>
      </c>
      <c r="DB93" s="77">
        <f>$CT$93*VLOOKUP($CT$11,'PCU Values'!$B$9:$C$16,2,FALSE)</f>
        <v>0</v>
      </c>
      <c r="DC93" s="77">
        <f>$CU$93*VLOOKUP($CU$11,'PCU Values'!$B$9:$C$16,2,FALSE)</f>
        <v>0</v>
      </c>
      <c r="DD93" s="77">
        <f>$CV$93*VLOOKUP($CV$11,'PCU Values'!$B$9:$C$16,2,FALSE)</f>
        <v>2.8</v>
      </c>
      <c r="DE93" s="77">
        <f>$CW$93*VLOOKUP($CW$11,'PCU Values'!$B$9:$C$16,2,FALSE)</f>
        <v>0</v>
      </c>
      <c r="DF93" s="78">
        <f>$CX$93*VLOOKUP($CX$11,'PCU Values'!$B$9:$C$16,2,FALSE)</f>
        <v>0</v>
      </c>
      <c r="DG93" s="66">
        <f>SUM($CY$93,$CZ$93,$DA$93,$DB$93,$DC$93,$DD$93,$DE$93,$DF$93)</f>
        <v>15.8</v>
      </c>
      <c r="DH93" s="52">
        <f>SUM($CQ$93,$CR$93,$CS$93,$CT$93,$CU$93,$CV$93,$CW$93,$CX$93)</f>
        <v>27</v>
      </c>
    </row>
    <row r="94" spans="1:112" ht="21" customHeight="1">
      <c r="A94" s="46">
        <v>44395.6875</v>
      </c>
      <c r="B94" s="47" t="s">
        <v>97</v>
      </c>
      <c r="C94" s="48">
        <v>4</v>
      </c>
      <c r="D94" s="48">
        <v>0</v>
      </c>
      <c r="E94" s="48">
        <v>0</v>
      </c>
      <c r="F94" s="48">
        <v>0</v>
      </c>
      <c r="G94" s="48">
        <v>0</v>
      </c>
      <c r="H94" s="48">
        <v>1</v>
      </c>
      <c r="I94" s="48">
        <v>0</v>
      </c>
      <c r="J94" s="56">
        <v>0</v>
      </c>
      <c r="K94" s="57">
        <f>$C$94*VLOOKUP($C$11,'PCU Values'!$B$9:$C$16,2,FALSE)</f>
        <v>4</v>
      </c>
      <c r="L94" s="57">
        <f>$D$94*VLOOKUP($D$11,'PCU Values'!$B$9:$C$16,2,FALSE)</f>
        <v>0</v>
      </c>
      <c r="M94" s="57">
        <f>$E$94*VLOOKUP($E$11,'PCU Values'!$B$9:$C$16,2,FALSE)</f>
        <v>0</v>
      </c>
      <c r="N94" s="57">
        <f>$F$94*VLOOKUP($F$11,'PCU Values'!$B$9:$C$16,2,FALSE)</f>
        <v>0</v>
      </c>
      <c r="O94" s="57">
        <f>$G$94*VLOOKUP($G$11,'PCU Values'!$B$9:$C$16,2,FALSE)</f>
        <v>0</v>
      </c>
      <c r="P94" s="57">
        <f>$H$94*VLOOKUP($H$11,'PCU Values'!$B$9:$C$16,2,FALSE)</f>
        <v>0.2</v>
      </c>
      <c r="Q94" s="57">
        <f>$I$94*VLOOKUP($I$11,'PCU Values'!$B$9:$C$16,2,FALSE)</f>
        <v>0</v>
      </c>
      <c r="R94" s="65">
        <f>$J$94*VLOOKUP($J$11,'PCU Values'!$B$9:$C$16,2,FALSE)</f>
        <v>0</v>
      </c>
      <c r="S94" s="66">
        <f>SUM($K$94,$L$94,$M$94,$N$94,$O$94,$P$94,$Q$94,$R$94)</f>
        <v>4.2</v>
      </c>
      <c r="T94" s="52">
        <f>SUM($C$94,$D$94,$E$94,$F$94,$G$94,$H$94,$I$94,$J$94)</f>
        <v>5</v>
      </c>
      <c r="U94" s="67">
        <v>0</v>
      </c>
      <c r="V94" s="48">
        <v>0</v>
      </c>
      <c r="W94" s="48">
        <v>0</v>
      </c>
      <c r="X94" s="48">
        <v>0</v>
      </c>
      <c r="Y94" s="48">
        <v>0</v>
      </c>
      <c r="Z94" s="48">
        <v>8</v>
      </c>
      <c r="AA94" s="48">
        <v>0</v>
      </c>
      <c r="AB94" s="56">
        <v>0</v>
      </c>
      <c r="AC94" s="57">
        <f>$U$94*VLOOKUP($U$11,'PCU Values'!$B$9:$C$16,2,FALSE)</f>
        <v>0</v>
      </c>
      <c r="AD94" s="57">
        <f>$V$94*VLOOKUP($V$11,'PCU Values'!$B$9:$C$16,2,FALSE)</f>
        <v>0</v>
      </c>
      <c r="AE94" s="57">
        <f>$W$94*VLOOKUP($W$11,'PCU Values'!$B$9:$C$16,2,FALSE)</f>
        <v>0</v>
      </c>
      <c r="AF94" s="57">
        <f>$X$94*VLOOKUP($X$11,'PCU Values'!$B$9:$C$16,2,FALSE)</f>
        <v>0</v>
      </c>
      <c r="AG94" s="57">
        <f>$Y$94*VLOOKUP($Y$11,'PCU Values'!$B$9:$C$16,2,FALSE)</f>
        <v>0</v>
      </c>
      <c r="AH94" s="57">
        <f>$Z$94*VLOOKUP($Z$11,'PCU Values'!$B$9:$C$16,2,FALSE)</f>
        <v>1.6</v>
      </c>
      <c r="AI94" s="57">
        <f>$AA$94*VLOOKUP($AA$11,'PCU Values'!$B$9:$C$16,2,FALSE)</f>
        <v>0</v>
      </c>
      <c r="AJ94" s="65">
        <f>$AB$94*VLOOKUP($AB$11,'PCU Values'!$B$9:$C$16,2,FALSE)</f>
        <v>0</v>
      </c>
      <c r="AK94" s="66">
        <f>SUM($AC$94,$AD$94,$AE$94,$AF$94,$AG$94,$AH$94,$AI$94,$AJ$94)</f>
        <v>1.6</v>
      </c>
      <c r="AL94" s="52">
        <f>SUM($U$94,$V$94,$W$94,$X$94,$Y$94,$Z$94,$AA$94,$AB$94)</f>
        <v>8</v>
      </c>
      <c r="AM94" s="67">
        <v>3</v>
      </c>
      <c r="AN94" s="48">
        <v>0</v>
      </c>
      <c r="AO94" s="48">
        <v>0</v>
      </c>
      <c r="AP94" s="48">
        <v>0</v>
      </c>
      <c r="AQ94" s="48">
        <v>0</v>
      </c>
      <c r="AR94" s="48">
        <v>0</v>
      </c>
      <c r="AS94" s="48">
        <v>0</v>
      </c>
      <c r="AT94" s="56">
        <v>0</v>
      </c>
      <c r="AU94" s="57">
        <f>$AM$94*VLOOKUP($AM$11,'PCU Values'!$B$9:$C$16,2,FALSE)</f>
        <v>3</v>
      </c>
      <c r="AV94" s="57">
        <f>$AN$94*VLOOKUP($AN$11,'PCU Values'!$B$9:$C$16,2,FALSE)</f>
        <v>0</v>
      </c>
      <c r="AW94" s="57">
        <f>$AO$94*VLOOKUP($AO$11,'PCU Values'!$B$9:$C$16,2,FALSE)</f>
        <v>0</v>
      </c>
      <c r="AX94" s="57">
        <f>$AP$94*VLOOKUP($AP$11,'PCU Values'!$B$9:$C$16,2,FALSE)</f>
        <v>0</v>
      </c>
      <c r="AY94" s="57">
        <f>$AQ$94*VLOOKUP($AQ$11,'PCU Values'!$B$9:$C$16,2,FALSE)</f>
        <v>0</v>
      </c>
      <c r="AZ94" s="57">
        <f>$AR$94*VLOOKUP($AR$11,'PCU Values'!$B$9:$C$16,2,FALSE)</f>
        <v>0</v>
      </c>
      <c r="BA94" s="57">
        <f>$AS$94*VLOOKUP($AS$11,'PCU Values'!$B$9:$C$16,2,FALSE)</f>
        <v>0</v>
      </c>
      <c r="BB94" s="65">
        <f>$AT$94*VLOOKUP($AT$11,'PCU Values'!$B$9:$C$16,2,FALSE)</f>
        <v>0</v>
      </c>
      <c r="BC94" s="66">
        <f>SUM($AU$94,$AV$94,$AW$94,$AX$94,$AY$94,$AZ$94,$BA$94,$BB$94)</f>
        <v>3</v>
      </c>
      <c r="BD94" s="52">
        <f>SUM($AM$94,$AN$94,$AO$94,$AP$94,$AQ$94,$AR$94,$AS$94,$AT$94)</f>
        <v>3</v>
      </c>
      <c r="BE94" s="67">
        <v>0</v>
      </c>
      <c r="BF94" s="48">
        <v>0</v>
      </c>
      <c r="BG94" s="48">
        <v>0</v>
      </c>
      <c r="BH94" s="48">
        <v>0</v>
      </c>
      <c r="BI94" s="48">
        <v>0</v>
      </c>
      <c r="BJ94" s="48">
        <v>0</v>
      </c>
      <c r="BK94" s="48">
        <v>0</v>
      </c>
      <c r="BL94" s="56">
        <v>0</v>
      </c>
      <c r="BM94" s="77">
        <f>$BE$94*VLOOKUP($BE$11,'PCU Values'!$B$9:$C$16,2,FALSE)</f>
        <v>0</v>
      </c>
      <c r="BN94" s="77">
        <f>$BF$94*VLOOKUP($BF$11,'PCU Values'!$B$9:$C$16,2,FALSE)</f>
        <v>0</v>
      </c>
      <c r="BO94" s="77">
        <f>$BG$94*VLOOKUP($BG$11,'PCU Values'!$B$9:$C$16,2,FALSE)</f>
        <v>0</v>
      </c>
      <c r="BP94" s="77">
        <f>$BH$94*VLOOKUP($BH$11,'PCU Values'!$B$9:$C$16,2,FALSE)</f>
        <v>0</v>
      </c>
      <c r="BQ94" s="77">
        <f>$BI$94*VLOOKUP($BI$11,'PCU Values'!$B$9:$C$16,2,FALSE)</f>
        <v>0</v>
      </c>
      <c r="BR94" s="77">
        <f>$BJ$94*VLOOKUP($BJ$11,'PCU Values'!$B$9:$C$16,2,FALSE)</f>
        <v>0</v>
      </c>
      <c r="BS94" s="77">
        <f>$BK$94*VLOOKUP($BK$11,'PCU Values'!$B$9:$C$16,2,FALSE)</f>
        <v>0</v>
      </c>
      <c r="BT94" s="78">
        <f>$BL$94*VLOOKUP($BL$11,'PCU Values'!$B$9:$C$16,2,FALSE)</f>
        <v>0</v>
      </c>
      <c r="BU94" s="66">
        <f>SUM($BM$94,$BN$94,$BO$94,$BP$94,$BQ$94,$BR$94,$BS$94,$BT$94)</f>
        <v>0</v>
      </c>
      <c r="BV94" s="52">
        <f>SUM($BE$94,$BF$94,$BG$94,$BH$94,$BI$94,$BJ$94,$BK$94,$BL$94)</f>
        <v>0</v>
      </c>
      <c r="BX94" s="47" t="s">
        <v>97</v>
      </c>
      <c r="BY94" s="83">
        <f>SUM($C$94,$U$94,$AM$94,$BE$94)</f>
        <v>7</v>
      </c>
      <c r="BZ94" s="83">
        <f>SUM($D$94,$V$94,$AN$94,$BF$94)</f>
        <v>0</v>
      </c>
      <c r="CA94" s="83">
        <f>SUM($E$94,$W$94,$AO$94,$BG$94)</f>
        <v>0</v>
      </c>
      <c r="CB94" s="83">
        <f>SUM($F$94,$X$94,$AP$94,$BH$94)</f>
        <v>0</v>
      </c>
      <c r="CC94" s="83">
        <f>SUM($G$94,$Y$94,$AQ$94,$BI$94)</f>
        <v>0</v>
      </c>
      <c r="CD94" s="83">
        <f>SUM($H$94,$Z$94,$AR$94,$BJ$94)</f>
        <v>9</v>
      </c>
      <c r="CE94" s="83">
        <f>SUM($I$94,$AA$94,$AS$94,$BK$94)</f>
        <v>0</v>
      </c>
      <c r="CF94" s="86">
        <f>SUM($J$94,$AB$94,$AT$94,$BL$94)</f>
        <v>0</v>
      </c>
      <c r="CG94" s="77">
        <f>$BY$94*VLOOKUP($BY$11,'PCU Values'!$B$9:$C$16,2,FALSE)</f>
        <v>7</v>
      </c>
      <c r="CH94" s="77">
        <f>$BZ$94*VLOOKUP($BZ$11,'PCU Values'!$B$9:$C$16,2,FALSE)</f>
        <v>0</v>
      </c>
      <c r="CI94" s="77">
        <f>$CA$94*VLOOKUP($CA$11,'PCU Values'!$B$9:$C$16,2,FALSE)</f>
        <v>0</v>
      </c>
      <c r="CJ94" s="77">
        <f>$CB$94*VLOOKUP($CB$11,'PCU Values'!$B$9:$C$16,2,FALSE)</f>
        <v>0</v>
      </c>
      <c r="CK94" s="77">
        <f>$CC$94*VLOOKUP($CC$11,'PCU Values'!$B$9:$C$16,2,FALSE)</f>
        <v>0</v>
      </c>
      <c r="CL94" s="77">
        <f>$CD$94*VLOOKUP($CD$11,'PCU Values'!$B$9:$C$16,2,FALSE)</f>
        <v>1.8</v>
      </c>
      <c r="CM94" s="77">
        <f>$CE$94*VLOOKUP($CE$11,'PCU Values'!$B$9:$C$16,2,FALSE)</f>
        <v>0</v>
      </c>
      <c r="CN94" s="78">
        <f>$CF$94*VLOOKUP($CF$11,'PCU Values'!$B$9:$C$16,2,FALSE)</f>
        <v>0</v>
      </c>
      <c r="CO94" s="66">
        <f>SUM($CG$94,$CH$94,$CI$94,$CJ$94,$CK$94,$CL$94,$CM$94,$CN$94)</f>
        <v>8.8000000000000007</v>
      </c>
      <c r="CP94" s="52">
        <f>SUM($BY$94,$BZ$94,$CA$94,$CB$94,$CC$94,$CD$94,$CE$94,$CF$94)</f>
        <v>16</v>
      </c>
      <c r="CQ94" s="89">
        <f>SUM('J1 A - (North) Bishopthorpe Roa'!$AM$94,'J1 B - Butcher Terrace'!$U$94,'J1 C - (South) Bishopthorpe Roa'!$C$94,'J1 D - South Bank Avenue'!$BE$94)</f>
        <v>18</v>
      </c>
      <c r="CR94" s="83">
        <f>SUM('J1 A - (North) Bishopthorpe Roa'!$AN$94,'J1 B - Butcher Terrace'!$V$94,'J1 C - (South) Bishopthorpe Roa'!$D$94,'J1 D - South Bank Avenue'!$BF$94)</f>
        <v>0</v>
      </c>
      <c r="CS94" s="83">
        <f>SUM('J1 A - (North) Bishopthorpe Roa'!$AO$94,'J1 B - Butcher Terrace'!$W$94,'J1 C - (South) Bishopthorpe Roa'!$E$94,'J1 D - South Bank Avenue'!$BG$94)</f>
        <v>0</v>
      </c>
      <c r="CT94" s="83">
        <f>SUM('J1 A - (North) Bishopthorpe Roa'!$AP$94,'J1 B - Butcher Terrace'!$X$94,'J1 C - (South) Bishopthorpe Roa'!$F$94,'J1 D - South Bank Avenue'!$BH$94)</f>
        <v>0</v>
      </c>
      <c r="CU94" s="83">
        <f>SUM('J1 A - (North) Bishopthorpe Roa'!$AQ$94,'J1 B - Butcher Terrace'!$Y$94,'J1 C - (South) Bishopthorpe Roa'!$G$94,'J1 D - South Bank Avenue'!$BI$94)</f>
        <v>0</v>
      </c>
      <c r="CV94" s="83">
        <f>SUM('J1 A - (North) Bishopthorpe Roa'!$AR$94,'J1 B - Butcher Terrace'!$Z$94,'J1 C - (South) Bishopthorpe Roa'!$H$94,'J1 D - South Bank Avenue'!$BJ$94)</f>
        <v>15</v>
      </c>
      <c r="CW94" s="83">
        <f>SUM('J1 A - (North) Bishopthorpe Roa'!$AS$94,'J1 B - Butcher Terrace'!$AA$94,'J1 C - (South) Bishopthorpe Roa'!$I$94,'J1 D - South Bank Avenue'!$BK$94)</f>
        <v>0</v>
      </c>
      <c r="CX94" s="86">
        <f>SUM('J1 A - (North) Bishopthorpe Roa'!$AT$94,'J1 B - Butcher Terrace'!$AB$94,'J1 C - (South) Bishopthorpe Roa'!$J$94,'J1 D - South Bank Avenue'!$BL$94)</f>
        <v>0</v>
      </c>
      <c r="CY94" s="77">
        <f>$CQ$94*VLOOKUP($CQ$11,'PCU Values'!$B$9:$C$16,2,FALSE)</f>
        <v>18</v>
      </c>
      <c r="CZ94" s="77">
        <f>$CR$94*VLOOKUP($CR$11,'PCU Values'!$B$9:$C$16,2,FALSE)</f>
        <v>0</v>
      </c>
      <c r="DA94" s="77">
        <f>$CS$94*VLOOKUP($CS$11,'PCU Values'!$B$9:$C$16,2,FALSE)</f>
        <v>0</v>
      </c>
      <c r="DB94" s="77">
        <f>$CT$94*VLOOKUP($CT$11,'PCU Values'!$B$9:$C$16,2,FALSE)</f>
        <v>0</v>
      </c>
      <c r="DC94" s="77">
        <f>$CU$94*VLOOKUP($CU$11,'PCU Values'!$B$9:$C$16,2,FALSE)</f>
        <v>0</v>
      </c>
      <c r="DD94" s="77">
        <f>$CV$94*VLOOKUP($CV$11,'PCU Values'!$B$9:$C$16,2,FALSE)</f>
        <v>3</v>
      </c>
      <c r="DE94" s="77">
        <f>$CW$94*VLOOKUP($CW$11,'PCU Values'!$B$9:$C$16,2,FALSE)</f>
        <v>0</v>
      </c>
      <c r="DF94" s="78">
        <f>$CX$94*VLOOKUP($CX$11,'PCU Values'!$B$9:$C$16,2,FALSE)</f>
        <v>0</v>
      </c>
      <c r="DG94" s="66">
        <f>SUM($CY$94,$CZ$94,$DA$94,$DB$94,$DC$94,$DD$94,$DE$94,$DF$94)</f>
        <v>21</v>
      </c>
      <c r="DH94" s="52">
        <f>SUM($CQ$94,$CR$94,$CS$94,$CT$94,$CU$94,$CV$94,$CW$94,$CX$94)</f>
        <v>33</v>
      </c>
    </row>
    <row r="95" spans="1:112" ht="21" customHeight="1">
      <c r="A95" s="46">
        <v>44395.697916666701</v>
      </c>
      <c r="B95" s="50" t="s">
        <v>98</v>
      </c>
      <c r="C95" s="51">
        <v>3</v>
      </c>
      <c r="D95" s="51">
        <v>0</v>
      </c>
      <c r="E95" s="51">
        <v>0</v>
      </c>
      <c r="F95" s="51">
        <v>0</v>
      </c>
      <c r="G95" s="51">
        <v>0</v>
      </c>
      <c r="H95" s="51">
        <v>3</v>
      </c>
      <c r="I95" s="51">
        <v>0</v>
      </c>
      <c r="J95" s="59">
        <v>0</v>
      </c>
      <c r="K95" s="60">
        <f>$C$95*VLOOKUP($C$11,'PCU Values'!$B$9:$C$16,2,FALSE)</f>
        <v>3</v>
      </c>
      <c r="L95" s="60">
        <f>$D$95*VLOOKUP($D$11,'PCU Values'!$B$9:$C$16,2,FALSE)</f>
        <v>0</v>
      </c>
      <c r="M95" s="60">
        <f>$E$95*VLOOKUP($E$11,'PCU Values'!$B$9:$C$16,2,FALSE)</f>
        <v>0</v>
      </c>
      <c r="N95" s="60">
        <f>$F$95*VLOOKUP($F$11,'PCU Values'!$B$9:$C$16,2,FALSE)</f>
        <v>0</v>
      </c>
      <c r="O95" s="60">
        <f>$G$95*VLOOKUP($G$11,'PCU Values'!$B$9:$C$16,2,FALSE)</f>
        <v>0</v>
      </c>
      <c r="P95" s="60">
        <f>$H$95*VLOOKUP($H$11,'PCU Values'!$B$9:$C$16,2,FALSE)</f>
        <v>0.6</v>
      </c>
      <c r="Q95" s="60">
        <f>$I$95*VLOOKUP($I$11,'PCU Values'!$B$9:$C$16,2,FALSE)</f>
        <v>0</v>
      </c>
      <c r="R95" s="68">
        <f>$J$95*VLOOKUP($J$11,'PCU Values'!$B$9:$C$16,2,FALSE)</f>
        <v>0</v>
      </c>
      <c r="S95" s="63">
        <f>SUM($K$95,$L$95,$M$95,$N$95,$O$95,$P$95,$Q$95,$R$95)</f>
        <v>3.6</v>
      </c>
      <c r="T95" s="52">
        <f>SUM($C$95,$D$95,$E$95,$F$95,$G$95,$H$95,$I$95,$J$95)</f>
        <v>6</v>
      </c>
      <c r="U95" s="73">
        <v>1</v>
      </c>
      <c r="V95" s="51">
        <v>0</v>
      </c>
      <c r="W95" s="51">
        <v>0</v>
      </c>
      <c r="X95" s="51">
        <v>0</v>
      </c>
      <c r="Y95" s="51">
        <v>0</v>
      </c>
      <c r="Z95" s="51">
        <v>4</v>
      </c>
      <c r="AA95" s="51">
        <v>0</v>
      </c>
      <c r="AB95" s="59">
        <v>0</v>
      </c>
      <c r="AC95" s="60">
        <f>$U$95*VLOOKUP($U$11,'PCU Values'!$B$9:$C$16,2,FALSE)</f>
        <v>1</v>
      </c>
      <c r="AD95" s="60">
        <f>$V$95*VLOOKUP($V$11,'PCU Values'!$B$9:$C$16,2,FALSE)</f>
        <v>0</v>
      </c>
      <c r="AE95" s="60">
        <f>$W$95*VLOOKUP($W$11,'PCU Values'!$B$9:$C$16,2,FALSE)</f>
        <v>0</v>
      </c>
      <c r="AF95" s="60">
        <f>$X$95*VLOOKUP($X$11,'PCU Values'!$B$9:$C$16,2,FALSE)</f>
        <v>0</v>
      </c>
      <c r="AG95" s="60">
        <f>$Y$95*VLOOKUP($Y$11,'PCU Values'!$B$9:$C$16,2,FALSE)</f>
        <v>0</v>
      </c>
      <c r="AH95" s="60">
        <f>$Z$95*VLOOKUP($Z$11,'PCU Values'!$B$9:$C$16,2,FALSE)</f>
        <v>0.8</v>
      </c>
      <c r="AI95" s="60">
        <f>$AA$95*VLOOKUP($AA$11,'PCU Values'!$B$9:$C$16,2,FALSE)</f>
        <v>0</v>
      </c>
      <c r="AJ95" s="68">
        <f>$AB$95*VLOOKUP($AB$11,'PCU Values'!$B$9:$C$16,2,FALSE)</f>
        <v>0</v>
      </c>
      <c r="AK95" s="63">
        <f>SUM($AC$95,$AD$95,$AE$95,$AF$95,$AG$95,$AH$95,$AI$95,$AJ$95)</f>
        <v>1.8</v>
      </c>
      <c r="AL95" s="52">
        <f>SUM($U$95,$V$95,$W$95,$X$95,$Y$95,$Z$95,$AA$95,$AB$95)</f>
        <v>5</v>
      </c>
      <c r="AM95" s="73">
        <v>3</v>
      </c>
      <c r="AN95" s="51">
        <v>0</v>
      </c>
      <c r="AO95" s="51">
        <v>0</v>
      </c>
      <c r="AP95" s="51">
        <v>0</v>
      </c>
      <c r="AQ95" s="51">
        <v>0</v>
      </c>
      <c r="AR95" s="51">
        <v>1</v>
      </c>
      <c r="AS95" s="51">
        <v>0</v>
      </c>
      <c r="AT95" s="59">
        <v>0</v>
      </c>
      <c r="AU95" s="60">
        <f>$AM$95*VLOOKUP($AM$11,'PCU Values'!$B$9:$C$16,2,FALSE)</f>
        <v>3</v>
      </c>
      <c r="AV95" s="60">
        <f>$AN$95*VLOOKUP($AN$11,'PCU Values'!$B$9:$C$16,2,FALSE)</f>
        <v>0</v>
      </c>
      <c r="AW95" s="60">
        <f>$AO$95*VLOOKUP($AO$11,'PCU Values'!$B$9:$C$16,2,FALSE)</f>
        <v>0</v>
      </c>
      <c r="AX95" s="60">
        <f>$AP$95*VLOOKUP($AP$11,'PCU Values'!$B$9:$C$16,2,FALSE)</f>
        <v>0</v>
      </c>
      <c r="AY95" s="60">
        <f>$AQ$95*VLOOKUP($AQ$11,'PCU Values'!$B$9:$C$16,2,FALSE)</f>
        <v>0</v>
      </c>
      <c r="AZ95" s="60">
        <f>$AR$95*VLOOKUP($AR$11,'PCU Values'!$B$9:$C$16,2,FALSE)</f>
        <v>0.2</v>
      </c>
      <c r="BA95" s="60">
        <f>$AS$95*VLOOKUP($AS$11,'PCU Values'!$B$9:$C$16,2,FALSE)</f>
        <v>0</v>
      </c>
      <c r="BB95" s="68">
        <f>$AT$95*VLOOKUP($AT$11,'PCU Values'!$B$9:$C$16,2,FALSE)</f>
        <v>0</v>
      </c>
      <c r="BC95" s="63">
        <f>SUM($AU$95,$AV$95,$AW$95,$AX$95,$AY$95,$AZ$95,$BA$95,$BB$95)</f>
        <v>3.2</v>
      </c>
      <c r="BD95" s="52">
        <f>SUM($AM$95,$AN$95,$AO$95,$AP$95,$AQ$95,$AR$95,$AS$95,$AT$95)</f>
        <v>4</v>
      </c>
      <c r="BE95" s="73">
        <v>0</v>
      </c>
      <c r="BF95" s="51">
        <v>0</v>
      </c>
      <c r="BG95" s="51">
        <v>0</v>
      </c>
      <c r="BH95" s="51">
        <v>0</v>
      </c>
      <c r="BI95" s="51">
        <v>0</v>
      </c>
      <c r="BJ95" s="51">
        <v>0</v>
      </c>
      <c r="BK95" s="51">
        <v>0</v>
      </c>
      <c r="BL95" s="59">
        <v>0</v>
      </c>
      <c r="BM95" s="79">
        <f>$BE$95*VLOOKUP($BE$11,'PCU Values'!$B$9:$C$16,2,FALSE)</f>
        <v>0</v>
      </c>
      <c r="BN95" s="79">
        <f>$BF$95*VLOOKUP($BF$11,'PCU Values'!$B$9:$C$16,2,FALSE)</f>
        <v>0</v>
      </c>
      <c r="BO95" s="79">
        <f>$BG$95*VLOOKUP($BG$11,'PCU Values'!$B$9:$C$16,2,FALSE)</f>
        <v>0</v>
      </c>
      <c r="BP95" s="79">
        <f>$BH$95*VLOOKUP($BH$11,'PCU Values'!$B$9:$C$16,2,FALSE)</f>
        <v>0</v>
      </c>
      <c r="BQ95" s="79">
        <f>$BI$95*VLOOKUP($BI$11,'PCU Values'!$B$9:$C$16,2,FALSE)</f>
        <v>0</v>
      </c>
      <c r="BR95" s="79">
        <f>$BJ$95*VLOOKUP($BJ$11,'PCU Values'!$B$9:$C$16,2,FALSE)</f>
        <v>0</v>
      </c>
      <c r="BS95" s="79">
        <f>$BK$95*VLOOKUP($BK$11,'PCU Values'!$B$9:$C$16,2,FALSE)</f>
        <v>0</v>
      </c>
      <c r="BT95" s="80">
        <f>$BL$95*VLOOKUP($BL$11,'PCU Values'!$B$9:$C$16,2,FALSE)</f>
        <v>0</v>
      </c>
      <c r="BU95" s="63">
        <f>SUM($BM$95,$BN$95,$BO$95,$BP$95,$BQ$95,$BR$95,$BS$95,$BT$95)</f>
        <v>0</v>
      </c>
      <c r="BV95" s="52">
        <f>SUM($BE$95,$BF$95,$BG$95,$BH$95,$BI$95,$BJ$95,$BK$95,$BL$95)</f>
        <v>0</v>
      </c>
      <c r="BX95" s="50" t="s">
        <v>98</v>
      </c>
      <c r="BY95" s="84">
        <f>SUM($C$95,$U$95,$AM$95,$BE$95)</f>
        <v>7</v>
      </c>
      <c r="BZ95" s="84">
        <f>SUM($D$95,$V$95,$AN$95,$BF$95)</f>
        <v>0</v>
      </c>
      <c r="CA95" s="84">
        <f>SUM($E$95,$W$95,$AO$95,$BG$95)</f>
        <v>0</v>
      </c>
      <c r="CB95" s="84">
        <f>SUM($F$95,$X$95,$AP$95,$BH$95)</f>
        <v>0</v>
      </c>
      <c r="CC95" s="84">
        <f>SUM($G$95,$Y$95,$AQ$95,$BI$95)</f>
        <v>0</v>
      </c>
      <c r="CD95" s="84">
        <f>SUM($H$95,$Z$95,$AR$95,$BJ$95)</f>
        <v>8</v>
      </c>
      <c r="CE95" s="84">
        <f>SUM($I$95,$AA$95,$AS$95,$BK$95)</f>
        <v>0</v>
      </c>
      <c r="CF95" s="87">
        <f>SUM($J$95,$AB$95,$AT$95,$BL$95)</f>
        <v>0</v>
      </c>
      <c r="CG95" s="79">
        <f>$BY$95*VLOOKUP($BY$11,'PCU Values'!$B$9:$C$16,2,FALSE)</f>
        <v>7</v>
      </c>
      <c r="CH95" s="79">
        <f>$BZ$95*VLOOKUP($BZ$11,'PCU Values'!$B$9:$C$16,2,FALSE)</f>
        <v>0</v>
      </c>
      <c r="CI95" s="79">
        <f>$CA$95*VLOOKUP($CA$11,'PCU Values'!$B$9:$C$16,2,FALSE)</f>
        <v>0</v>
      </c>
      <c r="CJ95" s="79">
        <f>$CB$95*VLOOKUP($CB$11,'PCU Values'!$B$9:$C$16,2,FALSE)</f>
        <v>0</v>
      </c>
      <c r="CK95" s="79">
        <f>$CC$95*VLOOKUP($CC$11,'PCU Values'!$B$9:$C$16,2,FALSE)</f>
        <v>0</v>
      </c>
      <c r="CL95" s="79">
        <f>$CD$95*VLOOKUP($CD$11,'PCU Values'!$B$9:$C$16,2,FALSE)</f>
        <v>1.6</v>
      </c>
      <c r="CM95" s="79">
        <f>$CE$95*VLOOKUP($CE$11,'PCU Values'!$B$9:$C$16,2,FALSE)</f>
        <v>0</v>
      </c>
      <c r="CN95" s="80">
        <f>$CF$95*VLOOKUP($CF$11,'PCU Values'!$B$9:$C$16,2,FALSE)</f>
        <v>0</v>
      </c>
      <c r="CO95" s="63">
        <f>SUM($CG$95,$CH$95,$CI$95,$CJ$95,$CK$95,$CL$95,$CM$95,$CN$95)</f>
        <v>8.6</v>
      </c>
      <c r="CP95" s="52">
        <f>SUM($BY$95,$BZ$95,$CA$95,$CB$95,$CC$95,$CD$95,$CE$95,$CF$95)</f>
        <v>15</v>
      </c>
      <c r="CQ95" s="90">
        <f>SUM('J1 A - (North) Bishopthorpe Roa'!$AM$95,'J1 B - Butcher Terrace'!$U$95,'J1 C - (South) Bishopthorpe Roa'!$C$95,'J1 D - South Bank Avenue'!$BE$95)</f>
        <v>9</v>
      </c>
      <c r="CR95" s="84">
        <f>SUM('J1 A - (North) Bishopthorpe Roa'!$AN$95,'J1 B - Butcher Terrace'!$V$95,'J1 C - (South) Bishopthorpe Roa'!$D$95,'J1 D - South Bank Avenue'!$BF$95)</f>
        <v>2</v>
      </c>
      <c r="CS95" s="84">
        <f>SUM('J1 A - (North) Bishopthorpe Roa'!$AO$95,'J1 B - Butcher Terrace'!$W$95,'J1 C - (South) Bishopthorpe Roa'!$E$95,'J1 D - South Bank Avenue'!$BG$95)</f>
        <v>0</v>
      </c>
      <c r="CT95" s="84">
        <f>SUM('J1 A - (North) Bishopthorpe Roa'!$AP$95,'J1 B - Butcher Terrace'!$X$95,'J1 C - (South) Bishopthorpe Roa'!$F$95,'J1 D - South Bank Avenue'!$BH$95)</f>
        <v>0</v>
      </c>
      <c r="CU95" s="84">
        <f>SUM('J1 A - (North) Bishopthorpe Roa'!$AQ$95,'J1 B - Butcher Terrace'!$Y$95,'J1 C - (South) Bishopthorpe Roa'!$G$95,'J1 D - South Bank Avenue'!$BI$95)</f>
        <v>0</v>
      </c>
      <c r="CV95" s="84">
        <f>SUM('J1 A - (North) Bishopthorpe Roa'!$AR$95,'J1 B - Butcher Terrace'!$Z$95,'J1 C - (South) Bishopthorpe Roa'!$H$95,'J1 D - South Bank Avenue'!$BJ$95)</f>
        <v>10</v>
      </c>
      <c r="CW95" s="84">
        <f>SUM('J1 A - (North) Bishopthorpe Roa'!$AS$95,'J1 B - Butcher Terrace'!$AA$95,'J1 C - (South) Bishopthorpe Roa'!$I$95,'J1 D - South Bank Avenue'!$BK$95)</f>
        <v>1</v>
      </c>
      <c r="CX95" s="87">
        <f>SUM('J1 A - (North) Bishopthorpe Roa'!$AT$95,'J1 B - Butcher Terrace'!$AB$95,'J1 C - (South) Bishopthorpe Roa'!$J$95,'J1 D - South Bank Avenue'!$BL$95)</f>
        <v>0</v>
      </c>
      <c r="CY95" s="79">
        <f>$CQ$95*VLOOKUP($CQ$11,'PCU Values'!$B$9:$C$16,2,FALSE)</f>
        <v>9</v>
      </c>
      <c r="CZ95" s="79">
        <f>$CR$95*VLOOKUP($CR$11,'PCU Values'!$B$9:$C$16,2,FALSE)</f>
        <v>2</v>
      </c>
      <c r="DA95" s="79">
        <f>$CS$95*VLOOKUP($CS$11,'PCU Values'!$B$9:$C$16,2,FALSE)</f>
        <v>0</v>
      </c>
      <c r="DB95" s="79">
        <f>$CT$95*VLOOKUP($CT$11,'PCU Values'!$B$9:$C$16,2,FALSE)</f>
        <v>0</v>
      </c>
      <c r="DC95" s="79">
        <f>$CU$95*VLOOKUP($CU$11,'PCU Values'!$B$9:$C$16,2,FALSE)</f>
        <v>0</v>
      </c>
      <c r="DD95" s="79">
        <f>$CV$95*VLOOKUP($CV$11,'PCU Values'!$B$9:$C$16,2,FALSE)</f>
        <v>2</v>
      </c>
      <c r="DE95" s="79">
        <f>$CW$95*VLOOKUP($CW$11,'PCU Values'!$B$9:$C$16,2,FALSE)</f>
        <v>0.4</v>
      </c>
      <c r="DF95" s="80">
        <f>$CX$95*VLOOKUP($CX$11,'PCU Values'!$B$9:$C$16,2,FALSE)</f>
        <v>0</v>
      </c>
      <c r="DG95" s="63">
        <f>SUM($CY$95,$CZ$95,$DA$95,$DB$95,$DC$95,$DD$95,$DE$95,$DF$95)</f>
        <v>13.4</v>
      </c>
      <c r="DH95" s="52">
        <f>SUM($CQ$95,$CR$95,$CS$95,$CT$95,$CU$95,$CV$95,$CW$95,$CX$95)</f>
        <v>22</v>
      </c>
    </row>
    <row r="96" spans="1:112">
      <c r="B96" s="52" t="s">
        <v>34</v>
      </c>
      <c r="C96" s="52">
        <f>SUM($C$92:$C$95)</f>
        <v>21</v>
      </c>
      <c r="D96" s="52">
        <f>SUM($D$92:$D$95)</f>
        <v>2</v>
      </c>
      <c r="E96" s="52">
        <f>SUM($E$92:$E$95)</f>
        <v>2</v>
      </c>
      <c r="F96" s="52">
        <f>SUM($F$92:$F$95)</f>
        <v>0</v>
      </c>
      <c r="G96" s="52">
        <f>SUM($G$92:$G$95)</f>
        <v>0</v>
      </c>
      <c r="H96" s="52">
        <f>SUM($H$92:$H$95)</f>
        <v>5</v>
      </c>
      <c r="I96" s="52">
        <f>SUM($I$92:$I$95)</f>
        <v>0</v>
      </c>
      <c r="J96" s="52">
        <f>SUM($J$92:$J$95)</f>
        <v>0</v>
      </c>
      <c r="K96" s="52">
        <f>SUM($K$92:$K$95)</f>
        <v>21</v>
      </c>
      <c r="L96" s="52">
        <f>SUM($L$92:$L$95)</f>
        <v>2</v>
      </c>
      <c r="M96" s="52">
        <f>SUM($M$92:$M$95)</f>
        <v>3</v>
      </c>
      <c r="N96" s="52">
        <f>SUM($N$92:$N$95)</f>
        <v>0</v>
      </c>
      <c r="O96" s="52">
        <f>SUM($O$92:$O$95)</f>
        <v>0</v>
      </c>
      <c r="P96" s="52">
        <f>SUM($P$92:$P$95)</f>
        <v>1</v>
      </c>
      <c r="Q96" s="52">
        <f>SUM($Q$92:$Q$95)</f>
        <v>0</v>
      </c>
      <c r="R96" s="52">
        <f>SUM($R$92:$R$95)</f>
        <v>0</v>
      </c>
      <c r="S96" s="52">
        <f>SUM($K$96,$L$96,$M$96,$N$96,$O$96,$P$96,$Q$96,$R$96)</f>
        <v>27</v>
      </c>
      <c r="T96" s="52">
        <f>SUM($C$96,$D$96,$E$96,$F$96,$G$96,$H$96,$I$96,$J$96)</f>
        <v>30</v>
      </c>
      <c r="U96" s="52">
        <f>SUM($U$92:$U$95)</f>
        <v>1</v>
      </c>
      <c r="V96" s="52">
        <f>SUM($V$92:$V$95)</f>
        <v>0</v>
      </c>
      <c r="W96" s="52">
        <f>SUM($W$92:$W$95)</f>
        <v>0</v>
      </c>
      <c r="X96" s="52">
        <f>SUM($X$92:$X$95)</f>
        <v>0</v>
      </c>
      <c r="Y96" s="52">
        <f>SUM($Y$92:$Y$95)</f>
        <v>0</v>
      </c>
      <c r="Z96" s="52">
        <f>SUM($Z$92:$Z$95)</f>
        <v>17</v>
      </c>
      <c r="AA96" s="52">
        <f>SUM($AA$92:$AA$95)</f>
        <v>0</v>
      </c>
      <c r="AB96" s="52">
        <f>SUM($AB$92:$AB$95)</f>
        <v>0</v>
      </c>
      <c r="AC96" s="52">
        <f>SUM($AC$92:$AC$95)</f>
        <v>1</v>
      </c>
      <c r="AD96" s="52">
        <f>SUM($AD$92:$AD$95)</f>
        <v>0</v>
      </c>
      <c r="AE96" s="52">
        <f>SUM($AE$92:$AE$95)</f>
        <v>0</v>
      </c>
      <c r="AF96" s="52">
        <f>SUM($AF$92:$AF$95)</f>
        <v>0</v>
      </c>
      <c r="AG96" s="52">
        <f>SUM($AG$92:$AG$95)</f>
        <v>0</v>
      </c>
      <c r="AH96" s="52">
        <f>SUM($AH$92:$AH$95)</f>
        <v>3</v>
      </c>
      <c r="AI96" s="52">
        <f>SUM($AI$92:$AI$95)</f>
        <v>0</v>
      </c>
      <c r="AJ96" s="52">
        <f>SUM($AJ$92:$AJ$95)</f>
        <v>0</v>
      </c>
      <c r="AK96" s="52">
        <f>SUM($AC$96,$AD$96,$AE$96,$AF$96,$AG$96,$AH$96,$AI$96,$AJ$96)</f>
        <v>4</v>
      </c>
      <c r="AL96" s="52">
        <f>SUM($U$96,$V$96,$W$96,$X$96,$Y$96,$Z$96,$AA$96,$AB$96)</f>
        <v>18</v>
      </c>
      <c r="AM96" s="52">
        <f>SUM($AM$92:$AM$95)</f>
        <v>13</v>
      </c>
      <c r="AN96" s="52">
        <f>SUM($AN$92:$AN$95)</f>
        <v>1</v>
      </c>
      <c r="AO96" s="52">
        <f>SUM($AO$92:$AO$95)</f>
        <v>0</v>
      </c>
      <c r="AP96" s="52">
        <f>SUM($AP$92:$AP$95)</f>
        <v>0</v>
      </c>
      <c r="AQ96" s="52">
        <f>SUM($AQ$92:$AQ$95)</f>
        <v>0</v>
      </c>
      <c r="AR96" s="52">
        <f>SUM($AR$92:$AR$95)</f>
        <v>1</v>
      </c>
      <c r="AS96" s="52">
        <f>SUM($AS$92:$AS$95)</f>
        <v>0</v>
      </c>
      <c r="AT96" s="52">
        <f>SUM($AT$92:$AT$95)</f>
        <v>0</v>
      </c>
      <c r="AU96" s="52">
        <f>SUM($AU$92:$AU$95)</f>
        <v>13</v>
      </c>
      <c r="AV96" s="52">
        <f>SUM($AV$92:$AV$95)</f>
        <v>1</v>
      </c>
      <c r="AW96" s="52">
        <f>SUM($AW$92:$AW$95)</f>
        <v>0</v>
      </c>
      <c r="AX96" s="52">
        <f>SUM($AX$92:$AX$95)</f>
        <v>0</v>
      </c>
      <c r="AY96" s="52">
        <f>SUM($AY$92:$AY$95)</f>
        <v>0</v>
      </c>
      <c r="AZ96" s="52">
        <f>SUM($AZ$92:$AZ$95)</f>
        <v>0</v>
      </c>
      <c r="BA96" s="52">
        <f>SUM($BA$92:$BA$95)</f>
        <v>0</v>
      </c>
      <c r="BB96" s="52">
        <f>SUM($BB$92:$BB$95)</f>
        <v>0</v>
      </c>
      <c r="BC96" s="52">
        <f>SUM($AU$96,$AV$96,$AW$96,$AX$96,$AY$96,$AZ$96,$BA$96,$BB$96)</f>
        <v>14</v>
      </c>
      <c r="BD96" s="52">
        <f>SUM($AM$96,$AN$96,$AO$96,$AP$96,$AQ$96,$AR$96,$AS$96,$AT$96)</f>
        <v>15</v>
      </c>
      <c r="BE96" s="52">
        <f>SUM($BE$92:$BE$95)</f>
        <v>0</v>
      </c>
      <c r="BF96" s="52">
        <f>SUM($BF$92:$BF$95)</f>
        <v>0</v>
      </c>
      <c r="BG96" s="52">
        <f>SUM($BG$92:$BG$95)</f>
        <v>0</v>
      </c>
      <c r="BH96" s="52">
        <f>SUM($BH$92:$BH$95)</f>
        <v>0</v>
      </c>
      <c r="BI96" s="52">
        <f>SUM($BI$92:$BI$95)</f>
        <v>0</v>
      </c>
      <c r="BJ96" s="52">
        <f>SUM($BJ$92:$BJ$95)</f>
        <v>0</v>
      </c>
      <c r="BK96" s="52">
        <f>SUM($BK$92:$BK$95)</f>
        <v>0</v>
      </c>
      <c r="BL96" s="52">
        <f>SUM($BL$92:$BL$95)</f>
        <v>0</v>
      </c>
      <c r="BM96" s="52">
        <f>SUM($BM$92:$BM$95)</f>
        <v>0</v>
      </c>
      <c r="BN96" s="52">
        <f>SUM($BN$92:$BN$95)</f>
        <v>0</v>
      </c>
      <c r="BO96" s="52">
        <f>SUM($BO$92:$BO$95)</f>
        <v>0</v>
      </c>
      <c r="BP96" s="52">
        <f>SUM($BP$92:$BP$95)</f>
        <v>0</v>
      </c>
      <c r="BQ96" s="52">
        <f>SUM($BQ$92:$BQ$95)</f>
        <v>0</v>
      </c>
      <c r="BR96" s="52">
        <f>SUM($BR$92:$BR$95)</f>
        <v>0</v>
      </c>
      <c r="BS96" s="52">
        <f>SUM($BS$92:$BS$95)</f>
        <v>0</v>
      </c>
      <c r="BT96" s="52">
        <f>SUM($BT$92:$BT$95)</f>
        <v>0</v>
      </c>
      <c r="BU96" s="52">
        <f>SUM($BM$96,$BN$96,$BO$96,$BP$96,$BQ$96,$BR$96,$BS$96,$BT$96)</f>
        <v>0</v>
      </c>
      <c r="BV96" s="52">
        <f>SUM($BE$96,$BF$96,$BG$96,$BH$96,$BI$96,$BJ$96,$BK$96,$BL$96)</f>
        <v>0</v>
      </c>
      <c r="BX96" s="52" t="s">
        <v>34</v>
      </c>
      <c r="BY96" s="52">
        <f>SUM($BY$92:$BY$95)</f>
        <v>35</v>
      </c>
      <c r="BZ96" s="52">
        <f>SUM($BZ$92:$BZ$95)</f>
        <v>3</v>
      </c>
      <c r="CA96" s="52">
        <f>SUM($CA$92:$CA$95)</f>
        <v>2</v>
      </c>
      <c r="CB96" s="52">
        <f>SUM($CB$92:$CB$95)</f>
        <v>0</v>
      </c>
      <c r="CC96" s="52">
        <f>SUM($CC$92:$CC$95)</f>
        <v>0</v>
      </c>
      <c r="CD96" s="52">
        <f>SUM($CD$92:$CD$95)</f>
        <v>23</v>
      </c>
      <c r="CE96" s="52">
        <f>SUM($CE$92:$CE$95)</f>
        <v>0</v>
      </c>
      <c r="CF96" s="52">
        <f>SUM($CF$92:$CF$95)</f>
        <v>0</v>
      </c>
      <c r="CG96" s="52">
        <f>SUM($CG$92:$CG$95)</f>
        <v>35</v>
      </c>
      <c r="CH96" s="52">
        <f>SUM($CH$92:$CH$95)</f>
        <v>3</v>
      </c>
      <c r="CI96" s="52">
        <f>SUM($CI$92:$CI$95)</f>
        <v>3</v>
      </c>
      <c r="CJ96" s="52">
        <f>SUM($CJ$92:$CJ$95)</f>
        <v>0</v>
      </c>
      <c r="CK96" s="52">
        <f>SUM($CK$92:$CK$95)</f>
        <v>0</v>
      </c>
      <c r="CL96" s="52">
        <f>SUM($CL$92:$CL$95)</f>
        <v>5</v>
      </c>
      <c r="CM96" s="52">
        <f>SUM($CM$92:$CM$95)</f>
        <v>0</v>
      </c>
      <c r="CN96" s="52">
        <f>SUM($CN$92:$CN$95)</f>
        <v>0</v>
      </c>
      <c r="CO96" s="52">
        <f>SUM($CG$96,$CH$96,$CI$96,$CJ$96,$CK$96,$CL$96,$CM$96,$CN$96)</f>
        <v>46</v>
      </c>
      <c r="CP96" s="52">
        <f>SUM($BY$96,$BZ$96,$CA$96,$CB$96,$CC$96,$CD$96,$CE$96,$CF$96)</f>
        <v>63</v>
      </c>
      <c r="CQ96" s="52">
        <f>SUM($CQ$92:$CQ$95)</f>
        <v>44</v>
      </c>
      <c r="CR96" s="52">
        <f>SUM($CR$92:$CR$95)</f>
        <v>6</v>
      </c>
      <c r="CS96" s="52">
        <f>SUM($CS$92:$CS$95)</f>
        <v>0</v>
      </c>
      <c r="CT96" s="52">
        <f>SUM($CT$92:$CT$95)</f>
        <v>0</v>
      </c>
      <c r="CU96" s="52">
        <f>SUM($CU$92:$CU$95)</f>
        <v>0</v>
      </c>
      <c r="CV96" s="52">
        <f>SUM($CV$92:$CV$95)</f>
        <v>46</v>
      </c>
      <c r="CW96" s="52">
        <f>SUM($CW$92:$CW$95)</f>
        <v>1</v>
      </c>
      <c r="CX96" s="52">
        <f>SUM($CX$92:$CX$95)</f>
        <v>0</v>
      </c>
      <c r="CY96" s="52">
        <f>SUM($CY$92:$CY$95)</f>
        <v>44</v>
      </c>
      <c r="CZ96" s="52">
        <f>SUM($CZ$92:$CZ$95)</f>
        <v>6</v>
      </c>
      <c r="DA96" s="52">
        <f>SUM($DA$92:$DA$95)</f>
        <v>0</v>
      </c>
      <c r="DB96" s="52">
        <f>SUM($DB$92:$DB$95)</f>
        <v>0</v>
      </c>
      <c r="DC96" s="52">
        <f>SUM($DC$92:$DC$95)</f>
        <v>0</v>
      </c>
      <c r="DD96" s="52">
        <f>SUM($DD$92:$DD$95)</f>
        <v>9</v>
      </c>
      <c r="DE96" s="52">
        <f>SUM($DE$92:$DE$95)</f>
        <v>0</v>
      </c>
      <c r="DF96" s="52">
        <f>SUM($DF$92:$DF$95)</f>
        <v>0</v>
      </c>
      <c r="DG96" s="52">
        <f>SUM($CY$96,$CZ$96,$DA$96,$DB$96,$DC$96,$DD$96,$DE$96,$DF$96)</f>
        <v>59</v>
      </c>
      <c r="DH96" s="52">
        <f>SUM($CQ$96,$CR$96,$CS$96,$CT$96,$CU$96,$CV$96,$CW$96,$CX$96)</f>
        <v>97</v>
      </c>
    </row>
    <row r="97" spans="1:112" ht="21" customHeight="1">
      <c r="A97" s="46">
        <v>44395.708333333299</v>
      </c>
      <c r="B97" s="53" t="s">
        <v>99</v>
      </c>
      <c r="C97" s="54">
        <v>8</v>
      </c>
      <c r="D97" s="54">
        <v>0</v>
      </c>
      <c r="E97" s="54">
        <v>0</v>
      </c>
      <c r="F97" s="54">
        <v>0</v>
      </c>
      <c r="G97" s="54">
        <v>0</v>
      </c>
      <c r="H97" s="54">
        <v>1</v>
      </c>
      <c r="I97" s="54">
        <v>0</v>
      </c>
      <c r="J97" s="61">
        <v>0</v>
      </c>
      <c r="K97" s="62">
        <f>$C$97*VLOOKUP($C$11,'PCU Values'!$B$9:$C$16,2,FALSE)</f>
        <v>8</v>
      </c>
      <c r="L97" s="62">
        <f>$D$97*VLOOKUP($D$11,'PCU Values'!$B$9:$C$16,2,FALSE)</f>
        <v>0</v>
      </c>
      <c r="M97" s="62">
        <f>$E$97*VLOOKUP($E$11,'PCU Values'!$B$9:$C$16,2,FALSE)</f>
        <v>0</v>
      </c>
      <c r="N97" s="62">
        <f>$F$97*VLOOKUP($F$11,'PCU Values'!$B$9:$C$16,2,FALSE)</f>
        <v>0</v>
      </c>
      <c r="O97" s="62">
        <f>$G$97*VLOOKUP($G$11,'PCU Values'!$B$9:$C$16,2,FALSE)</f>
        <v>0</v>
      </c>
      <c r="P97" s="62">
        <f>$H$97*VLOOKUP($H$11,'PCU Values'!$B$9:$C$16,2,FALSE)</f>
        <v>0.2</v>
      </c>
      <c r="Q97" s="62">
        <f>$I$97*VLOOKUP($I$11,'PCU Values'!$B$9:$C$16,2,FALSE)</f>
        <v>0</v>
      </c>
      <c r="R97" s="70">
        <f>$J$97*VLOOKUP($J$11,'PCU Values'!$B$9:$C$16,2,FALSE)</f>
        <v>0</v>
      </c>
      <c r="S97" s="71">
        <f>SUM($K$97,$L$97,$M$97,$N$97,$O$97,$P$97,$Q$97,$R$97)</f>
        <v>8.1999999999999993</v>
      </c>
      <c r="T97" s="52">
        <f>SUM($C$97,$D$97,$E$97,$F$97,$G$97,$H$97,$I$97,$J$97)</f>
        <v>9</v>
      </c>
      <c r="U97" s="72">
        <v>0</v>
      </c>
      <c r="V97" s="54">
        <v>0</v>
      </c>
      <c r="W97" s="54">
        <v>0</v>
      </c>
      <c r="X97" s="54">
        <v>0</v>
      </c>
      <c r="Y97" s="54">
        <v>0</v>
      </c>
      <c r="Z97" s="54">
        <v>4</v>
      </c>
      <c r="AA97" s="54">
        <v>0</v>
      </c>
      <c r="AB97" s="61">
        <v>0</v>
      </c>
      <c r="AC97" s="62">
        <f>$U$97*VLOOKUP($U$11,'PCU Values'!$B$9:$C$16,2,FALSE)</f>
        <v>0</v>
      </c>
      <c r="AD97" s="62">
        <f>$V$97*VLOOKUP($V$11,'PCU Values'!$B$9:$C$16,2,FALSE)</f>
        <v>0</v>
      </c>
      <c r="AE97" s="62">
        <f>$W$97*VLOOKUP($W$11,'PCU Values'!$B$9:$C$16,2,FALSE)</f>
        <v>0</v>
      </c>
      <c r="AF97" s="62">
        <f>$X$97*VLOOKUP($X$11,'PCU Values'!$B$9:$C$16,2,FALSE)</f>
        <v>0</v>
      </c>
      <c r="AG97" s="62">
        <f>$Y$97*VLOOKUP($Y$11,'PCU Values'!$B$9:$C$16,2,FALSE)</f>
        <v>0</v>
      </c>
      <c r="AH97" s="62">
        <f>$Z$97*VLOOKUP($Z$11,'PCU Values'!$B$9:$C$16,2,FALSE)</f>
        <v>0.8</v>
      </c>
      <c r="AI97" s="62">
        <f>$AA$97*VLOOKUP($AA$11,'PCU Values'!$B$9:$C$16,2,FALSE)</f>
        <v>0</v>
      </c>
      <c r="AJ97" s="70">
        <f>$AB$97*VLOOKUP($AB$11,'PCU Values'!$B$9:$C$16,2,FALSE)</f>
        <v>0</v>
      </c>
      <c r="AK97" s="71">
        <f>SUM($AC$97,$AD$97,$AE$97,$AF$97,$AG$97,$AH$97,$AI$97,$AJ$97)</f>
        <v>0.8</v>
      </c>
      <c r="AL97" s="52">
        <f>SUM($U$97,$V$97,$W$97,$X$97,$Y$97,$Z$97,$AA$97,$AB$97)</f>
        <v>4</v>
      </c>
      <c r="AM97" s="72">
        <v>2</v>
      </c>
      <c r="AN97" s="54">
        <v>0</v>
      </c>
      <c r="AO97" s="54">
        <v>0</v>
      </c>
      <c r="AP97" s="54">
        <v>0</v>
      </c>
      <c r="AQ97" s="54">
        <v>0</v>
      </c>
      <c r="AR97" s="54">
        <v>0</v>
      </c>
      <c r="AS97" s="54">
        <v>0</v>
      </c>
      <c r="AT97" s="61">
        <v>0</v>
      </c>
      <c r="AU97" s="62">
        <f>$AM$97*VLOOKUP($AM$11,'PCU Values'!$B$9:$C$16,2,FALSE)</f>
        <v>2</v>
      </c>
      <c r="AV97" s="62">
        <f>$AN$97*VLOOKUP($AN$11,'PCU Values'!$B$9:$C$16,2,FALSE)</f>
        <v>0</v>
      </c>
      <c r="AW97" s="62">
        <f>$AO$97*VLOOKUP($AO$11,'PCU Values'!$B$9:$C$16,2,FALSE)</f>
        <v>0</v>
      </c>
      <c r="AX97" s="62">
        <f>$AP$97*VLOOKUP($AP$11,'PCU Values'!$B$9:$C$16,2,FALSE)</f>
        <v>0</v>
      </c>
      <c r="AY97" s="62">
        <f>$AQ$97*VLOOKUP($AQ$11,'PCU Values'!$B$9:$C$16,2,FALSE)</f>
        <v>0</v>
      </c>
      <c r="AZ97" s="62">
        <f>$AR$97*VLOOKUP($AR$11,'PCU Values'!$B$9:$C$16,2,FALSE)</f>
        <v>0</v>
      </c>
      <c r="BA97" s="62">
        <f>$AS$97*VLOOKUP($AS$11,'PCU Values'!$B$9:$C$16,2,FALSE)</f>
        <v>0</v>
      </c>
      <c r="BB97" s="70">
        <f>$AT$97*VLOOKUP($AT$11,'PCU Values'!$B$9:$C$16,2,FALSE)</f>
        <v>0</v>
      </c>
      <c r="BC97" s="71">
        <f>SUM($AU$97,$AV$97,$AW$97,$AX$97,$AY$97,$AZ$97,$BA$97,$BB$97)</f>
        <v>2</v>
      </c>
      <c r="BD97" s="52">
        <f>SUM($AM$97,$AN$97,$AO$97,$AP$97,$AQ$97,$AR$97,$AS$97,$AT$97)</f>
        <v>2</v>
      </c>
      <c r="BE97" s="72">
        <v>0</v>
      </c>
      <c r="BF97" s="54">
        <v>0</v>
      </c>
      <c r="BG97" s="54">
        <v>0</v>
      </c>
      <c r="BH97" s="54">
        <v>0</v>
      </c>
      <c r="BI97" s="54">
        <v>0</v>
      </c>
      <c r="BJ97" s="54">
        <v>0</v>
      </c>
      <c r="BK97" s="54">
        <v>0</v>
      </c>
      <c r="BL97" s="61">
        <v>0</v>
      </c>
      <c r="BM97" s="81">
        <f>$BE$97*VLOOKUP($BE$11,'PCU Values'!$B$9:$C$16,2,FALSE)</f>
        <v>0</v>
      </c>
      <c r="BN97" s="81">
        <f>$BF$97*VLOOKUP($BF$11,'PCU Values'!$B$9:$C$16,2,FALSE)</f>
        <v>0</v>
      </c>
      <c r="BO97" s="81">
        <f>$BG$97*VLOOKUP($BG$11,'PCU Values'!$B$9:$C$16,2,FALSE)</f>
        <v>0</v>
      </c>
      <c r="BP97" s="81">
        <f>$BH$97*VLOOKUP($BH$11,'PCU Values'!$B$9:$C$16,2,FALSE)</f>
        <v>0</v>
      </c>
      <c r="BQ97" s="81">
        <f>$BI$97*VLOOKUP($BI$11,'PCU Values'!$B$9:$C$16,2,FALSE)</f>
        <v>0</v>
      </c>
      <c r="BR97" s="81">
        <f>$BJ$97*VLOOKUP($BJ$11,'PCU Values'!$B$9:$C$16,2,FALSE)</f>
        <v>0</v>
      </c>
      <c r="BS97" s="81">
        <f>$BK$97*VLOOKUP($BK$11,'PCU Values'!$B$9:$C$16,2,FALSE)</f>
        <v>0</v>
      </c>
      <c r="BT97" s="82">
        <f>$BL$97*VLOOKUP($BL$11,'PCU Values'!$B$9:$C$16,2,FALSE)</f>
        <v>0</v>
      </c>
      <c r="BU97" s="71">
        <f>SUM($BM$97,$BN$97,$BO$97,$BP$97,$BQ$97,$BR$97,$BS$97,$BT$97)</f>
        <v>0</v>
      </c>
      <c r="BV97" s="52">
        <f>SUM($BE$97,$BF$97,$BG$97,$BH$97,$BI$97,$BJ$97,$BK$97,$BL$97)</f>
        <v>0</v>
      </c>
      <c r="BX97" s="53" t="s">
        <v>99</v>
      </c>
      <c r="BY97" s="85">
        <f>SUM($C$97,$U$97,$AM$97,$BE$97)</f>
        <v>10</v>
      </c>
      <c r="BZ97" s="85">
        <f>SUM($D$97,$V$97,$AN$97,$BF$97)</f>
        <v>0</v>
      </c>
      <c r="CA97" s="85">
        <f>SUM($E$97,$W$97,$AO$97,$BG$97)</f>
        <v>0</v>
      </c>
      <c r="CB97" s="85">
        <f>SUM($F$97,$X$97,$AP$97,$BH$97)</f>
        <v>0</v>
      </c>
      <c r="CC97" s="85">
        <f>SUM($G$97,$Y$97,$AQ$97,$BI$97)</f>
        <v>0</v>
      </c>
      <c r="CD97" s="85">
        <f>SUM($H$97,$Z$97,$AR$97,$BJ$97)</f>
        <v>5</v>
      </c>
      <c r="CE97" s="85">
        <f>SUM($I$97,$AA$97,$AS$97,$BK$97)</f>
        <v>0</v>
      </c>
      <c r="CF97" s="88">
        <f>SUM($J$97,$AB$97,$AT$97,$BL$97)</f>
        <v>0</v>
      </c>
      <c r="CG97" s="81">
        <f>$BY$97*VLOOKUP($BY$11,'PCU Values'!$B$9:$C$16,2,FALSE)</f>
        <v>10</v>
      </c>
      <c r="CH97" s="81">
        <f>$BZ$97*VLOOKUP($BZ$11,'PCU Values'!$B$9:$C$16,2,FALSE)</f>
        <v>0</v>
      </c>
      <c r="CI97" s="81">
        <f>$CA$97*VLOOKUP($CA$11,'PCU Values'!$B$9:$C$16,2,FALSE)</f>
        <v>0</v>
      </c>
      <c r="CJ97" s="81">
        <f>$CB$97*VLOOKUP($CB$11,'PCU Values'!$B$9:$C$16,2,FALSE)</f>
        <v>0</v>
      </c>
      <c r="CK97" s="81">
        <f>$CC$97*VLOOKUP($CC$11,'PCU Values'!$B$9:$C$16,2,FALSE)</f>
        <v>0</v>
      </c>
      <c r="CL97" s="81">
        <f>$CD$97*VLOOKUP($CD$11,'PCU Values'!$B$9:$C$16,2,FALSE)</f>
        <v>1</v>
      </c>
      <c r="CM97" s="81">
        <f>$CE$97*VLOOKUP($CE$11,'PCU Values'!$B$9:$C$16,2,FALSE)</f>
        <v>0</v>
      </c>
      <c r="CN97" s="82">
        <f>$CF$97*VLOOKUP($CF$11,'PCU Values'!$B$9:$C$16,2,FALSE)</f>
        <v>0</v>
      </c>
      <c r="CO97" s="71">
        <f>SUM($CG$97,$CH$97,$CI$97,$CJ$97,$CK$97,$CL$97,$CM$97,$CN$97)</f>
        <v>11</v>
      </c>
      <c r="CP97" s="52">
        <f>SUM($BY$97,$BZ$97,$CA$97,$CB$97,$CC$97,$CD$97,$CE$97,$CF$97)</f>
        <v>15</v>
      </c>
      <c r="CQ97" s="91">
        <f>SUM('J1 A - (North) Bishopthorpe Roa'!$AM$97,'J1 B - Butcher Terrace'!$U$97,'J1 C - (South) Bishopthorpe Roa'!$C$97,'J1 D - South Bank Avenue'!$BE$97)</f>
        <v>11</v>
      </c>
      <c r="CR97" s="85">
        <f>SUM('J1 A - (North) Bishopthorpe Roa'!$AN$97,'J1 B - Butcher Terrace'!$V$97,'J1 C - (South) Bishopthorpe Roa'!$D$97,'J1 D - South Bank Avenue'!$BF$97)</f>
        <v>1</v>
      </c>
      <c r="CS97" s="85">
        <f>SUM('J1 A - (North) Bishopthorpe Roa'!$AO$97,'J1 B - Butcher Terrace'!$W$97,'J1 C - (South) Bishopthorpe Roa'!$E$97,'J1 D - South Bank Avenue'!$BG$97)</f>
        <v>0</v>
      </c>
      <c r="CT97" s="85">
        <f>SUM('J1 A - (North) Bishopthorpe Roa'!$AP$97,'J1 B - Butcher Terrace'!$X$97,'J1 C - (South) Bishopthorpe Roa'!$F$97,'J1 D - South Bank Avenue'!$BH$97)</f>
        <v>0</v>
      </c>
      <c r="CU97" s="85">
        <f>SUM('J1 A - (North) Bishopthorpe Roa'!$AQ$97,'J1 B - Butcher Terrace'!$Y$97,'J1 C - (South) Bishopthorpe Roa'!$G$97,'J1 D - South Bank Avenue'!$BI$97)</f>
        <v>0</v>
      </c>
      <c r="CV97" s="85">
        <f>SUM('J1 A - (North) Bishopthorpe Roa'!$AR$97,'J1 B - Butcher Terrace'!$Z$97,'J1 C - (South) Bishopthorpe Roa'!$H$97,'J1 D - South Bank Avenue'!$BJ$97)</f>
        <v>12</v>
      </c>
      <c r="CW97" s="85">
        <f>SUM('J1 A - (North) Bishopthorpe Roa'!$AS$97,'J1 B - Butcher Terrace'!$AA$97,'J1 C - (South) Bishopthorpe Roa'!$I$97,'J1 D - South Bank Avenue'!$BK$97)</f>
        <v>0</v>
      </c>
      <c r="CX97" s="88">
        <f>SUM('J1 A - (North) Bishopthorpe Roa'!$AT$97,'J1 B - Butcher Terrace'!$AB$97,'J1 C - (South) Bishopthorpe Roa'!$J$97,'J1 D - South Bank Avenue'!$BL$97)</f>
        <v>0</v>
      </c>
      <c r="CY97" s="81">
        <f>$CQ$97*VLOOKUP($CQ$11,'PCU Values'!$B$9:$C$16,2,FALSE)</f>
        <v>11</v>
      </c>
      <c r="CZ97" s="81">
        <f>$CR$97*VLOOKUP($CR$11,'PCU Values'!$B$9:$C$16,2,FALSE)</f>
        <v>1</v>
      </c>
      <c r="DA97" s="81">
        <f>$CS$97*VLOOKUP($CS$11,'PCU Values'!$B$9:$C$16,2,FALSE)</f>
        <v>0</v>
      </c>
      <c r="DB97" s="81">
        <f>$CT$97*VLOOKUP($CT$11,'PCU Values'!$B$9:$C$16,2,FALSE)</f>
        <v>0</v>
      </c>
      <c r="DC97" s="81">
        <f>$CU$97*VLOOKUP($CU$11,'PCU Values'!$B$9:$C$16,2,FALSE)</f>
        <v>0</v>
      </c>
      <c r="DD97" s="81">
        <f>$CV$97*VLOOKUP($CV$11,'PCU Values'!$B$9:$C$16,2,FALSE)</f>
        <v>2.4</v>
      </c>
      <c r="DE97" s="81">
        <f>$CW$97*VLOOKUP($CW$11,'PCU Values'!$B$9:$C$16,2,FALSE)</f>
        <v>0</v>
      </c>
      <c r="DF97" s="82">
        <f>$CX$97*VLOOKUP($CX$11,'PCU Values'!$B$9:$C$16,2,FALSE)</f>
        <v>0</v>
      </c>
      <c r="DG97" s="71">
        <f>SUM($CY$97,$CZ$97,$DA$97,$DB$97,$DC$97,$DD$97,$DE$97,$DF$97)</f>
        <v>14.4</v>
      </c>
      <c r="DH97" s="52">
        <f>SUM($CQ$97,$CR$97,$CS$97,$CT$97,$CU$97,$CV$97,$CW$97,$CX$97)</f>
        <v>24</v>
      </c>
    </row>
    <row r="98" spans="1:112" ht="21" customHeight="1">
      <c r="A98" s="46">
        <v>44395.71875</v>
      </c>
      <c r="B98" s="47" t="s">
        <v>100</v>
      </c>
      <c r="C98" s="49">
        <v>9</v>
      </c>
      <c r="D98" s="48">
        <v>0</v>
      </c>
      <c r="E98" s="48">
        <v>0</v>
      </c>
      <c r="F98" s="48">
        <v>0</v>
      </c>
      <c r="G98" s="48">
        <v>0</v>
      </c>
      <c r="H98" s="49">
        <v>2</v>
      </c>
      <c r="I98" s="48">
        <v>1</v>
      </c>
      <c r="J98" s="56">
        <v>0</v>
      </c>
      <c r="K98" s="57">
        <f>$C$98*VLOOKUP($C$11,'PCU Values'!$B$9:$C$16,2,FALSE)</f>
        <v>9</v>
      </c>
      <c r="L98" s="57">
        <f>$D$98*VLOOKUP($D$11,'PCU Values'!$B$9:$C$16,2,FALSE)</f>
        <v>0</v>
      </c>
      <c r="M98" s="57">
        <f>$E$98*VLOOKUP($E$11,'PCU Values'!$B$9:$C$16,2,FALSE)</f>
        <v>0</v>
      </c>
      <c r="N98" s="57">
        <f>$F$98*VLOOKUP($F$11,'PCU Values'!$B$9:$C$16,2,FALSE)</f>
        <v>0</v>
      </c>
      <c r="O98" s="57">
        <f>$G$98*VLOOKUP($G$11,'PCU Values'!$B$9:$C$16,2,FALSE)</f>
        <v>0</v>
      </c>
      <c r="P98" s="57">
        <f>$H$98*VLOOKUP($H$11,'PCU Values'!$B$9:$C$16,2,FALSE)</f>
        <v>0.4</v>
      </c>
      <c r="Q98" s="57">
        <f>$I$98*VLOOKUP($I$11,'PCU Values'!$B$9:$C$16,2,FALSE)</f>
        <v>0.4</v>
      </c>
      <c r="R98" s="65">
        <f>$J$98*VLOOKUP($J$11,'PCU Values'!$B$9:$C$16,2,FALSE)</f>
        <v>0</v>
      </c>
      <c r="S98" s="66">
        <f>SUM($K$98,$L$98,$M$98,$N$98,$O$98,$P$98,$Q$98,$R$98)</f>
        <v>9.8000000000000007</v>
      </c>
      <c r="T98" s="52">
        <f>SUM($C$98,$D$98,$E$98,$F$98,$G$98,$H$98,$I$98,$J$98)</f>
        <v>12</v>
      </c>
      <c r="U98" s="67">
        <v>0</v>
      </c>
      <c r="V98" s="48">
        <v>0</v>
      </c>
      <c r="W98" s="48">
        <v>0</v>
      </c>
      <c r="X98" s="48">
        <v>0</v>
      </c>
      <c r="Y98" s="48">
        <v>0</v>
      </c>
      <c r="Z98" s="48">
        <v>3</v>
      </c>
      <c r="AA98" s="48">
        <v>0</v>
      </c>
      <c r="AB98" s="56">
        <v>0</v>
      </c>
      <c r="AC98" s="57">
        <f>$U$98*VLOOKUP($U$11,'PCU Values'!$B$9:$C$16,2,FALSE)</f>
        <v>0</v>
      </c>
      <c r="AD98" s="57">
        <f>$V$98*VLOOKUP($V$11,'PCU Values'!$B$9:$C$16,2,FALSE)</f>
        <v>0</v>
      </c>
      <c r="AE98" s="57">
        <f>$W$98*VLOOKUP($W$11,'PCU Values'!$B$9:$C$16,2,FALSE)</f>
        <v>0</v>
      </c>
      <c r="AF98" s="57">
        <f>$X$98*VLOOKUP($X$11,'PCU Values'!$B$9:$C$16,2,FALSE)</f>
        <v>0</v>
      </c>
      <c r="AG98" s="57">
        <f>$Y$98*VLOOKUP($Y$11,'PCU Values'!$B$9:$C$16,2,FALSE)</f>
        <v>0</v>
      </c>
      <c r="AH98" s="57">
        <f>$Z$98*VLOOKUP($Z$11,'PCU Values'!$B$9:$C$16,2,FALSE)</f>
        <v>0.6</v>
      </c>
      <c r="AI98" s="57">
        <f>$AA$98*VLOOKUP($AA$11,'PCU Values'!$B$9:$C$16,2,FALSE)</f>
        <v>0</v>
      </c>
      <c r="AJ98" s="65">
        <f>$AB$98*VLOOKUP($AB$11,'PCU Values'!$B$9:$C$16,2,FALSE)</f>
        <v>0</v>
      </c>
      <c r="AK98" s="66">
        <f>SUM($AC$98,$AD$98,$AE$98,$AF$98,$AG$98,$AH$98,$AI$98,$AJ$98)</f>
        <v>0.6</v>
      </c>
      <c r="AL98" s="52">
        <f>SUM($U$98,$V$98,$W$98,$X$98,$Y$98,$Z$98,$AA$98,$AB$98)</f>
        <v>3</v>
      </c>
      <c r="AM98" s="67">
        <v>2</v>
      </c>
      <c r="AN98" s="48">
        <v>0</v>
      </c>
      <c r="AO98" s="48">
        <v>0</v>
      </c>
      <c r="AP98" s="48">
        <v>0</v>
      </c>
      <c r="AQ98" s="48">
        <v>0</v>
      </c>
      <c r="AR98" s="48">
        <v>0</v>
      </c>
      <c r="AS98" s="48">
        <v>0</v>
      </c>
      <c r="AT98" s="56">
        <v>0</v>
      </c>
      <c r="AU98" s="57">
        <f>$AM$98*VLOOKUP($AM$11,'PCU Values'!$B$9:$C$16,2,FALSE)</f>
        <v>2</v>
      </c>
      <c r="AV98" s="57">
        <f>$AN$98*VLOOKUP($AN$11,'PCU Values'!$B$9:$C$16,2,FALSE)</f>
        <v>0</v>
      </c>
      <c r="AW98" s="57">
        <f>$AO$98*VLOOKUP($AO$11,'PCU Values'!$B$9:$C$16,2,FALSE)</f>
        <v>0</v>
      </c>
      <c r="AX98" s="57">
        <f>$AP$98*VLOOKUP($AP$11,'PCU Values'!$B$9:$C$16,2,FALSE)</f>
        <v>0</v>
      </c>
      <c r="AY98" s="57">
        <f>$AQ$98*VLOOKUP($AQ$11,'PCU Values'!$B$9:$C$16,2,FALSE)</f>
        <v>0</v>
      </c>
      <c r="AZ98" s="57">
        <f>$AR$98*VLOOKUP($AR$11,'PCU Values'!$B$9:$C$16,2,FALSE)</f>
        <v>0</v>
      </c>
      <c r="BA98" s="57">
        <f>$AS$98*VLOOKUP($AS$11,'PCU Values'!$B$9:$C$16,2,FALSE)</f>
        <v>0</v>
      </c>
      <c r="BB98" s="65">
        <f>$AT$98*VLOOKUP($AT$11,'PCU Values'!$B$9:$C$16,2,FALSE)</f>
        <v>0</v>
      </c>
      <c r="BC98" s="66">
        <f>SUM($AU$98,$AV$98,$AW$98,$AX$98,$AY$98,$AZ$98,$BA$98,$BB$98)</f>
        <v>2</v>
      </c>
      <c r="BD98" s="52">
        <f>SUM($AM$98,$AN$98,$AO$98,$AP$98,$AQ$98,$AR$98,$AS$98,$AT$98)</f>
        <v>2</v>
      </c>
      <c r="BE98" s="67">
        <v>0</v>
      </c>
      <c r="BF98" s="48">
        <v>0</v>
      </c>
      <c r="BG98" s="48">
        <v>0</v>
      </c>
      <c r="BH98" s="48">
        <v>0</v>
      </c>
      <c r="BI98" s="48">
        <v>0</v>
      </c>
      <c r="BJ98" s="48">
        <v>0</v>
      </c>
      <c r="BK98" s="48">
        <v>0</v>
      </c>
      <c r="BL98" s="56">
        <v>0</v>
      </c>
      <c r="BM98" s="77">
        <f>$BE$98*VLOOKUP($BE$11,'PCU Values'!$B$9:$C$16,2,FALSE)</f>
        <v>0</v>
      </c>
      <c r="BN98" s="77">
        <f>$BF$98*VLOOKUP($BF$11,'PCU Values'!$B$9:$C$16,2,FALSE)</f>
        <v>0</v>
      </c>
      <c r="BO98" s="77">
        <f>$BG$98*VLOOKUP($BG$11,'PCU Values'!$B$9:$C$16,2,FALSE)</f>
        <v>0</v>
      </c>
      <c r="BP98" s="77">
        <f>$BH$98*VLOOKUP($BH$11,'PCU Values'!$B$9:$C$16,2,FALSE)</f>
        <v>0</v>
      </c>
      <c r="BQ98" s="77">
        <f>$BI$98*VLOOKUP($BI$11,'PCU Values'!$B$9:$C$16,2,FALSE)</f>
        <v>0</v>
      </c>
      <c r="BR98" s="77">
        <f>$BJ$98*VLOOKUP($BJ$11,'PCU Values'!$B$9:$C$16,2,FALSE)</f>
        <v>0</v>
      </c>
      <c r="BS98" s="77">
        <f>$BK$98*VLOOKUP($BK$11,'PCU Values'!$B$9:$C$16,2,FALSE)</f>
        <v>0</v>
      </c>
      <c r="BT98" s="78">
        <f>$BL$98*VLOOKUP($BL$11,'PCU Values'!$B$9:$C$16,2,FALSE)</f>
        <v>0</v>
      </c>
      <c r="BU98" s="66">
        <f>SUM($BM$98,$BN$98,$BO$98,$BP$98,$BQ$98,$BR$98,$BS$98,$BT$98)</f>
        <v>0</v>
      </c>
      <c r="BV98" s="52">
        <f>SUM($BE$98,$BF$98,$BG$98,$BH$98,$BI$98,$BJ$98,$BK$98,$BL$98)</f>
        <v>0</v>
      </c>
      <c r="BX98" s="47" t="s">
        <v>100</v>
      </c>
      <c r="BY98" s="83">
        <f>SUM($C$98,$U$98,$AM$98,$BE$98)</f>
        <v>11</v>
      </c>
      <c r="BZ98" s="83">
        <f>SUM($D$98,$V$98,$AN$98,$BF$98)</f>
        <v>0</v>
      </c>
      <c r="CA98" s="83">
        <f>SUM($E$98,$W$98,$AO$98,$BG$98)</f>
        <v>0</v>
      </c>
      <c r="CB98" s="83">
        <f>SUM($F$98,$X$98,$AP$98,$BH$98)</f>
        <v>0</v>
      </c>
      <c r="CC98" s="83">
        <f>SUM($G$98,$Y$98,$AQ$98,$BI$98)</f>
        <v>0</v>
      </c>
      <c r="CD98" s="83">
        <f>SUM($H$98,$Z$98,$AR$98,$BJ$98)</f>
        <v>5</v>
      </c>
      <c r="CE98" s="83">
        <f>SUM($I$98,$AA$98,$AS$98,$BK$98)</f>
        <v>1</v>
      </c>
      <c r="CF98" s="86">
        <f>SUM($J$98,$AB$98,$AT$98,$BL$98)</f>
        <v>0</v>
      </c>
      <c r="CG98" s="77">
        <f>$BY$98*VLOOKUP($BY$11,'PCU Values'!$B$9:$C$16,2,FALSE)</f>
        <v>11</v>
      </c>
      <c r="CH98" s="77">
        <f>$BZ$98*VLOOKUP($BZ$11,'PCU Values'!$B$9:$C$16,2,FALSE)</f>
        <v>0</v>
      </c>
      <c r="CI98" s="77">
        <f>$CA$98*VLOOKUP($CA$11,'PCU Values'!$B$9:$C$16,2,FALSE)</f>
        <v>0</v>
      </c>
      <c r="CJ98" s="77">
        <f>$CB$98*VLOOKUP($CB$11,'PCU Values'!$B$9:$C$16,2,FALSE)</f>
        <v>0</v>
      </c>
      <c r="CK98" s="77">
        <f>$CC$98*VLOOKUP($CC$11,'PCU Values'!$B$9:$C$16,2,FALSE)</f>
        <v>0</v>
      </c>
      <c r="CL98" s="77">
        <f>$CD$98*VLOOKUP($CD$11,'PCU Values'!$B$9:$C$16,2,FALSE)</f>
        <v>1</v>
      </c>
      <c r="CM98" s="77">
        <f>$CE$98*VLOOKUP($CE$11,'PCU Values'!$B$9:$C$16,2,FALSE)</f>
        <v>0.4</v>
      </c>
      <c r="CN98" s="78">
        <f>$CF$98*VLOOKUP($CF$11,'PCU Values'!$B$9:$C$16,2,FALSE)</f>
        <v>0</v>
      </c>
      <c r="CO98" s="66">
        <f>SUM($CG$98,$CH$98,$CI$98,$CJ$98,$CK$98,$CL$98,$CM$98,$CN$98)</f>
        <v>12.4</v>
      </c>
      <c r="CP98" s="52">
        <f>SUM($BY$98,$BZ$98,$CA$98,$CB$98,$CC$98,$CD$98,$CE$98,$CF$98)</f>
        <v>17</v>
      </c>
      <c r="CQ98" s="89">
        <f>SUM('J1 A - (North) Bishopthorpe Roa'!$AM$98,'J1 B - Butcher Terrace'!$U$98,'J1 C - (South) Bishopthorpe Roa'!$C$98,'J1 D - South Bank Avenue'!$BE$98)</f>
        <v>9</v>
      </c>
      <c r="CR98" s="83">
        <f>SUM('J1 A - (North) Bishopthorpe Roa'!$AN$98,'J1 B - Butcher Terrace'!$V$98,'J1 C - (South) Bishopthorpe Roa'!$D$98,'J1 D - South Bank Avenue'!$BF$98)</f>
        <v>1</v>
      </c>
      <c r="CS98" s="83">
        <f>SUM('J1 A - (North) Bishopthorpe Roa'!$AO$98,'J1 B - Butcher Terrace'!$W$98,'J1 C - (South) Bishopthorpe Roa'!$E$98,'J1 D - South Bank Avenue'!$BG$98)</f>
        <v>1</v>
      </c>
      <c r="CT98" s="83">
        <f>SUM('J1 A - (North) Bishopthorpe Roa'!$AP$98,'J1 B - Butcher Terrace'!$X$98,'J1 C - (South) Bishopthorpe Roa'!$F$98,'J1 D - South Bank Avenue'!$BH$98)</f>
        <v>0</v>
      </c>
      <c r="CU98" s="83">
        <f>SUM('J1 A - (North) Bishopthorpe Roa'!$AQ$98,'J1 B - Butcher Terrace'!$Y$98,'J1 C - (South) Bishopthorpe Roa'!$G$98,'J1 D - South Bank Avenue'!$BI$98)</f>
        <v>0</v>
      </c>
      <c r="CV98" s="83">
        <f>SUM('J1 A - (North) Bishopthorpe Roa'!$AR$98,'J1 B - Butcher Terrace'!$Z$98,'J1 C - (South) Bishopthorpe Roa'!$H$98,'J1 D - South Bank Avenue'!$BJ$98)</f>
        <v>9</v>
      </c>
      <c r="CW98" s="83">
        <f>SUM('J1 A - (North) Bishopthorpe Roa'!$AS$98,'J1 B - Butcher Terrace'!$AA$98,'J1 C - (South) Bishopthorpe Roa'!$I$98,'J1 D - South Bank Avenue'!$BK$98)</f>
        <v>2</v>
      </c>
      <c r="CX98" s="86">
        <f>SUM('J1 A - (North) Bishopthorpe Roa'!$AT$98,'J1 B - Butcher Terrace'!$AB$98,'J1 C - (South) Bishopthorpe Roa'!$J$98,'J1 D - South Bank Avenue'!$BL$98)</f>
        <v>0</v>
      </c>
      <c r="CY98" s="77">
        <f>$CQ$98*VLOOKUP($CQ$11,'PCU Values'!$B$9:$C$16,2,FALSE)</f>
        <v>9</v>
      </c>
      <c r="CZ98" s="77">
        <f>$CR$98*VLOOKUP($CR$11,'PCU Values'!$B$9:$C$16,2,FALSE)</f>
        <v>1</v>
      </c>
      <c r="DA98" s="77">
        <f>$CS$98*VLOOKUP($CS$11,'PCU Values'!$B$9:$C$16,2,FALSE)</f>
        <v>1.5</v>
      </c>
      <c r="DB98" s="77">
        <f>$CT$98*VLOOKUP($CT$11,'PCU Values'!$B$9:$C$16,2,FALSE)</f>
        <v>0</v>
      </c>
      <c r="DC98" s="77">
        <f>$CU$98*VLOOKUP($CU$11,'PCU Values'!$B$9:$C$16,2,FALSE)</f>
        <v>0</v>
      </c>
      <c r="DD98" s="77">
        <f>$CV$98*VLOOKUP($CV$11,'PCU Values'!$B$9:$C$16,2,FALSE)</f>
        <v>1.8</v>
      </c>
      <c r="DE98" s="77">
        <f>$CW$98*VLOOKUP($CW$11,'PCU Values'!$B$9:$C$16,2,FALSE)</f>
        <v>0.8</v>
      </c>
      <c r="DF98" s="78">
        <f>$CX$98*VLOOKUP($CX$11,'PCU Values'!$B$9:$C$16,2,FALSE)</f>
        <v>0</v>
      </c>
      <c r="DG98" s="66">
        <f>SUM($CY$98,$CZ$98,$DA$98,$DB$98,$DC$98,$DD$98,$DE$98,$DF$98)</f>
        <v>14.1</v>
      </c>
      <c r="DH98" s="52">
        <f>SUM($CQ$98,$CR$98,$CS$98,$CT$98,$CU$98,$CV$98,$CW$98,$CX$98)</f>
        <v>22</v>
      </c>
    </row>
    <row r="99" spans="1:112" ht="21" customHeight="1">
      <c r="A99" s="46">
        <v>44395.729166666701</v>
      </c>
      <c r="B99" s="47" t="s">
        <v>101</v>
      </c>
      <c r="C99" s="48">
        <v>6</v>
      </c>
      <c r="D99" s="48">
        <v>2</v>
      </c>
      <c r="E99" s="48">
        <v>0</v>
      </c>
      <c r="F99" s="48">
        <v>0</v>
      </c>
      <c r="G99" s="48">
        <v>0</v>
      </c>
      <c r="H99" s="48">
        <v>2</v>
      </c>
      <c r="I99" s="48">
        <v>0</v>
      </c>
      <c r="J99" s="56">
        <v>0</v>
      </c>
      <c r="K99" s="57">
        <f>$C$99*VLOOKUP($C$11,'PCU Values'!$B$9:$C$16,2,FALSE)</f>
        <v>6</v>
      </c>
      <c r="L99" s="57">
        <f>$D$99*VLOOKUP($D$11,'PCU Values'!$B$9:$C$16,2,FALSE)</f>
        <v>2</v>
      </c>
      <c r="M99" s="57">
        <f>$E$99*VLOOKUP($E$11,'PCU Values'!$B$9:$C$16,2,FALSE)</f>
        <v>0</v>
      </c>
      <c r="N99" s="57">
        <f>$F$99*VLOOKUP($F$11,'PCU Values'!$B$9:$C$16,2,FALSE)</f>
        <v>0</v>
      </c>
      <c r="O99" s="57">
        <f>$G$99*VLOOKUP($G$11,'PCU Values'!$B$9:$C$16,2,FALSE)</f>
        <v>0</v>
      </c>
      <c r="P99" s="57">
        <f>$H$99*VLOOKUP($H$11,'PCU Values'!$B$9:$C$16,2,FALSE)</f>
        <v>0.4</v>
      </c>
      <c r="Q99" s="57">
        <f>$I$99*VLOOKUP($I$11,'PCU Values'!$B$9:$C$16,2,FALSE)</f>
        <v>0</v>
      </c>
      <c r="R99" s="65">
        <f>$J$99*VLOOKUP($J$11,'PCU Values'!$B$9:$C$16,2,FALSE)</f>
        <v>0</v>
      </c>
      <c r="S99" s="66">
        <f>SUM($K$99,$L$99,$M$99,$N$99,$O$99,$P$99,$Q$99,$R$99)</f>
        <v>8.4</v>
      </c>
      <c r="T99" s="52">
        <f>SUM($C$99,$D$99,$E$99,$F$99,$G$99,$H$99,$I$99,$J$99)</f>
        <v>10</v>
      </c>
      <c r="U99" s="67">
        <v>0</v>
      </c>
      <c r="V99" s="48">
        <v>0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56">
        <v>0</v>
      </c>
      <c r="AC99" s="57">
        <f>$U$99*VLOOKUP($U$11,'PCU Values'!$B$9:$C$16,2,FALSE)</f>
        <v>0</v>
      </c>
      <c r="AD99" s="57">
        <f>$V$99*VLOOKUP($V$11,'PCU Values'!$B$9:$C$16,2,FALSE)</f>
        <v>0</v>
      </c>
      <c r="AE99" s="57">
        <f>$W$99*VLOOKUP($W$11,'PCU Values'!$B$9:$C$16,2,FALSE)</f>
        <v>0</v>
      </c>
      <c r="AF99" s="57">
        <f>$X$99*VLOOKUP($X$11,'PCU Values'!$B$9:$C$16,2,FALSE)</f>
        <v>0</v>
      </c>
      <c r="AG99" s="57">
        <f>$Y$99*VLOOKUP($Y$11,'PCU Values'!$B$9:$C$16,2,FALSE)</f>
        <v>0</v>
      </c>
      <c r="AH99" s="57">
        <f>$Z$99*VLOOKUP($Z$11,'PCU Values'!$B$9:$C$16,2,FALSE)</f>
        <v>0</v>
      </c>
      <c r="AI99" s="57">
        <f>$AA$99*VLOOKUP($AA$11,'PCU Values'!$B$9:$C$16,2,FALSE)</f>
        <v>0</v>
      </c>
      <c r="AJ99" s="65">
        <f>$AB$99*VLOOKUP($AB$11,'PCU Values'!$B$9:$C$16,2,FALSE)</f>
        <v>0</v>
      </c>
      <c r="AK99" s="66">
        <f>SUM($AC$99,$AD$99,$AE$99,$AF$99,$AG$99,$AH$99,$AI$99,$AJ$99)</f>
        <v>0</v>
      </c>
      <c r="AL99" s="52">
        <f>SUM($U$99,$V$99,$W$99,$X$99,$Y$99,$Z$99,$AA$99,$AB$99)</f>
        <v>0</v>
      </c>
      <c r="AM99" s="76">
        <v>3</v>
      </c>
      <c r="AN99" s="49">
        <v>0</v>
      </c>
      <c r="AO99" s="48">
        <v>0</v>
      </c>
      <c r="AP99" s="48">
        <v>0</v>
      </c>
      <c r="AQ99" s="48">
        <v>0</v>
      </c>
      <c r="AR99" s="49">
        <v>0</v>
      </c>
      <c r="AS99" s="48">
        <v>0</v>
      </c>
      <c r="AT99" s="56">
        <v>0</v>
      </c>
      <c r="AU99" s="57">
        <f>$AM$99*VLOOKUP($AM$11,'PCU Values'!$B$9:$C$16,2,FALSE)</f>
        <v>3</v>
      </c>
      <c r="AV99" s="57">
        <f>$AN$99*VLOOKUP($AN$11,'PCU Values'!$B$9:$C$16,2,FALSE)</f>
        <v>0</v>
      </c>
      <c r="AW99" s="57">
        <f>$AO$99*VLOOKUP($AO$11,'PCU Values'!$B$9:$C$16,2,FALSE)</f>
        <v>0</v>
      </c>
      <c r="AX99" s="57">
        <f>$AP$99*VLOOKUP($AP$11,'PCU Values'!$B$9:$C$16,2,FALSE)</f>
        <v>0</v>
      </c>
      <c r="AY99" s="57">
        <f>$AQ$99*VLOOKUP($AQ$11,'PCU Values'!$B$9:$C$16,2,FALSE)</f>
        <v>0</v>
      </c>
      <c r="AZ99" s="57">
        <f>$AR$99*VLOOKUP($AR$11,'PCU Values'!$B$9:$C$16,2,FALSE)</f>
        <v>0</v>
      </c>
      <c r="BA99" s="57">
        <f>$AS$99*VLOOKUP($AS$11,'PCU Values'!$B$9:$C$16,2,FALSE)</f>
        <v>0</v>
      </c>
      <c r="BB99" s="65">
        <f>$AT$99*VLOOKUP($AT$11,'PCU Values'!$B$9:$C$16,2,FALSE)</f>
        <v>0</v>
      </c>
      <c r="BC99" s="66">
        <f>SUM($AU$99,$AV$99,$AW$99,$AX$99,$AY$99,$AZ$99,$BA$99,$BB$99)</f>
        <v>3</v>
      </c>
      <c r="BD99" s="52">
        <f>SUM($AM$99,$AN$99,$AO$99,$AP$99,$AQ$99,$AR$99,$AS$99,$AT$99)</f>
        <v>3</v>
      </c>
      <c r="BE99" s="67">
        <v>0</v>
      </c>
      <c r="BF99" s="48">
        <v>0</v>
      </c>
      <c r="BG99" s="48">
        <v>0</v>
      </c>
      <c r="BH99" s="48">
        <v>0</v>
      </c>
      <c r="BI99" s="48">
        <v>0</v>
      </c>
      <c r="BJ99" s="48">
        <v>0</v>
      </c>
      <c r="BK99" s="48">
        <v>0</v>
      </c>
      <c r="BL99" s="56">
        <v>0</v>
      </c>
      <c r="BM99" s="77">
        <f>$BE$99*VLOOKUP($BE$11,'PCU Values'!$B$9:$C$16,2,FALSE)</f>
        <v>0</v>
      </c>
      <c r="BN99" s="77">
        <f>$BF$99*VLOOKUP($BF$11,'PCU Values'!$B$9:$C$16,2,FALSE)</f>
        <v>0</v>
      </c>
      <c r="BO99" s="77">
        <f>$BG$99*VLOOKUP($BG$11,'PCU Values'!$B$9:$C$16,2,FALSE)</f>
        <v>0</v>
      </c>
      <c r="BP99" s="77">
        <f>$BH$99*VLOOKUP($BH$11,'PCU Values'!$B$9:$C$16,2,FALSE)</f>
        <v>0</v>
      </c>
      <c r="BQ99" s="77">
        <f>$BI$99*VLOOKUP($BI$11,'PCU Values'!$B$9:$C$16,2,FALSE)</f>
        <v>0</v>
      </c>
      <c r="BR99" s="77">
        <f>$BJ$99*VLOOKUP($BJ$11,'PCU Values'!$B$9:$C$16,2,FALSE)</f>
        <v>0</v>
      </c>
      <c r="BS99" s="77">
        <f>$BK$99*VLOOKUP($BK$11,'PCU Values'!$B$9:$C$16,2,FALSE)</f>
        <v>0</v>
      </c>
      <c r="BT99" s="78">
        <f>$BL$99*VLOOKUP($BL$11,'PCU Values'!$B$9:$C$16,2,FALSE)</f>
        <v>0</v>
      </c>
      <c r="BU99" s="66">
        <f>SUM($BM$99,$BN$99,$BO$99,$BP$99,$BQ$99,$BR$99,$BS$99,$BT$99)</f>
        <v>0</v>
      </c>
      <c r="BV99" s="52">
        <f>SUM($BE$99,$BF$99,$BG$99,$BH$99,$BI$99,$BJ$99,$BK$99,$BL$99)</f>
        <v>0</v>
      </c>
      <c r="BX99" s="47" t="s">
        <v>101</v>
      </c>
      <c r="BY99" s="83">
        <f>SUM($C$99,$U$99,$AM$99,$BE$99)</f>
        <v>9</v>
      </c>
      <c r="BZ99" s="83">
        <f>SUM($D$99,$V$99,$AN$99,$BF$99)</f>
        <v>2</v>
      </c>
      <c r="CA99" s="83">
        <f>SUM($E$99,$W$99,$AO$99,$BG$99)</f>
        <v>0</v>
      </c>
      <c r="CB99" s="83">
        <f>SUM($F$99,$X$99,$AP$99,$BH$99)</f>
        <v>0</v>
      </c>
      <c r="CC99" s="83">
        <f>SUM($G$99,$Y$99,$AQ$99,$BI$99)</f>
        <v>0</v>
      </c>
      <c r="CD99" s="83">
        <f>SUM($H$99,$Z$99,$AR$99,$BJ$99)</f>
        <v>2</v>
      </c>
      <c r="CE99" s="83">
        <f>SUM($I$99,$AA$99,$AS$99,$BK$99)</f>
        <v>0</v>
      </c>
      <c r="CF99" s="86">
        <f>SUM($J$99,$AB$99,$AT$99,$BL$99)</f>
        <v>0</v>
      </c>
      <c r="CG99" s="77">
        <f>$BY$99*VLOOKUP($BY$11,'PCU Values'!$B$9:$C$16,2,FALSE)</f>
        <v>9</v>
      </c>
      <c r="CH99" s="77">
        <f>$BZ$99*VLOOKUP($BZ$11,'PCU Values'!$B$9:$C$16,2,FALSE)</f>
        <v>2</v>
      </c>
      <c r="CI99" s="77">
        <f>$CA$99*VLOOKUP($CA$11,'PCU Values'!$B$9:$C$16,2,FALSE)</f>
        <v>0</v>
      </c>
      <c r="CJ99" s="77">
        <f>$CB$99*VLOOKUP($CB$11,'PCU Values'!$B$9:$C$16,2,FALSE)</f>
        <v>0</v>
      </c>
      <c r="CK99" s="77">
        <f>$CC$99*VLOOKUP($CC$11,'PCU Values'!$B$9:$C$16,2,FALSE)</f>
        <v>0</v>
      </c>
      <c r="CL99" s="77">
        <f>$CD$99*VLOOKUP($CD$11,'PCU Values'!$B$9:$C$16,2,FALSE)</f>
        <v>0.4</v>
      </c>
      <c r="CM99" s="77">
        <f>$CE$99*VLOOKUP($CE$11,'PCU Values'!$B$9:$C$16,2,FALSE)</f>
        <v>0</v>
      </c>
      <c r="CN99" s="78">
        <f>$CF$99*VLOOKUP($CF$11,'PCU Values'!$B$9:$C$16,2,FALSE)</f>
        <v>0</v>
      </c>
      <c r="CO99" s="66">
        <f>SUM($CG$99,$CH$99,$CI$99,$CJ$99,$CK$99,$CL$99,$CM$99,$CN$99)</f>
        <v>11.4</v>
      </c>
      <c r="CP99" s="52">
        <f>SUM($BY$99,$BZ$99,$CA$99,$CB$99,$CC$99,$CD$99,$CE$99,$CF$99)</f>
        <v>13</v>
      </c>
      <c r="CQ99" s="89">
        <f>SUM('J1 A - (North) Bishopthorpe Roa'!$AM$99,'J1 B - Butcher Terrace'!$U$99,'J1 C - (South) Bishopthorpe Roa'!$C$99,'J1 D - South Bank Avenue'!$BE$99)</f>
        <v>10</v>
      </c>
      <c r="CR99" s="83">
        <f>SUM('J1 A - (North) Bishopthorpe Roa'!$AN$99,'J1 B - Butcher Terrace'!$V$99,'J1 C - (South) Bishopthorpe Roa'!$D$99,'J1 D - South Bank Avenue'!$BF$99)</f>
        <v>0</v>
      </c>
      <c r="CS99" s="83">
        <f>SUM('J1 A - (North) Bishopthorpe Roa'!$AO$99,'J1 B - Butcher Terrace'!$W$99,'J1 C - (South) Bishopthorpe Roa'!$E$99,'J1 D - South Bank Avenue'!$BG$99)</f>
        <v>0</v>
      </c>
      <c r="CT99" s="83">
        <f>SUM('J1 A - (North) Bishopthorpe Roa'!$AP$99,'J1 B - Butcher Terrace'!$X$99,'J1 C - (South) Bishopthorpe Roa'!$F$99,'J1 D - South Bank Avenue'!$BH$99)</f>
        <v>0</v>
      </c>
      <c r="CU99" s="83">
        <f>SUM('J1 A - (North) Bishopthorpe Roa'!$AQ$99,'J1 B - Butcher Terrace'!$Y$99,'J1 C - (South) Bishopthorpe Roa'!$G$99,'J1 D - South Bank Avenue'!$BI$99)</f>
        <v>0</v>
      </c>
      <c r="CV99" s="83">
        <f>SUM('J1 A - (North) Bishopthorpe Roa'!$AR$99,'J1 B - Butcher Terrace'!$Z$99,'J1 C - (South) Bishopthorpe Roa'!$H$99,'J1 D - South Bank Avenue'!$BJ$99)</f>
        <v>11</v>
      </c>
      <c r="CW99" s="83">
        <f>SUM('J1 A - (North) Bishopthorpe Roa'!$AS$99,'J1 B - Butcher Terrace'!$AA$99,'J1 C - (South) Bishopthorpe Roa'!$I$99,'J1 D - South Bank Avenue'!$BK$99)</f>
        <v>0</v>
      </c>
      <c r="CX99" s="86">
        <f>SUM('J1 A - (North) Bishopthorpe Roa'!$AT$99,'J1 B - Butcher Terrace'!$AB$99,'J1 C - (South) Bishopthorpe Roa'!$J$99,'J1 D - South Bank Avenue'!$BL$99)</f>
        <v>0</v>
      </c>
      <c r="CY99" s="77">
        <f>$CQ$99*VLOOKUP($CQ$11,'PCU Values'!$B$9:$C$16,2,FALSE)</f>
        <v>10</v>
      </c>
      <c r="CZ99" s="77">
        <f>$CR$99*VLOOKUP($CR$11,'PCU Values'!$B$9:$C$16,2,FALSE)</f>
        <v>0</v>
      </c>
      <c r="DA99" s="77">
        <f>$CS$99*VLOOKUP($CS$11,'PCU Values'!$B$9:$C$16,2,FALSE)</f>
        <v>0</v>
      </c>
      <c r="DB99" s="77">
        <f>$CT$99*VLOOKUP($CT$11,'PCU Values'!$B$9:$C$16,2,FALSE)</f>
        <v>0</v>
      </c>
      <c r="DC99" s="77">
        <f>$CU$99*VLOOKUP($CU$11,'PCU Values'!$B$9:$C$16,2,FALSE)</f>
        <v>0</v>
      </c>
      <c r="DD99" s="77">
        <f>$CV$99*VLOOKUP($CV$11,'PCU Values'!$B$9:$C$16,2,FALSE)</f>
        <v>2.2000000000000002</v>
      </c>
      <c r="DE99" s="77">
        <f>$CW$99*VLOOKUP($CW$11,'PCU Values'!$B$9:$C$16,2,FALSE)</f>
        <v>0</v>
      </c>
      <c r="DF99" s="78">
        <f>$CX$99*VLOOKUP($CX$11,'PCU Values'!$B$9:$C$16,2,FALSE)</f>
        <v>0</v>
      </c>
      <c r="DG99" s="66">
        <f>SUM($CY$99,$CZ$99,$DA$99,$DB$99,$DC$99,$DD$99,$DE$99,$DF$99)</f>
        <v>12.2</v>
      </c>
      <c r="DH99" s="52">
        <f>SUM($CQ$99,$CR$99,$CS$99,$CT$99,$CU$99,$CV$99,$CW$99,$CX$99)</f>
        <v>21</v>
      </c>
    </row>
    <row r="100" spans="1:112" ht="21" customHeight="1">
      <c r="A100" s="46">
        <v>44395.739583333299</v>
      </c>
      <c r="B100" s="50" t="s">
        <v>102</v>
      </c>
      <c r="C100" s="51">
        <v>8</v>
      </c>
      <c r="D100" s="51">
        <v>2</v>
      </c>
      <c r="E100" s="51">
        <v>0</v>
      </c>
      <c r="F100" s="51">
        <v>0</v>
      </c>
      <c r="G100" s="51">
        <v>0</v>
      </c>
      <c r="H100" s="51">
        <v>0</v>
      </c>
      <c r="I100" s="51">
        <v>0</v>
      </c>
      <c r="J100" s="59">
        <v>0</v>
      </c>
      <c r="K100" s="60">
        <f>$C$100*VLOOKUP($C$11,'PCU Values'!$B$9:$C$16,2,FALSE)</f>
        <v>8</v>
      </c>
      <c r="L100" s="60">
        <f>$D$100*VLOOKUP($D$11,'PCU Values'!$B$9:$C$16,2,FALSE)</f>
        <v>2</v>
      </c>
      <c r="M100" s="60">
        <f>$E$100*VLOOKUP($E$11,'PCU Values'!$B$9:$C$16,2,FALSE)</f>
        <v>0</v>
      </c>
      <c r="N100" s="60">
        <f>$F$100*VLOOKUP($F$11,'PCU Values'!$B$9:$C$16,2,FALSE)</f>
        <v>0</v>
      </c>
      <c r="O100" s="60">
        <f>$G$100*VLOOKUP($G$11,'PCU Values'!$B$9:$C$16,2,FALSE)</f>
        <v>0</v>
      </c>
      <c r="P100" s="60">
        <f>$H$100*VLOOKUP($H$11,'PCU Values'!$B$9:$C$16,2,FALSE)</f>
        <v>0</v>
      </c>
      <c r="Q100" s="60">
        <f>$I$100*VLOOKUP($I$11,'PCU Values'!$B$9:$C$16,2,FALSE)</f>
        <v>0</v>
      </c>
      <c r="R100" s="68">
        <f>$J$100*VLOOKUP($J$11,'PCU Values'!$B$9:$C$16,2,FALSE)</f>
        <v>0</v>
      </c>
      <c r="S100" s="63">
        <f>SUM($K$100,$L$100,$M$100,$N$100,$O$100,$P$100,$Q$100,$R$100)</f>
        <v>10</v>
      </c>
      <c r="T100" s="52">
        <f>SUM($C$100,$D$100,$E$100,$F$100,$G$100,$H$100,$I$100,$J$100)</f>
        <v>10</v>
      </c>
      <c r="U100" s="73">
        <v>2</v>
      </c>
      <c r="V100" s="51">
        <v>0</v>
      </c>
      <c r="W100" s="51">
        <v>0</v>
      </c>
      <c r="X100" s="51">
        <v>0</v>
      </c>
      <c r="Y100" s="51">
        <v>0</v>
      </c>
      <c r="Z100" s="51">
        <v>3</v>
      </c>
      <c r="AA100" s="51">
        <v>0</v>
      </c>
      <c r="AB100" s="59">
        <v>0</v>
      </c>
      <c r="AC100" s="60">
        <f>$U$100*VLOOKUP($U$11,'PCU Values'!$B$9:$C$16,2,FALSE)</f>
        <v>2</v>
      </c>
      <c r="AD100" s="60">
        <f>$V$100*VLOOKUP($V$11,'PCU Values'!$B$9:$C$16,2,FALSE)</f>
        <v>0</v>
      </c>
      <c r="AE100" s="60">
        <f>$W$100*VLOOKUP($W$11,'PCU Values'!$B$9:$C$16,2,FALSE)</f>
        <v>0</v>
      </c>
      <c r="AF100" s="60">
        <f>$X$100*VLOOKUP($X$11,'PCU Values'!$B$9:$C$16,2,FALSE)</f>
        <v>0</v>
      </c>
      <c r="AG100" s="60">
        <f>$Y$100*VLOOKUP($Y$11,'PCU Values'!$B$9:$C$16,2,FALSE)</f>
        <v>0</v>
      </c>
      <c r="AH100" s="60">
        <f>$Z$100*VLOOKUP($Z$11,'PCU Values'!$B$9:$C$16,2,FALSE)</f>
        <v>0.6</v>
      </c>
      <c r="AI100" s="60">
        <f>$AA$100*VLOOKUP($AA$11,'PCU Values'!$B$9:$C$16,2,FALSE)</f>
        <v>0</v>
      </c>
      <c r="AJ100" s="68">
        <f>$AB$100*VLOOKUP($AB$11,'PCU Values'!$B$9:$C$16,2,FALSE)</f>
        <v>0</v>
      </c>
      <c r="AK100" s="63">
        <f>SUM($AC$100,$AD$100,$AE$100,$AF$100,$AG$100,$AH$100,$AI$100,$AJ$100)</f>
        <v>2.6</v>
      </c>
      <c r="AL100" s="52">
        <f>SUM($U$100,$V$100,$W$100,$X$100,$Y$100,$Z$100,$AA$100,$AB$100)</f>
        <v>5</v>
      </c>
      <c r="AM100" s="73">
        <v>1</v>
      </c>
      <c r="AN100" s="51">
        <v>0</v>
      </c>
      <c r="AO100" s="51">
        <v>0</v>
      </c>
      <c r="AP100" s="51">
        <v>0</v>
      </c>
      <c r="AQ100" s="51">
        <v>0</v>
      </c>
      <c r="AR100" s="51">
        <v>0</v>
      </c>
      <c r="AS100" s="51">
        <v>0</v>
      </c>
      <c r="AT100" s="59">
        <v>0</v>
      </c>
      <c r="AU100" s="60">
        <f>$AM$100*VLOOKUP($AM$11,'PCU Values'!$B$9:$C$16,2,FALSE)</f>
        <v>1</v>
      </c>
      <c r="AV100" s="60">
        <f>$AN$100*VLOOKUP($AN$11,'PCU Values'!$B$9:$C$16,2,FALSE)</f>
        <v>0</v>
      </c>
      <c r="AW100" s="60">
        <f>$AO$100*VLOOKUP($AO$11,'PCU Values'!$B$9:$C$16,2,FALSE)</f>
        <v>0</v>
      </c>
      <c r="AX100" s="60">
        <f>$AP$100*VLOOKUP($AP$11,'PCU Values'!$B$9:$C$16,2,FALSE)</f>
        <v>0</v>
      </c>
      <c r="AY100" s="60">
        <f>$AQ$100*VLOOKUP($AQ$11,'PCU Values'!$B$9:$C$16,2,FALSE)</f>
        <v>0</v>
      </c>
      <c r="AZ100" s="60">
        <f>$AR$100*VLOOKUP($AR$11,'PCU Values'!$B$9:$C$16,2,FALSE)</f>
        <v>0</v>
      </c>
      <c r="BA100" s="60">
        <f>$AS$100*VLOOKUP($AS$11,'PCU Values'!$B$9:$C$16,2,FALSE)</f>
        <v>0</v>
      </c>
      <c r="BB100" s="68">
        <f>$AT$100*VLOOKUP($AT$11,'PCU Values'!$B$9:$C$16,2,FALSE)</f>
        <v>0</v>
      </c>
      <c r="BC100" s="63">
        <f>SUM($AU$100,$AV$100,$AW$100,$AX$100,$AY$100,$AZ$100,$BA$100,$BB$100)</f>
        <v>1</v>
      </c>
      <c r="BD100" s="52">
        <f>SUM($AM$100,$AN$100,$AO$100,$AP$100,$AQ$100,$AR$100,$AS$100,$AT$100)</f>
        <v>1</v>
      </c>
      <c r="BE100" s="73">
        <v>0</v>
      </c>
      <c r="BF100" s="51">
        <v>0</v>
      </c>
      <c r="BG100" s="51">
        <v>0</v>
      </c>
      <c r="BH100" s="51">
        <v>0</v>
      </c>
      <c r="BI100" s="51">
        <v>0</v>
      </c>
      <c r="BJ100" s="51">
        <v>0</v>
      </c>
      <c r="BK100" s="51">
        <v>0</v>
      </c>
      <c r="BL100" s="59">
        <v>0</v>
      </c>
      <c r="BM100" s="79">
        <f>$BE$100*VLOOKUP($BE$11,'PCU Values'!$B$9:$C$16,2,FALSE)</f>
        <v>0</v>
      </c>
      <c r="BN100" s="79">
        <f>$BF$100*VLOOKUP($BF$11,'PCU Values'!$B$9:$C$16,2,FALSE)</f>
        <v>0</v>
      </c>
      <c r="BO100" s="79">
        <f>$BG$100*VLOOKUP($BG$11,'PCU Values'!$B$9:$C$16,2,FALSE)</f>
        <v>0</v>
      </c>
      <c r="BP100" s="79">
        <f>$BH$100*VLOOKUP($BH$11,'PCU Values'!$B$9:$C$16,2,FALSE)</f>
        <v>0</v>
      </c>
      <c r="BQ100" s="79">
        <f>$BI$100*VLOOKUP($BI$11,'PCU Values'!$B$9:$C$16,2,FALSE)</f>
        <v>0</v>
      </c>
      <c r="BR100" s="79">
        <f>$BJ$100*VLOOKUP($BJ$11,'PCU Values'!$B$9:$C$16,2,FALSE)</f>
        <v>0</v>
      </c>
      <c r="BS100" s="79">
        <f>$BK$100*VLOOKUP($BK$11,'PCU Values'!$B$9:$C$16,2,FALSE)</f>
        <v>0</v>
      </c>
      <c r="BT100" s="80">
        <f>$BL$100*VLOOKUP($BL$11,'PCU Values'!$B$9:$C$16,2,FALSE)</f>
        <v>0</v>
      </c>
      <c r="BU100" s="63">
        <f>SUM($BM$100,$BN$100,$BO$100,$BP$100,$BQ$100,$BR$100,$BS$100,$BT$100)</f>
        <v>0</v>
      </c>
      <c r="BV100" s="52">
        <f>SUM($BE$100,$BF$100,$BG$100,$BH$100,$BI$100,$BJ$100,$BK$100,$BL$100)</f>
        <v>0</v>
      </c>
      <c r="BX100" s="50" t="s">
        <v>102</v>
      </c>
      <c r="BY100" s="84">
        <f>SUM($C$100,$U$100,$AM$100,$BE$100)</f>
        <v>11</v>
      </c>
      <c r="BZ100" s="84">
        <f>SUM($D$100,$V$100,$AN$100,$BF$100)</f>
        <v>2</v>
      </c>
      <c r="CA100" s="84">
        <f>SUM($E$100,$W$100,$AO$100,$BG$100)</f>
        <v>0</v>
      </c>
      <c r="CB100" s="84">
        <f>SUM($F$100,$X$100,$AP$100,$BH$100)</f>
        <v>0</v>
      </c>
      <c r="CC100" s="84">
        <f>SUM($G$100,$Y$100,$AQ$100,$BI$100)</f>
        <v>0</v>
      </c>
      <c r="CD100" s="84">
        <f>SUM($H$100,$Z$100,$AR$100,$BJ$100)</f>
        <v>3</v>
      </c>
      <c r="CE100" s="84">
        <f>SUM($I$100,$AA$100,$AS$100,$BK$100)</f>
        <v>0</v>
      </c>
      <c r="CF100" s="87">
        <f>SUM($J$100,$AB$100,$AT$100,$BL$100)</f>
        <v>0</v>
      </c>
      <c r="CG100" s="79">
        <f>$BY$100*VLOOKUP($BY$11,'PCU Values'!$B$9:$C$16,2,FALSE)</f>
        <v>11</v>
      </c>
      <c r="CH100" s="79">
        <f>$BZ$100*VLOOKUP($BZ$11,'PCU Values'!$B$9:$C$16,2,FALSE)</f>
        <v>2</v>
      </c>
      <c r="CI100" s="79">
        <f>$CA$100*VLOOKUP($CA$11,'PCU Values'!$B$9:$C$16,2,FALSE)</f>
        <v>0</v>
      </c>
      <c r="CJ100" s="79">
        <f>$CB$100*VLOOKUP($CB$11,'PCU Values'!$B$9:$C$16,2,FALSE)</f>
        <v>0</v>
      </c>
      <c r="CK100" s="79">
        <f>$CC$100*VLOOKUP($CC$11,'PCU Values'!$B$9:$C$16,2,FALSE)</f>
        <v>0</v>
      </c>
      <c r="CL100" s="79">
        <f>$CD$100*VLOOKUP($CD$11,'PCU Values'!$B$9:$C$16,2,FALSE)</f>
        <v>0.6</v>
      </c>
      <c r="CM100" s="79">
        <f>$CE$100*VLOOKUP($CE$11,'PCU Values'!$B$9:$C$16,2,FALSE)</f>
        <v>0</v>
      </c>
      <c r="CN100" s="80">
        <f>$CF$100*VLOOKUP($CF$11,'PCU Values'!$B$9:$C$16,2,FALSE)</f>
        <v>0</v>
      </c>
      <c r="CO100" s="63">
        <f>SUM($CG$100,$CH$100,$CI$100,$CJ$100,$CK$100,$CL$100,$CM$100,$CN$100)</f>
        <v>13.6</v>
      </c>
      <c r="CP100" s="52">
        <f>SUM($BY$100,$BZ$100,$CA$100,$CB$100,$CC$100,$CD$100,$CE$100,$CF$100)</f>
        <v>16</v>
      </c>
      <c r="CQ100" s="90">
        <f>SUM('J1 A - (North) Bishopthorpe Roa'!$AM$100,'J1 B - Butcher Terrace'!$U$100,'J1 C - (South) Bishopthorpe Roa'!$C$100,'J1 D - South Bank Avenue'!$BE$100)</f>
        <v>13</v>
      </c>
      <c r="CR100" s="84">
        <f>SUM('J1 A - (North) Bishopthorpe Roa'!$AN$100,'J1 B - Butcher Terrace'!$V$100,'J1 C - (South) Bishopthorpe Roa'!$D$100,'J1 D - South Bank Avenue'!$BF$100)</f>
        <v>1</v>
      </c>
      <c r="CS100" s="84">
        <f>SUM('J1 A - (North) Bishopthorpe Roa'!$AO$100,'J1 B - Butcher Terrace'!$W$100,'J1 C - (South) Bishopthorpe Roa'!$E$100,'J1 D - South Bank Avenue'!$BG$100)</f>
        <v>0</v>
      </c>
      <c r="CT100" s="84">
        <f>SUM('J1 A - (North) Bishopthorpe Roa'!$AP$100,'J1 B - Butcher Terrace'!$X$100,'J1 C - (South) Bishopthorpe Roa'!$F$100,'J1 D - South Bank Avenue'!$BH$100)</f>
        <v>0</v>
      </c>
      <c r="CU100" s="84">
        <f>SUM('J1 A - (North) Bishopthorpe Roa'!$AQ$100,'J1 B - Butcher Terrace'!$Y$100,'J1 C - (South) Bishopthorpe Roa'!$G$100,'J1 D - South Bank Avenue'!$BI$100)</f>
        <v>0</v>
      </c>
      <c r="CV100" s="84">
        <f>SUM('J1 A - (North) Bishopthorpe Roa'!$AR$100,'J1 B - Butcher Terrace'!$Z$100,'J1 C - (South) Bishopthorpe Roa'!$H$100,'J1 D - South Bank Avenue'!$BJ$100)</f>
        <v>8</v>
      </c>
      <c r="CW100" s="84">
        <f>SUM('J1 A - (North) Bishopthorpe Roa'!$AS$100,'J1 B - Butcher Terrace'!$AA$100,'J1 C - (South) Bishopthorpe Roa'!$I$100,'J1 D - South Bank Avenue'!$BK$100)</f>
        <v>0</v>
      </c>
      <c r="CX100" s="87">
        <f>SUM('J1 A - (North) Bishopthorpe Roa'!$AT$100,'J1 B - Butcher Terrace'!$AB$100,'J1 C - (South) Bishopthorpe Roa'!$J$100,'J1 D - South Bank Avenue'!$BL$100)</f>
        <v>0</v>
      </c>
      <c r="CY100" s="79">
        <f>$CQ$100*VLOOKUP($CQ$11,'PCU Values'!$B$9:$C$16,2,FALSE)</f>
        <v>13</v>
      </c>
      <c r="CZ100" s="79">
        <f>$CR$100*VLOOKUP($CR$11,'PCU Values'!$B$9:$C$16,2,FALSE)</f>
        <v>1</v>
      </c>
      <c r="DA100" s="79">
        <f>$CS$100*VLOOKUP($CS$11,'PCU Values'!$B$9:$C$16,2,FALSE)</f>
        <v>0</v>
      </c>
      <c r="DB100" s="79">
        <f>$CT$100*VLOOKUP($CT$11,'PCU Values'!$B$9:$C$16,2,FALSE)</f>
        <v>0</v>
      </c>
      <c r="DC100" s="79">
        <f>$CU$100*VLOOKUP($CU$11,'PCU Values'!$B$9:$C$16,2,FALSE)</f>
        <v>0</v>
      </c>
      <c r="DD100" s="79">
        <f>$CV$100*VLOOKUP($CV$11,'PCU Values'!$B$9:$C$16,2,FALSE)</f>
        <v>1.6</v>
      </c>
      <c r="DE100" s="79">
        <f>$CW$100*VLOOKUP($CW$11,'PCU Values'!$B$9:$C$16,2,FALSE)</f>
        <v>0</v>
      </c>
      <c r="DF100" s="80">
        <f>$CX$100*VLOOKUP($CX$11,'PCU Values'!$B$9:$C$16,2,FALSE)</f>
        <v>0</v>
      </c>
      <c r="DG100" s="63">
        <f>SUM($CY$100,$CZ$100,$DA$100,$DB$100,$DC$100,$DD$100,$DE$100,$DF$100)</f>
        <v>15.6</v>
      </c>
      <c r="DH100" s="52">
        <f>SUM($CQ$100,$CR$100,$CS$100,$CT$100,$CU$100,$CV$100,$CW$100,$CX$100)</f>
        <v>22</v>
      </c>
    </row>
    <row r="101" spans="1:112">
      <c r="B101" s="52" t="s">
        <v>34</v>
      </c>
      <c r="C101" s="52">
        <f>SUM($C$97:$C$100)</f>
        <v>31</v>
      </c>
      <c r="D101" s="52">
        <f>SUM($D$97:$D$100)</f>
        <v>4</v>
      </c>
      <c r="E101" s="52">
        <f>SUM($E$97:$E$100)</f>
        <v>0</v>
      </c>
      <c r="F101" s="52">
        <f>SUM($F$97:$F$100)</f>
        <v>0</v>
      </c>
      <c r="G101" s="52">
        <f>SUM($G$97:$G$100)</f>
        <v>0</v>
      </c>
      <c r="H101" s="52">
        <f>SUM($H$97:$H$100)</f>
        <v>5</v>
      </c>
      <c r="I101" s="52">
        <f>SUM($I$97:$I$100)</f>
        <v>1</v>
      </c>
      <c r="J101" s="52">
        <f>SUM($J$97:$J$100)</f>
        <v>0</v>
      </c>
      <c r="K101" s="52">
        <f>SUM($K$97:$K$100)</f>
        <v>31</v>
      </c>
      <c r="L101" s="52">
        <f>SUM($L$97:$L$100)</f>
        <v>4</v>
      </c>
      <c r="M101" s="52">
        <f>SUM($M$97:$M$100)</f>
        <v>0</v>
      </c>
      <c r="N101" s="52">
        <f>SUM($N$97:$N$100)</f>
        <v>0</v>
      </c>
      <c r="O101" s="52">
        <f>SUM($O$97:$O$100)</f>
        <v>0</v>
      </c>
      <c r="P101" s="52">
        <f>SUM($P$97:$P$100)</f>
        <v>1</v>
      </c>
      <c r="Q101" s="52">
        <f>SUM($Q$97:$Q$100)</f>
        <v>0</v>
      </c>
      <c r="R101" s="52">
        <f>SUM($R$97:$R$100)</f>
        <v>0</v>
      </c>
      <c r="S101" s="52">
        <f>SUM($K$101,$L$101,$M$101,$N$101,$O$101,$P$101,$Q$101,$R$101)</f>
        <v>36</v>
      </c>
      <c r="T101" s="52">
        <f>SUM($C$101,$D$101,$E$101,$F$101,$G$101,$H$101,$I$101,$J$101)</f>
        <v>41</v>
      </c>
      <c r="U101" s="52">
        <f>SUM($U$97:$U$100)</f>
        <v>2</v>
      </c>
      <c r="V101" s="52">
        <f>SUM($V$97:$V$100)</f>
        <v>0</v>
      </c>
      <c r="W101" s="52">
        <f>SUM($W$97:$W$100)</f>
        <v>0</v>
      </c>
      <c r="X101" s="52">
        <f>SUM($X$97:$X$100)</f>
        <v>0</v>
      </c>
      <c r="Y101" s="52">
        <f>SUM($Y$97:$Y$100)</f>
        <v>0</v>
      </c>
      <c r="Z101" s="52">
        <f>SUM($Z$97:$Z$100)</f>
        <v>10</v>
      </c>
      <c r="AA101" s="52">
        <f>SUM($AA$97:$AA$100)</f>
        <v>0</v>
      </c>
      <c r="AB101" s="52">
        <f>SUM($AB$97:$AB$100)</f>
        <v>0</v>
      </c>
      <c r="AC101" s="52">
        <f>SUM($AC$97:$AC$100)</f>
        <v>2</v>
      </c>
      <c r="AD101" s="52">
        <f>SUM($AD$97:$AD$100)</f>
        <v>0</v>
      </c>
      <c r="AE101" s="52">
        <f>SUM($AE$97:$AE$100)</f>
        <v>0</v>
      </c>
      <c r="AF101" s="52">
        <f>SUM($AF$97:$AF$100)</f>
        <v>0</v>
      </c>
      <c r="AG101" s="52">
        <f>SUM($AG$97:$AG$100)</f>
        <v>0</v>
      </c>
      <c r="AH101" s="52">
        <f>SUM($AH$97:$AH$100)</f>
        <v>2</v>
      </c>
      <c r="AI101" s="52">
        <f>SUM($AI$97:$AI$100)</f>
        <v>0</v>
      </c>
      <c r="AJ101" s="52">
        <f>SUM($AJ$97:$AJ$100)</f>
        <v>0</v>
      </c>
      <c r="AK101" s="52">
        <f>SUM($AC$101,$AD$101,$AE$101,$AF$101,$AG$101,$AH$101,$AI$101,$AJ$101)</f>
        <v>4</v>
      </c>
      <c r="AL101" s="52">
        <f>SUM($U$101,$V$101,$W$101,$X$101,$Y$101,$Z$101,$AA$101,$AB$101)</f>
        <v>12</v>
      </c>
      <c r="AM101" s="52">
        <f>SUM($AM$97:$AM$100)</f>
        <v>8</v>
      </c>
      <c r="AN101" s="52">
        <f>SUM($AN$97:$AN$100)</f>
        <v>0</v>
      </c>
      <c r="AO101" s="52">
        <f>SUM($AO$97:$AO$100)</f>
        <v>0</v>
      </c>
      <c r="AP101" s="52">
        <f>SUM($AP$97:$AP$100)</f>
        <v>0</v>
      </c>
      <c r="AQ101" s="52">
        <f>SUM($AQ$97:$AQ$100)</f>
        <v>0</v>
      </c>
      <c r="AR101" s="52">
        <f>SUM($AR$97:$AR$100)</f>
        <v>0</v>
      </c>
      <c r="AS101" s="52">
        <f>SUM($AS$97:$AS$100)</f>
        <v>0</v>
      </c>
      <c r="AT101" s="52">
        <f>SUM($AT$97:$AT$100)</f>
        <v>0</v>
      </c>
      <c r="AU101" s="52">
        <f>SUM($AU$97:$AU$100)</f>
        <v>8</v>
      </c>
      <c r="AV101" s="52">
        <f>SUM($AV$97:$AV$100)</f>
        <v>0</v>
      </c>
      <c r="AW101" s="52">
        <f>SUM($AW$97:$AW$100)</f>
        <v>0</v>
      </c>
      <c r="AX101" s="52">
        <f>SUM($AX$97:$AX$100)</f>
        <v>0</v>
      </c>
      <c r="AY101" s="52">
        <f>SUM($AY$97:$AY$100)</f>
        <v>0</v>
      </c>
      <c r="AZ101" s="52">
        <f>SUM($AZ$97:$AZ$100)</f>
        <v>0</v>
      </c>
      <c r="BA101" s="52">
        <f>SUM($BA$97:$BA$100)</f>
        <v>0</v>
      </c>
      <c r="BB101" s="52">
        <f>SUM($BB$97:$BB$100)</f>
        <v>0</v>
      </c>
      <c r="BC101" s="52">
        <f>SUM($AU$101,$AV$101,$AW$101,$AX$101,$AY$101,$AZ$101,$BA$101,$BB$101)</f>
        <v>8</v>
      </c>
      <c r="BD101" s="52">
        <f>SUM($AM$101,$AN$101,$AO$101,$AP$101,$AQ$101,$AR$101,$AS$101,$AT$101)</f>
        <v>8</v>
      </c>
      <c r="BE101" s="52">
        <f>SUM($BE$97:$BE$100)</f>
        <v>0</v>
      </c>
      <c r="BF101" s="52">
        <f>SUM($BF$97:$BF$100)</f>
        <v>0</v>
      </c>
      <c r="BG101" s="52">
        <f>SUM($BG$97:$BG$100)</f>
        <v>0</v>
      </c>
      <c r="BH101" s="52">
        <f>SUM($BH$97:$BH$100)</f>
        <v>0</v>
      </c>
      <c r="BI101" s="52">
        <f>SUM($BI$97:$BI$100)</f>
        <v>0</v>
      </c>
      <c r="BJ101" s="52">
        <f>SUM($BJ$97:$BJ$100)</f>
        <v>0</v>
      </c>
      <c r="BK101" s="52">
        <f>SUM($BK$97:$BK$100)</f>
        <v>0</v>
      </c>
      <c r="BL101" s="52">
        <f>SUM($BL$97:$BL$100)</f>
        <v>0</v>
      </c>
      <c r="BM101" s="52">
        <f>SUM($BM$97:$BM$100)</f>
        <v>0</v>
      </c>
      <c r="BN101" s="52">
        <f>SUM($BN$97:$BN$100)</f>
        <v>0</v>
      </c>
      <c r="BO101" s="52">
        <f>SUM($BO$97:$BO$100)</f>
        <v>0</v>
      </c>
      <c r="BP101" s="52">
        <f>SUM($BP$97:$BP$100)</f>
        <v>0</v>
      </c>
      <c r="BQ101" s="52">
        <f>SUM($BQ$97:$BQ$100)</f>
        <v>0</v>
      </c>
      <c r="BR101" s="52">
        <f>SUM($BR$97:$BR$100)</f>
        <v>0</v>
      </c>
      <c r="BS101" s="52">
        <f>SUM($BS$97:$BS$100)</f>
        <v>0</v>
      </c>
      <c r="BT101" s="52">
        <f>SUM($BT$97:$BT$100)</f>
        <v>0</v>
      </c>
      <c r="BU101" s="52">
        <f>SUM($BM$101,$BN$101,$BO$101,$BP$101,$BQ$101,$BR$101,$BS$101,$BT$101)</f>
        <v>0</v>
      </c>
      <c r="BV101" s="52">
        <f>SUM($BE$101,$BF$101,$BG$101,$BH$101,$BI$101,$BJ$101,$BK$101,$BL$101)</f>
        <v>0</v>
      </c>
      <c r="BX101" s="52" t="s">
        <v>34</v>
      </c>
      <c r="BY101" s="52">
        <f>SUM($BY$97:$BY$100)</f>
        <v>41</v>
      </c>
      <c r="BZ101" s="52">
        <f>SUM($BZ$97:$BZ$100)</f>
        <v>4</v>
      </c>
      <c r="CA101" s="52">
        <f>SUM($CA$97:$CA$100)</f>
        <v>0</v>
      </c>
      <c r="CB101" s="52">
        <f>SUM($CB$97:$CB$100)</f>
        <v>0</v>
      </c>
      <c r="CC101" s="52">
        <f>SUM($CC$97:$CC$100)</f>
        <v>0</v>
      </c>
      <c r="CD101" s="52">
        <f>SUM($CD$97:$CD$100)</f>
        <v>15</v>
      </c>
      <c r="CE101" s="52">
        <f>SUM($CE$97:$CE$100)</f>
        <v>1</v>
      </c>
      <c r="CF101" s="52">
        <f>SUM($CF$97:$CF$100)</f>
        <v>0</v>
      </c>
      <c r="CG101" s="52">
        <f>SUM($CG$97:$CG$100)</f>
        <v>41</v>
      </c>
      <c r="CH101" s="52">
        <f>SUM($CH$97:$CH$100)</f>
        <v>4</v>
      </c>
      <c r="CI101" s="52">
        <f>SUM($CI$97:$CI$100)</f>
        <v>0</v>
      </c>
      <c r="CJ101" s="52">
        <f>SUM($CJ$97:$CJ$100)</f>
        <v>0</v>
      </c>
      <c r="CK101" s="52">
        <f>SUM($CK$97:$CK$100)</f>
        <v>0</v>
      </c>
      <c r="CL101" s="52">
        <f>SUM($CL$97:$CL$100)</f>
        <v>3</v>
      </c>
      <c r="CM101" s="52">
        <f>SUM($CM$97:$CM$100)</f>
        <v>0</v>
      </c>
      <c r="CN101" s="52">
        <f>SUM($CN$97:$CN$100)</f>
        <v>0</v>
      </c>
      <c r="CO101" s="52">
        <f>SUM($CG$101,$CH$101,$CI$101,$CJ$101,$CK$101,$CL$101,$CM$101,$CN$101)</f>
        <v>48</v>
      </c>
      <c r="CP101" s="52">
        <f>SUM($BY$101,$BZ$101,$CA$101,$CB$101,$CC$101,$CD$101,$CE$101,$CF$101)</f>
        <v>61</v>
      </c>
      <c r="CQ101" s="52">
        <f>SUM($CQ$97:$CQ$100)</f>
        <v>43</v>
      </c>
      <c r="CR101" s="52">
        <f>SUM($CR$97:$CR$100)</f>
        <v>3</v>
      </c>
      <c r="CS101" s="52">
        <f>SUM($CS$97:$CS$100)</f>
        <v>1</v>
      </c>
      <c r="CT101" s="52">
        <f>SUM($CT$97:$CT$100)</f>
        <v>0</v>
      </c>
      <c r="CU101" s="52">
        <f>SUM($CU$97:$CU$100)</f>
        <v>0</v>
      </c>
      <c r="CV101" s="52">
        <f>SUM($CV$97:$CV$100)</f>
        <v>40</v>
      </c>
      <c r="CW101" s="52">
        <f>SUM($CW$97:$CW$100)</f>
        <v>2</v>
      </c>
      <c r="CX101" s="52">
        <f>SUM($CX$97:$CX$100)</f>
        <v>0</v>
      </c>
      <c r="CY101" s="52">
        <f>SUM($CY$97:$CY$100)</f>
        <v>43</v>
      </c>
      <c r="CZ101" s="52">
        <f>SUM($CZ$97:$CZ$100)</f>
        <v>3</v>
      </c>
      <c r="DA101" s="52">
        <f>SUM($DA$97:$DA$100)</f>
        <v>2</v>
      </c>
      <c r="DB101" s="52">
        <f>SUM($DB$97:$DB$100)</f>
        <v>0</v>
      </c>
      <c r="DC101" s="52">
        <f>SUM($DC$97:$DC$100)</f>
        <v>0</v>
      </c>
      <c r="DD101" s="52">
        <f>SUM($DD$97:$DD$100)</f>
        <v>8</v>
      </c>
      <c r="DE101" s="52">
        <f>SUM($DE$97:$DE$100)</f>
        <v>1</v>
      </c>
      <c r="DF101" s="52">
        <f>SUM($DF$97:$DF$100)</f>
        <v>0</v>
      </c>
      <c r="DG101" s="52">
        <f>SUM($CY$101,$CZ$101,$DA$101,$DB$101,$DC$101,$DD$101,$DE$101,$DF$101)</f>
        <v>57</v>
      </c>
      <c r="DH101" s="52">
        <f>SUM($CQ$101,$CR$101,$CS$101,$CT$101,$CU$101,$CV$101,$CW$101,$CX$101)</f>
        <v>89</v>
      </c>
    </row>
    <row r="102" spans="1:112" ht="21" customHeight="1">
      <c r="A102" s="46">
        <v>44395.75</v>
      </c>
      <c r="B102" s="53" t="s">
        <v>103</v>
      </c>
      <c r="C102" s="54">
        <v>5</v>
      </c>
      <c r="D102" s="54">
        <v>0</v>
      </c>
      <c r="E102" s="54">
        <v>0</v>
      </c>
      <c r="F102" s="54">
        <v>0</v>
      </c>
      <c r="G102" s="54">
        <v>0</v>
      </c>
      <c r="H102" s="54">
        <v>2</v>
      </c>
      <c r="I102" s="54">
        <v>0</v>
      </c>
      <c r="J102" s="61">
        <v>0</v>
      </c>
      <c r="K102" s="62">
        <f>$C$102*VLOOKUP($C$11,'PCU Values'!$B$9:$C$16,2,FALSE)</f>
        <v>5</v>
      </c>
      <c r="L102" s="62">
        <f>$D$102*VLOOKUP($D$11,'PCU Values'!$B$9:$C$16,2,FALSE)</f>
        <v>0</v>
      </c>
      <c r="M102" s="62">
        <f>$E$102*VLOOKUP($E$11,'PCU Values'!$B$9:$C$16,2,FALSE)</f>
        <v>0</v>
      </c>
      <c r="N102" s="62">
        <f>$F$102*VLOOKUP($F$11,'PCU Values'!$B$9:$C$16,2,FALSE)</f>
        <v>0</v>
      </c>
      <c r="O102" s="62">
        <f>$G$102*VLOOKUP($G$11,'PCU Values'!$B$9:$C$16,2,FALSE)</f>
        <v>0</v>
      </c>
      <c r="P102" s="62">
        <f>$H$102*VLOOKUP($H$11,'PCU Values'!$B$9:$C$16,2,FALSE)</f>
        <v>0.4</v>
      </c>
      <c r="Q102" s="62">
        <f>$I$102*VLOOKUP($I$11,'PCU Values'!$B$9:$C$16,2,FALSE)</f>
        <v>0</v>
      </c>
      <c r="R102" s="70">
        <f>$J$102*VLOOKUP($J$11,'PCU Values'!$B$9:$C$16,2,FALSE)</f>
        <v>0</v>
      </c>
      <c r="S102" s="71">
        <f>SUM($K$102,$L$102,$M$102,$N$102,$O$102,$P$102,$Q$102,$R$102)</f>
        <v>5.4</v>
      </c>
      <c r="T102" s="52">
        <f>SUM($C$102,$D$102,$E$102,$F$102,$G$102,$H$102,$I$102,$J$102)</f>
        <v>7</v>
      </c>
      <c r="U102" s="72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8</v>
      </c>
      <c r="AA102" s="54">
        <v>0</v>
      </c>
      <c r="AB102" s="61">
        <v>0</v>
      </c>
      <c r="AC102" s="62">
        <f>$U$102*VLOOKUP($U$11,'PCU Values'!$B$9:$C$16,2,FALSE)</f>
        <v>0</v>
      </c>
      <c r="AD102" s="62">
        <f>$V$102*VLOOKUP($V$11,'PCU Values'!$B$9:$C$16,2,FALSE)</f>
        <v>0</v>
      </c>
      <c r="AE102" s="62">
        <f>$W$102*VLOOKUP($W$11,'PCU Values'!$B$9:$C$16,2,FALSE)</f>
        <v>0</v>
      </c>
      <c r="AF102" s="62">
        <f>$X$102*VLOOKUP($X$11,'PCU Values'!$B$9:$C$16,2,FALSE)</f>
        <v>0</v>
      </c>
      <c r="AG102" s="62">
        <f>$Y$102*VLOOKUP($Y$11,'PCU Values'!$B$9:$C$16,2,FALSE)</f>
        <v>0</v>
      </c>
      <c r="AH102" s="62">
        <f>$Z$102*VLOOKUP($Z$11,'PCU Values'!$B$9:$C$16,2,FALSE)</f>
        <v>1.6</v>
      </c>
      <c r="AI102" s="62">
        <f>$AA$102*VLOOKUP($AA$11,'PCU Values'!$B$9:$C$16,2,FALSE)</f>
        <v>0</v>
      </c>
      <c r="AJ102" s="70">
        <f>$AB$102*VLOOKUP($AB$11,'PCU Values'!$B$9:$C$16,2,FALSE)</f>
        <v>0</v>
      </c>
      <c r="AK102" s="71">
        <f>SUM($AC$102,$AD$102,$AE$102,$AF$102,$AG$102,$AH$102,$AI$102,$AJ$102)</f>
        <v>1.6</v>
      </c>
      <c r="AL102" s="52">
        <f>SUM($U$102,$V$102,$W$102,$X$102,$Y$102,$Z$102,$AA$102,$AB$102)</f>
        <v>8</v>
      </c>
      <c r="AM102" s="72">
        <v>1</v>
      </c>
      <c r="AN102" s="54">
        <v>0</v>
      </c>
      <c r="AO102" s="54">
        <v>0</v>
      </c>
      <c r="AP102" s="54">
        <v>0</v>
      </c>
      <c r="AQ102" s="54">
        <v>0</v>
      </c>
      <c r="AR102" s="54">
        <v>0</v>
      </c>
      <c r="AS102" s="54">
        <v>0</v>
      </c>
      <c r="AT102" s="61">
        <v>0</v>
      </c>
      <c r="AU102" s="62">
        <f>$AM$102*VLOOKUP($AM$11,'PCU Values'!$B$9:$C$16,2,FALSE)</f>
        <v>1</v>
      </c>
      <c r="AV102" s="62">
        <f>$AN$102*VLOOKUP($AN$11,'PCU Values'!$B$9:$C$16,2,FALSE)</f>
        <v>0</v>
      </c>
      <c r="AW102" s="62">
        <f>$AO$102*VLOOKUP($AO$11,'PCU Values'!$B$9:$C$16,2,FALSE)</f>
        <v>0</v>
      </c>
      <c r="AX102" s="62">
        <f>$AP$102*VLOOKUP($AP$11,'PCU Values'!$B$9:$C$16,2,FALSE)</f>
        <v>0</v>
      </c>
      <c r="AY102" s="62">
        <f>$AQ$102*VLOOKUP($AQ$11,'PCU Values'!$B$9:$C$16,2,FALSE)</f>
        <v>0</v>
      </c>
      <c r="AZ102" s="62">
        <f>$AR$102*VLOOKUP($AR$11,'PCU Values'!$B$9:$C$16,2,FALSE)</f>
        <v>0</v>
      </c>
      <c r="BA102" s="62">
        <f>$AS$102*VLOOKUP($AS$11,'PCU Values'!$B$9:$C$16,2,FALSE)</f>
        <v>0</v>
      </c>
      <c r="BB102" s="70">
        <f>$AT$102*VLOOKUP($AT$11,'PCU Values'!$B$9:$C$16,2,FALSE)</f>
        <v>0</v>
      </c>
      <c r="BC102" s="71">
        <f>SUM($AU$102,$AV$102,$AW$102,$AX$102,$AY$102,$AZ$102,$BA$102,$BB$102)</f>
        <v>1</v>
      </c>
      <c r="BD102" s="52">
        <f>SUM($AM$102,$AN$102,$AO$102,$AP$102,$AQ$102,$AR$102,$AS$102,$AT$102)</f>
        <v>1</v>
      </c>
      <c r="BE102" s="72">
        <v>0</v>
      </c>
      <c r="BF102" s="54">
        <v>0</v>
      </c>
      <c r="BG102" s="54">
        <v>0</v>
      </c>
      <c r="BH102" s="54">
        <v>0</v>
      </c>
      <c r="BI102" s="54">
        <v>0</v>
      </c>
      <c r="BJ102" s="54">
        <v>0</v>
      </c>
      <c r="BK102" s="54">
        <v>0</v>
      </c>
      <c r="BL102" s="61">
        <v>0</v>
      </c>
      <c r="BM102" s="81">
        <f>$BE$102*VLOOKUP($BE$11,'PCU Values'!$B$9:$C$16,2,FALSE)</f>
        <v>0</v>
      </c>
      <c r="BN102" s="81">
        <f>$BF$102*VLOOKUP($BF$11,'PCU Values'!$B$9:$C$16,2,FALSE)</f>
        <v>0</v>
      </c>
      <c r="BO102" s="81">
        <f>$BG$102*VLOOKUP($BG$11,'PCU Values'!$B$9:$C$16,2,FALSE)</f>
        <v>0</v>
      </c>
      <c r="BP102" s="81">
        <f>$BH$102*VLOOKUP($BH$11,'PCU Values'!$B$9:$C$16,2,FALSE)</f>
        <v>0</v>
      </c>
      <c r="BQ102" s="81">
        <f>$BI$102*VLOOKUP($BI$11,'PCU Values'!$B$9:$C$16,2,FALSE)</f>
        <v>0</v>
      </c>
      <c r="BR102" s="81">
        <f>$BJ$102*VLOOKUP($BJ$11,'PCU Values'!$B$9:$C$16,2,FALSE)</f>
        <v>0</v>
      </c>
      <c r="BS102" s="81">
        <f>$BK$102*VLOOKUP($BK$11,'PCU Values'!$B$9:$C$16,2,FALSE)</f>
        <v>0</v>
      </c>
      <c r="BT102" s="82">
        <f>$BL$102*VLOOKUP($BL$11,'PCU Values'!$B$9:$C$16,2,FALSE)</f>
        <v>0</v>
      </c>
      <c r="BU102" s="71">
        <f>SUM($BM$102,$BN$102,$BO$102,$BP$102,$BQ$102,$BR$102,$BS$102,$BT$102)</f>
        <v>0</v>
      </c>
      <c r="BV102" s="52">
        <f>SUM($BE$102,$BF$102,$BG$102,$BH$102,$BI$102,$BJ$102,$BK$102,$BL$102)</f>
        <v>0</v>
      </c>
      <c r="BX102" s="53" t="s">
        <v>103</v>
      </c>
      <c r="BY102" s="85">
        <f>SUM($C$102,$U$102,$AM$102,$BE$102)</f>
        <v>6</v>
      </c>
      <c r="BZ102" s="85">
        <f>SUM($D$102,$V$102,$AN$102,$BF$102)</f>
        <v>0</v>
      </c>
      <c r="CA102" s="85">
        <f>SUM($E$102,$W$102,$AO$102,$BG$102)</f>
        <v>0</v>
      </c>
      <c r="CB102" s="85">
        <f>SUM($F$102,$X$102,$AP$102,$BH$102)</f>
        <v>0</v>
      </c>
      <c r="CC102" s="85">
        <f>SUM($G$102,$Y$102,$AQ$102,$BI$102)</f>
        <v>0</v>
      </c>
      <c r="CD102" s="85">
        <f>SUM($H$102,$Z$102,$AR$102,$BJ$102)</f>
        <v>10</v>
      </c>
      <c r="CE102" s="85">
        <f>SUM($I$102,$AA$102,$AS$102,$BK$102)</f>
        <v>0</v>
      </c>
      <c r="CF102" s="88">
        <f>SUM($J$102,$AB$102,$AT$102,$BL$102)</f>
        <v>0</v>
      </c>
      <c r="CG102" s="81">
        <f>$BY$102*VLOOKUP($BY$11,'PCU Values'!$B$9:$C$16,2,FALSE)</f>
        <v>6</v>
      </c>
      <c r="CH102" s="81">
        <f>$BZ$102*VLOOKUP($BZ$11,'PCU Values'!$B$9:$C$16,2,FALSE)</f>
        <v>0</v>
      </c>
      <c r="CI102" s="81">
        <f>$CA$102*VLOOKUP($CA$11,'PCU Values'!$B$9:$C$16,2,FALSE)</f>
        <v>0</v>
      </c>
      <c r="CJ102" s="81">
        <f>$CB$102*VLOOKUP($CB$11,'PCU Values'!$B$9:$C$16,2,FALSE)</f>
        <v>0</v>
      </c>
      <c r="CK102" s="81">
        <f>$CC$102*VLOOKUP($CC$11,'PCU Values'!$B$9:$C$16,2,FALSE)</f>
        <v>0</v>
      </c>
      <c r="CL102" s="81">
        <f>$CD$102*VLOOKUP($CD$11,'PCU Values'!$B$9:$C$16,2,FALSE)</f>
        <v>2</v>
      </c>
      <c r="CM102" s="81">
        <f>$CE$102*VLOOKUP($CE$11,'PCU Values'!$B$9:$C$16,2,FALSE)</f>
        <v>0</v>
      </c>
      <c r="CN102" s="82">
        <f>$CF$102*VLOOKUP($CF$11,'PCU Values'!$B$9:$C$16,2,FALSE)</f>
        <v>0</v>
      </c>
      <c r="CO102" s="71">
        <f>SUM($CG$102,$CH$102,$CI$102,$CJ$102,$CK$102,$CL$102,$CM$102,$CN$102)</f>
        <v>8</v>
      </c>
      <c r="CP102" s="52">
        <f>SUM($BY$102,$BZ$102,$CA$102,$CB$102,$CC$102,$CD$102,$CE$102,$CF$102)</f>
        <v>16</v>
      </c>
      <c r="CQ102" s="91">
        <f>SUM('J1 A - (North) Bishopthorpe Roa'!$AM$102,'J1 B - Butcher Terrace'!$U$102,'J1 C - (South) Bishopthorpe Roa'!$C$102,'J1 D - South Bank Avenue'!$BE$102)</f>
        <v>9</v>
      </c>
      <c r="CR102" s="85">
        <f>SUM('J1 A - (North) Bishopthorpe Roa'!$AN$102,'J1 B - Butcher Terrace'!$V$102,'J1 C - (South) Bishopthorpe Roa'!$D$102,'J1 D - South Bank Avenue'!$BF$102)</f>
        <v>0</v>
      </c>
      <c r="CS102" s="85">
        <f>SUM('J1 A - (North) Bishopthorpe Roa'!$AO$102,'J1 B - Butcher Terrace'!$W$102,'J1 C - (South) Bishopthorpe Roa'!$E$102,'J1 D - South Bank Avenue'!$BG$102)</f>
        <v>0</v>
      </c>
      <c r="CT102" s="85">
        <f>SUM('J1 A - (North) Bishopthorpe Roa'!$AP$102,'J1 B - Butcher Terrace'!$X$102,'J1 C - (South) Bishopthorpe Roa'!$F$102,'J1 D - South Bank Avenue'!$BH$102)</f>
        <v>0</v>
      </c>
      <c r="CU102" s="85">
        <f>SUM('J1 A - (North) Bishopthorpe Roa'!$AQ$102,'J1 B - Butcher Terrace'!$Y$102,'J1 C - (South) Bishopthorpe Roa'!$G$102,'J1 D - South Bank Avenue'!$BI$102)</f>
        <v>0</v>
      </c>
      <c r="CV102" s="85">
        <f>SUM('J1 A - (North) Bishopthorpe Roa'!$AR$102,'J1 B - Butcher Terrace'!$Z$102,'J1 C - (South) Bishopthorpe Roa'!$H$102,'J1 D - South Bank Avenue'!$BJ$102)</f>
        <v>6</v>
      </c>
      <c r="CW102" s="85">
        <f>SUM('J1 A - (North) Bishopthorpe Roa'!$AS$102,'J1 B - Butcher Terrace'!$AA$102,'J1 C - (South) Bishopthorpe Roa'!$I$102,'J1 D - South Bank Avenue'!$BK$102)</f>
        <v>0</v>
      </c>
      <c r="CX102" s="88">
        <f>SUM('J1 A - (North) Bishopthorpe Roa'!$AT$102,'J1 B - Butcher Terrace'!$AB$102,'J1 C - (South) Bishopthorpe Roa'!$J$102,'J1 D - South Bank Avenue'!$BL$102)</f>
        <v>0</v>
      </c>
      <c r="CY102" s="81">
        <f>$CQ$102*VLOOKUP($CQ$11,'PCU Values'!$B$9:$C$16,2,FALSE)</f>
        <v>9</v>
      </c>
      <c r="CZ102" s="81">
        <f>$CR$102*VLOOKUP($CR$11,'PCU Values'!$B$9:$C$16,2,FALSE)</f>
        <v>0</v>
      </c>
      <c r="DA102" s="81">
        <f>$CS$102*VLOOKUP($CS$11,'PCU Values'!$B$9:$C$16,2,FALSE)</f>
        <v>0</v>
      </c>
      <c r="DB102" s="81">
        <f>$CT$102*VLOOKUP($CT$11,'PCU Values'!$B$9:$C$16,2,FALSE)</f>
        <v>0</v>
      </c>
      <c r="DC102" s="81">
        <f>$CU$102*VLOOKUP($CU$11,'PCU Values'!$B$9:$C$16,2,FALSE)</f>
        <v>0</v>
      </c>
      <c r="DD102" s="81">
        <f>$CV$102*VLOOKUP($CV$11,'PCU Values'!$B$9:$C$16,2,FALSE)</f>
        <v>1.2</v>
      </c>
      <c r="DE102" s="81">
        <f>$CW$102*VLOOKUP($CW$11,'PCU Values'!$B$9:$C$16,2,FALSE)</f>
        <v>0</v>
      </c>
      <c r="DF102" s="82">
        <f>$CX$102*VLOOKUP($CX$11,'PCU Values'!$B$9:$C$16,2,FALSE)</f>
        <v>0</v>
      </c>
      <c r="DG102" s="71">
        <f>SUM($CY$102,$CZ$102,$DA$102,$DB$102,$DC$102,$DD$102,$DE$102,$DF$102)</f>
        <v>10.199999999999999</v>
      </c>
      <c r="DH102" s="52">
        <f>SUM($CQ$102,$CR$102,$CS$102,$CT$102,$CU$102,$CV$102,$CW$102,$CX$102)</f>
        <v>15</v>
      </c>
    </row>
    <row r="103" spans="1:112" ht="21" customHeight="1">
      <c r="A103" s="46">
        <v>44395.760416666701</v>
      </c>
      <c r="B103" s="47" t="s">
        <v>104</v>
      </c>
      <c r="C103" s="48">
        <v>8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56">
        <v>0</v>
      </c>
      <c r="K103" s="57">
        <f>$C$103*VLOOKUP($C$11,'PCU Values'!$B$9:$C$16,2,FALSE)</f>
        <v>8</v>
      </c>
      <c r="L103" s="57">
        <f>$D$103*VLOOKUP($D$11,'PCU Values'!$B$9:$C$16,2,FALSE)</f>
        <v>0</v>
      </c>
      <c r="M103" s="57">
        <f>$E$103*VLOOKUP($E$11,'PCU Values'!$B$9:$C$16,2,FALSE)</f>
        <v>0</v>
      </c>
      <c r="N103" s="57">
        <f>$F$103*VLOOKUP($F$11,'PCU Values'!$B$9:$C$16,2,FALSE)</f>
        <v>0</v>
      </c>
      <c r="O103" s="57">
        <f>$G$103*VLOOKUP($G$11,'PCU Values'!$B$9:$C$16,2,FALSE)</f>
        <v>0</v>
      </c>
      <c r="P103" s="57">
        <f>$H$103*VLOOKUP($H$11,'PCU Values'!$B$9:$C$16,2,FALSE)</f>
        <v>0</v>
      </c>
      <c r="Q103" s="57">
        <f>$I$103*VLOOKUP($I$11,'PCU Values'!$B$9:$C$16,2,FALSE)</f>
        <v>0</v>
      </c>
      <c r="R103" s="65">
        <f>$J$103*VLOOKUP($J$11,'PCU Values'!$B$9:$C$16,2,FALSE)</f>
        <v>0</v>
      </c>
      <c r="S103" s="66">
        <f>SUM($K$103,$L$103,$M$103,$N$103,$O$103,$P$103,$Q$103,$R$103)</f>
        <v>8</v>
      </c>
      <c r="T103" s="52">
        <f>SUM($C$103,$D$103,$E$103,$F$103,$G$103,$H$103,$I$103,$J$103)</f>
        <v>8</v>
      </c>
      <c r="U103" s="67">
        <v>1</v>
      </c>
      <c r="V103" s="48">
        <v>0</v>
      </c>
      <c r="W103" s="48">
        <v>0</v>
      </c>
      <c r="X103" s="48">
        <v>0</v>
      </c>
      <c r="Y103" s="48">
        <v>0</v>
      </c>
      <c r="Z103" s="48">
        <v>2</v>
      </c>
      <c r="AA103" s="48">
        <v>0</v>
      </c>
      <c r="AB103" s="56">
        <v>0</v>
      </c>
      <c r="AC103" s="57">
        <f>$U$103*VLOOKUP($U$11,'PCU Values'!$B$9:$C$16,2,FALSE)</f>
        <v>1</v>
      </c>
      <c r="AD103" s="57">
        <f>$V$103*VLOOKUP($V$11,'PCU Values'!$B$9:$C$16,2,FALSE)</f>
        <v>0</v>
      </c>
      <c r="AE103" s="57">
        <f>$W$103*VLOOKUP($W$11,'PCU Values'!$B$9:$C$16,2,FALSE)</f>
        <v>0</v>
      </c>
      <c r="AF103" s="57">
        <f>$X$103*VLOOKUP($X$11,'PCU Values'!$B$9:$C$16,2,FALSE)</f>
        <v>0</v>
      </c>
      <c r="AG103" s="57">
        <f>$Y$103*VLOOKUP($Y$11,'PCU Values'!$B$9:$C$16,2,FALSE)</f>
        <v>0</v>
      </c>
      <c r="AH103" s="57">
        <f>$Z$103*VLOOKUP($Z$11,'PCU Values'!$B$9:$C$16,2,FALSE)</f>
        <v>0.4</v>
      </c>
      <c r="AI103" s="57">
        <f>$AA$103*VLOOKUP($AA$11,'PCU Values'!$B$9:$C$16,2,FALSE)</f>
        <v>0</v>
      </c>
      <c r="AJ103" s="65">
        <f>$AB$103*VLOOKUP($AB$11,'PCU Values'!$B$9:$C$16,2,FALSE)</f>
        <v>0</v>
      </c>
      <c r="AK103" s="66">
        <f>SUM($AC$103,$AD$103,$AE$103,$AF$103,$AG$103,$AH$103,$AI$103,$AJ$103)</f>
        <v>1.4</v>
      </c>
      <c r="AL103" s="52">
        <f>SUM($U$103,$V$103,$W$103,$X$103,$Y$103,$Z$103,$AA$103,$AB$103)</f>
        <v>3</v>
      </c>
      <c r="AM103" s="67">
        <v>1</v>
      </c>
      <c r="AN103" s="48">
        <v>0</v>
      </c>
      <c r="AO103" s="48">
        <v>0</v>
      </c>
      <c r="AP103" s="48">
        <v>0</v>
      </c>
      <c r="AQ103" s="48">
        <v>0</v>
      </c>
      <c r="AR103" s="48">
        <v>0</v>
      </c>
      <c r="AS103" s="48">
        <v>0</v>
      </c>
      <c r="AT103" s="56">
        <v>0</v>
      </c>
      <c r="AU103" s="57">
        <f>$AM$103*VLOOKUP($AM$11,'PCU Values'!$B$9:$C$16,2,FALSE)</f>
        <v>1</v>
      </c>
      <c r="AV103" s="57">
        <f>$AN$103*VLOOKUP($AN$11,'PCU Values'!$B$9:$C$16,2,FALSE)</f>
        <v>0</v>
      </c>
      <c r="AW103" s="57">
        <f>$AO$103*VLOOKUP($AO$11,'PCU Values'!$B$9:$C$16,2,FALSE)</f>
        <v>0</v>
      </c>
      <c r="AX103" s="57">
        <f>$AP$103*VLOOKUP($AP$11,'PCU Values'!$B$9:$C$16,2,FALSE)</f>
        <v>0</v>
      </c>
      <c r="AY103" s="57">
        <f>$AQ$103*VLOOKUP($AQ$11,'PCU Values'!$B$9:$C$16,2,FALSE)</f>
        <v>0</v>
      </c>
      <c r="AZ103" s="57">
        <f>$AR$103*VLOOKUP($AR$11,'PCU Values'!$B$9:$C$16,2,FALSE)</f>
        <v>0</v>
      </c>
      <c r="BA103" s="57">
        <f>$AS$103*VLOOKUP($AS$11,'PCU Values'!$B$9:$C$16,2,FALSE)</f>
        <v>0</v>
      </c>
      <c r="BB103" s="65">
        <f>$AT$103*VLOOKUP($AT$11,'PCU Values'!$B$9:$C$16,2,FALSE)</f>
        <v>0</v>
      </c>
      <c r="BC103" s="66">
        <f>SUM($AU$103,$AV$103,$AW$103,$AX$103,$AY$103,$AZ$103,$BA$103,$BB$103)</f>
        <v>1</v>
      </c>
      <c r="BD103" s="52">
        <f>SUM($AM$103,$AN$103,$AO$103,$AP$103,$AQ$103,$AR$103,$AS$103,$AT$103)</f>
        <v>1</v>
      </c>
      <c r="BE103" s="67">
        <v>0</v>
      </c>
      <c r="BF103" s="48">
        <v>0</v>
      </c>
      <c r="BG103" s="48">
        <v>0</v>
      </c>
      <c r="BH103" s="48">
        <v>0</v>
      </c>
      <c r="BI103" s="48">
        <v>0</v>
      </c>
      <c r="BJ103" s="49">
        <v>0</v>
      </c>
      <c r="BK103" s="48">
        <v>0</v>
      </c>
      <c r="BL103" s="56">
        <v>0</v>
      </c>
      <c r="BM103" s="77">
        <f>$BE$103*VLOOKUP($BE$11,'PCU Values'!$B$9:$C$16,2,FALSE)</f>
        <v>0</v>
      </c>
      <c r="BN103" s="77">
        <f>$BF$103*VLOOKUP($BF$11,'PCU Values'!$B$9:$C$16,2,FALSE)</f>
        <v>0</v>
      </c>
      <c r="BO103" s="77">
        <f>$BG$103*VLOOKUP($BG$11,'PCU Values'!$B$9:$C$16,2,FALSE)</f>
        <v>0</v>
      </c>
      <c r="BP103" s="77">
        <f>$BH$103*VLOOKUP($BH$11,'PCU Values'!$B$9:$C$16,2,FALSE)</f>
        <v>0</v>
      </c>
      <c r="BQ103" s="77">
        <f>$BI$103*VLOOKUP($BI$11,'PCU Values'!$B$9:$C$16,2,FALSE)</f>
        <v>0</v>
      </c>
      <c r="BR103" s="77">
        <f>$BJ$103*VLOOKUP($BJ$11,'PCU Values'!$B$9:$C$16,2,FALSE)</f>
        <v>0</v>
      </c>
      <c r="BS103" s="77">
        <f>$BK$103*VLOOKUP($BK$11,'PCU Values'!$B$9:$C$16,2,FALSE)</f>
        <v>0</v>
      </c>
      <c r="BT103" s="78">
        <f>$BL$103*VLOOKUP($BL$11,'PCU Values'!$B$9:$C$16,2,FALSE)</f>
        <v>0</v>
      </c>
      <c r="BU103" s="66">
        <f>SUM($BM$103,$BN$103,$BO$103,$BP$103,$BQ$103,$BR$103,$BS$103,$BT$103)</f>
        <v>0</v>
      </c>
      <c r="BV103" s="52">
        <f>SUM($BE$103,$BF$103,$BG$103,$BH$103,$BI$103,$BJ$103,$BK$103,$BL$103)</f>
        <v>0</v>
      </c>
      <c r="BX103" s="47" t="s">
        <v>104</v>
      </c>
      <c r="BY103" s="83">
        <f>SUM($C$103,$U$103,$AM$103,$BE$103)</f>
        <v>10</v>
      </c>
      <c r="BZ103" s="83">
        <f>SUM($D$103,$V$103,$AN$103,$BF$103)</f>
        <v>0</v>
      </c>
      <c r="CA103" s="83">
        <f>SUM($E$103,$W$103,$AO$103,$BG$103)</f>
        <v>0</v>
      </c>
      <c r="CB103" s="83">
        <f>SUM($F$103,$X$103,$AP$103,$BH$103)</f>
        <v>0</v>
      </c>
      <c r="CC103" s="83">
        <f>SUM($G$103,$Y$103,$AQ$103,$BI$103)</f>
        <v>0</v>
      </c>
      <c r="CD103" s="83">
        <f>SUM($H$103,$Z$103,$AR$103,$BJ$103)</f>
        <v>2</v>
      </c>
      <c r="CE103" s="83">
        <f>SUM($I$103,$AA$103,$AS$103,$BK$103)</f>
        <v>0</v>
      </c>
      <c r="CF103" s="86">
        <f>SUM($J$103,$AB$103,$AT$103,$BL$103)</f>
        <v>0</v>
      </c>
      <c r="CG103" s="77">
        <f>$BY$103*VLOOKUP($BY$11,'PCU Values'!$B$9:$C$16,2,FALSE)</f>
        <v>10</v>
      </c>
      <c r="CH103" s="77">
        <f>$BZ$103*VLOOKUP($BZ$11,'PCU Values'!$B$9:$C$16,2,FALSE)</f>
        <v>0</v>
      </c>
      <c r="CI103" s="77">
        <f>$CA$103*VLOOKUP($CA$11,'PCU Values'!$B$9:$C$16,2,FALSE)</f>
        <v>0</v>
      </c>
      <c r="CJ103" s="77">
        <f>$CB$103*VLOOKUP($CB$11,'PCU Values'!$B$9:$C$16,2,FALSE)</f>
        <v>0</v>
      </c>
      <c r="CK103" s="77">
        <f>$CC$103*VLOOKUP($CC$11,'PCU Values'!$B$9:$C$16,2,FALSE)</f>
        <v>0</v>
      </c>
      <c r="CL103" s="77">
        <f>$CD$103*VLOOKUP($CD$11,'PCU Values'!$B$9:$C$16,2,FALSE)</f>
        <v>0.4</v>
      </c>
      <c r="CM103" s="77">
        <f>$CE$103*VLOOKUP($CE$11,'PCU Values'!$B$9:$C$16,2,FALSE)</f>
        <v>0</v>
      </c>
      <c r="CN103" s="78">
        <f>$CF$103*VLOOKUP($CF$11,'PCU Values'!$B$9:$C$16,2,FALSE)</f>
        <v>0</v>
      </c>
      <c r="CO103" s="66">
        <f>SUM($CG$103,$CH$103,$CI$103,$CJ$103,$CK$103,$CL$103,$CM$103,$CN$103)</f>
        <v>10.4</v>
      </c>
      <c r="CP103" s="52">
        <f>SUM($BY$103,$BZ$103,$CA$103,$CB$103,$CC$103,$CD$103,$CE$103,$CF$103)</f>
        <v>12</v>
      </c>
      <c r="CQ103" s="89">
        <f>SUM('J1 A - (North) Bishopthorpe Roa'!$AM$103,'J1 B - Butcher Terrace'!$U$103,'J1 C - (South) Bishopthorpe Roa'!$C$103,'J1 D - South Bank Avenue'!$BE$103)</f>
        <v>9</v>
      </c>
      <c r="CR103" s="83">
        <f>SUM('J1 A - (North) Bishopthorpe Roa'!$AN$103,'J1 B - Butcher Terrace'!$V$103,'J1 C - (South) Bishopthorpe Roa'!$D$103,'J1 D - South Bank Avenue'!$BF$103)</f>
        <v>1</v>
      </c>
      <c r="CS103" s="83">
        <f>SUM('J1 A - (North) Bishopthorpe Roa'!$AO$103,'J1 B - Butcher Terrace'!$W$103,'J1 C - (South) Bishopthorpe Roa'!$E$103,'J1 D - South Bank Avenue'!$BG$103)</f>
        <v>0</v>
      </c>
      <c r="CT103" s="83">
        <f>SUM('J1 A - (North) Bishopthorpe Roa'!$AP$103,'J1 B - Butcher Terrace'!$X$103,'J1 C - (South) Bishopthorpe Roa'!$F$103,'J1 D - South Bank Avenue'!$BH$103)</f>
        <v>0</v>
      </c>
      <c r="CU103" s="83">
        <f>SUM('J1 A - (North) Bishopthorpe Roa'!$AQ$103,'J1 B - Butcher Terrace'!$Y$103,'J1 C - (South) Bishopthorpe Roa'!$G$103,'J1 D - South Bank Avenue'!$BI$103)</f>
        <v>0</v>
      </c>
      <c r="CV103" s="83">
        <f>SUM('J1 A - (North) Bishopthorpe Roa'!$AR$103,'J1 B - Butcher Terrace'!$Z$103,'J1 C - (South) Bishopthorpe Roa'!$H$103,'J1 D - South Bank Avenue'!$BJ$103)</f>
        <v>11</v>
      </c>
      <c r="CW103" s="83">
        <f>SUM('J1 A - (North) Bishopthorpe Roa'!$AS$103,'J1 B - Butcher Terrace'!$AA$103,'J1 C - (South) Bishopthorpe Roa'!$I$103,'J1 D - South Bank Avenue'!$BK$103)</f>
        <v>0</v>
      </c>
      <c r="CX103" s="86">
        <f>SUM('J1 A - (North) Bishopthorpe Roa'!$AT$103,'J1 B - Butcher Terrace'!$AB$103,'J1 C - (South) Bishopthorpe Roa'!$J$103,'J1 D - South Bank Avenue'!$BL$103)</f>
        <v>0</v>
      </c>
      <c r="CY103" s="77">
        <f>$CQ$103*VLOOKUP($CQ$11,'PCU Values'!$B$9:$C$16,2,FALSE)</f>
        <v>9</v>
      </c>
      <c r="CZ103" s="77">
        <f>$CR$103*VLOOKUP($CR$11,'PCU Values'!$B$9:$C$16,2,FALSE)</f>
        <v>1</v>
      </c>
      <c r="DA103" s="77">
        <f>$CS$103*VLOOKUP($CS$11,'PCU Values'!$B$9:$C$16,2,FALSE)</f>
        <v>0</v>
      </c>
      <c r="DB103" s="77">
        <f>$CT$103*VLOOKUP($CT$11,'PCU Values'!$B$9:$C$16,2,FALSE)</f>
        <v>0</v>
      </c>
      <c r="DC103" s="77">
        <f>$CU$103*VLOOKUP($CU$11,'PCU Values'!$B$9:$C$16,2,FALSE)</f>
        <v>0</v>
      </c>
      <c r="DD103" s="77">
        <f>$CV$103*VLOOKUP($CV$11,'PCU Values'!$B$9:$C$16,2,FALSE)</f>
        <v>2.2000000000000002</v>
      </c>
      <c r="DE103" s="77">
        <f>$CW$103*VLOOKUP($CW$11,'PCU Values'!$B$9:$C$16,2,FALSE)</f>
        <v>0</v>
      </c>
      <c r="DF103" s="78">
        <f>$CX$103*VLOOKUP($CX$11,'PCU Values'!$B$9:$C$16,2,FALSE)</f>
        <v>0</v>
      </c>
      <c r="DG103" s="66">
        <f>SUM($CY$103,$CZ$103,$DA$103,$DB$103,$DC$103,$DD$103,$DE$103,$DF$103)</f>
        <v>12.2</v>
      </c>
      <c r="DH103" s="52">
        <f>SUM($CQ$103,$CR$103,$CS$103,$CT$103,$CU$103,$CV$103,$CW$103,$CX$103)</f>
        <v>21</v>
      </c>
    </row>
    <row r="104" spans="1:112" ht="21" customHeight="1">
      <c r="A104" s="46">
        <v>44395.770833333299</v>
      </c>
      <c r="B104" s="47" t="s">
        <v>105</v>
      </c>
      <c r="C104" s="49">
        <v>3</v>
      </c>
      <c r="D104" s="49">
        <v>1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58">
        <v>0</v>
      </c>
      <c r="K104" s="57">
        <f>$C$104*VLOOKUP($C$11,'PCU Values'!$B$9:$C$16,2,FALSE)</f>
        <v>3</v>
      </c>
      <c r="L104" s="57">
        <f>$D$104*VLOOKUP($D$11,'PCU Values'!$B$9:$C$16,2,FALSE)</f>
        <v>1</v>
      </c>
      <c r="M104" s="57">
        <f>$E$104*VLOOKUP($E$11,'PCU Values'!$B$9:$C$16,2,FALSE)</f>
        <v>0</v>
      </c>
      <c r="N104" s="57">
        <f>$F$104*VLOOKUP($F$11,'PCU Values'!$B$9:$C$16,2,FALSE)</f>
        <v>0</v>
      </c>
      <c r="O104" s="57">
        <f>$G$104*VLOOKUP($G$11,'PCU Values'!$B$9:$C$16,2,FALSE)</f>
        <v>0</v>
      </c>
      <c r="P104" s="57">
        <f>$H$104*VLOOKUP($H$11,'PCU Values'!$B$9:$C$16,2,FALSE)</f>
        <v>0</v>
      </c>
      <c r="Q104" s="57">
        <f>$I$104*VLOOKUP($I$11,'PCU Values'!$B$9:$C$16,2,FALSE)</f>
        <v>0</v>
      </c>
      <c r="R104" s="65">
        <f>$J$104*VLOOKUP($J$11,'PCU Values'!$B$9:$C$16,2,FALSE)</f>
        <v>0</v>
      </c>
      <c r="S104" s="66">
        <f>SUM($K$104,$L$104,$M$104,$N$104,$O$104,$P$104,$Q$104,$R$104)</f>
        <v>4</v>
      </c>
      <c r="T104" s="52">
        <f>SUM($C$104,$D$104,$E$104,$F$104,$G$104,$H$104,$I$104,$J$104)</f>
        <v>4</v>
      </c>
      <c r="U104" s="49">
        <v>0</v>
      </c>
      <c r="V104" s="49">
        <v>0</v>
      </c>
      <c r="W104" s="49">
        <v>0</v>
      </c>
      <c r="X104" s="49">
        <v>0</v>
      </c>
      <c r="Y104" s="49">
        <v>0</v>
      </c>
      <c r="Z104" s="49">
        <v>4</v>
      </c>
      <c r="AA104" s="49">
        <v>0</v>
      </c>
      <c r="AB104" s="58">
        <v>0</v>
      </c>
      <c r="AC104" s="57">
        <f>$U$104*VLOOKUP($U$11,'PCU Values'!$B$9:$C$16,2,FALSE)</f>
        <v>0</v>
      </c>
      <c r="AD104" s="57">
        <f>$V$104*VLOOKUP($V$11,'PCU Values'!$B$9:$C$16,2,FALSE)</f>
        <v>0</v>
      </c>
      <c r="AE104" s="57">
        <f>$W$104*VLOOKUP($W$11,'PCU Values'!$B$9:$C$16,2,FALSE)</f>
        <v>0</v>
      </c>
      <c r="AF104" s="57">
        <f>$X$104*VLOOKUP($X$11,'PCU Values'!$B$9:$C$16,2,FALSE)</f>
        <v>0</v>
      </c>
      <c r="AG104" s="57">
        <f>$Y$104*VLOOKUP($Y$11,'PCU Values'!$B$9:$C$16,2,FALSE)</f>
        <v>0</v>
      </c>
      <c r="AH104" s="57">
        <f>$Z$104*VLOOKUP($Z$11,'PCU Values'!$B$9:$C$16,2,FALSE)</f>
        <v>0.8</v>
      </c>
      <c r="AI104" s="57">
        <f>$AA$104*VLOOKUP($AA$11,'PCU Values'!$B$9:$C$16,2,FALSE)</f>
        <v>0</v>
      </c>
      <c r="AJ104" s="65">
        <f>$AB$104*VLOOKUP($AB$11,'PCU Values'!$B$9:$C$16,2,FALSE)</f>
        <v>0</v>
      </c>
      <c r="AK104" s="66">
        <f>SUM($AC$104,$AD$104,$AE$104,$AF$104,$AG$104,$AH$104,$AI$104,$AJ$104)</f>
        <v>0.8</v>
      </c>
      <c r="AL104" s="52">
        <f>SUM($U$104,$V$104,$W$104,$X$104,$Y$104,$Z$104,$AA$104,$AB$104)</f>
        <v>4</v>
      </c>
      <c r="AM104" s="49">
        <v>3</v>
      </c>
      <c r="AN104" s="49">
        <v>0</v>
      </c>
      <c r="AO104" s="49">
        <v>0</v>
      </c>
      <c r="AP104" s="49">
        <v>0</v>
      </c>
      <c r="AQ104" s="49">
        <v>0</v>
      </c>
      <c r="AR104" s="49">
        <v>1</v>
      </c>
      <c r="AS104" s="49">
        <v>0</v>
      </c>
      <c r="AT104" s="58">
        <v>0</v>
      </c>
      <c r="AU104" s="57">
        <f>$AM$104*VLOOKUP($AM$11,'PCU Values'!$B$9:$C$16,2,FALSE)</f>
        <v>3</v>
      </c>
      <c r="AV104" s="57">
        <f>$AN$104*VLOOKUP($AN$11,'PCU Values'!$B$9:$C$16,2,FALSE)</f>
        <v>0</v>
      </c>
      <c r="AW104" s="57">
        <f>$AO$104*VLOOKUP($AO$11,'PCU Values'!$B$9:$C$16,2,FALSE)</f>
        <v>0</v>
      </c>
      <c r="AX104" s="57">
        <f>$AP$104*VLOOKUP($AP$11,'PCU Values'!$B$9:$C$16,2,FALSE)</f>
        <v>0</v>
      </c>
      <c r="AY104" s="57">
        <f>$AQ$104*VLOOKUP($AQ$11,'PCU Values'!$B$9:$C$16,2,FALSE)</f>
        <v>0</v>
      </c>
      <c r="AZ104" s="57">
        <f>$AR$104*VLOOKUP($AR$11,'PCU Values'!$B$9:$C$16,2,FALSE)</f>
        <v>0.2</v>
      </c>
      <c r="BA104" s="57">
        <f>$AS$104*VLOOKUP($AS$11,'PCU Values'!$B$9:$C$16,2,FALSE)</f>
        <v>0</v>
      </c>
      <c r="BB104" s="65">
        <f>$AT$104*VLOOKUP($AT$11,'PCU Values'!$B$9:$C$16,2,FALSE)</f>
        <v>0</v>
      </c>
      <c r="BC104" s="66">
        <f>SUM($AU$104,$AV$104,$AW$104,$AX$104,$AY$104,$AZ$104,$BA$104,$BB$104)</f>
        <v>3.2</v>
      </c>
      <c r="BD104" s="52">
        <f>SUM($AM$104,$AN$104,$AO$104,$AP$104,$AQ$104,$AR$104,$AS$104,$AT$104)</f>
        <v>4</v>
      </c>
      <c r="BE104" s="49">
        <v>0</v>
      </c>
      <c r="BF104" s="49">
        <v>0</v>
      </c>
      <c r="BG104" s="49">
        <v>0</v>
      </c>
      <c r="BH104" s="49">
        <v>0</v>
      </c>
      <c r="BI104" s="49">
        <v>0</v>
      </c>
      <c r="BJ104" s="49">
        <v>0</v>
      </c>
      <c r="BK104" s="49">
        <v>0</v>
      </c>
      <c r="BL104" s="58">
        <v>0</v>
      </c>
      <c r="BM104" s="77">
        <f>$BE$104*VLOOKUP($BE$11,'PCU Values'!$B$9:$C$16,2,FALSE)</f>
        <v>0</v>
      </c>
      <c r="BN104" s="77">
        <f>$BF$104*VLOOKUP($BF$11,'PCU Values'!$B$9:$C$16,2,FALSE)</f>
        <v>0</v>
      </c>
      <c r="BO104" s="77">
        <f>$BG$104*VLOOKUP($BG$11,'PCU Values'!$B$9:$C$16,2,FALSE)</f>
        <v>0</v>
      </c>
      <c r="BP104" s="77">
        <f>$BH$104*VLOOKUP($BH$11,'PCU Values'!$B$9:$C$16,2,FALSE)</f>
        <v>0</v>
      </c>
      <c r="BQ104" s="77">
        <f>$BI$104*VLOOKUP($BI$11,'PCU Values'!$B$9:$C$16,2,FALSE)</f>
        <v>0</v>
      </c>
      <c r="BR104" s="77">
        <f>$BJ$104*VLOOKUP($BJ$11,'PCU Values'!$B$9:$C$16,2,FALSE)</f>
        <v>0</v>
      </c>
      <c r="BS104" s="77">
        <f>$BK$104*VLOOKUP($BK$11,'PCU Values'!$B$9:$C$16,2,FALSE)</f>
        <v>0</v>
      </c>
      <c r="BT104" s="78">
        <f>$BL$104*VLOOKUP($BL$11,'PCU Values'!$B$9:$C$16,2,FALSE)</f>
        <v>0</v>
      </c>
      <c r="BU104" s="66">
        <f>SUM($BM$104,$BN$104,$BO$104,$BP$104,$BQ$104,$BR$104,$BS$104,$BT$104)</f>
        <v>0</v>
      </c>
      <c r="BV104" s="52">
        <f>SUM($BE$104,$BF$104,$BG$104,$BH$104,$BI$104,$BJ$104,$BK$104,$BL$104)</f>
        <v>0</v>
      </c>
      <c r="BX104" s="47" t="s">
        <v>105</v>
      </c>
      <c r="BY104" s="83">
        <f>SUM($C$104,$U$104,$AM$104,$BE$104)</f>
        <v>6</v>
      </c>
      <c r="BZ104" s="83">
        <f>SUM($D$104,$V$104,$AN$104,$BF$104)</f>
        <v>1</v>
      </c>
      <c r="CA104" s="83">
        <f>SUM($E$104,$W$104,$AO$104,$BG$104)</f>
        <v>0</v>
      </c>
      <c r="CB104" s="83">
        <f>SUM($F$104,$X$104,$AP$104,$BH$104)</f>
        <v>0</v>
      </c>
      <c r="CC104" s="83">
        <f>SUM($G$104,$Y$104,$AQ$104,$BI$104)</f>
        <v>0</v>
      </c>
      <c r="CD104" s="83">
        <f>SUM($H$104,$Z$104,$AR$104,$BJ$104)</f>
        <v>5</v>
      </c>
      <c r="CE104" s="83">
        <f>SUM($I$104,$AA$104,$AS$104,$BK$104)</f>
        <v>0</v>
      </c>
      <c r="CF104" s="86">
        <f>SUM($J$104,$AB$104,$AT$104,$BL$104)</f>
        <v>0</v>
      </c>
      <c r="CG104" s="77">
        <f>$BY$104*VLOOKUP($BY$11,'PCU Values'!$B$9:$C$16,2,FALSE)</f>
        <v>6</v>
      </c>
      <c r="CH104" s="77">
        <f>$BZ$104*VLOOKUP($BZ$11,'PCU Values'!$B$9:$C$16,2,FALSE)</f>
        <v>1</v>
      </c>
      <c r="CI104" s="77">
        <f>$CA$104*VLOOKUP($CA$11,'PCU Values'!$B$9:$C$16,2,FALSE)</f>
        <v>0</v>
      </c>
      <c r="CJ104" s="77">
        <f>$CB$104*VLOOKUP($CB$11,'PCU Values'!$B$9:$C$16,2,FALSE)</f>
        <v>0</v>
      </c>
      <c r="CK104" s="77">
        <f>$CC$104*VLOOKUP($CC$11,'PCU Values'!$B$9:$C$16,2,FALSE)</f>
        <v>0</v>
      </c>
      <c r="CL104" s="77">
        <f>$CD$104*VLOOKUP($CD$11,'PCU Values'!$B$9:$C$16,2,FALSE)</f>
        <v>1</v>
      </c>
      <c r="CM104" s="77">
        <f>$CE$104*VLOOKUP($CE$11,'PCU Values'!$B$9:$C$16,2,FALSE)</f>
        <v>0</v>
      </c>
      <c r="CN104" s="78">
        <f>$CF$104*VLOOKUP($CF$11,'PCU Values'!$B$9:$C$16,2,FALSE)</f>
        <v>0</v>
      </c>
      <c r="CO104" s="66">
        <f>SUM($CG$104,$CH$104,$CI$104,$CJ$104,$CK$104,$CL$104,$CM$104,$CN$104)</f>
        <v>8</v>
      </c>
      <c r="CP104" s="52">
        <f>SUM($BY$104,$BZ$104,$CA$104,$CB$104,$CC$104,$CD$104,$CE$104,$CF$104)</f>
        <v>12</v>
      </c>
      <c r="CQ104" s="89">
        <f>SUM('J1 A - (North) Bishopthorpe Roa'!$AM$104,'J1 B - Butcher Terrace'!$U$104,'J1 C - (South) Bishopthorpe Roa'!$C$104,'J1 D - South Bank Avenue'!$BE$104)</f>
        <v>13</v>
      </c>
      <c r="CR104" s="83">
        <f>SUM('J1 A - (North) Bishopthorpe Roa'!$AN$104,'J1 B - Butcher Terrace'!$V$104,'J1 C - (South) Bishopthorpe Roa'!$D$104,'J1 D - South Bank Avenue'!$BF$104)</f>
        <v>1</v>
      </c>
      <c r="CS104" s="83">
        <f>SUM('J1 A - (North) Bishopthorpe Roa'!$AO$104,'J1 B - Butcher Terrace'!$W$104,'J1 C - (South) Bishopthorpe Roa'!$E$104,'J1 D - South Bank Avenue'!$BG$104)</f>
        <v>0</v>
      </c>
      <c r="CT104" s="83">
        <f>SUM('J1 A - (North) Bishopthorpe Roa'!$AP$104,'J1 B - Butcher Terrace'!$X$104,'J1 C - (South) Bishopthorpe Roa'!$F$104,'J1 D - South Bank Avenue'!$BH$104)</f>
        <v>0</v>
      </c>
      <c r="CU104" s="83">
        <f>SUM('J1 A - (North) Bishopthorpe Roa'!$AQ$104,'J1 B - Butcher Terrace'!$Y$104,'J1 C - (South) Bishopthorpe Roa'!$G$104,'J1 D - South Bank Avenue'!$BI$104)</f>
        <v>0</v>
      </c>
      <c r="CV104" s="83">
        <f>SUM('J1 A - (North) Bishopthorpe Roa'!$AR$104,'J1 B - Butcher Terrace'!$Z$104,'J1 C - (South) Bishopthorpe Roa'!$H$104,'J1 D - South Bank Avenue'!$BJ$104)</f>
        <v>4</v>
      </c>
      <c r="CW104" s="83">
        <f>SUM('J1 A - (North) Bishopthorpe Roa'!$AS$104,'J1 B - Butcher Terrace'!$AA$104,'J1 C - (South) Bishopthorpe Roa'!$I$104,'J1 D - South Bank Avenue'!$BK$104)</f>
        <v>1</v>
      </c>
      <c r="CX104" s="86">
        <f>SUM('J1 A - (North) Bishopthorpe Roa'!$AT$104,'J1 B - Butcher Terrace'!$AB$104,'J1 C - (South) Bishopthorpe Roa'!$J$104,'J1 D - South Bank Avenue'!$BL$104)</f>
        <v>0</v>
      </c>
      <c r="CY104" s="77">
        <f>$CQ$104*VLOOKUP($CQ$11,'PCU Values'!$B$9:$C$16,2,FALSE)</f>
        <v>13</v>
      </c>
      <c r="CZ104" s="77">
        <f>$CR$104*VLOOKUP($CR$11,'PCU Values'!$B$9:$C$16,2,FALSE)</f>
        <v>1</v>
      </c>
      <c r="DA104" s="77">
        <f>$CS$104*VLOOKUP($CS$11,'PCU Values'!$B$9:$C$16,2,FALSE)</f>
        <v>0</v>
      </c>
      <c r="DB104" s="77">
        <f>$CT$104*VLOOKUP($CT$11,'PCU Values'!$B$9:$C$16,2,FALSE)</f>
        <v>0</v>
      </c>
      <c r="DC104" s="77">
        <f>$CU$104*VLOOKUP($CU$11,'PCU Values'!$B$9:$C$16,2,FALSE)</f>
        <v>0</v>
      </c>
      <c r="DD104" s="77">
        <f>$CV$104*VLOOKUP($CV$11,'PCU Values'!$B$9:$C$16,2,FALSE)</f>
        <v>0.8</v>
      </c>
      <c r="DE104" s="77">
        <f>$CW$104*VLOOKUP($CW$11,'PCU Values'!$B$9:$C$16,2,FALSE)</f>
        <v>0.4</v>
      </c>
      <c r="DF104" s="78">
        <f>$CX$104*VLOOKUP($CX$11,'PCU Values'!$B$9:$C$16,2,FALSE)</f>
        <v>0</v>
      </c>
      <c r="DG104" s="66">
        <f>SUM($CY$104,$CZ$104,$DA$104,$DB$104,$DC$104,$DD$104,$DE$104,$DF$104)</f>
        <v>15.2</v>
      </c>
      <c r="DH104" s="52">
        <f>SUM($CQ$104,$CR$104,$CS$104,$CT$104,$CU$104,$CV$104,$CW$104,$CX$104)</f>
        <v>19</v>
      </c>
    </row>
    <row r="105" spans="1:112" ht="21" customHeight="1">
      <c r="A105" s="46">
        <v>44395.78125</v>
      </c>
      <c r="B105" s="50" t="s">
        <v>106</v>
      </c>
      <c r="C105" s="51">
        <v>5</v>
      </c>
      <c r="D105" s="51">
        <v>0</v>
      </c>
      <c r="E105" s="51">
        <v>0</v>
      </c>
      <c r="F105" s="51">
        <v>0</v>
      </c>
      <c r="G105" s="51">
        <v>0</v>
      </c>
      <c r="H105" s="51">
        <v>1</v>
      </c>
      <c r="I105" s="51">
        <v>0</v>
      </c>
      <c r="J105" s="59">
        <v>0</v>
      </c>
      <c r="K105" s="60">
        <f>$C$105*VLOOKUP($C$11,'PCU Values'!$B$9:$C$16,2,FALSE)</f>
        <v>5</v>
      </c>
      <c r="L105" s="60">
        <f>$D$105*VLOOKUP($D$11,'PCU Values'!$B$9:$C$16,2,FALSE)</f>
        <v>0</v>
      </c>
      <c r="M105" s="60">
        <f>$E$105*VLOOKUP($E$11,'PCU Values'!$B$9:$C$16,2,FALSE)</f>
        <v>0</v>
      </c>
      <c r="N105" s="60">
        <f>$F$105*VLOOKUP($F$11,'PCU Values'!$B$9:$C$16,2,FALSE)</f>
        <v>0</v>
      </c>
      <c r="O105" s="60">
        <f>$G$105*VLOOKUP($G$11,'PCU Values'!$B$9:$C$16,2,FALSE)</f>
        <v>0</v>
      </c>
      <c r="P105" s="60">
        <f>$H$105*VLOOKUP($H$11,'PCU Values'!$B$9:$C$16,2,FALSE)</f>
        <v>0.2</v>
      </c>
      <c r="Q105" s="60">
        <f>$I$105*VLOOKUP($I$11,'PCU Values'!$B$9:$C$16,2,FALSE)</f>
        <v>0</v>
      </c>
      <c r="R105" s="68">
        <f>$J$105*VLOOKUP($J$11,'PCU Values'!$B$9:$C$16,2,FALSE)</f>
        <v>0</v>
      </c>
      <c r="S105" s="63">
        <f>SUM($K$105,$L$105,$M$105,$N$105,$O$105,$P$105,$Q$105,$R$105)</f>
        <v>5.2</v>
      </c>
      <c r="T105" s="52">
        <f>SUM($C$105,$D$105,$E$105,$F$105,$G$105,$H$105,$I$105,$J$105)</f>
        <v>6</v>
      </c>
      <c r="U105" s="73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4</v>
      </c>
      <c r="AA105" s="51">
        <v>0</v>
      </c>
      <c r="AB105" s="59">
        <v>0</v>
      </c>
      <c r="AC105" s="60">
        <f>$U$105*VLOOKUP($U$11,'PCU Values'!$B$9:$C$16,2,FALSE)</f>
        <v>0</v>
      </c>
      <c r="AD105" s="60">
        <f>$V$105*VLOOKUP($V$11,'PCU Values'!$B$9:$C$16,2,FALSE)</f>
        <v>0</v>
      </c>
      <c r="AE105" s="60">
        <f>$W$105*VLOOKUP($W$11,'PCU Values'!$B$9:$C$16,2,FALSE)</f>
        <v>0</v>
      </c>
      <c r="AF105" s="60">
        <f>$X$105*VLOOKUP($X$11,'PCU Values'!$B$9:$C$16,2,FALSE)</f>
        <v>0</v>
      </c>
      <c r="AG105" s="60">
        <f>$Y$105*VLOOKUP($Y$11,'PCU Values'!$B$9:$C$16,2,FALSE)</f>
        <v>0</v>
      </c>
      <c r="AH105" s="60">
        <f>$Z$105*VLOOKUP($Z$11,'PCU Values'!$B$9:$C$16,2,FALSE)</f>
        <v>0.8</v>
      </c>
      <c r="AI105" s="60">
        <f>$AA$105*VLOOKUP($AA$11,'PCU Values'!$B$9:$C$16,2,FALSE)</f>
        <v>0</v>
      </c>
      <c r="AJ105" s="68">
        <f>$AB$105*VLOOKUP($AB$11,'PCU Values'!$B$9:$C$16,2,FALSE)</f>
        <v>0</v>
      </c>
      <c r="AK105" s="63">
        <f>SUM($AC$105,$AD$105,$AE$105,$AF$105,$AG$105,$AH$105,$AI$105,$AJ$105)</f>
        <v>0.8</v>
      </c>
      <c r="AL105" s="52">
        <f>SUM($U$105,$V$105,$W$105,$X$105,$Y$105,$Z$105,$AA$105,$AB$105)</f>
        <v>4</v>
      </c>
      <c r="AM105" s="73">
        <v>0</v>
      </c>
      <c r="AN105" s="51">
        <v>0</v>
      </c>
      <c r="AO105" s="51">
        <v>0</v>
      </c>
      <c r="AP105" s="51">
        <v>0</v>
      </c>
      <c r="AQ105" s="51">
        <v>0</v>
      </c>
      <c r="AR105" s="51">
        <v>0</v>
      </c>
      <c r="AS105" s="51">
        <v>0</v>
      </c>
      <c r="AT105" s="59">
        <v>0</v>
      </c>
      <c r="AU105" s="60">
        <f>$AM$105*VLOOKUP($AM$11,'PCU Values'!$B$9:$C$16,2,FALSE)</f>
        <v>0</v>
      </c>
      <c r="AV105" s="60">
        <f>$AN$105*VLOOKUP($AN$11,'PCU Values'!$B$9:$C$16,2,FALSE)</f>
        <v>0</v>
      </c>
      <c r="AW105" s="60">
        <f>$AO$105*VLOOKUP($AO$11,'PCU Values'!$B$9:$C$16,2,FALSE)</f>
        <v>0</v>
      </c>
      <c r="AX105" s="60">
        <f>$AP$105*VLOOKUP($AP$11,'PCU Values'!$B$9:$C$16,2,FALSE)</f>
        <v>0</v>
      </c>
      <c r="AY105" s="60">
        <f>$AQ$105*VLOOKUP($AQ$11,'PCU Values'!$B$9:$C$16,2,FALSE)</f>
        <v>0</v>
      </c>
      <c r="AZ105" s="60">
        <f>$AR$105*VLOOKUP($AR$11,'PCU Values'!$B$9:$C$16,2,FALSE)</f>
        <v>0</v>
      </c>
      <c r="BA105" s="60">
        <f>$AS$105*VLOOKUP($AS$11,'PCU Values'!$B$9:$C$16,2,FALSE)</f>
        <v>0</v>
      </c>
      <c r="BB105" s="68">
        <f>$AT$105*VLOOKUP($AT$11,'PCU Values'!$B$9:$C$16,2,FALSE)</f>
        <v>0</v>
      </c>
      <c r="BC105" s="63">
        <f>SUM($AU$105,$AV$105,$AW$105,$AX$105,$AY$105,$AZ$105,$BA$105,$BB$105)</f>
        <v>0</v>
      </c>
      <c r="BD105" s="52">
        <f>SUM($AM$105,$AN$105,$AO$105,$AP$105,$AQ$105,$AR$105,$AS$105,$AT$105)</f>
        <v>0</v>
      </c>
      <c r="BE105" s="73">
        <v>0</v>
      </c>
      <c r="BF105" s="51">
        <v>0</v>
      </c>
      <c r="BG105" s="51">
        <v>0</v>
      </c>
      <c r="BH105" s="51">
        <v>0</v>
      </c>
      <c r="BI105" s="51">
        <v>0</v>
      </c>
      <c r="BJ105" s="51">
        <v>0</v>
      </c>
      <c r="BK105" s="51">
        <v>0</v>
      </c>
      <c r="BL105" s="59">
        <v>0</v>
      </c>
      <c r="BM105" s="79">
        <f>$BE$105*VLOOKUP($BE$11,'PCU Values'!$B$9:$C$16,2,FALSE)</f>
        <v>0</v>
      </c>
      <c r="BN105" s="79">
        <f>$BF$105*VLOOKUP($BF$11,'PCU Values'!$B$9:$C$16,2,FALSE)</f>
        <v>0</v>
      </c>
      <c r="BO105" s="79">
        <f>$BG$105*VLOOKUP($BG$11,'PCU Values'!$B$9:$C$16,2,FALSE)</f>
        <v>0</v>
      </c>
      <c r="BP105" s="79">
        <f>$BH$105*VLOOKUP($BH$11,'PCU Values'!$B$9:$C$16,2,FALSE)</f>
        <v>0</v>
      </c>
      <c r="BQ105" s="79">
        <f>$BI$105*VLOOKUP($BI$11,'PCU Values'!$B$9:$C$16,2,FALSE)</f>
        <v>0</v>
      </c>
      <c r="BR105" s="79">
        <f>$BJ$105*VLOOKUP($BJ$11,'PCU Values'!$B$9:$C$16,2,FALSE)</f>
        <v>0</v>
      </c>
      <c r="BS105" s="79">
        <f>$BK$105*VLOOKUP($BK$11,'PCU Values'!$B$9:$C$16,2,FALSE)</f>
        <v>0</v>
      </c>
      <c r="BT105" s="80">
        <f>$BL$105*VLOOKUP($BL$11,'PCU Values'!$B$9:$C$16,2,FALSE)</f>
        <v>0</v>
      </c>
      <c r="BU105" s="63">
        <f>SUM($BM$105,$BN$105,$BO$105,$BP$105,$BQ$105,$BR$105,$BS$105,$BT$105)</f>
        <v>0</v>
      </c>
      <c r="BV105" s="52">
        <f>SUM($BE$105,$BF$105,$BG$105,$BH$105,$BI$105,$BJ$105,$BK$105,$BL$105)</f>
        <v>0</v>
      </c>
      <c r="BX105" s="50" t="s">
        <v>106</v>
      </c>
      <c r="BY105" s="84">
        <f>SUM($C$105,$U$105,$AM$105,$BE$105)</f>
        <v>5</v>
      </c>
      <c r="BZ105" s="84">
        <f>SUM($D$105,$V$105,$AN$105,$BF$105)</f>
        <v>0</v>
      </c>
      <c r="CA105" s="84">
        <f>SUM($E$105,$W$105,$AO$105,$BG$105)</f>
        <v>0</v>
      </c>
      <c r="CB105" s="84">
        <f>SUM($F$105,$X$105,$AP$105,$BH$105)</f>
        <v>0</v>
      </c>
      <c r="CC105" s="84">
        <f>SUM($G$105,$Y$105,$AQ$105,$BI$105)</f>
        <v>0</v>
      </c>
      <c r="CD105" s="84">
        <f>SUM($H$105,$Z$105,$AR$105,$BJ$105)</f>
        <v>5</v>
      </c>
      <c r="CE105" s="84">
        <f>SUM($I$105,$AA$105,$AS$105,$BK$105)</f>
        <v>0</v>
      </c>
      <c r="CF105" s="87">
        <f>SUM($J$105,$AB$105,$AT$105,$BL$105)</f>
        <v>0</v>
      </c>
      <c r="CG105" s="79">
        <f>$BY$105*VLOOKUP($BY$11,'PCU Values'!$B$9:$C$16,2,FALSE)</f>
        <v>5</v>
      </c>
      <c r="CH105" s="79">
        <f>$BZ$105*VLOOKUP($BZ$11,'PCU Values'!$B$9:$C$16,2,FALSE)</f>
        <v>0</v>
      </c>
      <c r="CI105" s="79">
        <f>$CA$105*VLOOKUP($CA$11,'PCU Values'!$B$9:$C$16,2,FALSE)</f>
        <v>0</v>
      </c>
      <c r="CJ105" s="79">
        <f>$CB$105*VLOOKUP($CB$11,'PCU Values'!$B$9:$C$16,2,FALSE)</f>
        <v>0</v>
      </c>
      <c r="CK105" s="79">
        <f>$CC$105*VLOOKUP($CC$11,'PCU Values'!$B$9:$C$16,2,FALSE)</f>
        <v>0</v>
      </c>
      <c r="CL105" s="79">
        <f>$CD$105*VLOOKUP($CD$11,'PCU Values'!$B$9:$C$16,2,FALSE)</f>
        <v>1</v>
      </c>
      <c r="CM105" s="79">
        <f>$CE$105*VLOOKUP($CE$11,'PCU Values'!$B$9:$C$16,2,FALSE)</f>
        <v>0</v>
      </c>
      <c r="CN105" s="80">
        <f>$CF$105*VLOOKUP($CF$11,'PCU Values'!$B$9:$C$16,2,FALSE)</f>
        <v>0</v>
      </c>
      <c r="CO105" s="63">
        <f>SUM($CG$105,$CH$105,$CI$105,$CJ$105,$CK$105,$CL$105,$CM$105,$CN$105)</f>
        <v>6</v>
      </c>
      <c r="CP105" s="52">
        <f>SUM($BY$105,$BZ$105,$CA$105,$CB$105,$CC$105,$CD$105,$CE$105,$CF$105)</f>
        <v>10</v>
      </c>
      <c r="CQ105" s="90">
        <f>SUM('J1 A - (North) Bishopthorpe Roa'!$AM$105,'J1 B - Butcher Terrace'!$U$105,'J1 C - (South) Bishopthorpe Roa'!$C$105,'J1 D - South Bank Avenue'!$BE$105)</f>
        <v>8</v>
      </c>
      <c r="CR105" s="84">
        <f>SUM('J1 A - (North) Bishopthorpe Roa'!$AN$105,'J1 B - Butcher Terrace'!$V$105,'J1 C - (South) Bishopthorpe Roa'!$D$105,'J1 D - South Bank Avenue'!$BF$105)</f>
        <v>0</v>
      </c>
      <c r="CS105" s="84">
        <f>SUM('J1 A - (North) Bishopthorpe Roa'!$AO$105,'J1 B - Butcher Terrace'!$W$105,'J1 C - (South) Bishopthorpe Roa'!$E$105,'J1 D - South Bank Avenue'!$BG$105)</f>
        <v>0</v>
      </c>
      <c r="CT105" s="84">
        <f>SUM('J1 A - (North) Bishopthorpe Roa'!$AP$105,'J1 B - Butcher Terrace'!$X$105,'J1 C - (South) Bishopthorpe Roa'!$F$105,'J1 D - South Bank Avenue'!$BH$105)</f>
        <v>0</v>
      </c>
      <c r="CU105" s="84">
        <f>SUM('J1 A - (North) Bishopthorpe Roa'!$AQ$105,'J1 B - Butcher Terrace'!$Y$105,'J1 C - (South) Bishopthorpe Roa'!$G$105,'J1 D - South Bank Avenue'!$BI$105)</f>
        <v>0</v>
      </c>
      <c r="CV105" s="84">
        <f>SUM('J1 A - (North) Bishopthorpe Roa'!$AR$105,'J1 B - Butcher Terrace'!$Z$105,'J1 C - (South) Bishopthorpe Roa'!$H$105,'J1 D - South Bank Avenue'!$BJ$105)</f>
        <v>5</v>
      </c>
      <c r="CW105" s="84">
        <f>SUM('J1 A - (North) Bishopthorpe Roa'!$AS$105,'J1 B - Butcher Terrace'!$AA$105,'J1 C - (South) Bishopthorpe Roa'!$I$105,'J1 D - South Bank Avenue'!$BK$105)</f>
        <v>1</v>
      </c>
      <c r="CX105" s="87">
        <f>SUM('J1 A - (North) Bishopthorpe Roa'!$AT$105,'J1 B - Butcher Terrace'!$AB$105,'J1 C - (South) Bishopthorpe Roa'!$J$105,'J1 D - South Bank Avenue'!$BL$105)</f>
        <v>0</v>
      </c>
      <c r="CY105" s="79">
        <f>$CQ$105*VLOOKUP($CQ$11,'PCU Values'!$B$9:$C$16,2,FALSE)</f>
        <v>8</v>
      </c>
      <c r="CZ105" s="79">
        <f>$CR$105*VLOOKUP($CR$11,'PCU Values'!$B$9:$C$16,2,FALSE)</f>
        <v>0</v>
      </c>
      <c r="DA105" s="79">
        <f>$CS$105*VLOOKUP($CS$11,'PCU Values'!$B$9:$C$16,2,FALSE)</f>
        <v>0</v>
      </c>
      <c r="DB105" s="79">
        <f>$CT$105*VLOOKUP($CT$11,'PCU Values'!$B$9:$C$16,2,FALSE)</f>
        <v>0</v>
      </c>
      <c r="DC105" s="79">
        <f>$CU$105*VLOOKUP($CU$11,'PCU Values'!$B$9:$C$16,2,FALSE)</f>
        <v>0</v>
      </c>
      <c r="DD105" s="79">
        <f>$CV$105*VLOOKUP($CV$11,'PCU Values'!$B$9:$C$16,2,FALSE)</f>
        <v>1</v>
      </c>
      <c r="DE105" s="79">
        <f>$CW$105*VLOOKUP($CW$11,'PCU Values'!$B$9:$C$16,2,FALSE)</f>
        <v>0.4</v>
      </c>
      <c r="DF105" s="80">
        <f>$CX$105*VLOOKUP($CX$11,'PCU Values'!$B$9:$C$16,2,FALSE)</f>
        <v>0</v>
      </c>
      <c r="DG105" s="63">
        <f>SUM($CY$105,$CZ$105,$DA$105,$DB$105,$DC$105,$DD$105,$DE$105,$DF$105)</f>
        <v>9.4</v>
      </c>
      <c r="DH105" s="52">
        <f>SUM($CQ$105,$CR$105,$CS$105,$CT$105,$CU$105,$CV$105,$CW$105,$CX$105)</f>
        <v>14</v>
      </c>
    </row>
    <row r="106" spans="1:112">
      <c r="B106" s="52" t="s">
        <v>34</v>
      </c>
      <c r="C106" s="52">
        <f>SUM($C$102:$C$105)</f>
        <v>21</v>
      </c>
      <c r="D106" s="52">
        <f>SUM($D$102:$D$105)</f>
        <v>1</v>
      </c>
      <c r="E106" s="52">
        <f>SUM($E$102:$E$105)</f>
        <v>0</v>
      </c>
      <c r="F106" s="52">
        <f>SUM($F$102:$F$105)</f>
        <v>0</v>
      </c>
      <c r="G106" s="52">
        <f>SUM($G$102:$G$105)</f>
        <v>0</v>
      </c>
      <c r="H106" s="52">
        <f>SUM($H$102:$H$105)</f>
        <v>3</v>
      </c>
      <c r="I106" s="52">
        <f>SUM($I$102:$I$105)</f>
        <v>0</v>
      </c>
      <c r="J106" s="52">
        <f>SUM($J$102:$J$105)</f>
        <v>0</v>
      </c>
      <c r="K106" s="52">
        <f>SUM($K$102:$K$105)</f>
        <v>21</v>
      </c>
      <c r="L106" s="52">
        <f>SUM($L$102:$L$105)</f>
        <v>1</v>
      </c>
      <c r="M106" s="52">
        <f>SUM($M$102:$M$105)</f>
        <v>0</v>
      </c>
      <c r="N106" s="52">
        <f>SUM($N$102:$N$105)</f>
        <v>0</v>
      </c>
      <c r="O106" s="52">
        <f>SUM($O$102:$O$105)</f>
        <v>0</v>
      </c>
      <c r="P106" s="52">
        <f>SUM($P$102:$P$105)</f>
        <v>1</v>
      </c>
      <c r="Q106" s="52">
        <f>SUM($Q$102:$Q$105)</f>
        <v>0</v>
      </c>
      <c r="R106" s="52">
        <f>SUM($R$102:$R$105)</f>
        <v>0</v>
      </c>
      <c r="S106" s="52">
        <f>SUM($K$106,$L$106,$M$106,$N$106,$O$106,$P$106,$Q$106,$R$106)</f>
        <v>23</v>
      </c>
      <c r="T106" s="52">
        <f>SUM($C$106,$D$106,$E$106,$F$106,$G$106,$H$106,$I$106,$J$106)</f>
        <v>25</v>
      </c>
      <c r="U106" s="52">
        <f>SUM($U$102:$U$105)</f>
        <v>1</v>
      </c>
      <c r="V106" s="52">
        <f>SUM($V$102:$V$105)</f>
        <v>0</v>
      </c>
      <c r="W106" s="52">
        <f>SUM($W$102:$W$105)</f>
        <v>0</v>
      </c>
      <c r="X106" s="52">
        <f>SUM($X$102:$X$105)</f>
        <v>0</v>
      </c>
      <c r="Y106" s="52">
        <f>SUM($Y$102:$Y$105)</f>
        <v>0</v>
      </c>
      <c r="Z106" s="52">
        <f>SUM($Z$102:$Z$105)</f>
        <v>18</v>
      </c>
      <c r="AA106" s="52">
        <f>SUM($AA$102:$AA$105)</f>
        <v>0</v>
      </c>
      <c r="AB106" s="52">
        <f>SUM($AB$102:$AB$105)</f>
        <v>0</v>
      </c>
      <c r="AC106" s="52">
        <f>SUM($AC$102:$AC$105)</f>
        <v>1</v>
      </c>
      <c r="AD106" s="52">
        <f>SUM($AD$102:$AD$105)</f>
        <v>0</v>
      </c>
      <c r="AE106" s="52">
        <f>SUM($AE$102:$AE$105)</f>
        <v>0</v>
      </c>
      <c r="AF106" s="52">
        <f>SUM($AF$102:$AF$105)</f>
        <v>0</v>
      </c>
      <c r="AG106" s="52">
        <f>SUM($AG$102:$AG$105)</f>
        <v>0</v>
      </c>
      <c r="AH106" s="52">
        <f>SUM($AH$102:$AH$105)</f>
        <v>4</v>
      </c>
      <c r="AI106" s="52">
        <f>SUM($AI$102:$AI$105)</f>
        <v>0</v>
      </c>
      <c r="AJ106" s="52">
        <f>SUM($AJ$102:$AJ$105)</f>
        <v>0</v>
      </c>
      <c r="AK106" s="52">
        <f>SUM($AC$106,$AD$106,$AE$106,$AF$106,$AG$106,$AH$106,$AI$106,$AJ$106)</f>
        <v>5</v>
      </c>
      <c r="AL106" s="52">
        <f>SUM($U$106,$V$106,$W$106,$X$106,$Y$106,$Z$106,$AA$106,$AB$106)</f>
        <v>19</v>
      </c>
      <c r="AM106" s="52">
        <f>SUM($AM$102:$AM$105)</f>
        <v>5</v>
      </c>
      <c r="AN106" s="52">
        <f>SUM($AN$102:$AN$105)</f>
        <v>0</v>
      </c>
      <c r="AO106" s="52">
        <f>SUM($AO$102:$AO$105)</f>
        <v>0</v>
      </c>
      <c r="AP106" s="52">
        <f>SUM($AP$102:$AP$105)</f>
        <v>0</v>
      </c>
      <c r="AQ106" s="52">
        <f>SUM($AQ$102:$AQ$105)</f>
        <v>0</v>
      </c>
      <c r="AR106" s="52">
        <f>SUM($AR$102:$AR$105)</f>
        <v>1</v>
      </c>
      <c r="AS106" s="52">
        <f>SUM($AS$102:$AS$105)</f>
        <v>0</v>
      </c>
      <c r="AT106" s="52">
        <f>SUM($AT$102:$AT$105)</f>
        <v>0</v>
      </c>
      <c r="AU106" s="52">
        <f>SUM($AU$102:$AU$105)</f>
        <v>5</v>
      </c>
      <c r="AV106" s="52">
        <f>SUM($AV$102:$AV$105)</f>
        <v>0</v>
      </c>
      <c r="AW106" s="52">
        <f>SUM($AW$102:$AW$105)</f>
        <v>0</v>
      </c>
      <c r="AX106" s="52">
        <f>SUM($AX$102:$AX$105)</f>
        <v>0</v>
      </c>
      <c r="AY106" s="52">
        <f>SUM($AY$102:$AY$105)</f>
        <v>0</v>
      </c>
      <c r="AZ106" s="52">
        <f>SUM($AZ$102:$AZ$105)</f>
        <v>0</v>
      </c>
      <c r="BA106" s="52">
        <f>SUM($BA$102:$BA$105)</f>
        <v>0</v>
      </c>
      <c r="BB106" s="52">
        <f>SUM($BB$102:$BB$105)</f>
        <v>0</v>
      </c>
      <c r="BC106" s="52">
        <f>SUM($AU$106,$AV$106,$AW$106,$AX$106,$AY$106,$AZ$106,$BA$106,$BB$106)</f>
        <v>5</v>
      </c>
      <c r="BD106" s="52">
        <f>SUM($AM$106,$AN$106,$AO$106,$AP$106,$AQ$106,$AR$106,$AS$106,$AT$106)</f>
        <v>6</v>
      </c>
      <c r="BE106" s="52">
        <f>SUM($BE$102:$BE$105)</f>
        <v>0</v>
      </c>
      <c r="BF106" s="52">
        <f>SUM($BF$102:$BF$105)</f>
        <v>0</v>
      </c>
      <c r="BG106" s="52">
        <f>SUM($BG$102:$BG$105)</f>
        <v>0</v>
      </c>
      <c r="BH106" s="52">
        <f>SUM($BH$102:$BH$105)</f>
        <v>0</v>
      </c>
      <c r="BI106" s="52">
        <f>SUM($BI$102:$BI$105)</f>
        <v>0</v>
      </c>
      <c r="BJ106" s="52">
        <f>SUM($BJ$102:$BJ$105)</f>
        <v>0</v>
      </c>
      <c r="BK106" s="52">
        <f>SUM($BK$102:$BK$105)</f>
        <v>0</v>
      </c>
      <c r="BL106" s="52">
        <f>SUM($BL$102:$BL$105)</f>
        <v>0</v>
      </c>
      <c r="BM106" s="52">
        <f>SUM($BM$102:$BM$105)</f>
        <v>0</v>
      </c>
      <c r="BN106" s="52">
        <f>SUM($BN$102:$BN$105)</f>
        <v>0</v>
      </c>
      <c r="BO106" s="52">
        <f>SUM($BO$102:$BO$105)</f>
        <v>0</v>
      </c>
      <c r="BP106" s="52">
        <f>SUM($BP$102:$BP$105)</f>
        <v>0</v>
      </c>
      <c r="BQ106" s="52">
        <f>SUM($BQ$102:$BQ$105)</f>
        <v>0</v>
      </c>
      <c r="BR106" s="52">
        <f>SUM($BR$102:$BR$105)</f>
        <v>0</v>
      </c>
      <c r="BS106" s="52">
        <f>SUM($BS$102:$BS$105)</f>
        <v>0</v>
      </c>
      <c r="BT106" s="52">
        <f>SUM($BT$102:$BT$105)</f>
        <v>0</v>
      </c>
      <c r="BU106" s="52">
        <f>SUM($BM$106,$BN$106,$BO$106,$BP$106,$BQ$106,$BR$106,$BS$106,$BT$106)</f>
        <v>0</v>
      </c>
      <c r="BV106" s="52">
        <f>SUM($BE$106,$BF$106,$BG$106,$BH$106,$BI$106,$BJ$106,$BK$106,$BL$106)</f>
        <v>0</v>
      </c>
      <c r="BX106" s="52" t="s">
        <v>34</v>
      </c>
      <c r="BY106" s="52">
        <f>SUM($BY$102:$BY$105)</f>
        <v>27</v>
      </c>
      <c r="BZ106" s="52">
        <f>SUM($BZ$102:$BZ$105)</f>
        <v>1</v>
      </c>
      <c r="CA106" s="52">
        <f>SUM($CA$102:$CA$105)</f>
        <v>0</v>
      </c>
      <c r="CB106" s="52">
        <f>SUM($CB$102:$CB$105)</f>
        <v>0</v>
      </c>
      <c r="CC106" s="52">
        <f>SUM($CC$102:$CC$105)</f>
        <v>0</v>
      </c>
      <c r="CD106" s="52">
        <f>SUM($CD$102:$CD$105)</f>
        <v>22</v>
      </c>
      <c r="CE106" s="52">
        <f>SUM($CE$102:$CE$105)</f>
        <v>0</v>
      </c>
      <c r="CF106" s="52">
        <f>SUM($CF$102:$CF$105)</f>
        <v>0</v>
      </c>
      <c r="CG106" s="52">
        <f>SUM($CG$102:$CG$105)</f>
        <v>27</v>
      </c>
      <c r="CH106" s="52">
        <f>SUM($CH$102:$CH$105)</f>
        <v>1</v>
      </c>
      <c r="CI106" s="52">
        <f>SUM($CI$102:$CI$105)</f>
        <v>0</v>
      </c>
      <c r="CJ106" s="52">
        <f>SUM($CJ$102:$CJ$105)</f>
        <v>0</v>
      </c>
      <c r="CK106" s="52">
        <f>SUM($CK$102:$CK$105)</f>
        <v>0</v>
      </c>
      <c r="CL106" s="52">
        <f>SUM($CL$102:$CL$105)</f>
        <v>4</v>
      </c>
      <c r="CM106" s="52">
        <f>SUM($CM$102:$CM$105)</f>
        <v>0</v>
      </c>
      <c r="CN106" s="52">
        <f>SUM($CN$102:$CN$105)</f>
        <v>0</v>
      </c>
      <c r="CO106" s="52">
        <f>SUM($CG$106,$CH$106,$CI$106,$CJ$106,$CK$106,$CL$106,$CM$106,$CN$106)</f>
        <v>32</v>
      </c>
      <c r="CP106" s="52">
        <f>SUM($BY$106,$BZ$106,$CA$106,$CB$106,$CC$106,$CD$106,$CE$106,$CF$106)</f>
        <v>50</v>
      </c>
      <c r="CQ106" s="52">
        <f>SUM($CQ$102:$CQ$105)</f>
        <v>39</v>
      </c>
      <c r="CR106" s="52">
        <f>SUM($CR$102:$CR$105)</f>
        <v>2</v>
      </c>
      <c r="CS106" s="52">
        <f>SUM($CS$102:$CS$105)</f>
        <v>0</v>
      </c>
      <c r="CT106" s="52">
        <f>SUM($CT$102:$CT$105)</f>
        <v>0</v>
      </c>
      <c r="CU106" s="52">
        <f>SUM($CU$102:$CU$105)</f>
        <v>0</v>
      </c>
      <c r="CV106" s="52">
        <f>SUM($CV$102:$CV$105)</f>
        <v>26</v>
      </c>
      <c r="CW106" s="52">
        <f>SUM($CW$102:$CW$105)</f>
        <v>2</v>
      </c>
      <c r="CX106" s="52">
        <f>SUM($CX$102:$CX$105)</f>
        <v>0</v>
      </c>
      <c r="CY106" s="52">
        <f>SUM($CY$102:$CY$105)</f>
        <v>39</v>
      </c>
      <c r="CZ106" s="52">
        <f>SUM($CZ$102:$CZ$105)</f>
        <v>2</v>
      </c>
      <c r="DA106" s="52">
        <f>SUM($DA$102:$DA$105)</f>
        <v>0</v>
      </c>
      <c r="DB106" s="52">
        <f>SUM($DB$102:$DB$105)</f>
        <v>0</v>
      </c>
      <c r="DC106" s="52">
        <f>SUM($DC$102:$DC$105)</f>
        <v>0</v>
      </c>
      <c r="DD106" s="52">
        <f>SUM($DD$102:$DD$105)</f>
        <v>5</v>
      </c>
      <c r="DE106" s="52">
        <f>SUM($DE$102:$DE$105)</f>
        <v>1</v>
      </c>
      <c r="DF106" s="52">
        <f>SUM($DF$102:$DF$105)</f>
        <v>0</v>
      </c>
      <c r="DG106" s="52">
        <f>SUM($CY$106,$CZ$106,$DA$106,$DB$106,$DC$106,$DD$106,$DE$106,$DF$106)</f>
        <v>47</v>
      </c>
      <c r="DH106" s="52">
        <f>SUM($CQ$106,$CR$106,$CS$106,$CT$106,$CU$106,$CV$106,$CW$106,$CX$106)</f>
        <v>69</v>
      </c>
    </row>
    <row r="107" spans="1:112" ht="21" customHeight="1">
      <c r="A107" s="46">
        <v>44395.791666666701</v>
      </c>
      <c r="B107" s="53" t="s">
        <v>107</v>
      </c>
      <c r="C107" s="54">
        <v>3</v>
      </c>
      <c r="D107" s="54">
        <v>0</v>
      </c>
      <c r="E107" s="54">
        <v>0</v>
      </c>
      <c r="F107" s="54">
        <v>0</v>
      </c>
      <c r="G107" s="54">
        <v>0</v>
      </c>
      <c r="H107" s="54">
        <v>2</v>
      </c>
      <c r="I107" s="54">
        <v>0</v>
      </c>
      <c r="J107" s="61">
        <v>0</v>
      </c>
      <c r="K107" s="62">
        <f>$C$107*VLOOKUP($C$11,'PCU Values'!$B$9:$C$16,2,FALSE)</f>
        <v>3</v>
      </c>
      <c r="L107" s="62">
        <f>$D$107*VLOOKUP($D$11,'PCU Values'!$B$9:$C$16,2,FALSE)</f>
        <v>0</v>
      </c>
      <c r="M107" s="62">
        <f>$E$107*VLOOKUP($E$11,'PCU Values'!$B$9:$C$16,2,FALSE)</f>
        <v>0</v>
      </c>
      <c r="N107" s="62">
        <f>$F$107*VLOOKUP($F$11,'PCU Values'!$B$9:$C$16,2,FALSE)</f>
        <v>0</v>
      </c>
      <c r="O107" s="62">
        <f>$G$107*VLOOKUP($G$11,'PCU Values'!$B$9:$C$16,2,FALSE)</f>
        <v>0</v>
      </c>
      <c r="P107" s="62">
        <f>$H$107*VLOOKUP($H$11,'PCU Values'!$B$9:$C$16,2,FALSE)</f>
        <v>0.4</v>
      </c>
      <c r="Q107" s="62">
        <f>$I$107*VLOOKUP($I$11,'PCU Values'!$B$9:$C$16,2,FALSE)</f>
        <v>0</v>
      </c>
      <c r="R107" s="70">
        <f>$J$107*VLOOKUP($J$11,'PCU Values'!$B$9:$C$16,2,FALSE)</f>
        <v>0</v>
      </c>
      <c r="S107" s="71">
        <f>SUM($K$107,$L$107,$M$107,$N$107,$O$107,$P$107,$Q$107,$R$107)</f>
        <v>3.4</v>
      </c>
      <c r="T107" s="52">
        <f>SUM($C$107,$D$107,$E$107,$F$107,$G$107,$H$107,$I$107,$J$107)</f>
        <v>5</v>
      </c>
      <c r="U107" s="72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3</v>
      </c>
      <c r="AA107" s="54">
        <v>0</v>
      </c>
      <c r="AB107" s="61">
        <v>0</v>
      </c>
      <c r="AC107" s="62">
        <f>$U$107*VLOOKUP($U$11,'PCU Values'!$B$9:$C$16,2,FALSE)</f>
        <v>0</v>
      </c>
      <c r="AD107" s="62">
        <f>$V$107*VLOOKUP($V$11,'PCU Values'!$B$9:$C$16,2,FALSE)</f>
        <v>0</v>
      </c>
      <c r="AE107" s="62">
        <f>$W$107*VLOOKUP($W$11,'PCU Values'!$B$9:$C$16,2,FALSE)</f>
        <v>0</v>
      </c>
      <c r="AF107" s="62">
        <f>$X$107*VLOOKUP($X$11,'PCU Values'!$B$9:$C$16,2,FALSE)</f>
        <v>0</v>
      </c>
      <c r="AG107" s="62">
        <f>$Y$107*VLOOKUP($Y$11,'PCU Values'!$B$9:$C$16,2,FALSE)</f>
        <v>0</v>
      </c>
      <c r="AH107" s="62">
        <f>$Z$107*VLOOKUP($Z$11,'PCU Values'!$B$9:$C$16,2,FALSE)</f>
        <v>0.6</v>
      </c>
      <c r="AI107" s="62">
        <f>$AA$107*VLOOKUP($AA$11,'PCU Values'!$B$9:$C$16,2,FALSE)</f>
        <v>0</v>
      </c>
      <c r="AJ107" s="70">
        <f>$AB$107*VLOOKUP($AB$11,'PCU Values'!$B$9:$C$16,2,FALSE)</f>
        <v>0</v>
      </c>
      <c r="AK107" s="71">
        <f>SUM($AC$107,$AD$107,$AE$107,$AF$107,$AG$107,$AH$107,$AI$107,$AJ$107)</f>
        <v>0.6</v>
      </c>
      <c r="AL107" s="52">
        <f>SUM($U$107,$V$107,$W$107,$X$107,$Y$107,$Z$107,$AA$107,$AB$107)</f>
        <v>3</v>
      </c>
      <c r="AM107" s="72">
        <v>2</v>
      </c>
      <c r="AN107" s="54">
        <v>0</v>
      </c>
      <c r="AO107" s="54">
        <v>0</v>
      </c>
      <c r="AP107" s="54">
        <v>0</v>
      </c>
      <c r="AQ107" s="54">
        <v>0</v>
      </c>
      <c r="AR107" s="54">
        <v>0</v>
      </c>
      <c r="AS107" s="54">
        <v>0</v>
      </c>
      <c r="AT107" s="61">
        <v>0</v>
      </c>
      <c r="AU107" s="62">
        <f>$AM$107*VLOOKUP($AM$11,'PCU Values'!$B$9:$C$16,2,FALSE)</f>
        <v>2</v>
      </c>
      <c r="AV107" s="62">
        <f>$AN$107*VLOOKUP($AN$11,'PCU Values'!$B$9:$C$16,2,FALSE)</f>
        <v>0</v>
      </c>
      <c r="AW107" s="62">
        <f>$AO$107*VLOOKUP($AO$11,'PCU Values'!$B$9:$C$16,2,FALSE)</f>
        <v>0</v>
      </c>
      <c r="AX107" s="62">
        <f>$AP$107*VLOOKUP($AP$11,'PCU Values'!$B$9:$C$16,2,FALSE)</f>
        <v>0</v>
      </c>
      <c r="AY107" s="62">
        <f>$AQ$107*VLOOKUP($AQ$11,'PCU Values'!$B$9:$C$16,2,FALSE)</f>
        <v>0</v>
      </c>
      <c r="AZ107" s="62">
        <f>$AR$107*VLOOKUP($AR$11,'PCU Values'!$B$9:$C$16,2,FALSE)</f>
        <v>0</v>
      </c>
      <c r="BA107" s="62">
        <f>$AS$107*VLOOKUP($AS$11,'PCU Values'!$B$9:$C$16,2,FALSE)</f>
        <v>0</v>
      </c>
      <c r="BB107" s="70">
        <f>$AT$107*VLOOKUP($AT$11,'PCU Values'!$B$9:$C$16,2,FALSE)</f>
        <v>0</v>
      </c>
      <c r="BC107" s="71">
        <f>SUM($AU$107,$AV$107,$AW$107,$AX$107,$AY$107,$AZ$107,$BA$107,$BB$107)</f>
        <v>2</v>
      </c>
      <c r="BD107" s="52">
        <f>SUM($AM$107,$AN$107,$AO$107,$AP$107,$AQ$107,$AR$107,$AS$107,$AT$107)</f>
        <v>2</v>
      </c>
      <c r="BE107" s="72">
        <v>0</v>
      </c>
      <c r="BF107" s="54">
        <v>0</v>
      </c>
      <c r="BG107" s="54">
        <v>0</v>
      </c>
      <c r="BH107" s="54">
        <v>0</v>
      </c>
      <c r="BI107" s="54">
        <v>0</v>
      </c>
      <c r="BJ107" s="54">
        <v>0</v>
      </c>
      <c r="BK107" s="54">
        <v>0</v>
      </c>
      <c r="BL107" s="61">
        <v>0</v>
      </c>
      <c r="BM107" s="81">
        <f>$BE$107*VLOOKUP($BE$11,'PCU Values'!$B$9:$C$16,2,FALSE)</f>
        <v>0</v>
      </c>
      <c r="BN107" s="81">
        <f>$BF$107*VLOOKUP($BF$11,'PCU Values'!$B$9:$C$16,2,FALSE)</f>
        <v>0</v>
      </c>
      <c r="BO107" s="81">
        <f>$BG$107*VLOOKUP($BG$11,'PCU Values'!$B$9:$C$16,2,FALSE)</f>
        <v>0</v>
      </c>
      <c r="BP107" s="81">
        <f>$BH$107*VLOOKUP($BH$11,'PCU Values'!$B$9:$C$16,2,FALSE)</f>
        <v>0</v>
      </c>
      <c r="BQ107" s="81">
        <f>$BI$107*VLOOKUP($BI$11,'PCU Values'!$B$9:$C$16,2,FALSE)</f>
        <v>0</v>
      </c>
      <c r="BR107" s="81">
        <f>$BJ$107*VLOOKUP($BJ$11,'PCU Values'!$B$9:$C$16,2,FALSE)</f>
        <v>0</v>
      </c>
      <c r="BS107" s="81">
        <f>$BK$107*VLOOKUP($BK$11,'PCU Values'!$B$9:$C$16,2,FALSE)</f>
        <v>0</v>
      </c>
      <c r="BT107" s="82">
        <f>$BL$107*VLOOKUP($BL$11,'PCU Values'!$B$9:$C$16,2,FALSE)</f>
        <v>0</v>
      </c>
      <c r="BU107" s="71">
        <f>SUM($BM$107,$BN$107,$BO$107,$BP$107,$BQ$107,$BR$107,$BS$107,$BT$107)</f>
        <v>0</v>
      </c>
      <c r="BV107" s="52">
        <f>SUM($BE$107,$BF$107,$BG$107,$BH$107,$BI$107,$BJ$107,$BK$107,$BL$107)</f>
        <v>0</v>
      </c>
      <c r="BX107" s="53" t="s">
        <v>107</v>
      </c>
      <c r="BY107" s="85">
        <f>SUM($C$107,$U$107,$AM$107,$BE$107)</f>
        <v>5</v>
      </c>
      <c r="BZ107" s="85">
        <f>SUM($D$107,$V$107,$AN$107,$BF$107)</f>
        <v>0</v>
      </c>
      <c r="CA107" s="85">
        <f>SUM($E$107,$W$107,$AO$107,$BG$107)</f>
        <v>0</v>
      </c>
      <c r="CB107" s="85">
        <f>SUM($F$107,$X$107,$AP$107,$BH$107)</f>
        <v>0</v>
      </c>
      <c r="CC107" s="85">
        <f>SUM($G$107,$Y$107,$AQ$107,$BI$107)</f>
        <v>0</v>
      </c>
      <c r="CD107" s="85">
        <f>SUM($H$107,$Z$107,$AR$107,$BJ$107)</f>
        <v>5</v>
      </c>
      <c r="CE107" s="85">
        <f>SUM($I$107,$AA$107,$AS$107,$BK$107)</f>
        <v>0</v>
      </c>
      <c r="CF107" s="88">
        <f>SUM($J$107,$AB$107,$AT$107,$BL$107)</f>
        <v>0</v>
      </c>
      <c r="CG107" s="81">
        <f>$BY$107*VLOOKUP($BY$11,'PCU Values'!$B$9:$C$16,2,FALSE)</f>
        <v>5</v>
      </c>
      <c r="CH107" s="81">
        <f>$BZ$107*VLOOKUP($BZ$11,'PCU Values'!$B$9:$C$16,2,FALSE)</f>
        <v>0</v>
      </c>
      <c r="CI107" s="81">
        <f>$CA$107*VLOOKUP($CA$11,'PCU Values'!$B$9:$C$16,2,FALSE)</f>
        <v>0</v>
      </c>
      <c r="CJ107" s="81">
        <f>$CB$107*VLOOKUP($CB$11,'PCU Values'!$B$9:$C$16,2,FALSE)</f>
        <v>0</v>
      </c>
      <c r="CK107" s="81">
        <f>$CC$107*VLOOKUP($CC$11,'PCU Values'!$B$9:$C$16,2,FALSE)</f>
        <v>0</v>
      </c>
      <c r="CL107" s="81">
        <f>$CD$107*VLOOKUP($CD$11,'PCU Values'!$B$9:$C$16,2,FALSE)</f>
        <v>1</v>
      </c>
      <c r="CM107" s="81">
        <f>$CE$107*VLOOKUP($CE$11,'PCU Values'!$B$9:$C$16,2,FALSE)</f>
        <v>0</v>
      </c>
      <c r="CN107" s="82">
        <f>$CF$107*VLOOKUP($CF$11,'PCU Values'!$B$9:$C$16,2,FALSE)</f>
        <v>0</v>
      </c>
      <c r="CO107" s="71">
        <f>SUM($CG$107,$CH$107,$CI$107,$CJ$107,$CK$107,$CL$107,$CM$107,$CN$107)</f>
        <v>6</v>
      </c>
      <c r="CP107" s="52">
        <f>SUM($BY$107,$BZ$107,$CA$107,$CB$107,$CC$107,$CD$107,$CE$107,$CF$107)</f>
        <v>10</v>
      </c>
      <c r="CQ107" s="91">
        <f>SUM('J1 A - (North) Bishopthorpe Roa'!$AM$107,'J1 B - Butcher Terrace'!$U$107,'J1 C - (South) Bishopthorpe Roa'!$C$107,'J1 D - South Bank Avenue'!$BE$107)</f>
        <v>6</v>
      </c>
      <c r="CR107" s="85">
        <f>SUM('J1 A - (North) Bishopthorpe Roa'!$AN$107,'J1 B - Butcher Terrace'!$V$107,'J1 C - (South) Bishopthorpe Roa'!$D$107,'J1 D - South Bank Avenue'!$BF$107)</f>
        <v>0</v>
      </c>
      <c r="CS107" s="85">
        <f>SUM('J1 A - (North) Bishopthorpe Roa'!$AO$107,'J1 B - Butcher Terrace'!$W$107,'J1 C - (South) Bishopthorpe Roa'!$E$107,'J1 D - South Bank Avenue'!$BG$107)</f>
        <v>0</v>
      </c>
      <c r="CT107" s="85">
        <f>SUM('J1 A - (North) Bishopthorpe Roa'!$AP$107,'J1 B - Butcher Terrace'!$X$107,'J1 C - (South) Bishopthorpe Roa'!$F$107,'J1 D - South Bank Avenue'!$BH$107)</f>
        <v>0</v>
      </c>
      <c r="CU107" s="85">
        <f>SUM('J1 A - (North) Bishopthorpe Roa'!$AQ$107,'J1 B - Butcher Terrace'!$Y$107,'J1 C - (South) Bishopthorpe Roa'!$G$107,'J1 D - South Bank Avenue'!$BI$107)</f>
        <v>0</v>
      </c>
      <c r="CV107" s="85">
        <f>SUM('J1 A - (North) Bishopthorpe Roa'!$AR$107,'J1 B - Butcher Terrace'!$Z$107,'J1 C - (South) Bishopthorpe Roa'!$H$107,'J1 D - South Bank Avenue'!$BJ$107)</f>
        <v>3</v>
      </c>
      <c r="CW107" s="85">
        <f>SUM('J1 A - (North) Bishopthorpe Roa'!$AS$107,'J1 B - Butcher Terrace'!$AA$107,'J1 C - (South) Bishopthorpe Roa'!$I$107,'J1 D - South Bank Avenue'!$BK$107)</f>
        <v>0</v>
      </c>
      <c r="CX107" s="88">
        <f>SUM('J1 A - (North) Bishopthorpe Roa'!$AT$107,'J1 B - Butcher Terrace'!$AB$107,'J1 C - (South) Bishopthorpe Roa'!$J$107,'J1 D - South Bank Avenue'!$BL$107)</f>
        <v>0</v>
      </c>
      <c r="CY107" s="81">
        <f>$CQ$107*VLOOKUP($CQ$11,'PCU Values'!$B$9:$C$16,2,FALSE)</f>
        <v>6</v>
      </c>
      <c r="CZ107" s="81">
        <f>$CR$107*VLOOKUP($CR$11,'PCU Values'!$B$9:$C$16,2,FALSE)</f>
        <v>0</v>
      </c>
      <c r="DA107" s="81">
        <f>$CS$107*VLOOKUP($CS$11,'PCU Values'!$B$9:$C$16,2,FALSE)</f>
        <v>0</v>
      </c>
      <c r="DB107" s="81">
        <f>$CT$107*VLOOKUP($CT$11,'PCU Values'!$B$9:$C$16,2,FALSE)</f>
        <v>0</v>
      </c>
      <c r="DC107" s="81">
        <f>$CU$107*VLOOKUP($CU$11,'PCU Values'!$B$9:$C$16,2,FALSE)</f>
        <v>0</v>
      </c>
      <c r="DD107" s="81">
        <f>$CV$107*VLOOKUP($CV$11,'PCU Values'!$B$9:$C$16,2,FALSE)</f>
        <v>0.6</v>
      </c>
      <c r="DE107" s="81">
        <f>$CW$107*VLOOKUP($CW$11,'PCU Values'!$B$9:$C$16,2,FALSE)</f>
        <v>0</v>
      </c>
      <c r="DF107" s="82">
        <f>$CX$107*VLOOKUP($CX$11,'PCU Values'!$B$9:$C$16,2,FALSE)</f>
        <v>0</v>
      </c>
      <c r="DG107" s="71">
        <f>SUM($CY$107,$CZ$107,$DA$107,$DB$107,$DC$107,$DD$107,$DE$107,$DF$107)</f>
        <v>6.6</v>
      </c>
      <c r="DH107" s="52">
        <f>SUM($CQ$107,$CR$107,$CS$107,$CT$107,$CU$107,$CV$107,$CW$107,$CX$107)</f>
        <v>9</v>
      </c>
    </row>
    <row r="108" spans="1:112" ht="21" customHeight="1">
      <c r="A108" s="46">
        <v>44395.802083333299</v>
      </c>
      <c r="B108" s="47" t="s">
        <v>108</v>
      </c>
      <c r="C108" s="48">
        <v>6</v>
      </c>
      <c r="D108" s="48">
        <v>1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56">
        <v>0</v>
      </c>
      <c r="K108" s="57">
        <f>$C$108*VLOOKUP($C$11,'PCU Values'!$B$9:$C$16,2,FALSE)</f>
        <v>6</v>
      </c>
      <c r="L108" s="57">
        <f>$D$108*VLOOKUP($D$11,'PCU Values'!$B$9:$C$16,2,FALSE)</f>
        <v>1</v>
      </c>
      <c r="M108" s="57">
        <f>$E$108*VLOOKUP($E$11,'PCU Values'!$B$9:$C$16,2,FALSE)</f>
        <v>0</v>
      </c>
      <c r="N108" s="57">
        <f>$F$108*VLOOKUP($F$11,'PCU Values'!$B$9:$C$16,2,FALSE)</f>
        <v>0</v>
      </c>
      <c r="O108" s="57">
        <f>$G$108*VLOOKUP($G$11,'PCU Values'!$B$9:$C$16,2,FALSE)</f>
        <v>0</v>
      </c>
      <c r="P108" s="57">
        <f>$H$108*VLOOKUP($H$11,'PCU Values'!$B$9:$C$16,2,FALSE)</f>
        <v>0</v>
      </c>
      <c r="Q108" s="57">
        <f>$I$108*VLOOKUP($I$11,'PCU Values'!$B$9:$C$16,2,FALSE)</f>
        <v>0</v>
      </c>
      <c r="R108" s="65">
        <f>$J$108*VLOOKUP($J$11,'PCU Values'!$B$9:$C$16,2,FALSE)</f>
        <v>0</v>
      </c>
      <c r="S108" s="66">
        <f>SUM($K$108,$L$108,$M$108,$N$108,$O$108,$P$108,$Q$108,$R$108)</f>
        <v>7</v>
      </c>
      <c r="T108" s="52">
        <f>SUM($C$108,$D$108,$E$108,$F$108,$G$108,$H$108,$I$108,$J$108)</f>
        <v>7</v>
      </c>
      <c r="U108" s="67">
        <v>1</v>
      </c>
      <c r="V108" s="48">
        <v>0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56">
        <v>0</v>
      </c>
      <c r="AC108" s="57">
        <f>$U$108*VLOOKUP($U$11,'PCU Values'!$B$9:$C$16,2,FALSE)</f>
        <v>1</v>
      </c>
      <c r="AD108" s="57">
        <f>$V$108*VLOOKUP($V$11,'PCU Values'!$B$9:$C$16,2,FALSE)</f>
        <v>0</v>
      </c>
      <c r="AE108" s="57">
        <f>$W$108*VLOOKUP($W$11,'PCU Values'!$B$9:$C$16,2,FALSE)</f>
        <v>0</v>
      </c>
      <c r="AF108" s="57">
        <f>$X$108*VLOOKUP($X$11,'PCU Values'!$B$9:$C$16,2,FALSE)</f>
        <v>0</v>
      </c>
      <c r="AG108" s="57">
        <f>$Y$108*VLOOKUP($Y$11,'PCU Values'!$B$9:$C$16,2,FALSE)</f>
        <v>0</v>
      </c>
      <c r="AH108" s="57">
        <f>$Z$108*VLOOKUP($Z$11,'PCU Values'!$B$9:$C$16,2,FALSE)</f>
        <v>0</v>
      </c>
      <c r="AI108" s="57">
        <f>$AA$108*VLOOKUP($AA$11,'PCU Values'!$B$9:$C$16,2,FALSE)</f>
        <v>0</v>
      </c>
      <c r="AJ108" s="65">
        <f>$AB$108*VLOOKUP($AB$11,'PCU Values'!$B$9:$C$16,2,FALSE)</f>
        <v>0</v>
      </c>
      <c r="AK108" s="66">
        <f>SUM($AC$108,$AD$108,$AE$108,$AF$108,$AG$108,$AH$108,$AI$108,$AJ$108)</f>
        <v>1</v>
      </c>
      <c r="AL108" s="52">
        <f>SUM($U$108,$V$108,$W$108,$X$108,$Y$108,$Z$108,$AA$108,$AB$108)</f>
        <v>1</v>
      </c>
      <c r="AM108" s="67">
        <v>0</v>
      </c>
      <c r="AN108" s="48">
        <v>0</v>
      </c>
      <c r="AO108" s="48">
        <v>0</v>
      </c>
      <c r="AP108" s="48">
        <v>0</v>
      </c>
      <c r="AQ108" s="48">
        <v>0</v>
      </c>
      <c r="AR108" s="48">
        <v>0</v>
      </c>
      <c r="AS108" s="48">
        <v>0</v>
      </c>
      <c r="AT108" s="56">
        <v>0</v>
      </c>
      <c r="AU108" s="57">
        <f>$AM$108*VLOOKUP($AM$11,'PCU Values'!$B$9:$C$16,2,FALSE)</f>
        <v>0</v>
      </c>
      <c r="AV108" s="57">
        <f>$AN$108*VLOOKUP($AN$11,'PCU Values'!$B$9:$C$16,2,FALSE)</f>
        <v>0</v>
      </c>
      <c r="AW108" s="57">
        <f>$AO$108*VLOOKUP($AO$11,'PCU Values'!$B$9:$C$16,2,FALSE)</f>
        <v>0</v>
      </c>
      <c r="AX108" s="57">
        <f>$AP$108*VLOOKUP($AP$11,'PCU Values'!$B$9:$C$16,2,FALSE)</f>
        <v>0</v>
      </c>
      <c r="AY108" s="57">
        <f>$AQ$108*VLOOKUP($AQ$11,'PCU Values'!$B$9:$C$16,2,FALSE)</f>
        <v>0</v>
      </c>
      <c r="AZ108" s="57">
        <f>$AR$108*VLOOKUP($AR$11,'PCU Values'!$B$9:$C$16,2,FALSE)</f>
        <v>0</v>
      </c>
      <c r="BA108" s="57">
        <f>$AS$108*VLOOKUP($AS$11,'PCU Values'!$B$9:$C$16,2,FALSE)</f>
        <v>0</v>
      </c>
      <c r="BB108" s="65">
        <f>$AT$108*VLOOKUP($AT$11,'PCU Values'!$B$9:$C$16,2,FALSE)</f>
        <v>0</v>
      </c>
      <c r="BC108" s="66">
        <f>SUM($AU$108,$AV$108,$AW$108,$AX$108,$AY$108,$AZ$108,$BA$108,$BB$108)</f>
        <v>0</v>
      </c>
      <c r="BD108" s="52">
        <f>SUM($AM$108,$AN$108,$AO$108,$AP$108,$AQ$108,$AR$108,$AS$108,$AT$108)</f>
        <v>0</v>
      </c>
      <c r="BE108" s="67">
        <v>0</v>
      </c>
      <c r="BF108" s="48">
        <v>0</v>
      </c>
      <c r="BG108" s="48">
        <v>0</v>
      </c>
      <c r="BH108" s="48">
        <v>0</v>
      </c>
      <c r="BI108" s="48">
        <v>0</v>
      </c>
      <c r="BJ108" s="48">
        <v>0</v>
      </c>
      <c r="BK108" s="48">
        <v>0</v>
      </c>
      <c r="BL108" s="56">
        <v>0</v>
      </c>
      <c r="BM108" s="77">
        <f>$BE$108*VLOOKUP($BE$11,'PCU Values'!$B$9:$C$16,2,FALSE)</f>
        <v>0</v>
      </c>
      <c r="BN108" s="77">
        <f>$BF$108*VLOOKUP($BF$11,'PCU Values'!$B$9:$C$16,2,FALSE)</f>
        <v>0</v>
      </c>
      <c r="BO108" s="77">
        <f>$BG$108*VLOOKUP($BG$11,'PCU Values'!$B$9:$C$16,2,FALSE)</f>
        <v>0</v>
      </c>
      <c r="BP108" s="77">
        <f>$BH$108*VLOOKUP($BH$11,'PCU Values'!$B$9:$C$16,2,FALSE)</f>
        <v>0</v>
      </c>
      <c r="BQ108" s="77">
        <f>$BI$108*VLOOKUP($BI$11,'PCU Values'!$B$9:$C$16,2,FALSE)</f>
        <v>0</v>
      </c>
      <c r="BR108" s="77">
        <f>$BJ$108*VLOOKUP($BJ$11,'PCU Values'!$B$9:$C$16,2,FALSE)</f>
        <v>0</v>
      </c>
      <c r="BS108" s="77">
        <f>$BK$108*VLOOKUP($BK$11,'PCU Values'!$B$9:$C$16,2,FALSE)</f>
        <v>0</v>
      </c>
      <c r="BT108" s="78">
        <f>$BL$108*VLOOKUP($BL$11,'PCU Values'!$B$9:$C$16,2,FALSE)</f>
        <v>0</v>
      </c>
      <c r="BU108" s="66">
        <f>SUM($BM$108,$BN$108,$BO$108,$BP$108,$BQ$108,$BR$108,$BS$108,$BT$108)</f>
        <v>0</v>
      </c>
      <c r="BV108" s="52">
        <f>SUM($BE$108,$BF$108,$BG$108,$BH$108,$BI$108,$BJ$108,$BK$108,$BL$108)</f>
        <v>0</v>
      </c>
      <c r="BX108" s="47" t="s">
        <v>108</v>
      </c>
      <c r="BY108" s="83">
        <f>SUM($C$108,$U$108,$AM$108,$BE$108)</f>
        <v>7</v>
      </c>
      <c r="BZ108" s="83">
        <f>SUM($D$108,$V$108,$AN$108,$BF$108)</f>
        <v>1</v>
      </c>
      <c r="CA108" s="83">
        <f>SUM($E$108,$W$108,$AO$108,$BG$108)</f>
        <v>0</v>
      </c>
      <c r="CB108" s="83">
        <f>SUM($F$108,$X$108,$AP$108,$BH$108)</f>
        <v>0</v>
      </c>
      <c r="CC108" s="83">
        <f>SUM($G$108,$Y$108,$AQ$108,$BI$108)</f>
        <v>0</v>
      </c>
      <c r="CD108" s="83">
        <f>SUM($H$108,$Z$108,$AR$108,$BJ$108)</f>
        <v>0</v>
      </c>
      <c r="CE108" s="83">
        <f>SUM($I$108,$AA$108,$AS$108,$BK$108)</f>
        <v>0</v>
      </c>
      <c r="CF108" s="86">
        <f>SUM($J$108,$AB$108,$AT$108,$BL$108)</f>
        <v>0</v>
      </c>
      <c r="CG108" s="77">
        <f>$BY$108*VLOOKUP($BY$11,'PCU Values'!$B$9:$C$16,2,FALSE)</f>
        <v>7</v>
      </c>
      <c r="CH108" s="77">
        <f>$BZ$108*VLOOKUP($BZ$11,'PCU Values'!$B$9:$C$16,2,FALSE)</f>
        <v>1</v>
      </c>
      <c r="CI108" s="77">
        <f>$CA$108*VLOOKUP($CA$11,'PCU Values'!$B$9:$C$16,2,FALSE)</f>
        <v>0</v>
      </c>
      <c r="CJ108" s="77">
        <f>$CB$108*VLOOKUP($CB$11,'PCU Values'!$B$9:$C$16,2,FALSE)</f>
        <v>0</v>
      </c>
      <c r="CK108" s="77">
        <f>$CC$108*VLOOKUP($CC$11,'PCU Values'!$B$9:$C$16,2,FALSE)</f>
        <v>0</v>
      </c>
      <c r="CL108" s="77">
        <f>$CD$108*VLOOKUP($CD$11,'PCU Values'!$B$9:$C$16,2,FALSE)</f>
        <v>0</v>
      </c>
      <c r="CM108" s="77">
        <f>$CE$108*VLOOKUP($CE$11,'PCU Values'!$B$9:$C$16,2,FALSE)</f>
        <v>0</v>
      </c>
      <c r="CN108" s="78">
        <f>$CF$108*VLOOKUP($CF$11,'PCU Values'!$B$9:$C$16,2,FALSE)</f>
        <v>0</v>
      </c>
      <c r="CO108" s="66">
        <f>SUM($CG$108,$CH$108,$CI$108,$CJ$108,$CK$108,$CL$108,$CM$108,$CN$108)</f>
        <v>8</v>
      </c>
      <c r="CP108" s="52">
        <f>SUM($BY$108,$BZ$108,$CA$108,$CB$108,$CC$108,$CD$108,$CE$108,$CF$108)</f>
        <v>8</v>
      </c>
      <c r="CQ108" s="89">
        <f>SUM('J1 A - (North) Bishopthorpe Roa'!$AM$108,'J1 B - Butcher Terrace'!$U$108,'J1 C - (South) Bishopthorpe Roa'!$C$108,'J1 D - South Bank Avenue'!$BE$108)</f>
        <v>6</v>
      </c>
      <c r="CR108" s="83">
        <f>SUM('J1 A - (North) Bishopthorpe Roa'!$AN$108,'J1 B - Butcher Terrace'!$V$108,'J1 C - (South) Bishopthorpe Roa'!$D$108,'J1 D - South Bank Avenue'!$BF$108)</f>
        <v>0</v>
      </c>
      <c r="CS108" s="83">
        <f>SUM('J1 A - (North) Bishopthorpe Roa'!$AO$108,'J1 B - Butcher Terrace'!$W$108,'J1 C - (South) Bishopthorpe Roa'!$E$108,'J1 D - South Bank Avenue'!$BG$108)</f>
        <v>0</v>
      </c>
      <c r="CT108" s="83">
        <f>SUM('J1 A - (North) Bishopthorpe Roa'!$AP$108,'J1 B - Butcher Terrace'!$X$108,'J1 C - (South) Bishopthorpe Roa'!$F$108,'J1 D - South Bank Avenue'!$BH$108)</f>
        <v>0</v>
      </c>
      <c r="CU108" s="83">
        <f>SUM('J1 A - (North) Bishopthorpe Roa'!$AQ$108,'J1 B - Butcher Terrace'!$Y$108,'J1 C - (South) Bishopthorpe Roa'!$G$108,'J1 D - South Bank Avenue'!$BI$108)</f>
        <v>0</v>
      </c>
      <c r="CV108" s="83">
        <f>SUM('J1 A - (North) Bishopthorpe Roa'!$AR$108,'J1 B - Butcher Terrace'!$Z$108,'J1 C - (South) Bishopthorpe Roa'!$H$108,'J1 D - South Bank Avenue'!$BJ$108)</f>
        <v>9</v>
      </c>
      <c r="CW108" s="83">
        <f>SUM('J1 A - (North) Bishopthorpe Roa'!$AS$108,'J1 B - Butcher Terrace'!$AA$108,'J1 C - (South) Bishopthorpe Roa'!$I$108,'J1 D - South Bank Avenue'!$BK$108)</f>
        <v>0</v>
      </c>
      <c r="CX108" s="86">
        <f>SUM('J1 A - (North) Bishopthorpe Roa'!$AT$108,'J1 B - Butcher Terrace'!$AB$108,'J1 C - (South) Bishopthorpe Roa'!$J$108,'J1 D - South Bank Avenue'!$BL$108)</f>
        <v>0</v>
      </c>
      <c r="CY108" s="77">
        <f>$CQ$108*VLOOKUP($CQ$11,'PCU Values'!$B$9:$C$16,2,FALSE)</f>
        <v>6</v>
      </c>
      <c r="CZ108" s="77">
        <f>$CR$108*VLOOKUP($CR$11,'PCU Values'!$B$9:$C$16,2,FALSE)</f>
        <v>0</v>
      </c>
      <c r="DA108" s="77">
        <f>$CS$108*VLOOKUP($CS$11,'PCU Values'!$B$9:$C$16,2,FALSE)</f>
        <v>0</v>
      </c>
      <c r="DB108" s="77">
        <f>$CT$108*VLOOKUP($CT$11,'PCU Values'!$B$9:$C$16,2,FALSE)</f>
        <v>0</v>
      </c>
      <c r="DC108" s="77">
        <f>$CU$108*VLOOKUP($CU$11,'PCU Values'!$B$9:$C$16,2,FALSE)</f>
        <v>0</v>
      </c>
      <c r="DD108" s="77">
        <f>$CV$108*VLOOKUP($CV$11,'PCU Values'!$B$9:$C$16,2,FALSE)</f>
        <v>1.8</v>
      </c>
      <c r="DE108" s="77">
        <f>$CW$108*VLOOKUP($CW$11,'PCU Values'!$B$9:$C$16,2,FALSE)</f>
        <v>0</v>
      </c>
      <c r="DF108" s="78">
        <f>$CX$108*VLOOKUP($CX$11,'PCU Values'!$B$9:$C$16,2,FALSE)</f>
        <v>0</v>
      </c>
      <c r="DG108" s="66">
        <f>SUM($CY$108,$CZ$108,$DA$108,$DB$108,$DC$108,$DD$108,$DE$108,$DF$108)</f>
        <v>7.8</v>
      </c>
      <c r="DH108" s="52">
        <f>SUM($CQ$108,$CR$108,$CS$108,$CT$108,$CU$108,$CV$108,$CW$108,$CX$108)</f>
        <v>15</v>
      </c>
    </row>
    <row r="109" spans="1:112" ht="21" customHeight="1">
      <c r="A109" s="46">
        <v>44395.8125</v>
      </c>
      <c r="B109" s="47" t="s">
        <v>109</v>
      </c>
      <c r="C109" s="48">
        <v>8</v>
      </c>
      <c r="D109" s="48">
        <v>1</v>
      </c>
      <c r="E109" s="48">
        <v>0</v>
      </c>
      <c r="F109" s="48">
        <v>0</v>
      </c>
      <c r="G109" s="48">
        <v>0</v>
      </c>
      <c r="H109" s="49">
        <v>1</v>
      </c>
      <c r="I109" s="48">
        <v>0</v>
      </c>
      <c r="J109" s="56">
        <v>0</v>
      </c>
      <c r="K109" s="57">
        <f>$C$109*VLOOKUP($C$11,'PCU Values'!$B$9:$C$16,2,FALSE)</f>
        <v>8</v>
      </c>
      <c r="L109" s="57">
        <f>$D$109*VLOOKUP($D$11,'PCU Values'!$B$9:$C$16,2,FALSE)</f>
        <v>1</v>
      </c>
      <c r="M109" s="57">
        <f>$E$109*VLOOKUP($E$11,'PCU Values'!$B$9:$C$16,2,FALSE)</f>
        <v>0</v>
      </c>
      <c r="N109" s="57">
        <f>$F$109*VLOOKUP($F$11,'PCU Values'!$B$9:$C$16,2,FALSE)</f>
        <v>0</v>
      </c>
      <c r="O109" s="57">
        <f>$G$109*VLOOKUP($G$11,'PCU Values'!$B$9:$C$16,2,FALSE)</f>
        <v>0</v>
      </c>
      <c r="P109" s="57">
        <f>$H$109*VLOOKUP($H$11,'PCU Values'!$B$9:$C$16,2,FALSE)</f>
        <v>0.2</v>
      </c>
      <c r="Q109" s="57">
        <f>$I$109*VLOOKUP($I$11,'PCU Values'!$B$9:$C$16,2,FALSE)</f>
        <v>0</v>
      </c>
      <c r="R109" s="65">
        <f>$J$109*VLOOKUP($J$11,'PCU Values'!$B$9:$C$16,2,FALSE)</f>
        <v>0</v>
      </c>
      <c r="S109" s="66">
        <f>SUM($K$109,$L$109,$M$109,$N$109,$O$109,$P$109,$Q$109,$R$109)</f>
        <v>9.1999999999999993</v>
      </c>
      <c r="T109" s="52">
        <f>SUM($C$109,$D$109,$E$109,$F$109,$G$109,$H$109,$I$109,$J$109)</f>
        <v>10</v>
      </c>
      <c r="U109" s="67">
        <v>1</v>
      </c>
      <c r="V109" s="48">
        <v>0</v>
      </c>
      <c r="W109" s="48">
        <v>0</v>
      </c>
      <c r="X109" s="48">
        <v>0</v>
      </c>
      <c r="Y109" s="48">
        <v>0</v>
      </c>
      <c r="Z109" s="48">
        <v>2</v>
      </c>
      <c r="AA109" s="48">
        <v>0</v>
      </c>
      <c r="AB109" s="56">
        <v>0</v>
      </c>
      <c r="AC109" s="57">
        <f>$U$109*VLOOKUP($U$11,'PCU Values'!$B$9:$C$16,2,FALSE)</f>
        <v>1</v>
      </c>
      <c r="AD109" s="57">
        <f>$V$109*VLOOKUP($V$11,'PCU Values'!$B$9:$C$16,2,FALSE)</f>
        <v>0</v>
      </c>
      <c r="AE109" s="57">
        <f>$W$109*VLOOKUP($W$11,'PCU Values'!$B$9:$C$16,2,FALSE)</f>
        <v>0</v>
      </c>
      <c r="AF109" s="57">
        <f>$X$109*VLOOKUP($X$11,'PCU Values'!$B$9:$C$16,2,FALSE)</f>
        <v>0</v>
      </c>
      <c r="AG109" s="57">
        <f>$Y$109*VLOOKUP($Y$11,'PCU Values'!$B$9:$C$16,2,FALSE)</f>
        <v>0</v>
      </c>
      <c r="AH109" s="57">
        <f>$Z$109*VLOOKUP($Z$11,'PCU Values'!$B$9:$C$16,2,FALSE)</f>
        <v>0.4</v>
      </c>
      <c r="AI109" s="57">
        <f>$AA$109*VLOOKUP($AA$11,'PCU Values'!$B$9:$C$16,2,FALSE)</f>
        <v>0</v>
      </c>
      <c r="AJ109" s="65">
        <f>$AB$109*VLOOKUP($AB$11,'PCU Values'!$B$9:$C$16,2,FALSE)</f>
        <v>0</v>
      </c>
      <c r="AK109" s="66">
        <f>SUM($AC$109,$AD$109,$AE$109,$AF$109,$AG$109,$AH$109,$AI$109,$AJ$109)</f>
        <v>1.4</v>
      </c>
      <c r="AL109" s="52">
        <f>SUM($U$109,$V$109,$W$109,$X$109,$Y$109,$Z$109,$AA$109,$AB$109)</f>
        <v>3</v>
      </c>
      <c r="AM109" s="67">
        <v>0</v>
      </c>
      <c r="AN109" s="48">
        <v>0</v>
      </c>
      <c r="AO109" s="48">
        <v>0</v>
      </c>
      <c r="AP109" s="48">
        <v>0</v>
      </c>
      <c r="AQ109" s="48">
        <v>0</v>
      </c>
      <c r="AR109" s="48">
        <v>0</v>
      </c>
      <c r="AS109" s="48">
        <v>0</v>
      </c>
      <c r="AT109" s="56">
        <v>0</v>
      </c>
      <c r="AU109" s="57">
        <f>$AM$109*VLOOKUP($AM$11,'PCU Values'!$B$9:$C$16,2,FALSE)</f>
        <v>0</v>
      </c>
      <c r="AV109" s="57">
        <f>$AN$109*VLOOKUP($AN$11,'PCU Values'!$B$9:$C$16,2,FALSE)</f>
        <v>0</v>
      </c>
      <c r="AW109" s="57">
        <f>$AO$109*VLOOKUP($AO$11,'PCU Values'!$B$9:$C$16,2,FALSE)</f>
        <v>0</v>
      </c>
      <c r="AX109" s="57">
        <f>$AP$109*VLOOKUP($AP$11,'PCU Values'!$B$9:$C$16,2,FALSE)</f>
        <v>0</v>
      </c>
      <c r="AY109" s="57">
        <f>$AQ$109*VLOOKUP($AQ$11,'PCU Values'!$B$9:$C$16,2,FALSE)</f>
        <v>0</v>
      </c>
      <c r="AZ109" s="57">
        <f>$AR$109*VLOOKUP($AR$11,'PCU Values'!$B$9:$C$16,2,FALSE)</f>
        <v>0</v>
      </c>
      <c r="BA109" s="57">
        <f>$AS$109*VLOOKUP($AS$11,'PCU Values'!$B$9:$C$16,2,FALSE)</f>
        <v>0</v>
      </c>
      <c r="BB109" s="65">
        <f>$AT$109*VLOOKUP($AT$11,'PCU Values'!$B$9:$C$16,2,FALSE)</f>
        <v>0</v>
      </c>
      <c r="BC109" s="66">
        <f>SUM($AU$109,$AV$109,$AW$109,$AX$109,$AY$109,$AZ$109,$BA$109,$BB$109)</f>
        <v>0</v>
      </c>
      <c r="BD109" s="52">
        <f>SUM($AM$109,$AN$109,$AO$109,$AP$109,$AQ$109,$AR$109,$AS$109,$AT$109)</f>
        <v>0</v>
      </c>
      <c r="BE109" s="67">
        <v>0</v>
      </c>
      <c r="BF109" s="48">
        <v>0</v>
      </c>
      <c r="BG109" s="48">
        <v>0</v>
      </c>
      <c r="BH109" s="48">
        <v>0</v>
      </c>
      <c r="BI109" s="48">
        <v>0</v>
      </c>
      <c r="BJ109" s="48">
        <v>0</v>
      </c>
      <c r="BK109" s="48">
        <v>0</v>
      </c>
      <c r="BL109" s="56">
        <v>0</v>
      </c>
      <c r="BM109" s="77">
        <f>$BE$109*VLOOKUP($BE$11,'PCU Values'!$B$9:$C$16,2,FALSE)</f>
        <v>0</v>
      </c>
      <c r="BN109" s="77">
        <f>$BF$109*VLOOKUP($BF$11,'PCU Values'!$B$9:$C$16,2,FALSE)</f>
        <v>0</v>
      </c>
      <c r="BO109" s="77">
        <f>$BG$109*VLOOKUP($BG$11,'PCU Values'!$B$9:$C$16,2,FALSE)</f>
        <v>0</v>
      </c>
      <c r="BP109" s="77">
        <f>$BH$109*VLOOKUP($BH$11,'PCU Values'!$B$9:$C$16,2,FALSE)</f>
        <v>0</v>
      </c>
      <c r="BQ109" s="77">
        <f>$BI$109*VLOOKUP($BI$11,'PCU Values'!$B$9:$C$16,2,FALSE)</f>
        <v>0</v>
      </c>
      <c r="BR109" s="77">
        <f>$BJ$109*VLOOKUP($BJ$11,'PCU Values'!$B$9:$C$16,2,FALSE)</f>
        <v>0</v>
      </c>
      <c r="BS109" s="77">
        <f>$BK$109*VLOOKUP($BK$11,'PCU Values'!$B$9:$C$16,2,FALSE)</f>
        <v>0</v>
      </c>
      <c r="BT109" s="78">
        <f>$BL$109*VLOOKUP($BL$11,'PCU Values'!$B$9:$C$16,2,FALSE)</f>
        <v>0</v>
      </c>
      <c r="BU109" s="66">
        <f>SUM($BM$109,$BN$109,$BO$109,$BP$109,$BQ$109,$BR$109,$BS$109,$BT$109)</f>
        <v>0</v>
      </c>
      <c r="BV109" s="52">
        <f>SUM($BE$109,$BF$109,$BG$109,$BH$109,$BI$109,$BJ$109,$BK$109,$BL$109)</f>
        <v>0</v>
      </c>
      <c r="BX109" s="47" t="s">
        <v>109</v>
      </c>
      <c r="BY109" s="83">
        <f>SUM($C$109,$U$109,$AM$109,$BE$109)</f>
        <v>9</v>
      </c>
      <c r="BZ109" s="83">
        <f>SUM($D$109,$V$109,$AN$109,$BF$109)</f>
        <v>1</v>
      </c>
      <c r="CA109" s="83">
        <f>SUM($E$109,$W$109,$AO$109,$BG$109)</f>
        <v>0</v>
      </c>
      <c r="CB109" s="83">
        <f>SUM($F$109,$X$109,$AP$109,$BH$109)</f>
        <v>0</v>
      </c>
      <c r="CC109" s="83">
        <f>SUM($G$109,$Y$109,$AQ$109,$BI$109)</f>
        <v>0</v>
      </c>
      <c r="CD109" s="83">
        <f>SUM($H$109,$Z$109,$AR$109,$BJ$109)</f>
        <v>3</v>
      </c>
      <c r="CE109" s="83">
        <f>SUM($I$109,$AA$109,$AS$109,$BK$109)</f>
        <v>0</v>
      </c>
      <c r="CF109" s="86">
        <f>SUM($J$109,$AB$109,$AT$109,$BL$109)</f>
        <v>0</v>
      </c>
      <c r="CG109" s="77">
        <f>$BY$109*VLOOKUP($BY$11,'PCU Values'!$B$9:$C$16,2,FALSE)</f>
        <v>9</v>
      </c>
      <c r="CH109" s="77">
        <f>$BZ$109*VLOOKUP($BZ$11,'PCU Values'!$B$9:$C$16,2,FALSE)</f>
        <v>1</v>
      </c>
      <c r="CI109" s="77">
        <f>$CA$109*VLOOKUP($CA$11,'PCU Values'!$B$9:$C$16,2,FALSE)</f>
        <v>0</v>
      </c>
      <c r="CJ109" s="77">
        <f>$CB$109*VLOOKUP($CB$11,'PCU Values'!$B$9:$C$16,2,FALSE)</f>
        <v>0</v>
      </c>
      <c r="CK109" s="77">
        <f>$CC$109*VLOOKUP($CC$11,'PCU Values'!$B$9:$C$16,2,FALSE)</f>
        <v>0</v>
      </c>
      <c r="CL109" s="77">
        <f>$CD$109*VLOOKUP($CD$11,'PCU Values'!$B$9:$C$16,2,FALSE)</f>
        <v>0.6</v>
      </c>
      <c r="CM109" s="77">
        <f>$CE$109*VLOOKUP($CE$11,'PCU Values'!$B$9:$C$16,2,FALSE)</f>
        <v>0</v>
      </c>
      <c r="CN109" s="78">
        <f>$CF$109*VLOOKUP($CF$11,'PCU Values'!$B$9:$C$16,2,FALSE)</f>
        <v>0</v>
      </c>
      <c r="CO109" s="66">
        <f>SUM($CG$109,$CH$109,$CI$109,$CJ$109,$CK$109,$CL$109,$CM$109,$CN$109)</f>
        <v>10.6</v>
      </c>
      <c r="CP109" s="52">
        <f>SUM($BY$109,$BZ$109,$CA$109,$CB$109,$CC$109,$CD$109,$CE$109,$CF$109)</f>
        <v>13</v>
      </c>
      <c r="CQ109" s="89">
        <f>SUM('J1 A - (North) Bishopthorpe Roa'!$AM$109,'J1 B - Butcher Terrace'!$U$109,'J1 C - (South) Bishopthorpe Roa'!$C$109,'J1 D - South Bank Avenue'!$BE$109)</f>
        <v>5</v>
      </c>
      <c r="CR109" s="83">
        <f>SUM('J1 A - (North) Bishopthorpe Roa'!$AN$109,'J1 B - Butcher Terrace'!$V$109,'J1 C - (South) Bishopthorpe Roa'!$D$109,'J1 D - South Bank Avenue'!$BF$109)</f>
        <v>0</v>
      </c>
      <c r="CS109" s="83">
        <f>SUM('J1 A - (North) Bishopthorpe Roa'!$AO$109,'J1 B - Butcher Terrace'!$W$109,'J1 C - (South) Bishopthorpe Roa'!$E$109,'J1 D - South Bank Avenue'!$BG$109)</f>
        <v>0</v>
      </c>
      <c r="CT109" s="83">
        <f>SUM('J1 A - (North) Bishopthorpe Roa'!$AP$109,'J1 B - Butcher Terrace'!$X$109,'J1 C - (South) Bishopthorpe Roa'!$F$109,'J1 D - South Bank Avenue'!$BH$109)</f>
        <v>0</v>
      </c>
      <c r="CU109" s="83">
        <f>SUM('J1 A - (North) Bishopthorpe Roa'!$AQ$109,'J1 B - Butcher Terrace'!$Y$109,'J1 C - (South) Bishopthorpe Roa'!$G$109,'J1 D - South Bank Avenue'!$BI$109)</f>
        <v>0</v>
      </c>
      <c r="CV109" s="83">
        <f>SUM('J1 A - (North) Bishopthorpe Roa'!$AR$109,'J1 B - Butcher Terrace'!$Z$109,'J1 C - (South) Bishopthorpe Roa'!$H$109,'J1 D - South Bank Avenue'!$BJ$109)</f>
        <v>2</v>
      </c>
      <c r="CW109" s="83">
        <f>SUM('J1 A - (North) Bishopthorpe Roa'!$AS$109,'J1 B - Butcher Terrace'!$AA$109,'J1 C - (South) Bishopthorpe Roa'!$I$109,'J1 D - South Bank Avenue'!$BK$109)</f>
        <v>0</v>
      </c>
      <c r="CX109" s="86">
        <f>SUM('J1 A - (North) Bishopthorpe Roa'!$AT$109,'J1 B - Butcher Terrace'!$AB$109,'J1 C - (South) Bishopthorpe Roa'!$J$109,'J1 D - South Bank Avenue'!$BL$109)</f>
        <v>0</v>
      </c>
      <c r="CY109" s="77">
        <f>$CQ$109*VLOOKUP($CQ$11,'PCU Values'!$B$9:$C$16,2,FALSE)</f>
        <v>5</v>
      </c>
      <c r="CZ109" s="77">
        <f>$CR$109*VLOOKUP($CR$11,'PCU Values'!$B$9:$C$16,2,FALSE)</f>
        <v>0</v>
      </c>
      <c r="DA109" s="77">
        <f>$CS$109*VLOOKUP($CS$11,'PCU Values'!$B$9:$C$16,2,FALSE)</f>
        <v>0</v>
      </c>
      <c r="DB109" s="77">
        <f>$CT$109*VLOOKUP($CT$11,'PCU Values'!$B$9:$C$16,2,FALSE)</f>
        <v>0</v>
      </c>
      <c r="DC109" s="77">
        <f>$CU$109*VLOOKUP($CU$11,'PCU Values'!$B$9:$C$16,2,FALSE)</f>
        <v>0</v>
      </c>
      <c r="DD109" s="77">
        <f>$CV$109*VLOOKUP($CV$11,'PCU Values'!$B$9:$C$16,2,FALSE)</f>
        <v>0.4</v>
      </c>
      <c r="DE109" s="77">
        <f>$CW$109*VLOOKUP($CW$11,'PCU Values'!$B$9:$C$16,2,FALSE)</f>
        <v>0</v>
      </c>
      <c r="DF109" s="78">
        <f>$CX$109*VLOOKUP($CX$11,'PCU Values'!$B$9:$C$16,2,FALSE)</f>
        <v>0</v>
      </c>
      <c r="DG109" s="66">
        <f>SUM($CY$109,$CZ$109,$DA$109,$DB$109,$DC$109,$DD$109,$DE$109,$DF$109)</f>
        <v>5.4</v>
      </c>
      <c r="DH109" s="52">
        <f>SUM($CQ$109,$CR$109,$CS$109,$CT$109,$CU$109,$CV$109,$CW$109,$CX$109)</f>
        <v>7</v>
      </c>
    </row>
    <row r="110" spans="1:112" ht="21" customHeight="1">
      <c r="A110" s="46">
        <v>44395.822916666701</v>
      </c>
      <c r="B110" s="50" t="s">
        <v>110</v>
      </c>
      <c r="C110" s="51">
        <v>5</v>
      </c>
      <c r="D110" s="51">
        <v>0</v>
      </c>
      <c r="E110" s="51">
        <v>0</v>
      </c>
      <c r="F110" s="51">
        <v>0</v>
      </c>
      <c r="G110" s="51">
        <v>0</v>
      </c>
      <c r="H110" s="51">
        <v>1</v>
      </c>
      <c r="I110" s="51">
        <v>0</v>
      </c>
      <c r="J110" s="59">
        <v>0</v>
      </c>
      <c r="K110" s="60">
        <f>$C$110*VLOOKUP($C$11,'PCU Values'!$B$9:$C$16,2,FALSE)</f>
        <v>5</v>
      </c>
      <c r="L110" s="60">
        <f>$D$110*VLOOKUP($D$11,'PCU Values'!$B$9:$C$16,2,FALSE)</f>
        <v>0</v>
      </c>
      <c r="M110" s="60">
        <f>$E$110*VLOOKUP($E$11,'PCU Values'!$B$9:$C$16,2,FALSE)</f>
        <v>0</v>
      </c>
      <c r="N110" s="60">
        <f>$F$110*VLOOKUP($F$11,'PCU Values'!$B$9:$C$16,2,FALSE)</f>
        <v>0</v>
      </c>
      <c r="O110" s="60">
        <f>$G$110*VLOOKUP($G$11,'PCU Values'!$B$9:$C$16,2,FALSE)</f>
        <v>0</v>
      </c>
      <c r="P110" s="60">
        <f>$H$110*VLOOKUP($H$11,'PCU Values'!$B$9:$C$16,2,FALSE)</f>
        <v>0.2</v>
      </c>
      <c r="Q110" s="60">
        <f>$I$110*VLOOKUP($I$11,'PCU Values'!$B$9:$C$16,2,FALSE)</f>
        <v>0</v>
      </c>
      <c r="R110" s="68">
        <f>$J$110*VLOOKUP($J$11,'PCU Values'!$B$9:$C$16,2,FALSE)</f>
        <v>0</v>
      </c>
      <c r="S110" s="63">
        <f>SUM($K$110,$L$110,$M$110,$N$110,$O$110,$P$110,$Q$110,$R$110)</f>
        <v>5.2</v>
      </c>
      <c r="T110" s="52">
        <f>SUM($C$110,$D$110,$E$110,$F$110,$G$110,$H$110,$I$110,$J$110)</f>
        <v>6</v>
      </c>
      <c r="U110" s="73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5</v>
      </c>
      <c r="AA110" s="51">
        <v>0</v>
      </c>
      <c r="AB110" s="59">
        <v>0</v>
      </c>
      <c r="AC110" s="60">
        <f>$U$110*VLOOKUP($U$11,'PCU Values'!$B$9:$C$16,2,FALSE)</f>
        <v>0</v>
      </c>
      <c r="AD110" s="60">
        <f>$V$110*VLOOKUP($V$11,'PCU Values'!$B$9:$C$16,2,FALSE)</f>
        <v>0</v>
      </c>
      <c r="AE110" s="60">
        <f>$W$110*VLOOKUP($W$11,'PCU Values'!$B$9:$C$16,2,FALSE)</f>
        <v>0</v>
      </c>
      <c r="AF110" s="60">
        <f>$X$110*VLOOKUP($X$11,'PCU Values'!$B$9:$C$16,2,FALSE)</f>
        <v>0</v>
      </c>
      <c r="AG110" s="60">
        <f>$Y$110*VLOOKUP($Y$11,'PCU Values'!$B$9:$C$16,2,FALSE)</f>
        <v>0</v>
      </c>
      <c r="AH110" s="60">
        <f>$Z$110*VLOOKUP($Z$11,'PCU Values'!$B$9:$C$16,2,FALSE)</f>
        <v>1</v>
      </c>
      <c r="AI110" s="60">
        <f>$AA$110*VLOOKUP($AA$11,'PCU Values'!$B$9:$C$16,2,FALSE)</f>
        <v>0</v>
      </c>
      <c r="AJ110" s="68">
        <f>$AB$110*VLOOKUP($AB$11,'PCU Values'!$B$9:$C$16,2,FALSE)</f>
        <v>0</v>
      </c>
      <c r="AK110" s="63">
        <f>SUM($AC$110,$AD$110,$AE$110,$AF$110,$AG$110,$AH$110,$AI$110,$AJ$110)</f>
        <v>1</v>
      </c>
      <c r="AL110" s="52">
        <f>SUM($U$110,$V$110,$W$110,$X$110,$Y$110,$Z$110,$AA$110,$AB$110)</f>
        <v>5</v>
      </c>
      <c r="AM110" s="73">
        <v>0</v>
      </c>
      <c r="AN110" s="51">
        <v>0</v>
      </c>
      <c r="AO110" s="51">
        <v>0</v>
      </c>
      <c r="AP110" s="51">
        <v>0</v>
      </c>
      <c r="AQ110" s="51">
        <v>0</v>
      </c>
      <c r="AR110" s="51">
        <v>0</v>
      </c>
      <c r="AS110" s="51">
        <v>0</v>
      </c>
      <c r="AT110" s="59">
        <v>0</v>
      </c>
      <c r="AU110" s="60">
        <f>$AM$110*VLOOKUP($AM$11,'PCU Values'!$B$9:$C$16,2,FALSE)</f>
        <v>0</v>
      </c>
      <c r="AV110" s="60">
        <f>$AN$110*VLOOKUP($AN$11,'PCU Values'!$B$9:$C$16,2,FALSE)</f>
        <v>0</v>
      </c>
      <c r="AW110" s="60">
        <f>$AO$110*VLOOKUP($AO$11,'PCU Values'!$B$9:$C$16,2,FALSE)</f>
        <v>0</v>
      </c>
      <c r="AX110" s="60">
        <f>$AP$110*VLOOKUP($AP$11,'PCU Values'!$B$9:$C$16,2,FALSE)</f>
        <v>0</v>
      </c>
      <c r="AY110" s="60">
        <f>$AQ$110*VLOOKUP($AQ$11,'PCU Values'!$B$9:$C$16,2,FALSE)</f>
        <v>0</v>
      </c>
      <c r="AZ110" s="60">
        <f>$AR$110*VLOOKUP($AR$11,'PCU Values'!$B$9:$C$16,2,FALSE)</f>
        <v>0</v>
      </c>
      <c r="BA110" s="60">
        <f>$AS$110*VLOOKUP($AS$11,'PCU Values'!$B$9:$C$16,2,FALSE)</f>
        <v>0</v>
      </c>
      <c r="BB110" s="68">
        <f>$AT$110*VLOOKUP($AT$11,'PCU Values'!$B$9:$C$16,2,FALSE)</f>
        <v>0</v>
      </c>
      <c r="BC110" s="63">
        <f>SUM($AU$110,$AV$110,$AW$110,$AX$110,$AY$110,$AZ$110,$BA$110,$BB$110)</f>
        <v>0</v>
      </c>
      <c r="BD110" s="52">
        <f>SUM($AM$110,$AN$110,$AO$110,$AP$110,$AQ$110,$AR$110,$AS$110,$AT$110)</f>
        <v>0</v>
      </c>
      <c r="BE110" s="73">
        <v>0</v>
      </c>
      <c r="BF110" s="51">
        <v>0</v>
      </c>
      <c r="BG110" s="51">
        <v>0</v>
      </c>
      <c r="BH110" s="51">
        <v>0</v>
      </c>
      <c r="BI110" s="51">
        <v>0</v>
      </c>
      <c r="BJ110" s="51">
        <v>0</v>
      </c>
      <c r="BK110" s="51">
        <v>0</v>
      </c>
      <c r="BL110" s="59">
        <v>0</v>
      </c>
      <c r="BM110" s="79">
        <f>$BE$110*VLOOKUP($BE$11,'PCU Values'!$B$9:$C$16,2,FALSE)</f>
        <v>0</v>
      </c>
      <c r="BN110" s="79">
        <f>$BF$110*VLOOKUP($BF$11,'PCU Values'!$B$9:$C$16,2,FALSE)</f>
        <v>0</v>
      </c>
      <c r="BO110" s="79">
        <f>$BG$110*VLOOKUP($BG$11,'PCU Values'!$B$9:$C$16,2,FALSE)</f>
        <v>0</v>
      </c>
      <c r="BP110" s="79">
        <f>$BH$110*VLOOKUP($BH$11,'PCU Values'!$B$9:$C$16,2,FALSE)</f>
        <v>0</v>
      </c>
      <c r="BQ110" s="79">
        <f>$BI$110*VLOOKUP($BI$11,'PCU Values'!$B$9:$C$16,2,FALSE)</f>
        <v>0</v>
      </c>
      <c r="BR110" s="79">
        <f>$BJ$110*VLOOKUP($BJ$11,'PCU Values'!$B$9:$C$16,2,FALSE)</f>
        <v>0</v>
      </c>
      <c r="BS110" s="79">
        <f>$BK$110*VLOOKUP($BK$11,'PCU Values'!$B$9:$C$16,2,FALSE)</f>
        <v>0</v>
      </c>
      <c r="BT110" s="80">
        <f>$BL$110*VLOOKUP($BL$11,'PCU Values'!$B$9:$C$16,2,FALSE)</f>
        <v>0</v>
      </c>
      <c r="BU110" s="63">
        <f>SUM($BM$110,$BN$110,$BO$110,$BP$110,$BQ$110,$BR$110,$BS$110,$BT$110)</f>
        <v>0</v>
      </c>
      <c r="BV110" s="52">
        <f>SUM($BE$110,$BF$110,$BG$110,$BH$110,$BI$110,$BJ$110,$BK$110,$BL$110)</f>
        <v>0</v>
      </c>
      <c r="BX110" s="50" t="s">
        <v>110</v>
      </c>
      <c r="BY110" s="84">
        <f>SUM($C$110,$U$110,$AM$110,$BE$110)</f>
        <v>5</v>
      </c>
      <c r="BZ110" s="84">
        <f>SUM($D$110,$V$110,$AN$110,$BF$110)</f>
        <v>0</v>
      </c>
      <c r="CA110" s="84">
        <f>SUM($E$110,$W$110,$AO$110,$BG$110)</f>
        <v>0</v>
      </c>
      <c r="CB110" s="84">
        <f>SUM($F$110,$X$110,$AP$110,$BH$110)</f>
        <v>0</v>
      </c>
      <c r="CC110" s="84">
        <f>SUM($G$110,$Y$110,$AQ$110,$BI$110)</f>
        <v>0</v>
      </c>
      <c r="CD110" s="84">
        <f>SUM($H$110,$Z$110,$AR$110,$BJ$110)</f>
        <v>6</v>
      </c>
      <c r="CE110" s="84">
        <f>SUM($I$110,$AA$110,$AS$110,$BK$110)</f>
        <v>0</v>
      </c>
      <c r="CF110" s="87">
        <f>SUM($J$110,$AB$110,$AT$110,$BL$110)</f>
        <v>0</v>
      </c>
      <c r="CG110" s="79">
        <f>$BY$110*VLOOKUP($BY$11,'PCU Values'!$B$9:$C$16,2,FALSE)</f>
        <v>5</v>
      </c>
      <c r="CH110" s="79">
        <f>$BZ$110*VLOOKUP($BZ$11,'PCU Values'!$B$9:$C$16,2,FALSE)</f>
        <v>0</v>
      </c>
      <c r="CI110" s="79">
        <f>$CA$110*VLOOKUP($CA$11,'PCU Values'!$B$9:$C$16,2,FALSE)</f>
        <v>0</v>
      </c>
      <c r="CJ110" s="79">
        <f>$CB$110*VLOOKUP($CB$11,'PCU Values'!$B$9:$C$16,2,FALSE)</f>
        <v>0</v>
      </c>
      <c r="CK110" s="79">
        <f>$CC$110*VLOOKUP($CC$11,'PCU Values'!$B$9:$C$16,2,FALSE)</f>
        <v>0</v>
      </c>
      <c r="CL110" s="79">
        <f>$CD$110*VLOOKUP($CD$11,'PCU Values'!$B$9:$C$16,2,FALSE)</f>
        <v>1.2</v>
      </c>
      <c r="CM110" s="79">
        <f>$CE$110*VLOOKUP($CE$11,'PCU Values'!$B$9:$C$16,2,FALSE)</f>
        <v>0</v>
      </c>
      <c r="CN110" s="80">
        <f>$CF$110*VLOOKUP($CF$11,'PCU Values'!$B$9:$C$16,2,FALSE)</f>
        <v>0</v>
      </c>
      <c r="CO110" s="63">
        <f>SUM($CG$110,$CH$110,$CI$110,$CJ$110,$CK$110,$CL$110,$CM$110,$CN$110)</f>
        <v>6.2</v>
      </c>
      <c r="CP110" s="52">
        <f>SUM($BY$110,$BZ$110,$CA$110,$CB$110,$CC$110,$CD$110,$CE$110,$CF$110)</f>
        <v>11</v>
      </c>
      <c r="CQ110" s="90">
        <f>SUM('J1 A - (North) Bishopthorpe Roa'!$AM$110,'J1 B - Butcher Terrace'!$U$110,'J1 C - (South) Bishopthorpe Roa'!$C$110,'J1 D - South Bank Avenue'!$BE$110)</f>
        <v>4</v>
      </c>
      <c r="CR110" s="84">
        <f>SUM('J1 A - (North) Bishopthorpe Roa'!$AN$110,'J1 B - Butcher Terrace'!$V$110,'J1 C - (South) Bishopthorpe Roa'!$D$110,'J1 D - South Bank Avenue'!$BF$110)</f>
        <v>0</v>
      </c>
      <c r="CS110" s="84">
        <f>SUM('J1 A - (North) Bishopthorpe Roa'!$AO$110,'J1 B - Butcher Terrace'!$W$110,'J1 C - (South) Bishopthorpe Roa'!$E$110,'J1 D - South Bank Avenue'!$BG$110)</f>
        <v>0</v>
      </c>
      <c r="CT110" s="84">
        <f>SUM('J1 A - (North) Bishopthorpe Roa'!$AP$110,'J1 B - Butcher Terrace'!$X$110,'J1 C - (South) Bishopthorpe Roa'!$F$110,'J1 D - South Bank Avenue'!$BH$110)</f>
        <v>0</v>
      </c>
      <c r="CU110" s="84">
        <f>SUM('J1 A - (North) Bishopthorpe Roa'!$AQ$110,'J1 B - Butcher Terrace'!$Y$110,'J1 C - (South) Bishopthorpe Roa'!$G$110,'J1 D - South Bank Avenue'!$BI$110)</f>
        <v>0</v>
      </c>
      <c r="CV110" s="84">
        <f>SUM('J1 A - (North) Bishopthorpe Roa'!$AR$110,'J1 B - Butcher Terrace'!$Z$110,'J1 C - (South) Bishopthorpe Roa'!$H$110,'J1 D - South Bank Avenue'!$BJ$110)</f>
        <v>7</v>
      </c>
      <c r="CW110" s="84">
        <f>SUM('J1 A - (North) Bishopthorpe Roa'!$AS$110,'J1 B - Butcher Terrace'!$AA$110,'J1 C - (South) Bishopthorpe Roa'!$I$110,'J1 D - South Bank Avenue'!$BK$110)</f>
        <v>2</v>
      </c>
      <c r="CX110" s="87">
        <f>SUM('J1 A - (North) Bishopthorpe Roa'!$AT$110,'J1 B - Butcher Terrace'!$AB$110,'J1 C - (South) Bishopthorpe Roa'!$J$110,'J1 D - South Bank Avenue'!$BL$110)</f>
        <v>0</v>
      </c>
      <c r="CY110" s="79">
        <f>$CQ$110*VLOOKUP($CQ$11,'PCU Values'!$B$9:$C$16,2,FALSE)</f>
        <v>4</v>
      </c>
      <c r="CZ110" s="79">
        <f>$CR$110*VLOOKUP($CR$11,'PCU Values'!$B$9:$C$16,2,FALSE)</f>
        <v>0</v>
      </c>
      <c r="DA110" s="79">
        <f>$CS$110*VLOOKUP($CS$11,'PCU Values'!$B$9:$C$16,2,FALSE)</f>
        <v>0</v>
      </c>
      <c r="DB110" s="79">
        <f>$CT$110*VLOOKUP($CT$11,'PCU Values'!$B$9:$C$16,2,FALSE)</f>
        <v>0</v>
      </c>
      <c r="DC110" s="79">
        <f>$CU$110*VLOOKUP($CU$11,'PCU Values'!$B$9:$C$16,2,FALSE)</f>
        <v>0</v>
      </c>
      <c r="DD110" s="79">
        <f>$CV$110*VLOOKUP($CV$11,'PCU Values'!$B$9:$C$16,2,FALSE)</f>
        <v>1.4</v>
      </c>
      <c r="DE110" s="79">
        <f>$CW$110*VLOOKUP($CW$11,'PCU Values'!$B$9:$C$16,2,FALSE)</f>
        <v>0.8</v>
      </c>
      <c r="DF110" s="80">
        <f>$CX$110*VLOOKUP($CX$11,'PCU Values'!$B$9:$C$16,2,FALSE)</f>
        <v>0</v>
      </c>
      <c r="DG110" s="63">
        <f>SUM($CY$110,$CZ$110,$DA$110,$DB$110,$DC$110,$DD$110,$DE$110,$DF$110)</f>
        <v>6.2</v>
      </c>
      <c r="DH110" s="52">
        <f>SUM($CQ$110,$CR$110,$CS$110,$CT$110,$CU$110,$CV$110,$CW$110,$CX$110)</f>
        <v>13</v>
      </c>
    </row>
    <row r="111" spans="1:112">
      <c r="B111" s="52" t="s">
        <v>34</v>
      </c>
      <c r="C111" s="52">
        <f>SUM($C$107:$C$110)</f>
        <v>22</v>
      </c>
      <c r="D111" s="52">
        <f>SUM($D$107:$D$110)</f>
        <v>2</v>
      </c>
      <c r="E111" s="52">
        <f>SUM($E$107:$E$110)</f>
        <v>0</v>
      </c>
      <c r="F111" s="52">
        <f>SUM($F$107:$F$110)</f>
        <v>0</v>
      </c>
      <c r="G111" s="52">
        <f>SUM($G$107:$G$110)</f>
        <v>0</v>
      </c>
      <c r="H111" s="52">
        <f>SUM($H$107:$H$110)</f>
        <v>4</v>
      </c>
      <c r="I111" s="52">
        <f>SUM($I$107:$I$110)</f>
        <v>0</v>
      </c>
      <c r="J111" s="52">
        <f>SUM($J$107:$J$110)</f>
        <v>0</v>
      </c>
      <c r="K111" s="52">
        <f>SUM($K$107:$K$110)</f>
        <v>22</v>
      </c>
      <c r="L111" s="52">
        <f>SUM($L$107:$L$110)</f>
        <v>2</v>
      </c>
      <c r="M111" s="52">
        <f>SUM($M$107:$M$110)</f>
        <v>0</v>
      </c>
      <c r="N111" s="52">
        <f>SUM($N$107:$N$110)</f>
        <v>0</v>
      </c>
      <c r="O111" s="52">
        <f>SUM($O$107:$O$110)</f>
        <v>0</v>
      </c>
      <c r="P111" s="52">
        <f>SUM($P$107:$P$110)</f>
        <v>1</v>
      </c>
      <c r="Q111" s="52">
        <f>SUM($Q$107:$Q$110)</f>
        <v>0</v>
      </c>
      <c r="R111" s="52">
        <f>SUM($R$107:$R$110)</f>
        <v>0</v>
      </c>
      <c r="S111" s="52">
        <f>SUM($K$111,$L$111,$M$111,$N$111,$O$111,$P$111,$Q$111,$R$111)</f>
        <v>25</v>
      </c>
      <c r="T111" s="52">
        <f>SUM($C$111,$D$111,$E$111,$F$111,$G$111,$H$111,$I$111,$J$111)</f>
        <v>28</v>
      </c>
      <c r="U111" s="52">
        <f>SUM($U$107:$U$110)</f>
        <v>2</v>
      </c>
      <c r="V111" s="52">
        <f>SUM($V$107:$V$110)</f>
        <v>0</v>
      </c>
      <c r="W111" s="52">
        <f>SUM($W$107:$W$110)</f>
        <v>0</v>
      </c>
      <c r="X111" s="52">
        <f>SUM($X$107:$X$110)</f>
        <v>0</v>
      </c>
      <c r="Y111" s="52">
        <f>SUM($Y$107:$Y$110)</f>
        <v>0</v>
      </c>
      <c r="Z111" s="52">
        <f>SUM($Z$107:$Z$110)</f>
        <v>10</v>
      </c>
      <c r="AA111" s="52">
        <f>SUM($AA$107:$AA$110)</f>
        <v>0</v>
      </c>
      <c r="AB111" s="52">
        <f>SUM($AB$107:$AB$110)</f>
        <v>0</v>
      </c>
      <c r="AC111" s="52">
        <f>SUM($AC$107:$AC$110)</f>
        <v>2</v>
      </c>
      <c r="AD111" s="52">
        <f>SUM($AD$107:$AD$110)</f>
        <v>0</v>
      </c>
      <c r="AE111" s="52">
        <f>SUM($AE$107:$AE$110)</f>
        <v>0</v>
      </c>
      <c r="AF111" s="52">
        <f>SUM($AF$107:$AF$110)</f>
        <v>0</v>
      </c>
      <c r="AG111" s="52">
        <f>SUM($AG$107:$AG$110)</f>
        <v>0</v>
      </c>
      <c r="AH111" s="52">
        <f>SUM($AH$107:$AH$110)</f>
        <v>2</v>
      </c>
      <c r="AI111" s="52">
        <f>SUM($AI$107:$AI$110)</f>
        <v>0</v>
      </c>
      <c r="AJ111" s="52">
        <f>SUM($AJ$107:$AJ$110)</f>
        <v>0</v>
      </c>
      <c r="AK111" s="52">
        <f>SUM($AC$111,$AD$111,$AE$111,$AF$111,$AG$111,$AH$111,$AI$111,$AJ$111)</f>
        <v>4</v>
      </c>
      <c r="AL111" s="52">
        <f>SUM($U$111,$V$111,$W$111,$X$111,$Y$111,$Z$111,$AA$111,$AB$111)</f>
        <v>12</v>
      </c>
      <c r="AM111" s="52">
        <f>SUM($AM$107:$AM$110)</f>
        <v>2</v>
      </c>
      <c r="AN111" s="52">
        <f>SUM($AN$107:$AN$110)</f>
        <v>0</v>
      </c>
      <c r="AO111" s="52">
        <f>SUM($AO$107:$AO$110)</f>
        <v>0</v>
      </c>
      <c r="AP111" s="52">
        <f>SUM($AP$107:$AP$110)</f>
        <v>0</v>
      </c>
      <c r="AQ111" s="52">
        <f>SUM($AQ$107:$AQ$110)</f>
        <v>0</v>
      </c>
      <c r="AR111" s="52">
        <f>SUM($AR$107:$AR$110)</f>
        <v>0</v>
      </c>
      <c r="AS111" s="52">
        <f>SUM($AS$107:$AS$110)</f>
        <v>0</v>
      </c>
      <c r="AT111" s="52">
        <f>SUM($AT$107:$AT$110)</f>
        <v>0</v>
      </c>
      <c r="AU111" s="52">
        <f>SUM($AU$107:$AU$110)</f>
        <v>2</v>
      </c>
      <c r="AV111" s="52">
        <f>SUM($AV$107:$AV$110)</f>
        <v>0</v>
      </c>
      <c r="AW111" s="52">
        <f>SUM($AW$107:$AW$110)</f>
        <v>0</v>
      </c>
      <c r="AX111" s="52">
        <f>SUM($AX$107:$AX$110)</f>
        <v>0</v>
      </c>
      <c r="AY111" s="52">
        <f>SUM($AY$107:$AY$110)</f>
        <v>0</v>
      </c>
      <c r="AZ111" s="52">
        <f>SUM($AZ$107:$AZ$110)</f>
        <v>0</v>
      </c>
      <c r="BA111" s="52">
        <f>SUM($BA$107:$BA$110)</f>
        <v>0</v>
      </c>
      <c r="BB111" s="52">
        <f>SUM($BB$107:$BB$110)</f>
        <v>0</v>
      </c>
      <c r="BC111" s="52">
        <f>SUM($AU$111,$AV$111,$AW$111,$AX$111,$AY$111,$AZ$111,$BA$111,$BB$111)</f>
        <v>2</v>
      </c>
      <c r="BD111" s="52">
        <f>SUM($AM$111,$AN$111,$AO$111,$AP$111,$AQ$111,$AR$111,$AS$111,$AT$111)</f>
        <v>2</v>
      </c>
      <c r="BE111" s="52">
        <f>SUM($BE$107:$BE$110)</f>
        <v>0</v>
      </c>
      <c r="BF111" s="52">
        <f>SUM($BF$107:$BF$110)</f>
        <v>0</v>
      </c>
      <c r="BG111" s="52">
        <f>SUM($BG$107:$BG$110)</f>
        <v>0</v>
      </c>
      <c r="BH111" s="52">
        <f>SUM($BH$107:$BH$110)</f>
        <v>0</v>
      </c>
      <c r="BI111" s="52">
        <f>SUM($BI$107:$BI$110)</f>
        <v>0</v>
      </c>
      <c r="BJ111" s="52">
        <f>SUM($BJ$107:$BJ$110)</f>
        <v>0</v>
      </c>
      <c r="BK111" s="52">
        <f>SUM($BK$107:$BK$110)</f>
        <v>0</v>
      </c>
      <c r="BL111" s="52">
        <f>SUM($BL$107:$BL$110)</f>
        <v>0</v>
      </c>
      <c r="BM111" s="52">
        <f>SUM($BM$107:$BM$110)</f>
        <v>0</v>
      </c>
      <c r="BN111" s="52">
        <f>SUM($BN$107:$BN$110)</f>
        <v>0</v>
      </c>
      <c r="BO111" s="52">
        <f>SUM($BO$107:$BO$110)</f>
        <v>0</v>
      </c>
      <c r="BP111" s="52">
        <f>SUM($BP$107:$BP$110)</f>
        <v>0</v>
      </c>
      <c r="BQ111" s="52">
        <f>SUM($BQ$107:$BQ$110)</f>
        <v>0</v>
      </c>
      <c r="BR111" s="52">
        <f>SUM($BR$107:$BR$110)</f>
        <v>0</v>
      </c>
      <c r="BS111" s="52">
        <f>SUM($BS$107:$BS$110)</f>
        <v>0</v>
      </c>
      <c r="BT111" s="52">
        <f>SUM($BT$107:$BT$110)</f>
        <v>0</v>
      </c>
      <c r="BU111" s="52">
        <f>SUM($BM$111,$BN$111,$BO$111,$BP$111,$BQ$111,$BR$111,$BS$111,$BT$111)</f>
        <v>0</v>
      </c>
      <c r="BV111" s="52">
        <f>SUM($BE$111,$BF$111,$BG$111,$BH$111,$BI$111,$BJ$111,$BK$111,$BL$111)</f>
        <v>0</v>
      </c>
      <c r="BX111" s="52" t="s">
        <v>34</v>
      </c>
      <c r="BY111" s="52">
        <f>SUM($BY$107:$BY$110)</f>
        <v>26</v>
      </c>
      <c r="BZ111" s="52">
        <f>SUM($BZ$107:$BZ$110)</f>
        <v>2</v>
      </c>
      <c r="CA111" s="52">
        <f>SUM($CA$107:$CA$110)</f>
        <v>0</v>
      </c>
      <c r="CB111" s="52">
        <f>SUM($CB$107:$CB$110)</f>
        <v>0</v>
      </c>
      <c r="CC111" s="52">
        <f>SUM($CC$107:$CC$110)</f>
        <v>0</v>
      </c>
      <c r="CD111" s="52">
        <f>SUM($CD$107:$CD$110)</f>
        <v>14</v>
      </c>
      <c r="CE111" s="52">
        <f>SUM($CE$107:$CE$110)</f>
        <v>0</v>
      </c>
      <c r="CF111" s="52">
        <f>SUM($CF$107:$CF$110)</f>
        <v>0</v>
      </c>
      <c r="CG111" s="52">
        <f>SUM($CG$107:$CG$110)</f>
        <v>26</v>
      </c>
      <c r="CH111" s="52">
        <f>SUM($CH$107:$CH$110)</f>
        <v>2</v>
      </c>
      <c r="CI111" s="52">
        <f>SUM($CI$107:$CI$110)</f>
        <v>0</v>
      </c>
      <c r="CJ111" s="52">
        <f>SUM($CJ$107:$CJ$110)</f>
        <v>0</v>
      </c>
      <c r="CK111" s="52">
        <f>SUM($CK$107:$CK$110)</f>
        <v>0</v>
      </c>
      <c r="CL111" s="52">
        <f>SUM($CL$107:$CL$110)</f>
        <v>3</v>
      </c>
      <c r="CM111" s="52">
        <f>SUM($CM$107:$CM$110)</f>
        <v>0</v>
      </c>
      <c r="CN111" s="52">
        <f>SUM($CN$107:$CN$110)</f>
        <v>0</v>
      </c>
      <c r="CO111" s="52">
        <f>SUM($CG$111,$CH$111,$CI$111,$CJ$111,$CK$111,$CL$111,$CM$111,$CN$111)</f>
        <v>31</v>
      </c>
      <c r="CP111" s="52">
        <f>SUM($BY$111,$BZ$111,$CA$111,$CB$111,$CC$111,$CD$111,$CE$111,$CF$111)</f>
        <v>42</v>
      </c>
      <c r="CQ111" s="52">
        <f>SUM($CQ$107:$CQ$110)</f>
        <v>21</v>
      </c>
      <c r="CR111" s="52">
        <f>SUM($CR$107:$CR$110)</f>
        <v>0</v>
      </c>
      <c r="CS111" s="52">
        <f>SUM($CS$107:$CS$110)</f>
        <v>0</v>
      </c>
      <c r="CT111" s="52">
        <f>SUM($CT$107:$CT$110)</f>
        <v>0</v>
      </c>
      <c r="CU111" s="52">
        <f>SUM($CU$107:$CU$110)</f>
        <v>0</v>
      </c>
      <c r="CV111" s="52">
        <f>SUM($CV$107:$CV$110)</f>
        <v>21</v>
      </c>
      <c r="CW111" s="52">
        <f>SUM($CW$107:$CW$110)</f>
        <v>2</v>
      </c>
      <c r="CX111" s="52">
        <f>SUM($CX$107:$CX$110)</f>
        <v>0</v>
      </c>
      <c r="CY111" s="52">
        <f>SUM($CY$107:$CY$110)</f>
        <v>21</v>
      </c>
      <c r="CZ111" s="52">
        <f>SUM($CZ$107:$CZ$110)</f>
        <v>0</v>
      </c>
      <c r="DA111" s="52">
        <f>SUM($DA$107:$DA$110)</f>
        <v>0</v>
      </c>
      <c r="DB111" s="52">
        <f>SUM($DB$107:$DB$110)</f>
        <v>0</v>
      </c>
      <c r="DC111" s="52">
        <f>SUM($DC$107:$DC$110)</f>
        <v>0</v>
      </c>
      <c r="DD111" s="52">
        <f>SUM($DD$107:$DD$110)</f>
        <v>4</v>
      </c>
      <c r="DE111" s="52">
        <f>SUM($DE$107:$DE$110)</f>
        <v>1</v>
      </c>
      <c r="DF111" s="52">
        <f>SUM($DF$107:$DF$110)</f>
        <v>0</v>
      </c>
      <c r="DG111" s="52">
        <f>SUM($CY$111,$CZ$111,$DA$111,$DB$111,$DC$111,$DD$111,$DE$111,$DF$111)</f>
        <v>26</v>
      </c>
      <c r="DH111" s="52">
        <f>SUM($CQ$111,$CR$111,$CS$111,$CT$111,$CU$111,$CV$111,$CW$111,$CX$111)</f>
        <v>44</v>
      </c>
    </row>
    <row r="112" spans="1:112" ht="21" customHeight="1">
      <c r="A112" s="46">
        <v>44395.833333333299</v>
      </c>
      <c r="B112" s="53" t="s">
        <v>111</v>
      </c>
      <c r="C112" s="54">
        <v>4</v>
      </c>
      <c r="D112" s="54">
        <v>0</v>
      </c>
      <c r="E112" s="54">
        <v>0</v>
      </c>
      <c r="F112" s="54">
        <v>0</v>
      </c>
      <c r="G112" s="54">
        <v>0</v>
      </c>
      <c r="H112" s="54">
        <v>4</v>
      </c>
      <c r="I112" s="54">
        <v>0</v>
      </c>
      <c r="J112" s="61">
        <v>0</v>
      </c>
      <c r="K112" s="62">
        <f>$C$112*VLOOKUP($C$11,'PCU Values'!$B$9:$C$16,2,FALSE)</f>
        <v>4</v>
      </c>
      <c r="L112" s="62">
        <f>$D$112*VLOOKUP($D$11,'PCU Values'!$B$9:$C$16,2,FALSE)</f>
        <v>0</v>
      </c>
      <c r="M112" s="62">
        <f>$E$112*VLOOKUP($E$11,'PCU Values'!$B$9:$C$16,2,FALSE)</f>
        <v>0</v>
      </c>
      <c r="N112" s="62">
        <f>$F$112*VLOOKUP($F$11,'PCU Values'!$B$9:$C$16,2,FALSE)</f>
        <v>0</v>
      </c>
      <c r="O112" s="62">
        <f>$G$112*VLOOKUP($G$11,'PCU Values'!$B$9:$C$16,2,FALSE)</f>
        <v>0</v>
      </c>
      <c r="P112" s="62">
        <f>$H$112*VLOOKUP($H$11,'PCU Values'!$B$9:$C$16,2,FALSE)</f>
        <v>0.8</v>
      </c>
      <c r="Q112" s="62">
        <f>$I$112*VLOOKUP($I$11,'PCU Values'!$B$9:$C$16,2,FALSE)</f>
        <v>0</v>
      </c>
      <c r="R112" s="70">
        <f>$J$112*VLOOKUP($J$11,'PCU Values'!$B$9:$C$16,2,FALSE)</f>
        <v>0</v>
      </c>
      <c r="S112" s="71">
        <f>SUM($K$112,$L$112,$M$112,$N$112,$O$112,$P$112,$Q$112,$R$112)</f>
        <v>4.8</v>
      </c>
      <c r="T112" s="52">
        <f>SUM($C$112,$D$112,$E$112,$F$112,$G$112,$H$112,$I$112,$J$112)</f>
        <v>8</v>
      </c>
      <c r="U112" s="72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4</v>
      </c>
      <c r="AA112" s="54">
        <v>0</v>
      </c>
      <c r="AB112" s="61">
        <v>0</v>
      </c>
      <c r="AC112" s="62">
        <f>$U$112*VLOOKUP($U$11,'PCU Values'!$B$9:$C$16,2,FALSE)</f>
        <v>0</v>
      </c>
      <c r="AD112" s="62">
        <f>$V$112*VLOOKUP($V$11,'PCU Values'!$B$9:$C$16,2,FALSE)</f>
        <v>0</v>
      </c>
      <c r="AE112" s="62">
        <f>$W$112*VLOOKUP($W$11,'PCU Values'!$B$9:$C$16,2,FALSE)</f>
        <v>0</v>
      </c>
      <c r="AF112" s="62">
        <f>$X$112*VLOOKUP($X$11,'PCU Values'!$B$9:$C$16,2,FALSE)</f>
        <v>0</v>
      </c>
      <c r="AG112" s="62">
        <f>$Y$112*VLOOKUP($Y$11,'PCU Values'!$B$9:$C$16,2,FALSE)</f>
        <v>0</v>
      </c>
      <c r="AH112" s="62">
        <f>$Z$112*VLOOKUP($Z$11,'PCU Values'!$B$9:$C$16,2,FALSE)</f>
        <v>0.8</v>
      </c>
      <c r="AI112" s="62">
        <f>$AA$112*VLOOKUP($AA$11,'PCU Values'!$B$9:$C$16,2,FALSE)</f>
        <v>0</v>
      </c>
      <c r="AJ112" s="70">
        <f>$AB$112*VLOOKUP($AB$11,'PCU Values'!$B$9:$C$16,2,FALSE)</f>
        <v>0</v>
      </c>
      <c r="AK112" s="71">
        <f>SUM($AC$112,$AD$112,$AE$112,$AF$112,$AG$112,$AH$112,$AI$112,$AJ$112)</f>
        <v>0.8</v>
      </c>
      <c r="AL112" s="52">
        <f>SUM($U$112,$V$112,$W$112,$X$112,$Y$112,$Z$112,$AA$112,$AB$112)</f>
        <v>4</v>
      </c>
      <c r="AM112" s="72">
        <v>1</v>
      </c>
      <c r="AN112" s="54">
        <v>1</v>
      </c>
      <c r="AO112" s="54">
        <v>0</v>
      </c>
      <c r="AP112" s="54">
        <v>0</v>
      </c>
      <c r="AQ112" s="54">
        <v>0</v>
      </c>
      <c r="AR112" s="54">
        <v>2</v>
      </c>
      <c r="AS112" s="54">
        <v>0</v>
      </c>
      <c r="AT112" s="61">
        <v>0</v>
      </c>
      <c r="AU112" s="62">
        <f>$AM$112*VLOOKUP($AM$11,'PCU Values'!$B$9:$C$16,2,FALSE)</f>
        <v>1</v>
      </c>
      <c r="AV112" s="62">
        <f>$AN$112*VLOOKUP($AN$11,'PCU Values'!$B$9:$C$16,2,FALSE)</f>
        <v>1</v>
      </c>
      <c r="AW112" s="62">
        <f>$AO$112*VLOOKUP($AO$11,'PCU Values'!$B$9:$C$16,2,FALSE)</f>
        <v>0</v>
      </c>
      <c r="AX112" s="62">
        <f>$AP$112*VLOOKUP($AP$11,'PCU Values'!$B$9:$C$16,2,FALSE)</f>
        <v>0</v>
      </c>
      <c r="AY112" s="62">
        <f>$AQ$112*VLOOKUP($AQ$11,'PCU Values'!$B$9:$C$16,2,FALSE)</f>
        <v>0</v>
      </c>
      <c r="AZ112" s="62">
        <f>$AR$112*VLOOKUP($AR$11,'PCU Values'!$B$9:$C$16,2,FALSE)</f>
        <v>0.4</v>
      </c>
      <c r="BA112" s="62">
        <f>$AS$112*VLOOKUP($AS$11,'PCU Values'!$B$9:$C$16,2,FALSE)</f>
        <v>0</v>
      </c>
      <c r="BB112" s="70">
        <f>$AT$112*VLOOKUP($AT$11,'PCU Values'!$B$9:$C$16,2,FALSE)</f>
        <v>0</v>
      </c>
      <c r="BC112" s="71">
        <f>SUM($AU$112,$AV$112,$AW$112,$AX$112,$AY$112,$AZ$112,$BA$112,$BB$112)</f>
        <v>2.4</v>
      </c>
      <c r="BD112" s="52">
        <f>SUM($AM$112,$AN$112,$AO$112,$AP$112,$AQ$112,$AR$112,$AS$112,$AT$112)</f>
        <v>4</v>
      </c>
      <c r="BE112" s="72">
        <v>0</v>
      </c>
      <c r="BF112" s="54">
        <v>0</v>
      </c>
      <c r="BG112" s="54">
        <v>0</v>
      </c>
      <c r="BH112" s="54">
        <v>0</v>
      </c>
      <c r="BI112" s="54">
        <v>0</v>
      </c>
      <c r="BJ112" s="54">
        <v>0</v>
      </c>
      <c r="BK112" s="54">
        <v>0</v>
      </c>
      <c r="BL112" s="61">
        <v>0</v>
      </c>
      <c r="BM112" s="81">
        <f>$BE$112*VLOOKUP($BE$11,'PCU Values'!$B$9:$C$16,2,FALSE)</f>
        <v>0</v>
      </c>
      <c r="BN112" s="81">
        <f>$BF$112*VLOOKUP($BF$11,'PCU Values'!$B$9:$C$16,2,FALSE)</f>
        <v>0</v>
      </c>
      <c r="BO112" s="81">
        <f>$BG$112*VLOOKUP($BG$11,'PCU Values'!$B$9:$C$16,2,FALSE)</f>
        <v>0</v>
      </c>
      <c r="BP112" s="81">
        <f>$BH$112*VLOOKUP($BH$11,'PCU Values'!$B$9:$C$16,2,FALSE)</f>
        <v>0</v>
      </c>
      <c r="BQ112" s="81">
        <f>$BI$112*VLOOKUP($BI$11,'PCU Values'!$B$9:$C$16,2,FALSE)</f>
        <v>0</v>
      </c>
      <c r="BR112" s="81">
        <f>$BJ$112*VLOOKUP($BJ$11,'PCU Values'!$B$9:$C$16,2,FALSE)</f>
        <v>0</v>
      </c>
      <c r="BS112" s="81">
        <f>$BK$112*VLOOKUP($BK$11,'PCU Values'!$B$9:$C$16,2,FALSE)</f>
        <v>0</v>
      </c>
      <c r="BT112" s="82">
        <f>$BL$112*VLOOKUP($BL$11,'PCU Values'!$B$9:$C$16,2,FALSE)</f>
        <v>0</v>
      </c>
      <c r="BU112" s="71">
        <f>SUM($BM$112,$BN$112,$BO$112,$BP$112,$BQ$112,$BR$112,$BS$112,$BT$112)</f>
        <v>0</v>
      </c>
      <c r="BV112" s="52">
        <f>SUM($BE$112,$BF$112,$BG$112,$BH$112,$BI$112,$BJ$112,$BK$112,$BL$112)</f>
        <v>0</v>
      </c>
      <c r="BX112" s="53" t="s">
        <v>111</v>
      </c>
      <c r="BY112" s="85">
        <f>SUM($C$112,$U$112,$AM$112,$BE$112)</f>
        <v>5</v>
      </c>
      <c r="BZ112" s="85">
        <f>SUM($D$112,$V$112,$AN$112,$BF$112)</f>
        <v>1</v>
      </c>
      <c r="CA112" s="85">
        <f>SUM($E$112,$W$112,$AO$112,$BG$112)</f>
        <v>0</v>
      </c>
      <c r="CB112" s="85">
        <f>SUM($F$112,$X$112,$AP$112,$BH$112)</f>
        <v>0</v>
      </c>
      <c r="CC112" s="85">
        <f>SUM($G$112,$Y$112,$AQ$112,$BI$112)</f>
        <v>0</v>
      </c>
      <c r="CD112" s="85">
        <f>SUM($H$112,$Z$112,$AR$112,$BJ$112)</f>
        <v>10</v>
      </c>
      <c r="CE112" s="85">
        <f>SUM($I$112,$AA$112,$AS$112,$BK$112)</f>
        <v>0</v>
      </c>
      <c r="CF112" s="88">
        <f>SUM($J$112,$AB$112,$AT$112,$BL$112)</f>
        <v>0</v>
      </c>
      <c r="CG112" s="81">
        <f>$BY$112*VLOOKUP($BY$11,'PCU Values'!$B$9:$C$16,2,FALSE)</f>
        <v>5</v>
      </c>
      <c r="CH112" s="81">
        <f>$BZ$112*VLOOKUP($BZ$11,'PCU Values'!$B$9:$C$16,2,FALSE)</f>
        <v>1</v>
      </c>
      <c r="CI112" s="81">
        <f>$CA$112*VLOOKUP($CA$11,'PCU Values'!$B$9:$C$16,2,FALSE)</f>
        <v>0</v>
      </c>
      <c r="CJ112" s="81">
        <f>$CB$112*VLOOKUP($CB$11,'PCU Values'!$B$9:$C$16,2,FALSE)</f>
        <v>0</v>
      </c>
      <c r="CK112" s="81">
        <f>$CC$112*VLOOKUP($CC$11,'PCU Values'!$B$9:$C$16,2,FALSE)</f>
        <v>0</v>
      </c>
      <c r="CL112" s="81">
        <f>$CD$112*VLOOKUP($CD$11,'PCU Values'!$B$9:$C$16,2,FALSE)</f>
        <v>2</v>
      </c>
      <c r="CM112" s="81">
        <f>$CE$112*VLOOKUP($CE$11,'PCU Values'!$B$9:$C$16,2,FALSE)</f>
        <v>0</v>
      </c>
      <c r="CN112" s="82">
        <f>$CF$112*VLOOKUP($CF$11,'PCU Values'!$B$9:$C$16,2,FALSE)</f>
        <v>0</v>
      </c>
      <c r="CO112" s="71">
        <f>SUM($CG$112,$CH$112,$CI$112,$CJ$112,$CK$112,$CL$112,$CM$112,$CN$112)</f>
        <v>8</v>
      </c>
      <c r="CP112" s="52">
        <f>SUM($BY$112,$BZ$112,$CA$112,$CB$112,$CC$112,$CD$112,$CE$112,$CF$112)</f>
        <v>16</v>
      </c>
      <c r="CQ112" s="91">
        <f>SUM('J1 A - (North) Bishopthorpe Roa'!$AM$112,'J1 B - Butcher Terrace'!$U$112,'J1 C - (South) Bishopthorpe Roa'!$C$112,'J1 D - South Bank Avenue'!$BE$112)</f>
        <v>7</v>
      </c>
      <c r="CR112" s="85">
        <f>SUM('J1 A - (North) Bishopthorpe Roa'!$AN$112,'J1 B - Butcher Terrace'!$V$112,'J1 C - (South) Bishopthorpe Roa'!$D$112,'J1 D - South Bank Avenue'!$BF$112)</f>
        <v>1</v>
      </c>
      <c r="CS112" s="85">
        <f>SUM('J1 A - (North) Bishopthorpe Roa'!$AO$112,'J1 B - Butcher Terrace'!$W$112,'J1 C - (South) Bishopthorpe Roa'!$E$112,'J1 D - South Bank Avenue'!$BG$112)</f>
        <v>0</v>
      </c>
      <c r="CT112" s="85">
        <f>SUM('J1 A - (North) Bishopthorpe Roa'!$AP$112,'J1 B - Butcher Terrace'!$X$112,'J1 C - (South) Bishopthorpe Roa'!$F$112,'J1 D - South Bank Avenue'!$BH$112)</f>
        <v>0</v>
      </c>
      <c r="CU112" s="85">
        <f>SUM('J1 A - (North) Bishopthorpe Roa'!$AQ$112,'J1 B - Butcher Terrace'!$Y$112,'J1 C - (South) Bishopthorpe Roa'!$G$112,'J1 D - South Bank Avenue'!$BI$112)</f>
        <v>0</v>
      </c>
      <c r="CV112" s="85">
        <f>SUM('J1 A - (North) Bishopthorpe Roa'!$AR$112,'J1 B - Butcher Terrace'!$Z$112,'J1 C - (South) Bishopthorpe Roa'!$H$112,'J1 D - South Bank Avenue'!$BJ$112)</f>
        <v>8</v>
      </c>
      <c r="CW112" s="85">
        <f>SUM('J1 A - (North) Bishopthorpe Roa'!$AS$112,'J1 B - Butcher Terrace'!$AA$112,'J1 C - (South) Bishopthorpe Roa'!$I$112,'J1 D - South Bank Avenue'!$BK$112)</f>
        <v>0</v>
      </c>
      <c r="CX112" s="88">
        <f>SUM('J1 A - (North) Bishopthorpe Roa'!$AT$112,'J1 B - Butcher Terrace'!$AB$112,'J1 C - (South) Bishopthorpe Roa'!$J$112,'J1 D - South Bank Avenue'!$BL$112)</f>
        <v>0</v>
      </c>
      <c r="CY112" s="81">
        <f>$CQ$112*VLOOKUP($CQ$11,'PCU Values'!$B$9:$C$16,2,FALSE)</f>
        <v>7</v>
      </c>
      <c r="CZ112" s="81">
        <f>$CR$112*VLOOKUP($CR$11,'PCU Values'!$B$9:$C$16,2,FALSE)</f>
        <v>1</v>
      </c>
      <c r="DA112" s="81">
        <f>$CS$112*VLOOKUP($CS$11,'PCU Values'!$B$9:$C$16,2,FALSE)</f>
        <v>0</v>
      </c>
      <c r="DB112" s="81">
        <f>$CT$112*VLOOKUP($CT$11,'PCU Values'!$B$9:$C$16,2,FALSE)</f>
        <v>0</v>
      </c>
      <c r="DC112" s="81">
        <f>$CU$112*VLOOKUP($CU$11,'PCU Values'!$B$9:$C$16,2,FALSE)</f>
        <v>0</v>
      </c>
      <c r="DD112" s="81">
        <f>$CV$112*VLOOKUP($CV$11,'PCU Values'!$B$9:$C$16,2,FALSE)</f>
        <v>1.6</v>
      </c>
      <c r="DE112" s="81">
        <f>$CW$112*VLOOKUP($CW$11,'PCU Values'!$B$9:$C$16,2,FALSE)</f>
        <v>0</v>
      </c>
      <c r="DF112" s="82">
        <f>$CX$112*VLOOKUP($CX$11,'PCU Values'!$B$9:$C$16,2,FALSE)</f>
        <v>0</v>
      </c>
      <c r="DG112" s="71">
        <f>SUM($CY$112,$CZ$112,$DA$112,$DB$112,$DC$112,$DD$112,$DE$112,$DF$112)</f>
        <v>9.6</v>
      </c>
      <c r="DH112" s="52">
        <f>SUM($CQ$112,$CR$112,$CS$112,$CT$112,$CU$112,$CV$112,$CW$112,$CX$112)</f>
        <v>16</v>
      </c>
    </row>
    <row r="113" spans="1:112" ht="21" customHeight="1">
      <c r="A113" s="46">
        <v>44395.84375</v>
      </c>
      <c r="B113" s="47" t="s">
        <v>112</v>
      </c>
      <c r="C113" s="48">
        <v>3</v>
      </c>
      <c r="D113" s="48">
        <v>1</v>
      </c>
      <c r="E113" s="48">
        <v>0</v>
      </c>
      <c r="F113" s="48">
        <v>0</v>
      </c>
      <c r="G113" s="48">
        <v>0</v>
      </c>
      <c r="H113" s="48">
        <v>0</v>
      </c>
      <c r="I113" s="48">
        <v>1</v>
      </c>
      <c r="J113" s="56">
        <v>0</v>
      </c>
      <c r="K113" s="57">
        <f>$C$113*VLOOKUP($C$11,'PCU Values'!$B$9:$C$16,2,FALSE)</f>
        <v>3</v>
      </c>
      <c r="L113" s="57">
        <f>$D$113*VLOOKUP($D$11,'PCU Values'!$B$9:$C$16,2,FALSE)</f>
        <v>1</v>
      </c>
      <c r="M113" s="57">
        <f>$E$113*VLOOKUP($E$11,'PCU Values'!$B$9:$C$16,2,FALSE)</f>
        <v>0</v>
      </c>
      <c r="N113" s="57">
        <f>$F$113*VLOOKUP($F$11,'PCU Values'!$B$9:$C$16,2,FALSE)</f>
        <v>0</v>
      </c>
      <c r="O113" s="57">
        <f>$G$113*VLOOKUP($G$11,'PCU Values'!$B$9:$C$16,2,FALSE)</f>
        <v>0</v>
      </c>
      <c r="P113" s="57">
        <f>$H$113*VLOOKUP($H$11,'PCU Values'!$B$9:$C$16,2,FALSE)</f>
        <v>0</v>
      </c>
      <c r="Q113" s="57">
        <f>$I$113*VLOOKUP($I$11,'PCU Values'!$B$9:$C$16,2,FALSE)</f>
        <v>0.4</v>
      </c>
      <c r="R113" s="65">
        <f>$J$113*VLOOKUP($J$11,'PCU Values'!$B$9:$C$16,2,FALSE)</f>
        <v>0</v>
      </c>
      <c r="S113" s="66">
        <f>SUM($K$113,$L$113,$M$113,$N$113,$O$113,$P$113,$Q$113,$R$113)</f>
        <v>4.4000000000000004</v>
      </c>
      <c r="T113" s="52">
        <f>SUM($C$113,$D$113,$E$113,$F$113,$G$113,$H$113,$I$113,$J$113)</f>
        <v>5</v>
      </c>
      <c r="U113" s="67">
        <v>0</v>
      </c>
      <c r="V113" s="48">
        <v>0</v>
      </c>
      <c r="W113" s="48">
        <v>0</v>
      </c>
      <c r="X113" s="48">
        <v>0</v>
      </c>
      <c r="Y113" s="48">
        <v>0</v>
      </c>
      <c r="Z113" s="48">
        <v>1</v>
      </c>
      <c r="AA113" s="48">
        <v>0</v>
      </c>
      <c r="AB113" s="56">
        <v>0</v>
      </c>
      <c r="AC113" s="57">
        <f>$U$113*VLOOKUP($U$11,'PCU Values'!$B$9:$C$16,2,FALSE)</f>
        <v>0</v>
      </c>
      <c r="AD113" s="57">
        <f>$V$113*VLOOKUP($V$11,'PCU Values'!$B$9:$C$16,2,FALSE)</f>
        <v>0</v>
      </c>
      <c r="AE113" s="57">
        <f>$W$113*VLOOKUP($W$11,'PCU Values'!$B$9:$C$16,2,FALSE)</f>
        <v>0</v>
      </c>
      <c r="AF113" s="57">
        <f>$X$113*VLOOKUP($X$11,'PCU Values'!$B$9:$C$16,2,FALSE)</f>
        <v>0</v>
      </c>
      <c r="AG113" s="57">
        <f>$Y$113*VLOOKUP($Y$11,'PCU Values'!$B$9:$C$16,2,FALSE)</f>
        <v>0</v>
      </c>
      <c r="AH113" s="57">
        <f>$Z$113*VLOOKUP($Z$11,'PCU Values'!$B$9:$C$16,2,FALSE)</f>
        <v>0.2</v>
      </c>
      <c r="AI113" s="57">
        <f>$AA$113*VLOOKUP($AA$11,'PCU Values'!$B$9:$C$16,2,FALSE)</f>
        <v>0</v>
      </c>
      <c r="AJ113" s="65">
        <f>$AB$113*VLOOKUP($AB$11,'PCU Values'!$B$9:$C$16,2,FALSE)</f>
        <v>0</v>
      </c>
      <c r="AK113" s="66">
        <f>SUM($AC$113,$AD$113,$AE$113,$AF$113,$AG$113,$AH$113,$AI$113,$AJ$113)</f>
        <v>0.2</v>
      </c>
      <c r="AL113" s="52">
        <f>SUM($U$113,$V$113,$W$113,$X$113,$Y$113,$Z$113,$AA$113,$AB$113)</f>
        <v>1</v>
      </c>
      <c r="AM113" s="67">
        <v>0</v>
      </c>
      <c r="AN113" s="48">
        <v>0</v>
      </c>
      <c r="AO113" s="48">
        <v>0</v>
      </c>
      <c r="AP113" s="48">
        <v>0</v>
      </c>
      <c r="AQ113" s="48">
        <v>0</v>
      </c>
      <c r="AR113" s="48">
        <v>0</v>
      </c>
      <c r="AS113" s="48">
        <v>0</v>
      </c>
      <c r="AT113" s="56">
        <v>0</v>
      </c>
      <c r="AU113" s="57">
        <f>$AM$113*VLOOKUP($AM$11,'PCU Values'!$B$9:$C$16,2,FALSE)</f>
        <v>0</v>
      </c>
      <c r="AV113" s="57">
        <f>$AN$113*VLOOKUP($AN$11,'PCU Values'!$B$9:$C$16,2,FALSE)</f>
        <v>0</v>
      </c>
      <c r="AW113" s="57">
        <f>$AO$113*VLOOKUP($AO$11,'PCU Values'!$B$9:$C$16,2,FALSE)</f>
        <v>0</v>
      </c>
      <c r="AX113" s="57">
        <f>$AP$113*VLOOKUP($AP$11,'PCU Values'!$B$9:$C$16,2,FALSE)</f>
        <v>0</v>
      </c>
      <c r="AY113" s="57">
        <f>$AQ$113*VLOOKUP($AQ$11,'PCU Values'!$B$9:$C$16,2,FALSE)</f>
        <v>0</v>
      </c>
      <c r="AZ113" s="57">
        <f>$AR$113*VLOOKUP($AR$11,'PCU Values'!$B$9:$C$16,2,FALSE)</f>
        <v>0</v>
      </c>
      <c r="BA113" s="57">
        <f>$AS$113*VLOOKUP($AS$11,'PCU Values'!$B$9:$C$16,2,FALSE)</f>
        <v>0</v>
      </c>
      <c r="BB113" s="65">
        <f>$AT$113*VLOOKUP($AT$11,'PCU Values'!$B$9:$C$16,2,FALSE)</f>
        <v>0</v>
      </c>
      <c r="BC113" s="66">
        <f>SUM($AU$113,$AV$113,$AW$113,$AX$113,$AY$113,$AZ$113,$BA$113,$BB$113)</f>
        <v>0</v>
      </c>
      <c r="BD113" s="52">
        <f>SUM($AM$113,$AN$113,$AO$113,$AP$113,$AQ$113,$AR$113,$AS$113,$AT$113)</f>
        <v>0</v>
      </c>
      <c r="BE113" s="67">
        <v>0</v>
      </c>
      <c r="BF113" s="48">
        <v>0</v>
      </c>
      <c r="BG113" s="48">
        <v>0</v>
      </c>
      <c r="BH113" s="48">
        <v>0</v>
      </c>
      <c r="BI113" s="48">
        <v>0</v>
      </c>
      <c r="BJ113" s="48">
        <v>0</v>
      </c>
      <c r="BK113" s="48">
        <v>0</v>
      </c>
      <c r="BL113" s="56">
        <v>0</v>
      </c>
      <c r="BM113" s="77">
        <f>$BE$113*VLOOKUP($BE$11,'PCU Values'!$B$9:$C$16,2,FALSE)</f>
        <v>0</v>
      </c>
      <c r="BN113" s="77">
        <f>$BF$113*VLOOKUP($BF$11,'PCU Values'!$B$9:$C$16,2,FALSE)</f>
        <v>0</v>
      </c>
      <c r="BO113" s="77">
        <f>$BG$113*VLOOKUP($BG$11,'PCU Values'!$B$9:$C$16,2,FALSE)</f>
        <v>0</v>
      </c>
      <c r="BP113" s="77">
        <f>$BH$113*VLOOKUP($BH$11,'PCU Values'!$B$9:$C$16,2,FALSE)</f>
        <v>0</v>
      </c>
      <c r="BQ113" s="77">
        <f>$BI$113*VLOOKUP($BI$11,'PCU Values'!$B$9:$C$16,2,FALSE)</f>
        <v>0</v>
      </c>
      <c r="BR113" s="77">
        <f>$BJ$113*VLOOKUP($BJ$11,'PCU Values'!$B$9:$C$16,2,FALSE)</f>
        <v>0</v>
      </c>
      <c r="BS113" s="77">
        <f>$BK$113*VLOOKUP($BK$11,'PCU Values'!$B$9:$C$16,2,FALSE)</f>
        <v>0</v>
      </c>
      <c r="BT113" s="78">
        <f>$BL$113*VLOOKUP($BL$11,'PCU Values'!$B$9:$C$16,2,FALSE)</f>
        <v>0</v>
      </c>
      <c r="BU113" s="66">
        <f>SUM($BM$113,$BN$113,$BO$113,$BP$113,$BQ$113,$BR$113,$BS$113,$BT$113)</f>
        <v>0</v>
      </c>
      <c r="BV113" s="52">
        <f>SUM($BE$113,$BF$113,$BG$113,$BH$113,$BI$113,$BJ$113,$BK$113,$BL$113)</f>
        <v>0</v>
      </c>
      <c r="BX113" s="47" t="s">
        <v>112</v>
      </c>
      <c r="BY113" s="83">
        <f>SUM($C$113,$U$113,$AM$113,$BE$113)</f>
        <v>3</v>
      </c>
      <c r="BZ113" s="83">
        <f>SUM($D$113,$V$113,$AN$113,$BF$113)</f>
        <v>1</v>
      </c>
      <c r="CA113" s="83">
        <f>SUM($E$113,$W$113,$AO$113,$BG$113)</f>
        <v>0</v>
      </c>
      <c r="CB113" s="83">
        <f>SUM($F$113,$X$113,$AP$113,$BH$113)</f>
        <v>0</v>
      </c>
      <c r="CC113" s="83">
        <f>SUM($G$113,$Y$113,$AQ$113,$BI$113)</f>
        <v>0</v>
      </c>
      <c r="CD113" s="83">
        <f>SUM($H$113,$Z$113,$AR$113,$BJ$113)</f>
        <v>1</v>
      </c>
      <c r="CE113" s="83">
        <f>SUM($I$113,$AA$113,$AS$113,$BK$113)</f>
        <v>1</v>
      </c>
      <c r="CF113" s="86">
        <f>SUM($J$113,$AB$113,$AT$113,$BL$113)</f>
        <v>0</v>
      </c>
      <c r="CG113" s="77">
        <f>$BY$113*VLOOKUP($BY$11,'PCU Values'!$B$9:$C$16,2,FALSE)</f>
        <v>3</v>
      </c>
      <c r="CH113" s="77">
        <f>$BZ$113*VLOOKUP($BZ$11,'PCU Values'!$B$9:$C$16,2,FALSE)</f>
        <v>1</v>
      </c>
      <c r="CI113" s="77">
        <f>$CA$113*VLOOKUP($CA$11,'PCU Values'!$B$9:$C$16,2,FALSE)</f>
        <v>0</v>
      </c>
      <c r="CJ113" s="77">
        <f>$CB$113*VLOOKUP($CB$11,'PCU Values'!$B$9:$C$16,2,FALSE)</f>
        <v>0</v>
      </c>
      <c r="CK113" s="77">
        <f>$CC$113*VLOOKUP($CC$11,'PCU Values'!$B$9:$C$16,2,FALSE)</f>
        <v>0</v>
      </c>
      <c r="CL113" s="77">
        <f>$CD$113*VLOOKUP($CD$11,'PCU Values'!$B$9:$C$16,2,FALSE)</f>
        <v>0.2</v>
      </c>
      <c r="CM113" s="77">
        <f>$CE$113*VLOOKUP($CE$11,'PCU Values'!$B$9:$C$16,2,FALSE)</f>
        <v>0.4</v>
      </c>
      <c r="CN113" s="78">
        <f>$CF$113*VLOOKUP($CF$11,'PCU Values'!$B$9:$C$16,2,FALSE)</f>
        <v>0</v>
      </c>
      <c r="CO113" s="66">
        <f>SUM($CG$113,$CH$113,$CI$113,$CJ$113,$CK$113,$CL$113,$CM$113,$CN$113)</f>
        <v>4.5999999999999996</v>
      </c>
      <c r="CP113" s="52">
        <f>SUM($BY$113,$BZ$113,$CA$113,$CB$113,$CC$113,$CD$113,$CE$113,$CF$113)</f>
        <v>6</v>
      </c>
      <c r="CQ113" s="89">
        <f>SUM('J1 A - (North) Bishopthorpe Roa'!$AM$113,'J1 B - Butcher Terrace'!$U$113,'J1 C - (South) Bishopthorpe Roa'!$C$113,'J1 D - South Bank Avenue'!$BE$113)</f>
        <v>6</v>
      </c>
      <c r="CR113" s="83">
        <f>SUM('J1 A - (North) Bishopthorpe Roa'!$AN$113,'J1 B - Butcher Terrace'!$V$113,'J1 C - (South) Bishopthorpe Roa'!$D$113,'J1 D - South Bank Avenue'!$BF$113)</f>
        <v>2</v>
      </c>
      <c r="CS113" s="83">
        <f>SUM('J1 A - (North) Bishopthorpe Roa'!$AO$113,'J1 B - Butcher Terrace'!$W$113,'J1 C - (South) Bishopthorpe Roa'!$E$113,'J1 D - South Bank Avenue'!$BG$113)</f>
        <v>0</v>
      </c>
      <c r="CT113" s="83">
        <f>SUM('J1 A - (North) Bishopthorpe Roa'!$AP$113,'J1 B - Butcher Terrace'!$X$113,'J1 C - (South) Bishopthorpe Roa'!$F$113,'J1 D - South Bank Avenue'!$BH$113)</f>
        <v>0</v>
      </c>
      <c r="CU113" s="83">
        <f>SUM('J1 A - (North) Bishopthorpe Roa'!$AQ$113,'J1 B - Butcher Terrace'!$Y$113,'J1 C - (South) Bishopthorpe Roa'!$G$113,'J1 D - South Bank Avenue'!$BI$113)</f>
        <v>0</v>
      </c>
      <c r="CV113" s="83">
        <f>SUM('J1 A - (North) Bishopthorpe Roa'!$AR$113,'J1 B - Butcher Terrace'!$Z$113,'J1 C - (South) Bishopthorpe Roa'!$H$113,'J1 D - South Bank Avenue'!$BJ$113)</f>
        <v>2</v>
      </c>
      <c r="CW113" s="83">
        <f>SUM('J1 A - (North) Bishopthorpe Roa'!$AS$113,'J1 B - Butcher Terrace'!$AA$113,'J1 C - (South) Bishopthorpe Roa'!$I$113,'J1 D - South Bank Avenue'!$BK$113)</f>
        <v>0</v>
      </c>
      <c r="CX113" s="86">
        <f>SUM('J1 A - (North) Bishopthorpe Roa'!$AT$113,'J1 B - Butcher Terrace'!$AB$113,'J1 C - (South) Bishopthorpe Roa'!$J$113,'J1 D - South Bank Avenue'!$BL$113)</f>
        <v>0</v>
      </c>
      <c r="CY113" s="77">
        <f>$CQ$113*VLOOKUP($CQ$11,'PCU Values'!$B$9:$C$16,2,FALSE)</f>
        <v>6</v>
      </c>
      <c r="CZ113" s="77">
        <f>$CR$113*VLOOKUP($CR$11,'PCU Values'!$B$9:$C$16,2,FALSE)</f>
        <v>2</v>
      </c>
      <c r="DA113" s="77">
        <f>$CS$113*VLOOKUP($CS$11,'PCU Values'!$B$9:$C$16,2,FALSE)</f>
        <v>0</v>
      </c>
      <c r="DB113" s="77">
        <f>$CT$113*VLOOKUP($CT$11,'PCU Values'!$B$9:$C$16,2,FALSE)</f>
        <v>0</v>
      </c>
      <c r="DC113" s="77">
        <f>$CU$113*VLOOKUP($CU$11,'PCU Values'!$B$9:$C$16,2,FALSE)</f>
        <v>0</v>
      </c>
      <c r="DD113" s="77">
        <f>$CV$113*VLOOKUP($CV$11,'PCU Values'!$B$9:$C$16,2,FALSE)</f>
        <v>0.4</v>
      </c>
      <c r="DE113" s="77">
        <f>$CW$113*VLOOKUP($CW$11,'PCU Values'!$B$9:$C$16,2,FALSE)</f>
        <v>0</v>
      </c>
      <c r="DF113" s="78">
        <f>$CX$113*VLOOKUP($CX$11,'PCU Values'!$B$9:$C$16,2,FALSE)</f>
        <v>0</v>
      </c>
      <c r="DG113" s="66">
        <f>SUM($CY$113,$CZ$113,$DA$113,$DB$113,$DC$113,$DD$113,$DE$113,$DF$113)</f>
        <v>8.4</v>
      </c>
      <c r="DH113" s="52">
        <f>SUM($CQ$113,$CR$113,$CS$113,$CT$113,$CU$113,$CV$113,$CW$113,$CX$113)</f>
        <v>10</v>
      </c>
    </row>
    <row r="114" spans="1:112" ht="21" customHeight="1">
      <c r="A114" s="46">
        <v>44395.854166666701</v>
      </c>
      <c r="B114" s="47" t="s">
        <v>113</v>
      </c>
      <c r="C114" s="48">
        <v>3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1</v>
      </c>
      <c r="J114" s="56">
        <v>0</v>
      </c>
      <c r="K114" s="57">
        <f>$C$114*VLOOKUP($C$11,'PCU Values'!$B$9:$C$16,2,FALSE)</f>
        <v>3</v>
      </c>
      <c r="L114" s="57">
        <f>$D$114*VLOOKUP($D$11,'PCU Values'!$B$9:$C$16,2,FALSE)</f>
        <v>0</v>
      </c>
      <c r="M114" s="57">
        <f>$E$114*VLOOKUP($E$11,'PCU Values'!$B$9:$C$16,2,FALSE)</f>
        <v>0</v>
      </c>
      <c r="N114" s="57">
        <f>$F$114*VLOOKUP($F$11,'PCU Values'!$B$9:$C$16,2,FALSE)</f>
        <v>0</v>
      </c>
      <c r="O114" s="57">
        <f>$G$114*VLOOKUP($G$11,'PCU Values'!$B$9:$C$16,2,FALSE)</f>
        <v>0</v>
      </c>
      <c r="P114" s="57">
        <f>$H$114*VLOOKUP($H$11,'PCU Values'!$B$9:$C$16,2,FALSE)</f>
        <v>0</v>
      </c>
      <c r="Q114" s="57">
        <f>$I$114*VLOOKUP($I$11,'PCU Values'!$B$9:$C$16,2,FALSE)</f>
        <v>0.4</v>
      </c>
      <c r="R114" s="65">
        <f>$J$114*VLOOKUP($J$11,'PCU Values'!$B$9:$C$16,2,FALSE)</f>
        <v>0</v>
      </c>
      <c r="S114" s="66">
        <f>SUM($K$114,$L$114,$M$114,$N$114,$O$114,$P$114,$Q$114,$R$114)</f>
        <v>3.4</v>
      </c>
      <c r="T114" s="52">
        <f>SUM($C$114,$D$114,$E$114,$F$114,$G$114,$H$114,$I$114,$J$114)</f>
        <v>4</v>
      </c>
      <c r="U114" s="67">
        <v>0</v>
      </c>
      <c r="V114" s="48">
        <v>0</v>
      </c>
      <c r="W114" s="48">
        <v>0</v>
      </c>
      <c r="X114" s="48">
        <v>0</v>
      </c>
      <c r="Y114" s="48">
        <v>0</v>
      </c>
      <c r="Z114" s="48">
        <v>5</v>
      </c>
      <c r="AA114" s="48">
        <v>0</v>
      </c>
      <c r="AB114" s="56">
        <v>0</v>
      </c>
      <c r="AC114" s="57">
        <f>$U$114*VLOOKUP($U$11,'PCU Values'!$B$9:$C$16,2,FALSE)</f>
        <v>0</v>
      </c>
      <c r="AD114" s="57">
        <f>$V$114*VLOOKUP($V$11,'PCU Values'!$B$9:$C$16,2,FALSE)</f>
        <v>0</v>
      </c>
      <c r="AE114" s="57">
        <f>$W$114*VLOOKUP($W$11,'PCU Values'!$B$9:$C$16,2,FALSE)</f>
        <v>0</v>
      </c>
      <c r="AF114" s="57">
        <f>$X$114*VLOOKUP($X$11,'PCU Values'!$B$9:$C$16,2,FALSE)</f>
        <v>0</v>
      </c>
      <c r="AG114" s="57">
        <f>$Y$114*VLOOKUP($Y$11,'PCU Values'!$B$9:$C$16,2,FALSE)</f>
        <v>0</v>
      </c>
      <c r="AH114" s="57">
        <f>$Z$114*VLOOKUP($Z$11,'PCU Values'!$B$9:$C$16,2,FALSE)</f>
        <v>1</v>
      </c>
      <c r="AI114" s="57">
        <f>$AA$114*VLOOKUP($AA$11,'PCU Values'!$B$9:$C$16,2,FALSE)</f>
        <v>0</v>
      </c>
      <c r="AJ114" s="65">
        <f>$AB$114*VLOOKUP($AB$11,'PCU Values'!$B$9:$C$16,2,FALSE)</f>
        <v>0</v>
      </c>
      <c r="AK114" s="66">
        <f>SUM($AC$114,$AD$114,$AE$114,$AF$114,$AG$114,$AH$114,$AI$114,$AJ$114)</f>
        <v>1</v>
      </c>
      <c r="AL114" s="52">
        <f>SUM($U$114,$V$114,$W$114,$X$114,$Y$114,$Z$114,$AA$114,$AB$114)</f>
        <v>5</v>
      </c>
      <c r="AM114" s="67">
        <v>0</v>
      </c>
      <c r="AN114" s="48">
        <v>0</v>
      </c>
      <c r="AO114" s="48">
        <v>0</v>
      </c>
      <c r="AP114" s="48">
        <v>0</v>
      </c>
      <c r="AQ114" s="48">
        <v>0</v>
      </c>
      <c r="AR114" s="48">
        <v>0</v>
      </c>
      <c r="AS114" s="48">
        <v>0</v>
      </c>
      <c r="AT114" s="56">
        <v>0</v>
      </c>
      <c r="AU114" s="57">
        <f>$AM$114*VLOOKUP($AM$11,'PCU Values'!$B$9:$C$16,2,FALSE)</f>
        <v>0</v>
      </c>
      <c r="AV114" s="57">
        <f>$AN$114*VLOOKUP($AN$11,'PCU Values'!$B$9:$C$16,2,FALSE)</f>
        <v>0</v>
      </c>
      <c r="AW114" s="57">
        <f>$AO$114*VLOOKUP($AO$11,'PCU Values'!$B$9:$C$16,2,FALSE)</f>
        <v>0</v>
      </c>
      <c r="AX114" s="57">
        <f>$AP$114*VLOOKUP($AP$11,'PCU Values'!$B$9:$C$16,2,FALSE)</f>
        <v>0</v>
      </c>
      <c r="AY114" s="57">
        <f>$AQ$114*VLOOKUP($AQ$11,'PCU Values'!$B$9:$C$16,2,FALSE)</f>
        <v>0</v>
      </c>
      <c r="AZ114" s="57">
        <f>$AR$114*VLOOKUP($AR$11,'PCU Values'!$B$9:$C$16,2,FALSE)</f>
        <v>0</v>
      </c>
      <c r="BA114" s="57">
        <f>$AS$114*VLOOKUP($AS$11,'PCU Values'!$B$9:$C$16,2,FALSE)</f>
        <v>0</v>
      </c>
      <c r="BB114" s="65">
        <f>$AT$114*VLOOKUP($AT$11,'PCU Values'!$B$9:$C$16,2,FALSE)</f>
        <v>0</v>
      </c>
      <c r="BC114" s="66">
        <f>SUM($AU$114,$AV$114,$AW$114,$AX$114,$AY$114,$AZ$114,$BA$114,$BB$114)</f>
        <v>0</v>
      </c>
      <c r="BD114" s="52">
        <f>SUM($AM$114,$AN$114,$AO$114,$AP$114,$AQ$114,$AR$114,$AS$114,$AT$114)</f>
        <v>0</v>
      </c>
      <c r="BE114" s="67">
        <v>0</v>
      </c>
      <c r="BF114" s="48">
        <v>0</v>
      </c>
      <c r="BG114" s="48">
        <v>0</v>
      </c>
      <c r="BH114" s="48">
        <v>0</v>
      </c>
      <c r="BI114" s="48">
        <v>0</v>
      </c>
      <c r="BJ114" s="48">
        <v>0</v>
      </c>
      <c r="BK114" s="48">
        <v>0</v>
      </c>
      <c r="BL114" s="56">
        <v>0</v>
      </c>
      <c r="BM114" s="77">
        <f>$BE$114*VLOOKUP($BE$11,'PCU Values'!$B$9:$C$16,2,FALSE)</f>
        <v>0</v>
      </c>
      <c r="BN114" s="77">
        <f>$BF$114*VLOOKUP($BF$11,'PCU Values'!$B$9:$C$16,2,FALSE)</f>
        <v>0</v>
      </c>
      <c r="BO114" s="77">
        <f>$BG$114*VLOOKUP($BG$11,'PCU Values'!$B$9:$C$16,2,FALSE)</f>
        <v>0</v>
      </c>
      <c r="BP114" s="77">
        <f>$BH$114*VLOOKUP($BH$11,'PCU Values'!$B$9:$C$16,2,FALSE)</f>
        <v>0</v>
      </c>
      <c r="BQ114" s="77">
        <f>$BI$114*VLOOKUP($BI$11,'PCU Values'!$B$9:$C$16,2,FALSE)</f>
        <v>0</v>
      </c>
      <c r="BR114" s="77">
        <f>$BJ$114*VLOOKUP($BJ$11,'PCU Values'!$B$9:$C$16,2,FALSE)</f>
        <v>0</v>
      </c>
      <c r="BS114" s="77">
        <f>$BK$114*VLOOKUP($BK$11,'PCU Values'!$B$9:$C$16,2,FALSE)</f>
        <v>0</v>
      </c>
      <c r="BT114" s="78">
        <f>$BL$114*VLOOKUP($BL$11,'PCU Values'!$B$9:$C$16,2,FALSE)</f>
        <v>0</v>
      </c>
      <c r="BU114" s="66">
        <f>SUM($BM$114,$BN$114,$BO$114,$BP$114,$BQ$114,$BR$114,$BS$114,$BT$114)</f>
        <v>0</v>
      </c>
      <c r="BV114" s="52">
        <f>SUM($BE$114,$BF$114,$BG$114,$BH$114,$BI$114,$BJ$114,$BK$114,$BL$114)</f>
        <v>0</v>
      </c>
      <c r="BX114" s="47" t="s">
        <v>113</v>
      </c>
      <c r="BY114" s="83">
        <f>SUM($C$114,$U$114,$AM$114,$BE$114)</f>
        <v>3</v>
      </c>
      <c r="BZ114" s="83">
        <f>SUM($D$114,$V$114,$AN$114,$BF$114)</f>
        <v>0</v>
      </c>
      <c r="CA114" s="83">
        <f>SUM($E$114,$W$114,$AO$114,$BG$114)</f>
        <v>0</v>
      </c>
      <c r="CB114" s="83">
        <f>SUM($F$114,$X$114,$AP$114,$BH$114)</f>
        <v>0</v>
      </c>
      <c r="CC114" s="83">
        <f>SUM($G$114,$Y$114,$AQ$114,$BI$114)</f>
        <v>0</v>
      </c>
      <c r="CD114" s="83">
        <f>SUM($H$114,$Z$114,$AR$114,$BJ$114)</f>
        <v>5</v>
      </c>
      <c r="CE114" s="83">
        <f>SUM($I$114,$AA$114,$AS$114,$BK$114)</f>
        <v>1</v>
      </c>
      <c r="CF114" s="86">
        <f>SUM($J$114,$AB$114,$AT$114,$BL$114)</f>
        <v>0</v>
      </c>
      <c r="CG114" s="77">
        <f>$BY$114*VLOOKUP($BY$11,'PCU Values'!$B$9:$C$16,2,FALSE)</f>
        <v>3</v>
      </c>
      <c r="CH114" s="77">
        <f>$BZ$114*VLOOKUP($BZ$11,'PCU Values'!$B$9:$C$16,2,FALSE)</f>
        <v>0</v>
      </c>
      <c r="CI114" s="77">
        <f>$CA$114*VLOOKUP($CA$11,'PCU Values'!$B$9:$C$16,2,FALSE)</f>
        <v>0</v>
      </c>
      <c r="CJ114" s="77">
        <f>$CB$114*VLOOKUP($CB$11,'PCU Values'!$B$9:$C$16,2,FALSE)</f>
        <v>0</v>
      </c>
      <c r="CK114" s="77">
        <f>$CC$114*VLOOKUP($CC$11,'PCU Values'!$B$9:$C$16,2,FALSE)</f>
        <v>0</v>
      </c>
      <c r="CL114" s="77">
        <f>$CD$114*VLOOKUP($CD$11,'PCU Values'!$B$9:$C$16,2,FALSE)</f>
        <v>1</v>
      </c>
      <c r="CM114" s="77">
        <f>$CE$114*VLOOKUP($CE$11,'PCU Values'!$B$9:$C$16,2,FALSE)</f>
        <v>0.4</v>
      </c>
      <c r="CN114" s="78">
        <f>$CF$114*VLOOKUP($CF$11,'PCU Values'!$B$9:$C$16,2,FALSE)</f>
        <v>0</v>
      </c>
      <c r="CO114" s="66">
        <f>SUM($CG$114,$CH$114,$CI$114,$CJ$114,$CK$114,$CL$114,$CM$114,$CN$114)</f>
        <v>4.4000000000000004</v>
      </c>
      <c r="CP114" s="52">
        <f>SUM($BY$114,$BZ$114,$CA$114,$CB$114,$CC$114,$CD$114,$CE$114,$CF$114)</f>
        <v>9</v>
      </c>
      <c r="CQ114" s="89">
        <f>SUM('J1 A - (North) Bishopthorpe Roa'!$AM$114,'J1 B - Butcher Terrace'!$U$114,'J1 C - (South) Bishopthorpe Roa'!$C$114,'J1 D - South Bank Avenue'!$BE$114)</f>
        <v>2</v>
      </c>
      <c r="CR114" s="83">
        <f>SUM('J1 A - (North) Bishopthorpe Roa'!$AN$114,'J1 B - Butcher Terrace'!$V$114,'J1 C - (South) Bishopthorpe Roa'!$D$114,'J1 D - South Bank Avenue'!$BF$114)</f>
        <v>0</v>
      </c>
      <c r="CS114" s="83">
        <f>SUM('J1 A - (North) Bishopthorpe Roa'!$AO$114,'J1 B - Butcher Terrace'!$W$114,'J1 C - (South) Bishopthorpe Roa'!$E$114,'J1 D - South Bank Avenue'!$BG$114)</f>
        <v>0</v>
      </c>
      <c r="CT114" s="83">
        <f>SUM('J1 A - (North) Bishopthorpe Roa'!$AP$114,'J1 B - Butcher Terrace'!$X$114,'J1 C - (South) Bishopthorpe Roa'!$F$114,'J1 D - South Bank Avenue'!$BH$114)</f>
        <v>0</v>
      </c>
      <c r="CU114" s="83">
        <f>SUM('J1 A - (North) Bishopthorpe Roa'!$AQ$114,'J1 B - Butcher Terrace'!$Y$114,'J1 C - (South) Bishopthorpe Roa'!$G$114,'J1 D - South Bank Avenue'!$BI$114)</f>
        <v>0</v>
      </c>
      <c r="CV114" s="83">
        <f>SUM('J1 A - (North) Bishopthorpe Roa'!$AR$114,'J1 B - Butcher Terrace'!$Z$114,'J1 C - (South) Bishopthorpe Roa'!$H$114,'J1 D - South Bank Avenue'!$BJ$114)</f>
        <v>3</v>
      </c>
      <c r="CW114" s="83">
        <f>SUM('J1 A - (North) Bishopthorpe Roa'!$AS$114,'J1 B - Butcher Terrace'!$AA$114,'J1 C - (South) Bishopthorpe Roa'!$I$114,'J1 D - South Bank Avenue'!$BK$114)</f>
        <v>1</v>
      </c>
      <c r="CX114" s="86">
        <f>SUM('J1 A - (North) Bishopthorpe Roa'!$AT$114,'J1 B - Butcher Terrace'!$AB$114,'J1 C - (South) Bishopthorpe Roa'!$J$114,'J1 D - South Bank Avenue'!$BL$114)</f>
        <v>0</v>
      </c>
      <c r="CY114" s="77">
        <f>$CQ$114*VLOOKUP($CQ$11,'PCU Values'!$B$9:$C$16,2,FALSE)</f>
        <v>2</v>
      </c>
      <c r="CZ114" s="77">
        <f>$CR$114*VLOOKUP($CR$11,'PCU Values'!$B$9:$C$16,2,FALSE)</f>
        <v>0</v>
      </c>
      <c r="DA114" s="77">
        <f>$CS$114*VLOOKUP($CS$11,'PCU Values'!$B$9:$C$16,2,FALSE)</f>
        <v>0</v>
      </c>
      <c r="DB114" s="77">
        <f>$CT$114*VLOOKUP($CT$11,'PCU Values'!$B$9:$C$16,2,FALSE)</f>
        <v>0</v>
      </c>
      <c r="DC114" s="77">
        <f>$CU$114*VLOOKUP($CU$11,'PCU Values'!$B$9:$C$16,2,FALSE)</f>
        <v>0</v>
      </c>
      <c r="DD114" s="77">
        <f>$CV$114*VLOOKUP($CV$11,'PCU Values'!$B$9:$C$16,2,FALSE)</f>
        <v>0.6</v>
      </c>
      <c r="DE114" s="77">
        <f>$CW$114*VLOOKUP($CW$11,'PCU Values'!$B$9:$C$16,2,FALSE)</f>
        <v>0.4</v>
      </c>
      <c r="DF114" s="78">
        <f>$CX$114*VLOOKUP($CX$11,'PCU Values'!$B$9:$C$16,2,FALSE)</f>
        <v>0</v>
      </c>
      <c r="DG114" s="66">
        <f>SUM($CY$114,$CZ$114,$DA$114,$DB$114,$DC$114,$DD$114,$DE$114,$DF$114)</f>
        <v>3</v>
      </c>
      <c r="DH114" s="52">
        <f>SUM($CQ$114,$CR$114,$CS$114,$CT$114,$CU$114,$CV$114,$CW$114,$CX$114)</f>
        <v>6</v>
      </c>
    </row>
    <row r="115" spans="1:112" ht="21" customHeight="1">
      <c r="A115" s="46">
        <v>44395.864583333299</v>
      </c>
      <c r="B115" s="50" t="s">
        <v>114</v>
      </c>
      <c r="C115" s="51">
        <v>4</v>
      </c>
      <c r="D115" s="51">
        <v>0</v>
      </c>
      <c r="E115" s="51">
        <v>0</v>
      </c>
      <c r="F115" s="51">
        <v>0</v>
      </c>
      <c r="G115" s="51">
        <v>0</v>
      </c>
      <c r="H115" s="51">
        <v>0</v>
      </c>
      <c r="I115" s="51">
        <v>0</v>
      </c>
      <c r="J115" s="59">
        <v>0</v>
      </c>
      <c r="K115" s="60">
        <f>$C$115*VLOOKUP($C$11,'PCU Values'!$B$9:$C$16,2,FALSE)</f>
        <v>4</v>
      </c>
      <c r="L115" s="60">
        <f>$D$115*VLOOKUP($D$11,'PCU Values'!$B$9:$C$16,2,FALSE)</f>
        <v>0</v>
      </c>
      <c r="M115" s="60">
        <f>$E$115*VLOOKUP($E$11,'PCU Values'!$B$9:$C$16,2,FALSE)</f>
        <v>0</v>
      </c>
      <c r="N115" s="60">
        <f>$F$115*VLOOKUP($F$11,'PCU Values'!$B$9:$C$16,2,FALSE)</f>
        <v>0</v>
      </c>
      <c r="O115" s="60">
        <f>$G$115*VLOOKUP($G$11,'PCU Values'!$B$9:$C$16,2,FALSE)</f>
        <v>0</v>
      </c>
      <c r="P115" s="60">
        <f>$H$115*VLOOKUP($H$11,'PCU Values'!$B$9:$C$16,2,FALSE)</f>
        <v>0</v>
      </c>
      <c r="Q115" s="60">
        <f>$I$115*VLOOKUP($I$11,'PCU Values'!$B$9:$C$16,2,FALSE)</f>
        <v>0</v>
      </c>
      <c r="R115" s="68">
        <f>$J$115*VLOOKUP($J$11,'PCU Values'!$B$9:$C$16,2,FALSE)</f>
        <v>0</v>
      </c>
      <c r="S115" s="63">
        <f>SUM($K$115,$L$115,$M$115,$N$115,$O$115,$P$115,$Q$115,$R$115)</f>
        <v>4</v>
      </c>
      <c r="T115" s="52">
        <f>SUM($C$115,$D$115,$E$115,$F$115,$G$115,$H$115,$I$115,$J$115)</f>
        <v>4</v>
      </c>
      <c r="U115" s="73">
        <v>0</v>
      </c>
      <c r="V115" s="51">
        <v>0</v>
      </c>
      <c r="W115" s="51">
        <v>0</v>
      </c>
      <c r="X115" s="51">
        <v>0</v>
      </c>
      <c r="Y115" s="51">
        <v>0</v>
      </c>
      <c r="Z115" s="51">
        <v>1</v>
      </c>
      <c r="AA115" s="51">
        <v>0</v>
      </c>
      <c r="AB115" s="59">
        <v>0</v>
      </c>
      <c r="AC115" s="60">
        <f>$U$115*VLOOKUP($U$11,'PCU Values'!$B$9:$C$16,2,FALSE)</f>
        <v>0</v>
      </c>
      <c r="AD115" s="60">
        <f>$V$115*VLOOKUP($V$11,'PCU Values'!$B$9:$C$16,2,FALSE)</f>
        <v>0</v>
      </c>
      <c r="AE115" s="60">
        <f>$W$115*VLOOKUP($W$11,'PCU Values'!$B$9:$C$16,2,FALSE)</f>
        <v>0</v>
      </c>
      <c r="AF115" s="60">
        <f>$X$115*VLOOKUP($X$11,'PCU Values'!$B$9:$C$16,2,FALSE)</f>
        <v>0</v>
      </c>
      <c r="AG115" s="60">
        <f>$Y$115*VLOOKUP($Y$11,'PCU Values'!$B$9:$C$16,2,FALSE)</f>
        <v>0</v>
      </c>
      <c r="AH115" s="60">
        <f>$Z$115*VLOOKUP($Z$11,'PCU Values'!$B$9:$C$16,2,FALSE)</f>
        <v>0.2</v>
      </c>
      <c r="AI115" s="60">
        <f>$AA$115*VLOOKUP($AA$11,'PCU Values'!$B$9:$C$16,2,FALSE)</f>
        <v>0</v>
      </c>
      <c r="AJ115" s="68">
        <f>$AB$115*VLOOKUP($AB$11,'PCU Values'!$B$9:$C$16,2,FALSE)</f>
        <v>0</v>
      </c>
      <c r="AK115" s="63">
        <f>SUM($AC$115,$AD$115,$AE$115,$AF$115,$AG$115,$AH$115,$AI$115,$AJ$115)</f>
        <v>0.2</v>
      </c>
      <c r="AL115" s="52">
        <f>SUM($U$115,$V$115,$W$115,$X$115,$Y$115,$Z$115,$AA$115,$AB$115)</f>
        <v>1</v>
      </c>
      <c r="AM115" s="73">
        <v>1</v>
      </c>
      <c r="AN115" s="51">
        <v>0</v>
      </c>
      <c r="AO115" s="51">
        <v>0</v>
      </c>
      <c r="AP115" s="51">
        <v>0</v>
      </c>
      <c r="AQ115" s="51">
        <v>0</v>
      </c>
      <c r="AR115" s="51">
        <v>0</v>
      </c>
      <c r="AS115" s="51">
        <v>0</v>
      </c>
      <c r="AT115" s="59">
        <v>0</v>
      </c>
      <c r="AU115" s="60">
        <f>$AM$115*VLOOKUP($AM$11,'PCU Values'!$B$9:$C$16,2,FALSE)</f>
        <v>1</v>
      </c>
      <c r="AV115" s="60">
        <f>$AN$115*VLOOKUP($AN$11,'PCU Values'!$B$9:$C$16,2,FALSE)</f>
        <v>0</v>
      </c>
      <c r="AW115" s="60">
        <f>$AO$115*VLOOKUP($AO$11,'PCU Values'!$B$9:$C$16,2,FALSE)</f>
        <v>0</v>
      </c>
      <c r="AX115" s="60">
        <f>$AP$115*VLOOKUP($AP$11,'PCU Values'!$B$9:$C$16,2,FALSE)</f>
        <v>0</v>
      </c>
      <c r="AY115" s="60">
        <f>$AQ$115*VLOOKUP($AQ$11,'PCU Values'!$B$9:$C$16,2,FALSE)</f>
        <v>0</v>
      </c>
      <c r="AZ115" s="60">
        <f>$AR$115*VLOOKUP($AR$11,'PCU Values'!$B$9:$C$16,2,FALSE)</f>
        <v>0</v>
      </c>
      <c r="BA115" s="60">
        <f>$AS$115*VLOOKUP($AS$11,'PCU Values'!$B$9:$C$16,2,FALSE)</f>
        <v>0</v>
      </c>
      <c r="BB115" s="68">
        <f>$AT$115*VLOOKUP($AT$11,'PCU Values'!$B$9:$C$16,2,FALSE)</f>
        <v>0</v>
      </c>
      <c r="BC115" s="63">
        <f>SUM($AU$115,$AV$115,$AW$115,$AX$115,$AY$115,$AZ$115,$BA$115,$BB$115)</f>
        <v>1</v>
      </c>
      <c r="BD115" s="52">
        <f>SUM($AM$115,$AN$115,$AO$115,$AP$115,$AQ$115,$AR$115,$AS$115,$AT$115)</f>
        <v>1</v>
      </c>
      <c r="BE115" s="73">
        <v>0</v>
      </c>
      <c r="BF115" s="51">
        <v>0</v>
      </c>
      <c r="BG115" s="51">
        <v>0</v>
      </c>
      <c r="BH115" s="51">
        <v>0</v>
      </c>
      <c r="BI115" s="51">
        <v>0</v>
      </c>
      <c r="BJ115" s="51">
        <v>0</v>
      </c>
      <c r="BK115" s="51">
        <v>0</v>
      </c>
      <c r="BL115" s="59">
        <v>0</v>
      </c>
      <c r="BM115" s="79">
        <f>$BE$115*VLOOKUP($BE$11,'PCU Values'!$B$9:$C$16,2,FALSE)</f>
        <v>0</v>
      </c>
      <c r="BN115" s="79">
        <f>$BF$115*VLOOKUP($BF$11,'PCU Values'!$B$9:$C$16,2,FALSE)</f>
        <v>0</v>
      </c>
      <c r="BO115" s="79">
        <f>$BG$115*VLOOKUP($BG$11,'PCU Values'!$B$9:$C$16,2,FALSE)</f>
        <v>0</v>
      </c>
      <c r="BP115" s="79">
        <f>$BH$115*VLOOKUP($BH$11,'PCU Values'!$B$9:$C$16,2,FALSE)</f>
        <v>0</v>
      </c>
      <c r="BQ115" s="79">
        <f>$BI$115*VLOOKUP($BI$11,'PCU Values'!$B$9:$C$16,2,FALSE)</f>
        <v>0</v>
      </c>
      <c r="BR115" s="79">
        <f>$BJ$115*VLOOKUP($BJ$11,'PCU Values'!$B$9:$C$16,2,FALSE)</f>
        <v>0</v>
      </c>
      <c r="BS115" s="79">
        <f>$BK$115*VLOOKUP($BK$11,'PCU Values'!$B$9:$C$16,2,FALSE)</f>
        <v>0</v>
      </c>
      <c r="BT115" s="80">
        <f>$BL$115*VLOOKUP($BL$11,'PCU Values'!$B$9:$C$16,2,FALSE)</f>
        <v>0</v>
      </c>
      <c r="BU115" s="63">
        <f>SUM($BM$115,$BN$115,$BO$115,$BP$115,$BQ$115,$BR$115,$BS$115,$BT$115)</f>
        <v>0</v>
      </c>
      <c r="BV115" s="52">
        <f>SUM($BE$115,$BF$115,$BG$115,$BH$115,$BI$115,$BJ$115,$BK$115,$BL$115)</f>
        <v>0</v>
      </c>
      <c r="BX115" s="50" t="s">
        <v>114</v>
      </c>
      <c r="BY115" s="84">
        <f>SUM($C$115,$U$115,$AM$115,$BE$115)</f>
        <v>5</v>
      </c>
      <c r="BZ115" s="84">
        <f>SUM($D$115,$V$115,$AN$115,$BF$115)</f>
        <v>0</v>
      </c>
      <c r="CA115" s="84">
        <f>SUM($E$115,$W$115,$AO$115,$BG$115)</f>
        <v>0</v>
      </c>
      <c r="CB115" s="84">
        <f>SUM($F$115,$X$115,$AP$115,$BH$115)</f>
        <v>0</v>
      </c>
      <c r="CC115" s="84">
        <f>SUM($G$115,$Y$115,$AQ$115,$BI$115)</f>
        <v>0</v>
      </c>
      <c r="CD115" s="84">
        <f>SUM($H$115,$Z$115,$AR$115,$BJ$115)</f>
        <v>1</v>
      </c>
      <c r="CE115" s="84">
        <f>SUM($I$115,$AA$115,$AS$115,$BK$115)</f>
        <v>0</v>
      </c>
      <c r="CF115" s="87">
        <f>SUM($J$115,$AB$115,$AT$115,$BL$115)</f>
        <v>0</v>
      </c>
      <c r="CG115" s="79">
        <f>$BY$115*VLOOKUP($BY$11,'PCU Values'!$B$9:$C$16,2,FALSE)</f>
        <v>5</v>
      </c>
      <c r="CH115" s="79">
        <f>$BZ$115*VLOOKUP($BZ$11,'PCU Values'!$B$9:$C$16,2,FALSE)</f>
        <v>0</v>
      </c>
      <c r="CI115" s="79">
        <f>$CA$115*VLOOKUP($CA$11,'PCU Values'!$B$9:$C$16,2,FALSE)</f>
        <v>0</v>
      </c>
      <c r="CJ115" s="79">
        <f>$CB$115*VLOOKUP($CB$11,'PCU Values'!$B$9:$C$16,2,FALSE)</f>
        <v>0</v>
      </c>
      <c r="CK115" s="79">
        <f>$CC$115*VLOOKUP($CC$11,'PCU Values'!$B$9:$C$16,2,FALSE)</f>
        <v>0</v>
      </c>
      <c r="CL115" s="79">
        <f>$CD$115*VLOOKUP($CD$11,'PCU Values'!$B$9:$C$16,2,FALSE)</f>
        <v>0.2</v>
      </c>
      <c r="CM115" s="79">
        <f>$CE$115*VLOOKUP($CE$11,'PCU Values'!$B$9:$C$16,2,FALSE)</f>
        <v>0</v>
      </c>
      <c r="CN115" s="80">
        <f>$CF$115*VLOOKUP($CF$11,'PCU Values'!$B$9:$C$16,2,FALSE)</f>
        <v>0</v>
      </c>
      <c r="CO115" s="63">
        <f>SUM($CG$115,$CH$115,$CI$115,$CJ$115,$CK$115,$CL$115,$CM$115,$CN$115)</f>
        <v>5.2</v>
      </c>
      <c r="CP115" s="52">
        <f>SUM($BY$115,$BZ$115,$CA$115,$CB$115,$CC$115,$CD$115,$CE$115,$CF$115)</f>
        <v>6</v>
      </c>
      <c r="CQ115" s="90">
        <f>SUM('J1 A - (North) Bishopthorpe Roa'!$AM$115,'J1 B - Butcher Terrace'!$U$115,'J1 C - (South) Bishopthorpe Roa'!$C$115,'J1 D - South Bank Avenue'!$BE$115)</f>
        <v>4</v>
      </c>
      <c r="CR115" s="84">
        <f>SUM('J1 A - (North) Bishopthorpe Roa'!$AN$115,'J1 B - Butcher Terrace'!$V$115,'J1 C - (South) Bishopthorpe Roa'!$D$115,'J1 D - South Bank Avenue'!$BF$115)</f>
        <v>0</v>
      </c>
      <c r="CS115" s="84">
        <f>SUM('J1 A - (North) Bishopthorpe Roa'!$AO$115,'J1 B - Butcher Terrace'!$W$115,'J1 C - (South) Bishopthorpe Roa'!$E$115,'J1 D - South Bank Avenue'!$BG$115)</f>
        <v>0</v>
      </c>
      <c r="CT115" s="84">
        <f>SUM('J1 A - (North) Bishopthorpe Roa'!$AP$115,'J1 B - Butcher Terrace'!$X$115,'J1 C - (South) Bishopthorpe Roa'!$F$115,'J1 D - South Bank Avenue'!$BH$115)</f>
        <v>0</v>
      </c>
      <c r="CU115" s="84">
        <f>SUM('J1 A - (North) Bishopthorpe Roa'!$AQ$115,'J1 B - Butcher Terrace'!$Y$115,'J1 C - (South) Bishopthorpe Roa'!$G$115,'J1 D - South Bank Avenue'!$BI$115)</f>
        <v>0</v>
      </c>
      <c r="CV115" s="84">
        <f>SUM('J1 A - (North) Bishopthorpe Roa'!$AR$115,'J1 B - Butcher Terrace'!$Z$115,'J1 C - (South) Bishopthorpe Roa'!$H$115,'J1 D - South Bank Avenue'!$BJ$115)</f>
        <v>2</v>
      </c>
      <c r="CW115" s="84">
        <f>SUM('J1 A - (North) Bishopthorpe Roa'!$AS$115,'J1 B - Butcher Terrace'!$AA$115,'J1 C - (South) Bishopthorpe Roa'!$I$115,'J1 D - South Bank Avenue'!$BK$115)</f>
        <v>0</v>
      </c>
      <c r="CX115" s="87">
        <f>SUM('J1 A - (North) Bishopthorpe Roa'!$AT$115,'J1 B - Butcher Terrace'!$AB$115,'J1 C - (South) Bishopthorpe Roa'!$J$115,'J1 D - South Bank Avenue'!$BL$115)</f>
        <v>0</v>
      </c>
      <c r="CY115" s="79">
        <f>$CQ$115*VLOOKUP($CQ$11,'PCU Values'!$B$9:$C$16,2,FALSE)</f>
        <v>4</v>
      </c>
      <c r="CZ115" s="79">
        <f>$CR$115*VLOOKUP($CR$11,'PCU Values'!$B$9:$C$16,2,FALSE)</f>
        <v>0</v>
      </c>
      <c r="DA115" s="79">
        <f>$CS$115*VLOOKUP($CS$11,'PCU Values'!$B$9:$C$16,2,FALSE)</f>
        <v>0</v>
      </c>
      <c r="DB115" s="79">
        <f>$CT$115*VLOOKUP($CT$11,'PCU Values'!$B$9:$C$16,2,FALSE)</f>
        <v>0</v>
      </c>
      <c r="DC115" s="79">
        <f>$CU$115*VLOOKUP($CU$11,'PCU Values'!$B$9:$C$16,2,FALSE)</f>
        <v>0</v>
      </c>
      <c r="DD115" s="79">
        <f>$CV$115*VLOOKUP($CV$11,'PCU Values'!$B$9:$C$16,2,FALSE)</f>
        <v>0.4</v>
      </c>
      <c r="DE115" s="79">
        <f>$CW$115*VLOOKUP($CW$11,'PCU Values'!$B$9:$C$16,2,FALSE)</f>
        <v>0</v>
      </c>
      <c r="DF115" s="80">
        <f>$CX$115*VLOOKUP($CX$11,'PCU Values'!$B$9:$C$16,2,FALSE)</f>
        <v>0</v>
      </c>
      <c r="DG115" s="63">
        <f>SUM($CY$115,$CZ$115,$DA$115,$DB$115,$DC$115,$DD$115,$DE$115,$DF$115)</f>
        <v>4.4000000000000004</v>
      </c>
      <c r="DH115" s="52">
        <f>SUM($CQ$115,$CR$115,$CS$115,$CT$115,$CU$115,$CV$115,$CW$115,$CX$115)</f>
        <v>6</v>
      </c>
    </row>
    <row r="116" spans="1:112">
      <c r="B116" s="52" t="s">
        <v>34</v>
      </c>
      <c r="C116" s="52">
        <f>SUM($C$112:$C$115)</f>
        <v>14</v>
      </c>
      <c r="D116" s="52">
        <f>SUM($D$112:$D$115)</f>
        <v>1</v>
      </c>
      <c r="E116" s="52">
        <f>SUM($E$112:$E$115)</f>
        <v>0</v>
      </c>
      <c r="F116" s="52">
        <f>SUM($F$112:$F$115)</f>
        <v>0</v>
      </c>
      <c r="G116" s="52">
        <f>SUM($G$112:$G$115)</f>
        <v>0</v>
      </c>
      <c r="H116" s="52">
        <f>SUM($H$112:$H$115)</f>
        <v>4</v>
      </c>
      <c r="I116" s="52">
        <f>SUM($I$112:$I$115)</f>
        <v>2</v>
      </c>
      <c r="J116" s="52">
        <f>SUM($J$112:$J$115)</f>
        <v>0</v>
      </c>
      <c r="K116" s="52">
        <f>SUM($K$112:$K$115)</f>
        <v>14</v>
      </c>
      <c r="L116" s="52">
        <f>SUM($L$112:$L$115)</f>
        <v>1</v>
      </c>
      <c r="M116" s="52">
        <f>SUM($M$112:$M$115)</f>
        <v>0</v>
      </c>
      <c r="N116" s="52">
        <f>SUM($N$112:$N$115)</f>
        <v>0</v>
      </c>
      <c r="O116" s="52">
        <f>SUM($O$112:$O$115)</f>
        <v>0</v>
      </c>
      <c r="P116" s="52">
        <f>SUM($P$112:$P$115)</f>
        <v>1</v>
      </c>
      <c r="Q116" s="52">
        <f>SUM($Q$112:$Q$115)</f>
        <v>1</v>
      </c>
      <c r="R116" s="52">
        <f>SUM($R$112:$R$115)</f>
        <v>0</v>
      </c>
      <c r="S116" s="52">
        <f>SUM($K$116,$L$116,$M$116,$N$116,$O$116,$P$116,$Q$116,$R$116)</f>
        <v>17</v>
      </c>
      <c r="T116" s="52">
        <f>SUM($C$116,$D$116,$E$116,$F$116,$G$116,$H$116,$I$116,$J$116)</f>
        <v>21</v>
      </c>
      <c r="U116" s="52">
        <f>SUM($U$112:$U$115)</f>
        <v>0</v>
      </c>
      <c r="V116" s="52">
        <f>SUM($V$112:$V$115)</f>
        <v>0</v>
      </c>
      <c r="W116" s="52">
        <f>SUM($W$112:$W$115)</f>
        <v>0</v>
      </c>
      <c r="X116" s="52">
        <f>SUM($X$112:$X$115)</f>
        <v>0</v>
      </c>
      <c r="Y116" s="52">
        <f>SUM($Y$112:$Y$115)</f>
        <v>0</v>
      </c>
      <c r="Z116" s="52">
        <f>SUM($Z$112:$Z$115)</f>
        <v>11</v>
      </c>
      <c r="AA116" s="52">
        <f>SUM($AA$112:$AA$115)</f>
        <v>0</v>
      </c>
      <c r="AB116" s="52">
        <f>SUM($AB$112:$AB$115)</f>
        <v>0</v>
      </c>
      <c r="AC116" s="52">
        <f>SUM($AC$112:$AC$115)</f>
        <v>0</v>
      </c>
      <c r="AD116" s="52">
        <f>SUM($AD$112:$AD$115)</f>
        <v>0</v>
      </c>
      <c r="AE116" s="52">
        <f>SUM($AE$112:$AE$115)</f>
        <v>0</v>
      </c>
      <c r="AF116" s="52">
        <f>SUM($AF$112:$AF$115)</f>
        <v>0</v>
      </c>
      <c r="AG116" s="52">
        <f>SUM($AG$112:$AG$115)</f>
        <v>0</v>
      </c>
      <c r="AH116" s="52">
        <f>SUM($AH$112:$AH$115)</f>
        <v>2</v>
      </c>
      <c r="AI116" s="52">
        <f>SUM($AI$112:$AI$115)</f>
        <v>0</v>
      </c>
      <c r="AJ116" s="52">
        <f>SUM($AJ$112:$AJ$115)</f>
        <v>0</v>
      </c>
      <c r="AK116" s="52">
        <f>SUM($AC$116,$AD$116,$AE$116,$AF$116,$AG$116,$AH$116,$AI$116,$AJ$116)</f>
        <v>2</v>
      </c>
      <c r="AL116" s="52">
        <f>SUM($U$116,$V$116,$W$116,$X$116,$Y$116,$Z$116,$AA$116,$AB$116)</f>
        <v>11</v>
      </c>
      <c r="AM116" s="52">
        <f>SUM($AM$112:$AM$115)</f>
        <v>2</v>
      </c>
      <c r="AN116" s="52">
        <f>SUM($AN$112:$AN$115)</f>
        <v>1</v>
      </c>
      <c r="AO116" s="52">
        <f>SUM($AO$112:$AO$115)</f>
        <v>0</v>
      </c>
      <c r="AP116" s="52">
        <f>SUM($AP$112:$AP$115)</f>
        <v>0</v>
      </c>
      <c r="AQ116" s="52">
        <f>SUM($AQ$112:$AQ$115)</f>
        <v>0</v>
      </c>
      <c r="AR116" s="52">
        <f>SUM($AR$112:$AR$115)</f>
        <v>2</v>
      </c>
      <c r="AS116" s="52">
        <f>SUM($AS$112:$AS$115)</f>
        <v>0</v>
      </c>
      <c r="AT116" s="52">
        <f>SUM($AT$112:$AT$115)</f>
        <v>0</v>
      </c>
      <c r="AU116" s="52">
        <f>SUM($AU$112:$AU$115)</f>
        <v>2</v>
      </c>
      <c r="AV116" s="52">
        <f>SUM($AV$112:$AV$115)</f>
        <v>1</v>
      </c>
      <c r="AW116" s="52">
        <f>SUM($AW$112:$AW$115)</f>
        <v>0</v>
      </c>
      <c r="AX116" s="52">
        <f>SUM($AX$112:$AX$115)</f>
        <v>0</v>
      </c>
      <c r="AY116" s="52">
        <f>SUM($AY$112:$AY$115)</f>
        <v>0</v>
      </c>
      <c r="AZ116" s="52">
        <f>SUM($AZ$112:$AZ$115)</f>
        <v>0</v>
      </c>
      <c r="BA116" s="52">
        <f>SUM($BA$112:$BA$115)</f>
        <v>0</v>
      </c>
      <c r="BB116" s="52">
        <f>SUM($BB$112:$BB$115)</f>
        <v>0</v>
      </c>
      <c r="BC116" s="52">
        <f>SUM($AU$116,$AV$116,$AW$116,$AX$116,$AY$116,$AZ$116,$BA$116,$BB$116)</f>
        <v>3</v>
      </c>
      <c r="BD116" s="52">
        <f>SUM($AM$116,$AN$116,$AO$116,$AP$116,$AQ$116,$AR$116,$AS$116,$AT$116)</f>
        <v>5</v>
      </c>
      <c r="BE116" s="52">
        <f>SUM($BE$112:$BE$115)</f>
        <v>0</v>
      </c>
      <c r="BF116" s="52">
        <f>SUM($BF$112:$BF$115)</f>
        <v>0</v>
      </c>
      <c r="BG116" s="52">
        <f>SUM($BG$112:$BG$115)</f>
        <v>0</v>
      </c>
      <c r="BH116" s="52">
        <f>SUM($BH$112:$BH$115)</f>
        <v>0</v>
      </c>
      <c r="BI116" s="52">
        <f>SUM($BI$112:$BI$115)</f>
        <v>0</v>
      </c>
      <c r="BJ116" s="52">
        <f>SUM($BJ$112:$BJ$115)</f>
        <v>0</v>
      </c>
      <c r="BK116" s="52">
        <f>SUM($BK$112:$BK$115)</f>
        <v>0</v>
      </c>
      <c r="BL116" s="52">
        <f>SUM($BL$112:$BL$115)</f>
        <v>0</v>
      </c>
      <c r="BM116" s="52">
        <f>SUM($BM$112:$BM$115)</f>
        <v>0</v>
      </c>
      <c r="BN116" s="52">
        <f>SUM($BN$112:$BN$115)</f>
        <v>0</v>
      </c>
      <c r="BO116" s="52">
        <f>SUM($BO$112:$BO$115)</f>
        <v>0</v>
      </c>
      <c r="BP116" s="52">
        <f>SUM($BP$112:$BP$115)</f>
        <v>0</v>
      </c>
      <c r="BQ116" s="52">
        <f>SUM($BQ$112:$BQ$115)</f>
        <v>0</v>
      </c>
      <c r="BR116" s="52">
        <f>SUM($BR$112:$BR$115)</f>
        <v>0</v>
      </c>
      <c r="BS116" s="52">
        <f>SUM($BS$112:$BS$115)</f>
        <v>0</v>
      </c>
      <c r="BT116" s="52">
        <f>SUM($BT$112:$BT$115)</f>
        <v>0</v>
      </c>
      <c r="BU116" s="52">
        <f>SUM($BM$116,$BN$116,$BO$116,$BP$116,$BQ$116,$BR$116,$BS$116,$BT$116)</f>
        <v>0</v>
      </c>
      <c r="BV116" s="52">
        <f>SUM($BE$116,$BF$116,$BG$116,$BH$116,$BI$116,$BJ$116,$BK$116,$BL$116)</f>
        <v>0</v>
      </c>
      <c r="BX116" s="52" t="s">
        <v>34</v>
      </c>
      <c r="BY116" s="52">
        <f>SUM($BY$112:$BY$115)</f>
        <v>16</v>
      </c>
      <c r="BZ116" s="52">
        <f>SUM($BZ$112:$BZ$115)</f>
        <v>2</v>
      </c>
      <c r="CA116" s="52">
        <f>SUM($CA$112:$CA$115)</f>
        <v>0</v>
      </c>
      <c r="CB116" s="52">
        <f>SUM($CB$112:$CB$115)</f>
        <v>0</v>
      </c>
      <c r="CC116" s="52">
        <f>SUM($CC$112:$CC$115)</f>
        <v>0</v>
      </c>
      <c r="CD116" s="52">
        <f>SUM($CD$112:$CD$115)</f>
        <v>17</v>
      </c>
      <c r="CE116" s="52">
        <f>SUM($CE$112:$CE$115)</f>
        <v>2</v>
      </c>
      <c r="CF116" s="52">
        <f>SUM($CF$112:$CF$115)</f>
        <v>0</v>
      </c>
      <c r="CG116" s="52">
        <f>SUM($CG$112:$CG$115)</f>
        <v>16</v>
      </c>
      <c r="CH116" s="52">
        <f>SUM($CH$112:$CH$115)</f>
        <v>2</v>
      </c>
      <c r="CI116" s="52">
        <f>SUM($CI$112:$CI$115)</f>
        <v>0</v>
      </c>
      <c r="CJ116" s="52">
        <f>SUM($CJ$112:$CJ$115)</f>
        <v>0</v>
      </c>
      <c r="CK116" s="52">
        <f>SUM($CK$112:$CK$115)</f>
        <v>0</v>
      </c>
      <c r="CL116" s="52">
        <f>SUM($CL$112:$CL$115)</f>
        <v>3</v>
      </c>
      <c r="CM116" s="52">
        <f>SUM($CM$112:$CM$115)</f>
        <v>1</v>
      </c>
      <c r="CN116" s="52">
        <f>SUM($CN$112:$CN$115)</f>
        <v>0</v>
      </c>
      <c r="CO116" s="52">
        <f>SUM($CG$116,$CH$116,$CI$116,$CJ$116,$CK$116,$CL$116,$CM$116,$CN$116)</f>
        <v>22</v>
      </c>
      <c r="CP116" s="52">
        <f>SUM($BY$116,$BZ$116,$CA$116,$CB$116,$CC$116,$CD$116,$CE$116,$CF$116)</f>
        <v>37</v>
      </c>
      <c r="CQ116" s="52">
        <f>SUM($CQ$112:$CQ$115)</f>
        <v>19</v>
      </c>
      <c r="CR116" s="52">
        <f>SUM($CR$112:$CR$115)</f>
        <v>3</v>
      </c>
      <c r="CS116" s="52">
        <f>SUM($CS$112:$CS$115)</f>
        <v>0</v>
      </c>
      <c r="CT116" s="52">
        <f>SUM($CT$112:$CT$115)</f>
        <v>0</v>
      </c>
      <c r="CU116" s="52">
        <f>SUM($CU$112:$CU$115)</f>
        <v>0</v>
      </c>
      <c r="CV116" s="52">
        <f>SUM($CV$112:$CV$115)</f>
        <v>15</v>
      </c>
      <c r="CW116" s="52">
        <f>SUM($CW$112:$CW$115)</f>
        <v>1</v>
      </c>
      <c r="CX116" s="52">
        <f>SUM($CX$112:$CX$115)</f>
        <v>0</v>
      </c>
      <c r="CY116" s="52">
        <f>SUM($CY$112:$CY$115)</f>
        <v>19</v>
      </c>
      <c r="CZ116" s="52">
        <f>SUM($CZ$112:$CZ$115)</f>
        <v>3</v>
      </c>
      <c r="DA116" s="52">
        <f>SUM($DA$112:$DA$115)</f>
        <v>0</v>
      </c>
      <c r="DB116" s="52">
        <f>SUM($DB$112:$DB$115)</f>
        <v>0</v>
      </c>
      <c r="DC116" s="52">
        <f>SUM($DC$112:$DC$115)</f>
        <v>0</v>
      </c>
      <c r="DD116" s="52">
        <f>SUM($DD$112:$DD$115)</f>
        <v>3</v>
      </c>
      <c r="DE116" s="52">
        <f>SUM($DE$112:$DE$115)</f>
        <v>0</v>
      </c>
      <c r="DF116" s="52">
        <f>SUM($DF$112:$DF$115)</f>
        <v>0</v>
      </c>
      <c r="DG116" s="52">
        <f>SUM($CY$116,$CZ$116,$DA$116,$DB$116,$DC$116,$DD$116,$DE$116,$DF$116)</f>
        <v>25</v>
      </c>
      <c r="DH116" s="52">
        <f>SUM($CQ$116,$CR$116,$CS$116,$CT$116,$CU$116,$CV$116,$CW$116,$CX$116)</f>
        <v>38</v>
      </c>
    </row>
    <row r="117" spans="1:112" ht="21" customHeight="1">
      <c r="A117" s="46">
        <v>44395.875</v>
      </c>
      <c r="B117" s="53" t="s">
        <v>115</v>
      </c>
      <c r="C117" s="54">
        <v>2</v>
      </c>
      <c r="D117" s="54">
        <v>0</v>
      </c>
      <c r="E117" s="54">
        <v>0</v>
      </c>
      <c r="F117" s="54">
        <v>0</v>
      </c>
      <c r="G117" s="54">
        <v>0</v>
      </c>
      <c r="H117" s="54">
        <v>0</v>
      </c>
      <c r="I117" s="54">
        <v>1</v>
      </c>
      <c r="J117" s="61">
        <v>0</v>
      </c>
      <c r="K117" s="62">
        <f>$C$117*VLOOKUP($C$11,'PCU Values'!$B$9:$C$16,2,FALSE)</f>
        <v>2</v>
      </c>
      <c r="L117" s="62">
        <f>$D$117*VLOOKUP($D$11,'PCU Values'!$B$9:$C$16,2,FALSE)</f>
        <v>0</v>
      </c>
      <c r="M117" s="62">
        <f>$E$117*VLOOKUP($E$11,'PCU Values'!$B$9:$C$16,2,FALSE)</f>
        <v>0</v>
      </c>
      <c r="N117" s="62">
        <f>$F$117*VLOOKUP($F$11,'PCU Values'!$B$9:$C$16,2,FALSE)</f>
        <v>0</v>
      </c>
      <c r="O117" s="62">
        <f>$G$117*VLOOKUP($G$11,'PCU Values'!$B$9:$C$16,2,FALSE)</f>
        <v>0</v>
      </c>
      <c r="P117" s="62">
        <f>$H$117*VLOOKUP($H$11,'PCU Values'!$B$9:$C$16,2,FALSE)</f>
        <v>0</v>
      </c>
      <c r="Q117" s="62">
        <f>$I$117*VLOOKUP($I$11,'PCU Values'!$B$9:$C$16,2,FALSE)</f>
        <v>0.4</v>
      </c>
      <c r="R117" s="70">
        <f>$J$117*VLOOKUP($J$11,'PCU Values'!$B$9:$C$16,2,FALSE)</f>
        <v>0</v>
      </c>
      <c r="S117" s="71">
        <f>SUM($K$117,$L$117,$M$117,$N$117,$O$117,$P$117,$Q$117,$R$117)</f>
        <v>2.4</v>
      </c>
      <c r="T117" s="52">
        <f>SUM($C$117,$D$117,$E$117,$F$117,$G$117,$H$117,$I$117,$J$117)</f>
        <v>3</v>
      </c>
      <c r="U117" s="72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61">
        <v>0</v>
      </c>
      <c r="AC117" s="62">
        <f>$U$117*VLOOKUP($U$11,'PCU Values'!$B$9:$C$16,2,FALSE)</f>
        <v>0</v>
      </c>
      <c r="AD117" s="62">
        <f>$V$117*VLOOKUP($V$11,'PCU Values'!$B$9:$C$16,2,FALSE)</f>
        <v>0</v>
      </c>
      <c r="AE117" s="62">
        <f>$W$117*VLOOKUP($W$11,'PCU Values'!$B$9:$C$16,2,FALSE)</f>
        <v>0</v>
      </c>
      <c r="AF117" s="62">
        <f>$X$117*VLOOKUP($X$11,'PCU Values'!$B$9:$C$16,2,FALSE)</f>
        <v>0</v>
      </c>
      <c r="AG117" s="62">
        <f>$Y$117*VLOOKUP($Y$11,'PCU Values'!$B$9:$C$16,2,FALSE)</f>
        <v>0</v>
      </c>
      <c r="AH117" s="62">
        <f>$Z$117*VLOOKUP($Z$11,'PCU Values'!$B$9:$C$16,2,FALSE)</f>
        <v>0</v>
      </c>
      <c r="AI117" s="62">
        <f>$AA$117*VLOOKUP($AA$11,'PCU Values'!$B$9:$C$16,2,FALSE)</f>
        <v>0</v>
      </c>
      <c r="AJ117" s="70">
        <f>$AB$117*VLOOKUP($AB$11,'PCU Values'!$B$9:$C$16,2,FALSE)</f>
        <v>0</v>
      </c>
      <c r="AK117" s="71">
        <f>SUM($AC$117,$AD$117,$AE$117,$AF$117,$AG$117,$AH$117,$AI$117,$AJ$117)</f>
        <v>0</v>
      </c>
      <c r="AL117" s="52">
        <f>SUM($U$117,$V$117,$W$117,$X$117,$Y$117,$Z$117,$AA$117,$AB$117)</f>
        <v>0</v>
      </c>
      <c r="AM117" s="72">
        <v>0</v>
      </c>
      <c r="AN117" s="54">
        <v>0</v>
      </c>
      <c r="AO117" s="54">
        <v>0</v>
      </c>
      <c r="AP117" s="54">
        <v>0</v>
      </c>
      <c r="AQ117" s="54">
        <v>0</v>
      </c>
      <c r="AR117" s="54">
        <v>0</v>
      </c>
      <c r="AS117" s="54">
        <v>0</v>
      </c>
      <c r="AT117" s="61">
        <v>0</v>
      </c>
      <c r="AU117" s="62">
        <f>$AM$117*VLOOKUP($AM$11,'PCU Values'!$B$9:$C$16,2,FALSE)</f>
        <v>0</v>
      </c>
      <c r="AV117" s="62">
        <f>$AN$117*VLOOKUP($AN$11,'PCU Values'!$B$9:$C$16,2,FALSE)</f>
        <v>0</v>
      </c>
      <c r="AW117" s="62">
        <f>$AO$117*VLOOKUP($AO$11,'PCU Values'!$B$9:$C$16,2,FALSE)</f>
        <v>0</v>
      </c>
      <c r="AX117" s="62">
        <f>$AP$117*VLOOKUP($AP$11,'PCU Values'!$B$9:$C$16,2,FALSE)</f>
        <v>0</v>
      </c>
      <c r="AY117" s="62">
        <f>$AQ$117*VLOOKUP($AQ$11,'PCU Values'!$B$9:$C$16,2,FALSE)</f>
        <v>0</v>
      </c>
      <c r="AZ117" s="62">
        <f>$AR$117*VLOOKUP($AR$11,'PCU Values'!$B$9:$C$16,2,FALSE)</f>
        <v>0</v>
      </c>
      <c r="BA117" s="62">
        <f>$AS$117*VLOOKUP($AS$11,'PCU Values'!$B$9:$C$16,2,FALSE)</f>
        <v>0</v>
      </c>
      <c r="BB117" s="70">
        <f>$AT$117*VLOOKUP($AT$11,'PCU Values'!$B$9:$C$16,2,FALSE)</f>
        <v>0</v>
      </c>
      <c r="BC117" s="71">
        <f>SUM($AU$117,$AV$117,$AW$117,$AX$117,$AY$117,$AZ$117,$BA$117,$BB$117)</f>
        <v>0</v>
      </c>
      <c r="BD117" s="52">
        <f>SUM($AM$117,$AN$117,$AO$117,$AP$117,$AQ$117,$AR$117,$AS$117,$AT$117)</f>
        <v>0</v>
      </c>
      <c r="BE117" s="72">
        <v>0</v>
      </c>
      <c r="BF117" s="54">
        <v>0</v>
      </c>
      <c r="BG117" s="54">
        <v>0</v>
      </c>
      <c r="BH117" s="54">
        <v>0</v>
      </c>
      <c r="BI117" s="54">
        <v>0</v>
      </c>
      <c r="BJ117" s="54">
        <v>0</v>
      </c>
      <c r="BK117" s="54">
        <v>0</v>
      </c>
      <c r="BL117" s="61">
        <v>0</v>
      </c>
      <c r="BM117" s="81">
        <f>$BE$117*VLOOKUP($BE$11,'PCU Values'!$B$9:$C$16,2,FALSE)</f>
        <v>0</v>
      </c>
      <c r="BN117" s="81">
        <f>$BF$117*VLOOKUP($BF$11,'PCU Values'!$B$9:$C$16,2,FALSE)</f>
        <v>0</v>
      </c>
      <c r="BO117" s="81">
        <f>$BG$117*VLOOKUP($BG$11,'PCU Values'!$B$9:$C$16,2,FALSE)</f>
        <v>0</v>
      </c>
      <c r="BP117" s="81">
        <f>$BH$117*VLOOKUP($BH$11,'PCU Values'!$B$9:$C$16,2,FALSE)</f>
        <v>0</v>
      </c>
      <c r="BQ117" s="81">
        <f>$BI$117*VLOOKUP($BI$11,'PCU Values'!$B$9:$C$16,2,FALSE)</f>
        <v>0</v>
      </c>
      <c r="BR117" s="81">
        <f>$BJ$117*VLOOKUP($BJ$11,'PCU Values'!$B$9:$C$16,2,FALSE)</f>
        <v>0</v>
      </c>
      <c r="BS117" s="81">
        <f>$BK$117*VLOOKUP($BK$11,'PCU Values'!$B$9:$C$16,2,FALSE)</f>
        <v>0</v>
      </c>
      <c r="BT117" s="82">
        <f>$BL$117*VLOOKUP($BL$11,'PCU Values'!$B$9:$C$16,2,FALSE)</f>
        <v>0</v>
      </c>
      <c r="BU117" s="71">
        <f>SUM($BM$117,$BN$117,$BO$117,$BP$117,$BQ$117,$BR$117,$BS$117,$BT$117)</f>
        <v>0</v>
      </c>
      <c r="BV117" s="52">
        <f>SUM($BE$117,$BF$117,$BG$117,$BH$117,$BI$117,$BJ$117,$BK$117,$BL$117)</f>
        <v>0</v>
      </c>
      <c r="BX117" s="53" t="s">
        <v>115</v>
      </c>
      <c r="BY117" s="85">
        <f>SUM($C$117,$U$117,$AM$117,$BE$117)</f>
        <v>2</v>
      </c>
      <c r="BZ117" s="85">
        <f>SUM($D$117,$V$117,$AN$117,$BF$117)</f>
        <v>0</v>
      </c>
      <c r="CA117" s="85">
        <f>SUM($E$117,$W$117,$AO$117,$BG$117)</f>
        <v>0</v>
      </c>
      <c r="CB117" s="85">
        <f>SUM($F$117,$X$117,$AP$117,$BH$117)</f>
        <v>0</v>
      </c>
      <c r="CC117" s="85">
        <f>SUM($G$117,$Y$117,$AQ$117,$BI$117)</f>
        <v>0</v>
      </c>
      <c r="CD117" s="85">
        <f>SUM($H$117,$Z$117,$AR$117,$BJ$117)</f>
        <v>0</v>
      </c>
      <c r="CE117" s="85">
        <f>SUM($I$117,$AA$117,$AS$117,$BK$117)</f>
        <v>1</v>
      </c>
      <c r="CF117" s="88">
        <f>SUM($J$117,$AB$117,$AT$117,$BL$117)</f>
        <v>0</v>
      </c>
      <c r="CG117" s="81">
        <f>$BY$117*VLOOKUP($BY$11,'PCU Values'!$B$9:$C$16,2,FALSE)</f>
        <v>2</v>
      </c>
      <c r="CH117" s="81">
        <f>$BZ$117*VLOOKUP($BZ$11,'PCU Values'!$B$9:$C$16,2,FALSE)</f>
        <v>0</v>
      </c>
      <c r="CI117" s="81">
        <f>$CA$117*VLOOKUP($CA$11,'PCU Values'!$B$9:$C$16,2,FALSE)</f>
        <v>0</v>
      </c>
      <c r="CJ117" s="81">
        <f>$CB$117*VLOOKUP($CB$11,'PCU Values'!$B$9:$C$16,2,FALSE)</f>
        <v>0</v>
      </c>
      <c r="CK117" s="81">
        <f>$CC$117*VLOOKUP($CC$11,'PCU Values'!$B$9:$C$16,2,FALSE)</f>
        <v>0</v>
      </c>
      <c r="CL117" s="81">
        <f>$CD$117*VLOOKUP($CD$11,'PCU Values'!$B$9:$C$16,2,FALSE)</f>
        <v>0</v>
      </c>
      <c r="CM117" s="81">
        <f>$CE$117*VLOOKUP($CE$11,'PCU Values'!$B$9:$C$16,2,FALSE)</f>
        <v>0.4</v>
      </c>
      <c r="CN117" s="82">
        <f>$CF$117*VLOOKUP($CF$11,'PCU Values'!$B$9:$C$16,2,FALSE)</f>
        <v>0</v>
      </c>
      <c r="CO117" s="71">
        <f>SUM($CG$117,$CH$117,$CI$117,$CJ$117,$CK$117,$CL$117,$CM$117,$CN$117)</f>
        <v>2.4</v>
      </c>
      <c r="CP117" s="52">
        <f>SUM($BY$117,$BZ$117,$CA$117,$CB$117,$CC$117,$CD$117,$CE$117,$CF$117)</f>
        <v>3</v>
      </c>
      <c r="CQ117" s="91">
        <f>SUM('J1 A - (North) Bishopthorpe Roa'!$AM$117,'J1 B - Butcher Terrace'!$U$117,'J1 C - (South) Bishopthorpe Roa'!$C$117,'J1 D - South Bank Avenue'!$BE$117)</f>
        <v>7</v>
      </c>
      <c r="CR117" s="85">
        <f>SUM('J1 A - (North) Bishopthorpe Roa'!$AN$117,'J1 B - Butcher Terrace'!$V$117,'J1 C - (South) Bishopthorpe Roa'!$D$117,'J1 D - South Bank Avenue'!$BF$117)</f>
        <v>1</v>
      </c>
      <c r="CS117" s="85">
        <f>SUM('J1 A - (North) Bishopthorpe Roa'!$AO$117,'J1 B - Butcher Terrace'!$W$117,'J1 C - (South) Bishopthorpe Roa'!$E$117,'J1 D - South Bank Avenue'!$BG$117)</f>
        <v>0</v>
      </c>
      <c r="CT117" s="85">
        <f>SUM('J1 A - (North) Bishopthorpe Roa'!$AP$117,'J1 B - Butcher Terrace'!$X$117,'J1 C - (South) Bishopthorpe Roa'!$F$117,'J1 D - South Bank Avenue'!$BH$117)</f>
        <v>0</v>
      </c>
      <c r="CU117" s="85">
        <f>SUM('J1 A - (North) Bishopthorpe Roa'!$AQ$117,'J1 B - Butcher Terrace'!$Y$117,'J1 C - (South) Bishopthorpe Roa'!$G$117,'J1 D - South Bank Avenue'!$BI$117)</f>
        <v>0</v>
      </c>
      <c r="CV117" s="85">
        <f>SUM('J1 A - (North) Bishopthorpe Roa'!$AR$117,'J1 B - Butcher Terrace'!$Z$117,'J1 C - (South) Bishopthorpe Roa'!$H$117,'J1 D - South Bank Avenue'!$BJ$117)</f>
        <v>7</v>
      </c>
      <c r="CW117" s="85">
        <f>SUM('J1 A - (North) Bishopthorpe Roa'!$AS$117,'J1 B - Butcher Terrace'!$AA$117,'J1 C - (South) Bishopthorpe Roa'!$I$117,'J1 D - South Bank Avenue'!$BK$117)</f>
        <v>1</v>
      </c>
      <c r="CX117" s="88">
        <f>SUM('J1 A - (North) Bishopthorpe Roa'!$AT$117,'J1 B - Butcher Terrace'!$AB$117,'J1 C - (South) Bishopthorpe Roa'!$J$117,'J1 D - South Bank Avenue'!$BL$117)</f>
        <v>0</v>
      </c>
      <c r="CY117" s="81">
        <f>$CQ$117*VLOOKUP($CQ$11,'PCU Values'!$B$9:$C$16,2,FALSE)</f>
        <v>7</v>
      </c>
      <c r="CZ117" s="81">
        <f>$CR$117*VLOOKUP($CR$11,'PCU Values'!$B$9:$C$16,2,FALSE)</f>
        <v>1</v>
      </c>
      <c r="DA117" s="81">
        <f>$CS$117*VLOOKUP($CS$11,'PCU Values'!$B$9:$C$16,2,FALSE)</f>
        <v>0</v>
      </c>
      <c r="DB117" s="81">
        <f>$CT$117*VLOOKUP($CT$11,'PCU Values'!$B$9:$C$16,2,FALSE)</f>
        <v>0</v>
      </c>
      <c r="DC117" s="81">
        <f>$CU$117*VLOOKUP($CU$11,'PCU Values'!$B$9:$C$16,2,FALSE)</f>
        <v>0</v>
      </c>
      <c r="DD117" s="81">
        <f>$CV$117*VLOOKUP($CV$11,'PCU Values'!$B$9:$C$16,2,FALSE)</f>
        <v>1.4</v>
      </c>
      <c r="DE117" s="81">
        <f>$CW$117*VLOOKUP($CW$11,'PCU Values'!$B$9:$C$16,2,FALSE)</f>
        <v>0.4</v>
      </c>
      <c r="DF117" s="82">
        <f>$CX$117*VLOOKUP($CX$11,'PCU Values'!$B$9:$C$16,2,FALSE)</f>
        <v>0</v>
      </c>
      <c r="DG117" s="71">
        <f>SUM($CY$117,$CZ$117,$DA$117,$DB$117,$DC$117,$DD$117,$DE$117,$DF$117)</f>
        <v>9.8000000000000007</v>
      </c>
      <c r="DH117" s="52">
        <f>SUM($CQ$117,$CR$117,$CS$117,$CT$117,$CU$117,$CV$117,$CW$117,$CX$117)</f>
        <v>16</v>
      </c>
    </row>
    <row r="118" spans="1:112" ht="21" customHeight="1">
      <c r="A118" s="46">
        <v>44395.885416666701</v>
      </c>
      <c r="B118" s="47" t="s">
        <v>116</v>
      </c>
      <c r="C118" s="48">
        <v>3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56">
        <v>0</v>
      </c>
      <c r="K118" s="57">
        <f>$C$118*VLOOKUP($C$11,'PCU Values'!$B$9:$C$16,2,FALSE)</f>
        <v>3</v>
      </c>
      <c r="L118" s="57">
        <f>$D$118*VLOOKUP($D$11,'PCU Values'!$B$9:$C$16,2,FALSE)</f>
        <v>0</v>
      </c>
      <c r="M118" s="57">
        <f>$E$118*VLOOKUP($E$11,'PCU Values'!$B$9:$C$16,2,FALSE)</f>
        <v>0</v>
      </c>
      <c r="N118" s="57">
        <f>$F$118*VLOOKUP($F$11,'PCU Values'!$B$9:$C$16,2,FALSE)</f>
        <v>0</v>
      </c>
      <c r="O118" s="57">
        <f>$G$118*VLOOKUP($G$11,'PCU Values'!$B$9:$C$16,2,FALSE)</f>
        <v>0</v>
      </c>
      <c r="P118" s="57">
        <f>$H$118*VLOOKUP($H$11,'PCU Values'!$B$9:$C$16,2,FALSE)</f>
        <v>0</v>
      </c>
      <c r="Q118" s="57">
        <f>$I$118*VLOOKUP($I$11,'PCU Values'!$B$9:$C$16,2,FALSE)</f>
        <v>0</v>
      </c>
      <c r="R118" s="65">
        <f>$J$118*VLOOKUP($J$11,'PCU Values'!$B$9:$C$16,2,FALSE)</f>
        <v>0</v>
      </c>
      <c r="S118" s="66">
        <f>SUM($K$118,$L$118,$M$118,$N$118,$O$118,$P$118,$Q$118,$R$118)</f>
        <v>3</v>
      </c>
      <c r="T118" s="52">
        <f>SUM($C$118,$D$118,$E$118,$F$118,$G$118,$H$118,$I$118,$J$118)</f>
        <v>3</v>
      </c>
      <c r="U118" s="67">
        <v>1</v>
      </c>
      <c r="V118" s="48">
        <v>0</v>
      </c>
      <c r="W118" s="48">
        <v>0</v>
      </c>
      <c r="X118" s="48">
        <v>0</v>
      </c>
      <c r="Y118" s="48">
        <v>0</v>
      </c>
      <c r="Z118" s="48">
        <v>5</v>
      </c>
      <c r="AA118" s="48">
        <v>0</v>
      </c>
      <c r="AB118" s="56">
        <v>0</v>
      </c>
      <c r="AC118" s="57">
        <f>$U$118*VLOOKUP($U$11,'PCU Values'!$B$9:$C$16,2,FALSE)</f>
        <v>1</v>
      </c>
      <c r="AD118" s="57">
        <f>$V$118*VLOOKUP($V$11,'PCU Values'!$B$9:$C$16,2,FALSE)</f>
        <v>0</v>
      </c>
      <c r="AE118" s="57">
        <f>$W$118*VLOOKUP($W$11,'PCU Values'!$B$9:$C$16,2,FALSE)</f>
        <v>0</v>
      </c>
      <c r="AF118" s="57">
        <f>$X$118*VLOOKUP($X$11,'PCU Values'!$B$9:$C$16,2,FALSE)</f>
        <v>0</v>
      </c>
      <c r="AG118" s="57">
        <f>$Y$118*VLOOKUP($Y$11,'PCU Values'!$B$9:$C$16,2,FALSE)</f>
        <v>0</v>
      </c>
      <c r="AH118" s="57">
        <f>$Z$118*VLOOKUP($Z$11,'PCU Values'!$B$9:$C$16,2,FALSE)</f>
        <v>1</v>
      </c>
      <c r="AI118" s="57">
        <f>$AA$118*VLOOKUP($AA$11,'PCU Values'!$B$9:$C$16,2,FALSE)</f>
        <v>0</v>
      </c>
      <c r="AJ118" s="65">
        <f>$AB$118*VLOOKUP($AB$11,'PCU Values'!$B$9:$C$16,2,FALSE)</f>
        <v>0</v>
      </c>
      <c r="AK118" s="66">
        <f>SUM($AC$118,$AD$118,$AE$118,$AF$118,$AG$118,$AH$118,$AI$118,$AJ$118)</f>
        <v>2</v>
      </c>
      <c r="AL118" s="52">
        <f>SUM($U$118,$V$118,$W$118,$X$118,$Y$118,$Z$118,$AA$118,$AB$118)</f>
        <v>6</v>
      </c>
      <c r="AM118" s="67">
        <v>0</v>
      </c>
      <c r="AN118" s="48">
        <v>0</v>
      </c>
      <c r="AO118" s="48">
        <v>0</v>
      </c>
      <c r="AP118" s="48">
        <v>0</v>
      </c>
      <c r="AQ118" s="48">
        <v>0</v>
      </c>
      <c r="AR118" s="48">
        <v>0</v>
      </c>
      <c r="AS118" s="48">
        <v>0</v>
      </c>
      <c r="AT118" s="56">
        <v>0</v>
      </c>
      <c r="AU118" s="57">
        <f>$AM$118*VLOOKUP($AM$11,'PCU Values'!$B$9:$C$16,2,FALSE)</f>
        <v>0</v>
      </c>
      <c r="AV118" s="57">
        <f>$AN$118*VLOOKUP($AN$11,'PCU Values'!$B$9:$C$16,2,FALSE)</f>
        <v>0</v>
      </c>
      <c r="AW118" s="57">
        <f>$AO$118*VLOOKUP($AO$11,'PCU Values'!$B$9:$C$16,2,FALSE)</f>
        <v>0</v>
      </c>
      <c r="AX118" s="57">
        <f>$AP$118*VLOOKUP($AP$11,'PCU Values'!$B$9:$C$16,2,FALSE)</f>
        <v>0</v>
      </c>
      <c r="AY118" s="57">
        <f>$AQ$118*VLOOKUP($AQ$11,'PCU Values'!$B$9:$C$16,2,FALSE)</f>
        <v>0</v>
      </c>
      <c r="AZ118" s="57">
        <f>$AR$118*VLOOKUP($AR$11,'PCU Values'!$B$9:$C$16,2,FALSE)</f>
        <v>0</v>
      </c>
      <c r="BA118" s="57">
        <f>$AS$118*VLOOKUP($AS$11,'PCU Values'!$B$9:$C$16,2,FALSE)</f>
        <v>0</v>
      </c>
      <c r="BB118" s="65">
        <f>$AT$118*VLOOKUP($AT$11,'PCU Values'!$B$9:$C$16,2,FALSE)</f>
        <v>0</v>
      </c>
      <c r="BC118" s="66">
        <f>SUM($AU$118,$AV$118,$AW$118,$AX$118,$AY$118,$AZ$118,$BA$118,$BB$118)</f>
        <v>0</v>
      </c>
      <c r="BD118" s="52">
        <f>SUM($AM$118,$AN$118,$AO$118,$AP$118,$AQ$118,$AR$118,$AS$118,$AT$118)</f>
        <v>0</v>
      </c>
      <c r="BE118" s="67">
        <v>0</v>
      </c>
      <c r="BF118" s="48">
        <v>0</v>
      </c>
      <c r="BG118" s="48">
        <v>0</v>
      </c>
      <c r="BH118" s="48">
        <v>0</v>
      </c>
      <c r="BI118" s="48">
        <v>0</v>
      </c>
      <c r="BJ118" s="48">
        <v>0</v>
      </c>
      <c r="BK118" s="48">
        <v>0</v>
      </c>
      <c r="BL118" s="56">
        <v>0</v>
      </c>
      <c r="BM118" s="77">
        <f>$BE$118*VLOOKUP($BE$11,'PCU Values'!$B$9:$C$16,2,FALSE)</f>
        <v>0</v>
      </c>
      <c r="BN118" s="77">
        <f>$BF$118*VLOOKUP($BF$11,'PCU Values'!$B$9:$C$16,2,FALSE)</f>
        <v>0</v>
      </c>
      <c r="BO118" s="77">
        <f>$BG$118*VLOOKUP($BG$11,'PCU Values'!$B$9:$C$16,2,FALSE)</f>
        <v>0</v>
      </c>
      <c r="BP118" s="77">
        <f>$BH$118*VLOOKUP($BH$11,'PCU Values'!$B$9:$C$16,2,FALSE)</f>
        <v>0</v>
      </c>
      <c r="BQ118" s="77">
        <f>$BI$118*VLOOKUP($BI$11,'PCU Values'!$B$9:$C$16,2,FALSE)</f>
        <v>0</v>
      </c>
      <c r="BR118" s="77">
        <f>$BJ$118*VLOOKUP($BJ$11,'PCU Values'!$B$9:$C$16,2,FALSE)</f>
        <v>0</v>
      </c>
      <c r="BS118" s="77">
        <f>$BK$118*VLOOKUP($BK$11,'PCU Values'!$B$9:$C$16,2,FALSE)</f>
        <v>0</v>
      </c>
      <c r="BT118" s="78">
        <f>$BL$118*VLOOKUP($BL$11,'PCU Values'!$B$9:$C$16,2,FALSE)</f>
        <v>0</v>
      </c>
      <c r="BU118" s="66">
        <f>SUM($BM$118,$BN$118,$BO$118,$BP$118,$BQ$118,$BR$118,$BS$118,$BT$118)</f>
        <v>0</v>
      </c>
      <c r="BV118" s="52">
        <f>SUM($BE$118,$BF$118,$BG$118,$BH$118,$BI$118,$BJ$118,$BK$118,$BL$118)</f>
        <v>0</v>
      </c>
      <c r="BX118" s="47" t="s">
        <v>116</v>
      </c>
      <c r="BY118" s="83">
        <f>SUM($C$118,$U$118,$AM$118,$BE$118)</f>
        <v>4</v>
      </c>
      <c r="BZ118" s="83">
        <f>SUM($D$118,$V$118,$AN$118,$BF$118)</f>
        <v>0</v>
      </c>
      <c r="CA118" s="83">
        <f>SUM($E$118,$W$118,$AO$118,$BG$118)</f>
        <v>0</v>
      </c>
      <c r="CB118" s="83">
        <f>SUM($F$118,$X$118,$AP$118,$BH$118)</f>
        <v>0</v>
      </c>
      <c r="CC118" s="83">
        <f>SUM($G$118,$Y$118,$AQ$118,$BI$118)</f>
        <v>0</v>
      </c>
      <c r="CD118" s="83">
        <f>SUM($H$118,$Z$118,$AR$118,$BJ$118)</f>
        <v>5</v>
      </c>
      <c r="CE118" s="83">
        <f>SUM($I$118,$AA$118,$AS$118,$BK$118)</f>
        <v>0</v>
      </c>
      <c r="CF118" s="86">
        <f>SUM($J$118,$AB$118,$AT$118,$BL$118)</f>
        <v>0</v>
      </c>
      <c r="CG118" s="77">
        <f>$BY$118*VLOOKUP($BY$11,'PCU Values'!$B$9:$C$16,2,FALSE)</f>
        <v>4</v>
      </c>
      <c r="CH118" s="77">
        <f>$BZ$118*VLOOKUP($BZ$11,'PCU Values'!$B$9:$C$16,2,FALSE)</f>
        <v>0</v>
      </c>
      <c r="CI118" s="77">
        <f>$CA$118*VLOOKUP($CA$11,'PCU Values'!$B$9:$C$16,2,FALSE)</f>
        <v>0</v>
      </c>
      <c r="CJ118" s="77">
        <f>$CB$118*VLOOKUP($CB$11,'PCU Values'!$B$9:$C$16,2,FALSE)</f>
        <v>0</v>
      </c>
      <c r="CK118" s="77">
        <f>$CC$118*VLOOKUP($CC$11,'PCU Values'!$B$9:$C$16,2,FALSE)</f>
        <v>0</v>
      </c>
      <c r="CL118" s="77">
        <f>$CD$118*VLOOKUP($CD$11,'PCU Values'!$B$9:$C$16,2,FALSE)</f>
        <v>1</v>
      </c>
      <c r="CM118" s="77">
        <f>$CE$118*VLOOKUP($CE$11,'PCU Values'!$B$9:$C$16,2,FALSE)</f>
        <v>0</v>
      </c>
      <c r="CN118" s="78">
        <f>$CF$118*VLOOKUP($CF$11,'PCU Values'!$B$9:$C$16,2,FALSE)</f>
        <v>0</v>
      </c>
      <c r="CO118" s="66">
        <f>SUM($CG$118,$CH$118,$CI$118,$CJ$118,$CK$118,$CL$118,$CM$118,$CN$118)</f>
        <v>5</v>
      </c>
      <c r="CP118" s="52">
        <f>SUM($BY$118,$BZ$118,$CA$118,$CB$118,$CC$118,$CD$118,$CE$118,$CF$118)</f>
        <v>9</v>
      </c>
      <c r="CQ118" s="89">
        <f>SUM('J1 A - (North) Bishopthorpe Roa'!$AM$118,'J1 B - Butcher Terrace'!$U$118,'J1 C - (South) Bishopthorpe Roa'!$C$118,'J1 D - South Bank Avenue'!$BE$118)</f>
        <v>16</v>
      </c>
      <c r="CR118" s="83">
        <f>SUM('J1 A - (North) Bishopthorpe Roa'!$AN$118,'J1 B - Butcher Terrace'!$V$118,'J1 C - (South) Bishopthorpe Roa'!$D$118,'J1 D - South Bank Avenue'!$BF$118)</f>
        <v>0</v>
      </c>
      <c r="CS118" s="83">
        <f>SUM('J1 A - (North) Bishopthorpe Roa'!$AO$118,'J1 B - Butcher Terrace'!$W$118,'J1 C - (South) Bishopthorpe Roa'!$E$118,'J1 D - South Bank Avenue'!$BG$118)</f>
        <v>0</v>
      </c>
      <c r="CT118" s="83">
        <f>SUM('J1 A - (North) Bishopthorpe Roa'!$AP$118,'J1 B - Butcher Terrace'!$X$118,'J1 C - (South) Bishopthorpe Roa'!$F$118,'J1 D - South Bank Avenue'!$BH$118)</f>
        <v>0</v>
      </c>
      <c r="CU118" s="83">
        <f>SUM('J1 A - (North) Bishopthorpe Roa'!$AQ$118,'J1 B - Butcher Terrace'!$Y$118,'J1 C - (South) Bishopthorpe Roa'!$G$118,'J1 D - South Bank Avenue'!$BI$118)</f>
        <v>0</v>
      </c>
      <c r="CV118" s="83">
        <f>SUM('J1 A - (North) Bishopthorpe Roa'!$AR$118,'J1 B - Butcher Terrace'!$Z$118,'J1 C - (South) Bishopthorpe Roa'!$H$118,'J1 D - South Bank Avenue'!$BJ$118)</f>
        <v>6</v>
      </c>
      <c r="CW118" s="83">
        <f>SUM('J1 A - (North) Bishopthorpe Roa'!$AS$118,'J1 B - Butcher Terrace'!$AA$118,'J1 C - (South) Bishopthorpe Roa'!$I$118,'J1 D - South Bank Avenue'!$BK$118)</f>
        <v>0</v>
      </c>
      <c r="CX118" s="86">
        <f>SUM('J1 A - (North) Bishopthorpe Roa'!$AT$118,'J1 B - Butcher Terrace'!$AB$118,'J1 C - (South) Bishopthorpe Roa'!$J$118,'J1 D - South Bank Avenue'!$BL$118)</f>
        <v>0</v>
      </c>
      <c r="CY118" s="77">
        <f>$CQ$118*VLOOKUP($CQ$11,'PCU Values'!$B$9:$C$16,2,FALSE)</f>
        <v>16</v>
      </c>
      <c r="CZ118" s="77">
        <f>$CR$118*VLOOKUP($CR$11,'PCU Values'!$B$9:$C$16,2,FALSE)</f>
        <v>0</v>
      </c>
      <c r="DA118" s="77">
        <f>$CS$118*VLOOKUP($CS$11,'PCU Values'!$B$9:$C$16,2,FALSE)</f>
        <v>0</v>
      </c>
      <c r="DB118" s="77">
        <f>$CT$118*VLOOKUP($CT$11,'PCU Values'!$B$9:$C$16,2,FALSE)</f>
        <v>0</v>
      </c>
      <c r="DC118" s="77">
        <f>$CU$118*VLOOKUP($CU$11,'PCU Values'!$B$9:$C$16,2,FALSE)</f>
        <v>0</v>
      </c>
      <c r="DD118" s="77">
        <f>$CV$118*VLOOKUP($CV$11,'PCU Values'!$B$9:$C$16,2,FALSE)</f>
        <v>1.2</v>
      </c>
      <c r="DE118" s="77">
        <f>$CW$118*VLOOKUP($CW$11,'PCU Values'!$B$9:$C$16,2,FALSE)</f>
        <v>0</v>
      </c>
      <c r="DF118" s="78">
        <f>$CX$118*VLOOKUP($CX$11,'PCU Values'!$B$9:$C$16,2,FALSE)</f>
        <v>0</v>
      </c>
      <c r="DG118" s="66">
        <f>SUM($CY$118,$CZ$118,$DA$118,$DB$118,$DC$118,$DD$118,$DE$118,$DF$118)</f>
        <v>17.2</v>
      </c>
      <c r="DH118" s="52">
        <f>SUM($CQ$118,$CR$118,$CS$118,$CT$118,$CU$118,$CV$118,$CW$118,$CX$118)</f>
        <v>22</v>
      </c>
    </row>
    <row r="119" spans="1:112" ht="21" customHeight="1">
      <c r="A119" s="46">
        <v>44395.895833333299</v>
      </c>
      <c r="B119" s="47" t="s">
        <v>117</v>
      </c>
      <c r="C119" s="49">
        <v>2</v>
      </c>
      <c r="D119" s="49">
        <v>0</v>
      </c>
      <c r="E119" s="49">
        <v>0</v>
      </c>
      <c r="F119" s="49">
        <v>0</v>
      </c>
      <c r="G119" s="49">
        <v>0</v>
      </c>
      <c r="H119" s="49">
        <v>0</v>
      </c>
      <c r="I119" s="49">
        <v>0</v>
      </c>
      <c r="J119" s="58">
        <v>0</v>
      </c>
      <c r="K119" s="57">
        <f>$C$119*VLOOKUP($C$11,'PCU Values'!$B$9:$C$16,2,FALSE)</f>
        <v>2</v>
      </c>
      <c r="L119" s="57">
        <f>$D$119*VLOOKUP($D$11,'PCU Values'!$B$9:$C$16,2,FALSE)</f>
        <v>0</v>
      </c>
      <c r="M119" s="57">
        <f>$E$119*VLOOKUP($E$11,'PCU Values'!$B$9:$C$16,2,FALSE)</f>
        <v>0</v>
      </c>
      <c r="N119" s="57">
        <f>$F$119*VLOOKUP($F$11,'PCU Values'!$B$9:$C$16,2,FALSE)</f>
        <v>0</v>
      </c>
      <c r="O119" s="57">
        <f>$G$119*VLOOKUP($G$11,'PCU Values'!$B$9:$C$16,2,FALSE)</f>
        <v>0</v>
      </c>
      <c r="P119" s="57">
        <f>$H$119*VLOOKUP($H$11,'PCU Values'!$B$9:$C$16,2,FALSE)</f>
        <v>0</v>
      </c>
      <c r="Q119" s="57">
        <f>$I$119*VLOOKUP($I$11,'PCU Values'!$B$9:$C$16,2,FALSE)</f>
        <v>0</v>
      </c>
      <c r="R119" s="65">
        <f>$J$119*VLOOKUP($J$11,'PCU Values'!$B$9:$C$16,2,FALSE)</f>
        <v>0</v>
      </c>
      <c r="S119" s="66">
        <f>SUM($K$119,$L$119,$M$119,$N$119,$O$119,$P$119,$Q$119,$R$119)</f>
        <v>2</v>
      </c>
      <c r="T119" s="52">
        <f>SUM($C$119,$D$119,$E$119,$F$119,$G$119,$H$119,$I$119,$J$119)</f>
        <v>2</v>
      </c>
      <c r="U119" s="49">
        <v>0</v>
      </c>
      <c r="V119" s="49">
        <v>0</v>
      </c>
      <c r="W119" s="49">
        <v>0</v>
      </c>
      <c r="X119" s="49">
        <v>0</v>
      </c>
      <c r="Y119" s="49">
        <v>0</v>
      </c>
      <c r="Z119" s="49">
        <v>2</v>
      </c>
      <c r="AA119" s="49">
        <v>0</v>
      </c>
      <c r="AB119" s="58">
        <v>0</v>
      </c>
      <c r="AC119" s="57">
        <f>$U$119*VLOOKUP($U$11,'PCU Values'!$B$9:$C$16,2,FALSE)</f>
        <v>0</v>
      </c>
      <c r="AD119" s="57">
        <f>$V$119*VLOOKUP($V$11,'PCU Values'!$B$9:$C$16,2,FALSE)</f>
        <v>0</v>
      </c>
      <c r="AE119" s="57">
        <f>$W$119*VLOOKUP($W$11,'PCU Values'!$B$9:$C$16,2,FALSE)</f>
        <v>0</v>
      </c>
      <c r="AF119" s="57">
        <f>$X$119*VLOOKUP($X$11,'PCU Values'!$B$9:$C$16,2,FALSE)</f>
        <v>0</v>
      </c>
      <c r="AG119" s="57">
        <f>$Y$119*VLOOKUP($Y$11,'PCU Values'!$B$9:$C$16,2,FALSE)</f>
        <v>0</v>
      </c>
      <c r="AH119" s="57">
        <f>$Z$119*VLOOKUP($Z$11,'PCU Values'!$B$9:$C$16,2,FALSE)</f>
        <v>0.4</v>
      </c>
      <c r="AI119" s="57">
        <f>$AA$119*VLOOKUP($AA$11,'PCU Values'!$B$9:$C$16,2,FALSE)</f>
        <v>0</v>
      </c>
      <c r="AJ119" s="65">
        <f>$AB$119*VLOOKUP($AB$11,'PCU Values'!$B$9:$C$16,2,FALSE)</f>
        <v>0</v>
      </c>
      <c r="AK119" s="66">
        <f>SUM($AC$119,$AD$119,$AE$119,$AF$119,$AG$119,$AH$119,$AI$119,$AJ$119)</f>
        <v>0.4</v>
      </c>
      <c r="AL119" s="52">
        <f>SUM($U$119,$V$119,$W$119,$X$119,$Y$119,$Z$119,$AA$119,$AB$119)</f>
        <v>2</v>
      </c>
      <c r="AM119" s="49">
        <v>0</v>
      </c>
      <c r="AN119" s="49">
        <v>0</v>
      </c>
      <c r="AO119" s="49">
        <v>0</v>
      </c>
      <c r="AP119" s="49">
        <v>0</v>
      </c>
      <c r="AQ119" s="49">
        <v>0</v>
      </c>
      <c r="AR119" s="49">
        <v>0</v>
      </c>
      <c r="AS119" s="49">
        <v>0</v>
      </c>
      <c r="AT119" s="58">
        <v>0</v>
      </c>
      <c r="AU119" s="57">
        <f>$AM$119*VLOOKUP($AM$11,'PCU Values'!$B$9:$C$16,2,FALSE)</f>
        <v>0</v>
      </c>
      <c r="AV119" s="57">
        <f>$AN$119*VLOOKUP($AN$11,'PCU Values'!$B$9:$C$16,2,FALSE)</f>
        <v>0</v>
      </c>
      <c r="AW119" s="57">
        <f>$AO$119*VLOOKUP($AO$11,'PCU Values'!$B$9:$C$16,2,FALSE)</f>
        <v>0</v>
      </c>
      <c r="AX119" s="57">
        <f>$AP$119*VLOOKUP($AP$11,'PCU Values'!$B$9:$C$16,2,FALSE)</f>
        <v>0</v>
      </c>
      <c r="AY119" s="57">
        <f>$AQ$119*VLOOKUP($AQ$11,'PCU Values'!$B$9:$C$16,2,FALSE)</f>
        <v>0</v>
      </c>
      <c r="AZ119" s="57">
        <f>$AR$119*VLOOKUP($AR$11,'PCU Values'!$B$9:$C$16,2,FALSE)</f>
        <v>0</v>
      </c>
      <c r="BA119" s="57">
        <f>$AS$119*VLOOKUP($AS$11,'PCU Values'!$B$9:$C$16,2,FALSE)</f>
        <v>0</v>
      </c>
      <c r="BB119" s="65">
        <f>$AT$119*VLOOKUP($AT$11,'PCU Values'!$B$9:$C$16,2,FALSE)</f>
        <v>0</v>
      </c>
      <c r="BC119" s="66">
        <f>SUM($AU$119,$AV$119,$AW$119,$AX$119,$AY$119,$AZ$119,$BA$119,$BB$119)</f>
        <v>0</v>
      </c>
      <c r="BD119" s="52">
        <f>SUM($AM$119,$AN$119,$AO$119,$AP$119,$AQ$119,$AR$119,$AS$119,$AT$119)</f>
        <v>0</v>
      </c>
      <c r="BE119" s="49">
        <v>0</v>
      </c>
      <c r="BF119" s="49">
        <v>0</v>
      </c>
      <c r="BG119" s="49">
        <v>0</v>
      </c>
      <c r="BH119" s="49">
        <v>0</v>
      </c>
      <c r="BI119" s="49">
        <v>0</v>
      </c>
      <c r="BJ119" s="49">
        <v>0</v>
      </c>
      <c r="BK119" s="49">
        <v>0</v>
      </c>
      <c r="BL119" s="58">
        <v>0</v>
      </c>
      <c r="BM119" s="77">
        <f>$BE$119*VLOOKUP($BE$11,'PCU Values'!$B$9:$C$16,2,FALSE)</f>
        <v>0</v>
      </c>
      <c r="BN119" s="77">
        <f>$BF$119*VLOOKUP($BF$11,'PCU Values'!$B$9:$C$16,2,FALSE)</f>
        <v>0</v>
      </c>
      <c r="BO119" s="77">
        <f>$BG$119*VLOOKUP($BG$11,'PCU Values'!$B$9:$C$16,2,FALSE)</f>
        <v>0</v>
      </c>
      <c r="BP119" s="77">
        <f>$BH$119*VLOOKUP($BH$11,'PCU Values'!$B$9:$C$16,2,FALSE)</f>
        <v>0</v>
      </c>
      <c r="BQ119" s="77">
        <f>$BI$119*VLOOKUP($BI$11,'PCU Values'!$B$9:$C$16,2,FALSE)</f>
        <v>0</v>
      </c>
      <c r="BR119" s="77">
        <f>$BJ$119*VLOOKUP($BJ$11,'PCU Values'!$B$9:$C$16,2,FALSE)</f>
        <v>0</v>
      </c>
      <c r="BS119" s="77">
        <f>$BK$119*VLOOKUP($BK$11,'PCU Values'!$B$9:$C$16,2,FALSE)</f>
        <v>0</v>
      </c>
      <c r="BT119" s="78">
        <f>$BL$119*VLOOKUP($BL$11,'PCU Values'!$B$9:$C$16,2,FALSE)</f>
        <v>0</v>
      </c>
      <c r="BU119" s="66">
        <f>SUM($BM$119,$BN$119,$BO$119,$BP$119,$BQ$119,$BR$119,$BS$119,$BT$119)</f>
        <v>0</v>
      </c>
      <c r="BV119" s="52">
        <f>SUM($BE$119,$BF$119,$BG$119,$BH$119,$BI$119,$BJ$119,$BK$119,$BL$119)</f>
        <v>0</v>
      </c>
      <c r="BX119" s="47" t="s">
        <v>117</v>
      </c>
      <c r="BY119" s="83">
        <f>SUM($C$119,$U$119,$AM$119,$BE$119)</f>
        <v>2</v>
      </c>
      <c r="BZ119" s="83">
        <f>SUM($D$119,$V$119,$AN$119,$BF$119)</f>
        <v>0</v>
      </c>
      <c r="CA119" s="83">
        <f>SUM($E$119,$W$119,$AO$119,$BG$119)</f>
        <v>0</v>
      </c>
      <c r="CB119" s="83">
        <f>SUM($F$119,$X$119,$AP$119,$BH$119)</f>
        <v>0</v>
      </c>
      <c r="CC119" s="83">
        <f>SUM($G$119,$Y$119,$AQ$119,$BI$119)</f>
        <v>0</v>
      </c>
      <c r="CD119" s="83">
        <f>SUM($H$119,$Z$119,$AR$119,$BJ$119)</f>
        <v>2</v>
      </c>
      <c r="CE119" s="83">
        <f>SUM($I$119,$AA$119,$AS$119,$BK$119)</f>
        <v>0</v>
      </c>
      <c r="CF119" s="86">
        <f>SUM($J$119,$AB$119,$AT$119,$BL$119)</f>
        <v>0</v>
      </c>
      <c r="CG119" s="77">
        <f>$BY$119*VLOOKUP($BY$11,'PCU Values'!$B$9:$C$16,2,FALSE)</f>
        <v>2</v>
      </c>
      <c r="CH119" s="77">
        <f>$BZ$119*VLOOKUP($BZ$11,'PCU Values'!$B$9:$C$16,2,FALSE)</f>
        <v>0</v>
      </c>
      <c r="CI119" s="77">
        <f>$CA$119*VLOOKUP($CA$11,'PCU Values'!$B$9:$C$16,2,FALSE)</f>
        <v>0</v>
      </c>
      <c r="CJ119" s="77">
        <f>$CB$119*VLOOKUP($CB$11,'PCU Values'!$B$9:$C$16,2,FALSE)</f>
        <v>0</v>
      </c>
      <c r="CK119" s="77">
        <f>$CC$119*VLOOKUP($CC$11,'PCU Values'!$B$9:$C$16,2,FALSE)</f>
        <v>0</v>
      </c>
      <c r="CL119" s="77">
        <f>$CD$119*VLOOKUP($CD$11,'PCU Values'!$B$9:$C$16,2,FALSE)</f>
        <v>0.4</v>
      </c>
      <c r="CM119" s="77">
        <f>$CE$119*VLOOKUP($CE$11,'PCU Values'!$B$9:$C$16,2,FALSE)</f>
        <v>0</v>
      </c>
      <c r="CN119" s="78">
        <f>$CF$119*VLOOKUP($CF$11,'PCU Values'!$B$9:$C$16,2,FALSE)</f>
        <v>0</v>
      </c>
      <c r="CO119" s="66">
        <f>SUM($CG$119,$CH$119,$CI$119,$CJ$119,$CK$119,$CL$119,$CM$119,$CN$119)</f>
        <v>2.4</v>
      </c>
      <c r="CP119" s="52">
        <f>SUM($BY$119,$BZ$119,$CA$119,$CB$119,$CC$119,$CD$119,$CE$119,$CF$119)</f>
        <v>4</v>
      </c>
      <c r="CQ119" s="89">
        <f>SUM('J1 A - (North) Bishopthorpe Roa'!$AM$119,'J1 B - Butcher Terrace'!$U$119,'J1 C - (South) Bishopthorpe Roa'!$C$119,'J1 D - South Bank Avenue'!$BE$119)</f>
        <v>5</v>
      </c>
      <c r="CR119" s="83">
        <f>SUM('J1 A - (North) Bishopthorpe Roa'!$AN$119,'J1 B - Butcher Terrace'!$V$119,'J1 C - (South) Bishopthorpe Roa'!$D$119,'J1 D - South Bank Avenue'!$BF$119)</f>
        <v>1</v>
      </c>
      <c r="CS119" s="83">
        <f>SUM('J1 A - (North) Bishopthorpe Roa'!$AO$119,'J1 B - Butcher Terrace'!$W$119,'J1 C - (South) Bishopthorpe Roa'!$E$119,'J1 D - South Bank Avenue'!$BG$119)</f>
        <v>0</v>
      </c>
      <c r="CT119" s="83">
        <f>SUM('J1 A - (North) Bishopthorpe Roa'!$AP$119,'J1 B - Butcher Terrace'!$X$119,'J1 C - (South) Bishopthorpe Roa'!$F$119,'J1 D - South Bank Avenue'!$BH$119)</f>
        <v>0</v>
      </c>
      <c r="CU119" s="83">
        <f>SUM('J1 A - (North) Bishopthorpe Roa'!$AQ$119,'J1 B - Butcher Terrace'!$Y$119,'J1 C - (South) Bishopthorpe Roa'!$G$119,'J1 D - South Bank Avenue'!$BI$119)</f>
        <v>0</v>
      </c>
      <c r="CV119" s="83">
        <f>SUM('J1 A - (North) Bishopthorpe Roa'!$AR$119,'J1 B - Butcher Terrace'!$Z$119,'J1 C - (South) Bishopthorpe Roa'!$H$119,'J1 D - South Bank Avenue'!$BJ$119)</f>
        <v>4</v>
      </c>
      <c r="CW119" s="83">
        <f>SUM('J1 A - (North) Bishopthorpe Roa'!$AS$119,'J1 B - Butcher Terrace'!$AA$119,'J1 C - (South) Bishopthorpe Roa'!$I$119,'J1 D - South Bank Avenue'!$BK$119)</f>
        <v>0</v>
      </c>
      <c r="CX119" s="86">
        <f>SUM('J1 A - (North) Bishopthorpe Roa'!$AT$119,'J1 B - Butcher Terrace'!$AB$119,'J1 C - (South) Bishopthorpe Roa'!$J$119,'J1 D - South Bank Avenue'!$BL$119)</f>
        <v>0</v>
      </c>
      <c r="CY119" s="77">
        <f>$CQ$119*VLOOKUP($CQ$11,'PCU Values'!$B$9:$C$16,2,FALSE)</f>
        <v>5</v>
      </c>
      <c r="CZ119" s="77">
        <f>$CR$119*VLOOKUP($CR$11,'PCU Values'!$B$9:$C$16,2,FALSE)</f>
        <v>1</v>
      </c>
      <c r="DA119" s="77">
        <f>$CS$119*VLOOKUP($CS$11,'PCU Values'!$B$9:$C$16,2,FALSE)</f>
        <v>0</v>
      </c>
      <c r="DB119" s="77">
        <f>$CT$119*VLOOKUP($CT$11,'PCU Values'!$B$9:$C$16,2,FALSE)</f>
        <v>0</v>
      </c>
      <c r="DC119" s="77">
        <f>$CU$119*VLOOKUP($CU$11,'PCU Values'!$B$9:$C$16,2,FALSE)</f>
        <v>0</v>
      </c>
      <c r="DD119" s="77">
        <f>$CV$119*VLOOKUP($CV$11,'PCU Values'!$B$9:$C$16,2,FALSE)</f>
        <v>0.8</v>
      </c>
      <c r="DE119" s="77">
        <f>$CW$119*VLOOKUP($CW$11,'PCU Values'!$B$9:$C$16,2,FALSE)</f>
        <v>0</v>
      </c>
      <c r="DF119" s="78">
        <f>$CX$119*VLOOKUP($CX$11,'PCU Values'!$B$9:$C$16,2,FALSE)</f>
        <v>0</v>
      </c>
      <c r="DG119" s="66">
        <f>SUM($CY$119,$CZ$119,$DA$119,$DB$119,$DC$119,$DD$119,$DE$119,$DF$119)</f>
        <v>6.8</v>
      </c>
      <c r="DH119" s="52">
        <f>SUM($CQ$119,$CR$119,$CS$119,$CT$119,$CU$119,$CV$119,$CW$119,$CX$119)</f>
        <v>10</v>
      </c>
    </row>
    <row r="120" spans="1:112" ht="21" customHeight="1">
      <c r="A120" s="46">
        <v>44395.90625</v>
      </c>
      <c r="B120" s="50" t="s">
        <v>118</v>
      </c>
      <c r="C120" s="51">
        <v>2</v>
      </c>
      <c r="D120" s="51">
        <v>0</v>
      </c>
      <c r="E120" s="51">
        <v>0</v>
      </c>
      <c r="F120" s="51">
        <v>0</v>
      </c>
      <c r="G120" s="51">
        <v>0</v>
      </c>
      <c r="H120" s="51">
        <v>0</v>
      </c>
      <c r="I120" s="51">
        <v>0</v>
      </c>
      <c r="J120" s="59">
        <v>0</v>
      </c>
      <c r="K120" s="60">
        <f>$C$120*VLOOKUP($C$11,'PCU Values'!$B$9:$C$16,2,FALSE)</f>
        <v>2</v>
      </c>
      <c r="L120" s="60">
        <f>$D$120*VLOOKUP($D$11,'PCU Values'!$B$9:$C$16,2,FALSE)</f>
        <v>0</v>
      </c>
      <c r="M120" s="60">
        <f>$E$120*VLOOKUP($E$11,'PCU Values'!$B$9:$C$16,2,FALSE)</f>
        <v>0</v>
      </c>
      <c r="N120" s="60">
        <f>$F$120*VLOOKUP($F$11,'PCU Values'!$B$9:$C$16,2,FALSE)</f>
        <v>0</v>
      </c>
      <c r="O120" s="60">
        <f>$G$120*VLOOKUP($G$11,'PCU Values'!$B$9:$C$16,2,FALSE)</f>
        <v>0</v>
      </c>
      <c r="P120" s="60">
        <f>$H$120*VLOOKUP($H$11,'PCU Values'!$B$9:$C$16,2,FALSE)</f>
        <v>0</v>
      </c>
      <c r="Q120" s="60">
        <f>$I$120*VLOOKUP($I$11,'PCU Values'!$B$9:$C$16,2,FALSE)</f>
        <v>0</v>
      </c>
      <c r="R120" s="68">
        <f>$J$120*VLOOKUP($J$11,'PCU Values'!$B$9:$C$16,2,FALSE)</f>
        <v>0</v>
      </c>
      <c r="S120" s="63">
        <f>SUM($K$120,$L$120,$M$120,$N$120,$O$120,$P$120,$Q$120,$R$120)</f>
        <v>2</v>
      </c>
      <c r="T120" s="52">
        <f>SUM($C$120,$D$120,$E$120,$F$120,$G$120,$H$120,$I$120,$J$120)</f>
        <v>2</v>
      </c>
      <c r="U120" s="73">
        <v>0</v>
      </c>
      <c r="V120" s="51">
        <v>0</v>
      </c>
      <c r="W120" s="51">
        <v>0</v>
      </c>
      <c r="X120" s="51">
        <v>0</v>
      </c>
      <c r="Y120" s="51">
        <v>0</v>
      </c>
      <c r="Z120" s="51">
        <v>1</v>
      </c>
      <c r="AA120" s="51">
        <v>2</v>
      </c>
      <c r="AB120" s="59">
        <v>0</v>
      </c>
      <c r="AC120" s="60">
        <f>$U$120*VLOOKUP($U$11,'PCU Values'!$B$9:$C$16,2,FALSE)</f>
        <v>0</v>
      </c>
      <c r="AD120" s="60">
        <f>$V$120*VLOOKUP($V$11,'PCU Values'!$B$9:$C$16,2,FALSE)</f>
        <v>0</v>
      </c>
      <c r="AE120" s="60">
        <f>$W$120*VLOOKUP($W$11,'PCU Values'!$B$9:$C$16,2,FALSE)</f>
        <v>0</v>
      </c>
      <c r="AF120" s="60">
        <f>$X$120*VLOOKUP($X$11,'PCU Values'!$B$9:$C$16,2,FALSE)</f>
        <v>0</v>
      </c>
      <c r="AG120" s="60">
        <f>$Y$120*VLOOKUP($Y$11,'PCU Values'!$B$9:$C$16,2,FALSE)</f>
        <v>0</v>
      </c>
      <c r="AH120" s="60">
        <f>$Z$120*VLOOKUP($Z$11,'PCU Values'!$B$9:$C$16,2,FALSE)</f>
        <v>0.2</v>
      </c>
      <c r="AI120" s="60">
        <f>$AA$120*VLOOKUP($AA$11,'PCU Values'!$B$9:$C$16,2,FALSE)</f>
        <v>0.8</v>
      </c>
      <c r="AJ120" s="68">
        <f>$AB$120*VLOOKUP($AB$11,'PCU Values'!$B$9:$C$16,2,FALSE)</f>
        <v>0</v>
      </c>
      <c r="AK120" s="63">
        <f>SUM($AC$120,$AD$120,$AE$120,$AF$120,$AG$120,$AH$120,$AI$120,$AJ$120)</f>
        <v>1</v>
      </c>
      <c r="AL120" s="52">
        <f>SUM($U$120,$V$120,$W$120,$X$120,$Y$120,$Z$120,$AA$120,$AB$120)</f>
        <v>3</v>
      </c>
      <c r="AM120" s="73">
        <v>0</v>
      </c>
      <c r="AN120" s="51">
        <v>0</v>
      </c>
      <c r="AO120" s="51">
        <v>0</v>
      </c>
      <c r="AP120" s="51">
        <v>0</v>
      </c>
      <c r="AQ120" s="51">
        <v>0</v>
      </c>
      <c r="AR120" s="51">
        <v>0</v>
      </c>
      <c r="AS120" s="51">
        <v>0</v>
      </c>
      <c r="AT120" s="59">
        <v>0</v>
      </c>
      <c r="AU120" s="60">
        <f>$AM$120*VLOOKUP($AM$11,'PCU Values'!$B$9:$C$16,2,FALSE)</f>
        <v>0</v>
      </c>
      <c r="AV120" s="60">
        <f>$AN$120*VLOOKUP($AN$11,'PCU Values'!$B$9:$C$16,2,FALSE)</f>
        <v>0</v>
      </c>
      <c r="AW120" s="60">
        <f>$AO$120*VLOOKUP($AO$11,'PCU Values'!$B$9:$C$16,2,FALSE)</f>
        <v>0</v>
      </c>
      <c r="AX120" s="60">
        <f>$AP$120*VLOOKUP($AP$11,'PCU Values'!$B$9:$C$16,2,FALSE)</f>
        <v>0</v>
      </c>
      <c r="AY120" s="60">
        <f>$AQ$120*VLOOKUP($AQ$11,'PCU Values'!$B$9:$C$16,2,FALSE)</f>
        <v>0</v>
      </c>
      <c r="AZ120" s="60">
        <f>$AR$120*VLOOKUP($AR$11,'PCU Values'!$B$9:$C$16,2,FALSE)</f>
        <v>0</v>
      </c>
      <c r="BA120" s="60">
        <f>$AS$120*VLOOKUP($AS$11,'PCU Values'!$B$9:$C$16,2,FALSE)</f>
        <v>0</v>
      </c>
      <c r="BB120" s="68">
        <f>$AT$120*VLOOKUP($AT$11,'PCU Values'!$B$9:$C$16,2,FALSE)</f>
        <v>0</v>
      </c>
      <c r="BC120" s="63">
        <f>SUM($AU$120,$AV$120,$AW$120,$AX$120,$AY$120,$AZ$120,$BA$120,$BB$120)</f>
        <v>0</v>
      </c>
      <c r="BD120" s="52">
        <f>SUM($AM$120,$AN$120,$AO$120,$AP$120,$AQ$120,$AR$120,$AS$120,$AT$120)</f>
        <v>0</v>
      </c>
      <c r="BE120" s="73">
        <v>0</v>
      </c>
      <c r="BF120" s="51">
        <v>0</v>
      </c>
      <c r="BG120" s="51">
        <v>0</v>
      </c>
      <c r="BH120" s="51">
        <v>0</v>
      </c>
      <c r="BI120" s="51">
        <v>0</v>
      </c>
      <c r="BJ120" s="51">
        <v>0</v>
      </c>
      <c r="BK120" s="51">
        <v>0</v>
      </c>
      <c r="BL120" s="59">
        <v>0</v>
      </c>
      <c r="BM120" s="79">
        <f>$BE$120*VLOOKUP($BE$11,'PCU Values'!$B$9:$C$16,2,FALSE)</f>
        <v>0</v>
      </c>
      <c r="BN120" s="79">
        <f>$BF$120*VLOOKUP($BF$11,'PCU Values'!$B$9:$C$16,2,FALSE)</f>
        <v>0</v>
      </c>
      <c r="BO120" s="79">
        <f>$BG$120*VLOOKUP($BG$11,'PCU Values'!$B$9:$C$16,2,FALSE)</f>
        <v>0</v>
      </c>
      <c r="BP120" s="79">
        <f>$BH$120*VLOOKUP($BH$11,'PCU Values'!$B$9:$C$16,2,FALSE)</f>
        <v>0</v>
      </c>
      <c r="BQ120" s="79">
        <f>$BI$120*VLOOKUP($BI$11,'PCU Values'!$B$9:$C$16,2,FALSE)</f>
        <v>0</v>
      </c>
      <c r="BR120" s="79">
        <f>$BJ$120*VLOOKUP($BJ$11,'PCU Values'!$B$9:$C$16,2,FALSE)</f>
        <v>0</v>
      </c>
      <c r="BS120" s="79">
        <f>$BK$120*VLOOKUP($BK$11,'PCU Values'!$B$9:$C$16,2,FALSE)</f>
        <v>0</v>
      </c>
      <c r="BT120" s="80">
        <f>$BL$120*VLOOKUP($BL$11,'PCU Values'!$B$9:$C$16,2,FALSE)</f>
        <v>0</v>
      </c>
      <c r="BU120" s="63">
        <f>SUM($BM$120,$BN$120,$BO$120,$BP$120,$BQ$120,$BR$120,$BS$120,$BT$120)</f>
        <v>0</v>
      </c>
      <c r="BV120" s="52">
        <f>SUM($BE$120,$BF$120,$BG$120,$BH$120,$BI$120,$BJ$120,$BK$120,$BL$120)</f>
        <v>0</v>
      </c>
      <c r="BX120" s="50" t="s">
        <v>118</v>
      </c>
      <c r="BY120" s="84">
        <f>SUM($C$120,$U$120,$AM$120,$BE$120)</f>
        <v>2</v>
      </c>
      <c r="BZ120" s="84">
        <f>SUM($D$120,$V$120,$AN$120,$BF$120)</f>
        <v>0</v>
      </c>
      <c r="CA120" s="84">
        <f>SUM($E$120,$W$120,$AO$120,$BG$120)</f>
        <v>0</v>
      </c>
      <c r="CB120" s="84">
        <f>SUM($F$120,$X$120,$AP$120,$BH$120)</f>
        <v>0</v>
      </c>
      <c r="CC120" s="84">
        <f>SUM($G$120,$Y$120,$AQ$120,$BI$120)</f>
        <v>0</v>
      </c>
      <c r="CD120" s="84">
        <f>SUM($H$120,$Z$120,$AR$120,$BJ$120)</f>
        <v>1</v>
      </c>
      <c r="CE120" s="84">
        <f>SUM($I$120,$AA$120,$AS$120,$BK$120)</f>
        <v>2</v>
      </c>
      <c r="CF120" s="87">
        <f>SUM($J$120,$AB$120,$AT$120,$BL$120)</f>
        <v>0</v>
      </c>
      <c r="CG120" s="79">
        <f>$BY$120*VLOOKUP($BY$11,'PCU Values'!$B$9:$C$16,2,FALSE)</f>
        <v>2</v>
      </c>
      <c r="CH120" s="79">
        <f>$BZ$120*VLOOKUP($BZ$11,'PCU Values'!$B$9:$C$16,2,FALSE)</f>
        <v>0</v>
      </c>
      <c r="CI120" s="79">
        <f>$CA$120*VLOOKUP($CA$11,'PCU Values'!$B$9:$C$16,2,FALSE)</f>
        <v>0</v>
      </c>
      <c r="CJ120" s="79">
        <f>$CB$120*VLOOKUP($CB$11,'PCU Values'!$B$9:$C$16,2,FALSE)</f>
        <v>0</v>
      </c>
      <c r="CK120" s="79">
        <f>$CC$120*VLOOKUP($CC$11,'PCU Values'!$B$9:$C$16,2,FALSE)</f>
        <v>0</v>
      </c>
      <c r="CL120" s="79">
        <f>$CD$120*VLOOKUP($CD$11,'PCU Values'!$B$9:$C$16,2,FALSE)</f>
        <v>0.2</v>
      </c>
      <c r="CM120" s="79">
        <f>$CE$120*VLOOKUP($CE$11,'PCU Values'!$B$9:$C$16,2,FALSE)</f>
        <v>0.8</v>
      </c>
      <c r="CN120" s="80">
        <f>$CF$120*VLOOKUP($CF$11,'PCU Values'!$B$9:$C$16,2,FALSE)</f>
        <v>0</v>
      </c>
      <c r="CO120" s="63">
        <f>SUM($CG$120,$CH$120,$CI$120,$CJ$120,$CK$120,$CL$120,$CM$120,$CN$120)</f>
        <v>3</v>
      </c>
      <c r="CP120" s="52">
        <f>SUM($BY$120,$BZ$120,$CA$120,$CB$120,$CC$120,$CD$120,$CE$120,$CF$120)</f>
        <v>5</v>
      </c>
      <c r="CQ120" s="90">
        <f>SUM('J1 A - (North) Bishopthorpe Roa'!$AM$120,'J1 B - Butcher Terrace'!$U$120,'J1 C - (South) Bishopthorpe Roa'!$C$120,'J1 D - South Bank Avenue'!$BE$120)</f>
        <v>7</v>
      </c>
      <c r="CR120" s="84">
        <f>SUM('J1 A - (North) Bishopthorpe Roa'!$AN$120,'J1 B - Butcher Terrace'!$V$120,'J1 C - (South) Bishopthorpe Roa'!$D$120,'J1 D - South Bank Avenue'!$BF$120)</f>
        <v>0</v>
      </c>
      <c r="CS120" s="84">
        <f>SUM('J1 A - (North) Bishopthorpe Roa'!$AO$120,'J1 B - Butcher Terrace'!$W$120,'J1 C - (South) Bishopthorpe Roa'!$E$120,'J1 D - South Bank Avenue'!$BG$120)</f>
        <v>0</v>
      </c>
      <c r="CT120" s="84">
        <f>SUM('J1 A - (North) Bishopthorpe Roa'!$AP$120,'J1 B - Butcher Terrace'!$X$120,'J1 C - (South) Bishopthorpe Roa'!$F$120,'J1 D - South Bank Avenue'!$BH$120)</f>
        <v>0</v>
      </c>
      <c r="CU120" s="84">
        <f>SUM('J1 A - (North) Bishopthorpe Roa'!$AQ$120,'J1 B - Butcher Terrace'!$Y$120,'J1 C - (South) Bishopthorpe Roa'!$G$120,'J1 D - South Bank Avenue'!$BI$120)</f>
        <v>0</v>
      </c>
      <c r="CV120" s="84">
        <f>SUM('J1 A - (North) Bishopthorpe Roa'!$AR$120,'J1 B - Butcher Terrace'!$Z$120,'J1 C - (South) Bishopthorpe Roa'!$H$120,'J1 D - South Bank Avenue'!$BJ$120)</f>
        <v>2</v>
      </c>
      <c r="CW120" s="84">
        <f>SUM('J1 A - (North) Bishopthorpe Roa'!$AS$120,'J1 B - Butcher Terrace'!$AA$120,'J1 C - (South) Bishopthorpe Roa'!$I$120,'J1 D - South Bank Avenue'!$BK$120)</f>
        <v>0</v>
      </c>
      <c r="CX120" s="87">
        <f>SUM('J1 A - (North) Bishopthorpe Roa'!$AT$120,'J1 B - Butcher Terrace'!$AB$120,'J1 C - (South) Bishopthorpe Roa'!$J$120,'J1 D - South Bank Avenue'!$BL$120)</f>
        <v>0</v>
      </c>
      <c r="CY120" s="79">
        <f>$CQ$120*VLOOKUP($CQ$11,'PCU Values'!$B$9:$C$16,2,FALSE)</f>
        <v>7</v>
      </c>
      <c r="CZ120" s="79">
        <f>$CR$120*VLOOKUP($CR$11,'PCU Values'!$B$9:$C$16,2,FALSE)</f>
        <v>0</v>
      </c>
      <c r="DA120" s="79">
        <f>$CS$120*VLOOKUP($CS$11,'PCU Values'!$B$9:$C$16,2,FALSE)</f>
        <v>0</v>
      </c>
      <c r="DB120" s="79">
        <f>$CT$120*VLOOKUP($CT$11,'PCU Values'!$B$9:$C$16,2,FALSE)</f>
        <v>0</v>
      </c>
      <c r="DC120" s="79">
        <f>$CU$120*VLOOKUP($CU$11,'PCU Values'!$B$9:$C$16,2,FALSE)</f>
        <v>0</v>
      </c>
      <c r="DD120" s="79">
        <f>$CV$120*VLOOKUP($CV$11,'PCU Values'!$B$9:$C$16,2,FALSE)</f>
        <v>0.4</v>
      </c>
      <c r="DE120" s="79">
        <f>$CW$120*VLOOKUP($CW$11,'PCU Values'!$B$9:$C$16,2,FALSE)</f>
        <v>0</v>
      </c>
      <c r="DF120" s="80">
        <f>$CX$120*VLOOKUP($CX$11,'PCU Values'!$B$9:$C$16,2,FALSE)</f>
        <v>0</v>
      </c>
      <c r="DG120" s="63">
        <f>SUM($CY$120,$CZ$120,$DA$120,$DB$120,$DC$120,$DD$120,$DE$120,$DF$120)</f>
        <v>7.4</v>
      </c>
      <c r="DH120" s="52">
        <f>SUM($CQ$120,$CR$120,$CS$120,$CT$120,$CU$120,$CV$120,$CW$120,$CX$120)</f>
        <v>9</v>
      </c>
    </row>
    <row r="121" spans="1:112">
      <c r="B121" s="52" t="s">
        <v>34</v>
      </c>
      <c r="C121" s="52">
        <f>SUM($C$117:$C$120)</f>
        <v>9</v>
      </c>
      <c r="D121" s="52">
        <f>SUM($D$117:$D$120)</f>
        <v>0</v>
      </c>
      <c r="E121" s="52">
        <f>SUM($E$117:$E$120)</f>
        <v>0</v>
      </c>
      <c r="F121" s="52">
        <f>SUM($F$117:$F$120)</f>
        <v>0</v>
      </c>
      <c r="G121" s="52">
        <f>SUM($G$117:$G$120)</f>
        <v>0</v>
      </c>
      <c r="H121" s="52">
        <f>SUM($H$117:$H$120)</f>
        <v>0</v>
      </c>
      <c r="I121" s="52">
        <f>SUM($I$117:$I$120)</f>
        <v>1</v>
      </c>
      <c r="J121" s="52">
        <f>SUM($J$117:$J$120)</f>
        <v>0</v>
      </c>
      <c r="K121" s="52">
        <f>SUM($K$117:$K$120)</f>
        <v>9</v>
      </c>
      <c r="L121" s="52">
        <f>SUM($L$117:$L$120)</f>
        <v>0</v>
      </c>
      <c r="M121" s="52">
        <f>SUM($M$117:$M$120)</f>
        <v>0</v>
      </c>
      <c r="N121" s="52">
        <f>SUM($N$117:$N$120)</f>
        <v>0</v>
      </c>
      <c r="O121" s="52">
        <f>SUM($O$117:$O$120)</f>
        <v>0</v>
      </c>
      <c r="P121" s="52">
        <f>SUM($P$117:$P$120)</f>
        <v>0</v>
      </c>
      <c r="Q121" s="52">
        <f>SUM($Q$117:$Q$120)</f>
        <v>0</v>
      </c>
      <c r="R121" s="52">
        <f>SUM($R$117:$R$120)</f>
        <v>0</v>
      </c>
      <c r="S121" s="52">
        <f>SUM($K$121,$L$121,$M$121,$N$121,$O$121,$P$121,$Q$121,$R$121)</f>
        <v>9</v>
      </c>
      <c r="T121" s="52">
        <f>SUM($C$121,$D$121,$E$121,$F$121,$G$121,$H$121,$I$121,$J$121)</f>
        <v>10</v>
      </c>
      <c r="U121" s="52">
        <f>SUM($U$117:$U$120)</f>
        <v>1</v>
      </c>
      <c r="V121" s="52">
        <f>SUM($V$117:$V$120)</f>
        <v>0</v>
      </c>
      <c r="W121" s="52">
        <f>SUM($W$117:$W$120)</f>
        <v>0</v>
      </c>
      <c r="X121" s="52">
        <f>SUM($X$117:$X$120)</f>
        <v>0</v>
      </c>
      <c r="Y121" s="52">
        <f>SUM($Y$117:$Y$120)</f>
        <v>0</v>
      </c>
      <c r="Z121" s="52">
        <f>SUM($Z$117:$Z$120)</f>
        <v>8</v>
      </c>
      <c r="AA121" s="52">
        <f>SUM($AA$117:$AA$120)</f>
        <v>2</v>
      </c>
      <c r="AB121" s="52">
        <f>SUM($AB$117:$AB$120)</f>
        <v>0</v>
      </c>
      <c r="AC121" s="52">
        <f>SUM($AC$117:$AC$120)</f>
        <v>1</v>
      </c>
      <c r="AD121" s="52">
        <f>SUM($AD$117:$AD$120)</f>
        <v>0</v>
      </c>
      <c r="AE121" s="52">
        <f>SUM($AE$117:$AE$120)</f>
        <v>0</v>
      </c>
      <c r="AF121" s="52">
        <f>SUM($AF$117:$AF$120)</f>
        <v>0</v>
      </c>
      <c r="AG121" s="52">
        <f>SUM($AG$117:$AG$120)</f>
        <v>0</v>
      </c>
      <c r="AH121" s="52">
        <f>SUM($AH$117:$AH$120)</f>
        <v>2</v>
      </c>
      <c r="AI121" s="52">
        <f>SUM($AI$117:$AI$120)</f>
        <v>1</v>
      </c>
      <c r="AJ121" s="52">
        <f>SUM($AJ$117:$AJ$120)</f>
        <v>0</v>
      </c>
      <c r="AK121" s="52">
        <f>SUM($AC$121,$AD$121,$AE$121,$AF$121,$AG$121,$AH$121,$AI$121,$AJ$121)</f>
        <v>4</v>
      </c>
      <c r="AL121" s="52">
        <f>SUM($U$121,$V$121,$W$121,$X$121,$Y$121,$Z$121,$AA$121,$AB$121)</f>
        <v>11</v>
      </c>
      <c r="AM121" s="52">
        <f>SUM($AM$117:$AM$120)</f>
        <v>0</v>
      </c>
      <c r="AN121" s="52">
        <f>SUM($AN$117:$AN$120)</f>
        <v>0</v>
      </c>
      <c r="AO121" s="52">
        <f>SUM($AO$117:$AO$120)</f>
        <v>0</v>
      </c>
      <c r="AP121" s="52">
        <f>SUM($AP$117:$AP$120)</f>
        <v>0</v>
      </c>
      <c r="AQ121" s="52">
        <f>SUM($AQ$117:$AQ$120)</f>
        <v>0</v>
      </c>
      <c r="AR121" s="52">
        <f>SUM($AR$117:$AR$120)</f>
        <v>0</v>
      </c>
      <c r="AS121" s="52">
        <f>SUM($AS$117:$AS$120)</f>
        <v>0</v>
      </c>
      <c r="AT121" s="52">
        <f>SUM($AT$117:$AT$120)</f>
        <v>0</v>
      </c>
      <c r="AU121" s="52">
        <f>SUM($AU$117:$AU$120)</f>
        <v>0</v>
      </c>
      <c r="AV121" s="52">
        <f>SUM($AV$117:$AV$120)</f>
        <v>0</v>
      </c>
      <c r="AW121" s="52">
        <f>SUM($AW$117:$AW$120)</f>
        <v>0</v>
      </c>
      <c r="AX121" s="52">
        <f>SUM($AX$117:$AX$120)</f>
        <v>0</v>
      </c>
      <c r="AY121" s="52">
        <f>SUM($AY$117:$AY$120)</f>
        <v>0</v>
      </c>
      <c r="AZ121" s="52">
        <f>SUM($AZ$117:$AZ$120)</f>
        <v>0</v>
      </c>
      <c r="BA121" s="52">
        <f>SUM($BA$117:$BA$120)</f>
        <v>0</v>
      </c>
      <c r="BB121" s="52">
        <f>SUM($BB$117:$BB$120)</f>
        <v>0</v>
      </c>
      <c r="BC121" s="52">
        <f>SUM($AU$121,$AV$121,$AW$121,$AX$121,$AY$121,$AZ$121,$BA$121,$BB$121)</f>
        <v>0</v>
      </c>
      <c r="BD121" s="52">
        <f>SUM($AM$121,$AN$121,$AO$121,$AP$121,$AQ$121,$AR$121,$AS$121,$AT$121)</f>
        <v>0</v>
      </c>
      <c r="BE121" s="52">
        <f>SUM($BE$117:$BE$120)</f>
        <v>0</v>
      </c>
      <c r="BF121" s="52">
        <f>SUM($BF$117:$BF$120)</f>
        <v>0</v>
      </c>
      <c r="BG121" s="52">
        <f>SUM($BG$117:$BG$120)</f>
        <v>0</v>
      </c>
      <c r="BH121" s="52">
        <f>SUM($BH$117:$BH$120)</f>
        <v>0</v>
      </c>
      <c r="BI121" s="52">
        <f>SUM($BI$117:$BI$120)</f>
        <v>0</v>
      </c>
      <c r="BJ121" s="52">
        <f>SUM($BJ$117:$BJ$120)</f>
        <v>0</v>
      </c>
      <c r="BK121" s="52">
        <f>SUM($BK$117:$BK$120)</f>
        <v>0</v>
      </c>
      <c r="BL121" s="52">
        <f>SUM($BL$117:$BL$120)</f>
        <v>0</v>
      </c>
      <c r="BM121" s="52">
        <f>SUM($BM$117:$BM$120)</f>
        <v>0</v>
      </c>
      <c r="BN121" s="52">
        <f>SUM($BN$117:$BN$120)</f>
        <v>0</v>
      </c>
      <c r="BO121" s="52">
        <f>SUM($BO$117:$BO$120)</f>
        <v>0</v>
      </c>
      <c r="BP121" s="52">
        <f>SUM($BP$117:$BP$120)</f>
        <v>0</v>
      </c>
      <c r="BQ121" s="52">
        <f>SUM($BQ$117:$BQ$120)</f>
        <v>0</v>
      </c>
      <c r="BR121" s="52">
        <f>SUM($BR$117:$BR$120)</f>
        <v>0</v>
      </c>
      <c r="BS121" s="52">
        <f>SUM($BS$117:$BS$120)</f>
        <v>0</v>
      </c>
      <c r="BT121" s="52">
        <f>SUM($BT$117:$BT$120)</f>
        <v>0</v>
      </c>
      <c r="BU121" s="52">
        <f>SUM($BM$121,$BN$121,$BO$121,$BP$121,$BQ$121,$BR$121,$BS$121,$BT$121)</f>
        <v>0</v>
      </c>
      <c r="BV121" s="52">
        <f>SUM($BE$121,$BF$121,$BG$121,$BH$121,$BI$121,$BJ$121,$BK$121,$BL$121)</f>
        <v>0</v>
      </c>
      <c r="BX121" s="52" t="s">
        <v>34</v>
      </c>
      <c r="BY121" s="52">
        <f>SUM($BY$117:$BY$120)</f>
        <v>10</v>
      </c>
      <c r="BZ121" s="52">
        <f>SUM($BZ$117:$BZ$120)</f>
        <v>0</v>
      </c>
      <c r="CA121" s="52">
        <f>SUM($CA$117:$CA$120)</f>
        <v>0</v>
      </c>
      <c r="CB121" s="52">
        <f>SUM($CB$117:$CB$120)</f>
        <v>0</v>
      </c>
      <c r="CC121" s="52">
        <f>SUM($CC$117:$CC$120)</f>
        <v>0</v>
      </c>
      <c r="CD121" s="52">
        <f>SUM($CD$117:$CD$120)</f>
        <v>8</v>
      </c>
      <c r="CE121" s="52">
        <f>SUM($CE$117:$CE$120)</f>
        <v>3</v>
      </c>
      <c r="CF121" s="52">
        <f>SUM($CF$117:$CF$120)</f>
        <v>0</v>
      </c>
      <c r="CG121" s="52">
        <f>SUM($CG$117:$CG$120)</f>
        <v>10</v>
      </c>
      <c r="CH121" s="52">
        <f>SUM($CH$117:$CH$120)</f>
        <v>0</v>
      </c>
      <c r="CI121" s="52">
        <f>SUM($CI$117:$CI$120)</f>
        <v>0</v>
      </c>
      <c r="CJ121" s="52">
        <f>SUM($CJ$117:$CJ$120)</f>
        <v>0</v>
      </c>
      <c r="CK121" s="52">
        <f>SUM($CK$117:$CK$120)</f>
        <v>0</v>
      </c>
      <c r="CL121" s="52">
        <f>SUM($CL$117:$CL$120)</f>
        <v>2</v>
      </c>
      <c r="CM121" s="52">
        <f>SUM($CM$117:$CM$120)</f>
        <v>1</v>
      </c>
      <c r="CN121" s="52">
        <f>SUM($CN$117:$CN$120)</f>
        <v>0</v>
      </c>
      <c r="CO121" s="52">
        <f>SUM($CG$121,$CH$121,$CI$121,$CJ$121,$CK$121,$CL$121,$CM$121,$CN$121)</f>
        <v>13</v>
      </c>
      <c r="CP121" s="52">
        <f>SUM($BY$121,$BZ$121,$CA$121,$CB$121,$CC$121,$CD$121,$CE$121,$CF$121)</f>
        <v>21</v>
      </c>
      <c r="CQ121" s="52">
        <f>SUM($CQ$117:$CQ$120)</f>
        <v>35</v>
      </c>
      <c r="CR121" s="52">
        <f>SUM($CR$117:$CR$120)</f>
        <v>2</v>
      </c>
      <c r="CS121" s="52">
        <f>SUM($CS$117:$CS$120)</f>
        <v>0</v>
      </c>
      <c r="CT121" s="52">
        <f>SUM($CT$117:$CT$120)</f>
        <v>0</v>
      </c>
      <c r="CU121" s="52">
        <f>SUM($CU$117:$CU$120)</f>
        <v>0</v>
      </c>
      <c r="CV121" s="52">
        <f>SUM($CV$117:$CV$120)</f>
        <v>19</v>
      </c>
      <c r="CW121" s="52">
        <f>SUM($CW$117:$CW$120)</f>
        <v>1</v>
      </c>
      <c r="CX121" s="52">
        <f>SUM($CX$117:$CX$120)</f>
        <v>0</v>
      </c>
      <c r="CY121" s="52">
        <f>SUM($CY$117:$CY$120)</f>
        <v>35</v>
      </c>
      <c r="CZ121" s="52">
        <f>SUM($CZ$117:$CZ$120)</f>
        <v>2</v>
      </c>
      <c r="DA121" s="52">
        <f>SUM($DA$117:$DA$120)</f>
        <v>0</v>
      </c>
      <c r="DB121" s="52">
        <f>SUM($DB$117:$DB$120)</f>
        <v>0</v>
      </c>
      <c r="DC121" s="52">
        <f>SUM($DC$117:$DC$120)</f>
        <v>0</v>
      </c>
      <c r="DD121" s="52">
        <f>SUM($DD$117:$DD$120)</f>
        <v>4</v>
      </c>
      <c r="DE121" s="52">
        <f>SUM($DE$117:$DE$120)</f>
        <v>0</v>
      </c>
      <c r="DF121" s="52">
        <f>SUM($DF$117:$DF$120)</f>
        <v>0</v>
      </c>
      <c r="DG121" s="52">
        <f>SUM($CY$121,$CZ$121,$DA$121,$DB$121,$DC$121,$DD$121,$DE$121,$DF$121)</f>
        <v>41</v>
      </c>
      <c r="DH121" s="52">
        <f>SUM($CQ$121,$CR$121,$CS$121,$CT$121,$CU$121,$CV$121,$CW$121,$CX$121)</f>
        <v>57</v>
      </c>
    </row>
    <row r="122" spans="1:112" ht="21" customHeight="1">
      <c r="A122" s="46">
        <v>44395.916666666701</v>
      </c>
      <c r="B122" s="53" t="s">
        <v>119</v>
      </c>
      <c r="C122" s="54">
        <v>4</v>
      </c>
      <c r="D122" s="54">
        <v>1</v>
      </c>
      <c r="E122" s="54">
        <v>0</v>
      </c>
      <c r="F122" s="54">
        <v>0</v>
      </c>
      <c r="G122" s="54">
        <v>0</v>
      </c>
      <c r="H122" s="54">
        <v>0</v>
      </c>
      <c r="I122" s="54">
        <v>0</v>
      </c>
      <c r="J122" s="61">
        <v>0</v>
      </c>
      <c r="K122" s="62">
        <f>$C$122*VLOOKUP($C$11,'PCU Values'!$B$9:$C$16,2,FALSE)</f>
        <v>4</v>
      </c>
      <c r="L122" s="62">
        <f>$D$122*VLOOKUP($D$11,'PCU Values'!$B$9:$C$16,2,FALSE)</f>
        <v>1</v>
      </c>
      <c r="M122" s="62">
        <f>$E$122*VLOOKUP($E$11,'PCU Values'!$B$9:$C$16,2,FALSE)</f>
        <v>0</v>
      </c>
      <c r="N122" s="62">
        <f>$F$122*VLOOKUP($F$11,'PCU Values'!$B$9:$C$16,2,FALSE)</f>
        <v>0</v>
      </c>
      <c r="O122" s="62">
        <f>$G$122*VLOOKUP($G$11,'PCU Values'!$B$9:$C$16,2,FALSE)</f>
        <v>0</v>
      </c>
      <c r="P122" s="62">
        <f>$H$122*VLOOKUP($H$11,'PCU Values'!$B$9:$C$16,2,FALSE)</f>
        <v>0</v>
      </c>
      <c r="Q122" s="62">
        <f>$I$122*VLOOKUP($I$11,'PCU Values'!$B$9:$C$16,2,FALSE)</f>
        <v>0</v>
      </c>
      <c r="R122" s="70">
        <f>$J$122*VLOOKUP($J$11,'PCU Values'!$B$9:$C$16,2,FALSE)</f>
        <v>0</v>
      </c>
      <c r="S122" s="71">
        <f>SUM($K$122,$L$122,$M$122,$N$122,$O$122,$P$122,$Q$122,$R$122)</f>
        <v>5</v>
      </c>
      <c r="T122" s="52">
        <f>SUM($C$122,$D$122,$E$122,$F$122,$G$122,$H$122,$I$122,$J$122)</f>
        <v>5</v>
      </c>
      <c r="U122" s="72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61">
        <v>0</v>
      </c>
      <c r="AC122" s="62">
        <f>$U$122*VLOOKUP($U$11,'PCU Values'!$B$9:$C$16,2,FALSE)</f>
        <v>0</v>
      </c>
      <c r="AD122" s="62">
        <f>$V$122*VLOOKUP($V$11,'PCU Values'!$B$9:$C$16,2,FALSE)</f>
        <v>0</v>
      </c>
      <c r="AE122" s="62">
        <f>$W$122*VLOOKUP($W$11,'PCU Values'!$B$9:$C$16,2,FALSE)</f>
        <v>0</v>
      </c>
      <c r="AF122" s="62">
        <f>$X$122*VLOOKUP($X$11,'PCU Values'!$B$9:$C$16,2,FALSE)</f>
        <v>0</v>
      </c>
      <c r="AG122" s="62">
        <f>$Y$122*VLOOKUP($Y$11,'PCU Values'!$B$9:$C$16,2,FALSE)</f>
        <v>0</v>
      </c>
      <c r="AH122" s="62">
        <f>$Z$122*VLOOKUP($Z$11,'PCU Values'!$B$9:$C$16,2,FALSE)</f>
        <v>0</v>
      </c>
      <c r="AI122" s="62">
        <f>$AA$122*VLOOKUP($AA$11,'PCU Values'!$B$9:$C$16,2,FALSE)</f>
        <v>0</v>
      </c>
      <c r="AJ122" s="70">
        <f>$AB$122*VLOOKUP($AB$11,'PCU Values'!$B$9:$C$16,2,FALSE)</f>
        <v>0</v>
      </c>
      <c r="AK122" s="71">
        <f>SUM($AC$122,$AD$122,$AE$122,$AF$122,$AG$122,$AH$122,$AI$122,$AJ$122)</f>
        <v>0</v>
      </c>
      <c r="AL122" s="52">
        <f>SUM($U$122,$V$122,$W$122,$X$122,$Y$122,$Z$122,$AA$122,$AB$122)</f>
        <v>0</v>
      </c>
      <c r="AM122" s="72">
        <v>1</v>
      </c>
      <c r="AN122" s="54">
        <v>0</v>
      </c>
      <c r="AO122" s="54">
        <v>0</v>
      </c>
      <c r="AP122" s="54">
        <v>0</v>
      </c>
      <c r="AQ122" s="54">
        <v>0</v>
      </c>
      <c r="AR122" s="54">
        <v>0</v>
      </c>
      <c r="AS122" s="54">
        <v>0</v>
      </c>
      <c r="AT122" s="61">
        <v>0</v>
      </c>
      <c r="AU122" s="62">
        <f>$AM$122*VLOOKUP($AM$11,'PCU Values'!$B$9:$C$16,2,FALSE)</f>
        <v>1</v>
      </c>
      <c r="AV122" s="62">
        <f>$AN$122*VLOOKUP($AN$11,'PCU Values'!$B$9:$C$16,2,FALSE)</f>
        <v>0</v>
      </c>
      <c r="AW122" s="62">
        <f>$AO$122*VLOOKUP($AO$11,'PCU Values'!$B$9:$C$16,2,FALSE)</f>
        <v>0</v>
      </c>
      <c r="AX122" s="62">
        <f>$AP$122*VLOOKUP($AP$11,'PCU Values'!$B$9:$C$16,2,FALSE)</f>
        <v>0</v>
      </c>
      <c r="AY122" s="62">
        <f>$AQ$122*VLOOKUP($AQ$11,'PCU Values'!$B$9:$C$16,2,FALSE)</f>
        <v>0</v>
      </c>
      <c r="AZ122" s="62">
        <f>$AR$122*VLOOKUP($AR$11,'PCU Values'!$B$9:$C$16,2,FALSE)</f>
        <v>0</v>
      </c>
      <c r="BA122" s="62">
        <f>$AS$122*VLOOKUP($AS$11,'PCU Values'!$B$9:$C$16,2,FALSE)</f>
        <v>0</v>
      </c>
      <c r="BB122" s="70">
        <f>$AT$122*VLOOKUP($AT$11,'PCU Values'!$B$9:$C$16,2,FALSE)</f>
        <v>0</v>
      </c>
      <c r="BC122" s="71">
        <f>SUM($AU$122,$AV$122,$AW$122,$AX$122,$AY$122,$AZ$122,$BA$122,$BB$122)</f>
        <v>1</v>
      </c>
      <c r="BD122" s="52">
        <f>SUM($AM$122,$AN$122,$AO$122,$AP$122,$AQ$122,$AR$122,$AS$122,$AT$122)</f>
        <v>1</v>
      </c>
      <c r="BE122" s="72">
        <v>0</v>
      </c>
      <c r="BF122" s="54">
        <v>0</v>
      </c>
      <c r="BG122" s="54">
        <v>0</v>
      </c>
      <c r="BH122" s="54">
        <v>0</v>
      </c>
      <c r="BI122" s="54">
        <v>0</v>
      </c>
      <c r="BJ122" s="54">
        <v>0</v>
      </c>
      <c r="BK122" s="54">
        <v>0</v>
      </c>
      <c r="BL122" s="61">
        <v>0</v>
      </c>
      <c r="BM122" s="81">
        <f>$BE$122*VLOOKUP($BE$11,'PCU Values'!$B$9:$C$16,2,FALSE)</f>
        <v>0</v>
      </c>
      <c r="BN122" s="81">
        <f>$BF$122*VLOOKUP($BF$11,'PCU Values'!$B$9:$C$16,2,FALSE)</f>
        <v>0</v>
      </c>
      <c r="BO122" s="81">
        <f>$BG$122*VLOOKUP($BG$11,'PCU Values'!$B$9:$C$16,2,FALSE)</f>
        <v>0</v>
      </c>
      <c r="BP122" s="81">
        <f>$BH$122*VLOOKUP($BH$11,'PCU Values'!$B$9:$C$16,2,FALSE)</f>
        <v>0</v>
      </c>
      <c r="BQ122" s="81">
        <f>$BI$122*VLOOKUP($BI$11,'PCU Values'!$B$9:$C$16,2,FALSE)</f>
        <v>0</v>
      </c>
      <c r="BR122" s="81">
        <f>$BJ$122*VLOOKUP($BJ$11,'PCU Values'!$B$9:$C$16,2,FALSE)</f>
        <v>0</v>
      </c>
      <c r="BS122" s="81">
        <f>$BK$122*VLOOKUP($BK$11,'PCU Values'!$B$9:$C$16,2,FALSE)</f>
        <v>0</v>
      </c>
      <c r="BT122" s="82">
        <f>$BL$122*VLOOKUP($BL$11,'PCU Values'!$B$9:$C$16,2,FALSE)</f>
        <v>0</v>
      </c>
      <c r="BU122" s="71">
        <f>SUM($BM$122,$BN$122,$BO$122,$BP$122,$BQ$122,$BR$122,$BS$122,$BT$122)</f>
        <v>0</v>
      </c>
      <c r="BV122" s="52">
        <f>SUM($BE$122,$BF$122,$BG$122,$BH$122,$BI$122,$BJ$122,$BK$122,$BL$122)</f>
        <v>0</v>
      </c>
      <c r="BX122" s="53" t="s">
        <v>119</v>
      </c>
      <c r="BY122" s="85">
        <f>SUM($C$122,$U$122,$AM$122,$BE$122)</f>
        <v>5</v>
      </c>
      <c r="BZ122" s="85">
        <f>SUM($D$122,$V$122,$AN$122,$BF$122)</f>
        <v>1</v>
      </c>
      <c r="CA122" s="85">
        <f>SUM($E$122,$W$122,$AO$122,$BG$122)</f>
        <v>0</v>
      </c>
      <c r="CB122" s="85">
        <f>SUM($F$122,$X$122,$AP$122,$BH$122)</f>
        <v>0</v>
      </c>
      <c r="CC122" s="85">
        <f>SUM($G$122,$Y$122,$AQ$122,$BI$122)</f>
        <v>0</v>
      </c>
      <c r="CD122" s="85">
        <f>SUM($H$122,$Z$122,$AR$122,$BJ$122)</f>
        <v>0</v>
      </c>
      <c r="CE122" s="85">
        <f>SUM($I$122,$AA$122,$AS$122,$BK$122)</f>
        <v>0</v>
      </c>
      <c r="CF122" s="88">
        <f>SUM($J$122,$AB$122,$AT$122,$BL$122)</f>
        <v>0</v>
      </c>
      <c r="CG122" s="81">
        <f>$BY$122*VLOOKUP($BY$11,'PCU Values'!$B$9:$C$16,2,FALSE)</f>
        <v>5</v>
      </c>
      <c r="CH122" s="81">
        <f>$BZ$122*VLOOKUP($BZ$11,'PCU Values'!$B$9:$C$16,2,FALSE)</f>
        <v>1</v>
      </c>
      <c r="CI122" s="81">
        <f>$CA$122*VLOOKUP($CA$11,'PCU Values'!$B$9:$C$16,2,FALSE)</f>
        <v>0</v>
      </c>
      <c r="CJ122" s="81">
        <f>$CB$122*VLOOKUP($CB$11,'PCU Values'!$B$9:$C$16,2,FALSE)</f>
        <v>0</v>
      </c>
      <c r="CK122" s="81">
        <f>$CC$122*VLOOKUP($CC$11,'PCU Values'!$B$9:$C$16,2,FALSE)</f>
        <v>0</v>
      </c>
      <c r="CL122" s="81">
        <f>$CD$122*VLOOKUP($CD$11,'PCU Values'!$B$9:$C$16,2,FALSE)</f>
        <v>0</v>
      </c>
      <c r="CM122" s="81">
        <f>$CE$122*VLOOKUP($CE$11,'PCU Values'!$B$9:$C$16,2,FALSE)</f>
        <v>0</v>
      </c>
      <c r="CN122" s="82">
        <f>$CF$122*VLOOKUP($CF$11,'PCU Values'!$B$9:$C$16,2,FALSE)</f>
        <v>0</v>
      </c>
      <c r="CO122" s="71">
        <f>SUM($CG$122,$CH$122,$CI$122,$CJ$122,$CK$122,$CL$122,$CM$122,$CN$122)</f>
        <v>6</v>
      </c>
      <c r="CP122" s="52">
        <f>SUM($BY$122,$BZ$122,$CA$122,$CB$122,$CC$122,$CD$122,$CE$122,$CF$122)</f>
        <v>6</v>
      </c>
      <c r="CQ122" s="91">
        <f>SUM('J1 A - (North) Bishopthorpe Roa'!$AM$122,'J1 B - Butcher Terrace'!$U$122,'J1 C - (South) Bishopthorpe Roa'!$C$122,'J1 D - South Bank Avenue'!$BE$122)</f>
        <v>5</v>
      </c>
      <c r="CR122" s="85">
        <f>SUM('J1 A - (North) Bishopthorpe Roa'!$AN$122,'J1 B - Butcher Terrace'!$V$122,'J1 C - (South) Bishopthorpe Roa'!$D$122,'J1 D - South Bank Avenue'!$BF$122)</f>
        <v>0</v>
      </c>
      <c r="CS122" s="85">
        <f>SUM('J1 A - (North) Bishopthorpe Roa'!$AO$122,'J1 B - Butcher Terrace'!$W$122,'J1 C - (South) Bishopthorpe Roa'!$E$122,'J1 D - South Bank Avenue'!$BG$122)</f>
        <v>0</v>
      </c>
      <c r="CT122" s="85">
        <f>SUM('J1 A - (North) Bishopthorpe Roa'!$AP$122,'J1 B - Butcher Terrace'!$X$122,'J1 C - (South) Bishopthorpe Roa'!$F$122,'J1 D - South Bank Avenue'!$BH$122)</f>
        <v>0</v>
      </c>
      <c r="CU122" s="85">
        <f>SUM('J1 A - (North) Bishopthorpe Roa'!$AQ$122,'J1 B - Butcher Terrace'!$Y$122,'J1 C - (South) Bishopthorpe Roa'!$G$122,'J1 D - South Bank Avenue'!$BI$122)</f>
        <v>0</v>
      </c>
      <c r="CV122" s="85">
        <f>SUM('J1 A - (North) Bishopthorpe Roa'!$AR$122,'J1 B - Butcher Terrace'!$Z$122,'J1 C - (South) Bishopthorpe Roa'!$H$122,'J1 D - South Bank Avenue'!$BJ$122)</f>
        <v>5</v>
      </c>
      <c r="CW122" s="85">
        <f>SUM('J1 A - (North) Bishopthorpe Roa'!$AS$122,'J1 B - Butcher Terrace'!$AA$122,'J1 C - (South) Bishopthorpe Roa'!$I$122,'J1 D - South Bank Avenue'!$BK$122)</f>
        <v>2</v>
      </c>
      <c r="CX122" s="88">
        <f>SUM('J1 A - (North) Bishopthorpe Roa'!$AT$122,'J1 B - Butcher Terrace'!$AB$122,'J1 C - (South) Bishopthorpe Roa'!$J$122,'J1 D - South Bank Avenue'!$BL$122)</f>
        <v>0</v>
      </c>
      <c r="CY122" s="81">
        <f>$CQ$122*VLOOKUP($CQ$11,'PCU Values'!$B$9:$C$16,2,FALSE)</f>
        <v>5</v>
      </c>
      <c r="CZ122" s="81">
        <f>$CR$122*VLOOKUP($CR$11,'PCU Values'!$B$9:$C$16,2,FALSE)</f>
        <v>0</v>
      </c>
      <c r="DA122" s="81">
        <f>$CS$122*VLOOKUP($CS$11,'PCU Values'!$B$9:$C$16,2,FALSE)</f>
        <v>0</v>
      </c>
      <c r="DB122" s="81">
        <f>$CT$122*VLOOKUP($CT$11,'PCU Values'!$B$9:$C$16,2,FALSE)</f>
        <v>0</v>
      </c>
      <c r="DC122" s="81">
        <f>$CU$122*VLOOKUP($CU$11,'PCU Values'!$B$9:$C$16,2,FALSE)</f>
        <v>0</v>
      </c>
      <c r="DD122" s="81">
        <f>$CV$122*VLOOKUP($CV$11,'PCU Values'!$B$9:$C$16,2,FALSE)</f>
        <v>1</v>
      </c>
      <c r="DE122" s="81">
        <f>$CW$122*VLOOKUP($CW$11,'PCU Values'!$B$9:$C$16,2,FALSE)</f>
        <v>0.8</v>
      </c>
      <c r="DF122" s="82">
        <f>$CX$122*VLOOKUP($CX$11,'PCU Values'!$B$9:$C$16,2,FALSE)</f>
        <v>0</v>
      </c>
      <c r="DG122" s="71">
        <f>SUM($CY$122,$CZ$122,$DA$122,$DB$122,$DC$122,$DD$122,$DE$122,$DF$122)</f>
        <v>6.8</v>
      </c>
      <c r="DH122" s="52">
        <f>SUM($CQ$122,$CR$122,$CS$122,$CT$122,$CU$122,$CV$122,$CW$122,$CX$122)</f>
        <v>12</v>
      </c>
    </row>
    <row r="123" spans="1:112" ht="21" customHeight="1">
      <c r="A123" s="46">
        <v>44395.927083333299</v>
      </c>
      <c r="B123" s="47" t="s">
        <v>120</v>
      </c>
      <c r="C123" s="48">
        <v>1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56">
        <v>0</v>
      </c>
      <c r="K123" s="57">
        <f>$C$123*VLOOKUP($C$11,'PCU Values'!$B$9:$C$16,2,FALSE)</f>
        <v>1</v>
      </c>
      <c r="L123" s="57">
        <f>$D$123*VLOOKUP($D$11,'PCU Values'!$B$9:$C$16,2,FALSE)</f>
        <v>0</v>
      </c>
      <c r="M123" s="57">
        <f>$E$123*VLOOKUP($E$11,'PCU Values'!$B$9:$C$16,2,FALSE)</f>
        <v>0</v>
      </c>
      <c r="N123" s="57">
        <f>$F$123*VLOOKUP($F$11,'PCU Values'!$B$9:$C$16,2,FALSE)</f>
        <v>0</v>
      </c>
      <c r="O123" s="57">
        <f>$G$123*VLOOKUP($G$11,'PCU Values'!$B$9:$C$16,2,FALSE)</f>
        <v>0</v>
      </c>
      <c r="P123" s="57">
        <f>$H$123*VLOOKUP($H$11,'PCU Values'!$B$9:$C$16,2,FALSE)</f>
        <v>0</v>
      </c>
      <c r="Q123" s="57">
        <f>$I$123*VLOOKUP($I$11,'PCU Values'!$B$9:$C$16,2,FALSE)</f>
        <v>0</v>
      </c>
      <c r="R123" s="65">
        <f>$J$123*VLOOKUP($J$11,'PCU Values'!$B$9:$C$16,2,FALSE)</f>
        <v>0</v>
      </c>
      <c r="S123" s="66">
        <f>SUM($K$123,$L$123,$M$123,$N$123,$O$123,$P$123,$Q$123,$R$123)</f>
        <v>1</v>
      </c>
      <c r="T123" s="52">
        <f>SUM($C$123,$D$123,$E$123,$F$123,$G$123,$H$123,$I$123,$J$123)</f>
        <v>1</v>
      </c>
      <c r="U123" s="67">
        <v>0</v>
      </c>
      <c r="V123" s="48">
        <v>0</v>
      </c>
      <c r="W123" s="48">
        <v>0</v>
      </c>
      <c r="X123" s="48">
        <v>0</v>
      </c>
      <c r="Y123" s="48">
        <v>0</v>
      </c>
      <c r="Z123" s="48">
        <v>1</v>
      </c>
      <c r="AA123" s="48">
        <v>0</v>
      </c>
      <c r="AB123" s="56">
        <v>0</v>
      </c>
      <c r="AC123" s="57">
        <f>$U$123*VLOOKUP($U$11,'PCU Values'!$B$9:$C$16,2,FALSE)</f>
        <v>0</v>
      </c>
      <c r="AD123" s="57">
        <f>$V$123*VLOOKUP($V$11,'PCU Values'!$B$9:$C$16,2,FALSE)</f>
        <v>0</v>
      </c>
      <c r="AE123" s="57">
        <f>$W$123*VLOOKUP($W$11,'PCU Values'!$B$9:$C$16,2,FALSE)</f>
        <v>0</v>
      </c>
      <c r="AF123" s="57">
        <f>$X$123*VLOOKUP($X$11,'PCU Values'!$B$9:$C$16,2,FALSE)</f>
        <v>0</v>
      </c>
      <c r="AG123" s="57">
        <f>$Y$123*VLOOKUP($Y$11,'PCU Values'!$B$9:$C$16,2,FALSE)</f>
        <v>0</v>
      </c>
      <c r="AH123" s="57">
        <f>$Z$123*VLOOKUP($Z$11,'PCU Values'!$B$9:$C$16,2,FALSE)</f>
        <v>0.2</v>
      </c>
      <c r="AI123" s="57">
        <f>$AA$123*VLOOKUP($AA$11,'PCU Values'!$B$9:$C$16,2,FALSE)</f>
        <v>0</v>
      </c>
      <c r="AJ123" s="65">
        <f>$AB$123*VLOOKUP($AB$11,'PCU Values'!$B$9:$C$16,2,FALSE)</f>
        <v>0</v>
      </c>
      <c r="AK123" s="66">
        <f>SUM($AC$123,$AD$123,$AE$123,$AF$123,$AG$123,$AH$123,$AI$123,$AJ$123)</f>
        <v>0.2</v>
      </c>
      <c r="AL123" s="52">
        <f>SUM($U$123,$V$123,$W$123,$X$123,$Y$123,$Z$123,$AA$123,$AB$123)</f>
        <v>1</v>
      </c>
      <c r="AM123" s="67">
        <v>0</v>
      </c>
      <c r="AN123" s="48">
        <v>0</v>
      </c>
      <c r="AO123" s="48">
        <v>0</v>
      </c>
      <c r="AP123" s="48">
        <v>0</v>
      </c>
      <c r="AQ123" s="48">
        <v>0</v>
      </c>
      <c r="AR123" s="48">
        <v>0</v>
      </c>
      <c r="AS123" s="48">
        <v>0</v>
      </c>
      <c r="AT123" s="56">
        <v>0</v>
      </c>
      <c r="AU123" s="57">
        <f>$AM$123*VLOOKUP($AM$11,'PCU Values'!$B$9:$C$16,2,FALSE)</f>
        <v>0</v>
      </c>
      <c r="AV123" s="57">
        <f>$AN$123*VLOOKUP($AN$11,'PCU Values'!$B$9:$C$16,2,FALSE)</f>
        <v>0</v>
      </c>
      <c r="AW123" s="57">
        <f>$AO$123*VLOOKUP($AO$11,'PCU Values'!$B$9:$C$16,2,FALSE)</f>
        <v>0</v>
      </c>
      <c r="AX123" s="57">
        <f>$AP$123*VLOOKUP($AP$11,'PCU Values'!$B$9:$C$16,2,FALSE)</f>
        <v>0</v>
      </c>
      <c r="AY123" s="57">
        <f>$AQ$123*VLOOKUP($AQ$11,'PCU Values'!$B$9:$C$16,2,FALSE)</f>
        <v>0</v>
      </c>
      <c r="AZ123" s="57">
        <f>$AR$123*VLOOKUP($AR$11,'PCU Values'!$B$9:$C$16,2,FALSE)</f>
        <v>0</v>
      </c>
      <c r="BA123" s="57">
        <f>$AS$123*VLOOKUP($AS$11,'PCU Values'!$B$9:$C$16,2,FALSE)</f>
        <v>0</v>
      </c>
      <c r="BB123" s="65">
        <f>$AT$123*VLOOKUP($AT$11,'PCU Values'!$B$9:$C$16,2,FALSE)</f>
        <v>0</v>
      </c>
      <c r="BC123" s="66">
        <f>SUM($AU$123,$AV$123,$AW$123,$AX$123,$AY$123,$AZ$123,$BA$123,$BB$123)</f>
        <v>0</v>
      </c>
      <c r="BD123" s="52">
        <f>SUM($AM$123,$AN$123,$AO$123,$AP$123,$AQ$123,$AR$123,$AS$123,$AT$123)</f>
        <v>0</v>
      </c>
      <c r="BE123" s="67">
        <v>0</v>
      </c>
      <c r="BF123" s="48">
        <v>0</v>
      </c>
      <c r="BG123" s="48">
        <v>0</v>
      </c>
      <c r="BH123" s="48">
        <v>0</v>
      </c>
      <c r="BI123" s="48">
        <v>0</v>
      </c>
      <c r="BJ123" s="48">
        <v>0</v>
      </c>
      <c r="BK123" s="48">
        <v>0</v>
      </c>
      <c r="BL123" s="56">
        <v>0</v>
      </c>
      <c r="BM123" s="77">
        <f>$BE$123*VLOOKUP($BE$11,'PCU Values'!$B$9:$C$16,2,FALSE)</f>
        <v>0</v>
      </c>
      <c r="BN123" s="77">
        <f>$BF$123*VLOOKUP($BF$11,'PCU Values'!$B$9:$C$16,2,FALSE)</f>
        <v>0</v>
      </c>
      <c r="BO123" s="77">
        <f>$BG$123*VLOOKUP($BG$11,'PCU Values'!$B$9:$C$16,2,FALSE)</f>
        <v>0</v>
      </c>
      <c r="BP123" s="77">
        <f>$BH$123*VLOOKUP($BH$11,'PCU Values'!$B$9:$C$16,2,FALSE)</f>
        <v>0</v>
      </c>
      <c r="BQ123" s="77">
        <f>$BI$123*VLOOKUP($BI$11,'PCU Values'!$B$9:$C$16,2,FALSE)</f>
        <v>0</v>
      </c>
      <c r="BR123" s="77">
        <f>$BJ$123*VLOOKUP($BJ$11,'PCU Values'!$B$9:$C$16,2,FALSE)</f>
        <v>0</v>
      </c>
      <c r="BS123" s="77">
        <f>$BK$123*VLOOKUP($BK$11,'PCU Values'!$B$9:$C$16,2,FALSE)</f>
        <v>0</v>
      </c>
      <c r="BT123" s="78">
        <f>$BL$123*VLOOKUP($BL$11,'PCU Values'!$B$9:$C$16,2,FALSE)</f>
        <v>0</v>
      </c>
      <c r="BU123" s="66">
        <f>SUM($BM$123,$BN$123,$BO$123,$BP$123,$BQ$123,$BR$123,$BS$123,$BT$123)</f>
        <v>0</v>
      </c>
      <c r="BV123" s="52">
        <f>SUM($BE$123,$BF$123,$BG$123,$BH$123,$BI$123,$BJ$123,$BK$123,$BL$123)</f>
        <v>0</v>
      </c>
      <c r="BX123" s="47" t="s">
        <v>120</v>
      </c>
      <c r="BY123" s="83">
        <f>SUM($C$123,$U$123,$AM$123,$BE$123)</f>
        <v>1</v>
      </c>
      <c r="BZ123" s="83">
        <f>SUM($D$123,$V$123,$AN$123,$BF$123)</f>
        <v>0</v>
      </c>
      <c r="CA123" s="83">
        <f>SUM($E$123,$W$123,$AO$123,$BG$123)</f>
        <v>0</v>
      </c>
      <c r="CB123" s="83">
        <f>SUM($F$123,$X$123,$AP$123,$BH$123)</f>
        <v>0</v>
      </c>
      <c r="CC123" s="83">
        <f>SUM($G$123,$Y$123,$AQ$123,$BI$123)</f>
        <v>0</v>
      </c>
      <c r="CD123" s="83">
        <f>SUM($H$123,$Z$123,$AR$123,$BJ$123)</f>
        <v>1</v>
      </c>
      <c r="CE123" s="83">
        <f>SUM($I$123,$AA$123,$AS$123,$BK$123)</f>
        <v>0</v>
      </c>
      <c r="CF123" s="86">
        <f>SUM($J$123,$AB$123,$AT$123,$BL$123)</f>
        <v>0</v>
      </c>
      <c r="CG123" s="77">
        <f>$BY$123*VLOOKUP($BY$11,'PCU Values'!$B$9:$C$16,2,FALSE)</f>
        <v>1</v>
      </c>
      <c r="CH123" s="77">
        <f>$BZ$123*VLOOKUP($BZ$11,'PCU Values'!$B$9:$C$16,2,FALSE)</f>
        <v>0</v>
      </c>
      <c r="CI123" s="77">
        <f>$CA$123*VLOOKUP($CA$11,'PCU Values'!$B$9:$C$16,2,FALSE)</f>
        <v>0</v>
      </c>
      <c r="CJ123" s="77">
        <f>$CB$123*VLOOKUP($CB$11,'PCU Values'!$B$9:$C$16,2,FALSE)</f>
        <v>0</v>
      </c>
      <c r="CK123" s="77">
        <f>$CC$123*VLOOKUP($CC$11,'PCU Values'!$B$9:$C$16,2,FALSE)</f>
        <v>0</v>
      </c>
      <c r="CL123" s="77">
        <f>$CD$123*VLOOKUP($CD$11,'PCU Values'!$B$9:$C$16,2,FALSE)</f>
        <v>0.2</v>
      </c>
      <c r="CM123" s="77">
        <f>$CE$123*VLOOKUP($CE$11,'PCU Values'!$B$9:$C$16,2,FALSE)</f>
        <v>0</v>
      </c>
      <c r="CN123" s="78">
        <f>$CF$123*VLOOKUP($CF$11,'PCU Values'!$B$9:$C$16,2,FALSE)</f>
        <v>0</v>
      </c>
      <c r="CO123" s="66">
        <f>SUM($CG$123,$CH$123,$CI$123,$CJ$123,$CK$123,$CL$123,$CM$123,$CN$123)</f>
        <v>1.2</v>
      </c>
      <c r="CP123" s="52">
        <f>SUM($BY$123,$BZ$123,$CA$123,$CB$123,$CC$123,$CD$123,$CE$123,$CF$123)</f>
        <v>2</v>
      </c>
      <c r="CQ123" s="89">
        <f>SUM('J1 A - (North) Bishopthorpe Roa'!$AM$123,'J1 B - Butcher Terrace'!$U$123,'J1 C - (South) Bishopthorpe Roa'!$C$123,'J1 D - South Bank Avenue'!$BE$123)</f>
        <v>4</v>
      </c>
      <c r="CR123" s="83">
        <f>SUM('J1 A - (North) Bishopthorpe Roa'!$AN$123,'J1 B - Butcher Terrace'!$V$123,'J1 C - (South) Bishopthorpe Roa'!$D$123,'J1 D - South Bank Avenue'!$BF$123)</f>
        <v>0</v>
      </c>
      <c r="CS123" s="83">
        <f>SUM('J1 A - (North) Bishopthorpe Roa'!$AO$123,'J1 B - Butcher Terrace'!$W$123,'J1 C - (South) Bishopthorpe Roa'!$E$123,'J1 D - South Bank Avenue'!$BG$123)</f>
        <v>0</v>
      </c>
      <c r="CT123" s="83">
        <f>SUM('J1 A - (North) Bishopthorpe Roa'!$AP$123,'J1 B - Butcher Terrace'!$X$123,'J1 C - (South) Bishopthorpe Roa'!$F$123,'J1 D - South Bank Avenue'!$BH$123)</f>
        <v>0</v>
      </c>
      <c r="CU123" s="83">
        <f>SUM('J1 A - (North) Bishopthorpe Roa'!$AQ$123,'J1 B - Butcher Terrace'!$Y$123,'J1 C - (South) Bishopthorpe Roa'!$G$123,'J1 D - South Bank Avenue'!$BI$123)</f>
        <v>0</v>
      </c>
      <c r="CV123" s="83">
        <f>SUM('J1 A - (North) Bishopthorpe Roa'!$AR$123,'J1 B - Butcher Terrace'!$Z$123,'J1 C - (South) Bishopthorpe Roa'!$H$123,'J1 D - South Bank Avenue'!$BJ$123)</f>
        <v>6</v>
      </c>
      <c r="CW123" s="83">
        <f>SUM('J1 A - (North) Bishopthorpe Roa'!$AS$123,'J1 B - Butcher Terrace'!$AA$123,'J1 C - (South) Bishopthorpe Roa'!$I$123,'J1 D - South Bank Avenue'!$BK$123)</f>
        <v>0</v>
      </c>
      <c r="CX123" s="86">
        <f>SUM('J1 A - (North) Bishopthorpe Roa'!$AT$123,'J1 B - Butcher Terrace'!$AB$123,'J1 C - (South) Bishopthorpe Roa'!$J$123,'J1 D - South Bank Avenue'!$BL$123)</f>
        <v>0</v>
      </c>
      <c r="CY123" s="77">
        <f>$CQ$123*VLOOKUP($CQ$11,'PCU Values'!$B$9:$C$16,2,FALSE)</f>
        <v>4</v>
      </c>
      <c r="CZ123" s="77">
        <f>$CR$123*VLOOKUP($CR$11,'PCU Values'!$B$9:$C$16,2,FALSE)</f>
        <v>0</v>
      </c>
      <c r="DA123" s="77">
        <f>$CS$123*VLOOKUP($CS$11,'PCU Values'!$B$9:$C$16,2,FALSE)</f>
        <v>0</v>
      </c>
      <c r="DB123" s="77">
        <f>$CT$123*VLOOKUP($CT$11,'PCU Values'!$B$9:$C$16,2,FALSE)</f>
        <v>0</v>
      </c>
      <c r="DC123" s="77">
        <f>$CU$123*VLOOKUP($CU$11,'PCU Values'!$B$9:$C$16,2,FALSE)</f>
        <v>0</v>
      </c>
      <c r="DD123" s="77">
        <f>$CV$123*VLOOKUP($CV$11,'PCU Values'!$B$9:$C$16,2,FALSE)</f>
        <v>1.2</v>
      </c>
      <c r="DE123" s="77">
        <f>$CW$123*VLOOKUP($CW$11,'PCU Values'!$B$9:$C$16,2,FALSE)</f>
        <v>0</v>
      </c>
      <c r="DF123" s="78">
        <f>$CX$123*VLOOKUP($CX$11,'PCU Values'!$B$9:$C$16,2,FALSE)</f>
        <v>0</v>
      </c>
      <c r="DG123" s="66">
        <f>SUM($CY$123,$CZ$123,$DA$123,$DB$123,$DC$123,$DD$123,$DE$123,$DF$123)</f>
        <v>5.2</v>
      </c>
      <c r="DH123" s="52">
        <f>SUM($CQ$123,$CR$123,$CS$123,$CT$123,$CU$123,$CV$123,$CW$123,$CX$123)</f>
        <v>10</v>
      </c>
    </row>
    <row r="124" spans="1:112" ht="21" customHeight="1">
      <c r="A124" s="46">
        <v>44395.9375</v>
      </c>
      <c r="B124" s="47" t="s">
        <v>121</v>
      </c>
      <c r="C124" s="48">
        <v>1</v>
      </c>
      <c r="D124" s="48">
        <v>0</v>
      </c>
      <c r="E124" s="48">
        <v>0</v>
      </c>
      <c r="F124" s="48">
        <v>0</v>
      </c>
      <c r="G124" s="48">
        <v>0</v>
      </c>
      <c r="H124" s="48">
        <v>2</v>
      </c>
      <c r="I124" s="48">
        <v>1</v>
      </c>
      <c r="J124" s="56">
        <v>0</v>
      </c>
      <c r="K124" s="57">
        <f>$C$124*VLOOKUP($C$11,'PCU Values'!$B$9:$C$16,2,FALSE)</f>
        <v>1</v>
      </c>
      <c r="L124" s="57">
        <f>$D$124*VLOOKUP($D$11,'PCU Values'!$B$9:$C$16,2,FALSE)</f>
        <v>0</v>
      </c>
      <c r="M124" s="57">
        <f>$E$124*VLOOKUP($E$11,'PCU Values'!$B$9:$C$16,2,FALSE)</f>
        <v>0</v>
      </c>
      <c r="N124" s="57">
        <f>$F$124*VLOOKUP($F$11,'PCU Values'!$B$9:$C$16,2,FALSE)</f>
        <v>0</v>
      </c>
      <c r="O124" s="57">
        <f>$G$124*VLOOKUP($G$11,'PCU Values'!$B$9:$C$16,2,FALSE)</f>
        <v>0</v>
      </c>
      <c r="P124" s="57">
        <f>$H$124*VLOOKUP($H$11,'PCU Values'!$B$9:$C$16,2,FALSE)</f>
        <v>0.4</v>
      </c>
      <c r="Q124" s="57">
        <f>$I$124*VLOOKUP($I$11,'PCU Values'!$B$9:$C$16,2,FALSE)</f>
        <v>0.4</v>
      </c>
      <c r="R124" s="65">
        <f>$J$124*VLOOKUP($J$11,'PCU Values'!$B$9:$C$16,2,FALSE)</f>
        <v>0</v>
      </c>
      <c r="S124" s="66">
        <f>SUM($K$124,$L$124,$M$124,$N$124,$O$124,$P$124,$Q$124,$R$124)</f>
        <v>1.8</v>
      </c>
      <c r="T124" s="52">
        <f>SUM($C$124,$D$124,$E$124,$F$124,$G$124,$H$124,$I$124,$J$124)</f>
        <v>4</v>
      </c>
      <c r="U124" s="76">
        <v>0</v>
      </c>
      <c r="V124" s="48">
        <v>0</v>
      </c>
      <c r="W124" s="48">
        <v>0</v>
      </c>
      <c r="X124" s="48">
        <v>0</v>
      </c>
      <c r="Y124" s="49">
        <v>0</v>
      </c>
      <c r="Z124" s="49">
        <v>1</v>
      </c>
      <c r="AA124" s="48">
        <v>0</v>
      </c>
      <c r="AB124" s="56">
        <v>0</v>
      </c>
      <c r="AC124" s="57">
        <f>$U$124*VLOOKUP($U$11,'PCU Values'!$B$9:$C$16,2,FALSE)</f>
        <v>0</v>
      </c>
      <c r="AD124" s="57">
        <f>$V$124*VLOOKUP($V$11,'PCU Values'!$B$9:$C$16,2,FALSE)</f>
        <v>0</v>
      </c>
      <c r="AE124" s="57">
        <f>$W$124*VLOOKUP($W$11,'PCU Values'!$B$9:$C$16,2,FALSE)</f>
        <v>0</v>
      </c>
      <c r="AF124" s="57">
        <f>$X$124*VLOOKUP($X$11,'PCU Values'!$B$9:$C$16,2,FALSE)</f>
        <v>0</v>
      </c>
      <c r="AG124" s="57">
        <f>$Y$124*VLOOKUP($Y$11,'PCU Values'!$B$9:$C$16,2,FALSE)</f>
        <v>0</v>
      </c>
      <c r="AH124" s="57">
        <f>$Z$124*VLOOKUP($Z$11,'PCU Values'!$B$9:$C$16,2,FALSE)</f>
        <v>0.2</v>
      </c>
      <c r="AI124" s="57">
        <f>$AA$124*VLOOKUP($AA$11,'PCU Values'!$B$9:$C$16,2,FALSE)</f>
        <v>0</v>
      </c>
      <c r="AJ124" s="65">
        <f>$AB$124*VLOOKUP($AB$11,'PCU Values'!$B$9:$C$16,2,FALSE)</f>
        <v>0</v>
      </c>
      <c r="AK124" s="66">
        <f>SUM($AC$124,$AD$124,$AE$124,$AF$124,$AG$124,$AH$124,$AI$124,$AJ$124)</f>
        <v>0.2</v>
      </c>
      <c r="AL124" s="52">
        <f>SUM($U$124,$V$124,$W$124,$X$124,$Y$124,$Z$124,$AA$124,$AB$124)</f>
        <v>1</v>
      </c>
      <c r="AM124" s="67">
        <v>0</v>
      </c>
      <c r="AN124" s="48">
        <v>0</v>
      </c>
      <c r="AO124" s="48">
        <v>0</v>
      </c>
      <c r="AP124" s="48">
        <v>0</v>
      </c>
      <c r="AQ124" s="48">
        <v>0</v>
      </c>
      <c r="AR124" s="48">
        <v>0</v>
      </c>
      <c r="AS124" s="48">
        <v>0</v>
      </c>
      <c r="AT124" s="56">
        <v>0</v>
      </c>
      <c r="AU124" s="57">
        <f>$AM$124*VLOOKUP($AM$11,'PCU Values'!$B$9:$C$16,2,FALSE)</f>
        <v>0</v>
      </c>
      <c r="AV124" s="57">
        <f>$AN$124*VLOOKUP($AN$11,'PCU Values'!$B$9:$C$16,2,FALSE)</f>
        <v>0</v>
      </c>
      <c r="AW124" s="57">
        <f>$AO$124*VLOOKUP($AO$11,'PCU Values'!$B$9:$C$16,2,FALSE)</f>
        <v>0</v>
      </c>
      <c r="AX124" s="57">
        <f>$AP$124*VLOOKUP($AP$11,'PCU Values'!$B$9:$C$16,2,FALSE)</f>
        <v>0</v>
      </c>
      <c r="AY124" s="57">
        <f>$AQ$124*VLOOKUP($AQ$11,'PCU Values'!$B$9:$C$16,2,FALSE)</f>
        <v>0</v>
      </c>
      <c r="AZ124" s="57">
        <f>$AR$124*VLOOKUP($AR$11,'PCU Values'!$B$9:$C$16,2,FALSE)</f>
        <v>0</v>
      </c>
      <c r="BA124" s="57">
        <f>$AS$124*VLOOKUP($AS$11,'PCU Values'!$B$9:$C$16,2,FALSE)</f>
        <v>0</v>
      </c>
      <c r="BB124" s="65">
        <f>$AT$124*VLOOKUP($AT$11,'PCU Values'!$B$9:$C$16,2,FALSE)</f>
        <v>0</v>
      </c>
      <c r="BC124" s="66">
        <f>SUM($AU$124,$AV$124,$AW$124,$AX$124,$AY$124,$AZ$124,$BA$124,$BB$124)</f>
        <v>0</v>
      </c>
      <c r="BD124" s="52">
        <f>SUM($AM$124,$AN$124,$AO$124,$AP$124,$AQ$124,$AR$124,$AS$124,$AT$124)</f>
        <v>0</v>
      </c>
      <c r="BE124" s="67">
        <v>0</v>
      </c>
      <c r="BF124" s="48">
        <v>0</v>
      </c>
      <c r="BG124" s="48">
        <v>0</v>
      </c>
      <c r="BH124" s="48">
        <v>0</v>
      </c>
      <c r="BI124" s="48">
        <v>0</v>
      </c>
      <c r="BJ124" s="48">
        <v>0</v>
      </c>
      <c r="BK124" s="48">
        <v>0</v>
      </c>
      <c r="BL124" s="56">
        <v>0</v>
      </c>
      <c r="BM124" s="77">
        <f>$BE$124*VLOOKUP($BE$11,'PCU Values'!$B$9:$C$16,2,FALSE)</f>
        <v>0</v>
      </c>
      <c r="BN124" s="77">
        <f>$BF$124*VLOOKUP($BF$11,'PCU Values'!$B$9:$C$16,2,FALSE)</f>
        <v>0</v>
      </c>
      <c r="BO124" s="77">
        <f>$BG$124*VLOOKUP($BG$11,'PCU Values'!$B$9:$C$16,2,FALSE)</f>
        <v>0</v>
      </c>
      <c r="BP124" s="77">
        <f>$BH$124*VLOOKUP($BH$11,'PCU Values'!$B$9:$C$16,2,FALSE)</f>
        <v>0</v>
      </c>
      <c r="BQ124" s="77">
        <f>$BI$124*VLOOKUP($BI$11,'PCU Values'!$B$9:$C$16,2,FALSE)</f>
        <v>0</v>
      </c>
      <c r="BR124" s="77">
        <f>$BJ$124*VLOOKUP($BJ$11,'PCU Values'!$B$9:$C$16,2,FALSE)</f>
        <v>0</v>
      </c>
      <c r="BS124" s="77">
        <f>$BK$124*VLOOKUP($BK$11,'PCU Values'!$B$9:$C$16,2,FALSE)</f>
        <v>0</v>
      </c>
      <c r="BT124" s="78">
        <f>$BL$124*VLOOKUP($BL$11,'PCU Values'!$B$9:$C$16,2,FALSE)</f>
        <v>0</v>
      </c>
      <c r="BU124" s="66">
        <f>SUM($BM$124,$BN$124,$BO$124,$BP$124,$BQ$124,$BR$124,$BS$124,$BT$124)</f>
        <v>0</v>
      </c>
      <c r="BV124" s="52">
        <f>SUM($BE$124,$BF$124,$BG$124,$BH$124,$BI$124,$BJ$124,$BK$124,$BL$124)</f>
        <v>0</v>
      </c>
      <c r="BX124" s="47" t="s">
        <v>121</v>
      </c>
      <c r="BY124" s="83">
        <f>SUM($C$124,$U$124,$AM$124,$BE$124)</f>
        <v>1</v>
      </c>
      <c r="BZ124" s="83">
        <f>SUM($D$124,$V$124,$AN$124,$BF$124)</f>
        <v>0</v>
      </c>
      <c r="CA124" s="83">
        <f>SUM($E$124,$W$124,$AO$124,$BG$124)</f>
        <v>0</v>
      </c>
      <c r="CB124" s="83">
        <f>SUM($F$124,$X$124,$AP$124,$BH$124)</f>
        <v>0</v>
      </c>
      <c r="CC124" s="83">
        <f>SUM($G$124,$Y$124,$AQ$124,$BI$124)</f>
        <v>0</v>
      </c>
      <c r="CD124" s="83">
        <f>SUM($H$124,$Z$124,$AR$124,$BJ$124)</f>
        <v>3</v>
      </c>
      <c r="CE124" s="83">
        <f>SUM($I$124,$AA$124,$AS$124,$BK$124)</f>
        <v>1</v>
      </c>
      <c r="CF124" s="86">
        <f>SUM($J$124,$AB$124,$AT$124,$BL$124)</f>
        <v>0</v>
      </c>
      <c r="CG124" s="77">
        <f>$BY$124*VLOOKUP($BY$11,'PCU Values'!$B$9:$C$16,2,FALSE)</f>
        <v>1</v>
      </c>
      <c r="CH124" s="77">
        <f>$BZ$124*VLOOKUP($BZ$11,'PCU Values'!$B$9:$C$16,2,FALSE)</f>
        <v>0</v>
      </c>
      <c r="CI124" s="77">
        <f>$CA$124*VLOOKUP($CA$11,'PCU Values'!$B$9:$C$16,2,FALSE)</f>
        <v>0</v>
      </c>
      <c r="CJ124" s="77">
        <f>$CB$124*VLOOKUP($CB$11,'PCU Values'!$B$9:$C$16,2,FALSE)</f>
        <v>0</v>
      </c>
      <c r="CK124" s="77">
        <f>$CC$124*VLOOKUP($CC$11,'PCU Values'!$B$9:$C$16,2,FALSE)</f>
        <v>0</v>
      </c>
      <c r="CL124" s="77">
        <f>$CD$124*VLOOKUP($CD$11,'PCU Values'!$B$9:$C$16,2,FALSE)</f>
        <v>0.6</v>
      </c>
      <c r="CM124" s="77">
        <f>$CE$124*VLOOKUP($CE$11,'PCU Values'!$B$9:$C$16,2,FALSE)</f>
        <v>0.4</v>
      </c>
      <c r="CN124" s="78">
        <f>$CF$124*VLOOKUP($CF$11,'PCU Values'!$B$9:$C$16,2,FALSE)</f>
        <v>0</v>
      </c>
      <c r="CO124" s="66">
        <f>SUM($CG$124,$CH$124,$CI$124,$CJ$124,$CK$124,$CL$124,$CM$124,$CN$124)</f>
        <v>2</v>
      </c>
      <c r="CP124" s="52">
        <f>SUM($BY$124,$BZ$124,$CA$124,$CB$124,$CC$124,$CD$124,$CE$124,$CF$124)</f>
        <v>5</v>
      </c>
      <c r="CQ124" s="89">
        <f>SUM('J1 A - (North) Bishopthorpe Roa'!$AM$124,'J1 B - Butcher Terrace'!$U$124,'J1 C - (South) Bishopthorpe Roa'!$C$124,'J1 D - South Bank Avenue'!$BE$124)</f>
        <v>3</v>
      </c>
      <c r="CR124" s="83">
        <f>SUM('J1 A - (North) Bishopthorpe Roa'!$AN$124,'J1 B - Butcher Terrace'!$V$124,'J1 C - (South) Bishopthorpe Roa'!$D$124,'J1 D - South Bank Avenue'!$BF$124)</f>
        <v>0</v>
      </c>
      <c r="CS124" s="83">
        <f>SUM('J1 A - (North) Bishopthorpe Roa'!$AO$124,'J1 B - Butcher Terrace'!$W$124,'J1 C - (South) Bishopthorpe Roa'!$E$124,'J1 D - South Bank Avenue'!$BG$124)</f>
        <v>0</v>
      </c>
      <c r="CT124" s="83">
        <f>SUM('J1 A - (North) Bishopthorpe Roa'!$AP$124,'J1 B - Butcher Terrace'!$X$124,'J1 C - (South) Bishopthorpe Roa'!$F$124,'J1 D - South Bank Avenue'!$BH$124)</f>
        <v>0</v>
      </c>
      <c r="CU124" s="83">
        <f>SUM('J1 A - (North) Bishopthorpe Roa'!$AQ$124,'J1 B - Butcher Terrace'!$Y$124,'J1 C - (South) Bishopthorpe Roa'!$G$124,'J1 D - South Bank Avenue'!$BI$124)</f>
        <v>0</v>
      </c>
      <c r="CV124" s="83">
        <f>SUM('J1 A - (North) Bishopthorpe Roa'!$AR$124,'J1 B - Butcher Terrace'!$Z$124,'J1 C - (South) Bishopthorpe Roa'!$H$124,'J1 D - South Bank Avenue'!$BJ$124)</f>
        <v>1</v>
      </c>
      <c r="CW124" s="83">
        <f>SUM('J1 A - (North) Bishopthorpe Roa'!$AS$124,'J1 B - Butcher Terrace'!$AA$124,'J1 C - (South) Bishopthorpe Roa'!$I$124,'J1 D - South Bank Avenue'!$BK$124)</f>
        <v>1</v>
      </c>
      <c r="CX124" s="86">
        <f>SUM('J1 A - (North) Bishopthorpe Roa'!$AT$124,'J1 B - Butcher Terrace'!$AB$124,'J1 C - (South) Bishopthorpe Roa'!$J$124,'J1 D - South Bank Avenue'!$BL$124)</f>
        <v>0</v>
      </c>
      <c r="CY124" s="77">
        <f>$CQ$124*VLOOKUP($CQ$11,'PCU Values'!$B$9:$C$16,2,FALSE)</f>
        <v>3</v>
      </c>
      <c r="CZ124" s="77">
        <f>$CR$124*VLOOKUP($CR$11,'PCU Values'!$B$9:$C$16,2,FALSE)</f>
        <v>0</v>
      </c>
      <c r="DA124" s="77">
        <f>$CS$124*VLOOKUP($CS$11,'PCU Values'!$B$9:$C$16,2,FALSE)</f>
        <v>0</v>
      </c>
      <c r="DB124" s="77">
        <f>$CT$124*VLOOKUP($CT$11,'PCU Values'!$B$9:$C$16,2,FALSE)</f>
        <v>0</v>
      </c>
      <c r="DC124" s="77">
        <f>$CU$124*VLOOKUP($CU$11,'PCU Values'!$B$9:$C$16,2,FALSE)</f>
        <v>0</v>
      </c>
      <c r="DD124" s="77">
        <f>$CV$124*VLOOKUP($CV$11,'PCU Values'!$B$9:$C$16,2,FALSE)</f>
        <v>0.2</v>
      </c>
      <c r="DE124" s="77">
        <f>$CW$124*VLOOKUP($CW$11,'PCU Values'!$B$9:$C$16,2,FALSE)</f>
        <v>0.4</v>
      </c>
      <c r="DF124" s="78">
        <f>$CX$124*VLOOKUP($CX$11,'PCU Values'!$B$9:$C$16,2,FALSE)</f>
        <v>0</v>
      </c>
      <c r="DG124" s="66">
        <f>SUM($CY$124,$CZ$124,$DA$124,$DB$124,$DC$124,$DD$124,$DE$124,$DF$124)</f>
        <v>3.6</v>
      </c>
      <c r="DH124" s="52">
        <f>SUM($CQ$124,$CR$124,$CS$124,$CT$124,$CU$124,$CV$124,$CW$124,$CX$124)</f>
        <v>5</v>
      </c>
    </row>
    <row r="125" spans="1:112" ht="21" customHeight="1">
      <c r="A125" s="46">
        <v>44395.947916666701</v>
      </c>
      <c r="B125" s="50" t="s">
        <v>122</v>
      </c>
      <c r="C125" s="51">
        <v>2</v>
      </c>
      <c r="D125" s="51">
        <v>0</v>
      </c>
      <c r="E125" s="51">
        <v>0</v>
      </c>
      <c r="F125" s="51">
        <v>0</v>
      </c>
      <c r="G125" s="51">
        <v>0</v>
      </c>
      <c r="H125" s="51">
        <v>0</v>
      </c>
      <c r="I125" s="51">
        <v>0</v>
      </c>
      <c r="J125" s="59">
        <v>0</v>
      </c>
      <c r="K125" s="60">
        <f>$C$125*VLOOKUP($C$11,'PCU Values'!$B$9:$C$16,2,FALSE)</f>
        <v>2</v>
      </c>
      <c r="L125" s="60">
        <f>$D$125*VLOOKUP($D$11,'PCU Values'!$B$9:$C$16,2,FALSE)</f>
        <v>0</v>
      </c>
      <c r="M125" s="60">
        <f>$E$125*VLOOKUP($E$11,'PCU Values'!$B$9:$C$16,2,FALSE)</f>
        <v>0</v>
      </c>
      <c r="N125" s="60">
        <f>$F$125*VLOOKUP($F$11,'PCU Values'!$B$9:$C$16,2,FALSE)</f>
        <v>0</v>
      </c>
      <c r="O125" s="60">
        <f>$G$125*VLOOKUP($G$11,'PCU Values'!$B$9:$C$16,2,FALSE)</f>
        <v>0</v>
      </c>
      <c r="P125" s="60">
        <f>$H$125*VLOOKUP($H$11,'PCU Values'!$B$9:$C$16,2,FALSE)</f>
        <v>0</v>
      </c>
      <c r="Q125" s="60">
        <f>$I$125*VLOOKUP($I$11,'PCU Values'!$B$9:$C$16,2,FALSE)</f>
        <v>0</v>
      </c>
      <c r="R125" s="68">
        <f>$J$125*VLOOKUP($J$11,'PCU Values'!$B$9:$C$16,2,FALSE)</f>
        <v>0</v>
      </c>
      <c r="S125" s="63">
        <f>SUM($K$125,$L$125,$M$125,$N$125,$O$125,$P$125,$Q$125,$R$125)</f>
        <v>2</v>
      </c>
      <c r="T125" s="52">
        <f>SUM($C$125,$D$125,$E$125,$F$125,$G$125,$H$125,$I$125,$J$125)</f>
        <v>2</v>
      </c>
      <c r="U125" s="73">
        <v>0</v>
      </c>
      <c r="V125" s="51">
        <v>0</v>
      </c>
      <c r="W125" s="51">
        <v>0</v>
      </c>
      <c r="X125" s="51">
        <v>0</v>
      </c>
      <c r="Y125" s="51">
        <v>0</v>
      </c>
      <c r="Z125" s="51">
        <v>0</v>
      </c>
      <c r="AA125" s="51">
        <v>0</v>
      </c>
      <c r="AB125" s="59">
        <v>0</v>
      </c>
      <c r="AC125" s="60">
        <f>$U$125*VLOOKUP($U$11,'PCU Values'!$B$9:$C$16,2,FALSE)</f>
        <v>0</v>
      </c>
      <c r="AD125" s="60">
        <f>$V$125*VLOOKUP($V$11,'PCU Values'!$B$9:$C$16,2,FALSE)</f>
        <v>0</v>
      </c>
      <c r="AE125" s="60">
        <f>$W$125*VLOOKUP($W$11,'PCU Values'!$B$9:$C$16,2,FALSE)</f>
        <v>0</v>
      </c>
      <c r="AF125" s="60">
        <f>$X$125*VLOOKUP($X$11,'PCU Values'!$B$9:$C$16,2,FALSE)</f>
        <v>0</v>
      </c>
      <c r="AG125" s="60">
        <f>$Y$125*VLOOKUP($Y$11,'PCU Values'!$B$9:$C$16,2,FALSE)</f>
        <v>0</v>
      </c>
      <c r="AH125" s="60">
        <f>$Z$125*VLOOKUP($Z$11,'PCU Values'!$B$9:$C$16,2,FALSE)</f>
        <v>0</v>
      </c>
      <c r="AI125" s="60">
        <f>$AA$125*VLOOKUP($AA$11,'PCU Values'!$B$9:$C$16,2,FALSE)</f>
        <v>0</v>
      </c>
      <c r="AJ125" s="68">
        <f>$AB$125*VLOOKUP($AB$11,'PCU Values'!$B$9:$C$16,2,FALSE)</f>
        <v>0</v>
      </c>
      <c r="AK125" s="63">
        <f>SUM($AC$125,$AD$125,$AE$125,$AF$125,$AG$125,$AH$125,$AI$125,$AJ$125)</f>
        <v>0</v>
      </c>
      <c r="AL125" s="52">
        <f>SUM($U$125,$V$125,$W$125,$X$125,$Y$125,$Z$125,$AA$125,$AB$125)</f>
        <v>0</v>
      </c>
      <c r="AM125" s="73">
        <v>1</v>
      </c>
      <c r="AN125" s="51">
        <v>0</v>
      </c>
      <c r="AO125" s="51">
        <v>0</v>
      </c>
      <c r="AP125" s="51">
        <v>0</v>
      </c>
      <c r="AQ125" s="51">
        <v>0</v>
      </c>
      <c r="AR125" s="51">
        <v>0</v>
      </c>
      <c r="AS125" s="51">
        <v>0</v>
      </c>
      <c r="AT125" s="59">
        <v>0</v>
      </c>
      <c r="AU125" s="60">
        <f>$AM$125*VLOOKUP($AM$11,'PCU Values'!$B$9:$C$16,2,FALSE)</f>
        <v>1</v>
      </c>
      <c r="AV125" s="60">
        <f>$AN$125*VLOOKUP($AN$11,'PCU Values'!$B$9:$C$16,2,FALSE)</f>
        <v>0</v>
      </c>
      <c r="AW125" s="60">
        <f>$AO$125*VLOOKUP($AO$11,'PCU Values'!$B$9:$C$16,2,FALSE)</f>
        <v>0</v>
      </c>
      <c r="AX125" s="60">
        <f>$AP$125*VLOOKUP($AP$11,'PCU Values'!$B$9:$C$16,2,FALSE)</f>
        <v>0</v>
      </c>
      <c r="AY125" s="60">
        <f>$AQ$125*VLOOKUP($AQ$11,'PCU Values'!$B$9:$C$16,2,FALSE)</f>
        <v>0</v>
      </c>
      <c r="AZ125" s="60">
        <f>$AR$125*VLOOKUP($AR$11,'PCU Values'!$B$9:$C$16,2,FALSE)</f>
        <v>0</v>
      </c>
      <c r="BA125" s="60">
        <f>$AS$125*VLOOKUP($AS$11,'PCU Values'!$B$9:$C$16,2,FALSE)</f>
        <v>0</v>
      </c>
      <c r="BB125" s="68">
        <f>$AT$125*VLOOKUP($AT$11,'PCU Values'!$B$9:$C$16,2,FALSE)</f>
        <v>0</v>
      </c>
      <c r="BC125" s="63">
        <f>SUM($AU$125,$AV$125,$AW$125,$AX$125,$AY$125,$AZ$125,$BA$125,$BB$125)</f>
        <v>1</v>
      </c>
      <c r="BD125" s="52">
        <f>SUM($AM$125,$AN$125,$AO$125,$AP$125,$AQ$125,$AR$125,$AS$125,$AT$125)</f>
        <v>1</v>
      </c>
      <c r="BE125" s="73">
        <v>0</v>
      </c>
      <c r="BF125" s="51">
        <v>0</v>
      </c>
      <c r="BG125" s="51">
        <v>0</v>
      </c>
      <c r="BH125" s="51">
        <v>0</v>
      </c>
      <c r="BI125" s="51">
        <v>0</v>
      </c>
      <c r="BJ125" s="51">
        <v>0</v>
      </c>
      <c r="BK125" s="51">
        <v>0</v>
      </c>
      <c r="BL125" s="59">
        <v>0</v>
      </c>
      <c r="BM125" s="79">
        <f>$BE$125*VLOOKUP($BE$11,'PCU Values'!$B$9:$C$16,2,FALSE)</f>
        <v>0</v>
      </c>
      <c r="BN125" s="79">
        <f>$BF$125*VLOOKUP($BF$11,'PCU Values'!$B$9:$C$16,2,FALSE)</f>
        <v>0</v>
      </c>
      <c r="BO125" s="79">
        <f>$BG$125*VLOOKUP($BG$11,'PCU Values'!$B$9:$C$16,2,FALSE)</f>
        <v>0</v>
      </c>
      <c r="BP125" s="79">
        <f>$BH$125*VLOOKUP($BH$11,'PCU Values'!$B$9:$C$16,2,FALSE)</f>
        <v>0</v>
      </c>
      <c r="BQ125" s="79">
        <f>$BI$125*VLOOKUP($BI$11,'PCU Values'!$B$9:$C$16,2,FALSE)</f>
        <v>0</v>
      </c>
      <c r="BR125" s="79">
        <f>$BJ$125*VLOOKUP($BJ$11,'PCU Values'!$B$9:$C$16,2,FALSE)</f>
        <v>0</v>
      </c>
      <c r="BS125" s="79">
        <f>$BK$125*VLOOKUP($BK$11,'PCU Values'!$B$9:$C$16,2,FALSE)</f>
        <v>0</v>
      </c>
      <c r="BT125" s="80">
        <f>$BL$125*VLOOKUP($BL$11,'PCU Values'!$B$9:$C$16,2,FALSE)</f>
        <v>0</v>
      </c>
      <c r="BU125" s="63">
        <f>SUM($BM$125,$BN$125,$BO$125,$BP$125,$BQ$125,$BR$125,$BS$125,$BT$125)</f>
        <v>0</v>
      </c>
      <c r="BV125" s="52">
        <f>SUM($BE$125,$BF$125,$BG$125,$BH$125,$BI$125,$BJ$125,$BK$125,$BL$125)</f>
        <v>0</v>
      </c>
      <c r="BX125" s="50" t="s">
        <v>122</v>
      </c>
      <c r="BY125" s="84">
        <f>SUM($C$125,$U$125,$AM$125,$BE$125)</f>
        <v>3</v>
      </c>
      <c r="BZ125" s="84">
        <f>SUM($D$125,$V$125,$AN$125,$BF$125)</f>
        <v>0</v>
      </c>
      <c r="CA125" s="84">
        <f>SUM($E$125,$W$125,$AO$125,$BG$125)</f>
        <v>0</v>
      </c>
      <c r="CB125" s="84">
        <f>SUM($F$125,$X$125,$AP$125,$BH$125)</f>
        <v>0</v>
      </c>
      <c r="CC125" s="84">
        <f>SUM($G$125,$Y$125,$AQ$125,$BI$125)</f>
        <v>0</v>
      </c>
      <c r="CD125" s="84">
        <f>SUM($H$125,$Z$125,$AR$125,$BJ$125)</f>
        <v>0</v>
      </c>
      <c r="CE125" s="84">
        <f>SUM($I$125,$AA$125,$AS$125,$BK$125)</f>
        <v>0</v>
      </c>
      <c r="CF125" s="87">
        <f>SUM($J$125,$AB$125,$AT$125,$BL$125)</f>
        <v>0</v>
      </c>
      <c r="CG125" s="79">
        <f>$BY$125*VLOOKUP($BY$11,'PCU Values'!$B$9:$C$16,2,FALSE)</f>
        <v>3</v>
      </c>
      <c r="CH125" s="79">
        <f>$BZ$125*VLOOKUP($BZ$11,'PCU Values'!$B$9:$C$16,2,FALSE)</f>
        <v>0</v>
      </c>
      <c r="CI125" s="79">
        <f>$CA$125*VLOOKUP($CA$11,'PCU Values'!$B$9:$C$16,2,FALSE)</f>
        <v>0</v>
      </c>
      <c r="CJ125" s="79">
        <f>$CB$125*VLOOKUP($CB$11,'PCU Values'!$B$9:$C$16,2,FALSE)</f>
        <v>0</v>
      </c>
      <c r="CK125" s="79">
        <f>$CC$125*VLOOKUP($CC$11,'PCU Values'!$B$9:$C$16,2,FALSE)</f>
        <v>0</v>
      </c>
      <c r="CL125" s="79">
        <f>$CD$125*VLOOKUP($CD$11,'PCU Values'!$B$9:$C$16,2,FALSE)</f>
        <v>0</v>
      </c>
      <c r="CM125" s="79">
        <f>$CE$125*VLOOKUP($CE$11,'PCU Values'!$B$9:$C$16,2,FALSE)</f>
        <v>0</v>
      </c>
      <c r="CN125" s="80">
        <f>$CF$125*VLOOKUP($CF$11,'PCU Values'!$B$9:$C$16,2,FALSE)</f>
        <v>0</v>
      </c>
      <c r="CO125" s="63">
        <f>SUM($CG$125,$CH$125,$CI$125,$CJ$125,$CK$125,$CL$125,$CM$125,$CN$125)</f>
        <v>3</v>
      </c>
      <c r="CP125" s="52">
        <f>SUM($BY$125,$BZ$125,$CA$125,$CB$125,$CC$125,$CD$125,$CE$125,$CF$125)</f>
        <v>3</v>
      </c>
      <c r="CQ125" s="90">
        <f>SUM('J1 A - (North) Bishopthorpe Roa'!$AM$125,'J1 B - Butcher Terrace'!$U$125,'J1 C - (South) Bishopthorpe Roa'!$C$125,'J1 D - South Bank Avenue'!$BE$125)</f>
        <v>1</v>
      </c>
      <c r="CR125" s="84">
        <f>SUM('J1 A - (North) Bishopthorpe Roa'!$AN$125,'J1 B - Butcher Terrace'!$V$125,'J1 C - (South) Bishopthorpe Roa'!$D$125,'J1 D - South Bank Avenue'!$BF$125)</f>
        <v>0</v>
      </c>
      <c r="CS125" s="84">
        <f>SUM('J1 A - (North) Bishopthorpe Roa'!$AO$125,'J1 B - Butcher Terrace'!$W$125,'J1 C - (South) Bishopthorpe Roa'!$E$125,'J1 D - South Bank Avenue'!$BG$125)</f>
        <v>0</v>
      </c>
      <c r="CT125" s="84">
        <f>SUM('J1 A - (North) Bishopthorpe Roa'!$AP$125,'J1 B - Butcher Terrace'!$X$125,'J1 C - (South) Bishopthorpe Roa'!$F$125,'J1 D - South Bank Avenue'!$BH$125)</f>
        <v>0</v>
      </c>
      <c r="CU125" s="84">
        <f>SUM('J1 A - (North) Bishopthorpe Roa'!$AQ$125,'J1 B - Butcher Terrace'!$Y$125,'J1 C - (South) Bishopthorpe Roa'!$G$125,'J1 D - South Bank Avenue'!$BI$125)</f>
        <v>0</v>
      </c>
      <c r="CV125" s="84">
        <f>SUM('J1 A - (North) Bishopthorpe Roa'!$AR$125,'J1 B - Butcher Terrace'!$Z$125,'J1 C - (South) Bishopthorpe Roa'!$H$125,'J1 D - South Bank Avenue'!$BJ$125)</f>
        <v>2</v>
      </c>
      <c r="CW125" s="84">
        <f>SUM('J1 A - (North) Bishopthorpe Roa'!$AS$125,'J1 B - Butcher Terrace'!$AA$125,'J1 C - (South) Bishopthorpe Roa'!$I$125,'J1 D - South Bank Avenue'!$BK$125)</f>
        <v>0</v>
      </c>
      <c r="CX125" s="87">
        <f>SUM('J1 A - (North) Bishopthorpe Roa'!$AT$125,'J1 B - Butcher Terrace'!$AB$125,'J1 C - (South) Bishopthorpe Roa'!$J$125,'J1 D - South Bank Avenue'!$BL$125)</f>
        <v>0</v>
      </c>
      <c r="CY125" s="79">
        <f>$CQ$125*VLOOKUP($CQ$11,'PCU Values'!$B$9:$C$16,2,FALSE)</f>
        <v>1</v>
      </c>
      <c r="CZ125" s="79">
        <f>$CR$125*VLOOKUP($CR$11,'PCU Values'!$B$9:$C$16,2,FALSE)</f>
        <v>0</v>
      </c>
      <c r="DA125" s="79">
        <f>$CS$125*VLOOKUP($CS$11,'PCU Values'!$B$9:$C$16,2,FALSE)</f>
        <v>0</v>
      </c>
      <c r="DB125" s="79">
        <f>$CT$125*VLOOKUP($CT$11,'PCU Values'!$B$9:$C$16,2,FALSE)</f>
        <v>0</v>
      </c>
      <c r="DC125" s="79">
        <f>$CU$125*VLOOKUP($CU$11,'PCU Values'!$B$9:$C$16,2,FALSE)</f>
        <v>0</v>
      </c>
      <c r="DD125" s="79">
        <f>$CV$125*VLOOKUP($CV$11,'PCU Values'!$B$9:$C$16,2,FALSE)</f>
        <v>0.4</v>
      </c>
      <c r="DE125" s="79">
        <f>$CW$125*VLOOKUP($CW$11,'PCU Values'!$B$9:$C$16,2,FALSE)</f>
        <v>0</v>
      </c>
      <c r="DF125" s="80">
        <f>$CX$125*VLOOKUP($CX$11,'PCU Values'!$B$9:$C$16,2,FALSE)</f>
        <v>0</v>
      </c>
      <c r="DG125" s="63">
        <f>SUM($CY$125,$CZ$125,$DA$125,$DB$125,$DC$125,$DD$125,$DE$125,$DF$125)</f>
        <v>1.4</v>
      </c>
      <c r="DH125" s="52">
        <f>SUM($CQ$125,$CR$125,$CS$125,$CT$125,$CU$125,$CV$125,$CW$125,$CX$125)</f>
        <v>3</v>
      </c>
    </row>
    <row r="126" spans="1:112">
      <c r="B126" s="52" t="s">
        <v>34</v>
      </c>
      <c r="C126" s="52">
        <f>SUM($C$122:$C$125)</f>
        <v>8</v>
      </c>
      <c r="D126" s="52">
        <f>SUM($D$122:$D$125)</f>
        <v>1</v>
      </c>
      <c r="E126" s="52">
        <f>SUM($E$122:$E$125)</f>
        <v>0</v>
      </c>
      <c r="F126" s="52">
        <f>SUM($F$122:$F$125)</f>
        <v>0</v>
      </c>
      <c r="G126" s="52">
        <f>SUM($G$122:$G$125)</f>
        <v>0</v>
      </c>
      <c r="H126" s="52">
        <f>SUM($H$122:$H$125)</f>
        <v>2</v>
      </c>
      <c r="I126" s="52">
        <f>SUM($I$122:$I$125)</f>
        <v>1</v>
      </c>
      <c r="J126" s="52">
        <f>SUM($J$122:$J$125)</f>
        <v>0</v>
      </c>
      <c r="K126" s="52">
        <f>SUM($K$122:$K$125)</f>
        <v>8</v>
      </c>
      <c r="L126" s="52">
        <f>SUM($L$122:$L$125)</f>
        <v>1</v>
      </c>
      <c r="M126" s="52">
        <f>SUM($M$122:$M$125)</f>
        <v>0</v>
      </c>
      <c r="N126" s="52">
        <f>SUM($N$122:$N$125)</f>
        <v>0</v>
      </c>
      <c r="O126" s="52">
        <f>SUM($O$122:$O$125)</f>
        <v>0</v>
      </c>
      <c r="P126" s="52">
        <f>SUM($P$122:$P$125)</f>
        <v>0</v>
      </c>
      <c r="Q126" s="52">
        <f>SUM($Q$122:$Q$125)</f>
        <v>0</v>
      </c>
      <c r="R126" s="52">
        <f>SUM($R$122:$R$125)</f>
        <v>0</v>
      </c>
      <c r="S126" s="52">
        <f>SUM($K$126,$L$126,$M$126,$N$126,$O$126,$P$126,$Q$126,$R$126)</f>
        <v>9</v>
      </c>
      <c r="T126" s="52">
        <f>SUM($C$126,$D$126,$E$126,$F$126,$G$126,$H$126,$I$126,$J$126)</f>
        <v>12</v>
      </c>
      <c r="U126" s="52">
        <f>SUM($U$122:$U$125)</f>
        <v>0</v>
      </c>
      <c r="V126" s="52">
        <f>SUM($V$122:$V$125)</f>
        <v>0</v>
      </c>
      <c r="W126" s="52">
        <f>SUM($W$122:$W$125)</f>
        <v>0</v>
      </c>
      <c r="X126" s="52">
        <f>SUM($X$122:$X$125)</f>
        <v>0</v>
      </c>
      <c r="Y126" s="52">
        <f>SUM($Y$122:$Y$125)</f>
        <v>0</v>
      </c>
      <c r="Z126" s="52">
        <f>SUM($Z$122:$Z$125)</f>
        <v>2</v>
      </c>
      <c r="AA126" s="52">
        <f>SUM($AA$122:$AA$125)</f>
        <v>0</v>
      </c>
      <c r="AB126" s="52">
        <f>SUM($AB$122:$AB$125)</f>
        <v>0</v>
      </c>
      <c r="AC126" s="52">
        <f>SUM($AC$122:$AC$125)</f>
        <v>0</v>
      </c>
      <c r="AD126" s="52">
        <f>SUM($AD$122:$AD$125)</f>
        <v>0</v>
      </c>
      <c r="AE126" s="52">
        <f>SUM($AE$122:$AE$125)</f>
        <v>0</v>
      </c>
      <c r="AF126" s="52">
        <f>SUM($AF$122:$AF$125)</f>
        <v>0</v>
      </c>
      <c r="AG126" s="52">
        <f>SUM($AG$122:$AG$125)</f>
        <v>0</v>
      </c>
      <c r="AH126" s="52">
        <f>SUM($AH$122:$AH$125)</f>
        <v>0</v>
      </c>
      <c r="AI126" s="52">
        <f>SUM($AI$122:$AI$125)</f>
        <v>0</v>
      </c>
      <c r="AJ126" s="52">
        <f>SUM($AJ$122:$AJ$125)</f>
        <v>0</v>
      </c>
      <c r="AK126" s="52">
        <f>SUM($AC$126,$AD$126,$AE$126,$AF$126,$AG$126,$AH$126,$AI$126,$AJ$126)</f>
        <v>0</v>
      </c>
      <c r="AL126" s="52">
        <f>SUM($U$126,$V$126,$W$126,$X$126,$Y$126,$Z$126,$AA$126,$AB$126)</f>
        <v>2</v>
      </c>
      <c r="AM126" s="52">
        <f>SUM($AM$122:$AM$125)</f>
        <v>2</v>
      </c>
      <c r="AN126" s="52">
        <f>SUM($AN$122:$AN$125)</f>
        <v>0</v>
      </c>
      <c r="AO126" s="52">
        <f>SUM($AO$122:$AO$125)</f>
        <v>0</v>
      </c>
      <c r="AP126" s="52">
        <f>SUM($AP$122:$AP$125)</f>
        <v>0</v>
      </c>
      <c r="AQ126" s="52">
        <f>SUM($AQ$122:$AQ$125)</f>
        <v>0</v>
      </c>
      <c r="AR126" s="52">
        <f>SUM($AR$122:$AR$125)</f>
        <v>0</v>
      </c>
      <c r="AS126" s="52">
        <f>SUM($AS$122:$AS$125)</f>
        <v>0</v>
      </c>
      <c r="AT126" s="52">
        <f>SUM($AT$122:$AT$125)</f>
        <v>0</v>
      </c>
      <c r="AU126" s="52">
        <f>SUM($AU$122:$AU$125)</f>
        <v>2</v>
      </c>
      <c r="AV126" s="52">
        <f>SUM($AV$122:$AV$125)</f>
        <v>0</v>
      </c>
      <c r="AW126" s="52">
        <f>SUM($AW$122:$AW$125)</f>
        <v>0</v>
      </c>
      <c r="AX126" s="52">
        <f>SUM($AX$122:$AX$125)</f>
        <v>0</v>
      </c>
      <c r="AY126" s="52">
        <f>SUM($AY$122:$AY$125)</f>
        <v>0</v>
      </c>
      <c r="AZ126" s="52">
        <f>SUM($AZ$122:$AZ$125)</f>
        <v>0</v>
      </c>
      <c r="BA126" s="52">
        <f>SUM($BA$122:$BA$125)</f>
        <v>0</v>
      </c>
      <c r="BB126" s="52">
        <f>SUM($BB$122:$BB$125)</f>
        <v>0</v>
      </c>
      <c r="BC126" s="52">
        <f>SUM($AU$126,$AV$126,$AW$126,$AX$126,$AY$126,$AZ$126,$BA$126,$BB$126)</f>
        <v>2</v>
      </c>
      <c r="BD126" s="52">
        <f>SUM($AM$126,$AN$126,$AO$126,$AP$126,$AQ$126,$AR$126,$AS$126,$AT$126)</f>
        <v>2</v>
      </c>
      <c r="BE126" s="52">
        <f>SUM($BE$122:$BE$125)</f>
        <v>0</v>
      </c>
      <c r="BF126" s="52">
        <f>SUM($BF$122:$BF$125)</f>
        <v>0</v>
      </c>
      <c r="BG126" s="52">
        <f>SUM($BG$122:$BG$125)</f>
        <v>0</v>
      </c>
      <c r="BH126" s="52">
        <f>SUM($BH$122:$BH$125)</f>
        <v>0</v>
      </c>
      <c r="BI126" s="52">
        <f>SUM($BI$122:$BI$125)</f>
        <v>0</v>
      </c>
      <c r="BJ126" s="52">
        <f>SUM($BJ$122:$BJ$125)</f>
        <v>0</v>
      </c>
      <c r="BK126" s="52">
        <f>SUM($BK$122:$BK$125)</f>
        <v>0</v>
      </c>
      <c r="BL126" s="52">
        <f>SUM($BL$122:$BL$125)</f>
        <v>0</v>
      </c>
      <c r="BM126" s="52">
        <f>SUM($BM$122:$BM$125)</f>
        <v>0</v>
      </c>
      <c r="BN126" s="52">
        <f>SUM($BN$122:$BN$125)</f>
        <v>0</v>
      </c>
      <c r="BO126" s="52">
        <f>SUM($BO$122:$BO$125)</f>
        <v>0</v>
      </c>
      <c r="BP126" s="52">
        <f>SUM($BP$122:$BP$125)</f>
        <v>0</v>
      </c>
      <c r="BQ126" s="52">
        <f>SUM($BQ$122:$BQ$125)</f>
        <v>0</v>
      </c>
      <c r="BR126" s="52">
        <f>SUM($BR$122:$BR$125)</f>
        <v>0</v>
      </c>
      <c r="BS126" s="52">
        <f>SUM($BS$122:$BS$125)</f>
        <v>0</v>
      </c>
      <c r="BT126" s="52">
        <f>SUM($BT$122:$BT$125)</f>
        <v>0</v>
      </c>
      <c r="BU126" s="52">
        <f>SUM($BM$126,$BN$126,$BO$126,$BP$126,$BQ$126,$BR$126,$BS$126,$BT$126)</f>
        <v>0</v>
      </c>
      <c r="BV126" s="52">
        <f>SUM($BE$126,$BF$126,$BG$126,$BH$126,$BI$126,$BJ$126,$BK$126,$BL$126)</f>
        <v>0</v>
      </c>
      <c r="BX126" s="52" t="s">
        <v>34</v>
      </c>
      <c r="BY126" s="52">
        <f>SUM($BY$122:$BY$125)</f>
        <v>10</v>
      </c>
      <c r="BZ126" s="52">
        <f>SUM($BZ$122:$BZ$125)</f>
        <v>1</v>
      </c>
      <c r="CA126" s="52">
        <f>SUM($CA$122:$CA$125)</f>
        <v>0</v>
      </c>
      <c r="CB126" s="52">
        <f>SUM($CB$122:$CB$125)</f>
        <v>0</v>
      </c>
      <c r="CC126" s="52">
        <f>SUM($CC$122:$CC$125)</f>
        <v>0</v>
      </c>
      <c r="CD126" s="52">
        <f>SUM($CD$122:$CD$125)</f>
        <v>4</v>
      </c>
      <c r="CE126" s="52">
        <f>SUM($CE$122:$CE$125)</f>
        <v>1</v>
      </c>
      <c r="CF126" s="52">
        <f>SUM($CF$122:$CF$125)</f>
        <v>0</v>
      </c>
      <c r="CG126" s="52">
        <f>SUM($CG$122:$CG$125)</f>
        <v>10</v>
      </c>
      <c r="CH126" s="52">
        <f>SUM($CH$122:$CH$125)</f>
        <v>1</v>
      </c>
      <c r="CI126" s="52">
        <f>SUM($CI$122:$CI$125)</f>
        <v>0</v>
      </c>
      <c r="CJ126" s="52">
        <f>SUM($CJ$122:$CJ$125)</f>
        <v>0</v>
      </c>
      <c r="CK126" s="52">
        <f>SUM($CK$122:$CK$125)</f>
        <v>0</v>
      </c>
      <c r="CL126" s="52">
        <f>SUM($CL$122:$CL$125)</f>
        <v>1</v>
      </c>
      <c r="CM126" s="52">
        <f>SUM($CM$122:$CM$125)</f>
        <v>0</v>
      </c>
      <c r="CN126" s="52">
        <f>SUM($CN$122:$CN$125)</f>
        <v>0</v>
      </c>
      <c r="CO126" s="52">
        <f>SUM($CG$126,$CH$126,$CI$126,$CJ$126,$CK$126,$CL$126,$CM$126,$CN$126)</f>
        <v>12</v>
      </c>
      <c r="CP126" s="52">
        <f>SUM($BY$126,$BZ$126,$CA$126,$CB$126,$CC$126,$CD$126,$CE$126,$CF$126)</f>
        <v>16</v>
      </c>
      <c r="CQ126" s="52">
        <f>SUM($CQ$122:$CQ$125)</f>
        <v>13</v>
      </c>
      <c r="CR126" s="52">
        <f>SUM($CR$122:$CR$125)</f>
        <v>0</v>
      </c>
      <c r="CS126" s="52">
        <f>SUM($CS$122:$CS$125)</f>
        <v>0</v>
      </c>
      <c r="CT126" s="52">
        <f>SUM($CT$122:$CT$125)</f>
        <v>0</v>
      </c>
      <c r="CU126" s="52">
        <f>SUM($CU$122:$CU$125)</f>
        <v>0</v>
      </c>
      <c r="CV126" s="52">
        <f>SUM($CV$122:$CV$125)</f>
        <v>14</v>
      </c>
      <c r="CW126" s="52">
        <f>SUM($CW$122:$CW$125)</f>
        <v>3</v>
      </c>
      <c r="CX126" s="52">
        <f>SUM($CX$122:$CX$125)</f>
        <v>0</v>
      </c>
      <c r="CY126" s="52">
        <f>SUM($CY$122:$CY$125)</f>
        <v>13</v>
      </c>
      <c r="CZ126" s="52">
        <f>SUM($CZ$122:$CZ$125)</f>
        <v>0</v>
      </c>
      <c r="DA126" s="52">
        <f>SUM($DA$122:$DA$125)</f>
        <v>0</v>
      </c>
      <c r="DB126" s="52">
        <f>SUM($DB$122:$DB$125)</f>
        <v>0</v>
      </c>
      <c r="DC126" s="52">
        <f>SUM($DC$122:$DC$125)</f>
        <v>0</v>
      </c>
      <c r="DD126" s="52">
        <f>SUM($DD$122:$DD$125)</f>
        <v>3</v>
      </c>
      <c r="DE126" s="52">
        <f>SUM($DE$122:$DE$125)</f>
        <v>1</v>
      </c>
      <c r="DF126" s="52">
        <f>SUM($DF$122:$DF$125)</f>
        <v>0</v>
      </c>
      <c r="DG126" s="52">
        <f>SUM($CY$126,$CZ$126,$DA$126,$DB$126,$DC$126,$DD$126,$DE$126,$DF$126)</f>
        <v>17</v>
      </c>
      <c r="DH126" s="52">
        <f>SUM($CQ$126,$CR$126,$CS$126,$CT$126,$CU$126,$CV$126,$CW$126,$CX$126)</f>
        <v>30</v>
      </c>
    </row>
    <row r="127" spans="1:112" ht="21" customHeight="1">
      <c r="A127" s="46">
        <v>44395.958333333299</v>
      </c>
      <c r="B127" s="53" t="s">
        <v>123</v>
      </c>
      <c r="C127" s="54">
        <v>0</v>
      </c>
      <c r="D127" s="54">
        <v>0</v>
      </c>
      <c r="E127" s="54">
        <v>0</v>
      </c>
      <c r="F127" s="54">
        <v>0</v>
      </c>
      <c r="G127" s="54">
        <v>0</v>
      </c>
      <c r="H127" s="54">
        <v>1</v>
      </c>
      <c r="I127" s="54">
        <v>0</v>
      </c>
      <c r="J127" s="61">
        <v>0</v>
      </c>
      <c r="K127" s="62">
        <f>$C$127*VLOOKUP($C$11,'PCU Values'!$B$9:$C$16,2,FALSE)</f>
        <v>0</v>
      </c>
      <c r="L127" s="62">
        <f>$D$127*VLOOKUP($D$11,'PCU Values'!$B$9:$C$16,2,FALSE)</f>
        <v>0</v>
      </c>
      <c r="M127" s="62">
        <f>$E$127*VLOOKUP($E$11,'PCU Values'!$B$9:$C$16,2,FALSE)</f>
        <v>0</v>
      </c>
      <c r="N127" s="62">
        <f>$F$127*VLOOKUP($F$11,'PCU Values'!$B$9:$C$16,2,FALSE)</f>
        <v>0</v>
      </c>
      <c r="O127" s="62">
        <f>$G$127*VLOOKUP($G$11,'PCU Values'!$B$9:$C$16,2,FALSE)</f>
        <v>0</v>
      </c>
      <c r="P127" s="62">
        <f>$H$127*VLOOKUP($H$11,'PCU Values'!$B$9:$C$16,2,FALSE)</f>
        <v>0.2</v>
      </c>
      <c r="Q127" s="62">
        <f>$I$127*VLOOKUP($I$11,'PCU Values'!$B$9:$C$16,2,FALSE)</f>
        <v>0</v>
      </c>
      <c r="R127" s="70">
        <f>$J$127*VLOOKUP($J$11,'PCU Values'!$B$9:$C$16,2,FALSE)</f>
        <v>0</v>
      </c>
      <c r="S127" s="71">
        <f>SUM($K$127,$L$127,$M$127,$N$127,$O$127,$P$127,$Q$127,$R$127)</f>
        <v>0.2</v>
      </c>
      <c r="T127" s="52">
        <f>SUM($C$127,$D$127,$E$127,$F$127,$G$127,$H$127,$I$127,$J$127)</f>
        <v>1</v>
      </c>
      <c r="U127" s="72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1</v>
      </c>
      <c r="AA127" s="54">
        <v>0</v>
      </c>
      <c r="AB127" s="61">
        <v>0</v>
      </c>
      <c r="AC127" s="62">
        <f>$U$127*VLOOKUP($U$11,'PCU Values'!$B$9:$C$16,2,FALSE)</f>
        <v>0</v>
      </c>
      <c r="AD127" s="62">
        <f>$V$127*VLOOKUP($V$11,'PCU Values'!$B$9:$C$16,2,FALSE)</f>
        <v>0</v>
      </c>
      <c r="AE127" s="62">
        <f>$W$127*VLOOKUP($W$11,'PCU Values'!$B$9:$C$16,2,FALSE)</f>
        <v>0</v>
      </c>
      <c r="AF127" s="62">
        <f>$X$127*VLOOKUP($X$11,'PCU Values'!$B$9:$C$16,2,FALSE)</f>
        <v>0</v>
      </c>
      <c r="AG127" s="62">
        <f>$Y$127*VLOOKUP($Y$11,'PCU Values'!$B$9:$C$16,2,FALSE)</f>
        <v>0</v>
      </c>
      <c r="AH127" s="62">
        <f>$Z$127*VLOOKUP($Z$11,'PCU Values'!$B$9:$C$16,2,FALSE)</f>
        <v>0.2</v>
      </c>
      <c r="AI127" s="62">
        <f>$AA$127*VLOOKUP($AA$11,'PCU Values'!$B$9:$C$16,2,FALSE)</f>
        <v>0</v>
      </c>
      <c r="AJ127" s="70">
        <f>$AB$127*VLOOKUP($AB$11,'PCU Values'!$B$9:$C$16,2,FALSE)</f>
        <v>0</v>
      </c>
      <c r="AK127" s="71">
        <f>SUM($AC$127,$AD$127,$AE$127,$AF$127,$AG$127,$AH$127,$AI$127,$AJ$127)</f>
        <v>0.2</v>
      </c>
      <c r="AL127" s="52">
        <f>SUM($U$127,$V$127,$W$127,$X$127,$Y$127,$Z$127,$AA$127,$AB$127)</f>
        <v>1</v>
      </c>
      <c r="AM127" s="72">
        <v>1</v>
      </c>
      <c r="AN127" s="54">
        <v>0</v>
      </c>
      <c r="AO127" s="54">
        <v>0</v>
      </c>
      <c r="AP127" s="54">
        <v>0</v>
      </c>
      <c r="AQ127" s="54">
        <v>0</v>
      </c>
      <c r="AR127" s="54">
        <v>0</v>
      </c>
      <c r="AS127" s="54">
        <v>0</v>
      </c>
      <c r="AT127" s="61">
        <v>0</v>
      </c>
      <c r="AU127" s="62">
        <f>$AM$127*VLOOKUP($AM$11,'PCU Values'!$B$9:$C$16,2,FALSE)</f>
        <v>1</v>
      </c>
      <c r="AV127" s="62">
        <f>$AN$127*VLOOKUP($AN$11,'PCU Values'!$B$9:$C$16,2,FALSE)</f>
        <v>0</v>
      </c>
      <c r="AW127" s="62">
        <f>$AO$127*VLOOKUP($AO$11,'PCU Values'!$B$9:$C$16,2,FALSE)</f>
        <v>0</v>
      </c>
      <c r="AX127" s="62">
        <f>$AP$127*VLOOKUP($AP$11,'PCU Values'!$B$9:$C$16,2,FALSE)</f>
        <v>0</v>
      </c>
      <c r="AY127" s="62">
        <f>$AQ$127*VLOOKUP($AQ$11,'PCU Values'!$B$9:$C$16,2,FALSE)</f>
        <v>0</v>
      </c>
      <c r="AZ127" s="62">
        <f>$AR$127*VLOOKUP($AR$11,'PCU Values'!$B$9:$C$16,2,FALSE)</f>
        <v>0</v>
      </c>
      <c r="BA127" s="62">
        <f>$AS$127*VLOOKUP($AS$11,'PCU Values'!$B$9:$C$16,2,FALSE)</f>
        <v>0</v>
      </c>
      <c r="BB127" s="70">
        <f>$AT$127*VLOOKUP($AT$11,'PCU Values'!$B$9:$C$16,2,FALSE)</f>
        <v>0</v>
      </c>
      <c r="BC127" s="71">
        <f>SUM($AU$127,$AV$127,$AW$127,$AX$127,$AY$127,$AZ$127,$BA$127,$BB$127)</f>
        <v>1</v>
      </c>
      <c r="BD127" s="52">
        <f>SUM($AM$127,$AN$127,$AO$127,$AP$127,$AQ$127,$AR$127,$AS$127,$AT$127)</f>
        <v>1</v>
      </c>
      <c r="BE127" s="72">
        <v>0</v>
      </c>
      <c r="BF127" s="54">
        <v>0</v>
      </c>
      <c r="BG127" s="54">
        <v>0</v>
      </c>
      <c r="BH127" s="54">
        <v>0</v>
      </c>
      <c r="BI127" s="54">
        <v>0</v>
      </c>
      <c r="BJ127" s="54">
        <v>0</v>
      </c>
      <c r="BK127" s="54">
        <v>0</v>
      </c>
      <c r="BL127" s="61">
        <v>0</v>
      </c>
      <c r="BM127" s="81">
        <f>$BE$127*VLOOKUP($BE$11,'PCU Values'!$B$9:$C$16,2,FALSE)</f>
        <v>0</v>
      </c>
      <c r="BN127" s="81">
        <f>$BF$127*VLOOKUP($BF$11,'PCU Values'!$B$9:$C$16,2,FALSE)</f>
        <v>0</v>
      </c>
      <c r="BO127" s="81">
        <f>$BG$127*VLOOKUP($BG$11,'PCU Values'!$B$9:$C$16,2,FALSE)</f>
        <v>0</v>
      </c>
      <c r="BP127" s="81">
        <f>$BH$127*VLOOKUP($BH$11,'PCU Values'!$B$9:$C$16,2,FALSE)</f>
        <v>0</v>
      </c>
      <c r="BQ127" s="81">
        <f>$BI$127*VLOOKUP($BI$11,'PCU Values'!$B$9:$C$16,2,FALSE)</f>
        <v>0</v>
      </c>
      <c r="BR127" s="81">
        <f>$BJ$127*VLOOKUP($BJ$11,'PCU Values'!$B$9:$C$16,2,FALSE)</f>
        <v>0</v>
      </c>
      <c r="BS127" s="81">
        <f>$BK$127*VLOOKUP($BK$11,'PCU Values'!$B$9:$C$16,2,FALSE)</f>
        <v>0</v>
      </c>
      <c r="BT127" s="82">
        <f>$BL$127*VLOOKUP($BL$11,'PCU Values'!$B$9:$C$16,2,FALSE)</f>
        <v>0</v>
      </c>
      <c r="BU127" s="71">
        <f>SUM($BM$127,$BN$127,$BO$127,$BP$127,$BQ$127,$BR$127,$BS$127,$BT$127)</f>
        <v>0</v>
      </c>
      <c r="BV127" s="52">
        <f>SUM($BE$127,$BF$127,$BG$127,$BH$127,$BI$127,$BJ$127,$BK$127,$BL$127)</f>
        <v>0</v>
      </c>
      <c r="BX127" s="53" t="s">
        <v>123</v>
      </c>
      <c r="BY127" s="85">
        <f>SUM($C$127,$U$127,$AM$127,$BE$127)</f>
        <v>1</v>
      </c>
      <c r="BZ127" s="85">
        <f>SUM($D$127,$V$127,$AN$127,$BF$127)</f>
        <v>0</v>
      </c>
      <c r="CA127" s="85">
        <f>SUM($E$127,$W$127,$AO$127,$BG$127)</f>
        <v>0</v>
      </c>
      <c r="CB127" s="85">
        <f>SUM($F$127,$X$127,$AP$127,$BH$127)</f>
        <v>0</v>
      </c>
      <c r="CC127" s="85">
        <f>SUM($G$127,$Y$127,$AQ$127,$BI$127)</f>
        <v>0</v>
      </c>
      <c r="CD127" s="85">
        <f>SUM($H$127,$Z$127,$AR$127,$BJ$127)</f>
        <v>2</v>
      </c>
      <c r="CE127" s="85">
        <f>SUM($I$127,$AA$127,$AS$127,$BK$127)</f>
        <v>0</v>
      </c>
      <c r="CF127" s="88">
        <f>SUM($J$127,$AB$127,$AT$127,$BL$127)</f>
        <v>0</v>
      </c>
      <c r="CG127" s="81">
        <f>$BY$127*VLOOKUP($BY$11,'PCU Values'!$B$9:$C$16,2,FALSE)</f>
        <v>1</v>
      </c>
      <c r="CH127" s="81">
        <f>$BZ$127*VLOOKUP($BZ$11,'PCU Values'!$B$9:$C$16,2,FALSE)</f>
        <v>0</v>
      </c>
      <c r="CI127" s="81">
        <f>$CA$127*VLOOKUP($CA$11,'PCU Values'!$B$9:$C$16,2,FALSE)</f>
        <v>0</v>
      </c>
      <c r="CJ127" s="81">
        <f>$CB$127*VLOOKUP($CB$11,'PCU Values'!$B$9:$C$16,2,FALSE)</f>
        <v>0</v>
      </c>
      <c r="CK127" s="81">
        <f>$CC$127*VLOOKUP($CC$11,'PCU Values'!$B$9:$C$16,2,FALSE)</f>
        <v>0</v>
      </c>
      <c r="CL127" s="81">
        <f>$CD$127*VLOOKUP($CD$11,'PCU Values'!$B$9:$C$16,2,FALSE)</f>
        <v>0.4</v>
      </c>
      <c r="CM127" s="81">
        <f>$CE$127*VLOOKUP($CE$11,'PCU Values'!$B$9:$C$16,2,FALSE)</f>
        <v>0</v>
      </c>
      <c r="CN127" s="82">
        <f>$CF$127*VLOOKUP($CF$11,'PCU Values'!$B$9:$C$16,2,FALSE)</f>
        <v>0</v>
      </c>
      <c r="CO127" s="71">
        <f>SUM($CG$127,$CH$127,$CI$127,$CJ$127,$CK$127,$CL$127,$CM$127,$CN$127)</f>
        <v>1.4</v>
      </c>
      <c r="CP127" s="52">
        <f>SUM($BY$127,$BZ$127,$CA$127,$CB$127,$CC$127,$CD$127,$CE$127,$CF$127)</f>
        <v>3</v>
      </c>
      <c r="CQ127" s="91">
        <f>SUM('J1 A - (North) Bishopthorpe Roa'!$AM$127,'J1 B - Butcher Terrace'!$U$127,'J1 C - (South) Bishopthorpe Roa'!$C$127,'J1 D - South Bank Avenue'!$BE$127)</f>
        <v>3</v>
      </c>
      <c r="CR127" s="85">
        <f>SUM('J1 A - (North) Bishopthorpe Roa'!$AN$127,'J1 B - Butcher Terrace'!$V$127,'J1 C - (South) Bishopthorpe Roa'!$D$127,'J1 D - South Bank Avenue'!$BF$127)</f>
        <v>0</v>
      </c>
      <c r="CS127" s="85">
        <f>SUM('J1 A - (North) Bishopthorpe Roa'!$AO$127,'J1 B - Butcher Terrace'!$W$127,'J1 C - (South) Bishopthorpe Roa'!$E$127,'J1 D - South Bank Avenue'!$BG$127)</f>
        <v>0</v>
      </c>
      <c r="CT127" s="85">
        <f>SUM('J1 A - (North) Bishopthorpe Roa'!$AP$127,'J1 B - Butcher Terrace'!$X$127,'J1 C - (South) Bishopthorpe Roa'!$F$127,'J1 D - South Bank Avenue'!$BH$127)</f>
        <v>0</v>
      </c>
      <c r="CU127" s="85">
        <f>SUM('J1 A - (North) Bishopthorpe Roa'!$AQ$127,'J1 B - Butcher Terrace'!$Y$127,'J1 C - (South) Bishopthorpe Roa'!$G$127,'J1 D - South Bank Avenue'!$BI$127)</f>
        <v>0</v>
      </c>
      <c r="CV127" s="85">
        <f>SUM('J1 A - (North) Bishopthorpe Roa'!$AR$127,'J1 B - Butcher Terrace'!$Z$127,'J1 C - (South) Bishopthorpe Roa'!$H$127,'J1 D - South Bank Avenue'!$BJ$127)</f>
        <v>3</v>
      </c>
      <c r="CW127" s="85">
        <f>SUM('J1 A - (North) Bishopthorpe Roa'!$AS$127,'J1 B - Butcher Terrace'!$AA$127,'J1 C - (South) Bishopthorpe Roa'!$I$127,'J1 D - South Bank Avenue'!$BK$127)</f>
        <v>0</v>
      </c>
      <c r="CX127" s="88">
        <f>SUM('J1 A - (North) Bishopthorpe Roa'!$AT$127,'J1 B - Butcher Terrace'!$AB$127,'J1 C - (South) Bishopthorpe Roa'!$J$127,'J1 D - South Bank Avenue'!$BL$127)</f>
        <v>0</v>
      </c>
      <c r="CY127" s="81">
        <f>$CQ$127*VLOOKUP($CQ$11,'PCU Values'!$B$9:$C$16,2,FALSE)</f>
        <v>3</v>
      </c>
      <c r="CZ127" s="81">
        <f>$CR$127*VLOOKUP($CR$11,'PCU Values'!$B$9:$C$16,2,FALSE)</f>
        <v>0</v>
      </c>
      <c r="DA127" s="81">
        <f>$CS$127*VLOOKUP($CS$11,'PCU Values'!$B$9:$C$16,2,FALSE)</f>
        <v>0</v>
      </c>
      <c r="DB127" s="81">
        <f>$CT$127*VLOOKUP($CT$11,'PCU Values'!$B$9:$C$16,2,FALSE)</f>
        <v>0</v>
      </c>
      <c r="DC127" s="81">
        <f>$CU$127*VLOOKUP($CU$11,'PCU Values'!$B$9:$C$16,2,FALSE)</f>
        <v>0</v>
      </c>
      <c r="DD127" s="81">
        <f>$CV$127*VLOOKUP($CV$11,'PCU Values'!$B$9:$C$16,2,FALSE)</f>
        <v>0.6</v>
      </c>
      <c r="DE127" s="81">
        <f>$CW$127*VLOOKUP($CW$11,'PCU Values'!$B$9:$C$16,2,FALSE)</f>
        <v>0</v>
      </c>
      <c r="DF127" s="82">
        <f>$CX$127*VLOOKUP($CX$11,'PCU Values'!$B$9:$C$16,2,FALSE)</f>
        <v>0</v>
      </c>
      <c r="DG127" s="71">
        <f>SUM($CY$127,$CZ$127,$DA$127,$DB$127,$DC$127,$DD$127,$DE$127,$DF$127)</f>
        <v>3.6</v>
      </c>
      <c r="DH127" s="52">
        <f>SUM($CQ$127,$CR$127,$CS$127,$CT$127,$CU$127,$CV$127,$CW$127,$CX$127)</f>
        <v>6</v>
      </c>
    </row>
    <row r="128" spans="1:112" ht="21" customHeight="1">
      <c r="A128" s="46">
        <v>44395.96875</v>
      </c>
      <c r="B128" s="47" t="s">
        <v>124</v>
      </c>
      <c r="C128" s="48">
        <v>2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56">
        <v>0</v>
      </c>
      <c r="K128" s="57">
        <f>$C$128*VLOOKUP($C$11,'PCU Values'!$B$9:$C$16,2,FALSE)</f>
        <v>2</v>
      </c>
      <c r="L128" s="57">
        <f>$D$128*VLOOKUP($D$11,'PCU Values'!$B$9:$C$16,2,FALSE)</f>
        <v>0</v>
      </c>
      <c r="M128" s="57">
        <f>$E$128*VLOOKUP($E$11,'PCU Values'!$B$9:$C$16,2,FALSE)</f>
        <v>0</v>
      </c>
      <c r="N128" s="57">
        <f>$F$128*VLOOKUP($F$11,'PCU Values'!$B$9:$C$16,2,FALSE)</f>
        <v>0</v>
      </c>
      <c r="O128" s="57">
        <f>$G$128*VLOOKUP($G$11,'PCU Values'!$B$9:$C$16,2,FALSE)</f>
        <v>0</v>
      </c>
      <c r="P128" s="57">
        <f>$H$128*VLOOKUP($H$11,'PCU Values'!$B$9:$C$16,2,FALSE)</f>
        <v>0</v>
      </c>
      <c r="Q128" s="57">
        <f>$I$128*VLOOKUP($I$11,'PCU Values'!$B$9:$C$16,2,FALSE)</f>
        <v>0</v>
      </c>
      <c r="R128" s="65">
        <f>$J$128*VLOOKUP($J$11,'PCU Values'!$B$9:$C$16,2,FALSE)</f>
        <v>0</v>
      </c>
      <c r="S128" s="66">
        <f>SUM($K$128,$L$128,$M$128,$N$128,$O$128,$P$128,$Q$128,$R$128)</f>
        <v>2</v>
      </c>
      <c r="T128" s="52">
        <f>SUM($C$128,$D$128,$E$128,$F$128,$G$128,$H$128,$I$128,$J$128)</f>
        <v>2</v>
      </c>
      <c r="U128" s="67">
        <v>0</v>
      </c>
      <c r="V128" s="48">
        <v>0</v>
      </c>
      <c r="W128" s="48">
        <v>0</v>
      </c>
      <c r="X128" s="48">
        <v>0</v>
      </c>
      <c r="Y128" s="48">
        <v>0</v>
      </c>
      <c r="Z128" s="48">
        <v>1</v>
      </c>
      <c r="AA128" s="48">
        <v>0</v>
      </c>
      <c r="AB128" s="56">
        <v>0</v>
      </c>
      <c r="AC128" s="57">
        <f>$U$128*VLOOKUP($U$11,'PCU Values'!$B$9:$C$16,2,FALSE)</f>
        <v>0</v>
      </c>
      <c r="AD128" s="57">
        <f>$V$128*VLOOKUP($V$11,'PCU Values'!$B$9:$C$16,2,FALSE)</f>
        <v>0</v>
      </c>
      <c r="AE128" s="57">
        <f>$W$128*VLOOKUP($W$11,'PCU Values'!$B$9:$C$16,2,FALSE)</f>
        <v>0</v>
      </c>
      <c r="AF128" s="57">
        <f>$X$128*VLOOKUP($X$11,'PCU Values'!$B$9:$C$16,2,FALSE)</f>
        <v>0</v>
      </c>
      <c r="AG128" s="57">
        <f>$Y$128*VLOOKUP($Y$11,'PCU Values'!$B$9:$C$16,2,FALSE)</f>
        <v>0</v>
      </c>
      <c r="AH128" s="57">
        <f>$Z$128*VLOOKUP($Z$11,'PCU Values'!$B$9:$C$16,2,FALSE)</f>
        <v>0.2</v>
      </c>
      <c r="AI128" s="57">
        <f>$AA$128*VLOOKUP($AA$11,'PCU Values'!$B$9:$C$16,2,FALSE)</f>
        <v>0</v>
      </c>
      <c r="AJ128" s="65">
        <f>$AB$128*VLOOKUP($AB$11,'PCU Values'!$B$9:$C$16,2,FALSE)</f>
        <v>0</v>
      </c>
      <c r="AK128" s="66">
        <f>SUM($AC$128,$AD$128,$AE$128,$AF$128,$AG$128,$AH$128,$AI$128,$AJ$128)</f>
        <v>0.2</v>
      </c>
      <c r="AL128" s="52">
        <f>SUM($U$128,$V$128,$W$128,$X$128,$Y$128,$Z$128,$AA$128,$AB$128)</f>
        <v>1</v>
      </c>
      <c r="AM128" s="67">
        <v>0</v>
      </c>
      <c r="AN128" s="48">
        <v>0</v>
      </c>
      <c r="AO128" s="48">
        <v>0</v>
      </c>
      <c r="AP128" s="48">
        <v>0</v>
      </c>
      <c r="AQ128" s="48">
        <v>0</v>
      </c>
      <c r="AR128" s="48">
        <v>0</v>
      </c>
      <c r="AS128" s="48">
        <v>0</v>
      </c>
      <c r="AT128" s="56">
        <v>0</v>
      </c>
      <c r="AU128" s="57">
        <f>$AM$128*VLOOKUP($AM$11,'PCU Values'!$B$9:$C$16,2,FALSE)</f>
        <v>0</v>
      </c>
      <c r="AV128" s="57">
        <f>$AN$128*VLOOKUP($AN$11,'PCU Values'!$B$9:$C$16,2,FALSE)</f>
        <v>0</v>
      </c>
      <c r="AW128" s="57">
        <f>$AO$128*VLOOKUP($AO$11,'PCU Values'!$B$9:$C$16,2,FALSE)</f>
        <v>0</v>
      </c>
      <c r="AX128" s="57">
        <f>$AP$128*VLOOKUP($AP$11,'PCU Values'!$B$9:$C$16,2,FALSE)</f>
        <v>0</v>
      </c>
      <c r="AY128" s="57">
        <f>$AQ$128*VLOOKUP($AQ$11,'PCU Values'!$B$9:$C$16,2,FALSE)</f>
        <v>0</v>
      </c>
      <c r="AZ128" s="57">
        <f>$AR$128*VLOOKUP($AR$11,'PCU Values'!$B$9:$C$16,2,FALSE)</f>
        <v>0</v>
      </c>
      <c r="BA128" s="57">
        <f>$AS$128*VLOOKUP($AS$11,'PCU Values'!$B$9:$C$16,2,FALSE)</f>
        <v>0</v>
      </c>
      <c r="BB128" s="65">
        <f>$AT$128*VLOOKUP($AT$11,'PCU Values'!$B$9:$C$16,2,FALSE)</f>
        <v>0</v>
      </c>
      <c r="BC128" s="66">
        <f>SUM($AU$128,$AV$128,$AW$128,$AX$128,$AY$128,$AZ$128,$BA$128,$BB$128)</f>
        <v>0</v>
      </c>
      <c r="BD128" s="52">
        <f>SUM($AM$128,$AN$128,$AO$128,$AP$128,$AQ$128,$AR$128,$AS$128,$AT$128)</f>
        <v>0</v>
      </c>
      <c r="BE128" s="67">
        <v>0</v>
      </c>
      <c r="BF128" s="48">
        <v>0</v>
      </c>
      <c r="BG128" s="48">
        <v>0</v>
      </c>
      <c r="BH128" s="48">
        <v>0</v>
      </c>
      <c r="BI128" s="48">
        <v>0</v>
      </c>
      <c r="BJ128" s="48">
        <v>0</v>
      </c>
      <c r="BK128" s="48">
        <v>0</v>
      </c>
      <c r="BL128" s="56">
        <v>0</v>
      </c>
      <c r="BM128" s="77">
        <f>$BE$128*VLOOKUP($BE$11,'PCU Values'!$B$9:$C$16,2,FALSE)</f>
        <v>0</v>
      </c>
      <c r="BN128" s="77">
        <f>$BF$128*VLOOKUP($BF$11,'PCU Values'!$B$9:$C$16,2,FALSE)</f>
        <v>0</v>
      </c>
      <c r="BO128" s="77">
        <f>$BG$128*VLOOKUP($BG$11,'PCU Values'!$B$9:$C$16,2,FALSE)</f>
        <v>0</v>
      </c>
      <c r="BP128" s="77">
        <f>$BH$128*VLOOKUP($BH$11,'PCU Values'!$B$9:$C$16,2,FALSE)</f>
        <v>0</v>
      </c>
      <c r="BQ128" s="77">
        <f>$BI$128*VLOOKUP($BI$11,'PCU Values'!$B$9:$C$16,2,FALSE)</f>
        <v>0</v>
      </c>
      <c r="BR128" s="77">
        <f>$BJ$128*VLOOKUP($BJ$11,'PCU Values'!$B$9:$C$16,2,FALSE)</f>
        <v>0</v>
      </c>
      <c r="BS128" s="77">
        <f>$BK$128*VLOOKUP($BK$11,'PCU Values'!$B$9:$C$16,2,FALSE)</f>
        <v>0</v>
      </c>
      <c r="BT128" s="78">
        <f>$BL$128*VLOOKUP($BL$11,'PCU Values'!$B$9:$C$16,2,FALSE)</f>
        <v>0</v>
      </c>
      <c r="BU128" s="66">
        <f>SUM($BM$128,$BN$128,$BO$128,$BP$128,$BQ$128,$BR$128,$BS$128,$BT$128)</f>
        <v>0</v>
      </c>
      <c r="BV128" s="52">
        <f>SUM($BE$128,$BF$128,$BG$128,$BH$128,$BI$128,$BJ$128,$BK$128,$BL$128)</f>
        <v>0</v>
      </c>
      <c r="BX128" s="47" t="s">
        <v>124</v>
      </c>
      <c r="BY128" s="83">
        <f>SUM($C$128,$U$128,$AM$128,$BE$128)</f>
        <v>2</v>
      </c>
      <c r="BZ128" s="83">
        <f>SUM($D$128,$V$128,$AN$128,$BF$128)</f>
        <v>0</v>
      </c>
      <c r="CA128" s="83">
        <f>SUM($E$128,$W$128,$AO$128,$BG$128)</f>
        <v>0</v>
      </c>
      <c r="CB128" s="83">
        <f>SUM($F$128,$X$128,$AP$128,$BH$128)</f>
        <v>0</v>
      </c>
      <c r="CC128" s="83">
        <f>SUM($G$128,$Y$128,$AQ$128,$BI$128)</f>
        <v>0</v>
      </c>
      <c r="CD128" s="83">
        <f>SUM($H$128,$Z$128,$AR$128,$BJ$128)</f>
        <v>1</v>
      </c>
      <c r="CE128" s="83">
        <f>SUM($I$128,$AA$128,$AS$128,$BK$128)</f>
        <v>0</v>
      </c>
      <c r="CF128" s="86">
        <f>SUM($J$128,$AB$128,$AT$128,$BL$128)</f>
        <v>0</v>
      </c>
      <c r="CG128" s="77">
        <f>$BY$128*VLOOKUP($BY$11,'PCU Values'!$B$9:$C$16,2,FALSE)</f>
        <v>2</v>
      </c>
      <c r="CH128" s="77">
        <f>$BZ$128*VLOOKUP($BZ$11,'PCU Values'!$B$9:$C$16,2,FALSE)</f>
        <v>0</v>
      </c>
      <c r="CI128" s="77">
        <f>$CA$128*VLOOKUP($CA$11,'PCU Values'!$B$9:$C$16,2,FALSE)</f>
        <v>0</v>
      </c>
      <c r="CJ128" s="77">
        <f>$CB$128*VLOOKUP($CB$11,'PCU Values'!$B$9:$C$16,2,FALSE)</f>
        <v>0</v>
      </c>
      <c r="CK128" s="77">
        <f>$CC$128*VLOOKUP($CC$11,'PCU Values'!$B$9:$C$16,2,FALSE)</f>
        <v>0</v>
      </c>
      <c r="CL128" s="77">
        <f>$CD$128*VLOOKUP($CD$11,'PCU Values'!$B$9:$C$16,2,FALSE)</f>
        <v>0.2</v>
      </c>
      <c r="CM128" s="77">
        <f>$CE$128*VLOOKUP($CE$11,'PCU Values'!$B$9:$C$16,2,FALSE)</f>
        <v>0</v>
      </c>
      <c r="CN128" s="78">
        <f>$CF$128*VLOOKUP($CF$11,'PCU Values'!$B$9:$C$16,2,FALSE)</f>
        <v>0</v>
      </c>
      <c r="CO128" s="66">
        <f>SUM($CG$128,$CH$128,$CI$128,$CJ$128,$CK$128,$CL$128,$CM$128,$CN$128)</f>
        <v>2.2000000000000002</v>
      </c>
      <c r="CP128" s="52">
        <f>SUM($BY$128,$BZ$128,$CA$128,$CB$128,$CC$128,$CD$128,$CE$128,$CF$128)</f>
        <v>3</v>
      </c>
      <c r="CQ128" s="89">
        <f>SUM('J1 A - (North) Bishopthorpe Roa'!$AM$128,'J1 B - Butcher Terrace'!$U$128,'J1 C - (South) Bishopthorpe Roa'!$C$128,'J1 D - South Bank Avenue'!$BE$128)</f>
        <v>3</v>
      </c>
      <c r="CR128" s="83">
        <f>SUM('J1 A - (North) Bishopthorpe Roa'!$AN$128,'J1 B - Butcher Terrace'!$V$128,'J1 C - (South) Bishopthorpe Roa'!$D$128,'J1 D - South Bank Avenue'!$BF$128)</f>
        <v>0</v>
      </c>
      <c r="CS128" s="83">
        <f>SUM('J1 A - (North) Bishopthorpe Roa'!$AO$128,'J1 B - Butcher Terrace'!$W$128,'J1 C - (South) Bishopthorpe Roa'!$E$128,'J1 D - South Bank Avenue'!$BG$128)</f>
        <v>0</v>
      </c>
      <c r="CT128" s="83">
        <f>SUM('J1 A - (North) Bishopthorpe Roa'!$AP$128,'J1 B - Butcher Terrace'!$X$128,'J1 C - (South) Bishopthorpe Roa'!$F$128,'J1 D - South Bank Avenue'!$BH$128)</f>
        <v>0</v>
      </c>
      <c r="CU128" s="83">
        <f>SUM('J1 A - (North) Bishopthorpe Roa'!$AQ$128,'J1 B - Butcher Terrace'!$Y$128,'J1 C - (South) Bishopthorpe Roa'!$G$128,'J1 D - South Bank Avenue'!$BI$128)</f>
        <v>0</v>
      </c>
      <c r="CV128" s="83">
        <f>SUM('J1 A - (North) Bishopthorpe Roa'!$AR$128,'J1 B - Butcher Terrace'!$Z$128,'J1 C - (South) Bishopthorpe Roa'!$H$128,'J1 D - South Bank Avenue'!$BJ$128)</f>
        <v>5</v>
      </c>
      <c r="CW128" s="83">
        <f>SUM('J1 A - (North) Bishopthorpe Roa'!$AS$128,'J1 B - Butcher Terrace'!$AA$128,'J1 C - (South) Bishopthorpe Roa'!$I$128,'J1 D - South Bank Avenue'!$BK$128)</f>
        <v>0</v>
      </c>
      <c r="CX128" s="86">
        <f>SUM('J1 A - (North) Bishopthorpe Roa'!$AT$128,'J1 B - Butcher Terrace'!$AB$128,'J1 C - (South) Bishopthorpe Roa'!$J$128,'J1 D - South Bank Avenue'!$BL$128)</f>
        <v>0</v>
      </c>
      <c r="CY128" s="77">
        <f>$CQ$128*VLOOKUP($CQ$11,'PCU Values'!$B$9:$C$16,2,FALSE)</f>
        <v>3</v>
      </c>
      <c r="CZ128" s="77">
        <f>$CR$128*VLOOKUP($CR$11,'PCU Values'!$B$9:$C$16,2,FALSE)</f>
        <v>0</v>
      </c>
      <c r="DA128" s="77">
        <f>$CS$128*VLOOKUP($CS$11,'PCU Values'!$B$9:$C$16,2,FALSE)</f>
        <v>0</v>
      </c>
      <c r="DB128" s="77">
        <f>$CT$128*VLOOKUP($CT$11,'PCU Values'!$B$9:$C$16,2,FALSE)</f>
        <v>0</v>
      </c>
      <c r="DC128" s="77">
        <f>$CU$128*VLOOKUP($CU$11,'PCU Values'!$B$9:$C$16,2,FALSE)</f>
        <v>0</v>
      </c>
      <c r="DD128" s="77">
        <f>$CV$128*VLOOKUP($CV$11,'PCU Values'!$B$9:$C$16,2,FALSE)</f>
        <v>1</v>
      </c>
      <c r="DE128" s="77">
        <f>$CW$128*VLOOKUP($CW$11,'PCU Values'!$B$9:$C$16,2,FALSE)</f>
        <v>0</v>
      </c>
      <c r="DF128" s="78">
        <f>$CX$128*VLOOKUP($CX$11,'PCU Values'!$B$9:$C$16,2,FALSE)</f>
        <v>0</v>
      </c>
      <c r="DG128" s="66">
        <f>SUM($CY$128,$CZ$128,$DA$128,$DB$128,$DC$128,$DD$128,$DE$128,$DF$128)</f>
        <v>4</v>
      </c>
      <c r="DH128" s="52">
        <f>SUM($CQ$128,$CR$128,$CS$128,$CT$128,$CU$128,$CV$128,$CW$128,$CX$128)</f>
        <v>8</v>
      </c>
    </row>
    <row r="129" spans="1:112" ht="21" customHeight="1">
      <c r="A129" s="46">
        <v>44395.979166666701</v>
      </c>
      <c r="B129" s="47" t="s">
        <v>125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56">
        <v>0</v>
      </c>
      <c r="K129" s="57">
        <f>$C$129*VLOOKUP($C$11,'PCU Values'!$B$9:$C$16,2,FALSE)</f>
        <v>0</v>
      </c>
      <c r="L129" s="57">
        <f>$D$129*VLOOKUP($D$11,'PCU Values'!$B$9:$C$16,2,FALSE)</f>
        <v>0</v>
      </c>
      <c r="M129" s="57">
        <f>$E$129*VLOOKUP($E$11,'PCU Values'!$B$9:$C$16,2,FALSE)</f>
        <v>0</v>
      </c>
      <c r="N129" s="57">
        <f>$F$129*VLOOKUP($F$11,'PCU Values'!$B$9:$C$16,2,FALSE)</f>
        <v>0</v>
      </c>
      <c r="O129" s="57">
        <f>$G$129*VLOOKUP($G$11,'PCU Values'!$B$9:$C$16,2,FALSE)</f>
        <v>0</v>
      </c>
      <c r="P129" s="57">
        <f>$H$129*VLOOKUP($H$11,'PCU Values'!$B$9:$C$16,2,FALSE)</f>
        <v>0</v>
      </c>
      <c r="Q129" s="57">
        <f>$I$129*VLOOKUP($I$11,'PCU Values'!$B$9:$C$16,2,FALSE)</f>
        <v>0</v>
      </c>
      <c r="R129" s="65">
        <f>$J$129*VLOOKUP($J$11,'PCU Values'!$B$9:$C$16,2,FALSE)</f>
        <v>0</v>
      </c>
      <c r="S129" s="66">
        <f>SUM($K$129,$L$129,$M$129,$N$129,$O$129,$P$129,$Q$129,$R$129)</f>
        <v>0</v>
      </c>
      <c r="T129" s="52">
        <f>SUM($C$129,$D$129,$E$129,$F$129,$G$129,$H$129,$I$129,$J$129)</f>
        <v>0</v>
      </c>
      <c r="U129" s="67">
        <v>0</v>
      </c>
      <c r="V129" s="48">
        <v>0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56">
        <v>0</v>
      </c>
      <c r="AC129" s="57">
        <f>$U$129*VLOOKUP($U$11,'PCU Values'!$B$9:$C$16,2,FALSE)</f>
        <v>0</v>
      </c>
      <c r="AD129" s="57">
        <f>$V$129*VLOOKUP($V$11,'PCU Values'!$B$9:$C$16,2,FALSE)</f>
        <v>0</v>
      </c>
      <c r="AE129" s="57">
        <f>$W$129*VLOOKUP($W$11,'PCU Values'!$B$9:$C$16,2,FALSE)</f>
        <v>0</v>
      </c>
      <c r="AF129" s="57">
        <f>$X$129*VLOOKUP($X$11,'PCU Values'!$B$9:$C$16,2,FALSE)</f>
        <v>0</v>
      </c>
      <c r="AG129" s="57">
        <f>$Y$129*VLOOKUP($Y$11,'PCU Values'!$B$9:$C$16,2,FALSE)</f>
        <v>0</v>
      </c>
      <c r="AH129" s="57">
        <f>$Z$129*VLOOKUP($Z$11,'PCU Values'!$B$9:$C$16,2,FALSE)</f>
        <v>0</v>
      </c>
      <c r="AI129" s="57">
        <f>$AA$129*VLOOKUP($AA$11,'PCU Values'!$B$9:$C$16,2,FALSE)</f>
        <v>0</v>
      </c>
      <c r="AJ129" s="65">
        <f>$AB$129*VLOOKUP($AB$11,'PCU Values'!$B$9:$C$16,2,FALSE)</f>
        <v>0</v>
      </c>
      <c r="AK129" s="66">
        <f>SUM($AC$129,$AD$129,$AE$129,$AF$129,$AG$129,$AH$129,$AI$129,$AJ$129)</f>
        <v>0</v>
      </c>
      <c r="AL129" s="52">
        <f>SUM($U$129,$V$129,$W$129,$X$129,$Y$129,$Z$129,$AA$129,$AB$129)</f>
        <v>0</v>
      </c>
      <c r="AM129" s="67">
        <v>0</v>
      </c>
      <c r="AN129" s="48">
        <v>0</v>
      </c>
      <c r="AO129" s="48">
        <v>0</v>
      </c>
      <c r="AP129" s="48">
        <v>0</v>
      </c>
      <c r="AQ129" s="48">
        <v>0</v>
      </c>
      <c r="AR129" s="48">
        <v>0</v>
      </c>
      <c r="AS129" s="48">
        <v>0</v>
      </c>
      <c r="AT129" s="56">
        <v>0</v>
      </c>
      <c r="AU129" s="57">
        <f>$AM$129*VLOOKUP($AM$11,'PCU Values'!$B$9:$C$16,2,FALSE)</f>
        <v>0</v>
      </c>
      <c r="AV129" s="57">
        <f>$AN$129*VLOOKUP($AN$11,'PCU Values'!$B$9:$C$16,2,FALSE)</f>
        <v>0</v>
      </c>
      <c r="AW129" s="57">
        <f>$AO$129*VLOOKUP($AO$11,'PCU Values'!$B$9:$C$16,2,FALSE)</f>
        <v>0</v>
      </c>
      <c r="AX129" s="57">
        <f>$AP$129*VLOOKUP($AP$11,'PCU Values'!$B$9:$C$16,2,FALSE)</f>
        <v>0</v>
      </c>
      <c r="AY129" s="57">
        <f>$AQ$129*VLOOKUP($AQ$11,'PCU Values'!$B$9:$C$16,2,FALSE)</f>
        <v>0</v>
      </c>
      <c r="AZ129" s="57">
        <f>$AR$129*VLOOKUP($AR$11,'PCU Values'!$B$9:$C$16,2,FALSE)</f>
        <v>0</v>
      </c>
      <c r="BA129" s="57">
        <f>$AS$129*VLOOKUP($AS$11,'PCU Values'!$B$9:$C$16,2,FALSE)</f>
        <v>0</v>
      </c>
      <c r="BB129" s="65">
        <f>$AT$129*VLOOKUP($AT$11,'PCU Values'!$B$9:$C$16,2,FALSE)</f>
        <v>0</v>
      </c>
      <c r="BC129" s="66">
        <f>SUM($AU$129,$AV$129,$AW$129,$AX$129,$AY$129,$AZ$129,$BA$129,$BB$129)</f>
        <v>0</v>
      </c>
      <c r="BD129" s="52">
        <f>SUM($AM$129,$AN$129,$AO$129,$AP$129,$AQ$129,$AR$129,$AS$129,$AT$129)</f>
        <v>0</v>
      </c>
      <c r="BE129" s="67">
        <v>0</v>
      </c>
      <c r="BF129" s="48">
        <v>0</v>
      </c>
      <c r="BG129" s="48">
        <v>0</v>
      </c>
      <c r="BH129" s="48">
        <v>0</v>
      </c>
      <c r="BI129" s="48">
        <v>0</v>
      </c>
      <c r="BJ129" s="48">
        <v>0</v>
      </c>
      <c r="BK129" s="48">
        <v>0</v>
      </c>
      <c r="BL129" s="56">
        <v>0</v>
      </c>
      <c r="BM129" s="77">
        <f>$BE$129*VLOOKUP($BE$11,'PCU Values'!$B$9:$C$16,2,FALSE)</f>
        <v>0</v>
      </c>
      <c r="BN129" s="77">
        <f>$BF$129*VLOOKUP($BF$11,'PCU Values'!$B$9:$C$16,2,FALSE)</f>
        <v>0</v>
      </c>
      <c r="BO129" s="77">
        <f>$BG$129*VLOOKUP($BG$11,'PCU Values'!$B$9:$C$16,2,FALSE)</f>
        <v>0</v>
      </c>
      <c r="BP129" s="77">
        <f>$BH$129*VLOOKUP($BH$11,'PCU Values'!$B$9:$C$16,2,FALSE)</f>
        <v>0</v>
      </c>
      <c r="BQ129" s="77">
        <f>$BI$129*VLOOKUP($BI$11,'PCU Values'!$B$9:$C$16,2,FALSE)</f>
        <v>0</v>
      </c>
      <c r="BR129" s="77">
        <f>$BJ$129*VLOOKUP($BJ$11,'PCU Values'!$B$9:$C$16,2,FALSE)</f>
        <v>0</v>
      </c>
      <c r="BS129" s="77">
        <f>$BK$129*VLOOKUP($BK$11,'PCU Values'!$B$9:$C$16,2,FALSE)</f>
        <v>0</v>
      </c>
      <c r="BT129" s="78">
        <f>$BL$129*VLOOKUP($BL$11,'PCU Values'!$B$9:$C$16,2,FALSE)</f>
        <v>0</v>
      </c>
      <c r="BU129" s="66">
        <f>SUM($BM$129,$BN$129,$BO$129,$BP$129,$BQ$129,$BR$129,$BS$129,$BT$129)</f>
        <v>0</v>
      </c>
      <c r="BV129" s="52">
        <f>SUM($BE$129,$BF$129,$BG$129,$BH$129,$BI$129,$BJ$129,$BK$129,$BL$129)</f>
        <v>0</v>
      </c>
      <c r="BX129" s="47" t="s">
        <v>125</v>
      </c>
      <c r="BY129" s="83">
        <f>SUM($C$129,$U$129,$AM$129,$BE$129)</f>
        <v>0</v>
      </c>
      <c r="BZ129" s="83">
        <f>SUM($D$129,$V$129,$AN$129,$BF$129)</f>
        <v>0</v>
      </c>
      <c r="CA129" s="83">
        <f>SUM($E$129,$W$129,$AO$129,$BG$129)</f>
        <v>0</v>
      </c>
      <c r="CB129" s="83">
        <f>SUM($F$129,$X$129,$AP$129,$BH$129)</f>
        <v>0</v>
      </c>
      <c r="CC129" s="83">
        <f>SUM($G$129,$Y$129,$AQ$129,$BI$129)</f>
        <v>0</v>
      </c>
      <c r="CD129" s="83">
        <f>SUM($H$129,$Z$129,$AR$129,$BJ$129)</f>
        <v>0</v>
      </c>
      <c r="CE129" s="83">
        <f>SUM($I$129,$AA$129,$AS$129,$BK$129)</f>
        <v>0</v>
      </c>
      <c r="CF129" s="86">
        <f>SUM($J$129,$AB$129,$AT$129,$BL$129)</f>
        <v>0</v>
      </c>
      <c r="CG129" s="77">
        <f>$BY$129*VLOOKUP($BY$11,'PCU Values'!$B$9:$C$16,2,FALSE)</f>
        <v>0</v>
      </c>
      <c r="CH129" s="77">
        <f>$BZ$129*VLOOKUP($BZ$11,'PCU Values'!$B$9:$C$16,2,FALSE)</f>
        <v>0</v>
      </c>
      <c r="CI129" s="77">
        <f>$CA$129*VLOOKUP($CA$11,'PCU Values'!$B$9:$C$16,2,FALSE)</f>
        <v>0</v>
      </c>
      <c r="CJ129" s="77">
        <f>$CB$129*VLOOKUP($CB$11,'PCU Values'!$B$9:$C$16,2,FALSE)</f>
        <v>0</v>
      </c>
      <c r="CK129" s="77">
        <f>$CC$129*VLOOKUP($CC$11,'PCU Values'!$B$9:$C$16,2,FALSE)</f>
        <v>0</v>
      </c>
      <c r="CL129" s="77">
        <f>$CD$129*VLOOKUP($CD$11,'PCU Values'!$B$9:$C$16,2,FALSE)</f>
        <v>0</v>
      </c>
      <c r="CM129" s="77">
        <f>$CE$129*VLOOKUP($CE$11,'PCU Values'!$B$9:$C$16,2,FALSE)</f>
        <v>0</v>
      </c>
      <c r="CN129" s="78">
        <f>$CF$129*VLOOKUP($CF$11,'PCU Values'!$B$9:$C$16,2,FALSE)</f>
        <v>0</v>
      </c>
      <c r="CO129" s="66">
        <f>SUM($CG$129,$CH$129,$CI$129,$CJ$129,$CK$129,$CL$129,$CM$129,$CN$129)</f>
        <v>0</v>
      </c>
      <c r="CP129" s="52">
        <f>SUM($BY$129,$BZ$129,$CA$129,$CB$129,$CC$129,$CD$129,$CE$129,$CF$129)</f>
        <v>0</v>
      </c>
      <c r="CQ129" s="89">
        <f>SUM('J1 A - (North) Bishopthorpe Roa'!$AM$129,'J1 B - Butcher Terrace'!$U$129,'J1 C - (South) Bishopthorpe Roa'!$C$129,'J1 D - South Bank Avenue'!$BE$129)</f>
        <v>3</v>
      </c>
      <c r="CR129" s="83">
        <f>SUM('J1 A - (North) Bishopthorpe Roa'!$AN$129,'J1 B - Butcher Terrace'!$V$129,'J1 C - (South) Bishopthorpe Roa'!$D$129,'J1 D - South Bank Avenue'!$BF$129)</f>
        <v>0</v>
      </c>
      <c r="CS129" s="83">
        <f>SUM('J1 A - (North) Bishopthorpe Roa'!$AO$129,'J1 B - Butcher Terrace'!$W$129,'J1 C - (South) Bishopthorpe Roa'!$E$129,'J1 D - South Bank Avenue'!$BG$129)</f>
        <v>0</v>
      </c>
      <c r="CT129" s="83">
        <f>SUM('J1 A - (North) Bishopthorpe Roa'!$AP$129,'J1 B - Butcher Terrace'!$X$129,'J1 C - (South) Bishopthorpe Roa'!$F$129,'J1 D - South Bank Avenue'!$BH$129)</f>
        <v>0</v>
      </c>
      <c r="CU129" s="83">
        <f>SUM('J1 A - (North) Bishopthorpe Roa'!$AQ$129,'J1 B - Butcher Terrace'!$Y$129,'J1 C - (South) Bishopthorpe Roa'!$G$129,'J1 D - South Bank Avenue'!$BI$129)</f>
        <v>0</v>
      </c>
      <c r="CV129" s="83">
        <f>SUM('J1 A - (North) Bishopthorpe Roa'!$AR$129,'J1 B - Butcher Terrace'!$Z$129,'J1 C - (South) Bishopthorpe Roa'!$H$129,'J1 D - South Bank Avenue'!$BJ$129)</f>
        <v>5</v>
      </c>
      <c r="CW129" s="83">
        <f>SUM('J1 A - (North) Bishopthorpe Roa'!$AS$129,'J1 B - Butcher Terrace'!$AA$129,'J1 C - (South) Bishopthorpe Roa'!$I$129,'J1 D - South Bank Avenue'!$BK$129)</f>
        <v>0</v>
      </c>
      <c r="CX129" s="86">
        <f>SUM('J1 A - (North) Bishopthorpe Roa'!$AT$129,'J1 B - Butcher Terrace'!$AB$129,'J1 C - (South) Bishopthorpe Roa'!$J$129,'J1 D - South Bank Avenue'!$BL$129)</f>
        <v>0</v>
      </c>
      <c r="CY129" s="77">
        <f>$CQ$129*VLOOKUP($CQ$11,'PCU Values'!$B$9:$C$16,2,FALSE)</f>
        <v>3</v>
      </c>
      <c r="CZ129" s="77">
        <f>$CR$129*VLOOKUP($CR$11,'PCU Values'!$B$9:$C$16,2,FALSE)</f>
        <v>0</v>
      </c>
      <c r="DA129" s="77">
        <f>$CS$129*VLOOKUP($CS$11,'PCU Values'!$B$9:$C$16,2,FALSE)</f>
        <v>0</v>
      </c>
      <c r="DB129" s="77">
        <f>$CT$129*VLOOKUP($CT$11,'PCU Values'!$B$9:$C$16,2,FALSE)</f>
        <v>0</v>
      </c>
      <c r="DC129" s="77">
        <f>$CU$129*VLOOKUP($CU$11,'PCU Values'!$B$9:$C$16,2,FALSE)</f>
        <v>0</v>
      </c>
      <c r="DD129" s="77">
        <f>$CV$129*VLOOKUP($CV$11,'PCU Values'!$B$9:$C$16,2,FALSE)</f>
        <v>1</v>
      </c>
      <c r="DE129" s="77">
        <f>$CW$129*VLOOKUP($CW$11,'PCU Values'!$B$9:$C$16,2,FALSE)</f>
        <v>0</v>
      </c>
      <c r="DF129" s="78">
        <f>$CX$129*VLOOKUP($CX$11,'PCU Values'!$B$9:$C$16,2,FALSE)</f>
        <v>0</v>
      </c>
      <c r="DG129" s="66">
        <f>SUM($CY$129,$CZ$129,$DA$129,$DB$129,$DC$129,$DD$129,$DE$129,$DF$129)</f>
        <v>4</v>
      </c>
      <c r="DH129" s="52">
        <f>SUM($CQ$129,$CR$129,$CS$129,$CT$129,$CU$129,$CV$129,$CW$129,$CX$129)</f>
        <v>8</v>
      </c>
    </row>
    <row r="130" spans="1:112" ht="21" customHeight="1">
      <c r="A130" s="46">
        <v>44395.989583333299</v>
      </c>
      <c r="B130" s="50" t="s">
        <v>126</v>
      </c>
      <c r="C130" s="51">
        <v>3</v>
      </c>
      <c r="D130" s="51">
        <v>0</v>
      </c>
      <c r="E130" s="51">
        <v>0</v>
      </c>
      <c r="F130" s="51">
        <v>0</v>
      </c>
      <c r="G130" s="51">
        <v>0</v>
      </c>
      <c r="H130" s="51">
        <v>0</v>
      </c>
      <c r="I130" s="51">
        <v>0</v>
      </c>
      <c r="J130" s="59">
        <v>0</v>
      </c>
      <c r="K130" s="60">
        <f>$C$130*VLOOKUP($C$11,'PCU Values'!$B$9:$C$16,2,FALSE)</f>
        <v>3</v>
      </c>
      <c r="L130" s="60">
        <f>$D$130*VLOOKUP($D$11,'PCU Values'!$B$9:$C$16,2,FALSE)</f>
        <v>0</v>
      </c>
      <c r="M130" s="60">
        <f>$E$130*VLOOKUP($E$11,'PCU Values'!$B$9:$C$16,2,FALSE)</f>
        <v>0</v>
      </c>
      <c r="N130" s="60">
        <f>$F$130*VLOOKUP($F$11,'PCU Values'!$B$9:$C$16,2,FALSE)</f>
        <v>0</v>
      </c>
      <c r="O130" s="60">
        <f>$G$130*VLOOKUP($G$11,'PCU Values'!$B$9:$C$16,2,FALSE)</f>
        <v>0</v>
      </c>
      <c r="P130" s="60">
        <f>$H$130*VLOOKUP($H$11,'PCU Values'!$B$9:$C$16,2,FALSE)</f>
        <v>0</v>
      </c>
      <c r="Q130" s="60">
        <f>$I$130*VLOOKUP($I$11,'PCU Values'!$B$9:$C$16,2,FALSE)</f>
        <v>0</v>
      </c>
      <c r="R130" s="68">
        <f>$J$130*VLOOKUP($J$11,'PCU Values'!$B$9:$C$16,2,FALSE)</f>
        <v>0</v>
      </c>
      <c r="S130" s="63">
        <f>SUM($K$130,$L$130,$M$130,$N$130,$O$130,$P$130,$Q$130,$R$130)</f>
        <v>3</v>
      </c>
      <c r="T130" s="52">
        <f>SUM($C$130,$D$130,$E$130,$F$130,$G$130,$H$130,$I$130,$J$130)</f>
        <v>3</v>
      </c>
      <c r="U130" s="73">
        <v>0</v>
      </c>
      <c r="V130" s="51">
        <v>0</v>
      </c>
      <c r="W130" s="51">
        <v>0</v>
      </c>
      <c r="X130" s="51">
        <v>0</v>
      </c>
      <c r="Y130" s="51">
        <v>0</v>
      </c>
      <c r="Z130" s="51">
        <v>2</v>
      </c>
      <c r="AA130" s="51">
        <v>0</v>
      </c>
      <c r="AB130" s="59">
        <v>0</v>
      </c>
      <c r="AC130" s="60">
        <f>$U$130*VLOOKUP($U$11,'PCU Values'!$B$9:$C$16,2,FALSE)</f>
        <v>0</v>
      </c>
      <c r="AD130" s="60">
        <f>$V$130*VLOOKUP($V$11,'PCU Values'!$B$9:$C$16,2,FALSE)</f>
        <v>0</v>
      </c>
      <c r="AE130" s="60">
        <f>$W$130*VLOOKUP($W$11,'PCU Values'!$B$9:$C$16,2,FALSE)</f>
        <v>0</v>
      </c>
      <c r="AF130" s="60">
        <f>$X$130*VLOOKUP($X$11,'PCU Values'!$B$9:$C$16,2,FALSE)</f>
        <v>0</v>
      </c>
      <c r="AG130" s="60">
        <f>$Y$130*VLOOKUP($Y$11,'PCU Values'!$B$9:$C$16,2,FALSE)</f>
        <v>0</v>
      </c>
      <c r="AH130" s="60">
        <f>$Z$130*VLOOKUP($Z$11,'PCU Values'!$B$9:$C$16,2,FALSE)</f>
        <v>0.4</v>
      </c>
      <c r="AI130" s="60">
        <f>$AA$130*VLOOKUP($AA$11,'PCU Values'!$B$9:$C$16,2,FALSE)</f>
        <v>0</v>
      </c>
      <c r="AJ130" s="68">
        <f>$AB$130*VLOOKUP($AB$11,'PCU Values'!$B$9:$C$16,2,FALSE)</f>
        <v>0</v>
      </c>
      <c r="AK130" s="63">
        <f>SUM($AC$130,$AD$130,$AE$130,$AF$130,$AG$130,$AH$130,$AI$130,$AJ$130)</f>
        <v>0.4</v>
      </c>
      <c r="AL130" s="52">
        <f>SUM($U$130,$V$130,$W$130,$X$130,$Y$130,$Z$130,$AA$130,$AB$130)</f>
        <v>2</v>
      </c>
      <c r="AM130" s="73">
        <v>0</v>
      </c>
      <c r="AN130" s="51">
        <v>0</v>
      </c>
      <c r="AO130" s="51">
        <v>0</v>
      </c>
      <c r="AP130" s="51">
        <v>0</v>
      </c>
      <c r="AQ130" s="51">
        <v>0</v>
      </c>
      <c r="AR130" s="51">
        <v>0</v>
      </c>
      <c r="AS130" s="51">
        <v>0</v>
      </c>
      <c r="AT130" s="59">
        <v>0</v>
      </c>
      <c r="AU130" s="60">
        <f>$AM$130*VLOOKUP($AM$11,'PCU Values'!$B$9:$C$16,2,FALSE)</f>
        <v>0</v>
      </c>
      <c r="AV130" s="60">
        <f>$AN$130*VLOOKUP($AN$11,'PCU Values'!$B$9:$C$16,2,FALSE)</f>
        <v>0</v>
      </c>
      <c r="AW130" s="60">
        <f>$AO$130*VLOOKUP($AO$11,'PCU Values'!$B$9:$C$16,2,FALSE)</f>
        <v>0</v>
      </c>
      <c r="AX130" s="60">
        <f>$AP$130*VLOOKUP($AP$11,'PCU Values'!$B$9:$C$16,2,FALSE)</f>
        <v>0</v>
      </c>
      <c r="AY130" s="60">
        <f>$AQ$130*VLOOKUP($AQ$11,'PCU Values'!$B$9:$C$16,2,FALSE)</f>
        <v>0</v>
      </c>
      <c r="AZ130" s="60">
        <f>$AR$130*VLOOKUP($AR$11,'PCU Values'!$B$9:$C$16,2,FALSE)</f>
        <v>0</v>
      </c>
      <c r="BA130" s="60">
        <f>$AS$130*VLOOKUP($AS$11,'PCU Values'!$B$9:$C$16,2,FALSE)</f>
        <v>0</v>
      </c>
      <c r="BB130" s="68">
        <f>$AT$130*VLOOKUP($AT$11,'PCU Values'!$B$9:$C$16,2,FALSE)</f>
        <v>0</v>
      </c>
      <c r="BC130" s="63">
        <f>SUM($AU$130,$AV$130,$AW$130,$AX$130,$AY$130,$AZ$130,$BA$130,$BB$130)</f>
        <v>0</v>
      </c>
      <c r="BD130" s="52">
        <f>SUM($AM$130,$AN$130,$AO$130,$AP$130,$AQ$130,$AR$130,$AS$130,$AT$130)</f>
        <v>0</v>
      </c>
      <c r="BE130" s="73">
        <v>0</v>
      </c>
      <c r="BF130" s="51">
        <v>0</v>
      </c>
      <c r="BG130" s="51">
        <v>0</v>
      </c>
      <c r="BH130" s="51">
        <v>0</v>
      </c>
      <c r="BI130" s="51">
        <v>0</v>
      </c>
      <c r="BJ130" s="51">
        <v>0</v>
      </c>
      <c r="BK130" s="51">
        <v>0</v>
      </c>
      <c r="BL130" s="59">
        <v>0</v>
      </c>
      <c r="BM130" s="79">
        <f>$BE$130*VLOOKUP($BE$11,'PCU Values'!$B$9:$C$16,2,FALSE)</f>
        <v>0</v>
      </c>
      <c r="BN130" s="79">
        <f>$BF$130*VLOOKUP($BF$11,'PCU Values'!$B$9:$C$16,2,FALSE)</f>
        <v>0</v>
      </c>
      <c r="BO130" s="79">
        <f>$BG$130*VLOOKUP($BG$11,'PCU Values'!$B$9:$C$16,2,FALSE)</f>
        <v>0</v>
      </c>
      <c r="BP130" s="79">
        <f>$BH$130*VLOOKUP($BH$11,'PCU Values'!$B$9:$C$16,2,FALSE)</f>
        <v>0</v>
      </c>
      <c r="BQ130" s="79">
        <f>$BI$130*VLOOKUP($BI$11,'PCU Values'!$B$9:$C$16,2,FALSE)</f>
        <v>0</v>
      </c>
      <c r="BR130" s="79">
        <f>$BJ$130*VLOOKUP($BJ$11,'PCU Values'!$B$9:$C$16,2,FALSE)</f>
        <v>0</v>
      </c>
      <c r="BS130" s="79">
        <f>$BK$130*VLOOKUP($BK$11,'PCU Values'!$B$9:$C$16,2,FALSE)</f>
        <v>0</v>
      </c>
      <c r="BT130" s="80">
        <f>$BL$130*VLOOKUP($BL$11,'PCU Values'!$B$9:$C$16,2,FALSE)</f>
        <v>0</v>
      </c>
      <c r="BU130" s="63">
        <f>SUM($BM$130,$BN$130,$BO$130,$BP$130,$BQ$130,$BR$130,$BS$130,$BT$130)</f>
        <v>0</v>
      </c>
      <c r="BV130" s="52">
        <f>SUM($BE$130,$BF$130,$BG$130,$BH$130,$BI$130,$BJ$130,$BK$130,$BL$130)</f>
        <v>0</v>
      </c>
      <c r="BX130" s="50" t="s">
        <v>126</v>
      </c>
      <c r="BY130" s="84">
        <f>SUM($C$130,$U$130,$AM$130,$BE$130)</f>
        <v>3</v>
      </c>
      <c r="BZ130" s="84">
        <f>SUM($D$130,$V$130,$AN$130,$BF$130)</f>
        <v>0</v>
      </c>
      <c r="CA130" s="84">
        <f>SUM($E$130,$W$130,$AO$130,$BG$130)</f>
        <v>0</v>
      </c>
      <c r="CB130" s="84">
        <f>SUM($F$130,$X$130,$AP$130,$BH$130)</f>
        <v>0</v>
      </c>
      <c r="CC130" s="84">
        <f>SUM($G$130,$Y$130,$AQ$130,$BI$130)</f>
        <v>0</v>
      </c>
      <c r="CD130" s="84">
        <f>SUM($H$130,$Z$130,$AR$130,$BJ$130)</f>
        <v>2</v>
      </c>
      <c r="CE130" s="84">
        <f>SUM($I$130,$AA$130,$AS$130,$BK$130)</f>
        <v>0</v>
      </c>
      <c r="CF130" s="87">
        <f>SUM($J$130,$AB$130,$AT$130,$BL$130)</f>
        <v>0</v>
      </c>
      <c r="CG130" s="79">
        <f>$BY$130*VLOOKUP($BY$11,'PCU Values'!$B$9:$C$16,2,FALSE)</f>
        <v>3</v>
      </c>
      <c r="CH130" s="79">
        <f>$BZ$130*VLOOKUP($BZ$11,'PCU Values'!$B$9:$C$16,2,FALSE)</f>
        <v>0</v>
      </c>
      <c r="CI130" s="79">
        <f>$CA$130*VLOOKUP($CA$11,'PCU Values'!$B$9:$C$16,2,FALSE)</f>
        <v>0</v>
      </c>
      <c r="CJ130" s="79">
        <f>$CB$130*VLOOKUP($CB$11,'PCU Values'!$B$9:$C$16,2,FALSE)</f>
        <v>0</v>
      </c>
      <c r="CK130" s="79">
        <f>$CC$130*VLOOKUP($CC$11,'PCU Values'!$B$9:$C$16,2,FALSE)</f>
        <v>0</v>
      </c>
      <c r="CL130" s="79">
        <f>$CD$130*VLOOKUP($CD$11,'PCU Values'!$B$9:$C$16,2,FALSE)</f>
        <v>0.4</v>
      </c>
      <c r="CM130" s="79">
        <f>$CE$130*VLOOKUP($CE$11,'PCU Values'!$B$9:$C$16,2,FALSE)</f>
        <v>0</v>
      </c>
      <c r="CN130" s="80">
        <f>$CF$130*VLOOKUP($CF$11,'PCU Values'!$B$9:$C$16,2,FALSE)</f>
        <v>0</v>
      </c>
      <c r="CO130" s="63">
        <f>SUM($CG$130,$CH$130,$CI$130,$CJ$130,$CK$130,$CL$130,$CM$130,$CN$130)</f>
        <v>3.4</v>
      </c>
      <c r="CP130" s="52">
        <f>SUM($BY$130,$BZ$130,$CA$130,$CB$130,$CC$130,$CD$130,$CE$130,$CF$130)</f>
        <v>5</v>
      </c>
      <c r="CQ130" s="90">
        <f>SUM('J1 A - (North) Bishopthorpe Roa'!$AM$130,'J1 B - Butcher Terrace'!$U$130,'J1 C - (South) Bishopthorpe Roa'!$C$130,'J1 D - South Bank Avenue'!$BE$130)</f>
        <v>0</v>
      </c>
      <c r="CR130" s="84">
        <f>SUM('J1 A - (North) Bishopthorpe Roa'!$AN$130,'J1 B - Butcher Terrace'!$V$130,'J1 C - (South) Bishopthorpe Roa'!$D$130,'J1 D - South Bank Avenue'!$BF$130)</f>
        <v>0</v>
      </c>
      <c r="CS130" s="84">
        <f>SUM('J1 A - (North) Bishopthorpe Roa'!$AO$130,'J1 B - Butcher Terrace'!$W$130,'J1 C - (South) Bishopthorpe Roa'!$E$130,'J1 D - South Bank Avenue'!$BG$130)</f>
        <v>0</v>
      </c>
      <c r="CT130" s="84">
        <f>SUM('J1 A - (North) Bishopthorpe Roa'!$AP$130,'J1 B - Butcher Terrace'!$X$130,'J1 C - (South) Bishopthorpe Roa'!$F$130,'J1 D - South Bank Avenue'!$BH$130)</f>
        <v>0</v>
      </c>
      <c r="CU130" s="84">
        <f>SUM('J1 A - (North) Bishopthorpe Roa'!$AQ$130,'J1 B - Butcher Terrace'!$Y$130,'J1 C - (South) Bishopthorpe Roa'!$G$130,'J1 D - South Bank Avenue'!$BI$130)</f>
        <v>0</v>
      </c>
      <c r="CV130" s="84">
        <f>SUM('J1 A - (North) Bishopthorpe Roa'!$AR$130,'J1 B - Butcher Terrace'!$Z$130,'J1 C - (South) Bishopthorpe Roa'!$H$130,'J1 D - South Bank Avenue'!$BJ$130)</f>
        <v>2</v>
      </c>
      <c r="CW130" s="84">
        <f>SUM('J1 A - (North) Bishopthorpe Roa'!$AS$130,'J1 B - Butcher Terrace'!$AA$130,'J1 C - (South) Bishopthorpe Roa'!$I$130,'J1 D - South Bank Avenue'!$BK$130)</f>
        <v>0</v>
      </c>
      <c r="CX130" s="87">
        <f>SUM('J1 A - (North) Bishopthorpe Roa'!$AT$130,'J1 B - Butcher Terrace'!$AB$130,'J1 C - (South) Bishopthorpe Roa'!$J$130,'J1 D - South Bank Avenue'!$BL$130)</f>
        <v>0</v>
      </c>
      <c r="CY130" s="79">
        <f>$CQ$130*VLOOKUP($CQ$11,'PCU Values'!$B$9:$C$16,2,FALSE)</f>
        <v>0</v>
      </c>
      <c r="CZ130" s="79">
        <f>$CR$130*VLOOKUP($CR$11,'PCU Values'!$B$9:$C$16,2,FALSE)</f>
        <v>0</v>
      </c>
      <c r="DA130" s="79">
        <f>$CS$130*VLOOKUP($CS$11,'PCU Values'!$B$9:$C$16,2,FALSE)</f>
        <v>0</v>
      </c>
      <c r="DB130" s="79">
        <f>$CT$130*VLOOKUP($CT$11,'PCU Values'!$B$9:$C$16,2,FALSE)</f>
        <v>0</v>
      </c>
      <c r="DC130" s="79">
        <f>$CU$130*VLOOKUP($CU$11,'PCU Values'!$B$9:$C$16,2,FALSE)</f>
        <v>0</v>
      </c>
      <c r="DD130" s="79">
        <f>$CV$130*VLOOKUP($CV$11,'PCU Values'!$B$9:$C$16,2,FALSE)</f>
        <v>0.4</v>
      </c>
      <c r="DE130" s="79">
        <f>$CW$130*VLOOKUP($CW$11,'PCU Values'!$B$9:$C$16,2,FALSE)</f>
        <v>0</v>
      </c>
      <c r="DF130" s="80">
        <f>$CX$130*VLOOKUP($CX$11,'PCU Values'!$B$9:$C$16,2,FALSE)</f>
        <v>0</v>
      </c>
      <c r="DG130" s="63">
        <f>SUM($CY$130,$CZ$130,$DA$130,$DB$130,$DC$130,$DD$130,$DE$130,$DF$130)</f>
        <v>0.4</v>
      </c>
      <c r="DH130" s="52">
        <f>SUM($CQ$130,$CR$130,$CS$130,$CT$130,$CU$130,$CV$130,$CW$130,$CX$130)</f>
        <v>2</v>
      </c>
    </row>
    <row r="131" spans="1:112">
      <c r="B131" s="52" t="s">
        <v>34</v>
      </c>
      <c r="C131" s="52">
        <f>SUM($C$127:$C$130)</f>
        <v>5</v>
      </c>
      <c r="D131" s="52">
        <f>SUM($D$127:$D$130)</f>
        <v>0</v>
      </c>
      <c r="E131" s="52">
        <f>SUM($E$127:$E$130)</f>
        <v>0</v>
      </c>
      <c r="F131" s="52">
        <f>SUM($F$127:$F$130)</f>
        <v>0</v>
      </c>
      <c r="G131" s="52">
        <f>SUM($G$127:$G$130)</f>
        <v>0</v>
      </c>
      <c r="H131" s="52">
        <f>SUM($H$127:$H$130)</f>
        <v>1</v>
      </c>
      <c r="I131" s="52">
        <f>SUM($I$127:$I$130)</f>
        <v>0</v>
      </c>
      <c r="J131" s="52">
        <f>SUM($J$127:$J$130)</f>
        <v>0</v>
      </c>
      <c r="K131" s="52">
        <f>SUM($K$127:$K$130)</f>
        <v>5</v>
      </c>
      <c r="L131" s="52">
        <f>SUM($L$127:$L$130)</f>
        <v>0</v>
      </c>
      <c r="M131" s="52">
        <f>SUM($M$127:$M$130)</f>
        <v>0</v>
      </c>
      <c r="N131" s="52">
        <f>SUM($N$127:$N$130)</f>
        <v>0</v>
      </c>
      <c r="O131" s="52">
        <f>SUM($O$127:$O$130)</f>
        <v>0</v>
      </c>
      <c r="P131" s="52">
        <f>SUM($P$127:$P$130)</f>
        <v>0</v>
      </c>
      <c r="Q131" s="52">
        <f>SUM($Q$127:$Q$130)</f>
        <v>0</v>
      </c>
      <c r="R131" s="52">
        <f>SUM($R$127:$R$130)</f>
        <v>0</v>
      </c>
      <c r="S131" s="52">
        <f>SUM($K$131,$L$131,$M$131,$N$131,$O$131,$P$131,$Q$131,$R$131)</f>
        <v>5</v>
      </c>
      <c r="T131" s="52">
        <f>SUM($C$131,$D$131,$E$131,$F$131,$G$131,$H$131,$I$131,$J$131)</f>
        <v>6</v>
      </c>
      <c r="U131" s="52">
        <f>SUM($U$127:$U$130)</f>
        <v>0</v>
      </c>
      <c r="V131" s="52">
        <f>SUM($V$127:$V$130)</f>
        <v>0</v>
      </c>
      <c r="W131" s="52">
        <f>SUM($W$127:$W$130)</f>
        <v>0</v>
      </c>
      <c r="X131" s="52">
        <f>SUM($X$127:$X$130)</f>
        <v>0</v>
      </c>
      <c r="Y131" s="52">
        <f>SUM($Y$127:$Y$130)</f>
        <v>0</v>
      </c>
      <c r="Z131" s="52">
        <f>SUM($Z$127:$Z$130)</f>
        <v>4</v>
      </c>
      <c r="AA131" s="52">
        <f>SUM($AA$127:$AA$130)</f>
        <v>0</v>
      </c>
      <c r="AB131" s="52">
        <f>SUM($AB$127:$AB$130)</f>
        <v>0</v>
      </c>
      <c r="AC131" s="52">
        <f>SUM($AC$127:$AC$130)</f>
        <v>0</v>
      </c>
      <c r="AD131" s="52">
        <f>SUM($AD$127:$AD$130)</f>
        <v>0</v>
      </c>
      <c r="AE131" s="52">
        <f>SUM($AE$127:$AE$130)</f>
        <v>0</v>
      </c>
      <c r="AF131" s="52">
        <f>SUM($AF$127:$AF$130)</f>
        <v>0</v>
      </c>
      <c r="AG131" s="52">
        <f>SUM($AG$127:$AG$130)</f>
        <v>0</v>
      </c>
      <c r="AH131" s="52">
        <f>SUM($AH$127:$AH$130)</f>
        <v>1</v>
      </c>
      <c r="AI131" s="52">
        <f>SUM($AI$127:$AI$130)</f>
        <v>0</v>
      </c>
      <c r="AJ131" s="52">
        <f>SUM($AJ$127:$AJ$130)</f>
        <v>0</v>
      </c>
      <c r="AK131" s="52">
        <f>SUM($AC$131,$AD$131,$AE$131,$AF$131,$AG$131,$AH$131,$AI$131,$AJ$131)</f>
        <v>1</v>
      </c>
      <c r="AL131" s="52">
        <f>SUM($U$131,$V$131,$W$131,$X$131,$Y$131,$Z$131,$AA$131,$AB$131)</f>
        <v>4</v>
      </c>
      <c r="AM131" s="52">
        <f>SUM($AM$127:$AM$130)</f>
        <v>1</v>
      </c>
      <c r="AN131" s="52">
        <f>SUM($AN$127:$AN$130)</f>
        <v>0</v>
      </c>
      <c r="AO131" s="52">
        <f>SUM($AO$127:$AO$130)</f>
        <v>0</v>
      </c>
      <c r="AP131" s="52">
        <f>SUM($AP$127:$AP$130)</f>
        <v>0</v>
      </c>
      <c r="AQ131" s="52">
        <f>SUM($AQ$127:$AQ$130)</f>
        <v>0</v>
      </c>
      <c r="AR131" s="52">
        <f>SUM($AR$127:$AR$130)</f>
        <v>0</v>
      </c>
      <c r="AS131" s="52">
        <f>SUM($AS$127:$AS$130)</f>
        <v>0</v>
      </c>
      <c r="AT131" s="52">
        <f>SUM($AT$127:$AT$130)</f>
        <v>0</v>
      </c>
      <c r="AU131" s="52">
        <f>SUM($AU$127:$AU$130)</f>
        <v>1</v>
      </c>
      <c r="AV131" s="52">
        <f>SUM($AV$127:$AV$130)</f>
        <v>0</v>
      </c>
      <c r="AW131" s="52">
        <f>SUM($AW$127:$AW$130)</f>
        <v>0</v>
      </c>
      <c r="AX131" s="52">
        <f>SUM($AX$127:$AX$130)</f>
        <v>0</v>
      </c>
      <c r="AY131" s="52">
        <f>SUM($AY$127:$AY$130)</f>
        <v>0</v>
      </c>
      <c r="AZ131" s="52">
        <f>SUM($AZ$127:$AZ$130)</f>
        <v>0</v>
      </c>
      <c r="BA131" s="52">
        <f>SUM($BA$127:$BA$130)</f>
        <v>0</v>
      </c>
      <c r="BB131" s="52">
        <f>SUM($BB$127:$BB$130)</f>
        <v>0</v>
      </c>
      <c r="BC131" s="52">
        <f>SUM($AU$131,$AV$131,$AW$131,$AX$131,$AY$131,$AZ$131,$BA$131,$BB$131)</f>
        <v>1</v>
      </c>
      <c r="BD131" s="52">
        <f>SUM($AM$131,$AN$131,$AO$131,$AP$131,$AQ$131,$AR$131,$AS$131,$AT$131)</f>
        <v>1</v>
      </c>
      <c r="BE131" s="52">
        <f>SUM($BE$127:$BE$130)</f>
        <v>0</v>
      </c>
      <c r="BF131" s="52">
        <f>SUM($BF$127:$BF$130)</f>
        <v>0</v>
      </c>
      <c r="BG131" s="52">
        <f>SUM($BG$127:$BG$130)</f>
        <v>0</v>
      </c>
      <c r="BH131" s="52">
        <f>SUM($BH$127:$BH$130)</f>
        <v>0</v>
      </c>
      <c r="BI131" s="52">
        <f>SUM($BI$127:$BI$130)</f>
        <v>0</v>
      </c>
      <c r="BJ131" s="52">
        <f>SUM($BJ$127:$BJ$130)</f>
        <v>0</v>
      </c>
      <c r="BK131" s="52">
        <f>SUM($BK$127:$BK$130)</f>
        <v>0</v>
      </c>
      <c r="BL131" s="52">
        <f>SUM($BL$127:$BL$130)</f>
        <v>0</v>
      </c>
      <c r="BM131" s="52">
        <f>SUM($BM$127:$BM$130)</f>
        <v>0</v>
      </c>
      <c r="BN131" s="52">
        <f>SUM($BN$127:$BN$130)</f>
        <v>0</v>
      </c>
      <c r="BO131" s="52">
        <f>SUM($BO$127:$BO$130)</f>
        <v>0</v>
      </c>
      <c r="BP131" s="52">
        <f>SUM($BP$127:$BP$130)</f>
        <v>0</v>
      </c>
      <c r="BQ131" s="52">
        <f>SUM($BQ$127:$BQ$130)</f>
        <v>0</v>
      </c>
      <c r="BR131" s="52">
        <f>SUM($BR$127:$BR$130)</f>
        <v>0</v>
      </c>
      <c r="BS131" s="52">
        <f>SUM($BS$127:$BS$130)</f>
        <v>0</v>
      </c>
      <c r="BT131" s="52">
        <f>SUM($BT$127:$BT$130)</f>
        <v>0</v>
      </c>
      <c r="BU131" s="52">
        <f>SUM($BM$131,$BN$131,$BO$131,$BP$131,$BQ$131,$BR$131,$BS$131,$BT$131)</f>
        <v>0</v>
      </c>
      <c r="BV131" s="52">
        <f>SUM($BE$131,$BF$131,$BG$131,$BH$131,$BI$131,$BJ$131,$BK$131,$BL$131)</f>
        <v>0</v>
      </c>
      <c r="BX131" s="52" t="s">
        <v>34</v>
      </c>
      <c r="BY131" s="52">
        <f>SUM($BY$127:$BY$130)</f>
        <v>6</v>
      </c>
      <c r="BZ131" s="52">
        <f>SUM($BZ$127:$BZ$130)</f>
        <v>0</v>
      </c>
      <c r="CA131" s="52">
        <f>SUM($CA$127:$CA$130)</f>
        <v>0</v>
      </c>
      <c r="CB131" s="52">
        <f>SUM($CB$127:$CB$130)</f>
        <v>0</v>
      </c>
      <c r="CC131" s="52">
        <f>SUM($CC$127:$CC$130)</f>
        <v>0</v>
      </c>
      <c r="CD131" s="52">
        <f>SUM($CD$127:$CD$130)</f>
        <v>5</v>
      </c>
      <c r="CE131" s="52">
        <f>SUM($CE$127:$CE$130)</f>
        <v>0</v>
      </c>
      <c r="CF131" s="52">
        <f>SUM($CF$127:$CF$130)</f>
        <v>0</v>
      </c>
      <c r="CG131" s="52">
        <f>SUM($CG$127:$CG$130)</f>
        <v>6</v>
      </c>
      <c r="CH131" s="52">
        <f>SUM($CH$127:$CH$130)</f>
        <v>0</v>
      </c>
      <c r="CI131" s="52">
        <f>SUM($CI$127:$CI$130)</f>
        <v>0</v>
      </c>
      <c r="CJ131" s="52">
        <f>SUM($CJ$127:$CJ$130)</f>
        <v>0</v>
      </c>
      <c r="CK131" s="52">
        <f>SUM($CK$127:$CK$130)</f>
        <v>0</v>
      </c>
      <c r="CL131" s="52">
        <f>SUM($CL$127:$CL$130)</f>
        <v>1</v>
      </c>
      <c r="CM131" s="52">
        <f>SUM($CM$127:$CM$130)</f>
        <v>0</v>
      </c>
      <c r="CN131" s="52">
        <f>SUM($CN$127:$CN$130)</f>
        <v>0</v>
      </c>
      <c r="CO131" s="52">
        <f>SUM($CG$131,$CH$131,$CI$131,$CJ$131,$CK$131,$CL$131,$CM$131,$CN$131)</f>
        <v>7</v>
      </c>
      <c r="CP131" s="52">
        <f>SUM($BY$131,$BZ$131,$CA$131,$CB$131,$CC$131,$CD$131,$CE$131,$CF$131)</f>
        <v>11</v>
      </c>
      <c r="CQ131" s="52">
        <f>SUM($CQ$127:$CQ$130)</f>
        <v>9</v>
      </c>
      <c r="CR131" s="52">
        <f>SUM($CR$127:$CR$130)</f>
        <v>0</v>
      </c>
      <c r="CS131" s="52">
        <f>SUM($CS$127:$CS$130)</f>
        <v>0</v>
      </c>
      <c r="CT131" s="52">
        <f>SUM($CT$127:$CT$130)</f>
        <v>0</v>
      </c>
      <c r="CU131" s="52">
        <f>SUM($CU$127:$CU$130)</f>
        <v>0</v>
      </c>
      <c r="CV131" s="52">
        <f>SUM($CV$127:$CV$130)</f>
        <v>15</v>
      </c>
      <c r="CW131" s="52">
        <f>SUM($CW$127:$CW$130)</f>
        <v>0</v>
      </c>
      <c r="CX131" s="52">
        <f>SUM($CX$127:$CX$130)</f>
        <v>0</v>
      </c>
      <c r="CY131" s="52">
        <f>SUM($CY$127:$CY$130)</f>
        <v>9</v>
      </c>
      <c r="CZ131" s="52">
        <f>SUM($CZ$127:$CZ$130)</f>
        <v>0</v>
      </c>
      <c r="DA131" s="52">
        <f>SUM($DA$127:$DA$130)</f>
        <v>0</v>
      </c>
      <c r="DB131" s="52">
        <f>SUM($DB$127:$DB$130)</f>
        <v>0</v>
      </c>
      <c r="DC131" s="52">
        <f>SUM($DC$127:$DC$130)</f>
        <v>0</v>
      </c>
      <c r="DD131" s="52">
        <f>SUM($DD$127:$DD$130)</f>
        <v>3</v>
      </c>
      <c r="DE131" s="52">
        <f>SUM($DE$127:$DE$130)</f>
        <v>0</v>
      </c>
      <c r="DF131" s="52">
        <f>SUM($DF$127:$DF$130)</f>
        <v>0</v>
      </c>
      <c r="DG131" s="52">
        <f>SUM($CY$131,$CZ$131,$DA$131,$DB$131,$DC$131,$DD$131,$DE$131,$DF$131)</f>
        <v>12</v>
      </c>
      <c r="DH131" s="52">
        <f>SUM($CQ$131,$CR$131,$CS$131,$CT$131,$CU$131,$CV$131,$CW$131,$CX$131)</f>
        <v>24</v>
      </c>
    </row>
    <row r="133" spans="1:112">
      <c r="B133" s="52" t="s">
        <v>127</v>
      </c>
      <c r="C133" s="52">
        <f>SUM($C$16,$C$21,$C$26,$C$31,$C$36,$C$41,$C$46,$C$51,$C$56,$C$61,$C$66,$C$71,$C$76,$C$81,$C$86,$C$91,$C$96,$C$101,$C$106,$C$111,$C$116,$C$121,$C$126,$C$131)</f>
        <v>370</v>
      </c>
      <c r="D133" s="52">
        <f>SUM($D$16,$D$21,$D$26,$D$31,$D$36,$D$41,$D$46,$D$51,$D$56,$D$61,$D$66,$D$71,$D$76,$D$81,$D$86,$D$91,$D$96,$D$101,$D$106,$D$111,$D$116,$D$121,$D$126,$D$131)</f>
        <v>47</v>
      </c>
      <c r="E133" s="52">
        <f>SUM($E$16,$E$21,$E$26,$E$31,$E$36,$E$41,$E$46,$E$51,$E$56,$E$61,$E$66,$E$71,$E$76,$E$81,$E$86,$E$91,$E$96,$E$101,$E$106,$E$111,$E$116,$E$121,$E$126,$E$131)</f>
        <v>7</v>
      </c>
      <c r="F133" s="52">
        <f>SUM($F$16,$F$21,$F$26,$F$31,$F$36,$F$41,$F$46,$F$51,$F$56,$F$61,$F$66,$F$71,$F$76,$F$81,$F$86,$F$91,$F$96,$F$101,$F$106,$F$111,$F$116,$F$121,$F$126,$F$131)</f>
        <v>0</v>
      </c>
      <c r="G133" s="52">
        <f>SUM($G$16,$G$21,$G$26,$G$31,$G$36,$G$41,$G$46,$G$51,$G$56,$G$61,$G$66,$G$71,$G$76,$G$81,$G$86,$G$91,$G$96,$G$101,$G$106,$G$111,$G$116,$G$121,$G$126,$G$131)</f>
        <v>0</v>
      </c>
      <c r="H133" s="52">
        <f>SUM($H$16,$H$21,$H$26,$H$31,$H$36,$H$41,$H$46,$H$51,$H$56,$H$61,$H$66,$H$71,$H$76,$H$81,$H$86,$H$91,$H$96,$H$101,$H$106,$H$111,$H$116,$H$121,$H$126,$H$131)</f>
        <v>62</v>
      </c>
      <c r="I133" s="52">
        <f>SUM($I$16,$I$21,$I$26,$I$31,$I$36,$I$41,$I$46,$I$51,$I$56,$I$61,$I$66,$I$71,$I$76,$I$81,$I$86,$I$91,$I$96,$I$101,$I$106,$I$111,$I$116,$I$121,$I$126,$I$131)</f>
        <v>10</v>
      </c>
      <c r="J133" s="52">
        <f>SUM($J$16,$J$21,$J$26,$J$31,$J$36,$J$41,$J$46,$J$51,$J$56,$J$61,$J$66,$J$71,$J$76,$J$81,$J$86,$J$91,$J$96,$J$101,$J$106,$J$111,$J$116,$J$121,$J$126,$J$131)</f>
        <v>0</v>
      </c>
      <c r="K133" s="52">
        <f>SUM($K$16,$K$21,$K$26,$K$31,$K$36,$K$41,$K$46,$K$51,$K$56,$K$61,$K$66,$K$71,$K$76,$K$81,$K$86,$K$91,$K$96,$K$101,$K$106,$K$111,$K$116,$K$121,$K$126,$K$131)</f>
        <v>370</v>
      </c>
      <c r="L133" s="52">
        <f>SUM($L$16,$L$21,$L$26,$L$31,$L$36,$L$41,$L$46,$L$51,$L$56,$L$61,$L$66,$L$71,$L$76,$L$81,$L$86,$L$91,$L$96,$L$101,$L$106,$L$111,$L$116,$L$121,$L$126,$L$131)</f>
        <v>47</v>
      </c>
      <c r="M133" s="52">
        <f>SUM($M$16,$M$21,$M$26,$M$31,$M$36,$M$41,$M$46,$M$51,$M$56,$M$61,$M$66,$M$71,$M$76,$M$81,$M$86,$M$91,$M$96,$M$101,$M$106,$M$111,$M$116,$M$121,$M$126,$M$131)</f>
        <v>12</v>
      </c>
      <c r="N133" s="52">
        <f>SUM($N$16,$N$21,$N$26,$N$31,$N$36,$N$41,$N$46,$N$51,$N$56,$N$61,$N$66,$N$71,$N$76,$N$81,$N$86,$N$91,$N$96,$N$101,$N$106,$N$111,$N$116,$N$121,$N$126,$N$131)</f>
        <v>0</v>
      </c>
      <c r="O133" s="52">
        <f>SUM($O$16,$O$21,$O$26,$O$31,$O$36,$O$41,$O$46,$O$51,$O$56,$O$61,$O$66,$O$71,$O$76,$O$81,$O$86,$O$91,$O$96,$O$101,$O$106,$O$111,$O$116,$O$121,$O$126,$O$131)</f>
        <v>0</v>
      </c>
      <c r="P133" s="52">
        <f>SUM($P$16,$P$21,$P$26,$P$31,$P$36,$P$41,$P$46,$P$51,$P$56,$P$61,$P$66,$P$71,$P$76,$P$81,$P$86,$P$91,$P$96,$P$101,$P$106,$P$111,$P$116,$P$121,$P$126,$P$131)</f>
        <v>13</v>
      </c>
      <c r="Q133" s="52">
        <f>SUM($Q$16,$Q$21,$Q$26,$Q$31,$Q$36,$Q$41,$Q$46,$Q$51,$Q$56,$Q$61,$Q$66,$Q$71,$Q$76,$Q$81,$Q$86,$Q$91,$Q$96,$Q$101,$Q$106,$Q$111,$Q$116,$Q$121,$Q$126,$Q$131)</f>
        <v>2</v>
      </c>
      <c r="R133" s="52">
        <f>SUM($R$16,$R$21,$R$26,$R$31,$R$36,$R$41,$R$46,$R$51,$R$56,$R$61,$R$66,$R$71,$R$76,$R$81,$R$86,$R$91,$R$96,$R$101,$R$106,$R$111,$R$116,$R$121,$R$126,$R$131)</f>
        <v>0</v>
      </c>
      <c r="S133" s="52">
        <f>SUM($S$16,$S$21,$S$26,$S$31,$S$36,$S$41,$S$46,$S$51,$S$56,$S$61,$S$66,$S$71,$S$76,$S$81,$S$86,$S$91,$S$96,$S$101,$S$106,$S$111,$S$116,$S$121,$S$126,$S$131)</f>
        <v>444</v>
      </c>
      <c r="T133" s="52">
        <f>SUM($T$16,$T$21,$T$26,$T$31,$T$36,$T$41,$T$46,$T$51,$T$56,$T$61,$T$66,$T$71,$T$76,$T$81,$T$86,$T$91,$T$96,$T$101,$T$106,$T$111,$T$116,$T$121,$T$126,$T$131)</f>
        <v>496</v>
      </c>
      <c r="U133" s="52">
        <f>SUM($U$16,$U$21,$U$26,$U$31,$U$36,$U$41,$U$46,$U$51,$U$56,$U$61,$U$66,$U$71,$U$76,$U$81,$U$86,$U$91,$U$96,$U$101,$U$106,$U$111,$U$116,$U$121,$U$126,$U$131)</f>
        <v>19</v>
      </c>
      <c r="V133" s="52">
        <f>SUM($V$16,$V$21,$V$26,$V$31,$V$36,$V$41,$V$46,$V$51,$V$56,$V$61,$V$66,$V$71,$V$76,$V$81,$V$86,$V$91,$V$96,$V$101,$V$106,$V$111,$V$116,$V$121,$V$126,$V$131)</f>
        <v>2</v>
      </c>
      <c r="W133" s="52">
        <f>SUM($W$16,$W$21,$W$26,$W$31,$W$36,$W$41,$W$46,$W$51,$W$56,$W$61,$W$66,$W$71,$W$76,$W$81,$W$86,$W$91,$W$96,$W$101,$W$106,$W$111,$W$116,$W$121,$W$126,$W$131)</f>
        <v>0</v>
      </c>
      <c r="X133" s="52">
        <f>SUM($X$16,$X$21,$X$26,$X$31,$X$36,$X$41,$X$46,$X$51,$X$56,$X$61,$X$66,$X$71,$X$76,$X$81,$X$86,$X$91,$X$96,$X$101,$X$106,$X$111,$X$116,$X$121,$X$126,$X$131)</f>
        <v>0</v>
      </c>
      <c r="Y133" s="52">
        <f>SUM($Y$16,$Y$21,$Y$26,$Y$31,$Y$36,$Y$41,$Y$46,$Y$51,$Y$56,$Y$61,$Y$66,$Y$71,$Y$76,$Y$81,$Y$86,$Y$91,$Y$96,$Y$101,$Y$106,$Y$111,$Y$116,$Y$121,$Y$126,$Y$131)</f>
        <v>0</v>
      </c>
      <c r="Z133" s="52">
        <f>SUM($Z$16,$Z$21,$Z$26,$Z$31,$Z$36,$Z$41,$Z$46,$Z$51,$Z$56,$Z$61,$Z$66,$Z$71,$Z$76,$Z$81,$Z$86,$Z$91,$Z$96,$Z$101,$Z$106,$Z$111,$Z$116,$Z$121,$Z$126,$Z$131)</f>
        <v>240</v>
      </c>
      <c r="AA133" s="52">
        <f>SUM($AA$16,$AA$21,$AA$26,$AA$31,$AA$36,$AA$41,$AA$46,$AA$51,$AA$56,$AA$61,$AA$66,$AA$71,$AA$76,$AA$81,$AA$86,$AA$91,$AA$96,$AA$101,$AA$106,$AA$111,$AA$116,$AA$121,$AA$126,$AA$131)</f>
        <v>3</v>
      </c>
      <c r="AB133" s="52">
        <f>SUM($AB$16,$AB$21,$AB$26,$AB$31,$AB$36,$AB$41,$AB$46,$AB$51,$AB$56,$AB$61,$AB$66,$AB$71,$AB$76,$AB$81,$AB$86,$AB$91,$AB$96,$AB$101,$AB$106,$AB$111,$AB$116,$AB$121,$AB$126,$AB$131)</f>
        <v>0</v>
      </c>
      <c r="AC133" s="52">
        <f>SUM($AC$16,$AC$21,$AC$26,$AC$31,$AC$36,$AC$41,$AC$46,$AC$51,$AC$56,$AC$61,$AC$66,$AC$71,$AC$76,$AC$81,$AC$86,$AC$91,$AC$96,$AC$101,$AC$106,$AC$111,$AC$116,$AC$121,$AC$126,$AC$131)</f>
        <v>19</v>
      </c>
      <c r="AD133" s="52">
        <f>SUM($AD$16,$AD$21,$AD$26,$AD$31,$AD$36,$AD$41,$AD$46,$AD$51,$AD$56,$AD$61,$AD$66,$AD$71,$AD$76,$AD$81,$AD$86,$AD$91,$AD$96,$AD$101,$AD$106,$AD$111,$AD$116,$AD$121,$AD$126,$AD$131)</f>
        <v>2</v>
      </c>
      <c r="AE133" s="52">
        <f>SUM($AE$16,$AE$21,$AE$26,$AE$31,$AE$36,$AE$41,$AE$46,$AE$51,$AE$56,$AE$61,$AE$66,$AE$71,$AE$76,$AE$81,$AE$86,$AE$91,$AE$96,$AE$101,$AE$106,$AE$111,$AE$116,$AE$121,$AE$126,$AE$131)</f>
        <v>0</v>
      </c>
      <c r="AF133" s="52">
        <f>SUM($AF$16,$AF$21,$AF$26,$AF$31,$AF$36,$AF$41,$AF$46,$AF$51,$AF$56,$AF$61,$AF$66,$AF$71,$AF$76,$AF$81,$AF$86,$AF$91,$AF$96,$AF$101,$AF$106,$AF$111,$AF$116,$AF$121,$AF$126,$AF$131)</f>
        <v>0</v>
      </c>
      <c r="AG133" s="52">
        <f>SUM($AG$16,$AG$21,$AG$26,$AG$31,$AG$36,$AG$41,$AG$46,$AG$51,$AG$56,$AG$61,$AG$66,$AG$71,$AG$76,$AG$81,$AG$86,$AG$91,$AG$96,$AG$101,$AG$106,$AG$111,$AG$116,$AG$121,$AG$126,$AG$131)</f>
        <v>0</v>
      </c>
      <c r="AH133" s="52">
        <f>SUM($AH$16,$AH$21,$AH$26,$AH$31,$AH$36,$AH$41,$AH$46,$AH$51,$AH$56,$AH$61,$AH$66,$AH$71,$AH$76,$AH$81,$AH$86,$AH$91,$AH$96,$AH$101,$AH$106,$AH$111,$AH$116,$AH$121,$AH$126,$AH$131)</f>
        <v>48</v>
      </c>
      <c r="AI133" s="52">
        <f>SUM($AI$16,$AI$21,$AI$26,$AI$31,$AI$36,$AI$41,$AI$46,$AI$51,$AI$56,$AI$61,$AI$66,$AI$71,$AI$76,$AI$81,$AI$86,$AI$91,$AI$96,$AI$101,$AI$106,$AI$111,$AI$116,$AI$121,$AI$126,$AI$131)</f>
        <v>1</v>
      </c>
      <c r="AJ133" s="52">
        <f>SUM($AJ$16,$AJ$21,$AJ$26,$AJ$31,$AJ$36,$AJ$41,$AJ$46,$AJ$51,$AJ$56,$AJ$61,$AJ$66,$AJ$71,$AJ$76,$AJ$81,$AJ$86,$AJ$91,$AJ$96,$AJ$101,$AJ$106,$AJ$111,$AJ$116,$AJ$121,$AJ$126,$AJ$131)</f>
        <v>0</v>
      </c>
      <c r="AK133" s="52">
        <f>SUM($AK$16,$AK$21,$AK$26,$AK$31,$AK$36,$AK$41,$AK$46,$AK$51,$AK$56,$AK$61,$AK$66,$AK$71,$AK$76,$AK$81,$AK$86,$AK$91,$AK$96,$AK$101,$AK$106,$AK$111,$AK$116,$AK$121,$AK$126,$AK$131)</f>
        <v>70</v>
      </c>
      <c r="AL133" s="52">
        <f>SUM($AL$16,$AL$21,$AL$26,$AL$31,$AL$36,$AL$41,$AL$46,$AL$51,$AL$56,$AL$61,$AL$66,$AL$71,$AL$76,$AL$81,$AL$86,$AL$91,$AL$96,$AL$101,$AL$106,$AL$111,$AL$116,$AL$121,$AL$126,$AL$131)</f>
        <v>264</v>
      </c>
      <c r="AM133" s="52">
        <f>SUM($AM$16,$AM$21,$AM$26,$AM$31,$AM$36,$AM$41,$AM$46,$AM$51,$AM$56,$AM$61,$AM$66,$AM$71,$AM$76,$AM$81,$AM$86,$AM$91,$AM$96,$AM$101,$AM$106,$AM$111,$AM$116,$AM$121,$AM$126,$AM$131)</f>
        <v>94</v>
      </c>
      <c r="AN133" s="52">
        <f>SUM($AN$16,$AN$21,$AN$26,$AN$31,$AN$36,$AN$41,$AN$46,$AN$51,$AN$56,$AN$61,$AN$66,$AN$71,$AN$76,$AN$81,$AN$86,$AN$91,$AN$96,$AN$101,$AN$106,$AN$111,$AN$116,$AN$121,$AN$126,$AN$131)</f>
        <v>19</v>
      </c>
      <c r="AO133" s="52">
        <f>SUM($AO$16,$AO$21,$AO$26,$AO$31,$AO$36,$AO$41,$AO$46,$AO$51,$AO$56,$AO$61,$AO$66,$AO$71,$AO$76,$AO$81,$AO$86,$AO$91,$AO$96,$AO$101,$AO$106,$AO$111,$AO$116,$AO$121,$AO$126,$AO$131)</f>
        <v>1</v>
      </c>
      <c r="AP133" s="52">
        <f>SUM($AP$16,$AP$21,$AP$26,$AP$31,$AP$36,$AP$41,$AP$46,$AP$51,$AP$56,$AP$61,$AP$66,$AP$71,$AP$76,$AP$81,$AP$86,$AP$91,$AP$96,$AP$101,$AP$106,$AP$111,$AP$116,$AP$121,$AP$126,$AP$131)</f>
        <v>0</v>
      </c>
      <c r="AQ133" s="52">
        <f>SUM($AQ$16,$AQ$21,$AQ$26,$AQ$31,$AQ$36,$AQ$41,$AQ$46,$AQ$51,$AQ$56,$AQ$61,$AQ$66,$AQ$71,$AQ$76,$AQ$81,$AQ$86,$AQ$91,$AQ$96,$AQ$101,$AQ$106,$AQ$111,$AQ$116,$AQ$121,$AQ$126,$AQ$131)</f>
        <v>0</v>
      </c>
      <c r="AR133" s="52">
        <f>SUM($AR$16,$AR$21,$AR$26,$AR$31,$AR$36,$AR$41,$AR$46,$AR$51,$AR$56,$AR$61,$AR$66,$AR$71,$AR$76,$AR$81,$AR$86,$AR$91,$AR$96,$AR$101,$AR$106,$AR$111,$AR$116,$AR$121,$AR$126,$AR$131)</f>
        <v>7</v>
      </c>
      <c r="AS133" s="52">
        <f>SUM($AS$16,$AS$21,$AS$26,$AS$31,$AS$36,$AS$41,$AS$46,$AS$51,$AS$56,$AS$61,$AS$66,$AS$71,$AS$76,$AS$81,$AS$86,$AS$91,$AS$96,$AS$101,$AS$106,$AS$111,$AS$116,$AS$121,$AS$126,$AS$131)</f>
        <v>0</v>
      </c>
      <c r="AT133" s="52">
        <f>SUM($AT$16,$AT$21,$AT$26,$AT$31,$AT$36,$AT$41,$AT$46,$AT$51,$AT$56,$AT$61,$AT$66,$AT$71,$AT$76,$AT$81,$AT$86,$AT$91,$AT$96,$AT$101,$AT$106,$AT$111,$AT$116,$AT$121,$AT$126,$AT$131)</f>
        <v>0</v>
      </c>
      <c r="AU133" s="52">
        <f>SUM($AU$16,$AU$21,$AU$26,$AU$31,$AU$36,$AU$41,$AU$46,$AU$51,$AU$56,$AU$61,$AU$66,$AU$71,$AU$76,$AU$81,$AU$86,$AU$91,$AU$96,$AU$101,$AU$106,$AU$111,$AU$116,$AU$121,$AU$126,$AU$131)</f>
        <v>94</v>
      </c>
      <c r="AV133" s="52">
        <f>SUM($AV$16,$AV$21,$AV$26,$AV$31,$AV$36,$AV$41,$AV$46,$AV$51,$AV$56,$AV$61,$AV$66,$AV$71,$AV$76,$AV$81,$AV$86,$AV$91,$AV$96,$AV$101,$AV$106,$AV$111,$AV$116,$AV$121,$AV$126,$AV$131)</f>
        <v>19</v>
      </c>
      <c r="AW133" s="52">
        <f>SUM($AW$16,$AW$21,$AW$26,$AW$31,$AW$36,$AW$41,$AW$46,$AW$51,$AW$56,$AW$61,$AW$66,$AW$71,$AW$76,$AW$81,$AW$86,$AW$91,$AW$96,$AW$101,$AW$106,$AW$111,$AW$116,$AW$121,$AW$126,$AW$131)</f>
        <v>2</v>
      </c>
      <c r="AX133" s="52">
        <f>SUM($AX$16,$AX$21,$AX$26,$AX$31,$AX$36,$AX$41,$AX$46,$AX$51,$AX$56,$AX$61,$AX$66,$AX$71,$AX$76,$AX$81,$AX$86,$AX$91,$AX$96,$AX$101,$AX$106,$AX$111,$AX$116,$AX$121,$AX$126,$AX$131)</f>
        <v>0</v>
      </c>
      <c r="AY133" s="52">
        <f>SUM($AY$16,$AY$21,$AY$26,$AY$31,$AY$36,$AY$41,$AY$46,$AY$51,$AY$56,$AY$61,$AY$66,$AY$71,$AY$76,$AY$81,$AY$86,$AY$91,$AY$96,$AY$101,$AY$106,$AY$111,$AY$116,$AY$121,$AY$126,$AY$131)</f>
        <v>0</v>
      </c>
      <c r="AZ133" s="52">
        <f>SUM($AZ$16,$AZ$21,$AZ$26,$AZ$31,$AZ$36,$AZ$41,$AZ$46,$AZ$51,$AZ$56,$AZ$61,$AZ$66,$AZ$71,$AZ$76,$AZ$81,$AZ$86,$AZ$91,$AZ$96,$AZ$101,$AZ$106,$AZ$111,$AZ$116,$AZ$121,$AZ$126,$AZ$131)</f>
        <v>0</v>
      </c>
      <c r="BA133" s="52">
        <f>SUM($BA$16,$BA$21,$BA$26,$BA$31,$BA$36,$BA$41,$BA$46,$BA$51,$BA$56,$BA$61,$BA$66,$BA$71,$BA$76,$BA$81,$BA$86,$BA$91,$BA$96,$BA$101,$BA$106,$BA$111,$BA$116,$BA$121,$BA$126,$BA$131)</f>
        <v>0</v>
      </c>
      <c r="BB133" s="52">
        <f>SUM($BB$16,$BB$21,$BB$26,$BB$31,$BB$36,$BB$41,$BB$46,$BB$51,$BB$56,$BB$61,$BB$66,$BB$71,$BB$76,$BB$81,$BB$86,$BB$91,$BB$96,$BB$101,$BB$106,$BB$111,$BB$116,$BB$121,$BB$126,$BB$131)</f>
        <v>0</v>
      </c>
      <c r="BC133" s="52">
        <f>SUM($BC$16,$BC$21,$BC$26,$BC$31,$BC$36,$BC$41,$BC$46,$BC$51,$BC$56,$BC$61,$BC$66,$BC$71,$BC$76,$BC$81,$BC$86,$BC$91,$BC$96,$BC$101,$BC$106,$BC$111,$BC$116,$BC$121,$BC$126,$BC$131)</f>
        <v>115</v>
      </c>
      <c r="BD133" s="52">
        <f>SUM($BD$16,$BD$21,$BD$26,$BD$31,$BD$36,$BD$41,$BD$46,$BD$51,$BD$56,$BD$61,$BD$66,$BD$71,$BD$76,$BD$81,$BD$86,$BD$91,$BD$96,$BD$101,$BD$106,$BD$111,$BD$116,$BD$121,$BD$126,$BD$131)</f>
        <v>121</v>
      </c>
      <c r="BE133" s="52">
        <f>SUM($BE$16,$BE$21,$BE$26,$BE$31,$BE$36,$BE$41,$BE$46,$BE$51,$BE$56,$BE$61,$BE$66,$BE$71,$BE$76,$BE$81,$BE$86,$BE$91,$BE$96,$BE$101,$BE$106,$BE$111,$BE$116,$BE$121,$BE$126,$BE$131)</f>
        <v>0</v>
      </c>
      <c r="BF133" s="52">
        <f>SUM($BF$16,$BF$21,$BF$26,$BF$31,$BF$36,$BF$41,$BF$46,$BF$51,$BF$56,$BF$61,$BF$66,$BF$71,$BF$76,$BF$81,$BF$86,$BF$91,$BF$96,$BF$101,$BF$106,$BF$111,$BF$116,$BF$121,$BF$126,$BF$131)</f>
        <v>0</v>
      </c>
      <c r="BG133" s="52">
        <f>SUM($BG$16,$BG$21,$BG$26,$BG$31,$BG$36,$BG$41,$BG$46,$BG$51,$BG$56,$BG$61,$BG$66,$BG$71,$BG$76,$BG$81,$BG$86,$BG$91,$BG$96,$BG$101,$BG$106,$BG$111,$BG$116,$BG$121,$BG$126,$BG$131)</f>
        <v>0</v>
      </c>
      <c r="BH133" s="52">
        <f>SUM($BH$16,$BH$21,$BH$26,$BH$31,$BH$36,$BH$41,$BH$46,$BH$51,$BH$56,$BH$61,$BH$66,$BH$71,$BH$76,$BH$81,$BH$86,$BH$91,$BH$96,$BH$101,$BH$106,$BH$111,$BH$116,$BH$121,$BH$126,$BH$131)</f>
        <v>0</v>
      </c>
      <c r="BI133" s="52">
        <f>SUM($BI$16,$BI$21,$BI$26,$BI$31,$BI$36,$BI$41,$BI$46,$BI$51,$BI$56,$BI$61,$BI$66,$BI$71,$BI$76,$BI$81,$BI$86,$BI$91,$BI$96,$BI$101,$BI$106,$BI$111,$BI$116,$BI$121,$BI$126,$BI$131)</f>
        <v>0</v>
      </c>
      <c r="BJ133" s="52">
        <f>SUM($BJ$16,$BJ$21,$BJ$26,$BJ$31,$BJ$36,$BJ$41,$BJ$46,$BJ$51,$BJ$56,$BJ$61,$BJ$66,$BJ$71,$BJ$76,$BJ$81,$BJ$86,$BJ$91,$BJ$96,$BJ$101,$BJ$106,$BJ$111,$BJ$116,$BJ$121,$BJ$126,$BJ$131)</f>
        <v>0</v>
      </c>
      <c r="BK133" s="52">
        <f>SUM($BK$16,$BK$21,$BK$26,$BK$31,$BK$36,$BK$41,$BK$46,$BK$51,$BK$56,$BK$61,$BK$66,$BK$71,$BK$76,$BK$81,$BK$86,$BK$91,$BK$96,$BK$101,$BK$106,$BK$111,$BK$116,$BK$121,$BK$126,$BK$131)</f>
        <v>0</v>
      </c>
      <c r="BL133" s="52">
        <f>SUM($BL$16,$BL$21,$BL$26,$BL$31,$BL$36,$BL$41,$BL$46,$BL$51,$BL$56,$BL$61,$BL$66,$BL$71,$BL$76,$BL$81,$BL$86,$BL$91,$BL$96,$BL$101,$BL$106,$BL$111,$BL$116,$BL$121,$BL$126,$BL$131)</f>
        <v>0</v>
      </c>
      <c r="BM133" s="52">
        <f>SUM($BM$16,$BM$21,$BM$26,$BM$31,$BM$36,$BM$41,$BM$46,$BM$51,$BM$56,$BM$61,$BM$66,$BM$71,$BM$76,$BM$81,$BM$86,$BM$91,$BM$96,$BM$101,$BM$106,$BM$111,$BM$116,$BM$121,$BM$126,$BM$131)</f>
        <v>0</v>
      </c>
      <c r="BN133" s="52">
        <f>SUM($BN$16,$BN$21,$BN$26,$BN$31,$BN$36,$BN$41,$BN$46,$BN$51,$BN$56,$BN$61,$BN$66,$BN$71,$BN$76,$BN$81,$BN$86,$BN$91,$BN$96,$BN$101,$BN$106,$BN$111,$BN$116,$BN$121,$BN$126,$BN$131)</f>
        <v>0</v>
      </c>
      <c r="BO133" s="52">
        <f>SUM($BO$16,$BO$21,$BO$26,$BO$31,$BO$36,$BO$41,$BO$46,$BO$51,$BO$56,$BO$61,$BO$66,$BO$71,$BO$76,$BO$81,$BO$86,$BO$91,$BO$96,$BO$101,$BO$106,$BO$111,$BO$116,$BO$121,$BO$126,$BO$131)</f>
        <v>0</v>
      </c>
      <c r="BP133" s="52">
        <f>SUM($BP$16,$BP$21,$BP$26,$BP$31,$BP$36,$BP$41,$BP$46,$BP$51,$BP$56,$BP$61,$BP$66,$BP$71,$BP$76,$BP$81,$BP$86,$BP$91,$BP$96,$BP$101,$BP$106,$BP$111,$BP$116,$BP$121,$BP$126,$BP$131)</f>
        <v>0</v>
      </c>
      <c r="BQ133" s="52">
        <f>SUM($BQ$16,$BQ$21,$BQ$26,$BQ$31,$BQ$36,$BQ$41,$BQ$46,$BQ$51,$BQ$56,$BQ$61,$BQ$66,$BQ$71,$BQ$76,$BQ$81,$BQ$86,$BQ$91,$BQ$96,$BQ$101,$BQ$106,$BQ$111,$BQ$116,$BQ$121,$BQ$126,$BQ$131)</f>
        <v>0</v>
      </c>
      <c r="BR133" s="52">
        <f>SUM($BR$16,$BR$21,$BR$26,$BR$31,$BR$36,$BR$41,$BR$46,$BR$51,$BR$56,$BR$61,$BR$66,$BR$71,$BR$76,$BR$81,$BR$86,$BR$91,$BR$96,$BR$101,$BR$106,$BR$111,$BR$116,$BR$121,$BR$126,$BR$131)</f>
        <v>0</v>
      </c>
      <c r="BS133" s="52">
        <f>SUM($BS$16,$BS$21,$BS$26,$BS$31,$BS$36,$BS$41,$BS$46,$BS$51,$BS$56,$BS$61,$BS$66,$BS$71,$BS$76,$BS$81,$BS$86,$BS$91,$BS$96,$BS$101,$BS$106,$BS$111,$BS$116,$BS$121,$BS$126,$BS$131)</f>
        <v>0</v>
      </c>
      <c r="BT133" s="52">
        <f>SUM($BT$16,$BT$21,$BT$26,$BT$31,$BT$36,$BT$41,$BT$46,$BT$51,$BT$56,$BT$61,$BT$66,$BT$71,$BT$76,$BT$81,$BT$86,$BT$91,$BT$96,$BT$101,$BT$106,$BT$111,$BT$116,$BT$121,$BT$126,$BT$131)</f>
        <v>0</v>
      </c>
      <c r="BU133" s="52">
        <f>SUM($BU$16,$BU$21,$BU$26,$BU$31,$BU$36,$BU$41,$BU$46,$BU$51,$BU$56,$BU$61,$BU$66,$BU$71,$BU$76,$BU$81,$BU$86,$BU$91,$BU$96,$BU$101,$BU$106,$BU$111,$BU$116,$BU$121,$BU$126,$BU$131)</f>
        <v>0</v>
      </c>
      <c r="BV133" s="52">
        <f>SUM($BV$16,$BV$21,$BV$26,$BV$31,$BV$36,$BV$41,$BV$46,$BV$51,$BV$56,$BV$61,$BV$66,$BV$71,$BV$76,$BV$81,$BV$86,$BV$91,$BV$96,$BV$101,$BV$106,$BV$111,$BV$116,$BV$121,$BV$126,$BV$131)</f>
        <v>0</v>
      </c>
      <c r="BX133" s="52" t="s">
        <v>127</v>
      </c>
      <c r="BY133" s="52">
        <f>SUM($BY$16,$BY$21,$BY$26,$BY$31,$BY$36,$BY$41,$BY$46,$BY$51,$BY$56,$BY$61,$BY$66,$BY$71,$BY$76,$BY$81,$BY$86,$BY$91,$BY$96,$BY$101,$BY$106,$BY$111,$BY$116,$BY$121,$BY$126,$BY$131)</f>
        <v>483</v>
      </c>
      <c r="BZ133" s="52">
        <f>SUM($BZ$16,$BZ$21,$BZ$26,$BZ$31,$BZ$36,$BZ$41,$BZ$46,$BZ$51,$BZ$56,$BZ$61,$BZ$66,$BZ$71,$BZ$76,$BZ$81,$BZ$86,$BZ$91,$BZ$96,$BZ$101,$BZ$106,$BZ$111,$BZ$116,$BZ$121,$BZ$126,$BZ$131)</f>
        <v>68</v>
      </c>
      <c r="CA133" s="52">
        <f>SUM($CA$16,$CA$21,$CA$26,$CA$31,$CA$36,$CA$41,$CA$46,$CA$51,$CA$56,$CA$61,$CA$66,$CA$71,$CA$76,$CA$81,$CA$86,$CA$91,$CA$96,$CA$101,$CA$106,$CA$111,$CA$116,$CA$121,$CA$126,$CA$131)</f>
        <v>8</v>
      </c>
      <c r="CB133" s="52">
        <f>SUM($CB$16,$CB$21,$CB$26,$CB$31,$CB$36,$CB$41,$CB$46,$CB$51,$CB$56,$CB$61,$CB$66,$CB$71,$CB$76,$CB$81,$CB$86,$CB$91,$CB$96,$CB$101,$CB$106,$CB$111,$CB$116,$CB$121,$CB$126,$CB$131)</f>
        <v>0</v>
      </c>
      <c r="CC133" s="52">
        <f>SUM($CC$16,$CC$21,$CC$26,$CC$31,$CC$36,$CC$41,$CC$46,$CC$51,$CC$56,$CC$61,$CC$66,$CC$71,$CC$76,$CC$81,$CC$86,$CC$91,$CC$96,$CC$101,$CC$106,$CC$111,$CC$116,$CC$121,$CC$126,$CC$131)</f>
        <v>0</v>
      </c>
      <c r="CD133" s="52">
        <f>SUM($CD$16,$CD$21,$CD$26,$CD$31,$CD$36,$CD$41,$CD$46,$CD$51,$CD$56,$CD$61,$CD$66,$CD$71,$CD$76,$CD$81,$CD$86,$CD$91,$CD$96,$CD$101,$CD$106,$CD$111,$CD$116,$CD$121,$CD$126,$CD$131)</f>
        <v>309</v>
      </c>
      <c r="CE133" s="52">
        <f>SUM($CE$16,$CE$21,$CE$26,$CE$31,$CE$36,$CE$41,$CE$46,$CE$51,$CE$56,$CE$61,$CE$66,$CE$71,$CE$76,$CE$81,$CE$86,$CE$91,$CE$96,$CE$101,$CE$106,$CE$111,$CE$116,$CE$121,$CE$126,$CE$131)</f>
        <v>13</v>
      </c>
      <c r="CF133" s="52">
        <f>SUM($CF$16,$CF$21,$CF$26,$CF$31,$CF$36,$CF$41,$CF$46,$CF$51,$CF$56,$CF$61,$CF$66,$CF$71,$CF$76,$CF$81,$CF$86,$CF$91,$CF$96,$CF$101,$CF$106,$CF$111,$CF$116,$CF$121,$CF$126,$CF$131)</f>
        <v>0</v>
      </c>
      <c r="CG133" s="52">
        <f>SUM($CG$16,$CG$21,$CG$26,$CG$31,$CG$36,$CG$41,$CG$46,$CG$51,$CG$56,$CG$61,$CG$66,$CG$71,$CG$76,$CG$81,$CG$86,$CG$91,$CG$96,$CG$101,$CG$106,$CG$111,$CG$116,$CG$121,$CG$126,$CG$131)</f>
        <v>483</v>
      </c>
      <c r="CH133" s="52">
        <f>SUM($CH$16,$CH$21,$CH$26,$CH$31,$CH$36,$CH$41,$CH$46,$CH$51,$CH$56,$CH$61,$CH$66,$CH$71,$CH$76,$CH$81,$CH$86,$CH$91,$CH$96,$CH$101,$CH$106,$CH$111,$CH$116,$CH$121,$CH$126,$CH$131)</f>
        <v>68</v>
      </c>
      <c r="CI133" s="52">
        <f>SUM($CI$16,$CI$21,$CI$26,$CI$31,$CI$36,$CI$41,$CI$46,$CI$51,$CI$56,$CI$61,$CI$66,$CI$71,$CI$76,$CI$81,$CI$86,$CI$91,$CI$96,$CI$101,$CI$106,$CI$111,$CI$116,$CI$121,$CI$126,$CI$131)</f>
        <v>13</v>
      </c>
      <c r="CJ133" s="52">
        <f>SUM($CJ$16,$CJ$21,$CJ$26,$CJ$31,$CJ$36,$CJ$41,$CJ$46,$CJ$51,$CJ$56,$CJ$61,$CJ$66,$CJ$71,$CJ$76,$CJ$81,$CJ$86,$CJ$91,$CJ$96,$CJ$101,$CJ$106,$CJ$111,$CJ$116,$CJ$121,$CJ$126,$CJ$131)</f>
        <v>0</v>
      </c>
      <c r="CK133" s="52">
        <f>SUM($CK$16,$CK$21,$CK$26,$CK$31,$CK$36,$CK$41,$CK$46,$CK$51,$CK$56,$CK$61,$CK$66,$CK$71,$CK$76,$CK$81,$CK$86,$CK$91,$CK$96,$CK$101,$CK$106,$CK$111,$CK$116,$CK$121,$CK$126,$CK$131)</f>
        <v>0</v>
      </c>
      <c r="CL133" s="52">
        <f>SUM($CL$16,$CL$21,$CL$26,$CL$31,$CL$36,$CL$41,$CL$46,$CL$51,$CL$56,$CL$61,$CL$66,$CL$71,$CL$76,$CL$81,$CL$86,$CL$91,$CL$96,$CL$101,$CL$106,$CL$111,$CL$116,$CL$121,$CL$126,$CL$131)</f>
        <v>63</v>
      </c>
      <c r="CM133" s="52">
        <f>SUM($CM$16,$CM$21,$CM$26,$CM$31,$CM$36,$CM$41,$CM$46,$CM$51,$CM$56,$CM$61,$CM$66,$CM$71,$CM$76,$CM$81,$CM$86,$CM$91,$CM$96,$CM$101,$CM$106,$CM$111,$CM$116,$CM$121,$CM$126,$CM$131)</f>
        <v>4</v>
      </c>
      <c r="CN133" s="52">
        <f>SUM($CN$16,$CN$21,$CN$26,$CN$31,$CN$36,$CN$41,$CN$46,$CN$51,$CN$56,$CN$61,$CN$66,$CN$71,$CN$76,$CN$81,$CN$86,$CN$91,$CN$96,$CN$101,$CN$106,$CN$111,$CN$116,$CN$121,$CN$126,$CN$131)</f>
        <v>0</v>
      </c>
      <c r="CO133" s="52">
        <f>SUM($CO$16,$CO$21,$CO$26,$CO$31,$CO$36,$CO$41,$CO$46,$CO$51,$CO$56,$CO$61,$CO$66,$CO$71,$CO$76,$CO$81,$CO$86,$CO$91,$CO$96,$CO$101,$CO$106,$CO$111,$CO$116,$CO$121,$CO$126,$CO$131)</f>
        <v>631</v>
      </c>
      <c r="CP133" s="52">
        <f>SUM($CP$16,$CP$21,$CP$26,$CP$31,$CP$36,$CP$41,$CP$46,$CP$51,$CP$56,$CP$61,$CP$66,$CP$71,$CP$76,$CP$81,$CP$86,$CP$91,$CP$96,$CP$101,$CP$106,$CP$111,$CP$116,$CP$121,$CP$126,$CP$131)</f>
        <v>881</v>
      </c>
      <c r="CQ133" s="52">
        <f>SUM($CQ$16,$CQ$21,$CQ$26,$CQ$31,$CQ$36,$CQ$41,$CQ$46,$CQ$51,$CQ$56,$CQ$61,$CQ$66,$CQ$71,$CQ$76,$CQ$81,$CQ$86,$CQ$91,$CQ$96,$CQ$101,$CQ$106,$CQ$111,$CQ$116,$CQ$121,$CQ$126,$CQ$131)</f>
        <v>455</v>
      </c>
      <c r="CR133" s="52">
        <f>SUM($CR$16,$CR$21,$CR$26,$CR$31,$CR$36,$CR$41,$CR$46,$CR$51,$CR$56,$CR$61,$CR$66,$CR$71,$CR$76,$CR$81,$CR$86,$CR$91,$CR$96,$CR$101,$CR$106,$CR$111,$CR$116,$CR$121,$CR$126,$CR$131)</f>
        <v>70</v>
      </c>
      <c r="CS133" s="52">
        <f>SUM($CS$16,$CS$21,$CS$26,$CS$31,$CS$36,$CS$41,$CS$46,$CS$51,$CS$56,$CS$61,$CS$66,$CS$71,$CS$76,$CS$81,$CS$86,$CS$91,$CS$96,$CS$101,$CS$106,$CS$111,$CS$116,$CS$121,$CS$126,$CS$131)</f>
        <v>6</v>
      </c>
      <c r="CT133" s="52">
        <f>SUM($CT$16,$CT$21,$CT$26,$CT$31,$CT$36,$CT$41,$CT$46,$CT$51,$CT$56,$CT$61,$CT$66,$CT$71,$CT$76,$CT$81,$CT$86,$CT$91,$CT$96,$CT$101,$CT$106,$CT$111,$CT$116,$CT$121,$CT$126,$CT$131)</f>
        <v>0</v>
      </c>
      <c r="CU133" s="52">
        <f>SUM($CU$16,$CU$21,$CU$26,$CU$31,$CU$36,$CU$41,$CU$46,$CU$51,$CU$56,$CU$61,$CU$66,$CU$71,$CU$76,$CU$81,$CU$86,$CU$91,$CU$96,$CU$101,$CU$106,$CU$111,$CU$116,$CU$121,$CU$126,$CU$131)</f>
        <v>0</v>
      </c>
      <c r="CV133" s="52">
        <f>SUM($CV$16,$CV$21,$CV$26,$CV$31,$CV$36,$CV$41,$CV$46,$CV$51,$CV$56,$CV$61,$CV$66,$CV$71,$CV$76,$CV$81,$CV$86,$CV$91,$CV$96,$CV$101,$CV$106,$CV$111,$CV$116,$CV$121,$CV$126,$CV$131)</f>
        <v>398</v>
      </c>
      <c r="CW133" s="52">
        <f>SUM($CW$16,$CW$21,$CW$26,$CW$31,$CW$36,$CW$41,$CW$46,$CW$51,$CW$56,$CW$61,$CW$66,$CW$71,$CW$76,$CW$81,$CW$86,$CW$91,$CW$96,$CW$101,$CW$106,$CW$111,$CW$116,$CW$121,$CW$126,$CW$131)</f>
        <v>15</v>
      </c>
      <c r="CX133" s="52">
        <f>SUM($CX$16,$CX$21,$CX$26,$CX$31,$CX$36,$CX$41,$CX$46,$CX$51,$CX$56,$CX$61,$CX$66,$CX$71,$CX$76,$CX$81,$CX$86,$CX$91,$CX$96,$CX$101,$CX$106,$CX$111,$CX$116,$CX$121,$CX$126,$CX$131)</f>
        <v>0</v>
      </c>
      <c r="CY133" s="52">
        <f>SUM($CY$16,$CY$21,$CY$26,$CY$31,$CY$36,$CY$41,$CY$46,$CY$51,$CY$56,$CY$61,$CY$66,$CY$71,$CY$76,$CY$81,$CY$86,$CY$91,$CY$96,$CY$101,$CY$106,$CY$111,$CY$116,$CY$121,$CY$126,$CY$131)</f>
        <v>455</v>
      </c>
      <c r="CZ133" s="52">
        <f>SUM($CZ$16,$CZ$21,$CZ$26,$CZ$31,$CZ$36,$CZ$41,$CZ$46,$CZ$51,$CZ$56,$CZ$61,$CZ$66,$CZ$71,$CZ$76,$CZ$81,$CZ$86,$CZ$91,$CZ$96,$CZ$101,$CZ$106,$CZ$111,$CZ$116,$CZ$121,$CZ$126,$CZ$131)</f>
        <v>70</v>
      </c>
      <c r="DA133" s="52">
        <f>SUM($DA$16,$DA$21,$DA$26,$DA$31,$DA$36,$DA$41,$DA$46,$DA$51,$DA$56,$DA$61,$DA$66,$DA$71,$DA$76,$DA$81,$DA$86,$DA$91,$DA$96,$DA$101,$DA$106,$DA$111,$DA$116,$DA$121,$DA$126,$DA$131)</f>
        <v>10</v>
      </c>
      <c r="DB133" s="52">
        <f>SUM($DB$16,$DB$21,$DB$26,$DB$31,$DB$36,$DB$41,$DB$46,$DB$51,$DB$56,$DB$61,$DB$66,$DB$71,$DB$76,$DB$81,$DB$86,$DB$91,$DB$96,$DB$101,$DB$106,$DB$111,$DB$116,$DB$121,$DB$126,$DB$131)</f>
        <v>0</v>
      </c>
      <c r="DC133" s="52">
        <f>SUM($DC$16,$DC$21,$DC$26,$DC$31,$DC$36,$DC$41,$DC$46,$DC$51,$DC$56,$DC$61,$DC$66,$DC$71,$DC$76,$DC$81,$DC$86,$DC$91,$DC$96,$DC$101,$DC$106,$DC$111,$DC$116,$DC$121,$DC$126,$DC$131)</f>
        <v>0</v>
      </c>
      <c r="DD133" s="52">
        <f>SUM($DD$16,$DD$21,$DD$26,$DD$31,$DD$36,$DD$41,$DD$46,$DD$51,$DD$56,$DD$61,$DD$66,$DD$71,$DD$76,$DD$81,$DD$86,$DD$91,$DD$96,$DD$101,$DD$106,$DD$111,$DD$116,$DD$121,$DD$126,$DD$131)</f>
        <v>78</v>
      </c>
      <c r="DE133" s="52">
        <f>SUM($DE$16,$DE$21,$DE$26,$DE$31,$DE$36,$DE$41,$DE$46,$DE$51,$DE$56,$DE$61,$DE$66,$DE$71,$DE$76,$DE$81,$DE$86,$DE$91,$DE$96,$DE$101,$DE$106,$DE$111,$DE$116,$DE$121,$DE$126,$DE$131)</f>
        <v>4</v>
      </c>
      <c r="DF133" s="52">
        <f>SUM($DF$16,$DF$21,$DF$26,$DF$31,$DF$36,$DF$41,$DF$46,$DF$51,$DF$56,$DF$61,$DF$66,$DF$71,$DF$76,$DF$81,$DF$86,$DF$91,$DF$96,$DF$101,$DF$106,$DF$111,$DF$116,$DF$121,$DF$126,$DF$131)</f>
        <v>0</v>
      </c>
      <c r="DG133" s="52">
        <f>SUM($DG$16,$DG$21,$DG$26,$DG$31,$DG$36,$DG$41,$DG$46,$DG$51,$DG$56,$DG$61,$DG$66,$DG$71,$DG$76,$DG$81,$DG$86,$DG$91,$DG$96,$DG$101,$DG$106,$DG$111,$DG$116,$DG$121,$DG$126,$DG$131)</f>
        <v>617</v>
      </c>
      <c r="DH133" s="52">
        <f>SUM($DH$16,$DH$21,$DH$26,$DH$31,$DH$36,$DH$41,$DH$46,$DH$51,$DH$56,$DH$61,$DH$66,$DH$71,$DH$76,$DH$81,$DH$86,$DH$91,$DH$96,$DH$101,$DH$106,$DH$111,$DH$116,$DH$121,$DH$126,$DH$131)</f>
        <v>944</v>
      </c>
    </row>
  </sheetData>
  <sheetProtection sheet="1" objects="1"/>
  <mergeCells count="6">
    <mergeCell ref="CQ10:DH10"/>
    <mergeCell ref="C10:T10"/>
    <mergeCell ref="U10:AL10"/>
    <mergeCell ref="AM10:BD10"/>
    <mergeCell ref="BE10:BV10"/>
    <mergeCell ref="BY10:CP10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W102"/>
  <sheetViews>
    <sheetView showGridLines="0" showRowColHeaders="0" topLeftCell="C1" workbookViewId="0"/>
  </sheetViews>
  <sheetFormatPr defaultColWidth="9" defaultRowHeight="14.4"/>
  <cols>
    <col min="1" max="2" width="9" hidden="1" customWidth="1"/>
    <col min="4" max="6" width="9" hidden="1" customWidth="1"/>
    <col min="7" max="7" width="13.6640625" customWidth="1"/>
    <col min="8" max="8" width="6.88671875" customWidth="1"/>
    <col min="9" max="12" width="16.6640625" customWidth="1"/>
    <col min="15" max="153" width="9" hidden="1" customWidth="1"/>
  </cols>
  <sheetData>
    <row r="1" spans="1:153">
      <c r="A1" s="1">
        <v>44395</v>
      </c>
      <c r="B1" s="1">
        <v>44395.010416666701</v>
      </c>
      <c r="D1" t="str">
        <f>TEXT($E$1," HH:MM")&amp;" to "&amp;TEXT($F$1," HH:MM")</f>
        <v xml:space="preserve"> 00:00 to  23:59</v>
      </c>
      <c r="E1" s="2">
        <v>44395</v>
      </c>
      <c r="F1" s="3">
        <v>44395.999305555597</v>
      </c>
      <c r="O1" s="2">
        <v>44395</v>
      </c>
      <c r="P1" s="3">
        <v>44395.041666666701</v>
      </c>
      <c r="Q1" s="42">
        <f ca="1">IF($O1="",0,SUM($R1,$AI1,$AZ1,$BQ1,$CH1,$CY1,$DP1,$EG1))</f>
        <v>46</v>
      </c>
      <c r="R1" s="42">
        <f ca="1">SUM($S1,$T1,$U1,$V1,$W1,$X1,$Y1,$Z1,$AA1,$AB1,$AC1,$AD1,$AE1,$AF1,$AG1,$AH1)</f>
        <v>38</v>
      </c>
      <c r="S1" s="42">
        <f ca="1">IF(OR($I$10="",$O1="",$P1="",$J$35&lt;&gt;"Yes"),0,IF($K$10=0,SUMIFS(INDIRECT(ADDRESS(12,3+18*3+(0),,,"J1 A - (North) Bishopthorpe Roa")&amp;":"&amp;ADDRESS(130,3+18*3+(0))),'J1 A - (North) Bishopthorpe Roa'!$A$12:$A$130,"&gt;="&amp;Diagram!$O1,'J1 A - (North) Bishopthorpe Roa'!$A$12:$A$130,"&lt;"&amp;Diagram!$P1),SUMIFS(INDIRECT(ADDRESS(12,3+18*3+(8),,,"J1 A - (North) Bishopthorpe Roa")&amp;":"&amp;ADDRESS(130,3+18*3+(8))),'J1 A - (North) Bishopthorpe Roa'!$A$12:$A$130,"&gt;="&amp;Diagram!$O1,'J1 A - (North) Bishopthorpe Roa'!$A$12:$A$130,"&lt;"&amp;Diagram!$P1)))</f>
        <v>1</v>
      </c>
      <c r="T1" s="42">
        <f ca="1">IF(OR($I$10="",$O1="",$P1="",$J$35&lt;&gt;"Yes"),0,IF($K$10=0,SUMIFS(INDIRECT(ADDRESS(12,3+18*0+(0),,,"J1 A - (North) Bishopthorpe Roa")&amp;":"&amp;ADDRESS(130,3+18*0+(0))),'J1 A - (North) Bishopthorpe Roa'!$A$12:$A$130,"&gt;="&amp;Diagram!$O1,'J1 A - (North) Bishopthorpe Roa'!$A$12:$A$130,"&lt;"&amp;Diagram!$P1),SUMIFS(INDIRECT(ADDRESS(12,3+18*0+(8),,,"J1 A - (North) Bishopthorpe Roa")&amp;":"&amp;ADDRESS(130,3+18*0+(8))),'J1 A - (North) Bishopthorpe Roa'!$A$12:$A$130,"&gt;="&amp;Diagram!$O1,'J1 A - (North) Bishopthorpe Roa'!$A$12:$A$130,"&lt;"&amp;Diagram!$P1)))</f>
        <v>1</v>
      </c>
      <c r="U1" s="42">
        <f ca="1">IF(OR($I$10="",$O1="",$P1="",$J$35&lt;&gt;"Yes"),0,IF($K$10=0,SUMIFS(INDIRECT(ADDRESS(12,3+18*1+(0),,,"J1 A - (North) Bishopthorpe Roa")&amp;":"&amp;ADDRESS(130,3+18*1+(0))),'J1 A - (North) Bishopthorpe Roa'!$A$12:$A$130,"&gt;="&amp;Diagram!$O1,'J1 A - (North) Bishopthorpe Roa'!$A$12:$A$130,"&lt;"&amp;Diagram!$P1),SUMIFS(INDIRECT(ADDRESS(12,3+18*1+(8),,,"J1 A - (North) Bishopthorpe Roa")&amp;":"&amp;ADDRESS(130,3+18*1+(8))),'J1 A - (North) Bishopthorpe Roa'!$A$12:$A$130,"&gt;="&amp;Diagram!$O1,'J1 A - (North) Bishopthorpe Roa'!$A$12:$A$130,"&lt;"&amp;Diagram!$P1)))</f>
        <v>14</v>
      </c>
      <c r="V1" s="42">
        <f ca="1">IF(OR($I$10="",$O1="",$P1="",$J$35&lt;&gt;"Yes"),0,IF($K$10=0,SUMIFS(INDIRECT(ADDRESS(12,3+18*2+(0),,,"J1 A - (North) Bishopthorpe Roa")&amp;":"&amp;ADDRESS(130,3+18*2+(0))),'J1 A - (North) Bishopthorpe Roa'!$A$12:$A$130,"&gt;="&amp;Diagram!$O1,'J1 A - (North) Bishopthorpe Roa'!$A$12:$A$130,"&lt;"&amp;Diagram!$P1),SUMIFS(INDIRECT(ADDRESS(12,3+18*2+(8),,,"J1 A - (North) Bishopthorpe Roa")&amp;":"&amp;ADDRESS(130,3+18*2+(8))),'J1 A - (North) Bishopthorpe Roa'!$A$12:$A$130,"&gt;="&amp;Diagram!$O1,'J1 A - (North) Bishopthorpe Roa'!$A$12:$A$130,"&lt;"&amp;Diagram!$P1)))</f>
        <v>3</v>
      </c>
      <c r="W1" s="42">
        <f ca="1">IF(OR($I$10="",$O1="",$P1="",$J$35&lt;&gt;"Yes"),0,IF($K$10=0,SUMIFS(INDIRECT(ADDRESS(12,3+18*2+(0),,,"J1 B - Butcher Terrace")&amp;":"&amp;ADDRESS(130,3+18*2+(0))),'J1 B - Butcher Terrace'!$A$12:$A$130,"&gt;="&amp;Diagram!$O1,'J1 B - Butcher Terrace'!$A$12:$A$130,"&lt;"&amp;Diagram!$P1),SUMIFS(INDIRECT(ADDRESS(12,3+18*2+(8),,,"J1 B - Butcher Terrace")&amp;":"&amp;ADDRESS(130,3+18*2+(8))),'J1 B - Butcher Terrace'!$A$12:$A$130,"&gt;="&amp;Diagram!$O1,'J1 B - Butcher Terrace'!$A$12:$A$130,"&lt;"&amp;Diagram!$P1)))</f>
        <v>1</v>
      </c>
      <c r="X1" s="42">
        <f ca="1">IF(OR($I$10="",$O1="",$P1="",$J$35&lt;&gt;"Yes"),0,IF($K$10=0,SUMIFS(INDIRECT(ADDRESS(12,3+18*3+(0),,,"J1 B - Butcher Terrace")&amp;":"&amp;ADDRESS(130,3+18*3+(0))),'J1 B - Butcher Terrace'!$A$12:$A$130,"&gt;="&amp;Diagram!$O1,'J1 B - Butcher Terrace'!$A$12:$A$130,"&lt;"&amp;Diagram!$P1),SUMIFS(INDIRECT(ADDRESS(12,3+18*3+(8),,,"J1 B - Butcher Terrace")&amp;":"&amp;ADDRESS(130,3+18*3+(8))),'J1 B - Butcher Terrace'!$A$12:$A$130,"&gt;="&amp;Diagram!$O1,'J1 B - Butcher Terrace'!$A$12:$A$130,"&lt;"&amp;Diagram!$P1)))</f>
        <v>0</v>
      </c>
      <c r="Y1" s="42">
        <f ca="1">IF(OR($I$10="",$O1="",$P1="",$J$35&lt;&gt;"Yes"),0,IF($K$10=0,SUMIFS(INDIRECT(ADDRESS(12,3+18*0+(0),,,"J1 B - Butcher Terrace")&amp;":"&amp;ADDRESS(130,3+18*0+(0))),'J1 B - Butcher Terrace'!$A$12:$A$130,"&gt;="&amp;Diagram!$O1,'J1 B - Butcher Terrace'!$A$12:$A$130,"&lt;"&amp;Diagram!$P1),SUMIFS(INDIRECT(ADDRESS(12,3+18*0+(8),,,"J1 B - Butcher Terrace")&amp;":"&amp;ADDRESS(130,3+18*0+(8))),'J1 B - Butcher Terrace'!$A$12:$A$130,"&gt;="&amp;Diagram!$O1,'J1 B - Butcher Terrace'!$A$12:$A$130,"&lt;"&amp;Diagram!$P1)))</f>
        <v>0</v>
      </c>
      <c r="Z1" s="42">
        <f ca="1">IF(OR($I$10="",$O1="",$P1="",$J$35&lt;&gt;"Yes"),0,IF($K$10=0,SUMIFS(INDIRECT(ADDRESS(12,3+18*1+(0),,,"J1 B - Butcher Terrace")&amp;":"&amp;ADDRESS(130,3+18*1+(0))),'J1 B - Butcher Terrace'!$A$12:$A$130,"&gt;="&amp;Diagram!$O1,'J1 B - Butcher Terrace'!$A$12:$A$130,"&lt;"&amp;Diagram!$P1),SUMIFS(INDIRECT(ADDRESS(12,3+18*1+(8),,,"J1 B - Butcher Terrace")&amp;":"&amp;ADDRESS(130,3+18*1+(8))),'J1 B - Butcher Terrace'!$A$12:$A$130,"&gt;="&amp;Diagram!$O1,'J1 B - Butcher Terrace'!$A$12:$A$130,"&lt;"&amp;Diagram!$P1)))</f>
        <v>1</v>
      </c>
      <c r="AA1" s="42">
        <f ca="1">IF(OR($I$10="",$O1="",$P1="",$J$35&lt;&gt;"Yes"),0,IF($K$10=0,SUMIFS(INDIRECT(ADDRESS(12,3+18*1+(0),,,"J1 C - (South) Bishopthorpe Roa")&amp;":"&amp;ADDRESS(130,3+18*1+(0))),'J1 C - (South) Bishopthorpe Roa'!$A$12:$A$130,"&gt;="&amp;Diagram!$O1,'J1 C - (South) Bishopthorpe Roa'!$A$12:$A$130,"&lt;"&amp;Diagram!$P1),SUMIFS(INDIRECT(ADDRESS(12,3+18*1+(8),,,"J1 C - (South) Bishopthorpe Roa")&amp;":"&amp;ADDRESS(130,3+18*1+(8))),'J1 C - (South) Bishopthorpe Roa'!$A$12:$A$130,"&gt;="&amp;Diagram!$O1,'J1 C - (South) Bishopthorpe Roa'!$A$12:$A$130,"&lt;"&amp;Diagram!$P1)))</f>
        <v>13</v>
      </c>
      <c r="AB1" s="42">
        <f ca="1">IF(OR($I$10="",$O1="",$P1="",$J$35&lt;&gt;"Yes"),0,IF($K$10=0,SUMIFS(INDIRECT(ADDRESS(12,3+18*2+(0),,,"J1 C - (South) Bishopthorpe Roa")&amp;":"&amp;ADDRESS(130,3+18*2+(0))),'J1 C - (South) Bishopthorpe Roa'!$A$12:$A$130,"&gt;="&amp;Diagram!$O1,'J1 C - (South) Bishopthorpe Roa'!$A$12:$A$130,"&lt;"&amp;Diagram!$P1),SUMIFS(INDIRECT(ADDRESS(12,3+18*2+(8),,,"J1 C - (South) Bishopthorpe Roa")&amp;":"&amp;ADDRESS(130,3+18*2+(8))),'J1 C - (South) Bishopthorpe Roa'!$A$12:$A$130,"&gt;="&amp;Diagram!$O1,'J1 C - (South) Bishopthorpe Roa'!$A$12:$A$130,"&lt;"&amp;Diagram!$P1)))</f>
        <v>0</v>
      </c>
      <c r="AC1" s="42">
        <f ca="1">IF(OR($I$10="",$O1="",$P1="",$J$35&lt;&gt;"Yes"),0,IF($K$10=0,SUMIFS(INDIRECT(ADDRESS(12,3+18*3+(0),,,"J1 C - (South) Bishopthorpe Roa")&amp;":"&amp;ADDRESS(130,3+18*3+(0))),'J1 C - (South) Bishopthorpe Roa'!$A$12:$A$130,"&gt;="&amp;Diagram!$O1,'J1 C - (South) Bishopthorpe Roa'!$A$12:$A$130,"&lt;"&amp;Diagram!$P1),SUMIFS(INDIRECT(ADDRESS(12,3+18*3+(8),,,"J1 C - (South) Bishopthorpe Roa")&amp;":"&amp;ADDRESS(130,3+18*3+(8))),'J1 C - (South) Bishopthorpe Roa'!$A$12:$A$130,"&gt;="&amp;Diagram!$O1,'J1 C - (South) Bishopthorpe Roa'!$A$12:$A$130,"&lt;"&amp;Diagram!$P1)))</f>
        <v>0</v>
      </c>
      <c r="AD1" s="42">
        <f ca="1">IF(OR($I$10="",$O1="",$P1="",$J$35&lt;&gt;"Yes"),0,IF($K$10=0,SUMIFS(INDIRECT(ADDRESS(12,3+18*0+(0),,,"J1 C - (South) Bishopthorpe Roa")&amp;":"&amp;ADDRESS(130,3+18*0+(0))),'J1 C - (South) Bishopthorpe Roa'!$A$12:$A$130,"&gt;="&amp;Diagram!$O1,'J1 C - (South) Bishopthorpe Roa'!$A$12:$A$130,"&lt;"&amp;Diagram!$P1),SUMIFS(INDIRECT(ADDRESS(12,3+18*0+(8),,,"J1 C - (South) Bishopthorpe Roa")&amp;":"&amp;ADDRESS(130,3+18*0+(8))),'J1 C - (South) Bishopthorpe Roa'!$A$12:$A$130,"&gt;="&amp;Diagram!$O1,'J1 C - (South) Bishopthorpe Roa'!$A$12:$A$130,"&lt;"&amp;Diagram!$P1)))</f>
        <v>0</v>
      </c>
      <c r="AE1" s="42">
        <f ca="1">IF(OR($I$10="",$O1="",$P1="",$J$35&lt;&gt;"Yes"),0,IF($K$10=0,SUMIFS(INDIRECT(ADDRESS(12,3+18*0+(0),,,"J1 D - South Bank Avenue")&amp;":"&amp;ADDRESS(130,3+18*0+(0))),'J1 D - South Bank Avenue'!$A$12:$A$130,"&gt;="&amp;Diagram!$O1,'J1 D - South Bank Avenue'!$A$12:$A$130,"&lt;"&amp;Diagram!$P1),SUMIFS(INDIRECT(ADDRESS(12,3+18*0+(8),,,"J1 D - South Bank Avenue")&amp;":"&amp;ADDRESS(130,3+18*0+(8))),'J1 D - South Bank Avenue'!$A$12:$A$130,"&gt;="&amp;Diagram!$O1,'J1 D - South Bank Avenue'!$A$12:$A$130,"&lt;"&amp;Diagram!$P1)))</f>
        <v>3</v>
      </c>
      <c r="AF1" s="42">
        <f ca="1">IF(OR($I$10="",$O1="",$P1="",$J$35&lt;&gt;"Yes"),0,IF($K$10=0,SUMIFS(INDIRECT(ADDRESS(12,3+18*1+(0),,,"J1 D - South Bank Avenue")&amp;":"&amp;ADDRESS(130,3+18*1+(0))),'J1 D - South Bank Avenue'!$A$12:$A$130,"&gt;="&amp;Diagram!$O1,'J1 D - South Bank Avenue'!$A$12:$A$130,"&lt;"&amp;Diagram!$P1),SUMIFS(INDIRECT(ADDRESS(12,3+18*1+(8),,,"J1 D - South Bank Avenue")&amp;":"&amp;ADDRESS(130,3+18*1+(8))),'J1 D - South Bank Avenue'!$A$12:$A$130,"&gt;="&amp;Diagram!$O1,'J1 D - South Bank Avenue'!$A$12:$A$130,"&lt;"&amp;Diagram!$P1)))</f>
        <v>1</v>
      </c>
      <c r="AG1" s="42">
        <f ca="1">IF(OR($I$10="",$O1="",$P1="",$J$35&lt;&gt;"Yes"),0,IF($K$10=0,SUMIFS(INDIRECT(ADDRESS(12,3+18*2+(0),,,"J1 D - South Bank Avenue")&amp;":"&amp;ADDRESS(130,3+18*2+(0))),'J1 D - South Bank Avenue'!$A$12:$A$130,"&gt;="&amp;Diagram!$O1,'J1 D - South Bank Avenue'!$A$12:$A$130,"&lt;"&amp;Diagram!$P1),SUMIFS(INDIRECT(ADDRESS(12,3+18*2+(8),,,"J1 D - South Bank Avenue")&amp;":"&amp;ADDRESS(130,3+18*2+(8))),'J1 D - South Bank Avenue'!$A$12:$A$130,"&gt;="&amp;Diagram!$O1,'J1 D - South Bank Avenue'!$A$12:$A$130,"&lt;"&amp;Diagram!$P1)))</f>
        <v>0</v>
      </c>
      <c r="AH1" s="42">
        <f ca="1">IF(OR($I$10="",$O1="",$P1="",$J$35&lt;&gt;"Yes"),0,IF($K$10=0,SUMIFS(INDIRECT(ADDRESS(12,3+18*3+(0),,,"J1 D - South Bank Avenue")&amp;":"&amp;ADDRESS(130,3+18*3+(0))),'J1 D - South Bank Avenue'!$A$12:$A$130,"&gt;="&amp;Diagram!$O1,'J1 D - South Bank Avenue'!$A$12:$A$130,"&lt;"&amp;Diagram!$P1),SUMIFS(INDIRECT(ADDRESS(12,3+18*3+(8),,,"J1 D - South Bank Avenue")&amp;":"&amp;ADDRESS(130,3+18*3+(8))),'J1 D - South Bank Avenue'!$A$12:$A$130,"&gt;="&amp;Diagram!$O1,'J1 D - South Bank Avenue'!$A$12:$A$130,"&lt;"&amp;Diagram!$P1)))</f>
        <v>0</v>
      </c>
      <c r="AI1" s="42">
        <f ca="1">SUM($AJ1,$AK1,$AL1,$AM1,$AN1,$AO1,$AP1,$AQ1,$AR1,$AS1,$AT1,$AU1,$AV1,$AW1,$AX1,$AY1)</f>
        <v>1</v>
      </c>
      <c r="AJ1" s="42">
        <f ca="1">IF(OR($I$10="",$O1="",$P1="",$J$36&lt;&gt;"Yes"),0,IF($K$10=0,SUMIFS(INDIRECT(ADDRESS(12,3+18*3+(1),,,"J1 A - (North) Bishopthorpe Roa")&amp;":"&amp;ADDRESS(130,3+18*3+(1))),'J1 A - (North) Bishopthorpe Roa'!$A$12:$A$130,"&gt;="&amp;Diagram!$O1,'J1 A - (North) Bishopthorpe Roa'!$A$12:$A$130,"&lt;"&amp;Diagram!$P1),SUMIFS(INDIRECT(ADDRESS(12,3+18*3+(9),,,"J1 A - (North) Bishopthorpe Roa")&amp;":"&amp;ADDRESS(130,3+18*3+(9))),'J1 A - (North) Bishopthorpe Roa'!$A$12:$A$130,"&gt;="&amp;Diagram!$O1,'J1 A - (North) Bishopthorpe Roa'!$A$12:$A$130,"&lt;"&amp;Diagram!$P1)))</f>
        <v>0</v>
      </c>
      <c r="AK1" s="42">
        <f ca="1">IF(OR($I$10="",$O1="",$P1="",$J$36&lt;&gt;"Yes"),0,IF($K$10=0,SUMIFS(INDIRECT(ADDRESS(12,3+18*0+(1),,,"J1 A - (North) Bishopthorpe Roa")&amp;":"&amp;ADDRESS(130,3+18*0+(1))),'J1 A - (North) Bishopthorpe Roa'!$A$12:$A$130,"&gt;="&amp;Diagram!$O1,'J1 A - (North) Bishopthorpe Roa'!$A$12:$A$130,"&lt;"&amp;Diagram!$P1),SUMIFS(INDIRECT(ADDRESS(12,3+18*0+(9),,,"J1 A - (North) Bishopthorpe Roa")&amp;":"&amp;ADDRESS(130,3+18*0+(9))),'J1 A - (North) Bishopthorpe Roa'!$A$12:$A$130,"&gt;="&amp;Diagram!$O1,'J1 A - (North) Bishopthorpe Roa'!$A$12:$A$130,"&lt;"&amp;Diagram!$P1)))</f>
        <v>0</v>
      </c>
      <c r="AL1" s="42">
        <f ca="1">IF(OR($I$10="",$O1="",$P1="",$J$36&lt;&gt;"Yes"),0,IF($K$10=0,SUMIFS(INDIRECT(ADDRESS(12,3+18*1+(1),,,"J1 A - (North) Bishopthorpe Roa")&amp;":"&amp;ADDRESS(130,3+18*1+(1))),'J1 A - (North) Bishopthorpe Roa'!$A$12:$A$130,"&gt;="&amp;Diagram!$O1,'J1 A - (North) Bishopthorpe Roa'!$A$12:$A$130,"&lt;"&amp;Diagram!$P1),SUMIFS(INDIRECT(ADDRESS(12,3+18*1+(9),,,"J1 A - (North) Bishopthorpe Roa")&amp;":"&amp;ADDRESS(130,3+18*1+(9))),'J1 A - (North) Bishopthorpe Roa'!$A$12:$A$130,"&gt;="&amp;Diagram!$O1,'J1 A - (North) Bishopthorpe Roa'!$A$12:$A$130,"&lt;"&amp;Diagram!$P1)))</f>
        <v>1</v>
      </c>
      <c r="AM1" s="42">
        <f ca="1">IF(OR($I$10="",$O1="",$P1="",$J$36&lt;&gt;"Yes"),0,IF($K$10=0,SUMIFS(INDIRECT(ADDRESS(12,3+18*2+(1),,,"J1 A - (North) Bishopthorpe Roa")&amp;":"&amp;ADDRESS(130,3+18*2+(1))),'J1 A - (North) Bishopthorpe Roa'!$A$12:$A$130,"&gt;="&amp;Diagram!$O1,'J1 A - (North) Bishopthorpe Roa'!$A$12:$A$130,"&lt;"&amp;Diagram!$P1),SUMIFS(INDIRECT(ADDRESS(12,3+18*2+(9),,,"J1 A - (North) Bishopthorpe Roa")&amp;":"&amp;ADDRESS(130,3+18*2+(9))),'J1 A - (North) Bishopthorpe Roa'!$A$12:$A$130,"&gt;="&amp;Diagram!$O1,'J1 A - (North) Bishopthorpe Roa'!$A$12:$A$130,"&lt;"&amp;Diagram!$P1)))</f>
        <v>0</v>
      </c>
      <c r="AN1" s="42">
        <f ca="1">IF(OR($I$10="",$O1="",$P1="",$J$36&lt;&gt;"Yes"),0,IF($K$10=0,SUMIFS(INDIRECT(ADDRESS(12,3+18*2+(1),,,"J1 B - Butcher Terrace")&amp;":"&amp;ADDRESS(130,3+18*2+(1))),'J1 B - Butcher Terrace'!$A$12:$A$130,"&gt;="&amp;Diagram!$O1,'J1 B - Butcher Terrace'!$A$12:$A$130,"&lt;"&amp;Diagram!$P1),SUMIFS(INDIRECT(ADDRESS(12,3+18*2+(9),,,"J1 B - Butcher Terrace")&amp;":"&amp;ADDRESS(130,3+18*2+(9))),'J1 B - Butcher Terrace'!$A$12:$A$130,"&gt;="&amp;Diagram!$O1,'J1 B - Butcher Terrace'!$A$12:$A$130,"&lt;"&amp;Diagram!$P1)))</f>
        <v>0</v>
      </c>
      <c r="AO1" s="42">
        <f ca="1">IF(OR($I$10="",$O1="",$P1="",$J$36&lt;&gt;"Yes"),0,IF($K$10=0,SUMIFS(INDIRECT(ADDRESS(12,3+18*3+(1),,,"J1 B - Butcher Terrace")&amp;":"&amp;ADDRESS(130,3+18*3+(1))),'J1 B - Butcher Terrace'!$A$12:$A$130,"&gt;="&amp;Diagram!$O1,'J1 B - Butcher Terrace'!$A$12:$A$130,"&lt;"&amp;Diagram!$P1),SUMIFS(INDIRECT(ADDRESS(12,3+18*3+(9),,,"J1 B - Butcher Terrace")&amp;":"&amp;ADDRESS(130,3+18*3+(9))),'J1 B - Butcher Terrace'!$A$12:$A$130,"&gt;="&amp;Diagram!$O1,'J1 B - Butcher Terrace'!$A$12:$A$130,"&lt;"&amp;Diagram!$P1)))</f>
        <v>0</v>
      </c>
      <c r="AP1" s="42">
        <f ca="1">IF(OR($I$10="",$O1="",$P1="",$J$36&lt;&gt;"Yes"),0,IF($K$10=0,SUMIFS(INDIRECT(ADDRESS(12,3+18*0+(1),,,"J1 B - Butcher Terrace")&amp;":"&amp;ADDRESS(130,3+18*0+(1))),'J1 B - Butcher Terrace'!$A$12:$A$130,"&gt;="&amp;Diagram!$O1,'J1 B - Butcher Terrace'!$A$12:$A$130,"&lt;"&amp;Diagram!$P1),SUMIFS(INDIRECT(ADDRESS(12,3+18*0+(9),,,"J1 B - Butcher Terrace")&amp;":"&amp;ADDRESS(130,3+18*0+(9))),'J1 B - Butcher Terrace'!$A$12:$A$130,"&gt;="&amp;Diagram!$O1,'J1 B - Butcher Terrace'!$A$12:$A$130,"&lt;"&amp;Diagram!$P1)))</f>
        <v>0</v>
      </c>
      <c r="AQ1" s="42">
        <f ca="1">IF(OR($I$10="",$O1="",$P1="",$J$36&lt;&gt;"Yes"),0,IF($K$10=0,SUMIFS(INDIRECT(ADDRESS(12,3+18*1+(1),,,"J1 B - Butcher Terrace")&amp;":"&amp;ADDRESS(130,3+18*1+(1))),'J1 B - Butcher Terrace'!$A$12:$A$130,"&gt;="&amp;Diagram!$O1,'J1 B - Butcher Terrace'!$A$12:$A$130,"&lt;"&amp;Diagram!$P1),SUMIFS(INDIRECT(ADDRESS(12,3+18*1+(9),,,"J1 B - Butcher Terrace")&amp;":"&amp;ADDRESS(130,3+18*1+(9))),'J1 B - Butcher Terrace'!$A$12:$A$130,"&gt;="&amp;Diagram!$O1,'J1 B - Butcher Terrace'!$A$12:$A$130,"&lt;"&amp;Diagram!$P1)))</f>
        <v>0</v>
      </c>
      <c r="AR1" s="42">
        <f ca="1">IF(OR($I$10="",$O1="",$P1="",$J$36&lt;&gt;"Yes"),0,IF($K$10=0,SUMIFS(INDIRECT(ADDRESS(12,3+18*1+(1),,,"J1 C - (South) Bishopthorpe Roa")&amp;":"&amp;ADDRESS(130,3+18*1+(1))),'J1 C - (South) Bishopthorpe Roa'!$A$12:$A$130,"&gt;="&amp;Diagram!$O1,'J1 C - (South) Bishopthorpe Roa'!$A$12:$A$130,"&lt;"&amp;Diagram!$P1),SUMIFS(INDIRECT(ADDRESS(12,3+18*1+(9),,,"J1 C - (South) Bishopthorpe Roa")&amp;":"&amp;ADDRESS(130,3+18*1+(9))),'J1 C - (South) Bishopthorpe Roa'!$A$12:$A$130,"&gt;="&amp;Diagram!$O1,'J1 C - (South) Bishopthorpe Roa'!$A$12:$A$130,"&lt;"&amp;Diagram!$P1)))</f>
        <v>0</v>
      </c>
      <c r="AS1" s="42">
        <f ca="1">IF(OR($I$10="",$O1="",$P1="",$J$36&lt;&gt;"Yes"),0,IF($K$10=0,SUMIFS(INDIRECT(ADDRESS(12,3+18*2+(1),,,"J1 C - (South) Bishopthorpe Roa")&amp;":"&amp;ADDRESS(130,3+18*2+(1))),'J1 C - (South) Bishopthorpe Roa'!$A$12:$A$130,"&gt;="&amp;Diagram!$O1,'J1 C - (South) Bishopthorpe Roa'!$A$12:$A$130,"&lt;"&amp;Diagram!$P1),SUMIFS(INDIRECT(ADDRESS(12,3+18*2+(9),,,"J1 C - (South) Bishopthorpe Roa")&amp;":"&amp;ADDRESS(130,3+18*2+(9))),'J1 C - (South) Bishopthorpe Roa'!$A$12:$A$130,"&gt;="&amp;Diagram!$O1,'J1 C - (South) Bishopthorpe Roa'!$A$12:$A$130,"&lt;"&amp;Diagram!$P1)))</f>
        <v>0</v>
      </c>
      <c r="AT1" s="42">
        <f ca="1">IF(OR($I$10="",$O1="",$P1="",$J$36&lt;&gt;"Yes"),0,IF($K$10=0,SUMIFS(INDIRECT(ADDRESS(12,3+18*3+(1),,,"J1 C - (South) Bishopthorpe Roa")&amp;":"&amp;ADDRESS(130,3+18*3+(1))),'J1 C - (South) Bishopthorpe Roa'!$A$12:$A$130,"&gt;="&amp;Diagram!$O1,'J1 C - (South) Bishopthorpe Roa'!$A$12:$A$130,"&lt;"&amp;Diagram!$P1),SUMIFS(INDIRECT(ADDRESS(12,3+18*3+(9),,,"J1 C - (South) Bishopthorpe Roa")&amp;":"&amp;ADDRESS(130,3+18*3+(9))),'J1 C - (South) Bishopthorpe Roa'!$A$12:$A$130,"&gt;="&amp;Diagram!$O1,'J1 C - (South) Bishopthorpe Roa'!$A$12:$A$130,"&lt;"&amp;Diagram!$P1)))</f>
        <v>0</v>
      </c>
      <c r="AU1" s="42">
        <f ca="1">IF(OR($I$10="",$O1="",$P1="",$J$36&lt;&gt;"Yes"),0,IF($K$10=0,SUMIFS(INDIRECT(ADDRESS(12,3+18*0+(1),,,"J1 C - (South) Bishopthorpe Roa")&amp;":"&amp;ADDRESS(130,3+18*0+(1))),'J1 C - (South) Bishopthorpe Roa'!$A$12:$A$130,"&gt;="&amp;Diagram!$O1,'J1 C - (South) Bishopthorpe Roa'!$A$12:$A$130,"&lt;"&amp;Diagram!$P1),SUMIFS(INDIRECT(ADDRESS(12,3+18*0+(9),,,"J1 C - (South) Bishopthorpe Roa")&amp;":"&amp;ADDRESS(130,3+18*0+(9))),'J1 C - (South) Bishopthorpe Roa'!$A$12:$A$130,"&gt;="&amp;Diagram!$O1,'J1 C - (South) Bishopthorpe Roa'!$A$12:$A$130,"&lt;"&amp;Diagram!$P1)))</f>
        <v>0</v>
      </c>
      <c r="AV1" s="42">
        <f ca="1">IF(OR($I$10="",$O1="",$P1="",$J$36&lt;&gt;"Yes"),0,IF($K$10=0,SUMIFS(INDIRECT(ADDRESS(12,3+18*0+(1),,,"J1 D - South Bank Avenue")&amp;":"&amp;ADDRESS(130,3+18*0+(1))),'J1 D - South Bank Avenue'!$A$12:$A$130,"&gt;="&amp;Diagram!$O1,'J1 D - South Bank Avenue'!$A$12:$A$130,"&lt;"&amp;Diagram!$P1),SUMIFS(INDIRECT(ADDRESS(12,3+18*0+(9),,,"J1 D - South Bank Avenue")&amp;":"&amp;ADDRESS(130,3+18*0+(9))),'J1 D - South Bank Avenue'!$A$12:$A$130,"&gt;="&amp;Diagram!$O1,'J1 D - South Bank Avenue'!$A$12:$A$130,"&lt;"&amp;Diagram!$P1)))</f>
        <v>0</v>
      </c>
      <c r="AW1" s="42">
        <f ca="1">IF(OR($I$10="",$O1="",$P1="",$J$36&lt;&gt;"Yes"),0,IF($K$10=0,SUMIFS(INDIRECT(ADDRESS(12,3+18*1+(1),,,"J1 D - South Bank Avenue")&amp;":"&amp;ADDRESS(130,3+18*1+(1))),'J1 D - South Bank Avenue'!$A$12:$A$130,"&gt;="&amp;Diagram!$O1,'J1 D - South Bank Avenue'!$A$12:$A$130,"&lt;"&amp;Diagram!$P1),SUMIFS(INDIRECT(ADDRESS(12,3+18*1+(9),,,"J1 D - South Bank Avenue")&amp;":"&amp;ADDRESS(130,3+18*1+(9))),'J1 D - South Bank Avenue'!$A$12:$A$130,"&gt;="&amp;Diagram!$O1,'J1 D - South Bank Avenue'!$A$12:$A$130,"&lt;"&amp;Diagram!$P1)))</f>
        <v>0</v>
      </c>
      <c r="AX1" s="42">
        <f ca="1">IF(OR($I$10="",$O1="",$P1="",$J$36&lt;&gt;"Yes"),0,IF($K$10=0,SUMIFS(INDIRECT(ADDRESS(12,3+18*2+(1),,,"J1 D - South Bank Avenue")&amp;":"&amp;ADDRESS(130,3+18*2+(1))),'J1 D - South Bank Avenue'!$A$12:$A$130,"&gt;="&amp;Diagram!$O1,'J1 D - South Bank Avenue'!$A$12:$A$130,"&lt;"&amp;Diagram!$P1),SUMIFS(INDIRECT(ADDRESS(12,3+18*2+(9),,,"J1 D - South Bank Avenue")&amp;":"&amp;ADDRESS(130,3+18*2+(9))),'J1 D - South Bank Avenue'!$A$12:$A$130,"&gt;="&amp;Diagram!$O1,'J1 D - South Bank Avenue'!$A$12:$A$130,"&lt;"&amp;Diagram!$P1)))</f>
        <v>0</v>
      </c>
      <c r="AY1" s="42">
        <f ca="1">IF(OR($I$10="",$O1="",$P1="",$J$36&lt;&gt;"Yes"),0,IF($K$10=0,SUMIFS(INDIRECT(ADDRESS(12,3+18*3+(1),,,"J1 D - South Bank Avenue")&amp;":"&amp;ADDRESS(130,3+18*3+(1))),'J1 D - South Bank Avenue'!$A$12:$A$130,"&gt;="&amp;Diagram!$O1,'J1 D - South Bank Avenue'!$A$12:$A$130,"&lt;"&amp;Diagram!$P1),SUMIFS(INDIRECT(ADDRESS(12,3+18*3+(9),,,"J1 D - South Bank Avenue")&amp;":"&amp;ADDRESS(130,3+18*3+(9))),'J1 D - South Bank Avenue'!$A$12:$A$130,"&gt;="&amp;Diagram!$O1,'J1 D - South Bank Avenue'!$A$12:$A$130,"&lt;"&amp;Diagram!$P1)))</f>
        <v>0</v>
      </c>
      <c r="AZ1" s="42">
        <f ca="1">SUM($BA1,$BB1,$BC1,$BD1,$BE1,$BF1,$BG1,$BH1,$BI1,$BJ1,$BK1,$BL1,$BM1,$BN1,$BO1,$BP1)</f>
        <v>0</v>
      </c>
      <c r="BA1" s="42">
        <f ca="1">IF(OR($I$10="",$O1="",$P1="",$J$37&lt;&gt;"Yes"),0,IF($K$10=0,SUMIFS(INDIRECT(ADDRESS(12,3+18*3+(2),,,"J1 A - (North) Bishopthorpe Roa")&amp;":"&amp;ADDRESS(130,3+18*3+(2))),'J1 A - (North) Bishopthorpe Roa'!$A$12:$A$130,"&gt;="&amp;Diagram!$O1,'J1 A - (North) Bishopthorpe Roa'!$A$12:$A$130,"&lt;"&amp;Diagram!$P1),SUMIFS(INDIRECT(ADDRESS(12,3+18*3+(10),,,"J1 A - (North) Bishopthorpe Roa")&amp;":"&amp;ADDRESS(130,3+18*3+(10))),'J1 A - (North) Bishopthorpe Roa'!$A$12:$A$130,"&gt;="&amp;Diagram!$O1,'J1 A - (North) Bishopthorpe Roa'!$A$12:$A$130,"&lt;"&amp;Diagram!$P1)))</f>
        <v>0</v>
      </c>
      <c r="BB1" s="42">
        <f ca="1">IF(OR($I$10="",$O1="",$P1="",$J$37&lt;&gt;"Yes"),0,IF($K$10=0,SUMIFS(INDIRECT(ADDRESS(12,3+18*0+(2),,,"J1 A - (North) Bishopthorpe Roa")&amp;":"&amp;ADDRESS(130,3+18*0+(2))),'J1 A - (North) Bishopthorpe Roa'!$A$12:$A$130,"&gt;="&amp;Diagram!$O1,'J1 A - (North) Bishopthorpe Roa'!$A$12:$A$130,"&lt;"&amp;Diagram!$P1),SUMIFS(INDIRECT(ADDRESS(12,3+18*0+(10),,,"J1 A - (North) Bishopthorpe Roa")&amp;":"&amp;ADDRESS(130,3+18*0+(10))),'J1 A - (North) Bishopthorpe Roa'!$A$12:$A$130,"&gt;="&amp;Diagram!$O1,'J1 A - (North) Bishopthorpe Roa'!$A$12:$A$130,"&lt;"&amp;Diagram!$P1)))</f>
        <v>0</v>
      </c>
      <c r="BC1" s="42">
        <f ca="1">IF(OR($I$10="",$O1="",$P1="",$J$37&lt;&gt;"Yes"),0,IF($K$10=0,SUMIFS(INDIRECT(ADDRESS(12,3+18*1+(2),,,"J1 A - (North) Bishopthorpe Roa")&amp;":"&amp;ADDRESS(130,3+18*1+(2))),'J1 A - (North) Bishopthorpe Roa'!$A$12:$A$130,"&gt;="&amp;Diagram!$O1,'J1 A - (North) Bishopthorpe Roa'!$A$12:$A$130,"&lt;"&amp;Diagram!$P1),SUMIFS(INDIRECT(ADDRESS(12,3+18*1+(10),,,"J1 A - (North) Bishopthorpe Roa")&amp;":"&amp;ADDRESS(130,3+18*1+(10))),'J1 A - (North) Bishopthorpe Roa'!$A$12:$A$130,"&gt;="&amp;Diagram!$O1,'J1 A - (North) Bishopthorpe Roa'!$A$12:$A$130,"&lt;"&amp;Diagram!$P1)))</f>
        <v>0</v>
      </c>
      <c r="BD1" s="42">
        <f ca="1">IF(OR($I$10="",$O1="",$P1="",$J$37&lt;&gt;"Yes"),0,IF($K$10=0,SUMIFS(INDIRECT(ADDRESS(12,3+18*2+(2),,,"J1 A - (North) Bishopthorpe Roa")&amp;":"&amp;ADDRESS(130,3+18*2+(2))),'J1 A - (North) Bishopthorpe Roa'!$A$12:$A$130,"&gt;="&amp;Diagram!$O1,'J1 A - (North) Bishopthorpe Roa'!$A$12:$A$130,"&lt;"&amp;Diagram!$P1),SUMIFS(INDIRECT(ADDRESS(12,3+18*2+(10),,,"J1 A - (North) Bishopthorpe Roa")&amp;":"&amp;ADDRESS(130,3+18*2+(10))),'J1 A - (North) Bishopthorpe Roa'!$A$12:$A$130,"&gt;="&amp;Diagram!$O1,'J1 A - (North) Bishopthorpe Roa'!$A$12:$A$130,"&lt;"&amp;Diagram!$P1)))</f>
        <v>0</v>
      </c>
      <c r="BE1" s="42">
        <f ca="1">IF(OR($I$10="",$O1="",$P1="",$J$37&lt;&gt;"Yes"),0,IF($K$10=0,SUMIFS(INDIRECT(ADDRESS(12,3+18*2+(2),,,"J1 B - Butcher Terrace")&amp;":"&amp;ADDRESS(130,3+18*2+(2))),'J1 B - Butcher Terrace'!$A$12:$A$130,"&gt;="&amp;Diagram!$O1,'J1 B - Butcher Terrace'!$A$12:$A$130,"&lt;"&amp;Diagram!$P1),SUMIFS(INDIRECT(ADDRESS(12,3+18*2+(10),,,"J1 B - Butcher Terrace")&amp;":"&amp;ADDRESS(130,3+18*2+(10))),'J1 B - Butcher Terrace'!$A$12:$A$130,"&gt;="&amp;Diagram!$O1,'J1 B - Butcher Terrace'!$A$12:$A$130,"&lt;"&amp;Diagram!$P1)))</f>
        <v>0</v>
      </c>
      <c r="BF1" s="42">
        <f ca="1">IF(OR($I$10="",$O1="",$P1="",$J$37&lt;&gt;"Yes"),0,IF($K$10=0,SUMIFS(INDIRECT(ADDRESS(12,3+18*3+(2),,,"J1 B - Butcher Terrace")&amp;":"&amp;ADDRESS(130,3+18*3+(2))),'J1 B - Butcher Terrace'!$A$12:$A$130,"&gt;="&amp;Diagram!$O1,'J1 B - Butcher Terrace'!$A$12:$A$130,"&lt;"&amp;Diagram!$P1),SUMIFS(INDIRECT(ADDRESS(12,3+18*3+(10),,,"J1 B - Butcher Terrace")&amp;":"&amp;ADDRESS(130,3+18*3+(10))),'J1 B - Butcher Terrace'!$A$12:$A$130,"&gt;="&amp;Diagram!$O1,'J1 B - Butcher Terrace'!$A$12:$A$130,"&lt;"&amp;Diagram!$P1)))</f>
        <v>0</v>
      </c>
      <c r="BG1" s="42">
        <f ca="1">IF(OR($I$10="",$O1="",$P1="",$J$37&lt;&gt;"Yes"),0,IF($K$10=0,SUMIFS(INDIRECT(ADDRESS(12,3+18*0+(2),,,"J1 B - Butcher Terrace")&amp;":"&amp;ADDRESS(130,3+18*0+(2))),'J1 B - Butcher Terrace'!$A$12:$A$130,"&gt;="&amp;Diagram!$O1,'J1 B - Butcher Terrace'!$A$12:$A$130,"&lt;"&amp;Diagram!$P1),SUMIFS(INDIRECT(ADDRESS(12,3+18*0+(10),,,"J1 B - Butcher Terrace")&amp;":"&amp;ADDRESS(130,3+18*0+(10))),'J1 B - Butcher Terrace'!$A$12:$A$130,"&gt;="&amp;Diagram!$O1,'J1 B - Butcher Terrace'!$A$12:$A$130,"&lt;"&amp;Diagram!$P1)))</f>
        <v>0</v>
      </c>
      <c r="BH1" s="42">
        <f ca="1">IF(OR($I$10="",$O1="",$P1="",$J$37&lt;&gt;"Yes"),0,IF($K$10=0,SUMIFS(INDIRECT(ADDRESS(12,3+18*1+(2),,,"J1 B - Butcher Terrace")&amp;":"&amp;ADDRESS(130,3+18*1+(2))),'J1 B - Butcher Terrace'!$A$12:$A$130,"&gt;="&amp;Diagram!$O1,'J1 B - Butcher Terrace'!$A$12:$A$130,"&lt;"&amp;Diagram!$P1),SUMIFS(INDIRECT(ADDRESS(12,3+18*1+(10),,,"J1 B - Butcher Terrace")&amp;":"&amp;ADDRESS(130,3+18*1+(10))),'J1 B - Butcher Terrace'!$A$12:$A$130,"&gt;="&amp;Diagram!$O1,'J1 B - Butcher Terrace'!$A$12:$A$130,"&lt;"&amp;Diagram!$P1)))</f>
        <v>0</v>
      </c>
      <c r="BI1" s="42">
        <f ca="1">IF(OR($I$10="",$O1="",$P1="",$J$37&lt;&gt;"Yes"),0,IF($K$10=0,SUMIFS(INDIRECT(ADDRESS(12,3+18*1+(2),,,"J1 C - (South) Bishopthorpe Roa")&amp;":"&amp;ADDRESS(130,3+18*1+(2))),'J1 C - (South) Bishopthorpe Roa'!$A$12:$A$130,"&gt;="&amp;Diagram!$O1,'J1 C - (South) Bishopthorpe Roa'!$A$12:$A$130,"&lt;"&amp;Diagram!$P1),SUMIFS(INDIRECT(ADDRESS(12,3+18*1+(10),,,"J1 C - (South) Bishopthorpe Roa")&amp;":"&amp;ADDRESS(130,3+18*1+(10))),'J1 C - (South) Bishopthorpe Roa'!$A$12:$A$130,"&gt;="&amp;Diagram!$O1,'J1 C - (South) Bishopthorpe Roa'!$A$12:$A$130,"&lt;"&amp;Diagram!$P1)))</f>
        <v>0</v>
      </c>
      <c r="BJ1" s="42">
        <f ca="1">IF(OR($I$10="",$O1="",$P1="",$J$37&lt;&gt;"Yes"),0,IF($K$10=0,SUMIFS(INDIRECT(ADDRESS(12,3+18*2+(2),,,"J1 C - (South) Bishopthorpe Roa")&amp;":"&amp;ADDRESS(130,3+18*2+(2))),'J1 C - (South) Bishopthorpe Roa'!$A$12:$A$130,"&gt;="&amp;Diagram!$O1,'J1 C - (South) Bishopthorpe Roa'!$A$12:$A$130,"&lt;"&amp;Diagram!$P1),SUMIFS(INDIRECT(ADDRESS(12,3+18*2+(10),,,"J1 C - (South) Bishopthorpe Roa")&amp;":"&amp;ADDRESS(130,3+18*2+(10))),'J1 C - (South) Bishopthorpe Roa'!$A$12:$A$130,"&gt;="&amp;Diagram!$O1,'J1 C - (South) Bishopthorpe Roa'!$A$12:$A$130,"&lt;"&amp;Diagram!$P1)))</f>
        <v>0</v>
      </c>
      <c r="BK1" s="42">
        <f ca="1">IF(OR($I$10="",$O1="",$P1="",$J$37&lt;&gt;"Yes"),0,IF($K$10=0,SUMIFS(INDIRECT(ADDRESS(12,3+18*3+(2),,,"J1 C - (South) Bishopthorpe Roa")&amp;":"&amp;ADDRESS(130,3+18*3+(2))),'J1 C - (South) Bishopthorpe Roa'!$A$12:$A$130,"&gt;="&amp;Diagram!$O1,'J1 C - (South) Bishopthorpe Roa'!$A$12:$A$130,"&lt;"&amp;Diagram!$P1),SUMIFS(INDIRECT(ADDRESS(12,3+18*3+(10),,,"J1 C - (South) Bishopthorpe Roa")&amp;":"&amp;ADDRESS(130,3+18*3+(10))),'J1 C - (South) Bishopthorpe Roa'!$A$12:$A$130,"&gt;="&amp;Diagram!$O1,'J1 C - (South) Bishopthorpe Roa'!$A$12:$A$130,"&lt;"&amp;Diagram!$P1)))</f>
        <v>0</v>
      </c>
      <c r="BL1" s="42">
        <f ca="1">IF(OR($I$10="",$O1="",$P1="",$J$37&lt;&gt;"Yes"),0,IF($K$10=0,SUMIFS(INDIRECT(ADDRESS(12,3+18*0+(2),,,"J1 C - (South) Bishopthorpe Roa")&amp;":"&amp;ADDRESS(130,3+18*0+(2))),'J1 C - (South) Bishopthorpe Roa'!$A$12:$A$130,"&gt;="&amp;Diagram!$O1,'J1 C - (South) Bishopthorpe Roa'!$A$12:$A$130,"&lt;"&amp;Diagram!$P1),SUMIFS(INDIRECT(ADDRESS(12,3+18*0+(10),,,"J1 C - (South) Bishopthorpe Roa")&amp;":"&amp;ADDRESS(130,3+18*0+(10))),'J1 C - (South) Bishopthorpe Roa'!$A$12:$A$130,"&gt;="&amp;Diagram!$O1,'J1 C - (South) Bishopthorpe Roa'!$A$12:$A$130,"&lt;"&amp;Diagram!$P1)))</f>
        <v>0</v>
      </c>
      <c r="BM1" s="42">
        <f ca="1">IF(OR($I$10="",$O1="",$P1="",$J$37&lt;&gt;"Yes"),0,IF($K$10=0,SUMIFS(INDIRECT(ADDRESS(12,3+18*0+(2),,,"J1 D - South Bank Avenue")&amp;":"&amp;ADDRESS(130,3+18*0+(2))),'J1 D - South Bank Avenue'!$A$12:$A$130,"&gt;="&amp;Diagram!$O1,'J1 D - South Bank Avenue'!$A$12:$A$130,"&lt;"&amp;Diagram!$P1),SUMIFS(INDIRECT(ADDRESS(12,3+18*0+(10),,,"J1 D - South Bank Avenue")&amp;":"&amp;ADDRESS(130,3+18*0+(10))),'J1 D - South Bank Avenue'!$A$12:$A$130,"&gt;="&amp;Diagram!$O1,'J1 D - South Bank Avenue'!$A$12:$A$130,"&lt;"&amp;Diagram!$P1)))</f>
        <v>0</v>
      </c>
      <c r="BN1" s="42">
        <f ca="1">IF(OR($I$10="",$O1="",$P1="",$J$37&lt;&gt;"Yes"),0,IF($K$10=0,SUMIFS(INDIRECT(ADDRESS(12,3+18*1+(2),,,"J1 D - South Bank Avenue")&amp;":"&amp;ADDRESS(130,3+18*1+(2))),'J1 D - South Bank Avenue'!$A$12:$A$130,"&gt;="&amp;Diagram!$O1,'J1 D - South Bank Avenue'!$A$12:$A$130,"&lt;"&amp;Diagram!$P1),SUMIFS(INDIRECT(ADDRESS(12,3+18*1+(10),,,"J1 D - South Bank Avenue")&amp;":"&amp;ADDRESS(130,3+18*1+(10))),'J1 D - South Bank Avenue'!$A$12:$A$130,"&gt;="&amp;Diagram!$O1,'J1 D - South Bank Avenue'!$A$12:$A$130,"&lt;"&amp;Diagram!$P1)))</f>
        <v>0</v>
      </c>
      <c r="BO1" s="42">
        <f ca="1">IF(OR($I$10="",$O1="",$P1="",$J$37&lt;&gt;"Yes"),0,IF($K$10=0,SUMIFS(INDIRECT(ADDRESS(12,3+18*2+(2),,,"J1 D - South Bank Avenue")&amp;":"&amp;ADDRESS(130,3+18*2+(2))),'J1 D - South Bank Avenue'!$A$12:$A$130,"&gt;="&amp;Diagram!$O1,'J1 D - South Bank Avenue'!$A$12:$A$130,"&lt;"&amp;Diagram!$P1),SUMIFS(INDIRECT(ADDRESS(12,3+18*2+(10),,,"J1 D - South Bank Avenue")&amp;":"&amp;ADDRESS(130,3+18*2+(10))),'J1 D - South Bank Avenue'!$A$12:$A$130,"&gt;="&amp;Diagram!$O1,'J1 D - South Bank Avenue'!$A$12:$A$130,"&lt;"&amp;Diagram!$P1)))</f>
        <v>0</v>
      </c>
      <c r="BP1" s="42">
        <f ca="1">IF(OR($I$10="",$O1="",$P1="",$J$37&lt;&gt;"Yes"),0,IF($K$10=0,SUMIFS(INDIRECT(ADDRESS(12,3+18*3+(2),,,"J1 D - South Bank Avenue")&amp;":"&amp;ADDRESS(130,3+18*3+(2))),'J1 D - South Bank Avenue'!$A$12:$A$130,"&gt;="&amp;Diagram!$O1,'J1 D - South Bank Avenue'!$A$12:$A$130,"&lt;"&amp;Diagram!$P1),SUMIFS(INDIRECT(ADDRESS(12,3+18*3+(10),,,"J1 D - South Bank Avenue")&amp;":"&amp;ADDRESS(130,3+18*3+(10))),'J1 D - South Bank Avenue'!$A$12:$A$130,"&gt;="&amp;Diagram!$O1,'J1 D - South Bank Avenue'!$A$12:$A$130,"&lt;"&amp;Diagram!$P1)))</f>
        <v>0</v>
      </c>
      <c r="BQ1" s="42">
        <f ca="1">SUM($BR1,$BS1,$BT1,$BU1,$BV1,$BW1,$BX1,$BY1,$BZ1,$CA1,$CB1,$CC1,$CD1,$CE1,$CF1,$CG1)</f>
        <v>0</v>
      </c>
      <c r="BR1" s="42">
        <f ca="1">IF(OR($I$10="",$O1="",$P1="",$J$38&lt;&gt;"Yes"),0,IF($K$10=0,SUMIFS(INDIRECT(ADDRESS(12,3+18*3+(3),,,"J1 A - (North) Bishopthorpe Roa")&amp;":"&amp;ADDRESS(130,3+18*3+(3))),'J1 A - (North) Bishopthorpe Roa'!$A$12:$A$130,"&gt;="&amp;Diagram!$O1,'J1 A - (North) Bishopthorpe Roa'!$A$12:$A$130,"&lt;"&amp;Diagram!$P1),SUMIFS(INDIRECT(ADDRESS(12,3+18*3+(11),,,"J1 A - (North) Bishopthorpe Roa")&amp;":"&amp;ADDRESS(130,3+18*3+(11))),'J1 A - (North) Bishopthorpe Roa'!$A$12:$A$130,"&gt;="&amp;Diagram!$O1,'J1 A - (North) Bishopthorpe Roa'!$A$12:$A$130,"&lt;"&amp;Diagram!$P1)))</f>
        <v>0</v>
      </c>
      <c r="BS1" s="42">
        <f ca="1">IF(OR($I$10="",$O1="",$P1="",$J$38&lt;&gt;"Yes"),0,IF($K$10=0,SUMIFS(INDIRECT(ADDRESS(12,3+18*0+(3),,,"J1 A - (North) Bishopthorpe Roa")&amp;":"&amp;ADDRESS(130,3+18*0+(3))),'J1 A - (North) Bishopthorpe Roa'!$A$12:$A$130,"&gt;="&amp;Diagram!$O1,'J1 A - (North) Bishopthorpe Roa'!$A$12:$A$130,"&lt;"&amp;Diagram!$P1),SUMIFS(INDIRECT(ADDRESS(12,3+18*0+(11),,,"J1 A - (North) Bishopthorpe Roa")&amp;":"&amp;ADDRESS(130,3+18*0+(11))),'J1 A - (North) Bishopthorpe Roa'!$A$12:$A$130,"&gt;="&amp;Diagram!$O1,'J1 A - (North) Bishopthorpe Roa'!$A$12:$A$130,"&lt;"&amp;Diagram!$P1)))</f>
        <v>0</v>
      </c>
      <c r="BT1" s="42">
        <f ca="1">IF(OR($I$10="",$O1="",$P1="",$J$38&lt;&gt;"Yes"),0,IF($K$10=0,SUMIFS(INDIRECT(ADDRESS(12,3+18*1+(3),,,"J1 A - (North) Bishopthorpe Roa")&amp;":"&amp;ADDRESS(130,3+18*1+(3))),'J1 A - (North) Bishopthorpe Roa'!$A$12:$A$130,"&gt;="&amp;Diagram!$O1,'J1 A - (North) Bishopthorpe Roa'!$A$12:$A$130,"&lt;"&amp;Diagram!$P1),SUMIFS(INDIRECT(ADDRESS(12,3+18*1+(11),,,"J1 A - (North) Bishopthorpe Roa")&amp;":"&amp;ADDRESS(130,3+18*1+(11))),'J1 A - (North) Bishopthorpe Roa'!$A$12:$A$130,"&gt;="&amp;Diagram!$O1,'J1 A - (North) Bishopthorpe Roa'!$A$12:$A$130,"&lt;"&amp;Diagram!$P1)))</f>
        <v>0</v>
      </c>
      <c r="BU1" s="42">
        <f ca="1">IF(OR($I$10="",$O1="",$P1="",$J$38&lt;&gt;"Yes"),0,IF($K$10=0,SUMIFS(INDIRECT(ADDRESS(12,3+18*2+(3),,,"J1 A - (North) Bishopthorpe Roa")&amp;":"&amp;ADDRESS(130,3+18*2+(3))),'J1 A - (North) Bishopthorpe Roa'!$A$12:$A$130,"&gt;="&amp;Diagram!$O1,'J1 A - (North) Bishopthorpe Roa'!$A$12:$A$130,"&lt;"&amp;Diagram!$P1),SUMIFS(INDIRECT(ADDRESS(12,3+18*2+(11),,,"J1 A - (North) Bishopthorpe Roa")&amp;":"&amp;ADDRESS(130,3+18*2+(11))),'J1 A - (North) Bishopthorpe Roa'!$A$12:$A$130,"&gt;="&amp;Diagram!$O1,'J1 A - (North) Bishopthorpe Roa'!$A$12:$A$130,"&lt;"&amp;Diagram!$P1)))</f>
        <v>0</v>
      </c>
      <c r="BV1" s="42">
        <f ca="1">IF(OR($I$10="",$O1="",$P1="",$J$38&lt;&gt;"Yes"),0,IF($K$10=0,SUMIFS(INDIRECT(ADDRESS(12,3+18*2+(3),,,"J1 B - Butcher Terrace")&amp;":"&amp;ADDRESS(130,3+18*2+(3))),'J1 B - Butcher Terrace'!$A$12:$A$130,"&gt;="&amp;Diagram!$O1,'J1 B - Butcher Terrace'!$A$12:$A$130,"&lt;"&amp;Diagram!$P1),SUMIFS(INDIRECT(ADDRESS(12,3+18*2+(11),,,"J1 B - Butcher Terrace")&amp;":"&amp;ADDRESS(130,3+18*2+(11))),'J1 B - Butcher Terrace'!$A$12:$A$130,"&gt;="&amp;Diagram!$O1,'J1 B - Butcher Terrace'!$A$12:$A$130,"&lt;"&amp;Diagram!$P1)))</f>
        <v>0</v>
      </c>
      <c r="BW1" s="42">
        <f ca="1">IF(OR($I$10="",$O1="",$P1="",$J$38&lt;&gt;"Yes"),0,IF($K$10=0,SUMIFS(INDIRECT(ADDRESS(12,3+18*3+(3),,,"J1 B - Butcher Terrace")&amp;":"&amp;ADDRESS(130,3+18*3+(3))),'J1 B - Butcher Terrace'!$A$12:$A$130,"&gt;="&amp;Diagram!$O1,'J1 B - Butcher Terrace'!$A$12:$A$130,"&lt;"&amp;Diagram!$P1),SUMIFS(INDIRECT(ADDRESS(12,3+18*3+(11),,,"J1 B - Butcher Terrace")&amp;":"&amp;ADDRESS(130,3+18*3+(11))),'J1 B - Butcher Terrace'!$A$12:$A$130,"&gt;="&amp;Diagram!$O1,'J1 B - Butcher Terrace'!$A$12:$A$130,"&lt;"&amp;Diagram!$P1)))</f>
        <v>0</v>
      </c>
      <c r="BX1" s="42">
        <f ca="1">IF(OR($I$10="",$O1="",$P1="",$J$38&lt;&gt;"Yes"),0,IF($K$10=0,SUMIFS(INDIRECT(ADDRESS(12,3+18*0+(3),,,"J1 B - Butcher Terrace")&amp;":"&amp;ADDRESS(130,3+18*0+(3))),'J1 B - Butcher Terrace'!$A$12:$A$130,"&gt;="&amp;Diagram!$O1,'J1 B - Butcher Terrace'!$A$12:$A$130,"&lt;"&amp;Diagram!$P1),SUMIFS(INDIRECT(ADDRESS(12,3+18*0+(11),,,"J1 B - Butcher Terrace")&amp;":"&amp;ADDRESS(130,3+18*0+(11))),'J1 B - Butcher Terrace'!$A$12:$A$130,"&gt;="&amp;Diagram!$O1,'J1 B - Butcher Terrace'!$A$12:$A$130,"&lt;"&amp;Diagram!$P1)))</f>
        <v>0</v>
      </c>
      <c r="BY1" s="42">
        <f ca="1">IF(OR($I$10="",$O1="",$P1="",$J$38&lt;&gt;"Yes"),0,IF($K$10=0,SUMIFS(INDIRECT(ADDRESS(12,3+18*1+(3),,,"J1 B - Butcher Terrace")&amp;":"&amp;ADDRESS(130,3+18*1+(3))),'J1 B - Butcher Terrace'!$A$12:$A$130,"&gt;="&amp;Diagram!$O1,'J1 B - Butcher Terrace'!$A$12:$A$130,"&lt;"&amp;Diagram!$P1),SUMIFS(INDIRECT(ADDRESS(12,3+18*1+(11),,,"J1 B - Butcher Terrace")&amp;":"&amp;ADDRESS(130,3+18*1+(11))),'J1 B - Butcher Terrace'!$A$12:$A$130,"&gt;="&amp;Diagram!$O1,'J1 B - Butcher Terrace'!$A$12:$A$130,"&lt;"&amp;Diagram!$P1)))</f>
        <v>0</v>
      </c>
      <c r="BZ1" s="42">
        <f ca="1">IF(OR($I$10="",$O1="",$P1="",$J$38&lt;&gt;"Yes"),0,IF($K$10=0,SUMIFS(INDIRECT(ADDRESS(12,3+18*1+(3),,,"J1 C - (South) Bishopthorpe Roa")&amp;":"&amp;ADDRESS(130,3+18*1+(3))),'J1 C - (South) Bishopthorpe Roa'!$A$12:$A$130,"&gt;="&amp;Diagram!$O1,'J1 C - (South) Bishopthorpe Roa'!$A$12:$A$130,"&lt;"&amp;Diagram!$P1),SUMIFS(INDIRECT(ADDRESS(12,3+18*1+(11),,,"J1 C - (South) Bishopthorpe Roa")&amp;":"&amp;ADDRESS(130,3+18*1+(11))),'J1 C - (South) Bishopthorpe Roa'!$A$12:$A$130,"&gt;="&amp;Diagram!$O1,'J1 C - (South) Bishopthorpe Roa'!$A$12:$A$130,"&lt;"&amp;Diagram!$P1)))</f>
        <v>0</v>
      </c>
      <c r="CA1" s="42">
        <f ca="1">IF(OR($I$10="",$O1="",$P1="",$J$38&lt;&gt;"Yes"),0,IF($K$10=0,SUMIFS(INDIRECT(ADDRESS(12,3+18*2+(3),,,"J1 C - (South) Bishopthorpe Roa")&amp;":"&amp;ADDRESS(130,3+18*2+(3))),'J1 C - (South) Bishopthorpe Roa'!$A$12:$A$130,"&gt;="&amp;Diagram!$O1,'J1 C - (South) Bishopthorpe Roa'!$A$12:$A$130,"&lt;"&amp;Diagram!$P1),SUMIFS(INDIRECT(ADDRESS(12,3+18*2+(11),,,"J1 C - (South) Bishopthorpe Roa")&amp;":"&amp;ADDRESS(130,3+18*2+(11))),'J1 C - (South) Bishopthorpe Roa'!$A$12:$A$130,"&gt;="&amp;Diagram!$O1,'J1 C - (South) Bishopthorpe Roa'!$A$12:$A$130,"&lt;"&amp;Diagram!$P1)))</f>
        <v>0</v>
      </c>
      <c r="CB1" s="42">
        <f ca="1">IF(OR($I$10="",$O1="",$P1="",$J$38&lt;&gt;"Yes"),0,IF($K$10=0,SUMIFS(INDIRECT(ADDRESS(12,3+18*3+(3),,,"J1 C - (South) Bishopthorpe Roa")&amp;":"&amp;ADDRESS(130,3+18*3+(3))),'J1 C - (South) Bishopthorpe Roa'!$A$12:$A$130,"&gt;="&amp;Diagram!$O1,'J1 C - (South) Bishopthorpe Roa'!$A$12:$A$130,"&lt;"&amp;Diagram!$P1),SUMIFS(INDIRECT(ADDRESS(12,3+18*3+(11),,,"J1 C - (South) Bishopthorpe Roa")&amp;":"&amp;ADDRESS(130,3+18*3+(11))),'J1 C - (South) Bishopthorpe Roa'!$A$12:$A$130,"&gt;="&amp;Diagram!$O1,'J1 C - (South) Bishopthorpe Roa'!$A$12:$A$130,"&lt;"&amp;Diagram!$P1)))</f>
        <v>0</v>
      </c>
      <c r="CC1" s="42">
        <f ca="1">IF(OR($I$10="",$O1="",$P1="",$J$38&lt;&gt;"Yes"),0,IF($K$10=0,SUMIFS(INDIRECT(ADDRESS(12,3+18*0+(3),,,"J1 C - (South) Bishopthorpe Roa")&amp;":"&amp;ADDRESS(130,3+18*0+(3))),'J1 C - (South) Bishopthorpe Roa'!$A$12:$A$130,"&gt;="&amp;Diagram!$O1,'J1 C - (South) Bishopthorpe Roa'!$A$12:$A$130,"&lt;"&amp;Diagram!$P1),SUMIFS(INDIRECT(ADDRESS(12,3+18*0+(11),,,"J1 C - (South) Bishopthorpe Roa")&amp;":"&amp;ADDRESS(130,3+18*0+(11))),'J1 C - (South) Bishopthorpe Roa'!$A$12:$A$130,"&gt;="&amp;Diagram!$O1,'J1 C - (South) Bishopthorpe Roa'!$A$12:$A$130,"&lt;"&amp;Diagram!$P1)))</f>
        <v>0</v>
      </c>
      <c r="CD1" s="42">
        <f ca="1">IF(OR($I$10="",$O1="",$P1="",$J$38&lt;&gt;"Yes"),0,IF($K$10=0,SUMIFS(INDIRECT(ADDRESS(12,3+18*0+(3),,,"J1 D - South Bank Avenue")&amp;":"&amp;ADDRESS(130,3+18*0+(3))),'J1 D - South Bank Avenue'!$A$12:$A$130,"&gt;="&amp;Diagram!$O1,'J1 D - South Bank Avenue'!$A$12:$A$130,"&lt;"&amp;Diagram!$P1),SUMIFS(INDIRECT(ADDRESS(12,3+18*0+(11),,,"J1 D - South Bank Avenue")&amp;":"&amp;ADDRESS(130,3+18*0+(11))),'J1 D - South Bank Avenue'!$A$12:$A$130,"&gt;="&amp;Diagram!$O1,'J1 D - South Bank Avenue'!$A$12:$A$130,"&lt;"&amp;Diagram!$P1)))</f>
        <v>0</v>
      </c>
      <c r="CE1" s="42">
        <f ca="1">IF(OR($I$10="",$O1="",$P1="",$J$38&lt;&gt;"Yes"),0,IF($K$10=0,SUMIFS(INDIRECT(ADDRESS(12,3+18*1+(3),,,"J1 D - South Bank Avenue")&amp;":"&amp;ADDRESS(130,3+18*1+(3))),'J1 D - South Bank Avenue'!$A$12:$A$130,"&gt;="&amp;Diagram!$O1,'J1 D - South Bank Avenue'!$A$12:$A$130,"&lt;"&amp;Diagram!$P1),SUMIFS(INDIRECT(ADDRESS(12,3+18*1+(11),,,"J1 D - South Bank Avenue")&amp;":"&amp;ADDRESS(130,3+18*1+(11))),'J1 D - South Bank Avenue'!$A$12:$A$130,"&gt;="&amp;Diagram!$O1,'J1 D - South Bank Avenue'!$A$12:$A$130,"&lt;"&amp;Diagram!$P1)))</f>
        <v>0</v>
      </c>
      <c r="CF1" s="42">
        <f ca="1">IF(OR($I$10="",$O1="",$P1="",$J$38&lt;&gt;"Yes"),0,IF($K$10=0,SUMIFS(INDIRECT(ADDRESS(12,3+18*2+(3),,,"J1 D - South Bank Avenue")&amp;":"&amp;ADDRESS(130,3+18*2+(3))),'J1 D - South Bank Avenue'!$A$12:$A$130,"&gt;="&amp;Diagram!$O1,'J1 D - South Bank Avenue'!$A$12:$A$130,"&lt;"&amp;Diagram!$P1),SUMIFS(INDIRECT(ADDRESS(12,3+18*2+(11),,,"J1 D - South Bank Avenue")&amp;":"&amp;ADDRESS(130,3+18*2+(11))),'J1 D - South Bank Avenue'!$A$12:$A$130,"&gt;="&amp;Diagram!$O1,'J1 D - South Bank Avenue'!$A$12:$A$130,"&lt;"&amp;Diagram!$P1)))</f>
        <v>0</v>
      </c>
      <c r="CG1" s="42">
        <f ca="1">IF(OR($I$10="",$O1="",$P1="",$J$38&lt;&gt;"Yes"),0,IF($K$10=0,SUMIFS(INDIRECT(ADDRESS(12,3+18*3+(3),,,"J1 D - South Bank Avenue")&amp;":"&amp;ADDRESS(130,3+18*3+(3))),'J1 D - South Bank Avenue'!$A$12:$A$130,"&gt;="&amp;Diagram!$O1,'J1 D - South Bank Avenue'!$A$12:$A$130,"&lt;"&amp;Diagram!$P1),SUMIFS(INDIRECT(ADDRESS(12,3+18*3+(11),,,"J1 D - South Bank Avenue")&amp;":"&amp;ADDRESS(130,3+18*3+(11))),'J1 D - South Bank Avenue'!$A$12:$A$130,"&gt;="&amp;Diagram!$O1,'J1 D - South Bank Avenue'!$A$12:$A$130,"&lt;"&amp;Diagram!$P1)))</f>
        <v>0</v>
      </c>
      <c r="CH1" s="42">
        <f ca="1">SUM($CI1,$CJ1,$CK1,$CL1,$CM1,$CN1,$CO1,$CP1,$CQ1,$CR1,$CS1,$CT1,$CU1,$CV1,$CW1,$CX1)</f>
        <v>0</v>
      </c>
      <c r="CI1" s="42">
        <f ca="1">IF(OR($I$10="",$O1="",$P1="",$J$39&lt;&gt;"Yes"),0,IF($K$10=0,SUMIFS(INDIRECT(ADDRESS(12,3+18*3+(4),,,"J1 A - (North) Bishopthorpe Roa")&amp;":"&amp;ADDRESS(130,3+18*3+(4))),'J1 A - (North) Bishopthorpe Roa'!$A$12:$A$130,"&gt;="&amp;Diagram!$O1,'J1 A - (North) Bishopthorpe Roa'!$A$12:$A$130,"&lt;"&amp;Diagram!$P1),SUMIFS(INDIRECT(ADDRESS(12,3+18*3+(12),,,"J1 A - (North) Bishopthorpe Roa")&amp;":"&amp;ADDRESS(130,3+18*3+(12))),'J1 A - (North) Bishopthorpe Roa'!$A$12:$A$130,"&gt;="&amp;Diagram!$O1,'J1 A - (North) Bishopthorpe Roa'!$A$12:$A$130,"&lt;"&amp;Diagram!$P1)))</f>
        <v>0</v>
      </c>
      <c r="CJ1" s="42">
        <f ca="1">IF(OR($I$10="",$O1="",$P1="",$J$39&lt;&gt;"Yes"),0,IF($K$10=0,SUMIFS(INDIRECT(ADDRESS(12,3+18*0+(4),,,"J1 A - (North) Bishopthorpe Roa")&amp;":"&amp;ADDRESS(130,3+18*0+(4))),'J1 A - (North) Bishopthorpe Roa'!$A$12:$A$130,"&gt;="&amp;Diagram!$O1,'J1 A - (North) Bishopthorpe Roa'!$A$12:$A$130,"&lt;"&amp;Diagram!$P1),SUMIFS(INDIRECT(ADDRESS(12,3+18*0+(12),,,"J1 A - (North) Bishopthorpe Roa")&amp;":"&amp;ADDRESS(130,3+18*0+(12))),'J1 A - (North) Bishopthorpe Roa'!$A$12:$A$130,"&gt;="&amp;Diagram!$O1,'J1 A - (North) Bishopthorpe Roa'!$A$12:$A$130,"&lt;"&amp;Diagram!$P1)))</f>
        <v>0</v>
      </c>
      <c r="CK1" s="42">
        <f ca="1">IF(OR($I$10="",$O1="",$P1="",$J$39&lt;&gt;"Yes"),0,IF($K$10=0,SUMIFS(INDIRECT(ADDRESS(12,3+18*1+(4),,,"J1 A - (North) Bishopthorpe Roa")&amp;":"&amp;ADDRESS(130,3+18*1+(4))),'J1 A - (North) Bishopthorpe Roa'!$A$12:$A$130,"&gt;="&amp;Diagram!$O1,'J1 A - (North) Bishopthorpe Roa'!$A$12:$A$130,"&lt;"&amp;Diagram!$P1),SUMIFS(INDIRECT(ADDRESS(12,3+18*1+(12),,,"J1 A - (North) Bishopthorpe Roa")&amp;":"&amp;ADDRESS(130,3+18*1+(12))),'J1 A - (North) Bishopthorpe Roa'!$A$12:$A$130,"&gt;="&amp;Diagram!$O1,'J1 A - (North) Bishopthorpe Roa'!$A$12:$A$130,"&lt;"&amp;Diagram!$P1)))</f>
        <v>0</v>
      </c>
      <c r="CL1" s="42">
        <f ca="1">IF(OR($I$10="",$O1="",$P1="",$J$39&lt;&gt;"Yes"),0,IF($K$10=0,SUMIFS(INDIRECT(ADDRESS(12,3+18*2+(4),,,"J1 A - (North) Bishopthorpe Roa")&amp;":"&amp;ADDRESS(130,3+18*2+(4))),'J1 A - (North) Bishopthorpe Roa'!$A$12:$A$130,"&gt;="&amp;Diagram!$O1,'J1 A - (North) Bishopthorpe Roa'!$A$12:$A$130,"&lt;"&amp;Diagram!$P1),SUMIFS(INDIRECT(ADDRESS(12,3+18*2+(12),,,"J1 A - (North) Bishopthorpe Roa")&amp;":"&amp;ADDRESS(130,3+18*2+(12))),'J1 A - (North) Bishopthorpe Roa'!$A$12:$A$130,"&gt;="&amp;Diagram!$O1,'J1 A - (North) Bishopthorpe Roa'!$A$12:$A$130,"&lt;"&amp;Diagram!$P1)))</f>
        <v>0</v>
      </c>
      <c r="CM1" s="42">
        <f ca="1">IF(OR($I$10="",$O1="",$P1="",$J$39&lt;&gt;"Yes"),0,IF($K$10=0,SUMIFS(INDIRECT(ADDRESS(12,3+18*2+(4),,,"J1 B - Butcher Terrace")&amp;":"&amp;ADDRESS(130,3+18*2+(4))),'J1 B - Butcher Terrace'!$A$12:$A$130,"&gt;="&amp;Diagram!$O1,'J1 B - Butcher Terrace'!$A$12:$A$130,"&lt;"&amp;Diagram!$P1),SUMIFS(INDIRECT(ADDRESS(12,3+18*2+(12),,,"J1 B - Butcher Terrace")&amp;":"&amp;ADDRESS(130,3+18*2+(12))),'J1 B - Butcher Terrace'!$A$12:$A$130,"&gt;="&amp;Diagram!$O1,'J1 B - Butcher Terrace'!$A$12:$A$130,"&lt;"&amp;Diagram!$P1)))</f>
        <v>0</v>
      </c>
      <c r="CN1" s="42">
        <f ca="1">IF(OR($I$10="",$O1="",$P1="",$J$39&lt;&gt;"Yes"),0,IF($K$10=0,SUMIFS(INDIRECT(ADDRESS(12,3+18*3+(4),,,"J1 B - Butcher Terrace")&amp;":"&amp;ADDRESS(130,3+18*3+(4))),'J1 B - Butcher Terrace'!$A$12:$A$130,"&gt;="&amp;Diagram!$O1,'J1 B - Butcher Terrace'!$A$12:$A$130,"&lt;"&amp;Diagram!$P1),SUMIFS(INDIRECT(ADDRESS(12,3+18*3+(12),,,"J1 B - Butcher Terrace")&amp;":"&amp;ADDRESS(130,3+18*3+(12))),'J1 B - Butcher Terrace'!$A$12:$A$130,"&gt;="&amp;Diagram!$O1,'J1 B - Butcher Terrace'!$A$12:$A$130,"&lt;"&amp;Diagram!$P1)))</f>
        <v>0</v>
      </c>
      <c r="CO1" s="42">
        <f ca="1">IF(OR($I$10="",$O1="",$P1="",$J$39&lt;&gt;"Yes"),0,IF($K$10=0,SUMIFS(INDIRECT(ADDRESS(12,3+18*0+(4),,,"J1 B - Butcher Terrace")&amp;":"&amp;ADDRESS(130,3+18*0+(4))),'J1 B - Butcher Terrace'!$A$12:$A$130,"&gt;="&amp;Diagram!$O1,'J1 B - Butcher Terrace'!$A$12:$A$130,"&lt;"&amp;Diagram!$P1),SUMIFS(INDIRECT(ADDRESS(12,3+18*0+(12),,,"J1 B - Butcher Terrace")&amp;":"&amp;ADDRESS(130,3+18*0+(12))),'J1 B - Butcher Terrace'!$A$12:$A$130,"&gt;="&amp;Diagram!$O1,'J1 B - Butcher Terrace'!$A$12:$A$130,"&lt;"&amp;Diagram!$P1)))</f>
        <v>0</v>
      </c>
      <c r="CP1" s="42">
        <f ca="1">IF(OR($I$10="",$O1="",$P1="",$J$39&lt;&gt;"Yes"),0,IF($K$10=0,SUMIFS(INDIRECT(ADDRESS(12,3+18*1+(4),,,"J1 B - Butcher Terrace")&amp;":"&amp;ADDRESS(130,3+18*1+(4))),'J1 B - Butcher Terrace'!$A$12:$A$130,"&gt;="&amp;Diagram!$O1,'J1 B - Butcher Terrace'!$A$12:$A$130,"&lt;"&amp;Diagram!$P1),SUMIFS(INDIRECT(ADDRESS(12,3+18*1+(12),,,"J1 B - Butcher Terrace")&amp;":"&amp;ADDRESS(130,3+18*1+(12))),'J1 B - Butcher Terrace'!$A$12:$A$130,"&gt;="&amp;Diagram!$O1,'J1 B - Butcher Terrace'!$A$12:$A$130,"&lt;"&amp;Diagram!$P1)))</f>
        <v>0</v>
      </c>
      <c r="CQ1" s="42">
        <f ca="1">IF(OR($I$10="",$O1="",$P1="",$J$39&lt;&gt;"Yes"),0,IF($K$10=0,SUMIFS(INDIRECT(ADDRESS(12,3+18*1+(4),,,"J1 C - (South) Bishopthorpe Roa")&amp;":"&amp;ADDRESS(130,3+18*1+(4))),'J1 C - (South) Bishopthorpe Roa'!$A$12:$A$130,"&gt;="&amp;Diagram!$O1,'J1 C - (South) Bishopthorpe Roa'!$A$12:$A$130,"&lt;"&amp;Diagram!$P1),SUMIFS(INDIRECT(ADDRESS(12,3+18*1+(12),,,"J1 C - (South) Bishopthorpe Roa")&amp;":"&amp;ADDRESS(130,3+18*1+(12))),'J1 C - (South) Bishopthorpe Roa'!$A$12:$A$130,"&gt;="&amp;Diagram!$O1,'J1 C - (South) Bishopthorpe Roa'!$A$12:$A$130,"&lt;"&amp;Diagram!$P1)))</f>
        <v>0</v>
      </c>
      <c r="CR1" s="42">
        <f ca="1">IF(OR($I$10="",$O1="",$P1="",$J$39&lt;&gt;"Yes"),0,IF($K$10=0,SUMIFS(INDIRECT(ADDRESS(12,3+18*2+(4),,,"J1 C - (South) Bishopthorpe Roa")&amp;":"&amp;ADDRESS(130,3+18*2+(4))),'J1 C - (South) Bishopthorpe Roa'!$A$12:$A$130,"&gt;="&amp;Diagram!$O1,'J1 C - (South) Bishopthorpe Roa'!$A$12:$A$130,"&lt;"&amp;Diagram!$P1),SUMIFS(INDIRECT(ADDRESS(12,3+18*2+(12),,,"J1 C - (South) Bishopthorpe Roa")&amp;":"&amp;ADDRESS(130,3+18*2+(12))),'J1 C - (South) Bishopthorpe Roa'!$A$12:$A$130,"&gt;="&amp;Diagram!$O1,'J1 C - (South) Bishopthorpe Roa'!$A$12:$A$130,"&lt;"&amp;Diagram!$P1)))</f>
        <v>0</v>
      </c>
      <c r="CS1" s="42">
        <f ca="1">IF(OR($I$10="",$O1="",$P1="",$J$39&lt;&gt;"Yes"),0,IF($K$10=0,SUMIFS(INDIRECT(ADDRESS(12,3+18*3+(4),,,"J1 C - (South) Bishopthorpe Roa")&amp;":"&amp;ADDRESS(130,3+18*3+(4))),'J1 C - (South) Bishopthorpe Roa'!$A$12:$A$130,"&gt;="&amp;Diagram!$O1,'J1 C - (South) Bishopthorpe Roa'!$A$12:$A$130,"&lt;"&amp;Diagram!$P1),SUMIFS(INDIRECT(ADDRESS(12,3+18*3+(12),,,"J1 C - (South) Bishopthorpe Roa")&amp;":"&amp;ADDRESS(130,3+18*3+(12))),'J1 C - (South) Bishopthorpe Roa'!$A$12:$A$130,"&gt;="&amp;Diagram!$O1,'J1 C - (South) Bishopthorpe Roa'!$A$12:$A$130,"&lt;"&amp;Diagram!$P1)))</f>
        <v>0</v>
      </c>
      <c r="CT1" s="42">
        <f ca="1">IF(OR($I$10="",$O1="",$P1="",$J$39&lt;&gt;"Yes"),0,IF($K$10=0,SUMIFS(INDIRECT(ADDRESS(12,3+18*0+(4),,,"J1 C - (South) Bishopthorpe Roa")&amp;":"&amp;ADDRESS(130,3+18*0+(4))),'J1 C - (South) Bishopthorpe Roa'!$A$12:$A$130,"&gt;="&amp;Diagram!$O1,'J1 C - (South) Bishopthorpe Roa'!$A$12:$A$130,"&lt;"&amp;Diagram!$P1),SUMIFS(INDIRECT(ADDRESS(12,3+18*0+(12),,,"J1 C - (South) Bishopthorpe Roa")&amp;":"&amp;ADDRESS(130,3+18*0+(12))),'J1 C - (South) Bishopthorpe Roa'!$A$12:$A$130,"&gt;="&amp;Diagram!$O1,'J1 C - (South) Bishopthorpe Roa'!$A$12:$A$130,"&lt;"&amp;Diagram!$P1)))</f>
        <v>0</v>
      </c>
      <c r="CU1" s="42">
        <f ca="1">IF(OR($I$10="",$O1="",$P1="",$J$39&lt;&gt;"Yes"),0,IF($K$10=0,SUMIFS(INDIRECT(ADDRESS(12,3+18*0+(4),,,"J1 D - South Bank Avenue")&amp;":"&amp;ADDRESS(130,3+18*0+(4))),'J1 D - South Bank Avenue'!$A$12:$A$130,"&gt;="&amp;Diagram!$O1,'J1 D - South Bank Avenue'!$A$12:$A$130,"&lt;"&amp;Diagram!$P1),SUMIFS(INDIRECT(ADDRESS(12,3+18*0+(12),,,"J1 D - South Bank Avenue")&amp;":"&amp;ADDRESS(130,3+18*0+(12))),'J1 D - South Bank Avenue'!$A$12:$A$130,"&gt;="&amp;Diagram!$O1,'J1 D - South Bank Avenue'!$A$12:$A$130,"&lt;"&amp;Diagram!$P1)))</f>
        <v>0</v>
      </c>
      <c r="CV1" s="42">
        <f ca="1">IF(OR($I$10="",$O1="",$P1="",$J$39&lt;&gt;"Yes"),0,IF($K$10=0,SUMIFS(INDIRECT(ADDRESS(12,3+18*1+(4),,,"J1 D - South Bank Avenue")&amp;":"&amp;ADDRESS(130,3+18*1+(4))),'J1 D - South Bank Avenue'!$A$12:$A$130,"&gt;="&amp;Diagram!$O1,'J1 D - South Bank Avenue'!$A$12:$A$130,"&lt;"&amp;Diagram!$P1),SUMIFS(INDIRECT(ADDRESS(12,3+18*1+(12),,,"J1 D - South Bank Avenue")&amp;":"&amp;ADDRESS(130,3+18*1+(12))),'J1 D - South Bank Avenue'!$A$12:$A$130,"&gt;="&amp;Diagram!$O1,'J1 D - South Bank Avenue'!$A$12:$A$130,"&lt;"&amp;Diagram!$P1)))</f>
        <v>0</v>
      </c>
      <c r="CW1" s="42">
        <f ca="1">IF(OR($I$10="",$O1="",$P1="",$J$39&lt;&gt;"Yes"),0,IF($K$10=0,SUMIFS(INDIRECT(ADDRESS(12,3+18*2+(4),,,"J1 D - South Bank Avenue")&amp;":"&amp;ADDRESS(130,3+18*2+(4))),'J1 D - South Bank Avenue'!$A$12:$A$130,"&gt;="&amp;Diagram!$O1,'J1 D - South Bank Avenue'!$A$12:$A$130,"&lt;"&amp;Diagram!$P1),SUMIFS(INDIRECT(ADDRESS(12,3+18*2+(12),,,"J1 D - South Bank Avenue")&amp;":"&amp;ADDRESS(130,3+18*2+(12))),'J1 D - South Bank Avenue'!$A$12:$A$130,"&gt;="&amp;Diagram!$O1,'J1 D - South Bank Avenue'!$A$12:$A$130,"&lt;"&amp;Diagram!$P1)))</f>
        <v>0</v>
      </c>
      <c r="CX1" s="42">
        <f ca="1">IF(OR($I$10="",$O1="",$P1="",$J$39&lt;&gt;"Yes"),0,IF($K$10=0,SUMIFS(INDIRECT(ADDRESS(12,3+18*3+(4),,,"J1 D - South Bank Avenue")&amp;":"&amp;ADDRESS(130,3+18*3+(4))),'J1 D - South Bank Avenue'!$A$12:$A$130,"&gt;="&amp;Diagram!$O1,'J1 D - South Bank Avenue'!$A$12:$A$130,"&lt;"&amp;Diagram!$P1),SUMIFS(INDIRECT(ADDRESS(12,3+18*3+(12),,,"J1 D - South Bank Avenue")&amp;":"&amp;ADDRESS(130,3+18*3+(12))),'J1 D - South Bank Avenue'!$A$12:$A$130,"&gt;="&amp;Diagram!$O1,'J1 D - South Bank Avenue'!$A$12:$A$130,"&lt;"&amp;Diagram!$P1)))</f>
        <v>0</v>
      </c>
      <c r="CY1" s="42">
        <f ca="1">SUM($CZ1,$DA1,$DB1,$DC1,$DD1,$DE1,$DF1,$DG1,$DH1,$DI1,$DJ1,$DK1,$DL1,$DM1,$DN1,$DO1)</f>
        <v>6</v>
      </c>
      <c r="CZ1" s="42">
        <f ca="1">IF(OR($I$10="",$O1="",$P1="",$J$40&lt;&gt;"Yes"),0,IF($K$10=0,SUMIFS(INDIRECT(ADDRESS(12,3+18*3+(5),,,"J1 A - (North) Bishopthorpe Roa")&amp;":"&amp;ADDRESS(130,3+18*3+(5))),'J1 A - (North) Bishopthorpe Roa'!$A$12:$A$130,"&gt;="&amp;Diagram!$O1,'J1 A - (North) Bishopthorpe Roa'!$A$12:$A$130,"&lt;"&amp;Diagram!$P1),SUMIFS(INDIRECT(ADDRESS(12,3+18*3+(13),,,"J1 A - (North) Bishopthorpe Roa")&amp;":"&amp;ADDRESS(130,3+18*3+(13))),'J1 A - (North) Bishopthorpe Roa'!$A$12:$A$130,"&gt;="&amp;Diagram!$O1,'J1 A - (North) Bishopthorpe Roa'!$A$12:$A$130,"&lt;"&amp;Diagram!$P1)))</f>
        <v>0</v>
      </c>
      <c r="DA1" s="42">
        <f ca="1">IF(OR($I$10="",$O1="",$P1="",$J$40&lt;&gt;"Yes"),0,IF($K$10=0,SUMIFS(INDIRECT(ADDRESS(12,3+18*0+(5),,,"J1 A - (North) Bishopthorpe Roa")&amp;":"&amp;ADDRESS(130,3+18*0+(5))),'J1 A - (North) Bishopthorpe Roa'!$A$12:$A$130,"&gt;="&amp;Diagram!$O1,'J1 A - (North) Bishopthorpe Roa'!$A$12:$A$130,"&lt;"&amp;Diagram!$P1),SUMIFS(INDIRECT(ADDRESS(12,3+18*0+(13),,,"J1 A - (North) Bishopthorpe Roa")&amp;":"&amp;ADDRESS(130,3+18*0+(13))),'J1 A - (North) Bishopthorpe Roa'!$A$12:$A$130,"&gt;="&amp;Diagram!$O1,'J1 A - (North) Bishopthorpe Roa'!$A$12:$A$130,"&lt;"&amp;Diagram!$P1)))</f>
        <v>0</v>
      </c>
      <c r="DB1" s="42">
        <f ca="1">IF(OR($I$10="",$O1="",$P1="",$J$40&lt;&gt;"Yes"),0,IF($K$10=0,SUMIFS(INDIRECT(ADDRESS(12,3+18*1+(5),,,"J1 A - (North) Bishopthorpe Roa")&amp;":"&amp;ADDRESS(130,3+18*1+(5))),'J1 A - (North) Bishopthorpe Roa'!$A$12:$A$130,"&gt;="&amp;Diagram!$O1,'J1 A - (North) Bishopthorpe Roa'!$A$12:$A$130,"&lt;"&amp;Diagram!$P1),SUMIFS(INDIRECT(ADDRESS(12,3+18*1+(13),,,"J1 A - (North) Bishopthorpe Roa")&amp;":"&amp;ADDRESS(130,3+18*1+(13))),'J1 A - (North) Bishopthorpe Roa'!$A$12:$A$130,"&gt;="&amp;Diagram!$O1,'J1 A - (North) Bishopthorpe Roa'!$A$12:$A$130,"&lt;"&amp;Diagram!$P1)))</f>
        <v>3</v>
      </c>
      <c r="DC1" s="42">
        <f ca="1">IF(OR($I$10="",$O1="",$P1="",$J$40&lt;&gt;"Yes"),0,IF($K$10=0,SUMIFS(INDIRECT(ADDRESS(12,3+18*2+(5),,,"J1 A - (North) Bishopthorpe Roa")&amp;":"&amp;ADDRESS(130,3+18*2+(5))),'J1 A - (North) Bishopthorpe Roa'!$A$12:$A$130,"&gt;="&amp;Diagram!$O1,'J1 A - (North) Bishopthorpe Roa'!$A$12:$A$130,"&lt;"&amp;Diagram!$P1),SUMIFS(INDIRECT(ADDRESS(12,3+18*2+(13),,,"J1 A - (North) Bishopthorpe Roa")&amp;":"&amp;ADDRESS(130,3+18*2+(13))),'J1 A - (North) Bishopthorpe Roa'!$A$12:$A$130,"&gt;="&amp;Diagram!$O1,'J1 A - (North) Bishopthorpe Roa'!$A$12:$A$130,"&lt;"&amp;Diagram!$P1)))</f>
        <v>2</v>
      </c>
      <c r="DD1" s="42">
        <f ca="1">IF(OR($I$10="",$O1="",$P1="",$J$40&lt;&gt;"Yes"),0,IF($K$10=0,SUMIFS(INDIRECT(ADDRESS(12,3+18*2+(5),,,"J1 B - Butcher Terrace")&amp;":"&amp;ADDRESS(130,3+18*2+(5))),'J1 B - Butcher Terrace'!$A$12:$A$130,"&gt;="&amp;Diagram!$O1,'J1 B - Butcher Terrace'!$A$12:$A$130,"&lt;"&amp;Diagram!$P1),SUMIFS(INDIRECT(ADDRESS(12,3+18*2+(13),,,"J1 B - Butcher Terrace")&amp;":"&amp;ADDRESS(130,3+18*2+(13))),'J1 B - Butcher Terrace'!$A$12:$A$130,"&gt;="&amp;Diagram!$O1,'J1 B - Butcher Terrace'!$A$12:$A$130,"&lt;"&amp;Diagram!$P1)))</f>
        <v>0</v>
      </c>
      <c r="DE1" s="42">
        <f ca="1">IF(OR($I$10="",$O1="",$P1="",$J$40&lt;&gt;"Yes"),0,IF($K$10=0,SUMIFS(INDIRECT(ADDRESS(12,3+18*3+(5),,,"J1 B - Butcher Terrace")&amp;":"&amp;ADDRESS(130,3+18*3+(5))),'J1 B - Butcher Terrace'!$A$12:$A$130,"&gt;="&amp;Diagram!$O1,'J1 B - Butcher Terrace'!$A$12:$A$130,"&lt;"&amp;Diagram!$P1),SUMIFS(INDIRECT(ADDRESS(12,3+18*3+(13),,,"J1 B - Butcher Terrace")&amp;":"&amp;ADDRESS(130,3+18*3+(13))),'J1 B - Butcher Terrace'!$A$12:$A$130,"&gt;="&amp;Diagram!$O1,'J1 B - Butcher Terrace'!$A$12:$A$130,"&lt;"&amp;Diagram!$P1)))</f>
        <v>0</v>
      </c>
      <c r="DF1" s="42">
        <f ca="1">IF(OR($I$10="",$O1="",$P1="",$J$40&lt;&gt;"Yes"),0,IF($K$10=0,SUMIFS(INDIRECT(ADDRESS(12,3+18*0+(5),,,"J1 B - Butcher Terrace")&amp;":"&amp;ADDRESS(130,3+18*0+(5))),'J1 B - Butcher Terrace'!$A$12:$A$130,"&gt;="&amp;Diagram!$O1,'J1 B - Butcher Terrace'!$A$12:$A$130,"&lt;"&amp;Diagram!$P1),SUMIFS(INDIRECT(ADDRESS(12,3+18*0+(13),,,"J1 B - Butcher Terrace")&amp;":"&amp;ADDRESS(130,3+18*0+(13))),'J1 B - Butcher Terrace'!$A$12:$A$130,"&gt;="&amp;Diagram!$O1,'J1 B - Butcher Terrace'!$A$12:$A$130,"&lt;"&amp;Diagram!$P1)))</f>
        <v>0</v>
      </c>
      <c r="DG1" s="42">
        <f ca="1">IF(OR($I$10="",$O1="",$P1="",$J$40&lt;&gt;"Yes"),0,IF($K$10=0,SUMIFS(INDIRECT(ADDRESS(12,3+18*1+(5),,,"J1 B - Butcher Terrace")&amp;":"&amp;ADDRESS(130,3+18*1+(5))),'J1 B - Butcher Terrace'!$A$12:$A$130,"&gt;="&amp;Diagram!$O1,'J1 B - Butcher Terrace'!$A$12:$A$130,"&lt;"&amp;Diagram!$P1),SUMIFS(INDIRECT(ADDRESS(12,3+18*1+(13),,,"J1 B - Butcher Terrace")&amp;":"&amp;ADDRESS(130,3+18*1+(13))),'J1 B - Butcher Terrace'!$A$12:$A$130,"&gt;="&amp;Diagram!$O1,'J1 B - Butcher Terrace'!$A$12:$A$130,"&lt;"&amp;Diagram!$P1)))</f>
        <v>0</v>
      </c>
      <c r="DH1" s="42">
        <f ca="1">IF(OR($I$10="",$O1="",$P1="",$J$40&lt;&gt;"Yes"),0,IF($K$10=0,SUMIFS(INDIRECT(ADDRESS(12,3+18*1+(5),,,"J1 C - (South) Bishopthorpe Roa")&amp;":"&amp;ADDRESS(130,3+18*1+(5))),'J1 C - (South) Bishopthorpe Roa'!$A$12:$A$130,"&gt;="&amp;Diagram!$O1,'J1 C - (South) Bishopthorpe Roa'!$A$12:$A$130,"&lt;"&amp;Diagram!$P1),SUMIFS(INDIRECT(ADDRESS(12,3+18*1+(13),,,"J1 C - (South) Bishopthorpe Roa")&amp;":"&amp;ADDRESS(130,3+18*1+(13))),'J1 C - (South) Bishopthorpe Roa'!$A$12:$A$130,"&gt;="&amp;Diagram!$O1,'J1 C - (South) Bishopthorpe Roa'!$A$12:$A$130,"&lt;"&amp;Diagram!$P1)))</f>
        <v>0</v>
      </c>
      <c r="DI1" s="42">
        <f ca="1">IF(OR($I$10="",$O1="",$P1="",$J$40&lt;&gt;"Yes"),0,IF($K$10=0,SUMIFS(INDIRECT(ADDRESS(12,3+18*2+(5),,,"J1 C - (South) Bishopthorpe Roa")&amp;":"&amp;ADDRESS(130,3+18*2+(5))),'J1 C - (South) Bishopthorpe Roa'!$A$12:$A$130,"&gt;="&amp;Diagram!$O1,'J1 C - (South) Bishopthorpe Roa'!$A$12:$A$130,"&lt;"&amp;Diagram!$P1),SUMIFS(INDIRECT(ADDRESS(12,3+18*2+(13),,,"J1 C - (South) Bishopthorpe Roa")&amp;":"&amp;ADDRESS(130,3+18*2+(13))),'J1 C - (South) Bishopthorpe Roa'!$A$12:$A$130,"&gt;="&amp;Diagram!$O1,'J1 C - (South) Bishopthorpe Roa'!$A$12:$A$130,"&lt;"&amp;Diagram!$P1)))</f>
        <v>0</v>
      </c>
      <c r="DJ1" s="42">
        <f ca="1">IF(OR($I$10="",$O1="",$P1="",$J$40&lt;&gt;"Yes"),0,IF($K$10=0,SUMIFS(INDIRECT(ADDRESS(12,3+18*3+(5),,,"J1 C - (South) Bishopthorpe Roa")&amp;":"&amp;ADDRESS(130,3+18*3+(5))),'J1 C - (South) Bishopthorpe Roa'!$A$12:$A$130,"&gt;="&amp;Diagram!$O1,'J1 C - (South) Bishopthorpe Roa'!$A$12:$A$130,"&lt;"&amp;Diagram!$P1),SUMIFS(INDIRECT(ADDRESS(12,3+18*3+(13),,,"J1 C - (South) Bishopthorpe Roa")&amp;":"&amp;ADDRESS(130,3+18*3+(13))),'J1 C - (South) Bishopthorpe Roa'!$A$12:$A$130,"&gt;="&amp;Diagram!$O1,'J1 C - (South) Bishopthorpe Roa'!$A$12:$A$130,"&lt;"&amp;Diagram!$P1)))</f>
        <v>0</v>
      </c>
      <c r="DK1" s="42">
        <f ca="1">IF(OR($I$10="",$O1="",$P1="",$J$40&lt;&gt;"Yes"),0,IF($K$10=0,SUMIFS(INDIRECT(ADDRESS(12,3+18*0+(5),,,"J1 C - (South) Bishopthorpe Roa")&amp;":"&amp;ADDRESS(130,3+18*0+(5))),'J1 C - (South) Bishopthorpe Roa'!$A$12:$A$130,"&gt;="&amp;Diagram!$O1,'J1 C - (South) Bishopthorpe Roa'!$A$12:$A$130,"&lt;"&amp;Diagram!$P1),SUMIFS(INDIRECT(ADDRESS(12,3+18*0+(13),,,"J1 C - (South) Bishopthorpe Roa")&amp;":"&amp;ADDRESS(130,3+18*0+(13))),'J1 C - (South) Bishopthorpe Roa'!$A$12:$A$130,"&gt;="&amp;Diagram!$O1,'J1 C - (South) Bishopthorpe Roa'!$A$12:$A$130,"&lt;"&amp;Diagram!$P1)))</f>
        <v>1</v>
      </c>
      <c r="DL1" s="42">
        <f ca="1">IF(OR($I$10="",$O1="",$P1="",$J$40&lt;&gt;"Yes"),0,IF($K$10=0,SUMIFS(INDIRECT(ADDRESS(12,3+18*0+(5),,,"J1 D - South Bank Avenue")&amp;":"&amp;ADDRESS(130,3+18*0+(5))),'J1 D - South Bank Avenue'!$A$12:$A$130,"&gt;="&amp;Diagram!$O1,'J1 D - South Bank Avenue'!$A$12:$A$130,"&lt;"&amp;Diagram!$P1),SUMIFS(INDIRECT(ADDRESS(12,3+18*0+(13),,,"J1 D - South Bank Avenue")&amp;":"&amp;ADDRESS(130,3+18*0+(13))),'J1 D - South Bank Avenue'!$A$12:$A$130,"&gt;="&amp;Diagram!$O1,'J1 D - South Bank Avenue'!$A$12:$A$130,"&lt;"&amp;Diagram!$P1)))</f>
        <v>0</v>
      </c>
      <c r="DM1" s="42">
        <f ca="1">IF(OR($I$10="",$O1="",$P1="",$J$40&lt;&gt;"Yes"),0,IF($K$10=0,SUMIFS(INDIRECT(ADDRESS(12,3+18*1+(5),,,"J1 D - South Bank Avenue")&amp;":"&amp;ADDRESS(130,3+18*1+(5))),'J1 D - South Bank Avenue'!$A$12:$A$130,"&gt;="&amp;Diagram!$O1,'J1 D - South Bank Avenue'!$A$12:$A$130,"&lt;"&amp;Diagram!$P1),SUMIFS(INDIRECT(ADDRESS(12,3+18*1+(13),,,"J1 D - South Bank Avenue")&amp;":"&amp;ADDRESS(130,3+18*1+(13))),'J1 D - South Bank Avenue'!$A$12:$A$130,"&gt;="&amp;Diagram!$O1,'J1 D - South Bank Avenue'!$A$12:$A$130,"&lt;"&amp;Diagram!$P1)))</f>
        <v>0</v>
      </c>
      <c r="DN1" s="42">
        <f ca="1">IF(OR($I$10="",$O1="",$P1="",$J$40&lt;&gt;"Yes"),0,IF($K$10=0,SUMIFS(INDIRECT(ADDRESS(12,3+18*2+(5),,,"J1 D - South Bank Avenue")&amp;":"&amp;ADDRESS(130,3+18*2+(5))),'J1 D - South Bank Avenue'!$A$12:$A$130,"&gt;="&amp;Diagram!$O1,'J1 D - South Bank Avenue'!$A$12:$A$130,"&lt;"&amp;Diagram!$P1),SUMIFS(INDIRECT(ADDRESS(12,3+18*2+(13),,,"J1 D - South Bank Avenue")&amp;":"&amp;ADDRESS(130,3+18*2+(13))),'J1 D - South Bank Avenue'!$A$12:$A$130,"&gt;="&amp;Diagram!$O1,'J1 D - South Bank Avenue'!$A$12:$A$130,"&lt;"&amp;Diagram!$P1)))</f>
        <v>0</v>
      </c>
      <c r="DO1" s="42">
        <f ca="1">IF(OR($I$10="",$O1="",$P1="",$J$40&lt;&gt;"Yes"),0,IF($K$10=0,SUMIFS(INDIRECT(ADDRESS(12,3+18*3+(5),,,"J1 D - South Bank Avenue")&amp;":"&amp;ADDRESS(130,3+18*3+(5))),'J1 D - South Bank Avenue'!$A$12:$A$130,"&gt;="&amp;Diagram!$O1,'J1 D - South Bank Avenue'!$A$12:$A$130,"&lt;"&amp;Diagram!$P1),SUMIFS(INDIRECT(ADDRESS(12,3+18*3+(13),,,"J1 D - South Bank Avenue")&amp;":"&amp;ADDRESS(130,3+18*3+(13))),'J1 D - South Bank Avenue'!$A$12:$A$130,"&gt;="&amp;Diagram!$O1,'J1 D - South Bank Avenue'!$A$12:$A$130,"&lt;"&amp;Diagram!$P1)))</f>
        <v>0</v>
      </c>
      <c r="DP1" s="42">
        <f ca="1">SUM($DQ1,$DR1,$DS1,$DT1,$DU1,$DV1,$DW1,$DX1,$DY1,$DZ1,$EA1,$EB1,$EC1,$ED1,$EE1,$EF1)</f>
        <v>1</v>
      </c>
      <c r="DQ1" s="42">
        <f ca="1">IF(OR($I$10="",$O1="",$P1="",$J$41&lt;&gt;"Yes"),0,IF($K$10=0,SUMIFS(INDIRECT(ADDRESS(12,3+18*3+(6),,,"J1 A - (North) Bishopthorpe Roa")&amp;":"&amp;ADDRESS(130,3+18*3+(6))),'J1 A - (North) Bishopthorpe Roa'!$A$12:$A$130,"&gt;="&amp;Diagram!$O1,'J1 A - (North) Bishopthorpe Roa'!$A$12:$A$130,"&lt;"&amp;Diagram!$P1),SUMIFS(INDIRECT(ADDRESS(12,3+18*3+(14),,,"J1 A - (North) Bishopthorpe Roa")&amp;":"&amp;ADDRESS(130,3+18*3+(14))),'J1 A - (North) Bishopthorpe Roa'!$A$12:$A$130,"&gt;="&amp;Diagram!$O1,'J1 A - (North) Bishopthorpe Roa'!$A$12:$A$130,"&lt;"&amp;Diagram!$P1)))</f>
        <v>0</v>
      </c>
      <c r="DR1" s="42">
        <f ca="1">IF(OR($I$10="",$O1="",$P1="",$J$41&lt;&gt;"Yes"),0,IF($K$10=0,SUMIFS(INDIRECT(ADDRESS(12,3+18*0+(6),,,"J1 A - (North) Bishopthorpe Roa")&amp;":"&amp;ADDRESS(130,3+18*0+(6))),'J1 A - (North) Bishopthorpe Roa'!$A$12:$A$130,"&gt;="&amp;Diagram!$O1,'J1 A - (North) Bishopthorpe Roa'!$A$12:$A$130,"&lt;"&amp;Diagram!$P1),SUMIFS(INDIRECT(ADDRESS(12,3+18*0+(14),,,"J1 A - (North) Bishopthorpe Roa")&amp;":"&amp;ADDRESS(130,3+18*0+(14))),'J1 A - (North) Bishopthorpe Roa'!$A$12:$A$130,"&gt;="&amp;Diagram!$O1,'J1 A - (North) Bishopthorpe Roa'!$A$12:$A$130,"&lt;"&amp;Diagram!$P1)))</f>
        <v>0</v>
      </c>
      <c r="DS1" s="42">
        <f ca="1">IF(OR($I$10="",$O1="",$P1="",$J$41&lt;&gt;"Yes"),0,IF($K$10=0,SUMIFS(INDIRECT(ADDRESS(12,3+18*1+(6),,,"J1 A - (North) Bishopthorpe Roa")&amp;":"&amp;ADDRESS(130,3+18*1+(6))),'J1 A - (North) Bishopthorpe Roa'!$A$12:$A$130,"&gt;="&amp;Diagram!$O1,'J1 A - (North) Bishopthorpe Roa'!$A$12:$A$130,"&lt;"&amp;Diagram!$P1),SUMIFS(INDIRECT(ADDRESS(12,3+18*1+(14),,,"J1 A - (North) Bishopthorpe Roa")&amp;":"&amp;ADDRESS(130,3+18*1+(14))),'J1 A - (North) Bishopthorpe Roa'!$A$12:$A$130,"&gt;="&amp;Diagram!$O1,'J1 A - (North) Bishopthorpe Roa'!$A$12:$A$130,"&lt;"&amp;Diagram!$P1)))</f>
        <v>1</v>
      </c>
      <c r="DT1" s="42">
        <f ca="1">IF(OR($I$10="",$O1="",$P1="",$J$41&lt;&gt;"Yes"),0,IF($K$10=0,SUMIFS(INDIRECT(ADDRESS(12,3+18*2+(6),,,"J1 A - (North) Bishopthorpe Roa")&amp;":"&amp;ADDRESS(130,3+18*2+(6))),'J1 A - (North) Bishopthorpe Roa'!$A$12:$A$130,"&gt;="&amp;Diagram!$O1,'J1 A - (North) Bishopthorpe Roa'!$A$12:$A$130,"&lt;"&amp;Diagram!$P1),SUMIFS(INDIRECT(ADDRESS(12,3+18*2+(14),,,"J1 A - (North) Bishopthorpe Roa")&amp;":"&amp;ADDRESS(130,3+18*2+(14))),'J1 A - (North) Bishopthorpe Roa'!$A$12:$A$130,"&gt;="&amp;Diagram!$O1,'J1 A - (North) Bishopthorpe Roa'!$A$12:$A$130,"&lt;"&amp;Diagram!$P1)))</f>
        <v>0</v>
      </c>
      <c r="DU1" s="42">
        <f ca="1">IF(OR($I$10="",$O1="",$P1="",$J$41&lt;&gt;"Yes"),0,IF($K$10=0,SUMIFS(INDIRECT(ADDRESS(12,3+18*2+(6),,,"J1 B - Butcher Terrace")&amp;":"&amp;ADDRESS(130,3+18*2+(6))),'J1 B - Butcher Terrace'!$A$12:$A$130,"&gt;="&amp;Diagram!$O1,'J1 B - Butcher Terrace'!$A$12:$A$130,"&lt;"&amp;Diagram!$P1),SUMIFS(INDIRECT(ADDRESS(12,3+18*2+(14),,,"J1 B - Butcher Terrace")&amp;":"&amp;ADDRESS(130,3+18*2+(14))),'J1 B - Butcher Terrace'!$A$12:$A$130,"&gt;="&amp;Diagram!$O1,'J1 B - Butcher Terrace'!$A$12:$A$130,"&lt;"&amp;Diagram!$P1)))</f>
        <v>0</v>
      </c>
      <c r="DV1" s="42">
        <f ca="1">IF(OR($I$10="",$O1="",$P1="",$J$41&lt;&gt;"Yes"),0,IF($K$10=0,SUMIFS(INDIRECT(ADDRESS(12,3+18*3+(6),,,"J1 B - Butcher Terrace")&amp;":"&amp;ADDRESS(130,3+18*3+(6))),'J1 B - Butcher Terrace'!$A$12:$A$130,"&gt;="&amp;Diagram!$O1,'J1 B - Butcher Terrace'!$A$12:$A$130,"&lt;"&amp;Diagram!$P1),SUMIFS(INDIRECT(ADDRESS(12,3+18*3+(14),,,"J1 B - Butcher Terrace")&amp;":"&amp;ADDRESS(130,3+18*3+(14))),'J1 B - Butcher Terrace'!$A$12:$A$130,"&gt;="&amp;Diagram!$O1,'J1 B - Butcher Terrace'!$A$12:$A$130,"&lt;"&amp;Diagram!$P1)))</f>
        <v>0</v>
      </c>
      <c r="DW1" s="42">
        <f ca="1">IF(OR($I$10="",$O1="",$P1="",$J$41&lt;&gt;"Yes"),0,IF($K$10=0,SUMIFS(INDIRECT(ADDRESS(12,3+18*0+(6),,,"J1 B - Butcher Terrace")&amp;":"&amp;ADDRESS(130,3+18*0+(6))),'J1 B - Butcher Terrace'!$A$12:$A$130,"&gt;="&amp;Diagram!$O1,'J1 B - Butcher Terrace'!$A$12:$A$130,"&lt;"&amp;Diagram!$P1),SUMIFS(INDIRECT(ADDRESS(12,3+18*0+(14),,,"J1 B - Butcher Terrace")&amp;":"&amp;ADDRESS(130,3+18*0+(14))),'J1 B - Butcher Terrace'!$A$12:$A$130,"&gt;="&amp;Diagram!$O1,'J1 B - Butcher Terrace'!$A$12:$A$130,"&lt;"&amp;Diagram!$P1)))</f>
        <v>0</v>
      </c>
      <c r="DX1" s="42">
        <f ca="1">IF(OR($I$10="",$O1="",$P1="",$J$41&lt;&gt;"Yes"),0,IF($K$10=0,SUMIFS(INDIRECT(ADDRESS(12,3+18*1+(6),,,"J1 B - Butcher Terrace")&amp;":"&amp;ADDRESS(130,3+18*1+(6))),'J1 B - Butcher Terrace'!$A$12:$A$130,"&gt;="&amp;Diagram!$O1,'J1 B - Butcher Terrace'!$A$12:$A$130,"&lt;"&amp;Diagram!$P1),SUMIFS(INDIRECT(ADDRESS(12,3+18*1+(14),,,"J1 B - Butcher Terrace")&amp;":"&amp;ADDRESS(130,3+18*1+(14))),'J1 B - Butcher Terrace'!$A$12:$A$130,"&gt;="&amp;Diagram!$O1,'J1 B - Butcher Terrace'!$A$12:$A$130,"&lt;"&amp;Diagram!$P1)))</f>
        <v>0</v>
      </c>
      <c r="DY1" s="42">
        <f ca="1">IF(OR($I$10="",$O1="",$P1="",$J$41&lt;&gt;"Yes"),0,IF($K$10=0,SUMIFS(INDIRECT(ADDRESS(12,3+18*1+(6),,,"J1 C - (South) Bishopthorpe Roa")&amp;":"&amp;ADDRESS(130,3+18*1+(6))),'J1 C - (South) Bishopthorpe Roa'!$A$12:$A$130,"&gt;="&amp;Diagram!$O1,'J1 C - (South) Bishopthorpe Roa'!$A$12:$A$130,"&lt;"&amp;Diagram!$P1),SUMIFS(INDIRECT(ADDRESS(12,3+18*1+(14),,,"J1 C - (South) Bishopthorpe Roa")&amp;":"&amp;ADDRESS(130,3+18*1+(14))),'J1 C - (South) Bishopthorpe Roa'!$A$12:$A$130,"&gt;="&amp;Diagram!$O1,'J1 C - (South) Bishopthorpe Roa'!$A$12:$A$130,"&lt;"&amp;Diagram!$P1)))</f>
        <v>0</v>
      </c>
      <c r="DZ1" s="42">
        <f ca="1">IF(OR($I$10="",$O1="",$P1="",$J$41&lt;&gt;"Yes"),0,IF($K$10=0,SUMIFS(INDIRECT(ADDRESS(12,3+18*2+(6),,,"J1 C - (South) Bishopthorpe Roa")&amp;":"&amp;ADDRESS(130,3+18*2+(6))),'J1 C - (South) Bishopthorpe Roa'!$A$12:$A$130,"&gt;="&amp;Diagram!$O1,'J1 C - (South) Bishopthorpe Roa'!$A$12:$A$130,"&lt;"&amp;Diagram!$P1),SUMIFS(INDIRECT(ADDRESS(12,3+18*2+(14),,,"J1 C - (South) Bishopthorpe Roa")&amp;":"&amp;ADDRESS(130,3+18*2+(14))),'J1 C - (South) Bishopthorpe Roa'!$A$12:$A$130,"&gt;="&amp;Diagram!$O1,'J1 C - (South) Bishopthorpe Roa'!$A$12:$A$130,"&lt;"&amp;Diagram!$P1)))</f>
        <v>0</v>
      </c>
      <c r="EA1" s="42">
        <f ca="1">IF(OR($I$10="",$O1="",$P1="",$J$41&lt;&gt;"Yes"),0,IF($K$10=0,SUMIFS(INDIRECT(ADDRESS(12,3+18*3+(6),,,"J1 C - (South) Bishopthorpe Roa")&amp;":"&amp;ADDRESS(130,3+18*3+(6))),'J1 C - (South) Bishopthorpe Roa'!$A$12:$A$130,"&gt;="&amp;Diagram!$O1,'J1 C - (South) Bishopthorpe Roa'!$A$12:$A$130,"&lt;"&amp;Diagram!$P1),SUMIFS(INDIRECT(ADDRESS(12,3+18*3+(14),,,"J1 C - (South) Bishopthorpe Roa")&amp;":"&amp;ADDRESS(130,3+18*3+(14))),'J1 C - (South) Bishopthorpe Roa'!$A$12:$A$130,"&gt;="&amp;Diagram!$O1,'J1 C - (South) Bishopthorpe Roa'!$A$12:$A$130,"&lt;"&amp;Diagram!$P1)))</f>
        <v>0</v>
      </c>
      <c r="EB1" s="42">
        <f ca="1">IF(OR($I$10="",$O1="",$P1="",$J$41&lt;&gt;"Yes"),0,IF($K$10=0,SUMIFS(INDIRECT(ADDRESS(12,3+18*0+(6),,,"J1 C - (South) Bishopthorpe Roa")&amp;":"&amp;ADDRESS(130,3+18*0+(6))),'J1 C - (South) Bishopthorpe Roa'!$A$12:$A$130,"&gt;="&amp;Diagram!$O1,'J1 C - (South) Bishopthorpe Roa'!$A$12:$A$130,"&lt;"&amp;Diagram!$P1),SUMIFS(INDIRECT(ADDRESS(12,3+18*0+(14),,,"J1 C - (South) Bishopthorpe Roa")&amp;":"&amp;ADDRESS(130,3+18*0+(14))),'J1 C - (South) Bishopthorpe Roa'!$A$12:$A$130,"&gt;="&amp;Diagram!$O1,'J1 C - (South) Bishopthorpe Roa'!$A$12:$A$130,"&lt;"&amp;Diagram!$P1)))</f>
        <v>0</v>
      </c>
      <c r="EC1" s="42">
        <f ca="1">IF(OR($I$10="",$O1="",$P1="",$J$41&lt;&gt;"Yes"),0,IF($K$10=0,SUMIFS(INDIRECT(ADDRESS(12,3+18*0+(6),,,"J1 D - South Bank Avenue")&amp;":"&amp;ADDRESS(130,3+18*0+(6))),'J1 D - South Bank Avenue'!$A$12:$A$130,"&gt;="&amp;Diagram!$O1,'J1 D - South Bank Avenue'!$A$12:$A$130,"&lt;"&amp;Diagram!$P1),SUMIFS(INDIRECT(ADDRESS(12,3+18*0+(14),,,"J1 D - South Bank Avenue")&amp;":"&amp;ADDRESS(130,3+18*0+(14))),'J1 D - South Bank Avenue'!$A$12:$A$130,"&gt;="&amp;Diagram!$O1,'J1 D - South Bank Avenue'!$A$12:$A$130,"&lt;"&amp;Diagram!$P1)))</f>
        <v>0</v>
      </c>
      <c r="ED1" s="42">
        <f ca="1">IF(OR($I$10="",$O1="",$P1="",$J$41&lt;&gt;"Yes"),0,IF($K$10=0,SUMIFS(INDIRECT(ADDRESS(12,3+18*1+(6),,,"J1 D - South Bank Avenue")&amp;":"&amp;ADDRESS(130,3+18*1+(6))),'J1 D - South Bank Avenue'!$A$12:$A$130,"&gt;="&amp;Diagram!$O1,'J1 D - South Bank Avenue'!$A$12:$A$130,"&lt;"&amp;Diagram!$P1),SUMIFS(INDIRECT(ADDRESS(12,3+18*1+(14),,,"J1 D - South Bank Avenue")&amp;":"&amp;ADDRESS(130,3+18*1+(14))),'J1 D - South Bank Avenue'!$A$12:$A$130,"&gt;="&amp;Diagram!$O1,'J1 D - South Bank Avenue'!$A$12:$A$130,"&lt;"&amp;Diagram!$P1)))</f>
        <v>0</v>
      </c>
      <c r="EE1" s="42">
        <f ca="1">IF(OR($I$10="",$O1="",$P1="",$J$41&lt;&gt;"Yes"),0,IF($K$10=0,SUMIFS(INDIRECT(ADDRESS(12,3+18*2+(6),,,"J1 D - South Bank Avenue")&amp;":"&amp;ADDRESS(130,3+18*2+(6))),'J1 D - South Bank Avenue'!$A$12:$A$130,"&gt;="&amp;Diagram!$O1,'J1 D - South Bank Avenue'!$A$12:$A$130,"&lt;"&amp;Diagram!$P1),SUMIFS(INDIRECT(ADDRESS(12,3+18*2+(14),,,"J1 D - South Bank Avenue")&amp;":"&amp;ADDRESS(130,3+18*2+(14))),'J1 D - South Bank Avenue'!$A$12:$A$130,"&gt;="&amp;Diagram!$O1,'J1 D - South Bank Avenue'!$A$12:$A$130,"&lt;"&amp;Diagram!$P1)))</f>
        <v>0</v>
      </c>
      <c r="EF1" s="42">
        <f ca="1">IF(OR($I$10="",$O1="",$P1="",$J$41&lt;&gt;"Yes"),0,IF($K$10=0,SUMIFS(INDIRECT(ADDRESS(12,3+18*3+(6),,,"J1 D - South Bank Avenue")&amp;":"&amp;ADDRESS(130,3+18*3+(6))),'J1 D - South Bank Avenue'!$A$12:$A$130,"&gt;="&amp;Diagram!$O1,'J1 D - South Bank Avenue'!$A$12:$A$130,"&lt;"&amp;Diagram!$P1),SUMIFS(INDIRECT(ADDRESS(12,3+18*3+(14),,,"J1 D - South Bank Avenue")&amp;":"&amp;ADDRESS(130,3+18*3+(14))),'J1 D - South Bank Avenue'!$A$12:$A$130,"&gt;="&amp;Diagram!$O1,'J1 D - South Bank Avenue'!$A$12:$A$130,"&lt;"&amp;Diagram!$P1)))</f>
        <v>0</v>
      </c>
      <c r="EG1" s="42">
        <f ca="1">SUM($EH1,$EI1,$EJ1,$EK1,$EL1,$EM1,$EN1,$EO1,$EP1,$EQ1,$ER1,$ES1,$ET1,$EU1,$EV1,$EW1)</f>
        <v>0</v>
      </c>
      <c r="EH1" s="42">
        <f ca="1">IF(OR($I$10="",$O1="",$P1="",$J$42&lt;&gt;"Yes"),0,IF($K$10=0,SUMIFS(INDIRECT(ADDRESS(12,3+18*3+(7),,,"J1 A - (North) Bishopthorpe Roa")&amp;":"&amp;ADDRESS(130,3+18*3+(7))),'J1 A - (North) Bishopthorpe Roa'!$A$12:$A$130,"&gt;="&amp;Diagram!$O1,'J1 A - (North) Bishopthorpe Roa'!$A$12:$A$130,"&lt;"&amp;Diagram!$P1),SUMIFS(INDIRECT(ADDRESS(12,3+18*3+(15),,,"J1 A - (North) Bishopthorpe Roa")&amp;":"&amp;ADDRESS(130,3+18*3+(15))),'J1 A - (North) Bishopthorpe Roa'!$A$12:$A$130,"&gt;="&amp;Diagram!$O1,'J1 A - (North) Bishopthorpe Roa'!$A$12:$A$130,"&lt;"&amp;Diagram!$P1)))</f>
        <v>0</v>
      </c>
      <c r="EI1" s="42">
        <f ca="1">IF(OR($I$10="",$O1="",$P1="",$J$42&lt;&gt;"Yes"),0,IF($K$10=0,SUMIFS(INDIRECT(ADDRESS(12,3+18*0+(7),,,"J1 A - (North) Bishopthorpe Roa")&amp;":"&amp;ADDRESS(130,3+18*0+(7))),'J1 A - (North) Bishopthorpe Roa'!$A$12:$A$130,"&gt;="&amp;Diagram!$O1,'J1 A - (North) Bishopthorpe Roa'!$A$12:$A$130,"&lt;"&amp;Diagram!$P1),SUMIFS(INDIRECT(ADDRESS(12,3+18*0+(15),,,"J1 A - (North) Bishopthorpe Roa")&amp;":"&amp;ADDRESS(130,3+18*0+(15))),'J1 A - (North) Bishopthorpe Roa'!$A$12:$A$130,"&gt;="&amp;Diagram!$O1,'J1 A - (North) Bishopthorpe Roa'!$A$12:$A$130,"&lt;"&amp;Diagram!$P1)))</f>
        <v>0</v>
      </c>
      <c r="EJ1" s="42">
        <f ca="1">IF(OR($I$10="",$O1="",$P1="",$J$42&lt;&gt;"Yes"),0,IF($K$10=0,SUMIFS(INDIRECT(ADDRESS(12,3+18*1+(7),,,"J1 A - (North) Bishopthorpe Roa")&amp;":"&amp;ADDRESS(130,3+18*1+(7))),'J1 A - (North) Bishopthorpe Roa'!$A$12:$A$130,"&gt;="&amp;Diagram!$O1,'J1 A - (North) Bishopthorpe Roa'!$A$12:$A$130,"&lt;"&amp;Diagram!$P1),SUMIFS(INDIRECT(ADDRESS(12,3+18*1+(15),,,"J1 A - (North) Bishopthorpe Roa")&amp;":"&amp;ADDRESS(130,3+18*1+(15))),'J1 A - (North) Bishopthorpe Roa'!$A$12:$A$130,"&gt;="&amp;Diagram!$O1,'J1 A - (North) Bishopthorpe Roa'!$A$12:$A$130,"&lt;"&amp;Diagram!$P1)))</f>
        <v>0</v>
      </c>
      <c r="EK1" s="42">
        <f ca="1">IF(OR($I$10="",$O1="",$P1="",$J$42&lt;&gt;"Yes"),0,IF($K$10=0,SUMIFS(INDIRECT(ADDRESS(12,3+18*2+(7),,,"J1 A - (North) Bishopthorpe Roa")&amp;":"&amp;ADDRESS(130,3+18*2+(7))),'J1 A - (North) Bishopthorpe Roa'!$A$12:$A$130,"&gt;="&amp;Diagram!$O1,'J1 A - (North) Bishopthorpe Roa'!$A$12:$A$130,"&lt;"&amp;Diagram!$P1),SUMIFS(INDIRECT(ADDRESS(12,3+18*2+(15),,,"J1 A - (North) Bishopthorpe Roa")&amp;":"&amp;ADDRESS(130,3+18*2+(15))),'J1 A - (North) Bishopthorpe Roa'!$A$12:$A$130,"&gt;="&amp;Diagram!$O1,'J1 A - (North) Bishopthorpe Roa'!$A$12:$A$130,"&lt;"&amp;Diagram!$P1)))</f>
        <v>0</v>
      </c>
      <c r="EL1" s="42">
        <f ca="1">IF(OR($I$10="",$O1="",$P1="",$J$42&lt;&gt;"Yes"),0,IF($K$10=0,SUMIFS(INDIRECT(ADDRESS(12,3+18*2+(7),,,"J1 B - Butcher Terrace")&amp;":"&amp;ADDRESS(130,3+18*2+(7))),'J1 B - Butcher Terrace'!$A$12:$A$130,"&gt;="&amp;Diagram!$O1,'J1 B - Butcher Terrace'!$A$12:$A$130,"&lt;"&amp;Diagram!$P1),SUMIFS(INDIRECT(ADDRESS(12,3+18*2+(15),,,"J1 B - Butcher Terrace")&amp;":"&amp;ADDRESS(130,3+18*2+(15))),'J1 B - Butcher Terrace'!$A$12:$A$130,"&gt;="&amp;Diagram!$O1,'J1 B - Butcher Terrace'!$A$12:$A$130,"&lt;"&amp;Diagram!$P1)))</f>
        <v>0</v>
      </c>
      <c r="EM1" s="42">
        <f ca="1">IF(OR($I$10="",$O1="",$P1="",$J$42&lt;&gt;"Yes"),0,IF($K$10=0,SUMIFS(INDIRECT(ADDRESS(12,3+18*3+(7),,,"J1 B - Butcher Terrace")&amp;":"&amp;ADDRESS(130,3+18*3+(7))),'J1 B - Butcher Terrace'!$A$12:$A$130,"&gt;="&amp;Diagram!$O1,'J1 B - Butcher Terrace'!$A$12:$A$130,"&lt;"&amp;Diagram!$P1),SUMIFS(INDIRECT(ADDRESS(12,3+18*3+(15),,,"J1 B - Butcher Terrace")&amp;":"&amp;ADDRESS(130,3+18*3+(15))),'J1 B - Butcher Terrace'!$A$12:$A$130,"&gt;="&amp;Diagram!$O1,'J1 B - Butcher Terrace'!$A$12:$A$130,"&lt;"&amp;Diagram!$P1)))</f>
        <v>0</v>
      </c>
      <c r="EN1" s="42">
        <f ca="1">IF(OR($I$10="",$O1="",$P1="",$J$42&lt;&gt;"Yes"),0,IF($K$10=0,SUMIFS(INDIRECT(ADDRESS(12,3+18*0+(7),,,"J1 B - Butcher Terrace")&amp;":"&amp;ADDRESS(130,3+18*0+(7))),'J1 B - Butcher Terrace'!$A$12:$A$130,"&gt;="&amp;Diagram!$O1,'J1 B - Butcher Terrace'!$A$12:$A$130,"&lt;"&amp;Diagram!$P1),SUMIFS(INDIRECT(ADDRESS(12,3+18*0+(15),,,"J1 B - Butcher Terrace")&amp;":"&amp;ADDRESS(130,3+18*0+(15))),'J1 B - Butcher Terrace'!$A$12:$A$130,"&gt;="&amp;Diagram!$O1,'J1 B - Butcher Terrace'!$A$12:$A$130,"&lt;"&amp;Diagram!$P1)))</f>
        <v>0</v>
      </c>
      <c r="EO1" s="42">
        <f ca="1">IF(OR($I$10="",$O1="",$P1="",$J$42&lt;&gt;"Yes"),0,IF($K$10=0,SUMIFS(INDIRECT(ADDRESS(12,3+18*1+(7),,,"J1 B - Butcher Terrace")&amp;":"&amp;ADDRESS(130,3+18*1+(7))),'J1 B - Butcher Terrace'!$A$12:$A$130,"&gt;="&amp;Diagram!$O1,'J1 B - Butcher Terrace'!$A$12:$A$130,"&lt;"&amp;Diagram!$P1),SUMIFS(INDIRECT(ADDRESS(12,3+18*1+(15),,,"J1 B - Butcher Terrace")&amp;":"&amp;ADDRESS(130,3+18*1+(15))),'J1 B - Butcher Terrace'!$A$12:$A$130,"&gt;="&amp;Diagram!$O1,'J1 B - Butcher Terrace'!$A$12:$A$130,"&lt;"&amp;Diagram!$P1)))</f>
        <v>0</v>
      </c>
      <c r="EP1" s="42">
        <f ca="1">IF(OR($I$10="",$O1="",$P1="",$J$42&lt;&gt;"Yes"),0,IF($K$10=0,SUMIFS(INDIRECT(ADDRESS(12,3+18*1+(7),,,"J1 C - (South) Bishopthorpe Roa")&amp;":"&amp;ADDRESS(130,3+18*1+(7))),'J1 C - (South) Bishopthorpe Roa'!$A$12:$A$130,"&gt;="&amp;Diagram!$O1,'J1 C - (South) Bishopthorpe Roa'!$A$12:$A$130,"&lt;"&amp;Diagram!$P1),SUMIFS(INDIRECT(ADDRESS(12,3+18*1+(15),,,"J1 C - (South) Bishopthorpe Roa")&amp;":"&amp;ADDRESS(130,3+18*1+(15))),'J1 C - (South) Bishopthorpe Roa'!$A$12:$A$130,"&gt;="&amp;Diagram!$O1,'J1 C - (South) Bishopthorpe Roa'!$A$12:$A$130,"&lt;"&amp;Diagram!$P1)))</f>
        <v>0</v>
      </c>
      <c r="EQ1" s="42">
        <f ca="1">IF(OR($I$10="",$O1="",$P1="",$J$42&lt;&gt;"Yes"),0,IF($K$10=0,SUMIFS(INDIRECT(ADDRESS(12,3+18*2+(7),,,"J1 C - (South) Bishopthorpe Roa")&amp;":"&amp;ADDRESS(130,3+18*2+(7))),'J1 C - (South) Bishopthorpe Roa'!$A$12:$A$130,"&gt;="&amp;Diagram!$O1,'J1 C - (South) Bishopthorpe Roa'!$A$12:$A$130,"&lt;"&amp;Diagram!$P1),SUMIFS(INDIRECT(ADDRESS(12,3+18*2+(15),,,"J1 C - (South) Bishopthorpe Roa")&amp;":"&amp;ADDRESS(130,3+18*2+(15))),'J1 C - (South) Bishopthorpe Roa'!$A$12:$A$130,"&gt;="&amp;Diagram!$O1,'J1 C - (South) Bishopthorpe Roa'!$A$12:$A$130,"&lt;"&amp;Diagram!$P1)))</f>
        <v>0</v>
      </c>
      <c r="ER1" s="42">
        <f ca="1">IF(OR($I$10="",$O1="",$P1="",$J$42&lt;&gt;"Yes"),0,IF($K$10=0,SUMIFS(INDIRECT(ADDRESS(12,3+18*3+(7),,,"J1 C - (South) Bishopthorpe Roa")&amp;":"&amp;ADDRESS(130,3+18*3+(7))),'J1 C - (South) Bishopthorpe Roa'!$A$12:$A$130,"&gt;="&amp;Diagram!$O1,'J1 C - (South) Bishopthorpe Roa'!$A$12:$A$130,"&lt;"&amp;Diagram!$P1),SUMIFS(INDIRECT(ADDRESS(12,3+18*3+(15),,,"J1 C - (South) Bishopthorpe Roa")&amp;":"&amp;ADDRESS(130,3+18*3+(15))),'J1 C - (South) Bishopthorpe Roa'!$A$12:$A$130,"&gt;="&amp;Diagram!$O1,'J1 C - (South) Bishopthorpe Roa'!$A$12:$A$130,"&lt;"&amp;Diagram!$P1)))</f>
        <v>0</v>
      </c>
      <c r="ES1" s="42">
        <f ca="1">IF(OR($I$10="",$O1="",$P1="",$J$42&lt;&gt;"Yes"),0,IF($K$10=0,SUMIFS(INDIRECT(ADDRESS(12,3+18*0+(7),,,"J1 C - (South) Bishopthorpe Roa")&amp;":"&amp;ADDRESS(130,3+18*0+(7))),'J1 C - (South) Bishopthorpe Roa'!$A$12:$A$130,"&gt;="&amp;Diagram!$O1,'J1 C - (South) Bishopthorpe Roa'!$A$12:$A$130,"&lt;"&amp;Diagram!$P1),SUMIFS(INDIRECT(ADDRESS(12,3+18*0+(15),,,"J1 C - (South) Bishopthorpe Roa")&amp;":"&amp;ADDRESS(130,3+18*0+(15))),'J1 C - (South) Bishopthorpe Roa'!$A$12:$A$130,"&gt;="&amp;Diagram!$O1,'J1 C - (South) Bishopthorpe Roa'!$A$12:$A$130,"&lt;"&amp;Diagram!$P1)))</f>
        <v>0</v>
      </c>
      <c r="ET1" s="42">
        <f ca="1">IF(OR($I$10="",$O1="",$P1="",$J$42&lt;&gt;"Yes"),0,IF($K$10=0,SUMIFS(INDIRECT(ADDRESS(12,3+18*0+(7),,,"J1 D - South Bank Avenue")&amp;":"&amp;ADDRESS(130,3+18*0+(7))),'J1 D - South Bank Avenue'!$A$12:$A$130,"&gt;="&amp;Diagram!$O1,'J1 D - South Bank Avenue'!$A$12:$A$130,"&lt;"&amp;Diagram!$P1),SUMIFS(INDIRECT(ADDRESS(12,3+18*0+(15),,,"J1 D - South Bank Avenue")&amp;":"&amp;ADDRESS(130,3+18*0+(15))),'J1 D - South Bank Avenue'!$A$12:$A$130,"&gt;="&amp;Diagram!$O1,'J1 D - South Bank Avenue'!$A$12:$A$130,"&lt;"&amp;Diagram!$P1)))</f>
        <v>0</v>
      </c>
      <c r="EU1" s="42">
        <f ca="1">IF(OR($I$10="",$O1="",$P1="",$J$42&lt;&gt;"Yes"),0,IF($K$10=0,SUMIFS(INDIRECT(ADDRESS(12,3+18*1+(7),,,"J1 D - South Bank Avenue")&amp;":"&amp;ADDRESS(130,3+18*1+(7))),'J1 D - South Bank Avenue'!$A$12:$A$130,"&gt;="&amp;Diagram!$O1,'J1 D - South Bank Avenue'!$A$12:$A$130,"&lt;"&amp;Diagram!$P1),SUMIFS(INDIRECT(ADDRESS(12,3+18*1+(15),,,"J1 D - South Bank Avenue")&amp;":"&amp;ADDRESS(130,3+18*1+(15))),'J1 D - South Bank Avenue'!$A$12:$A$130,"&gt;="&amp;Diagram!$O1,'J1 D - South Bank Avenue'!$A$12:$A$130,"&lt;"&amp;Diagram!$P1)))</f>
        <v>0</v>
      </c>
      <c r="EV1" s="42">
        <f ca="1">IF(OR($I$10="",$O1="",$P1="",$J$42&lt;&gt;"Yes"),0,IF($K$10=0,SUMIFS(INDIRECT(ADDRESS(12,3+18*2+(7),,,"J1 D - South Bank Avenue")&amp;":"&amp;ADDRESS(130,3+18*2+(7))),'J1 D - South Bank Avenue'!$A$12:$A$130,"&gt;="&amp;Diagram!$O1,'J1 D - South Bank Avenue'!$A$12:$A$130,"&lt;"&amp;Diagram!$P1),SUMIFS(INDIRECT(ADDRESS(12,3+18*2+(15),,,"J1 D - South Bank Avenue")&amp;":"&amp;ADDRESS(130,3+18*2+(15))),'J1 D - South Bank Avenue'!$A$12:$A$130,"&gt;="&amp;Diagram!$O1,'J1 D - South Bank Avenue'!$A$12:$A$130,"&lt;"&amp;Diagram!$P1)))</f>
        <v>0</v>
      </c>
      <c r="EW1" s="42">
        <f ca="1">IF(OR($I$10="",$O1="",$P1="",$J$42&lt;&gt;"Yes"),0,IF($K$10=0,SUMIFS(INDIRECT(ADDRESS(12,3+18*3+(7),,,"J1 D - South Bank Avenue")&amp;":"&amp;ADDRESS(130,3+18*3+(7))),'J1 D - South Bank Avenue'!$A$12:$A$130,"&gt;="&amp;Diagram!$O1,'J1 D - South Bank Avenue'!$A$12:$A$130,"&lt;"&amp;Diagram!$P1),SUMIFS(INDIRECT(ADDRESS(12,3+18*3+(15),,,"J1 D - South Bank Avenue")&amp;":"&amp;ADDRESS(130,3+18*3+(15))),'J1 D - South Bank Avenue'!$A$12:$A$130,"&gt;="&amp;Diagram!$O1,'J1 D - South Bank Avenue'!$A$12:$A$130,"&lt;"&amp;Diagram!$P1)))</f>
        <v>0</v>
      </c>
    </row>
    <row r="2" spans="1:153" ht="37.950000000000003" customHeight="1">
      <c r="A2" s="1">
        <v>44395.010416666701</v>
      </c>
      <c r="B2" s="1">
        <v>44395.020833333299</v>
      </c>
      <c r="O2" s="3">
        <v>44395.010416666701</v>
      </c>
      <c r="P2" s="3">
        <v>44395.052083333299</v>
      </c>
      <c r="Q2" s="42">
        <f t="shared" ref="Q2:Q65" ca="1" si="0">IF($O2="",0,SUM($R2,$AI2,$AZ2,$BQ2,$CH2,$CY2,$DP2,$EG2))</f>
        <v>41</v>
      </c>
      <c r="R2" s="42">
        <f t="shared" ref="R2:R65" ca="1" si="1">SUM($S2,$T2,$U2,$V2,$W2,$X2,$Y2,$Z2,$AA2,$AB2,$AC2,$AD2,$AE2,$AF2,$AG2,$AH2)</f>
        <v>32</v>
      </c>
      <c r="S2" s="42">
        <f ca="1">IF(OR($I$10="",$O2="",$P2="",$J$35&lt;&gt;"Yes"),0,IF($K$10=0,SUMIFS(INDIRECT(ADDRESS(12,3+18*3+(0),,,"J1 A - (North) Bishopthorpe Roa")&amp;":"&amp;ADDRESS(130,3+18*3+(0))),'J1 A - (North) Bishopthorpe Roa'!$A$12:$A$130,"&gt;="&amp;Diagram!$O2,'J1 A - (North) Bishopthorpe Roa'!$A$12:$A$130,"&lt;"&amp;Diagram!$P2),SUMIFS(INDIRECT(ADDRESS(12,3+18*3+(8),,,"J1 A - (North) Bishopthorpe Roa")&amp;":"&amp;ADDRESS(130,3+18*3+(8))),'J1 A - (North) Bishopthorpe Roa'!$A$12:$A$130,"&gt;="&amp;Diagram!$O2,'J1 A - (North) Bishopthorpe Roa'!$A$12:$A$130,"&lt;"&amp;Diagram!$P2)))</f>
        <v>0</v>
      </c>
      <c r="T2" s="42">
        <f ca="1">IF(OR($I$10="",$O2="",$P2="",$J$35&lt;&gt;"Yes"),0,IF($K$10=0,SUMIFS(INDIRECT(ADDRESS(12,3+18*0+(0),,,"J1 A - (North) Bishopthorpe Roa")&amp;":"&amp;ADDRESS(130,3+18*0+(0))),'J1 A - (North) Bishopthorpe Roa'!$A$12:$A$130,"&gt;="&amp;Diagram!$O2,'J1 A - (North) Bishopthorpe Roa'!$A$12:$A$130,"&lt;"&amp;Diagram!$P2),SUMIFS(INDIRECT(ADDRESS(12,3+18*0+(8),,,"J1 A - (North) Bishopthorpe Roa")&amp;":"&amp;ADDRESS(130,3+18*0+(8))),'J1 A - (North) Bishopthorpe Roa'!$A$12:$A$130,"&gt;="&amp;Diagram!$O2,'J1 A - (North) Bishopthorpe Roa'!$A$12:$A$130,"&lt;"&amp;Diagram!$P2)))</f>
        <v>1</v>
      </c>
      <c r="U2" s="42">
        <f ca="1">IF(OR($I$10="",$O2="",$P2="",$J$35&lt;&gt;"Yes"),0,IF($K$10=0,SUMIFS(INDIRECT(ADDRESS(12,3+18*1+(0),,,"J1 A - (North) Bishopthorpe Roa")&amp;":"&amp;ADDRESS(130,3+18*1+(0))),'J1 A - (North) Bishopthorpe Roa'!$A$12:$A$130,"&gt;="&amp;Diagram!$O2,'J1 A - (North) Bishopthorpe Roa'!$A$12:$A$130,"&lt;"&amp;Diagram!$P2),SUMIFS(INDIRECT(ADDRESS(12,3+18*1+(8),,,"J1 A - (North) Bishopthorpe Roa")&amp;":"&amp;ADDRESS(130,3+18*1+(8))),'J1 A - (North) Bishopthorpe Roa'!$A$12:$A$130,"&gt;="&amp;Diagram!$O2,'J1 A - (North) Bishopthorpe Roa'!$A$12:$A$130,"&lt;"&amp;Diagram!$P2)))</f>
        <v>14</v>
      </c>
      <c r="V2" s="42">
        <f ca="1">IF(OR($I$10="",$O2="",$P2="",$J$35&lt;&gt;"Yes"),0,IF($K$10=0,SUMIFS(INDIRECT(ADDRESS(12,3+18*2+(0),,,"J1 A - (North) Bishopthorpe Roa")&amp;":"&amp;ADDRESS(130,3+18*2+(0))),'J1 A - (North) Bishopthorpe Roa'!$A$12:$A$130,"&gt;="&amp;Diagram!$O2,'J1 A - (North) Bishopthorpe Roa'!$A$12:$A$130,"&lt;"&amp;Diagram!$P2),SUMIFS(INDIRECT(ADDRESS(12,3+18*2+(8),,,"J1 A - (North) Bishopthorpe Roa")&amp;":"&amp;ADDRESS(130,3+18*2+(8))),'J1 A - (North) Bishopthorpe Roa'!$A$12:$A$130,"&gt;="&amp;Diagram!$O2,'J1 A - (North) Bishopthorpe Roa'!$A$12:$A$130,"&lt;"&amp;Diagram!$P2)))</f>
        <v>3</v>
      </c>
      <c r="W2" s="42">
        <f ca="1">IF(OR($I$10="",$O2="",$P2="",$J$35&lt;&gt;"Yes"),0,IF($K$10=0,SUMIFS(INDIRECT(ADDRESS(12,3+18*2+(0),,,"J1 B - Butcher Terrace")&amp;":"&amp;ADDRESS(130,3+18*2+(0))),'J1 B - Butcher Terrace'!$A$12:$A$130,"&gt;="&amp;Diagram!$O2,'J1 B - Butcher Terrace'!$A$12:$A$130,"&lt;"&amp;Diagram!$P2),SUMIFS(INDIRECT(ADDRESS(12,3+18*2+(8),,,"J1 B - Butcher Terrace")&amp;":"&amp;ADDRESS(130,3+18*2+(8))),'J1 B - Butcher Terrace'!$A$12:$A$130,"&gt;="&amp;Diagram!$O2,'J1 B - Butcher Terrace'!$A$12:$A$130,"&lt;"&amp;Diagram!$P2)))</f>
        <v>1</v>
      </c>
      <c r="X2" s="42">
        <f ca="1">IF(OR($I$10="",$O2="",$P2="",$J$35&lt;&gt;"Yes"),0,IF($K$10=0,SUMIFS(INDIRECT(ADDRESS(12,3+18*3+(0),,,"J1 B - Butcher Terrace")&amp;":"&amp;ADDRESS(130,3+18*3+(0))),'J1 B - Butcher Terrace'!$A$12:$A$130,"&gt;="&amp;Diagram!$O2,'J1 B - Butcher Terrace'!$A$12:$A$130,"&lt;"&amp;Diagram!$P2),SUMIFS(INDIRECT(ADDRESS(12,3+18*3+(8),,,"J1 B - Butcher Terrace")&amp;":"&amp;ADDRESS(130,3+18*3+(8))),'J1 B - Butcher Terrace'!$A$12:$A$130,"&gt;="&amp;Diagram!$O2,'J1 B - Butcher Terrace'!$A$12:$A$130,"&lt;"&amp;Diagram!$P2)))</f>
        <v>0</v>
      </c>
      <c r="Y2" s="42">
        <f ca="1">IF(OR($I$10="",$O2="",$P2="",$J$35&lt;&gt;"Yes"),0,IF($K$10=0,SUMIFS(INDIRECT(ADDRESS(12,3+18*0+(0),,,"J1 B - Butcher Terrace")&amp;":"&amp;ADDRESS(130,3+18*0+(0))),'J1 B - Butcher Terrace'!$A$12:$A$130,"&gt;="&amp;Diagram!$O2,'J1 B - Butcher Terrace'!$A$12:$A$130,"&lt;"&amp;Diagram!$P2),SUMIFS(INDIRECT(ADDRESS(12,3+18*0+(8),,,"J1 B - Butcher Terrace")&amp;":"&amp;ADDRESS(130,3+18*0+(8))),'J1 B - Butcher Terrace'!$A$12:$A$130,"&gt;="&amp;Diagram!$O2,'J1 B - Butcher Terrace'!$A$12:$A$130,"&lt;"&amp;Diagram!$P2)))</f>
        <v>0</v>
      </c>
      <c r="Z2" s="42">
        <f ca="1">IF(OR($I$10="",$O2="",$P2="",$J$35&lt;&gt;"Yes"),0,IF($K$10=0,SUMIFS(INDIRECT(ADDRESS(12,3+18*1+(0),,,"J1 B - Butcher Terrace")&amp;":"&amp;ADDRESS(130,3+18*1+(0))),'J1 B - Butcher Terrace'!$A$12:$A$130,"&gt;="&amp;Diagram!$O2,'J1 B - Butcher Terrace'!$A$12:$A$130,"&lt;"&amp;Diagram!$P2),SUMIFS(INDIRECT(ADDRESS(12,3+18*1+(8),,,"J1 B - Butcher Terrace")&amp;":"&amp;ADDRESS(130,3+18*1+(8))),'J1 B - Butcher Terrace'!$A$12:$A$130,"&gt;="&amp;Diagram!$O2,'J1 B - Butcher Terrace'!$A$12:$A$130,"&lt;"&amp;Diagram!$P2)))</f>
        <v>1</v>
      </c>
      <c r="AA2" s="42">
        <f ca="1">IF(OR($I$10="",$O2="",$P2="",$J$35&lt;&gt;"Yes"),0,IF($K$10=0,SUMIFS(INDIRECT(ADDRESS(12,3+18*1+(0),,,"J1 C - (South) Bishopthorpe Roa")&amp;":"&amp;ADDRESS(130,3+18*1+(0))),'J1 C - (South) Bishopthorpe Roa'!$A$12:$A$130,"&gt;="&amp;Diagram!$O2,'J1 C - (South) Bishopthorpe Roa'!$A$12:$A$130,"&lt;"&amp;Diagram!$P2),SUMIFS(INDIRECT(ADDRESS(12,3+18*1+(8),,,"J1 C - (South) Bishopthorpe Roa")&amp;":"&amp;ADDRESS(130,3+18*1+(8))),'J1 C - (South) Bishopthorpe Roa'!$A$12:$A$130,"&gt;="&amp;Diagram!$O2,'J1 C - (South) Bishopthorpe Roa'!$A$12:$A$130,"&lt;"&amp;Diagram!$P2)))</f>
        <v>10</v>
      </c>
      <c r="AB2" s="42">
        <f ca="1">IF(OR($I$10="",$O2="",$P2="",$J$35&lt;&gt;"Yes"),0,IF($K$10=0,SUMIFS(INDIRECT(ADDRESS(12,3+18*2+(0),,,"J1 C - (South) Bishopthorpe Roa")&amp;":"&amp;ADDRESS(130,3+18*2+(0))),'J1 C - (South) Bishopthorpe Roa'!$A$12:$A$130,"&gt;="&amp;Diagram!$O2,'J1 C - (South) Bishopthorpe Roa'!$A$12:$A$130,"&lt;"&amp;Diagram!$P2),SUMIFS(INDIRECT(ADDRESS(12,3+18*2+(8),,,"J1 C - (South) Bishopthorpe Roa")&amp;":"&amp;ADDRESS(130,3+18*2+(8))),'J1 C - (South) Bishopthorpe Roa'!$A$12:$A$130,"&gt;="&amp;Diagram!$O2,'J1 C - (South) Bishopthorpe Roa'!$A$12:$A$130,"&lt;"&amp;Diagram!$P2)))</f>
        <v>0</v>
      </c>
      <c r="AC2" s="42">
        <f ca="1">IF(OR($I$10="",$O2="",$P2="",$J$35&lt;&gt;"Yes"),0,IF($K$10=0,SUMIFS(INDIRECT(ADDRESS(12,3+18*3+(0),,,"J1 C - (South) Bishopthorpe Roa")&amp;":"&amp;ADDRESS(130,3+18*3+(0))),'J1 C - (South) Bishopthorpe Roa'!$A$12:$A$130,"&gt;="&amp;Diagram!$O2,'J1 C - (South) Bishopthorpe Roa'!$A$12:$A$130,"&lt;"&amp;Diagram!$P2),SUMIFS(INDIRECT(ADDRESS(12,3+18*3+(8),,,"J1 C - (South) Bishopthorpe Roa")&amp;":"&amp;ADDRESS(130,3+18*3+(8))),'J1 C - (South) Bishopthorpe Roa'!$A$12:$A$130,"&gt;="&amp;Diagram!$O2,'J1 C - (South) Bishopthorpe Roa'!$A$12:$A$130,"&lt;"&amp;Diagram!$P2)))</f>
        <v>0</v>
      </c>
      <c r="AD2" s="42">
        <f ca="1">IF(OR($I$10="",$O2="",$P2="",$J$35&lt;&gt;"Yes"),0,IF($K$10=0,SUMIFS(INDIRECT(ADDRESS(12,3+18*0+(0),,,"J1 C - (South) Bishopthorpe Roa")&amp;":"&amp;ADDRESS(130,3+18*0+(0))),'J1 C - (South) Bishopthorpe Roa'!$A$12:$A$130,"&gt;="&amp;Diagram!$O2,'J1 C - (South) Bishopthorpe Roa'!$A$12:$A$130,"&lt;"&amp;Diagram!$P2),SUMIFS(INDIRECT(ADDRESS(12,3+18*0+(8),,,"J1 C - (South) Bishopthorpe Roa")&amp;":"&amp;ADDRESS(130,3+18*0+(8))),'J1 C - (South) Bishopthorpe Roa'!$A$12:$A$130,"&gt;="&amp;Diagram!$O2,'J1 C - (South) Bishopthorpe Roa'!$A$12:$A$130,"&lt;"&amp;Diagram!$P2)))</f>
        <v>0</v>
      </c>
      <c r="AE2" s="42">
        <f ca="1">IF(OR($I$10="",$O2="",$P2="",$J$35&lt;&gt;"Yes"),0,IF($K$10=0,SUMIFS(INDIRECT(ADDRESS(12,3+18*0+(0),,,"J1 D - South Bank Avenue")&amp;":"&amp;ADDRESS(130,3+18*0+(0))),'J1 D - South Bank Avenue'!$A$12:$A$130,"&gt;="&amp;Diagram!$O2,'J1 D - South Bank Avenue'!$A$12:$A$130,"&lt;"&amp;Diagram!$P2),SUMIFS(INDIRECT(ADDRESS(12,3+18*0+(8),,,"J1 D - South Bank Avenue")&amp;":"&amp;ADDRESS(130,3+18*0+(8))),'J1 D - South Bank Avenue'!$A$12:$A$130,"&gt;="&amp;Diagram!$O2,'J1 D - South Bank Avenue'!$A$12:$A$130,"&lt;"&amp;Diagram!$P2)))</f>
        <v>2</v>
      </c>
      <c r="AF2" s="42">
        <f ca="1">IF(OR($I$10="",$O2="",$P2="",$J$35&lt;&gt;"Yes"),0,IF($K$10=0,SUMIFS(INDIRECT(ADDRESS(12,3+18*1+(0),,,"J1 D - South Bank Avenue")&amp;":"&amp;ADDRESS(130,3+18*1+(0))),'J1 D - South Bank Avenue'!$A$12:$A$130,"&gt;="&amp;Diagram!$O2,'J1 D - South Bank Avenue'!$A$12:$A$130,"&lt;"&amp;Diagram!$P2),SUMIFS(INDIRECT(ADDRESS(12,3+18*1+(8),,,"J1 D - South Bank Avenue")&amp;":"&amp;ADDRESS(130,3+18*1+(8))),'J1 D - South Bank Avenue'!$A$12:$A$130,"&gt;="&amp;Diagram!$O2,'J1 D - South Bank Avenue'!$A$12:$A$130,"&lt;"&amp;Diagram!$P2)))</f>
        <v>0</v>
      </c>
      <c r="AG2" s="42">
        <f ca="1">IF(OR($I$10="",$O2="",$P2="",$J$35&lt;&gt;"Yes"),0,IF($K$10=0,SUMIFS(INDIRECT(ADDRESS(12,3+18*2+(0),,,"J1 D - South Bank Avenue")&amp;":"&amp;ADDRESS(130,3+18*2+(0))),'J1 D - South Bank Avenue'!$A$12:$A$130,"&gt;="&amp;Diagram!$O2,'J1 D - South Bank Avenue'!$A$12:$A$130,"&lt;"&amp;Diagram!$P2),SUMIFS(INDIRECT(ADDRESS(12,3+18*2+(8),,,"J1 D - South Bank Avenue")&amp;":"&amp;ADDRESS(130,3+18*2+(8))),'J1 D - South Bank Avenue'!$A$12:$A$130,"&gt;="&amp;Diagram!$O2,'J1 D - South Bank Avenue'!$A$12:$A$130,"&lt;"&amp;Diagram!$P2)))</f>
        <v>0</v>
      </c>
      <c r="AH2" s="42">
        <f ca="1">IF(OR($I$10="",$O2="",$P2="",$J$35&lt;&gt;"Yes"),0,IF($K$10=0,SUMIFS(INDIRECT(ADDRESS(12,3+18*3+(0),,,"J1 D - South Bank Avenue")&amp;":"&amp;ADDRESS(130,3+18*3+(0))),'J1 D - South Bank Avenue'!$A$12:$A$130,"&gt;="&amp;Diagram!$O2,'J1 D - South Bank Avenue'!$A$12:$A$130,"&lt;"&amp;Diagram!$P2),SUMIFS(INDIRECT(ADDRESS(12,3+18*3+(8),,,"J1 D - South Bank Avenue")&amp;":"&amp;ADDRESS(130,3+18*3+(8))),'J1 D - South Bank Avenue'!$A$12:$A$130,"&gt;="&amp;Diagram!$O2,'J1 D - South Bank Avenue'!$A$12:$A$130,"&lt;"&amp;Diagram!$P2)))</f>
        <v>0</v>
      </c>
      <c r="AI2" s="42">
        <f t="shared" ref="AI2:AI65" ca="1" si="2">SUM($AJ2,$AK2,$AL2,$AM2,$AN2,$AO2,$AP2,$AQ2,$AR2,$AS2,$AT2,$AU2,$AV2,$AW2,$AX2,$AY2)</f>
        <v>1</v>
      </c>
      <c r="AJ2" s="42">
        <f ca="1">IF(OR($I$10="",$O2="",$P2="",$J$36&lt;&gt;"Yes"),0,IF($K$10=0,SUMIFS(INDIRECT(ADDRESS(12,3+18*3+(1),,,"J1 A - (North) Bishopthorpe Roa")&amp;":"&amp;ADDRESS(130,3+18*3+(1))),'J1 A - (North) Bishopthorpe Roa'!$A$12:$A$130,"&gt;="&amp;Diagram!$O2,'J1 A - (North) Bishopthorpe Roa'!$A$12:$A$130,"&lt;"&amp;Diagram!$P2),SUMIFS(INDIRECT(ADDRESS(12,3+18*3+(9),,,"J1 A - (North) Bishopthorpe Roa")&amp;":"&amp;ADDRESS(130,3+18*3+(9))),'J1 A - (North) Bishopthorpe Roa'!$A$12:$A$130,"&gt;="&amp;Diagram!$O2,'J1 A - (North) Bishopthorpe Roa'!$A$12:$A$130,"&lt;"&amp;Diagram!$P2)))</f>
        <v>0</v>
      </c>
      <c r="AK2" s="42">
        <f ca="1">IF(OR($I$10="",$O2="",$P2="",$J$36&lt;&gt;"Yes"),0,IF($K$10=0,SUMIFS(INDIRECT(ADDRESS(12,3+18*0+(1),,,"J1 A - (North) Bishopthorpe Roa")&amp;":"&amp;ADDRESS(130,3+18*0+(1))),'J1 A - (North) Bishopthorpe Roa'!$A$12:$A$130,"&gt;="&amp;Diagram!$O2,'J1 A - (North) Bishopthorpe Roa'!$A$12:$A$130,"&lt;"&amp;Diagram!$P2),SUMIFS(INDIRECT(ADDRESS(12,3+18*0+(9),,,"J1 A - (North) Bishopthorpe Roa")&amp;":"&amp;ADDRESS(130,3+18*0+(9))),'J1 A - (North) Bishopthorpe Roa'!$A$12:$A$130,"&gt;="&amp;Diagram!$O2,'J1 A - (North) Bishopthorpe Roa'!$A$12:$A$130,"&lt;"&amp;Diagram!$P2)))</f>
        <v>0</v>
      </c>
      <c r="AL2" s="42">
        <f ca="1">IF(OR($I$10="",$O2="",$P2="",$J$36&lt;&gt;"Yes"),0,IF($K$10=0,SUMIFS(INDIRECT(ADDRESS(12,3+18*1+(1),,,"J1 A - (North) Bishopthorpe Roa")&amp;":"&amp;ADDRESS(130,3+18*1+(1))),'J1 A - (North) Bishopthorpe Roa'!$A$12:$A$130,"&gt;="&amp;Diagram!$O2,'J1 A - (North) Bishopthorpe Roa'!$A$12:$A$130,"&lt;"&amp;Diagram!$P2),SUMIFS(INDIRECT(ADDRESS(12,3+18*1+(9),,,"J1 A - (North) Bishopthorpe Roa")&amp;":"&amp;ADDRESS(130,3+18*1+(9))),'J1 A - (North) Bishopthorpe Roa'!$A$12:$A$130,"&gt;="&amp;Diagram!$O2,'J1 A - (North) Bishopthorpe Roa'!$A$12:$A$130,"&lt;"&amp;Diagram!$P2)))</f>
        <v>1</v>
      </c>
      <c r="AM2" s="42">
        <f ca="1">IF(OR($I$10="",$O2="",$P2="",$J$36&lt;&gt;"Yes"),0,IF($K$10=0,SUMIFS(INDIRECT(ADDRESS(12,3+18*2+(1),,,"J1 A - (North) Bishopthorpe Roa")&amp;":"&amp;ADDRESS(130,3+18*2+(1))),'J1 A - (North) Bishopthorpe Roa'!$A$12:$A$130,"&gt;="&amp;Diagram!$O2,'J1 A - (North) Bishopthorpe Roa'!$A$12:$A$130,"&lt;"&amp;Diagram!$P2),SUMIFS(INDIRECT(ADDRESS(12,3+18*2+(9),,,"J1 A - (North) Bishopthorpe Roa")&amp;":"&amp;ADDRESS(130,3+18*2+(9))),'J1 A - (North) Bishopthorpe Roa'!$A$12:$A$130,"&gt;="&amp;Diagram!$O2,'J1 A - (North) Bishopthorpe Roa'!$A$12:$A$130,"&lt;"&amp;Diagram!$P2)))</f>
        <v>0</v>
      </c>
      <c r="AN2" s="42">
        <f ca="1">IF(OR($I$10="",$O2="",$P2="",$J$36&lt;&gt;"Yes"),0,IF($K$10=0,SUMIFS(INDIRECT(ADDRESS(12,3+18*2+(1),,,"J1 B - Butcher Terrace")&amp;":"&amp;ADDRESS(130,3+18*2+(1))),'J1 B - Butcher Terrace'!$A$12:$A$130,"&gt;="&amp;Diagram!$O2,'J1 B - Butcher Terrace'!$A$12:$A$130,"&lt;"&amp;Diagram!$P2),SUMIFS(INDIRECT(ADDRESS(12,3+18*2+(9),,,"J1 B - Butcher Terrace")&amp;":"&amp;ADDRESS(130,3+18*2+(9))),'J1 B - Butcher Terrace'!$A$12:$A$130,"&gt;="&amp;Diagram!$O2,'J1 B - Butcher Terrace'!$A$12:$A$130,"&lt;"&amp;Diagram!$P2)))</f>
        <v>0</v>
      </c>
      <c r="AO2" s="42">
        <f ca="1">IF(OR($I$10="",$O2="",$P2="",$J$36&lt;&gt;"Yes"),0,IF($K$10=0,SUMIFS(INDIRECT(ADDRESS(12,3+18*3+(1),,,"J1 B - Butcher Terrace")&amp;":"&amp;ADDRESS(130,3+18*3+(1))),'J1 B - Butcher Terrace'!$A$12:$A$130,"&gt;="&amp;Diagram!$O2,'J1 B - Butcher Terrace'!$A$12:$A$130,"&lt;"&amp;Diagram!$P2),SUMIFS(INDIRECT(ADDRESS(12,3+18*3+(9),,,"J1 B - Butcher Terrace")&amp;":"&amp;ADDRESS(130,3+18*3+(9))),'J1 B - Butcher Terrace'!$A$12:$A$130,"&gt;="&amp;Diagram!$O2,'J1 B - Butcher Terrace'!$A$12:$A$130,"&lt;"&amp;Diagram!$P2)))</f>
        <v>0</v>
      </c>
      <c r="AP2" s="42">
        <f ca="1">IF(OR($I$10="",$O2="",$P2="",$J$36&lt;&gt;"Yes"),0,IF($K$10=0,SUMIFS(INDIRECT(ADDRESS(12,3+18*0+(1),,,"J1 B - Butcher Terrace")&amp;":"&amp;ADDRESS(130,3+18*0+(1))),'J1 B - Butcher Terrace'!$A$12:$A$130,"&gt;="&amp;Diagram!$O2,'J1 B - Butcher Terrace'!$A$12:$A$130,"&lt;"&amp;Diagram!$P2),SUMIFS(INDIRECT(ADDRESS(12,3+18*0+(9),,,"J1 B - Butcher Terrace")&amp;":"&amp;ADDRESS(130,3+18*0+(9))),'J1 B - Butcher Terrace'!$A$12:$A$130,"&gt;="&amp;Diagram!$O2,'J1 B - Butcher Terrace'!$A$12:$A$130,"&lt;"&amp;Diagram!$P2)))</f>
        <v>0</v>
      </c>
      <c r="AQ2" s="42">
        <f ca="1">IF(OR($I$10="",$O2="",$P2="",$J$36&lt;&gt;"Yes"),0,IF($K$10=0,SUMIFS(INDIRECT(ADDRESS(12,3+18*1+(1),,,"J1 B - Butcher Terrace")&amp;":"&amp;ADDRESS(130,3+18*1+(1))),'J1 B - Butcher Terrace'!$A$12:$A$130,"&gt;="&amp;Diagram!$O2,'J1 B - Butcher Terrace'!$A$12:$A$130,"&lt;"&amp;Diagram!$P2),SUMIFS(INDIRECT(ADDRESS(12,3+18*1+(9),,,"J1 B - Butcher Terrace")&amp;":"&amp;ADDRESS(130,3+18*1+(9))),'J1 B - Butcher Terrace'!$A$12:$A$130,"&gt;="&amp;Diagram!$O2,'J1 B - Butcher Terrace'!$A$12:$A$130,"&lt;"&amp;Diagram!$P2)))</f>
        <v>0</v>
      </c>
      <c r="AR2" s="42">
        <f ca="1">IF(OR($I$10="",$O2="",$P2="",$J$36&lt;&gt;"Yes"),0,IF($K$10=0,SUMIFS(INDIRECT(ADDRESS(12,3+18*1+(1),,,"J1 C - (South) Bishopthorpe Roa")&amp;":"&amp;ADDRESS(130,3+18*1+(1))),'J1 C - (South) Bishopthorpe Roa'!$A$12:$A$130,"&gt;="&amp;Diagram!$O2,'J1 C - (South) Bishopthorpe Roa'!$A$12:$A$130,"&lt;"&amp;Diagram!$P2),SUMIFS(INDIRECT(ADDRESS(12,3+18*1+(9),,,"J1 C - (South) Bishopthorpe Roa")&amp;":"&amp;ADDRESS(130,3+18*1+(9))),'J1 C - (South) Bishopthorpe Roa'!$A$12:$A$130,"&gt;="&amp;Diagram!$O2,'J1 C - (South) Bishopthorpe Roa'!$A$12:$A$130,"&lt;"&amp;Diagram!$P2)))</f>
        <v>0</v>
      </c>
      <c r="AS2" s="42">
        <f ca="1">IF(OR($I$10="",$O2="",$P2="",$J$36&lt;&gt;"Yes"),0,IF($K$10=0,SUMIFS(INDIRECT(ADDRESS(12,3+18*2+(1),,,"J1 C - (South) Bishopthorpe Roa")&amp;":"&amp;ADDRESS(130,3+18*2+(1))),'J1 C - (South) Bishopthorpe Roa'!$A$12:$A$130,"&gt;="&amp;Diagram!$O2,'J1 C - (South) Bishopthorpe Roa'!$A$12:$A$130,"&lt;"&amp;Diagram!$P2),SUMIFS(INDIRECT(ADDRESS(12,3+18*2+(9),,,"J1 C - (South) Bishopthorpe Roa")&amp;":"&amp;ADDRESS(130,3+18*2+(9))),'J1 C - (South) Bishopthorpe Roa'!$A$12:$A$130,"&gt;="&amp;Diagram!$O2,'J1 C - (South) Bishopthorpe Roa'!$A$12:$A$130,"&lt;"&amp;Diagram!$P2)))</f>
        <v>0</v>
      </c>
      <c r="AT2" s="42">
        <f ca="1">IF(OR($I$10="",$O2="",$P2="",$J$36&lt;&gt;"Yes"),0,IF($K$10=0,SUMIFS(INDIRECT(ADDRESS(12,3+18*3+(1),,,"J1 C - (South) Bishopthorpe Roa")&amp;":"&amp;ADDRESS(130,3+18*3+(1))),'J1 C - (South) Bishopthorpe Roa'!$A$12:$A$130,"&gt;="&amp;Diagram!$O2,'J1 C - (South) Bishopthorpe Roa'!$A$12:$A$130,"&lt;"&amp;Diagram!$P2),SUMIFS(INDIRECT(ADDRESS(12,3+18*3+(9),,,"J1 C - (South) Bishopthorpe Roa")&amp;":"&amp;ADDRESS(130,3+18*3+(9))),'J1 C - (South) Bishopthorpe Roa'!$A$12:$A$130,"&gt;="&amp;Diagram!$O2,'J1 C - (South) Bishopthorpe Roa'!$A$12:$A$130,"&lt;"&amp;Diagram!$P2)))</f>
        <v>0</v>
      </c>
      <c r="AU2" s="42">
        <f ca="1">IF(OR($I$10="",$O2="",$P2="",$J$36&lt;&gt;"Yes"),0,IF($K$10=0,SUMIFS(INDIRECT(ADDRESS(12,3+18*0+(1),,,"J1 C - (South) Bishopthorpe Roa")&amp;":"&amp;ADDRESS(130,3+18*0+(1))),'J1 C - (South) Bishopthorpe Roa'!$A$12:$A$130,"&gt;="&amp;Diagram!$O2,'J1 C - (South) Bishopthorpe Roa'!$A$12:$A$130,"&lt;"&amp;Diagram!$P2),SUMIFS(INDIRECT(ADDRESS(12,3+18*0+(9),,,"J1 C - (South) Bishopthorpe Roa")&amp;":"&amp;ADDRESS(130,3+18*0+(9))),'J1 C - (South) Bishopthorpe Roa'!$A$12:$A$130,"&gt;="&amp;Diagram!$O2,'J1 C - (South) Bishopthorpe Roa'!$A$12:$A$130,"&lt;"&amp;Diagram!$P2)))</f>
        <v>0</v>
      </c>
      <c r="AV2" s="42">
        <f ca="1">IF(OR($I$10="",$O2="",$P2="",$J$36&lt;&gt;"Yes"),0,IF($K$10=0,SUMIFS(INDIRECT(ADDRESS(12,3+18*0+(1),,,"J1 D - South Bank Avenue")&amp;":"&amp;ADDRESS(130,3+18*0+(1))),'J1 D - South Bank Avenue'!$A$12:$A$130,"&gt;="&amp;Diagram!$O2,'J1 D - South Bank Avenue'!$A$12:$A$130,"&lt;"&amp;Diagram!$P2),SUMIFS(INDIRECT(ADDRESS(12,3+18*0+(9),,,"J1 D - South Bank Avenue")&amp;":"&amp;ADDRESS(130,3+18*0+(9))),'J1 D - South Bank Avenue'!$A$12:$A$130,"&gt;="&amp;Diagram!$O2,'J1 D - South Bank Avenue'!$A$12:$A$130,"&lt;"&amp;Diagram!$P2)))</f>
        <v>0</v>
      </c>
      <c r="AW2" s="42">
        <f ca="1">IF(OR($I$10="",$O2="",$P2="",$J$36&lt;&gt;"Yes"),0,IF($K$10=0,SUMIFS(INDIRECT(ADDRESS(12,3+18*1+(1),,,"J1 D - South Bank Avenue")&amp;":"&amp;ADDRESS(130,3+18*1+(1))),'J1 D - South Bank Avenue'!$A$12:$A$130,"&gt;="&amp;Diagram!$O2,'J1 D - South Bank Avenue'!$A$12:$A$130,"&lt;"&amp;Diagram!$P2),SUMIFS(INDIRECT(ADDRESS(12,3+18*1+(9),,,"J1 D - South Bank Avenue")&amp;":"&amp;ADDRESS(130,3+18*1+(9))),'J1 D - South Bank Avenue'!$A$12:$A$130,"&gt;="&amp;Diagram!$O2,'J1 D - South Bank Avenue'!$A$12:$A$130,"&lt;"&amp;Diagram!$P2)))</f>
        <v>0</v>
      </c>
      <c r="AX2" s="42">
        <f ca="1">IF(OR($I$10="",$O2="",$P2="",$J$36&lt;&gt;"Yes"),0,IF($K$10=0,SUMIFS(INDIRECT(ADDRESS(12,3+18*2+(1),,,"J1 D - South Bank Avenue")&amp;":"&amp;ADDRESS(130,3+18*2+(1))),'J1 D - South Bank Avenue'!$A$12:$A$130,"&gt;="&amp;Diagram!$O2,'J1 D - South Bank Avenue'!$A$12:$A$130,"&lt;"&amp;Diagram!$P2),SUMIFS(INDIRECT(ADDRESS(12,3+18*2+(9),,,"J1 D - South Bank Avenue")&amp;":"&amp;ADDRESS(130,3+18*2+(9))),'J1 D - South Bank Avenue'!$A$12:$A$130,"&gt;="&amp;Diagram!$O2,'J1 D - South Bank Avenue'!$A$12:$A$130,"&lt;"&amp;Diagram!$P2)))</f>
        <v>0</v>
      </c>
      <c r="AY2" s="42">
        <f ca="1">IF(OR($I$10="",$O2="",$P2="",$J$36&lt;&gt;"Yes"),0,IF($K$10=0,SUMIFS(INDIRECT(ADDRESS(12,3+18*3+(1),,,"J1 D - South Bank Avenue")&amp;":"&amp;ADDRESS(130,3+18*3+(1))),'J1 D - South Bank Avenue'!$A$12:$A$130,"&gt;="&amp;Diagram!$O2,'J1 D - South Bank Avenue'!$A$12:$A$130,"&lt;"&amp;Diagram!$P2),SUMIFS(INDIRECT(ADDRESS(12,3+18*3+(9),,,"J1 D - South Bank Avenue")&amp;":"&amp;ADDRESS(130,3+18*3+(9))),'J1 D - South Bank Avenue'!$A$12:$A$130,"&gt;="&amp;Diagram!$O2,'J1 D - South Bank Avenue'!$A$12:$A$130,"&lt;"&amp;Diagram!$P2)))</f>
        <v>0</v>
      </c>
      <c r="AZ2" s="42">
        <f t="shared" ref="AZ2:AZ65" ca="1" si="3">SUM($BA2,$BB2,$BC2,$BD2,$BE2,$BF2,$BG2,$BH2,$BI2,$BJ2,$BK2,$BL2,$BM2,$BN2,$BO2,$BP2)</f>
        <v>0</v>
      </c>
      <c r="BA2" s="42">
        <f ca="1">IF(OR($I$10="",$O2="",$P2="",$J$37&lt;&gt;"Yes"),0,IF($K$10=0,SUMIFS(INDIRECT(ADDRESS(12,3+18*3+(2),,,"J1 A - (North) Bishopthorpe Roa")&amp;":"&amp;ADDRESS(130,3+18*3+(2))),'J1 A - (North) Bishopthorpe Roa'!$A$12:$A$130,"&gt;="&amp;Diagram!$O2,'J1 A - (North) Bishopthorpe Roa'!$A$12:$A$130,"&lt;"&amp;Diagram!$P2),SUMIFS(INDIRECT(ADDRESS(12,3+18*3+(10),,,"J1 A - (North) Bishopthorpe Roa")&amp;":"&amp;ADDRESS(130,3+18*3+(10))),'J1 A - (North) Bishopthorpe Roa'!$A$12:$A$130,"&gt;="&amp;Diagram!$O2,'J1 A - (North) Bishopthorpe Roa'!$A$12:$A$130,"&lt;"&amp;Diagram!$P2)))</f>
        <v>0</v>
      </c>
      <c r="BB2" s="42">
        <f ca="1">IF(OR($I$10="",$O2="",$P2="",$J$37&lt;&gt;"Yes"),0,IF($K$10=0,SUMIFS(INDIRECT(ADDRESS(12,3+18*0+(2),,,"J1 A - (North) Bishopthorpe Roa")&amp;":"&amp;ADDRESS(130,3+18*0+(2))),'J1 A - (North) Bishopthorpe Roa'!$A$12:$A$130,"&gt;="&amp;Diagram!$O2,'J1 A - (North) Bishopthorpe Roa'!$A$12:$A$130,"&lt;"&amp;Diagram!$P2),SUMIFS(INDIRECT(ADDRESS(12,3+18*0+(10),,,"J1 A - (North) Bishopthorpe Roa")&amp;":"&amp;ADDRESS(130,3+18*0+(10))),'J1 A - (North) Bishopthorpe Roa'!$A$12:$A$130,"&gt;="&amp;Diagram!$O2,'J1 A - (North) Bishopthorpe Roa'!$A$12:$A$130,"&lt;"&amp;Diagram!$P2)))</f>
        <v>0</v>
      </c>
      <c r="BC2" s="42">
        <f ca="1">IF(OR($I$10="",$O2="",$P2="",$J$37&lt;&gt;"Yes"),0,IF($K$10=0,SUMIFS(INDIRECT(ADDRESS(12,3+18*1+(2),,,"J1 A - (North) Bishopthorpe Roa")&amp;":"&amp;ADDRESS(130,3+18*1+(2))),'J1 A - (North) Bishopthorpe Roa'!$A$12:$A$130,"&gt;="&amp;Diagram!$O2,'J1 A - (North) Bishopthorpe Roa'!$A$12:$A$130,"&lt;"&amp;Diagram!$P2),SUMIFS(INDIRECT(ADDRESS(12,3+18*1+(10),,,"J1 A - (North) Bishopthorpe Roa")&amp;":"&amp;ADDRESS(130,3+18*1+(10))),'J1 A - (North) Bishopthorpe Roa'!$A$12:$A$130,"&gt;="&amp;Diagram!$O2,'J1 A - (North) Bishopthorpe Roa'!$A$12:$A$130,"&lt;"&amp;Diagram!$P2)))</f>
        <v>0</v>
      </c>
      <c r="BD2" s="42">
        <f ca="1">IF(OR($I$10="",$O2="",$P2="",$J$37&lt;&gt;"Yes"),0,IF($K$10=0,SUMIFS(INDIRECT(ADDRESS(12,3+18*2+(2),,,"J1 A - (North) Bishopthorpe Roa")&amp;":"&amp;ADDRESS(130,3+18*2+(2))),'J1 A - (North) Bishopthorpe Roa'!$A$12:$A$130,"&gt;="&amp;Diagram!$O2,'J1 A - (North) Bishopthorpe Roa'!$A$12:$A$130,"&lt;"&amp;Diagram!$P2),SUMIFS(INDIRECT(ADDRESS(12,3+18*2+(10),,,"J1 A - (North) Bishopthorpe Roa")&amp;":"&amp;ADDRESS(130,3+18*2+(10))),'J1 A - (North) Bishopthorpe Roa'!$A$12:$A$130,"&gt;="&amp;Diagram!$O2,'J1 A - (North) Bishopthorpe Roa'!$A$12:$A$130,"&lt;"&amp;Diagram!$P2)))</f>
        <v>0</v>
      </c>
      <c r="BE2" s="42">
        <f ca="1">IF(OR($I$10="",$O2="",$P2="",$J$37&lt;&gt;"Yes"),0,IF($K$10=0,SUMIFS(INDIRECT(ADDRESS(12,3+18*2+(2),,,"J1 B - Butcher Terrace")&amp;":"&amp;ADDRESS(130,3+18*2+(2))),'J1 B - Butcher Terrace'!$A$12:$A$130,"&gt;="&amp;Diagram!$O2,'J1 B - Butcher Terrace'!$A$12:$A$130,"&lt;"&amp;Diagram!$P2),SUMIFS(INDIRECT(ADDRESS(12,3+18*2+(10),,,"J1 B - Butcher Terrace")&amp;":"&amp;ADDRESS(130,3+18*2+(10))),'J1 B - Butcher Terrace'!$A$12:$A$130,"&gt;="&amp;Diagram!$O2,'J1 B - Butcher Terrace'!$A$12:$A$130,"&lt;"&amp;Diagram!$P2)))</f>
        <v>0</v>
      </c>
      <c r="BF2" s="42">
        <f ca="1">IF(OR($I$10="",$O2="",$P2="",$J$37&lt;&gt;"Yes"),0,IF($K$10=0,SUMIFS(INDIRECT(ADDRESS(12,3+18*3+(2),,,"J1 B - Butcher Terrace")&amp;":"&amp;ADDRESS(130,3+18*3+(2))),'J1 B - Butcher Terrace'!$A$12:$A$130,"&gt;="&amp;Diagram!$O2,'J1 B - Butcher Terrace'!$A$12:$A$130,"&lt;"&amp;Diagram!$P2),SUMIFS(INDIRECT(ADDRESS(12,3+18*3+(10),,,"J1 B - Butcher Terrace")&amp;":"&amp;ADDRESS(130,3+18*3+(10))),'J1 B - Butcher Terrace'!$A$12:$A$130,"&gt;="&amp;Diagram!$O2,'J1 B - Butcher Terrace'!$A$12:$A$130,"&lt;"&amp;Diagram!$P2)))</f>
        <v>0</v>
      </c>
      <c r="BG2" s="42">
        <f ca="1">IF(OR($I$10="",$O2="",$P2="",$J$37&lt;&gt;"Yes"),0,IF($K$10=0,SUMIFS(INDIRECT(ADDRESS(12,3+18*0+(2),,,"J1 B - Butcher Terrace")&amp;":"&amp;ADDRESS(130,3+18*0+(2))),'J1 B - Butcher Terrace'!$A$12:$A$130,"&gt;="&amp;Diagram!$O2,'J1 B - Butcher Terrace'!$A$12:$A$130,"&lt;"&amp;Diagram!$P2),SUMIFS(INDIRECT(ADDRESS(12,3+18*0+(10),,,"J1 B - Butcher Terrace")&amp;":"&amp;ADDRESS(130,3+18*0+(10))),'J1 B - Butcher Terrace'!$A$12:$A$130,"&gt;="&amp;Diagram!$O2,'J1 B - Butcher Terrace'!$A$12:$A$130,"&lt;"&amp;Diagram!$P2)))</f>
        <v>0</v>
      </c>
      <c r="BH2" s="42">
        <f ca="1">IF(OR($I$10="",$O2="",$P2="",$J$37&lt;&gt;"Yes"),0,IF($K$10=0,SUMIFS(INDIRECT(ADDRESS(12,3+18*1+(2),,,"J1 B - Butcher Terrace")&amp;":"&amp;ADDRESS(130,3+18*1+(2))),'J1 B - Butcher Terrace'!$A$12:$A$130,"&gt;="&amp;Diagram!$O2,'J1 B - Butcher Terrace'!$A$12:$A$130,"&lt;"&amp;Diagram!$P2),SUMIFS(INDIRECT(ADDRESS(12,3+18*1+(10),,,"J1 B - Butcher Terrace")&amp;":"&amp;ADDRESS(130,3+18*1+(10))),'J1 B - Butcher Terrace'!$A$12:$A$130,"&gt;="&amp;Diagram!$O2,'J1 B - Butcher Terrace'!$A$12:$A$130,"&lt;"&amp;Diagram!$P2)))</f>
        <v>0</v>
      </c>
      <c r="BI2" s="42">
        <f ca="1">IF(OR($I$10="",$O2="",$P2="",$J$37&lt;&gt;"Yes"),0,IF($K$10=0,SUMIFS(INDIRECT(ADDRESS(12,3+18*1+(2),,,"J1 C - (South) Bishopthorpe Roa")&amp;":"&amp;ADDRESS(130,3+18*1+(2))),'J1 C - (South) Bishopthorpe Roa'!$A$12:$A$130,"&gt;="&amp;Diagram!$O2,'J1 C - (South) Bishopthorpe Roa'!$A$12:$A$130,"&lt;"&amp;Diagram!$P2),SUMIFS(INDIRECT(ADDRESS(12,3+18*1+(10),,,"J1 C - (South) Bishopthorpe Roa")&amp;":"&amp;ADDRESS(130,3+18*1+(10))),'J1 C - (South) Bishopthorpe Roa'!$A$12:$A$130,"&gt;="&amp;Diagram!$O2,'J1 C - (South) Bishopthorpe Roa'!$A$12:$A$130,"&lt;"&amp;Diagram!$P2)))</f>
        <v>0</v>
      </c>
      <c r="BJ2" s="42">
        <f ca="1">IF(OR($I$10="",$O2="",$P2="",$J$37&lt;&gt;"Yes"),0,IF($K$10=0,SUMIFS(INDIRECT(ADDRESS(12,3+18*2+(2),,,"J1 C - (South) Bishopthorpe Roa")&amp;":"&amp;ADDRESS(130,3+18*2+(2))),'J1 C - (South) Bishopthorpe Roa'!$A$12:$A$130,"&gt;="&amp;Diagram!$O2,'J1 C - (South) Bishopthorpe Roa'!$A$12:$A$130,"&lt;"&amp;Diagram!$P2),SUMIFS(INDIRECT(ADDRESS(12,3+18*2+(10),,,"J1 C - (South) Bishopthorpe Roa")&amp;":"&amp;ADDRESS(130,3+18*2+(10))),'J1 C - (South) Bishopthorpe Roa'!$A$12:$A$130,"&gt;="&amp;Diagram!$O2,'J1 C - (South) Bishopthorpe Roa'!$A$12:$A$130,"&lt;"&amp;Diagram!$P2)))</f>
        <v>0</v>
      </c>
      <c r="BK2" s="42">
        <f ca="1">IF(OR($I$10="",$O2="",$P2="",$J$37&lt;&gt;"Yes"),0,IF($K$10=0,SUMIFS(INDIRECT(ADDRESS(12,3+18*3+(2),,,"J1 C - (South) Bishopthorpe Roa")&amp;":"&amp;ADDRESS(130,3+18*3+(2))),'J1 C - (South) Bishopthorpe Roa'!$A$12:$A$130,"&gt;="&amp;Diagram!$O2,'J1 C - (South) Bishopthorpe Roa'!$A$12:$A$130,"&lt;"&amp;Diagram!$P2),SUMIFS(INDIRECT(ADDRESS(12,3+18*3+(10),,,"J1 C - (South) Bishopthorpe Roa")&amp;":"&amp;ADDRESS(130,3+18*3+(10))),'J1 C - (South) Bishopthorpe Roa'!$A$12:$A$130,"&gt;="&amp;Diagram!$O2,'J1 C - (South) Bishopthorpe Roa'!$A$12:$A$130,"&lt;"&amp;Diagram!$P2)))</f>
        <v>0</v>
      </c>
      <c r="BL2" s="42">
        <f ca="1">IF(OR($I$10="",$O2="",$P2="",$J$37&lt;&gt;"Yes"),0,IF($K$10=0,SUMIFS(INDIRECT(ADDRESS(12,3+18*0+(2),,,"J1 C - (South) Bishopthorpe Roa")&amp;":"&amp;ADDRESS(130,3+18*0+(2))),'J1 C - (South) Bishopthorpe Roa'!$A$12:$A$130,"&gt;="&amp;Diagram!$O2,'J1 C - (South) Bishopthorpe Roa'!$A$12:$A$130,"&lt;"&amp;Diagram!$P2),SUMIFS(INDIRECT(ADDRESS(12,3+18*0+(10),,,"J1 C - (South) Bishopthorpe Roa")&amp;":"&amp;ADDRESS(130,3+18*0+(10))),'J1 C - (South) Bishopthorpe Roa'!$A$12:$A$130,"&gt;="&amp;Diagram!$O2,'J1 C - (South) Bishopthorpe Roa'!$A$12:$A$130,"&lt;"&amp;Diagram!$P2)))</f>
        <v>0</v>
      </c>
      <c r="BM2" s="42">
        <f ca="1">IF(OR($I$10="",$O2="",$P2="",$J$37&lt;&gt;"Yes"),0,IF($K$10=0,SUMIFS(INDIRECT(ADDRESS(12,3+18*0+(2),,,"J1 D - South Bank Avenue")&amp;":"&amp;ADDRESS(130,3+18*0+(2))),'J1 D - South Bank Avenue'!$A$12:$A$130,"&gt;="&amp;Diagram!$O2,'J1 D - South Bank Avenue'!$A$12:$A$130,"&lt;"&amp;Diagram!$P2),SUMIFS(INDIRECT(ADDRESS(12,3+18*0+(10),,,"J1 D - South Bank Avenue")&amp;":"&amp;ADDRESS(130,3+18*0+(10))),'J1 D - South Bank Avenue'!$A$12:$A$130,"&gt;="&amp;Diagram!$O2,'J1 D - South Bank Avenue'!$A$12:$A$130,"&lt;"&amp;Diagram!$P2)))</f>
        <v>0</v>
      </c>
      <c r="BN2" s="42">
        <f ca="1">IF(OR($I$10="",$O2="",$P2="",$J$37&lt;&gt;"Yes"),0,IF($K$10=0,SUMIFS(INDIRECT(ADDRESS(12,3+18*1+(2),,,"J1 D - South Bank Avenue")&amp;":"&amp;ADDRESS(130,3+18*1+(2))),'J1 D - South Bank Avenue'!$A$12:$A$130,"&gt;="&amp;Diagram!$O2,'J1 D - South Bank Avenue'!$A$12:$A$130,"&lt;"&amp;Diagram!$P2),SUMIFS(INDIRECT(ADDRESS(12,3+18*1+(10),,,"J1 D - South Bank Avenue")&amp;":"&amp;ADDRESS(130,3+18*1+(10))),'J1 D - South Bank Avenue'!$A$12:$A$130,"&gt;="&amp;Diagram!$O2,'J1 D - South Bank Avenue'!$A$12:$A$130,"&lt;"&amp;Diagram!$P2)))</f>
        <v>0</v>
      </c>
      <c r="BO2" s="42">
        <f ca="1">IF(OR($I$10="",$O2="",$P2="",$J$37&lt;&gt;"Yes"),0,IF($K$10=0,SUMIFS(INDIRECT(ADDRESS(12,3+18*2+(2),,,"J1 D - South Bank Avenue")&amp;":"&amp;ADDRESS(130,3+18*2+(2))),'J1 D - South Bank Avenue'!$A$12:$A$130,"&gt;="&amp;Diagram!$O2,'J1 D - South Bank Avenue'!$A$12:$A$130,"&lt;"&amp;Diagram!$P2),SUMIFS(INDIRECT(ADDRESS(12,3+18*2+(10),,,"J1 D - South Bank Avenue")&amp;":"&amp;ADDRESS(130,3+18*2+(10))),'J1 D - South Bank Avenue'!$A$12:$A$130,"&gt;="&amp;Diagram!$O2,'J1 D - South Bank Avenue'!$A$12:$A$130,"&lt;"&amp;Diagram!$P2)))</f>
        <v>0</v>
      </c>
      <c r="BP2" s="42">
        <f ca="1">IF(OR($I$10="",$O2="",$P2="",$J$37&lt;&gt;"Yes"),0,IF($K$10=0,SUMIFS(INDIRECT(ADDRESS(12,3+18*3+(2),,,"J1 D - South Bank Avenue")&amp;":"&amp;ADDRESS(130,3+18*3+(2))),'J1 D - South Bank Avenue'!$A$12:$A$130,"&gt;="&amp;Diagram!$O2,'J1 D - South Bank Avenue'!$A$12:$A$130,"&lt;"&amp;Diagram!$P2),SUMIFS(INDIRECT(ADDRESS(12,3+18*3+(10),,,"J1 D - South Bank Avenue")&amp;":"&amp;ADDRESS(130,3+18*3+(10))),'J1 D - South Bank Avenue'!$A$12:$A$130,"&gt;="&amp;Diagram!$O2,'J1 D - South Bank Avenue'!$A$12:$A$130,"&lt;"&amp;Diagram!$P2)))</f>
        <v>0</v>
      </c>
      <c r="BQ2" s="42">
        <f t="shared" ref="BQ2:BQ65" ca="1" si="4">SUM($BR2,$BS2,$BT2,$BU2,$BV2,$BW2,$BX2,$BY2,$BZ2,$CA2,$CB2,$CC2,$CD2,$CE2,$CF2,$CG2)</f>
        <v>0</v>
      </c>
      <c r="BR2" s="42">
        <f ca="1">IF(OR($I$10="",$O2="",$P2="",$J$38&lt;&gt;"Yes"),0,IF($K$10=0,SUMIFS(INDIRECT(ADDRESS(12,3+18*3+(3),,,"J1 A - (North) Bishopthorpe Roa")&amp;":"&amp;ADDRESS(130,3+18*3+(3))),'J1 A - (North) Bishopthorpe Roa'!$A$12:$A$130,"&gt;="&amp;Diagram!$O2,'J1 A - (North) Bishopthorpe Roa'!$A$12:$A$130,"&lt;"&amp;Diagram!$P2),SUMIFS(INDIRECT(ADDRESS(12,3+18*3+(11),,,"J1 A - (North) Bishopthorpe Roa")&amp;":"&amp;ADDRESS(130,3+18*3+(11))),'J1 A - (North) Bishopthorpe Roa'!$A$12:$A$130,"&gt;="&amp;Diagram!$O2,'J1 A - (North) Bishopthorpe Roa'!$A$12:$A$130,"&lt;"&amp;Diagram!$P2)))</f>
        <v>0</v>
      </c>
      <c r="BS2" s="42">
        <f ca="1">IF(OR($I$10="",$O2="",$P2="",$J$38&lt;&gt;"Yes"),0,IF($K$10=0,SUMIFS(INDIRECT(ADDRESS(12,3+18*0+(3),,,"J1 A - (North) Bishopthorpe Roa")&amp;":"&amp;ADDRESS(130,3+18*0+(3))),'J1 A - (North) Bishopthorpe Roa'!$A$12:$A$130,"&gt;="&amp;Diagram!$O2,'J1 A - (North) Bishopthorpe Roa'!$A$12:$A$130,"&lt;"&amp;Diagram!$P2),SUMIFS(INDIRECT(ADDRESS(12,3+18*0+(11),,,"J1 A - (North) Bishopthorpe Roa")&amp;":"&amp;ADDRESS(130,3+18*0+(11))),'J1 A - (North) Bishopthorpe Roa'!$A$12:$A$130,"&gt;="&amp;Diagram!$O2,'J1 A - (North) Bishopthorpe Roa'!$A$12:$A$130,"&lt;"&amp;Diagram!$P2)))</f>
        <v>0</v>
      </c>
      <c r="BT2" s="42">
        <f ca="1">IF(OR($I$10="",$O2="",$P2="",$J$38&lt;&gt;"Yes"),0,IF($K$10=0,SUMIFS(INDIRECT(ADDRESS(12,3+18*1+(3),,,"J1 A - (North) Bishopthorpe Roa")&amp;":"&amp;ADDRESS(130,3+18*1+(3))),'J1 A - (North) Bishopthorpe Roa'!$A$12:$A$130,"&gt;="&amp;Diagram!$O2,'J1 A - (North) Bishopthorpe Roa'!$A$12:$A$130,"&lt;"&amp;Diagram!$P2),SUMIFS(INDIRECT(ADDRESS(12,3+18*1+(11),,,"J1 A - (North) Bishopthorpe Roa")&amp;":"&amp;ADDRESS(130,3+18*1+(11))),'J1 A - (North) Bishopthorpe Roa'!$A$12:$A$130,"&gt;="&amp;Diagram!$O2,'J1 A - (North) Bishopthorpe Roa'!$A$12:$A$130,"&lt;"&amp;Diagram!$P2)))</f>
        <v>0</v>
      </c>
      <c r="BU2" s="42">
        <f ca="1">IF(OR($I$10="",$O2="",$P2="",$J$38&lt;&gt;"Yes"),0,IF($K$10=0,SUMIFS(INDIRECT(ADDRESS(12,3+18*2+(3),,,"J1 A - (North) Bishopthorpe Roa")&amp;":"&amp;ADDRESS(130,3+18*2+(3))),'J1 A - (North) Bishopthorpe Roa'!$A$12:$A$130,"&gt;="&amp;Diagram!$O2,'J1 A - (North) Bishopthorpe Roa'!$A$12:$A$130,"&lt;"&amp;Diagram!$P2),SUMIFS(INDIRECT(ADDRESS(12,3+18*2+(11),,,"J1 A - (North) Bishopthorpe Roa")&amp;":"&amp;ADDRESS(130,3+18*2+(11))),'J1 A - (North) Bishopthorpe Roa'!$A$12:$A$130,"&gt;="&amp;Diagram!$O2,'J1 A - (North) Bishopthorpe Roa'!$A$12:$A$130,"&lt;"&amp;Diagram!$P2)))</f>
        <v>0</v>
      </c>
      <c r="BV2" s="42">
        <f ca="1">IF(OR($I$10="",$O2="",$P2="",$J$38&lt;&gt;"Yes"),0,IF($K$10=0,SUMIFS(INDIRECT(ADDRESS(12,3+18*2+(3),,,"J1 B - Butcher Terrace")&amp;":"&amp;ADDRESS(130,3+18*2+(3))),'J1 B - Butcher Terrace'!$A$12:$A$130,"&gt;="&amp;Diagram!$O2,'J1 B - Butcher Terrace'!$A$12:$A$130,"&lt;"&amp;Diagram!$P2),SUMIFS(INDIRECT(ADDRESS(12,3+18*2+(11),,,"J1 B - Butcher Terrace")&amp;":"&amp;ADDRESS(130,3+18*2+(11))),'J1 B - Butcher Terrace'!$A$12:$A$130,"&gt;="&amp;Diagram!$O2,'J1 B - Butcher Terrace'!$A$12:$A$130,"&lt;"&amp;Diagram!$P2)))</f>
        <v>0</v>
      </c>
      <c r="BW2" s="42">
        <f ca="1">IF(OR($I$10="",$O2="",$P2="",$J$38&lt;&gt;"Yes"),0,IF($K$10=0,SUMIFS(INDIRECT(ADDRESS(12,3+18*3+(3),,,"J1 B - Butcher Terrace")&amp;":"&amp;ADDRESS(130,3+18*3+(3))),'J1 B - Butcher Terrace'!$A$12:$A$130,"&gt;="&amp;Diagram!$O2,'J1 B - Butcher Terrace'!$A$12:$A$130,"&lt;"&amp;Diagram!$P2),SUMIFS(INDIRECT(ADDRESS(12,3+18*3+(11),,,"J1 B - Butcher Terrace")&amp;":"&amp;ADDRESS(130,3+18*3+(11))),'J1 B - Butcher Terrace'!$A$12:$A$130,"&gt;="&amp;Diagram!$O2,'J1 B - Butcher Terrace'!$A$12:$A$130,"&lt;"&amp;Diagram!$P2)))</f>
        <v>0</v>
      </c>
      <c r="BX2" s="42">
        <f ca="1">IF(OR($I$10="",$O2="",$P2="",$J$38&lt;&gt;"Yes"),0,IF($K$10=0,SUMIFS(INDIRECT(ADDRESS(12,3+18*0+(3),,,"J1 B - Butcher Terrace")&amp;":"&amp;ADDRESS(130,3+18*0+(3))),'J1 B - Butcher Terrace'!$A$12:$A$130,"&gt;="&amp;Diagram!$O2,'J1 B - Butcher Terrace'!$A$12:$A$130,"&lt;"&amp;Diagram!$P2),SUMIFS(INDIRECT(ADDRESS(12,3+18*0+(11),,,"J1 B - Butcher Terrace")&amp;":"&amp;ADDRESS(130,3+18*0+(11))),'J1 B - Butcher Terrace'!$A$12:$A$130,"&gt;="&amp;Diagram!$O2,'J1 B - Butcher Terrace'!$A$12:$A$130,"&lt;"&amp;Diagram!$P2)))</f>
        <v>0</v>
      </c>
      <c r="BY2" s="42">
        <f ca="1">IF(OR($I$10="",$O2="",$P2="",$J$38&lt;&gt;"Yes"),0,IF($K$10=0,SUMIFS(INDIRECT(ADDRESS(12,3+18*1+(3),,,"J1 B - Butcher Terrace")&amp;":"&amp;ADDRESS(130,3+18*1+(3))),'J1 B - Butcher Terrace'!$A$12:$A$130,"&gt;="&amp;Diagram!$O2,'J1 B - Butcher Terrace'!$A$12:$A$130,"&lt;"&amp;Diagram!$P2),SUMIFS(INDIRECT(ADDRESS(12,3+18*1+(11),,,"J1 B - Butcher Terrace")&amp;":"&amp;ADDRESS(130,3+18*1+(11))),'J1 B - Butcher Terrace'!$A$12:$A$130,"&gt;="&amp;Diagram!$O2,'J1 B - Butcher Terrace'!$A$12:$A$130,"&lt;"&amp;Diagram!$P2)))</f>
        <v>0</v>
      </c>
      <c r="BZ2" s="42">
        <f ca="1">IF(OR($I$10="",$O2="",$P2="",$J$38&lt;&gt;"Yes"),0,IF($K$10=0,SUMIFS(INDIRECT(ADDRESS(12,3+18*1+(3),,,"J1 C - (South) Bishopthorpe Roa")&amp;":"&amp;ADDRESS(130,3+18*1+(3))),'J1 C - (South) Bishopthorpe Roa'!$A$12:$A$130,"&gt;="&amp;Diagram!$O2,'J1 C - (South) Bishopthorpe Roa'!$A$12:$A$130,"&lt;"&amp;Diagram!$P2),SUMIFS(INDIRECT(ADDRESS(12,3+18*1+(11),,,"J1 C - (South) Bishopthorpe Roa")&amp;":"&amp;ADDRESS(130,3+18*1+(11))),'J1 C - (South) Bishopthorpe Roa'!$A$12:$A$130,"&gt;="&amp;Diagram!$O2,'J1 C - (South) Bishopthorpe Roa'!$A$12:$A$130,"&lt;"&amp;Diagram!$P2)))</f>
        <v>0</v>
      </c>
      <c r="CA2" s="42">
        <f ca="1">IF(OR($I$10="",$O2="",$P2="",$J$38&lt;&gt;"Yes"),0,IF($K$10=0,SUMIFS(INDIRECT(ADDRESS(12,3+18*2+(3),,,"J1 C - (South) Bishopthorpe Roa")&amp;":"&amp;ADDRESS(130,3+18*2+(3))),'J1 C - (South) Bishopthorpe Roa'!$A$12:$A$130,"&gt;="&amp;Diagram!$O2,'J1 C - (South) Bishopthorpe Roa'!$A$12:$A$130,"&lt;"&amp;Diagram!$P2),SUMIFS(INDIRECT(ADDRESS(12,3+18*2+(11),,,"J1 C - (South) Bishopthorpe Roa")&amp;":"&amp;ADDRESS(130,3+18*2+(11))),'J1 C - (South) Bishopthorpe Roa'!$A$12:$A$130,"&gt;="&amp;Diagram!$O2,'J1 C - (South) Bishopthorpe Roa'!$A$12:$A$130,"&lt;"&amp;Diagram!$P2)))</f>
        <v>0</v>
      </c>
      <c r="CB2" s="42">
        <f ca="1">IF(OR($I$10="",$O2="",$P2="",$J$38&lt;&gt;"Yes"),0,IF($K$10=0,SUMIFS(INDIRECT(ADDRESS(12,3+18*3+(3),,,"J1 C - (South) Bishopthorpe Roa")&amp;":"&amp;ADDRESS(130,3+18*3+(3))),'J1 C - (South) Bishopthorpe Roa'!$A$12:$A$130,"&gt;="&amp;Diagram!$O2,'J1 C - (South) Bishopthorpe Roa'!$A$12:$A$130,"&lt;"&amp;Diagram!$P2),SUMIFS(INDIRECT(ADDRESS(12,3+18*3+(11),,,"J1 C - (South) Bishopthorpe Roa")&amp;":"&amp;ADDRESS(130,3+18*3+(11))),'J1 C - (South) Bishopthorpe Roa'!$A$12:$A$130,"&gt;="&amp;Diagram!$O2,'J1 C - (South) Bishopthorpe Roa'!$A$12:$A$130,"&lt;"&amp;Diagram!$P2)))</f>
        <v>0</v>
      </c>
      <c r="CC2" s="42">
        <f ca="1">IF(OR($I$10="",$O2="",$P2="",$J$38&lt;&gt;"Yes"),0,IF($K$10=0,SUMIFS(INDIRECT(ADDRESS(12,3+18*0+(3),,,"J1 C - (South) Bishopthorpe Roa")&amp;":"&amp;ADDRESS(130,3+18*0+(3))),'J1 C - (South) Bishopthorpe Roa'!$A$12:$A$130,"&gt;="&amp;Diagram!$O2,'J1 C - (South) Bishopthorpe Roa'!$A$12:$A$130,"&lt;"&amp;Diagram!$P2),SUMIFS(INDIRECT(ADDRESS(12,3+18*0+(11),,,"J1 C - (South) Bishopthorpe Roa")&amp;":"&amp;ADDRESS(130,3+18*0+(11))),'J1 C - (South) Bishopthorpe Roa'!$A$12:$A$130,"&gt;="&amp;Diagram!$O2,'J1 C - (South) Bishopthorpe Roa'!$A$12:$A$130,"&lt;"&amp;Diagram!$P2)))</f>
        <v>0</v>
      </c>
      <c r="CD2" s="42">
        <f ca="1">IF(OR($I$10="",$O2="",$P2="",$J$38&lt;&gt;"Yes"),0,IF($K$10=0,SUMIFS(INDIRECT(ADDRESS(12,3+18*0+(3),,,"J1 D - South Bank Avenue")&amp;":"&amp;ADDRESS(130,3+18*0+(3))),'J1 D - South Bank Avenue'!$A$12:$A$130,"&gt;="&amp;Diagram!$O2,'J1 D - South Bank Avenue'!$A$12:$A$130,"&lt;"&amp;Diagram!$P2),SUMIFS(INDIRECT(ADDRESS(12,3+18*0+(11),,,"J1 D - South Bank Avenue")&amp;":"&amp;ADDRESS(130,3+18*0+(11))),'J1 D - South Bank Avenue'!$A$12:$A$130,"&gt;="&amp;Diagram!$O2,'J1 D - South Bank Avenue'!$A$12:$A$130,"&lt;"&amp;Diagram!$P2)))</f>
        <v>0</v>
      </c>
      <c r="CE2" s="42">
        <f ca="1">IF(OR($I$10="",$O2="",$P2="",$J$38&lt;&gt;"Yes"),0,IF($K$10=0,SUMIFS(INDIRECT(ADDRESS(12,3+18*1+(3),,,"J1 D - South Bank Avenue")&amp;":"&amp;ADDRESS(130,3+18*1+(3))),'J1 D - South Bank Avenue'!$A$12:$A$130,"&gt;="&amp;Diagram!$O2,'J1 D - South Bank Avenue'!$A$12:$A$130,"&lt;"&amp;Diagram!$P2),SUMIFS(INDIRECT(ADDRESS(12,3+18*1+(11),,,"J1 D - South Bank Avenue")&amp;":"&amp;ADDRESS(130,3+18*1+(11))),'J1 D - South Bank Avenue'!$A$12:$A$130,"&gt;="&amp;Diagram!$O2,'J1 D - South Bank Avenue'!$A$12:$A$130,"&lt;"&amp;Diagram!$P2)))</f>
        <v>0</v>
      </c>
      <c r="CF2" s="42">
        <f ca="1">IF(OR($I$10="",$O2="",$P2="",$J$38&lt;&gt;"Yes"),0,IF($K$10=0,SUMIFS(INDIRECT(ADDRESS(12,3+18*2+(3),,,"J1 D - South Bank Avenue")&amp;":"&amp;ADDRESS(130,3+18*2+(3))),'J1 D - South Bank Avenue'!$A$12:$A$130,"&gt;="&amp;Diagram!$O2,'J1 D - South Bank Avenue'!$A$12:$A$130,"&lt;"&amp;Diagram!$P2),SUMIFS(INDIRECT(ADDRESS(12,3+18*2+(11),,,"J1 D - South Bank Avenue")&amp;":"&amp;ADDRESS(130,3+18*2+(11))),'J1 D - South Bank Avenue'!$A$12:$A$130,"&gt;="&amp;Diagram!$O2,'J1 D - South Bank Avenue'!$A$12:$A$130,"&lt;"&amp;Diagram!$P2)))</f>
        <v>0</v>
      </c>
      <c r="CG2" s="42">
        <f ca="1">IF(OR($I$10="",$O2="",$P2="",$J$38&lt;&gt;"Yes"),0,IF($K$10=0,SUMIFS(INDIRECT(ADDRESS(12,3+18*3+(3),,,"J1 D - South Bank Avenue")&amp;":"&amp;ADDRESS(130,3+18*3+(3))),'J1 D - South Bank Avenue'!$A$12:$A$130,"&gt;="&amp;Diagram!$O2,'J1 D - South Bank Avenue'!$A$12:$A$130,"&lt;"&amp;Diagram!$P2),SUMIFS(INDIRECT(ADDRESS(12,3+18*3+(11),,,"J1 D - South Bank Avenue")&amp;":"&amp;ADDRESS(130,3+18*3+(11))),'J1 D - South Bank Avenue'!$A$12:$A$130,"&gt;="&amp;Diagram!$O2,'J1 D - South Bank Avenue'!$A$12:$A$130,"&lt;"&amp;Diagram!$P2)))</f>
        <v>0</v>
      </c>
      <c r="CH2" s="42">
        <f t="shared" ref="CH2:CH65" ca="1" si="5">SUM($CI2,$CJ2,$CK2,$CL2,$CM2,$CN2,$CO2,$CP2,$CQ2,$CR2,$CS2,$CT2,$CU2,$CV2,$CW2,$CX2)</f>
        <v>0</v>
      </c>
      <c r="CI2" s="42">
        <f ca="1">IF(OR($I$10="",$O2="",$P2="",$J$39&lt;&gt;"Yes"),0,IF($K$10=0,SUMIFS(INDIRECT(ADDRESS(12,3+18*3+(4),,,"J1 A - (North) Bishopthorpe Roa")&amp;":"&amp;ADDRESS(130,3+18*3+(4))),'J1 A - (North) Bishopthorpe Roa'!$A$12:$A$130,"&gt;="&amp;Diagram!$O2,'J1 A - (North) Bishopthorpe Roa'!$A$12:$A$130,"&lt;"&amp;Diagram!$P2),SUMIFS(INDIRECT(ADDRESS(12,3+18*3+(12),,,"J1 A - (North) Bishopthorpe Roa")&amp;":"&amp;ADDRESS(130,3+18*3+(12))),'J1 A - (North) Bishopthorpe Roa'!$A$12:$A$130,"&gt;="&amp;Diagram!$O2,'J1 A - (North) Bishopthorpe Roa'!$A$12:$A$130,"&lt;"&amp;Diagram!$P2)))</f>
        <v>0</v>
      </c>
      <c r="CJ2" s="42">
        <f ca="1">IF(OR($I$10="",$O2="",$P2="",$J$39&lt;&gt;"Yes"),0,IF($K$10=0,SUMIFS(INDIRECT(ADDRESS(12,3+18*0+(4),,,"J1 A - (North) Bishopthorpe Roa")&amp;":"&amp;ADDRESS(130,3+18*0+(4))),'J1 A - (North) Bishopthorpe Roa'!$A$12:$A$130,"&gt;="&amp;Diagram!$O2,'J1 A - (North) Bishopthorpe Roa'!$A$12:$A$130,"&lt;"&amp;Diagram!$P2),SUMIFS(INDIRECT(ADDRESS(12,3+18*0+(12),,,"J1 A - (North) Bishopthorpe Roa")&amp;":"&amp;ADDRESS(130,3+18*0+(12))),'J1 A - (North) Bishopthorpe Roa'!$A$12:$A$130,"&gt;="&amp;Diagram!$O2,'J1 A - (North) Bishopthorpe Roa'!$A$12:$A$130,"&lt;"&amp;Diagram!$P2)))</f>
        <v>0</v>
      </c>
      <c r="CK2" s="42">
        <f ca="1">IF(OR($I$10="",$O2="",$P2="",$J$39&lt;&gt;"Yes"),0,IF($K$10=0,SUMIFS(INDIRECT(ADDRESS(12,3+18*1+(4),,,"J1 A - (North) Bishopthorpe Roa")&amp;":"&amp;ADDRESS(130,3+18*1+(4))),'J1 A - (North) Bishopthorpe Roa'!$A$12:$A$130,"&gt;="&amp;Diagram!$O2,'J1 A - (North) Bishopthorpe Roa'!$A$12:$A$130,"&lt;"&amp;Diagram!$P2),SUMIFS(INDIRECT(ADDRESS(12,3+18*1+(12),,,"J1 A - (North) Bishopthorpe Roa")&amp;":"&amp;ADDRESS(130,3+18*1+(12))),'J1 A - (North) Bishopthorpe Roa'!$A$12:$A$130,"&gt;="&amp;Diagram!$O2,'J1 A - (North) Bishopthorpe Roa'!$A$12:$A$130,"&lt;"&amp;Diagram!$P2)))</f>
        <v>0</v>
      </c>
      <c r="CL2" s="42">
        <f ca="1">IF(OR($I$10="",$O2="",$P2="",$J$39&lt;&gt;"Yes"),0,IF($K$10=0,SUMIFS(INDIRECT(ADDRESS(12,3+18*2+(4),,,"J1 A - (North) Bishopthorpe Roa")&amp;":"&amp;ADDRESS(130,3+18*2+(4))),'J1 A - (North) Bishopthorpe Roa'!$A$12:$A$130,"&gt;="&amp;Diagram!$O2,'J1 A - (North) Bishopthorpe Roa'!$A$12:$A$130,"&lt;"&amp;Diagram!$P2),SUMIFS(INDIRECT(ADDRESS(12,3+18*2+(12),,,"J1 A - (North) Bishopthorpe Roa")&amp;":"&amp;ADDRESS(130,3+18*2+(12))),'J1 A - (North) Bishopthorpe Roa'!$A$12:$A$130,"&gt;="&amp;Diagram!$O2,'J1 A - (North) Bishopthorpe Roa'!$A$12:$A$130,"&lt;"&amp;Diagram!$P2)))</f>
        <v>0</v>
      </c>
      <c r="CM2" s="42">
        <f ca="1">IF(OR($I$10="",$O2="",$P2="",$J$39&lt;&gt;"Yes"),0,IF($K$10=0,SUMIFS(INDIRECT(ADDRESS(12,3+18*2+(4),,,"J1 B - Butcher Terrace")&amp;":"&amp;ADDRESS(130,3+18*2+(4))),'J1 B - Butcher Terrace'!$A$12:$A$130,"&gt;="&amp;Diagram!$O2,'J1 B - Butcher Terrace'!$A$12:$A$130,"&lt;"&amp;Diagram!$P2),SUMIFS(INDIRECT(ADDRESS(12,3+18*2+(12),,,"J1 B - Butcher Terrace")&amp;":"&amp;ADDRESS(130,3+18*2+(12))),'J1 B - Butcher Terrace'!$A$12:$A$130,"&gt;="&amp;Diagram!$O2,'J1 B - Butcher Terrace'!$A$12:$A$130,"&lt;"&amp;Diagram!$P2)))</f>
        <v>0</v>
      </c>
      <c r="CN2" s="42">
        <f ca="1">IF(OR($I$10="",$O2="",$P2="",$J$39&lt;&gt;"Yes"),0,IF($K$10=0,SUMIFS(INDIRECT(ADDRESS(12,3+18*3+(4),,,"J1 B - Butcher Terrace")&amp;":"&amp;ADDRESS(130,3+18*3+(4))),'J1 B - Butcher Terrace'!$A$12:$A$130,"&gt;="&amp;Diagram!$O2,'J1 B - Butcher Terrace'!$A$12:$A$130,"&lt;"&amp;Diagram!$P2),SUMIFS(INDIRECT(ADDRESS(12,3+18*3+(12),,,"J1 B - Butcher Terrace")&amp;":"&amp;ADDRESS(130,3+18*3+(12))),'J1 B - Butcher Terrace'!$A$12:$A$130,"&gt;="&amp;Diagram!$O2,'J1 B - Butcher Terrace'!$A$12:$A$130,"&lt;"&amp;Diagram!$P2)))</f>
        <v>0</v>
      </c>
      <c r="CO2" s="42">
        <f ca="1">IF(OR($I$10="",$O2="",$P2="",$J$39&lt;&gt;"Yes"),0,IF($K$10=0,SUMIFS(INDIRECT(ADDRESS(12,3+18*0+(4),,,"J1 B - Butcher Terrace")&amp;":"&amp;ADDRESS(130,3+18*0+(4))),'J1 B - Butcher Terrace'!$A$12:$A$130,"&gt;="&amp;Diagram!$O2,'J1 B - Butcher Terrace'!$A$12:$A$130,"&lt;"&amp;Diagram!$P2),SUMIFS(INDIRECT(ADDRESS(12,3+18*0+(12),,,"J1 B - Butcher Terrace")&amp;":"&amp;ADDRESS(130,3+18*0+(12))),'J1 B - Butcher Terrace'!$A$12:$A$130,"&gt;="&amp;Diagram!$O2,'J1 B - Butcher Terrace'!$A$12:$A$130,"&lt;"&amp;Diagram!$P2)))</f>
        <v>0</v>
      </c>
      <c r="CP2" s="42">
        <f ca="1">IF(OR($I$10="",$O2="",$P2="",$J$39&lt;&gt;"Yes"),0,IF($K$10=0,SUMIFS(INDIRECT(ADDRESS(12,3+18*1+(4),,,"J1 B - Butcher Terrace")&amp;":"&amp;ADDRESS(130,3+18*1+(4))),'J1 B - Butcher Terrace'!$A$12:$A$130,"&gt;="&amp;Diagram!$O2,'J1 B - Butcher Terrace'!$A$12:$A$130,"&lt;"&amp;Diagram!$P2),SUMIFS(INDIRECT(ADDRESS(12,3+18*1+(12),,,"J1 B - Butcher Terrace")&amp;":"&amp;ADDRESS(130,3+18*1+(12))),'J1 B - Butcher Terrace'!$A$12:$A$130,"&gt;="&amp;Diagram!$O2,'J1 B - Butcher Terrace'!$A$12:$A$130,"&lt;"&amp;Diagram!$P2)))</f>
        <v>0</v>
      </c>
      <c r="CQ2" s="42">
        <f ca="1">IF(OR($I$10="",$O2="",$P2="",$J$39&lt;&gt;"Yes"),0,IF($K$10=0,SUMIFS(INDIRECT(ADDRESS(12,3+18*1+(4),,,"J1 C - (South) Bishopthorpe Roa")&amp;":"&amp;ADDRESS(130,3+18*1+(4))),'J1 C - (South) Bishopthorpe Roa'!$A$12:$A$130,"&gt;="&amp;Diagram!$O2,'J1 C - (South) Bishopthorpe Roa'!$A$12:$A$130,"&lt;"&amp;Diagram!$P2),SUMIFS(INDIRECT(ADDRESS(12,3+18*1+(12),,,"J1 C - (South) Bishopthorpe Roa")&amp;":"&amp;ADDRESS(130,3+18*1+(12))),'J1 C - (South) Bishopthorpe Roa'!$A$12:$A$130,"&gt;="&amp;Diagram!$O2,'J1 C - (South) Bishopthorpe Roa'!$A$12:$A$130,"&lt;"&amp;Diagram!$P2)))</f>
        <v>0</v>
      </c>
      <c r="CR2" s="42">
        <f ca="1">IF(OR($I$10="",$O2="",$P2="",$J$39&lt;&gt;"Yes"),0,IF($K$10=0,SUMIFS(INDIRECT(ADDRESS(12,3+18*2+(4),,,"J1 C - (South) Bishopthorpe Roa")&amp;":"&amp;ADDRESS(130,3+18*2+(4))),'J1 C - (South) Bishopthorpe Roa'!$A$12:$A$130,"&gt;="&amp;Diagram!$O2,'J1 C - (South) Bishopthorpe Roa'!$A$12:$A$130,"&lt;"&amp;Diagram!$P2),SUMIFS(INDIRECT(ADDRESS(12,3+18*2+(12),,,"J1 C - (South) Bishopthorpe Roa")&amp;":"&amp;ADDRESS(130,3+18*2+(12))),'J1 C - (South) Bishopthorpe Roa'!$A$12:$A$130,"&gt;="&amp;Diagram!$O2,'J1 C - (South) Bishopthorpe Roa'!$A$12:$A$130,"&lt;"&amp;Diagram!$P2)))</f>
        <v>0</v>
      </c>
      <c r="CS2" s="42">
        <f ca="1">IF(OR($I$10="",$O2="",$P2="",$J$39&lt;&gt;"Yes"),0,IF($K$10=0,SUMIFS(INDIRECT(ADDRESS(12,3+18*3+(4),,,"J1 C - (South) Bishopthorpe Roa")&amp;":"&amp;ADDRESS(130,3+18*3+(4))),'J1 C - (South) Bishopthorpe Roa'!$A$12:$A$130,"&gt;="&amp;Diagram!$O2,'J1 C - (South) Bishopthorpe Roa'!$A$12:$A$130,"&lt;"&amp;Diagram!$P2),SUMIFS(INDIRECT(ADDRESS(12,3+18*3+(12),,,"J1 C - (South) Bishopthorpe Roa")&amp;":"&amp;ADDRESS(130,3+18*3+(12))),'J1 C - (South) Bishopthorpe Roa'!$A$12:$A$130,"&gt;="&amp;Diagram!$O2,'J1 C - (South) Bishopthorpe Roa'!$A$12:$A$130,"&lt;"&amp;Diagram!$P2)))</f>
        <v>0</v>
      </c>
      <c r="CT2" s="42">
        <f ca="1">IF(OR($I$10="",$O2="",$P2="",$J$39&lt;&gt;"Yes"),0,IF($K$10=0,SUMIFS(INDIRECT(ADDRESS(12,3+18*0+(4),,,"J1 C - (South) Bishopthorpe Roa")&amp;":"&amp;ADDRESS(130,3+18*0+(4))),'J1 C - (South) Bishopthorpe Roa'!$A$12:$A$130,"&gt;="&amp;Diagram!$O2,'J1 C - (South) Bishopthorpe Roa'!$A$12:$A$130,"&lt;"&amp;Diagram!$P2),SUMIFS(INDIRECT(ADDRESS(12,3+18*0+(12),,,"J1 C - (South) Bishopthorpe Roa")&amp;":"&amp;ADDRESS(130,3+18*0+(12))),'J1 C - (South) Bishopthorpe Roa'!$A$12:$A$130,"&gt;="&amp;Diagram!$O2,'J1 C - (South) Bishopthorpe Roa'!$A$12:$A$130,"&lt;"&amp;Diagram!$P2)))</f>
        <v>0</v>
      </c>
      <c r="CU2" s="42">
        <f ca="1">IF(OR($I$10="",$O2="",$P2="",$J$39&lt;&gt;"Yes"),0,IF($K$10=0,SUMIFS(INDIRECT(ADDRESS(12,3+18*0+(4),,,"J1 D - South Bank Avenue")&amp;":"&amp;ADDRESS(130,3+18*0+(4))),'J1 D - South Bank Avenue'!$A$12:$A$130,"&gt;="&amp;Diagram!$O2,'J1 D - South Bank Avenue'!$A$12:$A$130,"&lt;"&amp;Diagram!$P2),SUMIFS(INDIRECT(ADDRESS(12,3+18*0+(12),,,"J1 D - South Bank Avenue")&amp;":"&amp;ADDRESS(130,3+18*0+(12))),'J1 D - South Bank Avenue'!$A$12:$A$130,"&gt;="&amp;Diagram!$O2,'J1 D - South Bank Avenue'!$A$12:$A$130,"&lt;"&amp;Diagram!$P2)))</f>
        <v>0</v>
      </c>
      <c r="CV2" s="42">
        <f ca="1">IF(OR($I$10="",$O2="",$P2="",$J$39&lt;&gt;"Yes"),0,IF($K$10=0,SUMIFS(INDIRECT(ADDRESS(12,3+18*1+(4),,,"J1 D - South Bank Avenue")&amp;":"&amp;ADDRESS(130,3+18*1+(4))),'J1 D - South Bank Avenue'!$A$12:$A$130,"&gt;="&amp;Diagram!$O2,'J1 D - South Bank Avenue'!$A$12:$A$130,"&lt;"&amp;Diagram!$P2),SUMIFS(INDIRECT(ADDRESS(12,3+18*1+(12),,,"J1 D - South Bank Avenue")&amp;":"&amp;ADDRESS(130,3+18*1+(12))),'J1 D - South Bank Avenue'!$A$12:$A$130,"&gt;="&amp;Diagram!$O2,'J1 D - South Bank Avenue'!$A$12:$A$130,"&lt;"&amp;Diagram!$P2)))</f>
        <v>0</v>
      </c>
      <c r="CW2" s="42">
        <f ca="1">IF(OR($I$10="",$O2="",$P2="",$J$39&lt;&gt;"Yes"),0,IF($K$10=0,SUMIFS(INDIRECT(ADDRESS(12,3+18*2+(4),,,"J1 D - South Bank Avenue")&amp;":"&amp;ADDRESS(130,3+18*2+(4))),'J1 D - South Bank Avenue'!$A$12:$A$130,"&gt;="&amp;Diagram!$O2,'J1 D - South Bank Avenue'!$A$12:$A$130,"&lt;"&amp;Diagram!$P2),SUMIFS(INDIRECT(ADDRESS(12,3+18*2+(12),,,"J1 D - South Bank Avenue")&amp;":"&amp;ADDRESS(130,3+18*2+(12))),'J1 D - South Bank Avenue'!$A$12:$A$130,"&gt;="&amp;Diagram!$O2,'J1 D - South Bank Avenue'!$A$12:$A$130,"&lt;"&amp;Diagram!$P2)))</f>
        <v>0</v>
      </c>
      <c r="CX2" s="42">
        <f ca="1">IF(OR($I$10="",$O2="",$P2="",$J$39&lt;&gt;"Yes"),0,IF($K$10=0,SUMIFS(INDIRECT(ADDRESS(12,3+18*3+(4),,,"J1 D - South Bank Avenue")&amp;":"&amp;ADDRESS(130,3+18*3+(4))),'J1 D - South Bank Avenue'!$A$12:$A$130,"&gt;="&amp;Diagram!$O2,'J1 D - South Bank Avenue'!$A$12:$A$130,"&lt;"&amp;Diagram!$P2),SUMIFS(INDIRECT(ADDRESS(12,3+18*3+(12),,,"J1 D - South Bank Avenue")&amp;":"&amp;ADDRESS(130,3+18*3+(12))),'J1 D - South Bank Avenue'!$A$12:$A$130,"&gt;="&amp;Diagram!$O2,'J1 D - South Bank Avenue'!$A$12:$A$130,"&lt;"&amp;Diagram!$P2)))</f>
        <v>0</v>
      </c>
      <c r="CY2" s="42">
        <f t="shared" ref="CY2:CY65" ca="1" si="6">SUM($CZ2,$DA2,$DB2,$DC2,$DD2,$DE2,$DF2,$DG2,$DH2,$DI2,$DJ2,$DK2,$DL2,$DM2,$DN2,$DO2)</f>
        <v>7</v>
      </c>
      <c r="CZ2" s="42">
        <f ca="1">IF(OR($I$10="",$O2="",$P2="",$J$40&lt;&gt;"Yes"),0,IF($K$10=0,SUMIFS(INDIRECT(ADDRESS(12,3+18*3+(5),,,"J1 A - (North) Bishopthorpe Roa")&amp;":"&amp;ADDRESS(130,3+18*3+(5))),'J1 A - (North) Bishopthorpe Roa'!$A$12:$A$130,"&gt;="&amp;Diagram!$O2,'J1 A - (North) Bishopthorpe Roa'!$A$12:$A$130,"&lt;"&amp;Diagram!$P2),SUMIFS(INDIRECT(ADDRESS(12,3+18*3+(13),,,"J1 A - (North) Bishopthorpe Roa")&amp;":"&amp;ADDRESS(130,3+18*3+(13))),'J1 A - (North) Bishopthorpe Roa'!$A$12:$A$130,"&gt;="&amp;Diagram!$O2,'J1 A - (North) Bishopthorpe Roa'!$A$12:$A$130,"&lt;"&amp;Diagram!$P2)))</f>
        <v>0</v>
      </c>
      <c r="DA2" s="42">
        <f ca="1">IF(OR($I$10="",$O2="",$P2="",$J$40&lt;&gt;"Yes"),0,IF($K$10=0,SUMIFS(INDIRECT(ADDRESS(12,3+18*0+(5),,,"J1 A - (North) Bishopthorpe Roa")&amp;":"&amp;ADDRESS(130,3+18*0+(5))),'J1 A - (North) Bishopthorpe Roa'!$A$12:$A$130,"&gt;="&amp;Diagram!$O2,'J1 A - (North) Bishopthorpe Roa'!$A$12:$A$130,"&lt;"&amp;Diagram!$P2),SUMIFS(INDIRECT(ADDRESS(12,3+18*0+(13),,,"J1 A - (North) Bishopthorpe Roa")&amp;":"&amp;ADDRESS(130,3+18*0+(13))),'J1 A - (North) Bishopthorpe Roa'!$A$12:$A$130,"&gt;="&amp;Diagram!$O2,'J1 A - (North) Bishopthorpe Roa'!$A$12:$A$130,"&lt;"&amp;Diagram!$P2)))</f>
        <v>0</v>
      </c>
      <c r="DB2" s="42">
        <f ca="1">IF(OR($I$10="",$O2="",$P2="",$J$40&lt;&gt;"Yes"),0,IF($K$10=0,SUMIFS(INDIRECT(ADDRESS(12,3+18*1+(5),,,"J1 A - (North) Bishopthorpe Roa")&amp;":"&amp;ADDRESS(130,3+18*1+(5))),'J1 A - (North) Bishopthorpe Roa'!$A$12:$A$130,"&gt;="&amp;Diagram!$O2,'J1 A - (North) Bishopthorpe Roa'!$A$12:$A$130,"&lt;"&amp;Diagram!$P2),SUMIFS(INDIRECT(ADDRESS(12,3+18*1+(13),,,"J1 A - (North) Bishopthorpe Roa")&amp;":"&amp;ADDRESS(130,3+18*1+(13))),'J1 A - (North) Bishopthorpe Roa'!$A$12:$A$130,"&gt;="&amp;Diagram!$O2,'J1 A - (North) Bishopthorpe Roa'!$A$12:$A$130,"&lt;"&amp;Diagram!$P2)))</f>
        <v>5</v>
      </c>
      <c r="DC2" s="42">
        <f ca="1">IF(OR($I$10="",$O2="",$P2="",$J$40&lt;&gt;"Yes"),0,IF($K$10=0,SUMIFS(INDIRECT(ADDRESS(12,3+18*2+(5),,,"J1 A - (North) Bishopthorpe Roa")&amp;":"&amp;ADDRESS(130,3+18*2+(5))),'J1 A - (North) Bishopthorpe Roa'!$A$12:$A$130,"&gt;="&amp;Diagram!$O2,'J1 A - (North) Bishopthorpe Roa'!$A$12:$A$130,"&lt;"&amp;Diagram!$P2),SUMIFS(INDIRECT(ADDRESS(12,3+18*2+(13),,,"J1 A - (North) Bishopthorpe Roa")&amp;":"&amp;ADDRESS(130,3+18*2+(13))),'J1 A - (North) Bishopthorpe Roa'!$A$12:$A$130,"&gt;="&amp;Diagram!$O2,'J1 A - (North) Bishopthorpe Roa'!$A$12:$A$130,"&lt;"&amp;Diagram!$P2)))</f>
        <v>2</v>
      </c>
      <c r="DD2" s="42">
        <f ca="1">IF(OR($I$10="",$O2="",$P2="",$J$40&lt;&gt;"Yes"),0,IF($K$10=0,SUMIFS(INDIRECT(ADDRESS(12,3+18*2+(5),,,"J1 B - Butcher Terrace")&amp;":"&amp;ADDRESS(130,3+18*2+(5))),'J1 B - Butcher Terrace'!$A$12:$A$130,"&gt;="&amp;Diagram!$O2,'J1 B - Butcher Terrace'!$A$12:$A$130,"&lt;"&amp;Diagram!$P2),SUMIFS(INDIRECT(ADDRESS(12,3+18*2+(13),,,"J1 B - Butcher Terrace")&amp;":"&amp;ADDRESS(130,3+18*2+(13))),'J1 B - Butcher Terrace'!$A$12:$A$130,"&gt;="&amp;Diagram!$O2,'J1 B - Butcher Terrace'!$A$12:$A$130,"&lt;"&amp;Diagram!$P2)))</f>
        <v>0</v>
      </c>
      <c r="DE2" s="42">
        <f ca="1">IF(OR($I$10="",$O2="",$P2="",$J$40&lt;&gt;"Yes"),0,IF($K$10=0,SUMIFS(INDIRECT(ADDRESS(12,3+18*3+(5),,,"J1 B - Butcher Terrace")&amp;":"&amp;ADDRESS(130,3+18*3+(5))),'J1 B - Butcher Terrace'!$A$12:$A$130,"&gt;="&amp;Diagram!$O2,'J1 B - Butcher Terrace'!$A$12:$A$130,"&lt;"&amp;Diagram!$P2),SUMIFS(INDIRECT(ADDRESS(12,3+18*3+(13),,,"J1 B - Butcher Terrace")&amp;":"&amp;ADDRESS(130,3+18*3+(13))),'J1 B - Butcher Terrace'!$A$12:$A$130,"&gt;="&amp;Diagram!$O2,'J1 B - Butcher Terrace'!$A$12:$A$130,"&lt;"&amp;Diagram!$P2)))</f>
        <v>0</v>
      </c>
      <c r="DF2" s="42">
        <f ca="1">IF(OR($I$10="",$O2="",$P2="",$J$40&lt;&gt;"Yes"),0,IF($K$10=0,SUMIFS(INDIRECT(ADDRESS(12,3+18*0+(5),,,"J1 B - Butcher Terrace")&amp;":"&amp;ADDRESS(130,3+18*0+(5))),'J1 B - Butcher Terrace'!$A$12:$A$130,"&gt;="&amp;Diagram!$O2,'J1 B - Butcher Terrace'!$A$12:$A$130,"&lt;"&amp;Diagram!$P2),SUMIFS(INDIRECT(ADDRESS(12,3+18*0+(13),,,"J1 B - Butcher Terrace")&amp;":"&amp;ADDRESS(130,3+18*0+(13))),'J1 B - Butcher Terrace'!$A$12:$A$130,"&gt;="&amp;Diagram!$O2,'J1 B - Butcher Terrace'!$A$12:$A$130,"&lt;"&amp;Diagram!$P2)))</f>
        <v>0</v>
      </c>
      <c r="DG2" s="42">
        <f ca="1">IF(OR($I$10="",$O2="",$P2="",$J$40&lt;&gt;"Yes"),0,IF($K$10=0,SUMIFS(INDIRECT(ADDRESS(12,3+18*1+(5),,,"J1 B - Butcher Terrace")&amp;":"&amp;ADDRESS(130,3+18*1+(5))),'J1 B - Butcher Terrace'!$A$12:$A$130,"&gt;="&amp;Diagram!$O2,'J1 B - Butcher Terrace'!$A$12:$A$130,"&lt;"&amp;Diagram!$P2),SUMIFS(INDIRECT(ADDRESS(12,3+18*1+(13),,,"J1 B - Butcher Terrace")&amp;":"&amp;ADDRESS(130,3+18*1+(13))),'J1 B - Butcher Terrace'!$A$12:$A$130,"&gt;="&amp;Diagram!$O2,'J1 B - Butcher Terrace'!$A$12:$A$130,"&lt;"&amp;Diagram!$P2)))</f>
        <v>0</v>
      </c>
      <c r="DH2" s="42">
        <f ca="1">IF(OR($I$10="",$O2="",$P2="",$J$40&lt;&gt;"Yes"),0,IF($K$10=0,SUMIFS(INDIRECT(ADDRESS(12,3+18*1+(5),,,"J1 C - (South) Bishopthorpe Roa")&amp;":"&amp;ADDRESS(130,3+18*1+(5))),'J1 C - (South) Bishopthorpe Roa'!$A$12:$A$130,"&gt;="&amp;Diagram!$O2,'J1 C - (South) Bishopthorpe Roa'!$A$12:$A$130,"&lt;"&amp;Diagram!$P2),SUMIFS(INDIRECT(ADDRESS(12,3+18*1+(13),,,"J1 C - (South) Bishopthorpe Roa")&amp;":"&amp;ADDRESS(130,3+18*1+(13))),'J1 C - (South) Bishopthorpe Roa'!$A$12:$A$130,"&gt;="&amp;Diagram!$O2,'J1 C - (South) Bishopthorpe Roa'!$A$12:$A$130,"&lt;"&amp;Diagram!$P2)))</f>
        <v>0</v>
      </c>
      <c r="DI2" s="42">
        <f ca="1">IF(OR($I$10="",$O2="",$P2="",$J$40&lt;&gt;"Yes"),0,IF($K$10=0,SUMIFS(INDIRECT(ADDRESS(12,3+18*2+(5),,,"J1 C - (South) Bishopthorpe Roa")&amp;":"&amp;ADDRESS(130,3+18*2+(5))),'J1 C - (South) Bishopthorpe Roa'!$A$12:$A$130,"&gt;="&amp;Diagram!$O2,'J1 C - (South) Bishopthorpe Roa'!$A$12:$A$130,"&lt;"&amp;Diagram!$P2),SUMIFS(INDIRECT(ADDRESS(12,3+18*2+(13),,,"J1 C - (South) Bishopthorpe Roa")&amp;":"&amp;ADDRESS(130,3+18*2+(13))),'J1 C - (South) Bishopthorpe Roa'!$A$12:$A$130,"&gt;="&amp;Diagram!$O2,'J1 C - (South) Bishopthorpe Roa'!$A$12:$A$130,"&lt;"&amp;Diagram!$P2)))</f>
        <v>0</v>
      </c>
      <c r="DJ2" s="42">
        <f ca="1">IF(OR($I$10="",$O2="",$P2="",$J$40&lt;&gt;"Yes"),0,IF($K$10=0,SUMIFS(INDIRECT(ADDRESS(12,3+18*3+(5),,,"J1 C - (South) Bishopthorpe Roa")&amp;":"&amp;ADDRESS(130,3+18*3+(5))),'J1 C - (South) Bishopthorpe Roa'!$A$12:$A$130,"&gt;="&amp;Diagram!$O2,'J1 C - (South) Bishopthorpe Roa'!$A$12:$A$130,"&lt;"&amp;Diagram!$P2),SUMIFS(INDIRECT(ADDRESS(12,3+18*3+(13),,,"J1 C - (South) Bishopthorpe Roa")&amp;":"&amp;ADDRESS(130,3+18*3+(13))),'J1 C - (South) Bishopthorpe Roa'!$A$12:$A$130,"&gt;="&amp;Diagram!$O2,'J1 C - (South) Bishopthorpe Roa'!$A$12:$A$130,"&lt;"&amp;Diagram!$P2)))</f>
        <v>0</v>
      </c>
      <c r="DK2" s="42">
        <f ca="1">IF(OR($I$10="",$O2="",$P2="",$J$40&lt;&gt;"Yes"),0,IF($K$10=0,SUMIFS(INDIRECT(ADDRESS(12,3+18*0+(5),,,"J1 C - (South) Bishopthorpe Roa")&amp;":"&amp;ADDRESS(130,3+18*0+(5))),'J1 C - (South) Bishopthorpe Roa'!$A$12:$A$130,"&gt;="&amp;Diagram!$O2,'J1 C - (South) Bishopthorpe Roa'!$A$12:$A$130,"&lt;"&amp;Diagram!$P2),SUMIFS(INDIRECT(ADDRESS(12,3+18*0+(13),,,"J1 C - (South) Bishopthorpe Roa")&amp;":"&amp;ADDRESS(130,3+18*0+(13))),'J1 C - (South) Bishopthorpe Roa'!$A$12:$A$130,"&gt;="&amp;Diagram!$O2,'J1 C - (South) Bishopthorpe Roa'!$A$12:$A$130,"&lt;"&amp;Diagram!$P2)))</f>
        <v>0</v>
      </c>
      <c r="DL2" s="42">
        <f ca="1">IF(OR($I$10="",$O2="",$P2="",$J$40&lt;&gt;"Yes"),0,IF($K$10=0,SUMIFS(INDIRECT(ADDRESS(12,3+18*0+(5),,,"J1 D - South Bank Avenue")&amp;":"&amp;ADDRESS(130,3+18*0+(5))),'J1 D - South Bank Avenue'!$A$12:$A$130,"&gt;="&amp;Diagram!$O2,'J1 D - South Bank Avenue'!$A$12:$A$130,"&lt;"&amp;Diagram!$P2),SUMIFS(INDIRECT(ADDRESS(12,3+18*0+(13),,,"J1 D - South Bank Avenue")&amp;":"&amp;ADDRESS(130,3+18*0+(13))),'J1 D - South Bank Avenue'!$A$12:$A$130,"&gt;="&amp;Diagram!$O2,'J1 D - South Bank Avenue'!$A$12:$A$130,"&lt;"&amp;Diagram!$P2)))</f>
        <v>0</v>
      </c>
      <c r="DM2" s="42">
        <f ca="1">IF(OR($I$10="",$O2="",$P2="",$J$40&lt;&gt;"Yes"),0,IF($K$10=0,SUMIFS(INDIRECT(ADDRESS(12,3+18*1+(5),,,"J1 D - South Bank Avenue")&amp;":"&amp;ADDRESS(130,3+18*1+(5))),'J1 D - South Bank Avenue'!$A$12:$A$130,"&gt;="&amp;Diagram!$O2,'J1 D - South Bank Avenue'!$A$12:$A$130,"&lt;"&amp;Diagram!$P2),SUMIFS(INDIRECT(ADDRESS(12,3+18*1+(13),,,"J1 D - South Bank Avenue")&amp;":"&amp;ADDRESS(130,3+18*1+(13))),'J1 D - South Bank Avenue'!$A$12:$A$130,"&gt;="&amp;Diagram!$O2,'J1 D - South Bank Avenue'!$A$12:$A$130,"&lt;"&amp;Diagram!$P2)))</f>
        <v>0</v>
      </c>
      <c r="DN2" s="42">
        <f ca="1">IF(OR($I$10="",$O2="",$P2="",$J$40&lt;&gt;"Yes"),0,IF($K$10=0,SUMIFS(INDIRECT(ADDRESS(12,3+18*2+(5),,,"J1 D - South Bank Avenue")&amp;":"&amp;ADDRESS(130,3+18*2+(5))),'J1 D - South Bank Avenue'!$A$12:$A$130,"&gt;="&amp;Diagram!$O2,'J1 D - South Bank Avenue'!$A$12:$A$130,"&lt;"&amp;Diagram!$P2),SUMIFS(INDIRECT(ADDRESS(12,3+18*2+(13),,,"J1 D - South Bank Avenue")&amp;":"&amp;ADDRESS(130,3+18*2+(13))),'J1 D - South Bank Avenue'!$A$12:$A$130,"&gt;="&amp;Diagram!$O2,'J1 D - South Bank Avenue'!$A$12:$A$130,"&lt;"&amp;Diagram!$P2)))</f>
        <v>0</v>
      </c>
      <c r="DO2" s="42">
        <f ca="1">IF(OR($I$10="",$O2="",$P2="",$J$40&lt;&gt;"Yes"),0,IF($K$10=0,SUMIFS(INDIRECT(ADDRESS(12,3+18*3+(5),,,"J1 D - South Bank Avenue")&amp;":"&amp;ADDRESS(130,3+18*3+(5))),'J1 D - South Bank Avenue'!$A$12:$A$130,"&gt;="&amp;Diagram!$O2,'J1 D - South Bank Avenue'!$A$12:$A$130,"&lt;"&amp;Diagram!$P2),SUMIFS(INDIRECT(ADDRESS(12,3+18*3+(13),,,"J1 D - South Bank Avenue")&amp;":"&amp;ADDRESS(130,3+18*3+(13))),'J1 D - South Bank Avenue'!$A$12:$A$130,"&gt;="&amp;Diagram!$O2,'J1 D - South Bank Avenue'!$A$12:$A$130,"&lt;"&amp;Diagram!$P2)))</f>
        <v>0</v>
      </c>
      <c r="DP2" s="42">
        <f t="shared" ref="DP2:DP65" ca="1" si="7">SUM($DQ2,$DR2,$DS2,$DT2,$DU2,$DV2,$DW2,$DX2,$DY2,$DZ2,$EA2,$EB2,$EC2,$ED2,$EE2,$EF2)</f>
        <v>1</v>
      </c>
      <c r="DQ2" s="42">
        <f ca="1">IF(OR($I$10="",$O2="",$P2="",$J$41&lt;&gt;"Yes"),0,IF($K$10=0,SUMIFS(INDIRECT(ADDRESS(12,3+18*3+(6),,,"J1 A - (North) Bishopthorpe Roa")&amp;":"&amp;ADDRESS(130,3+18*3+(6))),'J1 A - (North) Bishopthorpe Roa'!$A$12:$A$130,"&gt;="&amp;Diagram!$O2,'J1 A - (North) Bishopthorpe Roa'!$A$12:$A$130,"&lt;"&amp;Diagram!$P2),SUMIFS(INDIRECT(ADDRESS(12,3+18*3+(14),,,"J1 A - (North) Bishopthorpe Roa")&amp;":"&amp;ADDRESS(130,3+18*3+(14))),'J1 A - (North) Bishopthorpe Roa'!$A$12:$A$130,"&gt;="&amp;Diagram!$O2,'J1 A - (North) Bishopthorpe Roa'!$A$12:$A$130,"&lt;"&amp;Diagram!$P2)))</f>
        <v>0</v>
      </c>
      <c r="DR2" s="42">
        <f ca="1">IF(OR($I$10="",$O2="",$P2="",$J$41&lt;&gt;"Yes"),0,IF($K$10=0,SUMIFS(INDIRECT(ADDRESS(12,3+18*0+(6),,,"J1 A - (North) Bishopthorpe Roa")&amp;":"&amp;ADDRESS(130,3+18*0+(6))),'J1 A - (North) Bishopthorpe Roa'!$A$12:$A$130,"&gt;="&amp;Diagram!$O2,'J1 A - (North) Bishopthorpe Roa'!$A$12:$A$130,"&lt;"&amp;Diagram!$P2),SUMIFS(INDIRECT(ADDRESS(12,3+18*0+(14),,,"J1 A - (North) Bishopthorpe Roa")&amp;":"&amp;ADDRESS(130,3+18*0+(14))),'J1 A - (North) Bishopthorpe Roa'!$A$12:$A$130,"&gt;="&amp;Diagram!$O2,'J1 A - (North) Bishopthorpe Roa'!$A$12:$A$130,"&lt;"&amp;Diagram!$P2)))</f>
        <v>0</v>
      </c>
      <c r="DS2" s="42">
        <f ca="1">IF(OR($I$10="",$O2="",$P2="",$J$41&lt;&gt;"Yes"),0,IF($K$10=0,SUMIFS(INDIRECT(ADDRESS(12,3+18*1+(6),,,"J1 A - (North) Bishopthorpe Roa")&amp;":"&amp;ADDRESS(130,3+18*1+(6))),'J1 A - (North) Bishopthorpe Roa'!$A$12:$A$130,"&gt;="&amp;Diagram!$O2,'J1 A - (North) Bishopthorpe Roa'!$A$12:$A$130,"&lt;"&amp;Diagram!$P2),SUMIFS(INDIRECT(ADDRESS(12,3+18*1+(14),,,"J1 A - (North) Bishopthorpe Roa")&amp;":"&amp;ADDRESS(130,3+18*1+(14))),'J1 A - (North) Bishopthorpe Roa'!$A$12:$A$130,"&gt;="&amp;Diagram!$O2,'J1 A - (North) Bishopthorpe Roa'!$A$12:$A$130,"&lt;"&amp;Diagram!$P2)))</f>
        <v>1</v>
      </c>
      <c r="DT2" s="42">
        <f ca="1">IF(OR($I$10="",$O2="",$P2="",$J$41&lt;&gt;"Yes"),0,IF($K$10=0,SUMIFS(INDIRECT(ADDRESS(12,3+18*2+(6),,,"J1 A - (North) Bishopthorpe Roa")&amp;":"&amp;ADDRESS(130,3+18*2+(6))),'J1 A - (North) Bishopthorpe Roa'!$A$12:$A$130,"&gt;="&amp;Diagram!$O2,'J1 A - (North) Bishopthorpe Roa'!$A$12:$A$130,"&lt;"&amp;Diagram!$P2),SUMIFS(INDIRECT(ADDRESS(12,3+18*2+(14),,,"J1 A - (North) Bishopthorpe Roa")&amp;":"&amp;ADDRESS(130,3+18*2+(14))),'J1 A - (North) Bishopthorpe Roa'!$A$12:$A$130,"&gt;="&amp;Diagram!$O2,'J1 A - (North) Bishopthorpe Roa'!$A$12:$A$130,"&lt;"&amp;Diagram!$P2)))</f>
        <v>0</v>
      </c>
      <c r="DU2" s="42">
        <f ca="1">IF(OR($I$10="",$O2="",$P2="",$J$41&lt;&gt;"Yes"),0,IF($K$10=0,SUMIFS(INDIRECT(ADDRESS(12,3+18*2+(6),,,"J1 B - Butcher Terrace")&amp;":"&amp;ADDRESS(130,3+18*2+(6))),'J1 B - Butcher Terrace'!$A$12:$A$130,"&gt;="&amp;Diagram!$O2,'J1 B - Butcher Terrace'!$A$12:$A$130,"&lt;"&amp;Diagram!$P2),SUMIFS(INDIRECT(ADDRESS(12,3+18*2+(14),,,"J1 B - Butcher Terrace")&amp;":"&amp;ADDRESS(130,3+18*2+(14))),'J1 B - Butcher Terrace'!$A$12:$A$130,"&gt;="&amp;Diagram!$O2,'J1 B - Butcher Terrace'!$A$12:$A$130,"&lt;"&amp;Diagram!$P2)))</f>
        <v>0</v>
      </c>
      <c r="DV2" s="42">
        <f ca="1">IF(OR($I$10="",$O2="",$P2="",$J$41&lt;&gt;"Yes"),0,IF($K$10=0,SUMIFS(INDIRECT(ADDRESS(12,3+18*3+(6),,,"J1 B - Butcher Terrace")&amp;":"&amp;ADDRESS(130,3+18*3+(6))),'J1 B - Butcher Terrace'!$A$12:$A$130,"&gt;="&amp;Diagram!$O2,'J1 B - Butcher Terrace'!$A$12:$A$130,"&lt;"&amp;Diagram!$P2),SUMIFS(INDIRECT(ADDRESS(12,3+18*3+(14),,,"J1 B - Butcher Terrace")&amp;":"&amp;ADDRESS(130,3+18*3+(14))),'J1 B - Butcher Terrace'!$A$12:$A$130,"&gt;="&amp;Diagram!$O2,'J1 B - Butcher Terrace'!$A$12:$A$130,"&lt;"&amp;Diagram!$P2)))</f>
        <v>0</v>
      </c>
      <c r="DW2" s="42">
        <f ca="1">IF(OR($I$10="",$O2="",$P2="",$J$41&lt;&gt;"Yes"),0,IF($K$10=0,SUMIFS(INDIRECT(ADDRESS(12,3+18*0+(6),,,"J1 B - Butcher Terrace")&amp;":"&amp;ADDRESS(130,3+18*0+(6))),'J1 B - Butcher Terrace'!$A$12:$A$130,"&gt;="&amp;Diagram!$O2,'J1 B - Butcher Terrace'!$A$12:$A$130,"&lt;"&amp;Diagram!$P2),SUMIFS(INDIRECT(ADDRESS(12,3+18*0+(14),,,"J1 B - Butcher Terrace")&amp;":"&amp;ADDRESS(130,3+18*0+(14))),'J1 B - Butcher Terrace'!$A$12:$A$130,"&gt;="&amp;Diagram!$O2,'J1 B - Butcher Terrace'!$A$12:$A$130,"&lt;"&amp;Diagram!$P2)))</f>
        <v>0</v>
      </c>
      <c r="DX2" s="42">
        <f ca="1">IF(OR($I$10="",$O2="",$P2="",$J$41&lt;&gt;"Yes"),0,IF($K$10=0,SUMIFS(INDIRECT(ADDRESS(12,3+18*1+(6),,,"J1 B - Butcher Terrace")&amp;":"&amp;ADDRESS(130,3+18*1+(6))),'J1 B - Butcher Terrace'!$A$12:$A$130,"&gt;="&amp;Diagram!$O2,'J1 B - Butcher Terrace'!$A$12:$A$130,"&lt;"&amp;Diagram!$P2),SUMIFS(INDIRECT(ADDRESS(12,3+18*1+(14),,,"J1 B - Butcher Terrace")&amp;":"&amp;ADDRESS(130,3+18*1+(14))),'J1 B - Butcher Terrace'!$A$12:$A$130,"&gt;="&amp;Diagram!$O2,'J1 B - Butcher Terrace'!$A$12:$A$130,"&lt;"&amp;Diagram!$P2)))</f>
        <v>0</v>
      </c>
      <c r="DY2" s="42">
        <f ca="1">IF(OR($I$10="",$O2="",$P2="",$J$41&lt;&gt;"Yes"),0,IF($K$10=0,SUMIFS(INDIRECT(ADDRESS(12,3+18*1+(6),,,"J1 C - (South) Bishopthorpe Roa")&amp;":"&amp;ADDRESS(130,3+18*1+(6))),'J1 C - (South) Bishopthorpe Roa'!$A$12:$A$130,"&gt;="&amp;Diagram!$O2,'J1 C - (South) Bishopthorpe Roa'!$A$12:$A$130,"&lt;"&amp;Diagram!$P2),SUMIFS(INDIRECT(ADDRESS(12,3+18*1+(14),,,"J1 C - (South) Bishopthorpe Roa")&amp;":"&amp;ADDRESS(130,3+18*1+(14))),'J1 C - (South) Bishopthorpe Roa'!$A$12:$A$130,"&gt;="&amp;Diagram!$O2,'J1 C - (South) Bishopthorpe Roa'!$A$12:$A$130,"&lt;"&amp;Diagram!$P2)))</f>
        <v>0</v>
      </c>
      <c r="DZ2" s="42">
        <f ca="1">IF(OR($I$10="",$O2="",$P2="",$J$41&lt;&gt;"Yes"),0,IF($K$10=0,SUMIFS(INDIRECT(ADDRESS(12,3+18*2+(6),,,"J1 C - (South) Bishopthorpe Roa")&amp;":"&amp;ADDRESS(130,3+18*2+(6))),'J1 C - (South) Bishopthorpe Roa'!$A$12:$A$130,"&gt;="&amp;Diagram!$O2,'J1 C - (South) Bishopthorpe Roa'!$A$12:$A$130,"&lt;"&amp;Diagram!$P2),SUMIFS(INDIRECT(ADDRESS(12,3+18*2+(14),,,"J1 C - (South) Bishopthorpe Roa")&amp;":"&amp;ADDRESS(130,3+18*2+(14))),'J1 C - (South) Bishopthorpe Roa'!$A$12:$A$130,"&gt;="&amp;Diagram!$O2,'J1 C - (South) Bishopthorpe Roa'!$A$12:$A$130,"&lt;"&amp;Diagram!$P2)))</f>
        <v>0</v>
      </c>
      <c r="EA2" s="42">
        <f ca="1">IF(OR($I$10="",$O2="",$P2="",$J$41&lt;&gt;"Yes"),0,IF($K$10=0,SUMIFS(INDIRECT(ADDRESS(12,3+18*3+(6),,,"J1 C - (South) Bishopthorpe Roa")&amp;":"&amp;ADDRESS(130,3+18*3+(6))),'J1 C - (South) Bishopthorpe Roa'!$A$12:$A$130,"&gt;="&amp;Diagram!$O2,'J1 C - (South) Bishopthorpe Roa'!$A$12:$A$130,"&lt;"&amp;Diagram!$P2),SUMIFS(INDIRECT(ADDRESS(12,3+18*3+(14),,,"J1 C - (South) Bishopthorpe Roa")&amp;":"&amp;ADDRESS(130,3+18*3+(14))),'J1 C - (South) Bishopthorpe Roa'!$A$12:$A$130,"&gt;="&amp;Diagram!$O2,'J1 C - (South) Bishopthorpe Roa'!$A$12:$A$130,"&lt;"&amp;Diagram!$P2)))</f>
        <v>0</v>
      </c>
      <c r="EB2" s="42">
        <f ca="1">IF(OR($I$10="",$O2="",$P2="",$J$41&lt;&gt;"Yes"),0,IF($K$10=0,SUMIFS(INDIRECT(ADDRESS(12,3+18*0+(6),,,"J1 C - (South) Bishopthorpe Roa")&amp;":"&amp;ADDRESS(130,3+18*0+(6))),'J1 C - (South) Bishopthorpe Roa'!$A$12:$A$130,"&gt;="&amp;Diagram!$O2,'J1 C - (South) Bishopthorpe Roa'!$A$12:$A$130,"&lt;"&amp;Diagram!$P2),SUMIFS(INDIRECT(ADDRESS(12,3+18*0+(14),,,"J1 C - (South) Bishopthorpe Roa")&amp;":"&amp;ADDRESS(130,3+18*0+(14))),'J1 C - (South) Bishopthorpe Roa'!$A$12:$A$130,"&gt;="&amp;Diagram!$O2,'J1 C - (South) Bishopthorpe Roa'!$A$12:$A$130,"&lt;"&amp;Diagram!$P2)))</f>
        <v>0</v>
      </c>
      <c r="EC2" s="42">
        <f ca="1">IF(OR($I$10="",$O2="",$P2="",$J$41&lt;&gt;"Yes"),0,IF($K$10=0,SUMIFS(INDIRECT(ADDRESS(12,3+18*0+(6),,,"J1 D - South Bank Avenue")&amp;":"&amp;ADDRESS(130,3+18*0+(6))),'J1 D - South Bank Avenue'!$A$12:$A$130,"&gt;="&amp;Diagram!$O2,'J1 D - South Bank Avenue'!$A$12:$A$130,"&lt;"&amp;Diagram!$P2),SUMIFS(INDIRECT(ADDRESS(12,3+18*0+(14),,,"J1 D - South Bank Avenue")&amp;":"&amp;ADDRESS(130,3+18*0+(14))),'J1 D - South Bank Avenue'!$A$12:$A$130,"&gt;="&amp;Diagram!$O2,'J1 D - South Bank Avenue'!$A$12:$A$130,"&lt;"&amp;Diagram!$P2)))</f>
        <v>0</v>
      </c>
      <c r="ED2" s="42">
        <f ca="1">IF(OR($I$10="",$O2="",$P2="",$J$41&lt;&gt;"Yes"),0,IF($K$10=0,SUMIFS(INDIRECT(ADDRESS(12,3+18*1+(6),,,"J1 D - South Bank Avenue")&amp;":"&amp;ADDRESS(130,3+18*1+(6))),'J1 D - South Bank Avenue'!$A$12:$A$130,"&gt;="&amp;Diagram!$O2,'J1 D - South Bank Avenue'!$A$12:$A$130,"&lt;"&amp;Diagram!$P2),SUMIFS(INDIRECT(ADDRESS(12,3+18*1+(14),,,"J1 D - South Bank Avenue")&amp;":"&amp;ADDRESS(130,3+18*1+(14))),'J1 D - South Bank Avenue'!$A$12:$A$130,"&gt;="&amp;Diagram!$O2,'J1 D - South Bank Avenue'!$A$12:$A$130,"&lt;"&amp;Diagram!$P2)))</f>
        <v>0</v>
      </c>
      <c r="EE2" s="42">
        <f ca="1">IF(OR($I$10="",$O2="",$P2="",$J$41&lt;&gt;"Yes"),0,IF($K$10=0,SUMIFS(INDIRECT(ADDRESS(12,3+18*2+(6),,,"J1 D - South Bank Avenue")&amp;":"&amp;ADDRESS(130,3+18*2+(6))),'J1 D - South Bank Avenue'!$A$12:$A$130,"&gt;="&amp;Diagram!$O2,'J1 D - South Bank Avenue'!$A$12:$A$130,"&lt;"&amp;Diagram!$P2),SUMIFS(INDIRECT(ADDRESS(12,3+18*2+(14),,,"J1 D - South Bank Avenue")&amp;":"&amp;ADDRESS(130,3+18*2+(14))),'J1 D - South Bank Avenue'!$A$12:$A$130,"&gt;="&amp;Diagram!$O2,'J1 D - South Bank Avenue'!$A$12:$A$130,"&lt;"&amp;Diagram!$P2)))</f>
        <v>0</v>
      </c>
      <c r="EF2" s="42">
        <f ca="1">IF(OR($I$10="",$O2="",$P2="",$J$41&lt;&gt;"Yes"),0,IF($K$10=0,SUMIFS(INDIRECT(ADDRESS(12,3+18*3+(6),,,"J1 D - South Bank Avenue")&amp;":"&amp;ADDRESS(130,3+18*3+(6))),'J1 D - South Bank Avenue'!$A$12:$A$130,"&gt;="&amp;Diagram!$O2,'J1 D - South Bank Avenue'!$A$12:$A$130,"&lt;"&amp;Diagram!$P2),SUMIFS(INDIRECT(ADDRESS(12,3+18*3+(14),,,"J1 D - South Bank Avenue")&amp;":"&amp;ADDRESS(130,3+18*3+(14))),'J1 D - South Bank Avenue'!$A$12:$A$130,"&gt;="&amp;Diagram!$O2,'J1 D - South Bank Avenue'!$A$12:$A$130,"&lt;"&amp;Diagram!$P2)))</f>
        <v>0</v>
      </c>
      <c r="EG2" s="42">
        <f t="shared" ref="EG2:EG65" ca="1" si="8">SUM($EH2,$EI2,$EJ2,$EK2,$EL2,$EM2,$EN2,$EO2,$EP2,$EQ2,$ER2,$ES2,$ET2,$EU2,$EV2,$EW2)</f>
        <v>0</v>
      </c>
      <c r="EH2" s="42">
        <f ca="1">IF(OR($I$10="",$O2="",$P2="",$J$42&lt;&gt;"Yes"),0,IF($K$10=0,SUMIFS(INDIRECT(ADDRESS(12,3+18*3+(7),,,"J1 A - (North) Bishopthorpe Roa")&amp;":"&amp;ADDRESS(130,3+18*3+(7))),'J1 A - (North) Bishopthorpe Roa'!$A$12:$A$130,"&gt;="&amp;Diagram!$O2,'J1 A - (North) Bishopthorpe Roa'!$A$12:$A$130,"&lt;"&amp;Diagram!$P2),SUMIFS(INDIRECT(ADDRESS(12,3+18*3+(15),,,"J1 A - (North) Bishopthorpe Roa")&amp;":"&amp;ADDRESS(130,3+18*3+(15))),'J1 A - (North) Bishopthorpe Roa'!$A$12:$A$130,"&gt;="&amp;Diagram!$O2,'J1 A - (North) Bishopthorpe Roa'!$A$12:$A$130,"&lt;"&amp;Diagram!$P2)))</f>
        <v>0</v>
      </c>
      <c r="EI2" s="42">
        <f ca="1">IF(OR($I$10="",$O2="",$P2="",$J$42&lt;&gt;"Yes"),0,IF($K$10=0,SUMIFS(INDIRECT(ADDRESS(12,3+18*0+(7),,,"J1 A - (North) Bishopthorpe Roa")&amp;":"&amp;ADDRESS(130,3+18*0+(7))),'J1 A - (North) Bishopthorpe Roa'!$A$12:$A$130,"&gt;="&amp;Diagram!$O2,'J1 A - (North) Bishopthorpe Roa'!$A$12:$A$130,"&lt;"&amp;Diagram!$P2),SUMIFS(INDIRECT(ADDRESS(12,3+18*0+(15),,,"J1 A - (North) Bishopthorpe Roa")&amp;":"&amp;ADDRESS(130,3+18*0+(15))),'J1 A - (North) Bishopthorpe Roa'!$A$12:$A$130,"&gt;="&amp;Diagram!$O2,'J1 A - (North) Bishopthorpe Roa'!$A$12:$A$130,"&lt;"&amp;Diagram!$P2)))</f>
        <v>0</v>
      </c>
      <c r="EJ2" s="42">
        <f ca="1">IF(OR($I$10="",$O2="",$P2="",$J$42&lt;&gt;"Yes"),0,IF($K$10=0,SUMIFS(INDIRECT(ADDRESS(12,3+18*1+(7),,,"J1 A - (North) Bishopthorpe Roa")&amp;":"&amp;ADDRESS(130,3+18*1+(7))),'J1 A - (North) Bishopthorpe Roa'!$A$12:$A$130,"&gt;="&amp;Diagram!$O2,'J1 A - (North) Bishopthorpe Roa'!$A$12:$A$130,"&lt;"&amp;Diagram!$P2),SUMIFS(INDIRECT(ADDRESS(12,3+18*1+(15),,,"J1 A - (North) Bishopthorpe Roa")&amp;":"&amp;ADDRESS(130,3+18*1+(15))),'J1 A - (North) Bishopthorpe Roa'!$A$12:$A$130,"&gt;="&amp;Diagram!$O2,'J1 A - (North) Bishopthorpe Roa'!$A$12:$A$130,"&lt;"&amp;Diagram!$P2)))</f>
        <v>0</v>
      </c>
      <c r="EK2" s="42">
        <f ca="1">IF(OR($I$10="",$O2="",$P2="",$J$42&lt;&gt;"Yes"),0,IF($K$10=0,SUMIFS(INDIRECT(ADDRESS(12,3+18*2+(7),,,"J1 A - (North) Bishopthorpe Roa")&amp;":"&amp;ADDRESS(130,3+18*2+(7))),'J1 A - (North) Bishopthorpe Roa'!$A$12:$A$130,"&gt;="&amp;Diagram!$O2,'J1 A - (North) Bishopthorpe Roa'!$A$12:$A$130,"&lt;"&amp;Diagram!$P2),SUMIFS(INDIRECT(ADDRESS(12,3+18*2+(15),,,"J1 A - (North) Bishopthorpe Roa")&amp;":"&amp;ADDRESS(130,3+18*2+(15))),'J1 A - (North) Bishopthorpe Roa'!$A$12:$A$130,"&gt;="&amp;Diagram!$O2,'J1 A - (North) Bishopthorpe Roa'!$A$12:$A$130,"&lt;"&amp;Diagram!$P2)))</f>
        <v>0</v>
      </c>
      <c r="EL2" s="42">
        <f ca="1">IF(OR($I$10="",$O2="",$P2="",$J$42&lt;&gt;"Yes"),0,IF($K$10=0,SUMIFS(INDIRECT(ADDRESS(12,3+18*2+(7),,,"J1 B - Butcher Terrace")&amp;":"&amp;ADDRESS(130,3+18*2+(7))),'J1 B - Butcher Terrace'!$A$12:$A$130,"&gt;="&amp;Diagram!$O2,'J1 B - Butcher Terrace'!$A$12:$A$130,"&lt;"&amp;Diagram!$P2),SUMIFS(INDIRECT(ADDRESS(12,3+18*2+(15),,,"J1 B - Butcher Terrace")&amp;":"&amp;ADDRESS(130,3+18*2+(15))),'J1 B - Butcher Terrace'!$A$12:$A$130,"&gt;="&amp;Diagram!$O2,'J1 B - Butcher Terrace'!$A$12:$A$130,"&lt;"&amp;Diagram!$P2)))</f>
        <v>0</v>
      </c>
      <c r="EM2" s="42">
        <f ca="1">IF(OR($I$10="",$O2="",$P2="",$J$42&lt;&gt;"Yes"),0,IF($K$10=0,SUMIFS(INDIRECT(ADDRESS(12,3+18*3+(7),,,"J1 B - Butcher Terrace")&amp;":"&amp;ADDRESS(130,3+18*3+(7))),'J1 B - Butcher Terrace'!$A$12:$A$130,"&gt;="&amp;Diagram!$O2,'J1 B - Butcher Terrace'!$A$12:$A$130,"&lt;"&amp;Diagram!$P2),SUMIFS(INDIRECT(ADDRESS(12,3+18*3+(15),,,"J1 B - Butcher Terrace")&amp;":"&amp;ADDRESS(130,3+18*3+(15))),'J1 B - Butcher Terrace'!$A$12:$A$130,"&gt;="&amp;Diagram!$O2,'J1 B - Butcher Terrace'!$A$12:$A$130,"&lt;"&amp;Diagram!$P2)))</f>
        <v>0</v>
      </c>
      <c r="EN2" s="42">
        <f ca="1">IF(OR($I$10="",$O2="",$P2="",$J$42&lt;&gt;"Yes"),0,IF($K$10=0,SUMIFS(INDIRECT(ADDRESS(12,3+18*0+(7),,,"J1 B - Butcher Terrace")&amp;":"&amp;ADDRESS(130,3+18*0+(7))),'J1 B - Butcher Terrace'!$A$12:$A$130,"&gt;="&amp;Diagram!$O2,'J1 B - Butcher Terrace'!$A$12:$A$130,"&lt;"&amp;Diagram!$P2),SUMIFS(INDIRECT(ADDRESS(12,3+18*0+(15),,,"J1 B - Butcher Terrace")&amp;":"&amp;ADDRESS(130,3+18*0+(15))),'J1 B - Butcher Terrace'!$A$12:$A$130,"&gt;="&amp;Diagram!$O2,'J1 B - Butcher Terrace'!$A$12:$A$130,"&lt;"&amp;Diagram!$P2)))</f>
        <v>0</v>
      </c>
      <c r="EO2" s="42">
        <f ca="1">IF(OR($I$10="",$O2="",$P2="",$J$42&lt;&gt;"Yes"),0,IF($K$10=0,SUMIFS(INDIRECT(ADDRESS(12,3+18*1+(7),,,"J1 B - Butcher Terrace")&amp;":"&amp;ADDRESS(130,3+18*1+(7))),'J1 B - Butcher Terrace'!$A$12:$A$130,"&gt;="&amp;Diagram!$O2,'J1 B - Butcher Terrace'!$A$12:$A$130,"&lt;"&amp;Diagram!$P2),SUMIFS(INDIRECT(ADDRESS(12,3+18*1+(15),,,"J1 B - Butcher Terrace")&amp;":"&amp;ADDRESS(130,3+18*1+(15))),'J1 B - Butcher Terrace'!$A$12:$A$130,"&gt;="&amp;Diagram!$O2,'J1 B - Butcher Terrace'!$A$12:$A$130,"&lt;"&amp;Diagram!$P2)))</f>
        <v>0</v>
      </c>
      <c r="EP2" s="42">
        <f ca="1">IF(OR($I$10="",$O2="",$P2="",$J$42&lt;&gt;"Yes"),0,IF($K$10=0,SUMIFS(INDIRECT(ADDRESS(12,3+18*1+(7),,,"J1 C - (South) Bishopthorpe Roa")&amp;":"&amp;ADDRESS(130,3+18*1+(7))),'J1 C - (South) Bishopthorpe Roa'!$A$12:$A$130,"&gt;="&amp;Diagram!$O2,'J1 C - (South) Bishopthorpe Roa'!$A$12:$A$130,"&lt;"&amp;Diagram!$P2),SUMIFS(INDIRECT(ADDRESS(12,3+18*1+(15),,,"J1 C - (South) Bishopthorpe Roa")&amp;":"&amp;ADDRESS(130,3+18*1+(15))),'J1 C - (South) Bishopthorpe Roa'!$A$12:$A$130,"&gt;="&amp;Diagram!$O2,'J1 C - (South) Bishopthorpe Roa'!$A$12:$A$130,"&lt;"&amp;Diagram!$P2)))</f>
        <v>0</v>
      </c>
      <c r="EQ2" s="42">
        <f ca="1">IF(OR($I$10="",$O2="",$P2="",$J$42&lt;&gt;"Yes"),0,IF($K$10=0,SUMIFS(INDIRECT(ADDRESS(12,3+18*2+(7),,,"J1 C - (South) Bishopthorpe Roa")&amp;":"&amp;ADDRESS(130,3+18*2+(7))),'J1 C - (South) Bishopthorpe Roa'!$A$12:$A$130,"&gt;="&amp;Diagram!$O2,'J1 C - (South) Bishopthorpe Roa'!$A$12:$A$130,"&lt;"&amp;Diagram!$P2),SUMIFS(INDIRECT(ADDRESS(12,3+18*2+(15),,,"J1 C - (South) Bishopthorpe Roa")&amp;":"&amp;ADDRESS(130,3+18*2+(15))),'J1 C - (South) Bishopthorpe Roa'!$A$12:$A$130,"&gt;="&amp;Diagram!$O2,'J1 C - (South) Bishopthorpe Roa'!$A$12:$A$130,"&lt;"&amp;Diagram!$P2)))</f>
        <v>0</v>
      </c>
      <c r="ER2" s="42">
        <f ca="1">IF(OR($I$10="",$O2="",$P2="",$J$42&lt;&gt;"Yes"),0,IF($K$10=0,SUMIFS(INDIRECT(ADDRESS(12,3+18*3+(7),,,"J1 C - (South) Bishopthorpe Roa")&amp;":"&amp;ADDRESS(130,3+18*3+(7))),'J1 C - (South) Bishopthorpe Roa'!$A$12:$A$130,"&gt;="&amp;Diagram!$O2,'J1 C - (South) Bishopthorpe Roa'!$A$12:$A$130,"&lt;"&amp;Diagram!$P2),SUMIFS(INDIRECT(ADDRESS(12,3+18*3+(15),,,"J1 C - (South) Bishopthorpe Roa")&amp;":"&amp;ADDRESS(130,3+18*3+(15))),'J1 C - (South) Bishopthorpe Roa'!$A$12:$A$130,"&gt;="&amp;Diagram!$O2,'J1 C - (South) Bishopthorpe Roa'!$A$12:$A$130,"&lt;"&amp;Diagram!$P2)))</f>
        <v>0</v>
      </c>
      <c r="ES2" s="42">
        <f ca="1">IF(OR($I$10="",$O2="",$P2="",$J$42&lt;&gt;"Yes"),0,IF($K$10=0,SUMIFS(INDIRECT(ADDRESS(12,3+18*0+(7),,,"J1 C - (South) Bishopthorpe Roa")&amp;":"&amp;ADDRESS(130,3+18*0+(7))),'J1 C - (South) Bishopthorpe Roa'!$A$12:$A$130,"&gt;="&amp;Diagram!$O2,'J1 C - (South) Bishopthorpe Roa'!$A$12:$A$130,"&lt;"&amp;Diagram!$P2),SUMIFS(INDIRECT(ADDRESS(12,3+18*0+(15),,,"J1 C - (South) Bishopthorpe Roa")&amp;":"&amp;ADDRESS(130,3+18*0+(15))),'J1 C - (South) Bishopthorpe Roa'!$A$12:$A$130,"&gt;="&amp;Diagram!$O2,'J1 C - (South) Bishopthorpe Roa'!$A$12:$A$130,"&lt;"&amp;Diagram!$P2)))</f>
        <v>0</v>
      </c>
      <c r="ET2" s="42">
        <f ca="1">IF(OR($I$10="",$O2="",$P2="",$J$42&lt;&gt;"Yes"),0,IF($K$10=0,SUMIFS(INDIRECT(ADDRESS(12,3+18*0+(7),,,"J1 D - South Bank Avenue")&amp;":"&amp;ADDRESS(130,3+18*0+(7))),'J1 D - South Bank Avenue'!$A$12:$A$130,"&gt;="&amp;Diagram!$O2,'J1 D - South Bank Avenue'!$A$12:$A$130,"&lt;"&amp;Diagram!$P2),SUMIFS(INDIRECT(ADDRESS(12,3+18*0+(15),,,"J1 D - South Bank Avenue")&amp;":"&amp;ADDRESS(130,3+18*0+(15))),'J1 D - South Bank Avenue'!$A$12:$A$130,"&gt;="&amp;Diagram!$O2,'J1 D - South Bank Avenue'!$A$12:$A$130,"&lt;"&amp;Diagram!$P2)))</f>
        <v>0</v>
      </c>
      <c r="EU2" s="42">
        <f ca="1">IF(OR($I$10="",$O2="",$P2="",$J$42&lt;&gt;"Yes"),0,IF($K$10=0,SUMIFS(INDIRECT(ADDRESS(12,3+18*1+(7),,,"J1 D - South Bank Avenue")&amp;":"&amp;ADDRESS(130,3+18*1+(7))),'J1 D - South Bank Avenue'!$A$12:$A$130,"&gt;="&amp;Diagram!$O2,'J1 D - South Bank Avenue'!$A$12:$A$130,"&lt;"&amp;Diagram!$P2),SUMIFS(INDIRECT(ADDRESS(12,3+18*1+(15),,,"J1 D - South Bank Avenue")&amp;":"&amp;ADDRESS(130,3+18*1+(15))),'J1 D - South Bank Avenue'!$A$12:$A$130,"&gt;="&amp;Diagram!$O2,'J1 D - South Bank Avenue'!$A$12:$A$130,"&lt;"&amp;Diagram!$P2)))</f>
        <v>0</v>
      </c>
      <c r="EV2" s="42">
        <f ca="1">IF(OR($I$10="",$O2="",$P2="",$J$42&lt;&gt;"Yes"),0,IF($K$10=0,SUMIFS(INDIRECT(ADDRESS(12,3+18*2+(7),,,"J1 D - South Bank Avenue")&amp;":"&amp;ADDRESS(130,3+18*2+(7))),'J1 D - South Bank Avenue'!$A$12:$A$130,"&gt;="&amp;Diagram!$O2,'J1 D - South Bank Avenue'!$A$12:$A$130,"&lt;"&amp;Diagram!$P2),SUMIFS(INDIRECT(ADDRESS(12,3+18*2+(15),,,"J1 D - South Bank Avenue")&amp;":"&amp;ADDRESS(130,3+18*2+(15))),'J1 D - South Bank Avenue'!$A$12:$A$130,"&gt;="&amp;Diagram!$O2,'J1 D - South Bank Avenue'!$A$12:$A$130,"&lt;"&amp;Diagram!$P2)))</f>
        <v>0</v>
      </c>
      <c r="EW2" s="42">
        <f ca="1">IF(OR($I$10="",$O2="",$P2="",$J$42&lt;&gt;"Yes"),0,IF($K$10=0,SUMIFS(INDIRECT(ADDRESS(12,3+18*3+(7),,,"J1 D - South Bank Avenue")&amp;":"&amp;ADDRESS(130,3+18*3+(7))),'J1 D - South Bank Avenue'!$A$12:$A$130,"&gt;="&amp;Diagram!$O2,'J1 D - South Bank Avenue'!$A$12:$A$130,"&lt;"&amp;Diagram!$P2),SUMIFS(INDIRECT(ADDRESS(12,3+18*3+(15),,,"J1 D - South Bank Avenue")&amp;":"&amp;ADDRESS(130,3+18*3+(15))),'J1 D - South Bank Avenue'!$A$12:$A$130,"&gt;="&amp;Diagram!$O2,'J1 D - South Bank Avenue'!$A$12:$A$130,"&lt;"&amp;Diagram!$P2)))</f>
        <v>0</v>
      </c>
    </row>
    <row r="3" spans="1:153" ht="33" customHeight="1">
      <c r="A3" s="1">
        <v>44395.020833333299</v>
      </c>
      <c r="B3" s="1">
        <v>44395.03125</v>
      </c>
      <c r="G3" s="4" t="s">
        <v>9</v>
      </c>
      <c r="O3" s="3">
        <v>44395.020833333299</v>
      </c>
      <c r="P3" s="3">
        <v>44395.0625</v>
      </c>
      <c r="Q3" s="42">
        <f t="shared" ca="1" si="0"/>
        <v>36</v>
      </c>
      <c r="R3" s="42">
        <f t="shared" ca="1" si="1"/>
        <v>26</v>
      </c>
      <c r="S3" s="42">
        <f ca="1">IF(OR($I$10="",$O3="",$P3="",$J$35&lt;&gt;"Yes"),0,IF($K$10=0,SUMIFS(INDIRECT(ADDRESS(12,3+18*3+(0),,,"J1 A - (North) Bishopthorpe Roa")&amp;":"&amp;ADDRESS(130,3+18*3+(0))),'J1 A - (North) Bishopthorpe Roa'!$A$12:$A$130,"&gt;="&amp;Diagram!$O3,'J1 A - (North) Bishopthorpe Roa'!$A$12:$A$130,"&lt;"&amp;Diagram!$P3),SUMIFS(INDIRECT(ADDRESS(12,3+18*3+(8),,,"J1 A - (North) Bishopthorpe Roa")&amp;":"&amp;ADDRESS(130,3+18*3+(8))),'J1 A - (North) Bishopthorpe Roa'!$A$12:$A$130,"&gt;="&amp;Diagram!$O3,'J1 A - (North) Bishopthorpe Roa'!$A$12:$A$130,"&lt;"&amp;Diagram!$P3)))</f>
        <v>0</v>
      </c>
      <c r="T3" s="42">
        <f ca="1">IF(OR($I$10="",$O3="",$P3="",$J$35&lt;&gt;"Yes"),0,IF($K$10=0,SUMIFS(INDIRECT(ADDRESS(12,3+18*0+(0),,,"J1 A - (North) Bishopthorpe Roa")&amp;":"&amp;ADDRESS(130,3+18*0+(0))),'J1 A - (North) Bishopthorpe Roa'!$A$12:$A$130,"&gt;="&amp;Diagram!$O3,'J1 A - (North) Bishopthorpe Roa'!$A$12:$A$130,"&lt;"&amp;Diagram!$P3),SUMIFS(INDIRECT(ADDRESS(12,3+18*0+(8),,,"J1 A - (North) Bishopthorpe Roa")&amp;":"&amp;ADDRESS(130,3+18*0+(8))),'J1 A - (North) Bishopthorpe Roa'!$A$12:$A$130,"&gt;="&amp;Diagram!$O3,'J1 A - (North) Bishopthorpe Roa'!$A$12:$A$130,"&lt;"&amp;Diagram!$P3)))</f>
        <v>1</v>
      </c>
      <c r="U3" s="42">
        <f ca="1">IF(OR($I$10="",$O3="",$P3="",$J$35&lt;&gt;"Yes"),0,IF($K$10=0,SUMIFS(INDIRECT(ADDRESS(12,3+18*1+(0),,,"J1 A - (North) Bishopthorpe Roa")&amp;":"&amp;ADDRESS(130,3+18*1+(0))),'J1 A - (North) Bishopthorpe Roa'!$A$12:$A$130,"&gt;="&amp;Diagram!$O3,'J1 A - (North) Bishopthorpe Roa'!$A$12:$A$130,"&lt;"&amp;Diagram!$P3),SUMIFS(INDIRECT(ADDRESS(12,3+18*1+(8),,,"J1 A - (North) Bishopthorpe Roa")&amp;":"&amp;ADDRESS(130,3+18*1+(8))),'J1 A - (North) Bishopthorpe Roa'!$A$12:$A$130,"&gt;="&amp;Diagram!$O3,'J1 A - (North) Bishopthorpe Roa'!$A$12:$A$130,"&lt;"&amp;Diagram!$P3)))</f>
        <v>13</v>
      </c>
      <c r="V3" s="42">
        <f ca="1">IF(OR($I$10="",$O3="",$P3="",$J$35&lt;&gt;"Yes"),0,IF($K$10=0,SUMIFS(INDIRECT(ADDRESS(12,3+18*2+(0),,,"J1 A - (North) Bishopthorpe Roa")&amp;":"&amp;ADDRESS(130,3+18*2+(0))),'J1 A - (North) Bishopthorpe Roa'!$A$12:$A$130,"&gt;="&amp;Diagram!$O3,'J1 A - (North) Bishopthorpe Roa'!$A$12:$A$130,"&lt;"&amp;Diagram!$P3),SUMIFS(INDIRECT(ADDRESS(12,3+18*2+(8),,,"J1 A - (North) Bishopthorpe Roa")&amp;":"&amp;ADDRESS(130,3+18*2+(8))),'J1 A - (North) Bishopthorpe Roa'!$A$12:$A$130,"&gt;="&amp;Diagram!$O3,'J1 A - (North) Bishopthorpe Roa'!$A$12:$A$130,"&lt;"&amp;Diagram!$P3)))</f>
        <v>2</v>
      </c>
      <c r="W3" s="42">
        <f ca="1">IF(OR($I$10="",$O3="",$P3="",$J$35&lt;&gt;"Yes"),0,IF($K$10=0,SUMIFS(INDIRECT(ADDRESS(12,3+18*2+(0),,,"J1 B - Butcher Terrace")&amp;":"&amp;ADDRESS(130,3+18*2+(0))),'J1 B - Butcher Terrace'!$A$12:$A$130,"&gt;="&amp;Diagram!$O3,'J1 B - Butcher Terrace'!$A$12:$A$130,"&lt;"&amp;Diagram!$P3),SUMIFS(INDIRECT(ADDRESS(12,3+18*2+(8),,,"J1 B - Butcher Terrace")&amp;":"&amp;ADDRESS(130,3+18*2+(8))),'J1 B - Butcher Terrace'!$A$12:$A$130,"&gt;="&amp;Diagram!$O3,'J1 B - Butcher Terrace'!$A$12:$A$130,"&lt;"&amp;Diagram!$P3)))</f>
        <v>1</v>
      </c>
      <c r="X3" s="42">
        <f ca="1">IF(OR($I$10="",$O3="",$P3="",$J$35&lt;&gt;"Yes"),0,IF($K$10=0,SUMIFS(INDIRECT(ADDRESS(12,3+18*3+(0),,,"J1 B - Butcher Terrace")&amp;":"&amp;ADDRESS(130,3+18*3+(0))),'J1 B - Butcher Terrace'!$A$12:$A$130,"&gt;="&amp;Diagram!$O3,'J1 B - Butcher Terrace'!$A$12:$A$130,"&lt;"&amp;Diagram!$P3),SUMIFS(INDIRECT(ADDRESS(12,3+18*3+(8),,,"J1 B - Butcher Terrace")&amp;":"&amp;ADDRESS(130,3+18*3+(8))),'J1 B - Butcher Terrace'!$A$12:$A$130,"&gt;="&amp;Diagram!$O3,'J1 B - Butcher Terrace'!$A$12:$A$130,"&lt;"&amp;Diagram!$P3)))</f>
        <v>0</v>
      </c>
      <c r="Y3" s="42">
        <f ca="1">IF(OR($I$10="",$O3="",$P3="",$J$35&lt;&gt;"Yes"),0,IF($K$10=0,SUMIFS(INDIRECT(ADDRESS(12,3+18*0+(0),,,"J1 B - Butcher Terrace")&amp;":"&amp;ADDRESS(130,3+18*0+(0))),'J1 B - Butcher Terrace'!$A$12:$A$130,"&gt;="&amp;Diagram!$O3,'J1 B - Butcher Terrace'!$A$12:$A$130,"&lt;"&amp;Diagram!$P3),SUMIFS(INDIRECT(ADDRESS(12,3+18*0+(8),,,"J1 B - Butcher Terrace")&amp;":"&amp;ADDRESS(130,3+18*0+(8))),'J1 B - Butcher Terrace'!$A$12:$A$130,"&gt;="&amp;Diagram!$O3,'J1 B - Butcher Terrace'!$A$12:$A$130,"&lt;"&amp;Diagram!$P3)))</f>
        <v>0</v>
      </c>
      <c r="Z3" s="42">
        <f ca="1">IF(OR($I$10="",$O3="",$P3="",$J$35&lt;&gt;"Yes"),0,IF($K$10=0,SUMIFS(INDIRECT(ADDRESS(12,3+18*1+(0),,,"J1 B - Butcher Terrace")&amp;":"&amp;ADDRESS(130,3+18*1+(0))),'J1 B - Butcher Terrace'!$A$12:$A$130,"&gt;="&amp;Diagram!$O3,'J1 B - Butcher Terrace'!$A$12:$A$130,"&lt;"&amp;Diagram!$P3),SUMIFS(INDIRECT(ADDRESS(12,3+18*1+(8),,,"J1 B - Butcher Terrace")&amp;":"&amp;ADDRESS(130,3+18*1+(8))),'J1 B - Butcher Terrace'!$A$12:$A$130,"&gt;="&amp;Diagram!$O3,'J1 B - Butcher Terrace'!$A$12:$A$130,"&lt;"&amp;Diagram!$P3)))</f>
        <v>0</v>
      </c>
      <c r="AA3" s="42">
        <f ca="1">IF(OR($I$10="",$O3="",$P3="",$J$35&lt;&gt;"Yes"),0,IF($K$10=0,SUMIFS(INDIRECT(ADDRESS(12,3+18*1+(0),,,"J1 C - (South) Bishopthorpe Roa")&amp;":"&amp;ADDRESS(130,3+18*1+(0))),'J1 C - (South) Bishopthorpe Roa'!$A$12:$A$130,"&gt;="&amp;Diagram!$O3,'J1 C - (South) Bishopthorpe Roa'!$A$12:$A$130,"&lt;"&amp;Diagram!$P3),SUMIFS(INDIRECT(ADDRESS(12,3+18*1+(8),,,"J1 C - (South) Bishopthorpe Roa")&amp;":"&amp;ADDRESS(130,3+18*1+(8))),'J1 C - (South) Bishopthorpe Roa'!$A$12:$A$130,"&gt;="&amp;Diagram!$O3,'J1 C - (South) Bishopthorpe Roa'!$A$12:$A$130,"&lt;"&amp;Diagram!$P3)))</f>
        <v>7</v>
      </c>
      <c r="AB3" s="42">
        <f ca="1">IF(OR($I$10="",$O3="",$P3="",$J$35&lt;&gt;"Yes"),0,IF($K$10=0,SUMIFS(INDIRECT(ADDRESS(12,3+18*2+(0),,,"J1 C - (South) Bishopthorpe Roa")&amp;":"&amp;ADDRESS(130,3+18*2+(0))),'J1 C - (South) Bishopthorpe Roa'!$A$12:$A$130,"&gt;="&amp;Diagram!$O3,'J1 C - (South) Bishopthorpe Roa'!$A$12:$A$130,"&lt;"&amp;Diagram!$P3),SUMIFS(INDIRECT(ADDRESS(12,3+18*2+(8),,,"J1 C - (South) Bishopthorpe Roa")&amp;":"&amp;ADDRESS(130,3+18*2+(8))),'J1 C - (South) Bishopthorpe Roa'!$A$12:$A$130,"&gt;="&amp;Diagram!$O3,'J1 C - (South) Bishopthorpe Roa'!$A$12:$A$130,"&lt;"&amp;Diagram!$P3)))</f>
        <v>0</v>
      </c>
      <c r="AC3" s="42">
        <f ca="1">IF(OR($I$10="",$O3="",$P3="",$J$35&lt;&gt;"Yes"),0,IF($K$10=0,SUMIFS(INDIRECT(ADDRESS(12,3+18*3+(0),,,"J1 C - (South) Bishopthorpe Roa")&amp;":"&amp;ADDRESS(130,3+18*3+(0))),'J1 C - (South) Bishopthorpe Roa'!$A$12:$A$130,"&gt;="&amp;Diagram!$O3,'J1 C - (South) Bishopthorpe Roa'!$A$12:$A$130,"&lt;"&amp;Diagram!$P3),SUMIFS(INDIRECT(ADDRESS(12,3+18*3+(8),,,"J1 C - (South) Bishopthorpe Roa")&amp;":"&amp;ADDRESS(130,3+18*3+(8))),'J1 C - (South) Bishopthorpe Roa'!$A$12:$A$130,"&gt;="&amp;Diagram!$O3,'J1 C - (South) Bishopthorpe Roa'!$A$12:$A$130,"&lt;"&amp;Diagram!$P3)))</f>
        <v>0</v>
      </c>
      <c r="AD3" s="42">
        <f ca="1">IF(OR($I$10="",$O3="",$P3="",$J$35&lt;&gt;"Yes"),0,IF($K$10=0,SUMIFS(INDIRECT(ADDRESS(12,3+18*0+(0),,,"J1 C - (South) Bishopthorpe Roa")&amp;":"&amp;ADDRESS(130,3+18*0+(0))),'J1 C - (South) Bishopthorpe Roa'!$A$12:$A$130,"&gt;="&amp;Diagram!$O3,'J1 C - (South) Bishopthorpe Roa'!$A$12:$A$130,"&lt;"&amp;Diagram!$P3),SUMIFS(INDIRECT(ADDRESS(12,3+18*0+(8),,,"J1 C - (South) Bishopthorpe Roa")&amp;":"&amp;ADDRESS(130,3+18*0+(8))),'J1 C - (South) Bishopthorpe Roa'!$A$12:$A$130,"&gt;="&amp;Diagram!$O3,'J1 C - (South) Bishopthorpe Roa'!$A$12:$A$130,"&lt;"&amp;Diagram!$P3)))</f>
        <v>0</v>
      </c>
      <c r="AE3" s="42">
        <f ca="1">IF(OR($I$10="",$O3="",$P3="",$J$35&lt;&gt;"Yes"),0,IF($K$10=0,SUMIFS(INDIRECT(ADDRESS(12,3+18*0+(0),,,"J1 D - South Bank Avenue")&amp;":"&amp;ADDRESS(130,3+18*0+(0))),'J1 D - South Bank Avenue'!$A$12:$A$130,"&gt;="&amp;Diagram!$O3,'J1 D - South Bank Avenue'!$A$12:$A$130,"&lt;"&amp;Diagram!$P3),SUMIFS(INDIRECT(ADDRESS(12,3+18*0+(8),,,"J1 D - South Bank Avenue")&amp;":"&amp;ADDRESS(130,3+18*0+(8))),'J1 D - South Bank Avenue'!$A$12:$A$130,"&gt;="&amp;Diagram!$O3,'J1 D - South Bank Avenue'!$A$12:$A$130,"&lt;"&amp;Diagram!$P3)))</f>
        <v>2</v>
      </c>
      <c r="AF3" s="42">
        <f ca="1">IF(OR($I$10="",$O3="",$P3="",$J$35&lt;&gt;"Yes"),0,IF($K$10=0,SUMIFS(INDIRECT(ADDRESS(12,3+18*1+(0),,,"J1 D - South Bank Avenue")&amp;":"&amp;ADDRESS(130,3+18*1+(0))),'J1 D - South Bank Avenue'!$A$12:$A$130,"&gt;="&amp;Diagram!$O3,'J1 D - South Bank Avenue'!$A$12:$A$130,"&lt;"&amp;Diagram!$P3),SUMIFS(INDIRECT(ADDRESS(12,3+18*1+(8),,,"J1 D - South Bank Avenue")&amp;":"&amp;ADDRESS(130,3+18*1+(8))),'J1 D - South Bank Avenue'!$A$12:$A$130,"&gt;="&amp;Diagram!$O3,'J1 D - South Bank Avenue'!$A$12:$A$130,"&lt;"&amp;Diagram!$P3)))</f>
        <v>0</v>
      </c>
      <c r="AG3" s="42">
        <f ca="1">IF(OR($I$10="",$O3="",$P3="",$J$35&lt;&gt;"Yes"),0,IF($K$10=0,SUMIFS(INDIRECT(ADDRESS(12,3+18*2+(0),,,"J1 D - South Bank Avenue")&amp;":"&amp;ADDRESS(130,3+18*2+(0))),'J1 D - South Bank Avenue'!$A$12:$A$130,"&gt;="&amp;Diagram!$O3,'J1 D - South Bank Avenue'!$A$12:$A$130,"&lt;"&amp;Diagram!$P3),SUMIFS(INDIRECT(ADDRESS(12,3+18*2+(8),,,"J1 D - South Bank Avenue")&amp;":"&amp;ADDRESS(130,3+18*2+(8))),'J1 D - South Bank Avenue'!$A$12:$A$130,"&gt;="&amp;Diagram!$O3,'J1 D - South Bank Avenue'!$A$12:$A$130,"&lt;"&amp;Diagram!$P3)))</f>
        <v>0</v>
      </c>
      <c r="AH3" s="42">
        <f ca="1">IF(OR($I$10="",$O3="",$P3="",$J$35&lt;&gt;"Yes"),0,IF($K$10=0,SUMIFS(INDIRECT(ADDRESS(12,3+18*3+(0),,,"J1 D - South Bank Avenue")&amp;":"&amp;ADDRESS(130,3+18*3+(0))),'J1 D - South Bank Avenue'!$A$12:$A$130,"&gt;="&amp;Diagram!$O3,'J1 D - South Bank Avenue'!$A$12:$A$130,"&lt;"&amp;Diagram!$P3),SUMIFS(INDIRECT(ADDRESS(12,3+18*3+(8),,,"J1 D - South Bank Avenue")&amp;":"&amp;ADDRESS(130,3+18*3+(8))),'J1 D - South Bank Avenue'!$A$12:$A$130,"&gt;="&amp;Diagram!$O3,'J1 D - South Bank Avenue'!$A$12:$A$130,"&lt;"&amp;Diagram!$P3)))</f>
        <v>0</v>
      </c>
      <c r="AI3" s="42">
        <f t="shared" ca="1" si="2"/>
        <v>1</v>
      </c>
      <c r="AJ3" s="42">
        <f ca="1">IF(OR($I$10="",$O3="",$P3="",$J$36&lt;&gt;"Yes"),0,IF($K$10=0,SUMIFS(INDIRECT(ADDRESS(12,3+18*3+(1),,,"J1 A - (North) Bishopthorpe Roa")&amp;":"&amp;ADDRESS(130,3+18*3+(1))),'J1 A - (North) Bishopthorpe Roa'!$A$12:$A$130,"&gt;="&amp;Diagram!$O3,'J1 A - (North) Bishopthorpe Roa'!$A$12:$A$130,"&lt;"&amp;Diagram!$P3),SUMIFS(INDIRECT(ADDRESS(12,3+18*3+(9),,,"J1 A - (North) Bishopthorpe Roa")&amp;":"&amp;ADDRESS(130,3+18*3+(9))),'J1 A - (North) Bishopthorpe Roa'!$A$12:$A$130,"&gt;="&amp;Diagram!$O3,'J1 A - (North) Bishopthorpe Roa'!$A$12:$A$130,"&lt;"&amp;Diagram!$P3)))</f>
        <v>0</v>
      </c>
      <c r="AK3" s="42">
        <f ca="1">IF(OR($I$10="",$O3="",$P3="",$J$36&lt;&gt;"Yes"),0,IF($K$10=0,SUMIFS(INDIRECT(ADDRESS(12,3+18*0+(1),,,"J1 A - (North) Bishopthorpe Roa")&amp;":"&amp;ADDRESS(130,3+18*0+(1))),'J1 A - (North) Bishopthorpe Roa'!$A$12:$A$130,"&gt;="&amp;Diagram!$O3,'J1 A - (North) Bishopthorpe Roa'!$A$12:$A$130,"&lt;"&amp;Diagram!$P3),SUMIFS(INDIRECT(ADDRESS(12,3+18*0+(9),,,"J1 A - (North) Bishopthorpe Roa")&amp;":"&amp;ADDRESS(130,3+18*0+(9))),'J1 A - (North) Bishopthorpe Roa'!$A$12:$A$130,"&gt;="&amp;Diagram!$O3,'J1 A - (North) Bishopthorpe Roa'!$A$12:$A$130,"&lt;"&amp;Diagram!$P3)))</f>
        <v>0</v>
      </c>
      <c r="AL3" s="42">
        <f ca="1">IF(OR($I$10="",$O3="",$P3="",$J$36&lt;&gt;"Yes"),0,IF($K$10=0,SUMIFS(INDIRECT(ADDRESS(12,3+18*1+(1),,,"J1 A - (North) Bishopthorpe Roa")&amp;":"&amp;ADDRESS(130,3+18*1+(1))),'J1 A - (North) Bishopthorpe Roa'!$A$12:$A$130,"&gt;="&amp;Diagram!$O3,'J1 A - (North) Bishopthorpe Roa'!$A$12:$A$130,"&lt;"&amp;Diagram!$P3),SUMIFS(INDIRECT(ADDRESS(12,3+18*1+(9),,,"J1 A - (North) Bishopthorpe Roa")&amp;":"&amp;ADDRESS(130,3+18*1+(9))),'J1 A - (North) Bishopthorpe Roa'!$A$12:$A$130,"&gt;="&amp;Diagram!$O3,'J1 A - (North) Bishopthorpe Roa'!$A$12:$A$130,"&lt;"&amp;Diagram!$P3)))</f>
        <v>1</v>
      </c>
      <c r="AM3" s="42">
        <f ca="1">IF(OR($I$10="",$O3="",$P3="",$J$36&lt;&gt;"Yes"),0,IF($K$10=0,SUMIFS(INDIRECT(ADDRESS(12,3+18*2+(1),,,"J1 A - (North) Bishopthorpe Roa")&amp;":"&amp;ADDRESS(130,3+18*2+(1))),'J1 A - (North) Bishopthorpe Roa'!$A$12:$A$130,"&gt;="&amp;Diagram!$O3,'J1 A - (North) Bishopthorpe Roa'!$A$12:$A$130,"&lt;"&amp;Diagram!$P3),SUMIFS(INDIRECT(ADDRESS(12,3+18*2+(9),,,"J1 A - (North) Bishopthorpe Roa")&amp;":"&amp;ADDRESS(130,3+18*2+(9))),'J1 A - (North) Bishopthorpe Roa'!$A$12:$A$130,"&gt;="&amp;Diagram!$O3,'J1 A - (North) Bishopthorpe Roa'!$A$12:$A$130,"&lt;"&amp;Diagram!$P3)))</f>
        <v>0</v>
      </c>
      <c r="AN3" s="42">
        <f ca="1">IF(OR($I$10="",$O3="",$P3="",$J$36&lt;&gt;"Yes"),0,IF($K$10=0,SUMIFS(INDIRECT(ADDRESS(12,3+18*2+(1),,,"J1 B - Butcher Terrace")&amp;":"&amp;ADDRESS(130,3+18*2+(1))),'J1 B - Butcher Terrace'!$A$12:$A$130,"&gt;="&amp;Diagram!$O3,'J1 B - Butcher Terrace'!$A$12:$A$130,"&lt;"&amp;Diagram!$P3),SUMIFS(INDIRECT(ADDRESS(12,3+18*2+(9),,,"J1 B - Butcher Terrace")&amp;":"&amp;ADDRESS(130,3+18*2+(9))),'J1 B - Butcher Terrace'!$A$12:$A$130,"&gt;="&amp;Diagram!$O3,'J1 B - Butcher Terrace'!$A$12:$A$130,"&lt;"&amp;Diagram!$P3)))</f>
        <v>0</v>
      </c>
      <c r="AO3" s="42">
        <f ca="1">IF(OR($I$10="",$O3="",$P3="",$J$36&lt;&gt;"Yes"),0,IF($K$10=0,SUMIFS(INDIRECT(ADDRESS(12,3+18*3+(1),,,"J1 B - Butcher Terrace")&amp;":"&amp;ADDRESS(130,3+18*3+(1))),'J1 B - Butcher Terrace'!$A$12:$A$130,"&gt;="&amp;Diagram!$O3,'J1 B - Butcher Terrace'!$A$12:$A$130,"&lt;"&amp;Diagram!$P3),SUMIFS(INDIRECT(ADDRESS(12,3+18*3+(9),,,"J1 B - Butcher Terrace")&amp;":"&amp;ADDRESS(130,3+18*3+(9))),'J1 B - Butcher Terrace'!$A$12:$A$130,"&gt;="&amp;Diagram!$O3,'J1 B - Butcher Terrace'!$A$12:$A$130,"&lt;"&amp;Diagram!$P3)))</f>
        <v>0</v>
      </c>
      <c r="AP3" s="42">
        <f ca="1">IF(OR($I$10="",$O3="",$P3="",$J$36&lt;&gt;"Yes"),0,IF($K$10=0,SUMIFS(INDIRECT(ADDRESS(12,3+18*0+(1),,,"J1 B - Butcher Terrace")&amp;":"&amp;ADDRESS(130,3+18*0+(1))),'J1 B - Butcher Terrace'!$A$12:$A$130,"&gt;="&amp;Diagram!$O3,'J1 B - Butcher Terrace'!$A$12:$A$130,"&lt;"&amp;Diagram!$P3),SUMIFS(INDIRECT(ADDRESS(12,3+18*0+(9),,,"J1 B - Butcher Terrace")&amp;":"&amp;ADDRESS(130,3+18*0+(9))),'J1 B - Butcher Terrace'!$A$12:$A$130,"&gt;="&amp;Diagram!$O3,'J1 B - Butcher Terrace'!$A$12:$A$130,"&lt;"&amp;Diagram!$P3)))</f>
        <v>0</v>
      </c>
      <c r="AQ3" s="42">
        <f ca="1">IF(OR($I$10="",$O3="",$P3="",$J$36&lt;&gt;"Yes"),0,IF($K$10=0,SUMIFS(INDIRECT(ADDRESS(12,3+18*1+(1),,,"J1 B - Butcher Terrace")&amp;":"&amp;ADDRESS(130,3+18*1+(1))),'J1 B - Butcher Terrace'!$A$12:$A$130,"&gt;="&amp;Diagram!$O3,'J1 B - Butcher Terrace'!$A$12:$A$130,"&lt;"&amp;Diagram!$P3),SUMIFS(INDIRECT(ADDRESS(12,3+18*1+(9),,,"J1 B - Butcher Terrace")&amp;":"&amp;ADDRESS(130,3+18*1+(9))),'J1 B - Butcher Terrace'!$A$12:$A$130,"&gt;="&amp;Diagram!$O3,'J1 B - Butcher Terrace'!$A$12:$A$130,"&lt;"&amp;Diagram!$P3)))</f>
        <v>0</v>
      </c>
      <c r="AR3" s="42">
        <f ca="1">IF(OR($I$10="",$O3="",$P3="",$J$36&lt;&gt;"Yes"),0,IF($K$10=0,SUMIFS(INDIRECT(ADDRESS(12,3+18*1+(1),,,"J1 C - (South) Bishopthorpe Roa")&amp;":"&amp;ADDRESS(130,3+18*1+(1))),'J1 C - (South) Bishopthorpe Roa'!$A$12:$A$130,"&gt;="&amp;Diagram!$O3,'J1 C - (South) Bishopthorpe Roa'!$A$12:$A$130,"&lt;"&amp;Diagram!$P3),SUMIFS(INDIRECT(ADDRESS(12,3+18*1+(9),,,"J1 C - (South) Bishopthorpe Roa")&amp;":"&amp;ADDRESS(130,3+18*1+(9))),'J1 C - (South) Bishopthorpe Roa'!$A$12:$A$130,"&gt;="&amp;Diagram!$O3,'J1 C - (South) Bishopthorpe Roa'!$A$12:$A$130,"&lt;"&amp;Diagram!$P3)))</f>
        <v>0</v>
      </c>
      <c r="AS3" s="42">
        <f ca="1">IF(OR($I$10="",$O3="",$P3="",$J$36&lt;&gt;"Yes"),0,IF($K$10=0,SUMIFS(INDIRECT(ADDRESS(12,3+18*2+(1),,,"J1 C - (South) Bishopthorpe Roa")&amp;":"&amp;ADDRESS(130,3+18*2+(1))),'J1 C - (South) Bishopthorpe Roa'!$A$12:$A$130,"&gt;="&amp;Diagram!$O3,'J1 C - (South) Bishopthorpe Roa'!$A$12:$A$130,"&lt;"&amp;Diagram!$P3),SUMIFS(INDIRECT(ADDRESS(12,3+18*2+(9),,,"J1 C - (South) Bishopthorpe Roa")&amp;":"&amp;ADDRESS(130,3+18*2+(9))),'J1 C - (South) Bishopthorpe Roa'!$A$12:$A$130,"&gt;="&amp;Diagram!$O3,'J1 C - (South) Bishopthorpe Roa'!$A$12:$A$130,"&lt;"&amp;Diagram!$P3)))</f>
        <v>0</v>
      </c>
      <c r="AT3" s="42">
        <f ca="1">IF(OR($I$10="",$O3="",$P3="",$J$36&lt;&gt;"Yes"),0,IF($K$10=0,SUMIFS(INDIRECT(ADDRESS(12,3+18*3+(1),,,"J1 C - (South) Bishopthorpe Roa")&amp;":"&amp;ADDRESS(130,3+18*3+(1))),'J1 C - (South) Bishopthorpe Roa'!$A$12:$A$130,"&gt;="&amp;Diagram!$O3,'J1 C - (South) Bishopthorpe Roa'!$A$12:$A$130,"&lt;"&amp;Diagram!$P3),SUMIFS(INDIRECT(ADDRESS(12,3+18*3+(9),,,"J1 C - (South) Bishopthorpe Roa")&amp;":"&amp;ADDRESS(130,3+18*3+(9))),'J1 C - (South) Bishopthorpe Roa'!$A$12:$A$130,"&gt;="&amp;Diagram!$O3,'J1 C - (South) Bishopthorpe Roa'!$A$12:$A$130,"&lt;"&amp;Diagram!$P3)))</f>
        <v>0</v>
      </c>
      <c r="AU3" s="42">
        <f ca="1">IF(OR($I$10="",$O3="",$P3="",$J$36&lt;&gt;"Yes"),0,IF($K$10=0,SUMIFS(INDIRECT(ADDRESS(12,3+18*0+(1),,,"J1 C - (South) Bishopthorpe Roa")&amp;":"&amp;ADDRESS(130,3+18*0+(1))),'J1 C - (South) Bishopthorpe Roa'!$A$12:$A$130,"&gt;="&amp;Diagram!$O3,'J1 C - (South) Bishopthorpe Roa'!$A$12:$A$130,"&lt;"&amp;Diagram!$P3),SUMIFS(INDIRECT(ADDRESS(12,3+18*0+(9),,,"J1 C - (South) Bishopthorpe Roa")&amp;":"&amp;ADDRESS(130,3+18*0+(9))),'J1 C - (South) Bishopthorpe Roa'!$A$12:$A$130,"&gt;="&amp;Diagram!$O3,'J1 C - (South) Bishopthorpe Roa'!$A$12:$A$130,"&lt;"&amp;Diagram!$P3)))</f>
        <v>0</v>
      </c>
      <c r="AV3" s="42">
        <f ca="1">IF(OR($I$10="",$O3="",$P3="",$J$36&lt;&gt;"Yes"),0,IF($K$10=0,SUMIFS(INDIRECT(ADDRESS(12,3+18*0+(1),,,"J1 D - South Bank Avenue")&amp;":"&amp;ADDRESS(130,3+18*0+(1))),'J1 D - South Bank Avenue'!$A$12:$A$130,"&gt;="&amp;Diagram!$O3,'J1 D - South Bank Avenue'!$A$12:$A$130,"&lt;"&amp;Diagram!$P3),SUMIFS(INDIRECT(ADDRESS(12,3+18*0+(9),,,"J1 D - South Bank Avenue")&amp;":"&amp;ADDRESS(130,3+18*0+(9))),'J1 D - South Bank Avenue'!$A$12:$A$130,"&gt;="&amp;Diagram!$O3,'J1 D - South Bank Avenue'!$A$12:$A$130,"&lt;"&amp;Diagram!$P3)))</f>
        <v>0</v>
      </c>
      <c r="AW3" s="42">
        <f ca="1">IF(OR($I$10="",$O3="",$P3="",$J$36&lt;&gt;"Yes"),0,IF($K$10=0,SUMIFS(INDIRECT(ADDRESS(12,3+18*1+(1),,,"J1 D - South Bank Avenue")&amp;":"&amp;ADDRESS(130,3+18*1+(1))),'J1 D - South Bank Avenue'!$A$12:$A$130,"&gt;="&amp;Diagram!$O3,'J1 D - South Bank Avenue'!$A$12:$A$130,"&lt;"&amp;Diagram!$P3),SUMIFS(INDIRECT(ADDRESS(12,3+18*1+(9),,,"J1 D - South Bank Avenue")&amp;":"&amp;ADDRESS(130,3+18*1+(9))),'J1 D - South Bank Avenue'!$A$12:$A$130,"&gt;="&amp;Diagram!$O3,'J1 D - South Bank Avenue'!$A$12:$A$130,"&lt;"&amp;Diagram!$P3)))</f>
        <v>0</v>
      </c>
      <c r="AX3" s="42">
        <f ca="1">IF(OR($I$10="",$O3="",$P3="",$J$36&lt;&gt;"Yes"),0,IF($K$10=0,SUMIFS(INDIRECT(ADDRESS(12,3+18*2+(1),,,"J1 D - South Bank Avenue")&amp;":"&amp;ADDRESS(130,3+18*2+(1))),'J1 D - South Bank Avenue'!$A$12:$A$130,"&gt;="&amp;Diagram!$O3,'J1 D - South Bank Avenue'!$A$12:$A$130,"&lt;"&amp;Diagram!$P3),SUMIFS(INDIRECT(ADDRESS(12,3+18*2+(9),,,"J1 D - South Bank Avenue")&amp;":"&amp;ADDRESS(130,3+18*2+(9))),'J1 D - South Bank Avenue'!$A$12:$A$130,"&gt;="&amp;Diagram!$O3,'J1 D - South Bank Avenue'!$A$12:$A$130,"&lt;"&amp;Diagram!$P3)))</f>
        <v>0</v>
      </c>
      <c r="AY3" s="42">
        <f ca="1">IF(OR($I$10="",$O3="",$P3="",$J$36&lt;&gt;"Yes"),0,IF($K$10=0,SUMIFS(INDIRECT(ADDRESS(12,3+18*3+(1),,,"J1 D - South Bank Avenue")&amp;":"&amp;ADDRESS(130,3+18*3+(1))),'J1 D - South Bank Avenue'!$A$12:$A$130,"&gt;="&amp;Diagram!$O3,'J1 D - South Bank Avenue'!$A$12:$A$130,"&lt;"&amp;Diagram!$P3),SUMIFS(INDIRECT(ADDRESS(12,3+18*3+(9),,,"J1 D - South Bank Avenue")&amp;":"&amp;ADDRESS(130,3+18*3+(9))),'J1 D - South Bank Avenue'!$A$12:$A$130,"&gt;="&amp;Diagram!$O3,'J1 D - South Bank Avenue'!$A$12:$A$130,"&lt;"&amp;Diagram!$P3)))</f>
        <v>0</v>
      </c>
      <c r="AZ3" s="42">
        <f t="shared" ca="1" si="3"/>
        <v>0</v>
      </c>
      <c r="BA3" s="42">
        <f ca="1">IF(OR($I$10="",$O3="",$P3="",$J$37&lt;&gt;"Yes"),0,IF($K$10=0,SUMIFS(INDIRECT(ADDRESS(12,3+18*3+(2),,,"J1 A - (North) Bishopthorpe Roa")&amp;":"&amp;ADDRESS(130,3+18*3+(2))),'J1 A - (North) Bishopthorpe Roa'!$A$12:$A$130,"&gt;="&amp;Diagram!$O3,'J1 A - (North) Bishopthorpe Roa'!$A$12:$A$130,"&lt;"&amp;Diagram!$P3),SUMIFS(INDIRECT(ADDRESS(12,3+18*3+(10),,,"J1 A - (North) Bishopthorpe Roa")&amp;":"&amp;ADDRESS(130,3+18*3+(10))),'J1 A - (North) Bishopthorpe Roa'!$A$12:$A$130,"&gt;="&amp;Diagram!$O3,'J1 A - (North) Bishopthorpe Roa'!$A$12:$A$130,"&lt;"&amp;Diagram!$P3)))</f>
        <v>0</v>
      </c>
      <c r="BB3" s="42">
        <f ca="1">IF(OR($I$10="",$O3="",$P3="",$J$37&lt;&gt;"Yes"),0,IF($K$10=0,SUMIFS(INDIRECT(ADDRESS(12,3+18*0+(2),,,"J1 A - (North) Bishopthorpe Roa")&amp;":"&amp;ADDRESS(130,3+18*0+(2))),'J1 A - (North) Bishopthorpe Roa'!$A$12:$A$130,"&gt;="&amp;Diagram!$O3,'J1 A - (North) Bishopthorpe Roa'!$A$12:$A$130,"&lt;"&amp;Diagram!$P3),SUMIFS(INDIRECT(ADDRESS(12,3+18*0+(10),,,"J1 A - (North) Bishopthorpe Roa")&amp;":"&amp;ADDRESS(130,3+18*0+(10))),'J1 A - (North) Bishopthorpe Roa'!$A$12:$A$130,"&gt;="&amp;Diagram!$O3,'J1 A - (North) Bishopthorpe Roa'!$A$12:$A$130,"&lt;"&amp;Diagram!$P3)))</f>
        <v>0</v>
      </c>
      <c r="BC3" s="42">
        <f ca="1">IF(OR($I$10="",$O3="",$P3="",$J$37&lt;&gt;"Yes"),0,IF($K$10=0,SUMIFS(INDIRECT(ADDRESS(12,3+18*1+(2),,,"J1 A - (North) Bishopthorpe Roa")&amp;":"&amp;ADDRESS(130,3+18*1+(2))),'J1 A - (North) Bishopthorpe Roa'!$A$12:$A$130,"&gt;="&amp;Diagram!$O3,'J1 A - (North) Bishopthorpe Roa'!$A$12:$A$130,"&lt;"&amp;Diagram!$P3),SUMIFS(INDIRECT(ADDRESS(12,3+18*1+(10),,,"J1 A - (North) Bishopthorpe Roa")&amp;":"&amp;ADDRESS(130,3+18*1+(10))),'J1 A - (North) Bishopthorpe Roa'!$A$12:$A$130,"&gt;="&amp;Diagram!$O3,'J1 A - (North) Bishopthorpe Roa'!$A$12:$A$130,"&lt;"&amp;Diagram!$P3)))</f>
        <v>0</v>
      </c>
      <c r="BD3" s="42">
        <f ca="1">IF(OR($I$10="",$O3="",$P3="",$J$37&lt;&gt;"Yes"),0,IF($K$10=0,SUMIFS(INDIRECT(ADDRESS(12,3+18*2+(2),,,"J1 A - (North) Bishopthorpe Roa")&amp;":"&amp;ADDRESS(130,3+18*2+(2))),'J1 A - (North) Bishopthorpe Roa'!$A$12:$A$130,"&gt;="&amp;Diagram!$O3,'J1 A - (North) Bishopthorpe Roa'!$A$12:$A$130,"&lt;"&amp;Diagram!$P3),SUMIFS(INDIRECT(ADDRESS(12,3+18*2+(10),,,"J1 A - (North) Bishopthorpe Roa")&amp;":"&amp;ADDRESS(130,3+18*2+(10))),'J1 A - (North) Bishopthorpe Roa'!$A$12:$A$130,"&gt;="&amp;Diagram!$O3,'J1 A - (North) Bishopthorpe Roa'!$A$12:$A$130,"&lt;"&amp;Diagram!$P3)))</f>
        <v>0</v>
      </c>
      <c r="BE3" s="42">
        <f ca="1">IF(OR($I$10="",$O3="",$P3="",$J$37&lt;&gt;"Yes"),0,IF($K$10=0,SUMIFS(INDIRECT(ADDRESS(12,3+18*2+(2),,,"J1 B - Butcher Terrace")&amp;":"&amp;ADDRESS(130,3+18*2+(2))),'J1 B - Butcher Terrace'!$A$12:$A$130,"&gt;="&amp;Diagram!$O3,'J1 B - Butcher Terrace'!$A$12:$A$130,"&lt;"&amp;Diagram!$P3),SUMIFS(INDIRECT(ADDRESS(12,3+18*2+(10),,,"J1 B - Butcher Terrace")&amp;":"&amp;ADDRESS(130,3+18*2+(10))),'J1 B - Butcher Terrace'!$A$12:$A$130,"&gt;="&amp;Diagram!$O3,'J1 B - Butcher Terrace'!$A$12:$A$130,"&lt;"&amp;Diagram!$P3)))</f>
        <v>0</v>
      </c>
      <c r="BF3" s="42">
        <f ca="1">IF(OR($I$10="",$O3="",$P3="",$J$37&lt;&gt;"Yes"),0,IF($K$10=0,SUMIFS(INDIRECT(ADDRESS(12,3+18*3+(2),,,"J1 B - Butcher Terrace")&amp;":"&amp;ADDRESS(130,3+18*3+(2))),'J1 B - Butcher Terrace'!$A$12:$A$130,"&gt;="&amp;Diagram!$O3,'J1 B - Butcher Terrace'!$A$12:$A$130,"&lt;"&amp;Diagram!$P3),SUMIFS(INDIRECT(ADDRESS(12,3+18*3+(10),,,"J1 B - Butcher Terrace")&amp;":"&amp;ADDRESS(130,3+18*3+(10))),'J1 B - Butcher Terrace'!$A$12:$A$130,"&gt;="&amp;Diagram!$O3,'J1 B - Butcher Terrace'!$A$12:$A$130,"&lt;"&amp;Diagram!$P3)))</f>
        <v>0</v>
      </c>
      <c r="BG3" s="42">
        <f ca="1">IF(OR($I$10="",$O3="",$P3="",$J$37&lt;&gt;"Yes"),0,IF($K$10=0,SUMIFS(INDIRECT(ADDRESS(12,3+18*0+(2),,,"J1 B - Butcher Terrace")&amp;":"&amp;ADDRESS(130,3+18*0+(2))),'J1 B - Butcher Terrace'!$A$12:$A$130,"&gt;="&amp;Diagram!$O3,'J1 B - Butcher Terrace'!$A$12:$A$130,"&lt;"&amp;Diagram!$P3),SUMIFS(INDIRECT(ADDRESS(12,3+18*0+(10),,,"J1 B - Butcher Terrace")&amp;":"&amp;ADDRESS(130,3+18*0+(10))),'J1 B - Butcher Terrace'!$A$12:$A$130,"&gt;="&amp;Diagram!$O3,'J1 B - Butcher Terrace'!$A$12:$A$130,"&lt;"&amp;Diagram!$P3)))</f>
        <v>0</v>
      </c>
      <c r="BH3" s="42">
        <f ca="1">IF(OR($I$10="",$O3="",$P3="",$J$37&lt;&gt;"Yes"),0,IF($K$10=0,SUMIFS(INDIRECT(ADDRESS(12,3+18*1+(2),,,"J1 B - Butcher Terrace")&amp;":"&amp;ADDRESS(130,3+18*1+(2))),'J1 B - Butcher Terrace'!$A$12:$A$130,"&gt;="&amp;Diagram!$O3,'J1 B - Butcher Terrace'!$A$12:$A$130,"&lt;"&amp;Diagram!$P3),SUMIFS(INDIRECT(ADDRESS(12,3+18*1+(10),,,"J1 B - Butcher Terrace")&amp;":"&amp;ADDRESS(130,3+18*1+(10))),'J1 B - Butcher Terrace'!$A$12:$A$130,"&gt;="&amp;Diagram!$O3,'J1 B - Butcher Terrace'!$A$12:$A$130,"&lt;"&amp;Diagram!$P3)))</f>
        <v>0</v>
      </c>
      <c r="BI3" s="42">
        <f ca="1">IF(OR($I$10="",$O3="",$P3="",$J$37&lt;&gt;"Yes"),0,IF($K$10=0,SUMIFS(INDIRECT(ADDRESS(12,3+18*1+(2),,,"J1 C - (South) Bishopthorpe Roa")&amp;":"&amp;ADDRESS(130,3+18*1+(2))),'J1 C - (South) Bishopthorpe Roa'!$A$12:$A$130,"&gt;="&amp;Diagram!$O3,'J1 C - (South) Bishopthorpe Roa'!$A$12:$A$130,"&lt;"&amp;Diagram!$P3),SUMIFS(INDIRECT(ADDRESS(12,3+18*1+(10),,,"J1 C - (South) Bishopthorpe Roa")&amp;":"&amp;ADDRESS(130,3+18*1+(10))),'J1 C - (South) Bishopthorpe Roa'!$A$12:$A$130,"&gt;="&amp;Diagram!$O3,'J1 C - (South) Bishopthorpe Roa'!$A$12:$A$130,"&lt;"&amp;Diagram!$P3)))</f>
        <v>0</v>
      </c>
      <c r="BJ3" s="42">
        <f ca="1">IF(OR($I$10="",$O3="",$P3="",$J$37&lt;&gt;"Yes"),0,IF($K$10=0,SUMIFS(INDIRECT(ADDRESS(12,3+18*2+(2),,,"J1 C - (South) Bishopthorpe Roa")&amp;":"&amp;ADDRESS(130,3+18*2+(2))),'J1 C - (South) Bishopthorpe Roa'!$A$12:$A$130,"&gt;="&amp;Diagram!$O3,'J1 C - (South) Bishopthorpe Roa'!$A$12:$A$130,"&lt;"&amp;Diagram!$P3),SUMIFS(INDIRECT(ADDRESS(12,3+18*2+(10),,,"J1 C - (South) Bishopthorpe Roa")&amp;":"&amp;ADDRESS(130,3+18*2+(10))),'J1 C - (South) Bishopthorpe Roa'!$A$12:$A$130,"&gt;="&amp;Diagram!$O3,'J1 C - (South) Bishopthorpe Roa'!$A$12:$A$130,"&lt;"&amp;Diagram!$P3)))</f>
        <v>0</v>
      </c>
      <c r="BK3" s="42">
        <f ca="1">IF(OR($I$10="",$O3="",$P3="",$J$37&lt;&gt;"Yes"),0,IF($K$10=0,SUMIFS(INDIRECT(ADDRESS(12,3+18*3+(2),,,"J1 C - (South) Bishopthorpe Roa")&amp;":"&amp;ADDRESS(130,3+18*3+(2))),'J1 C - (South) Bishopthorpe Roa'!$A$12:$A$130,"&gt;="&amp;Diagram!$O3,'J1 C - (South) Bishopthorpe Roa'!$A$12:$A$130,"&lt;"&amp;Diagram!$P3),SUMIFS(INDIRECT(ADDRESS(12,3+18*3+(10),,,"J1 C - (South) Bishopthorpe Roa")&amp;":"&amp;ADDRESS(130,3+18*3+(10))),'J1 C - (South) Bishopthorpe Roa'!$A$12:$A$130,"&gt;="&amp;Diagram!$O3,'J1 C - (South) Bishopthorpe Roa'!$A$12:$A$130,"&lt;"&amp;Diagram!$P3)))</f>
        <v>0</v>
      </c>
      <c r="BL3" s="42">
        <f ca="1">IF(OR($I$10="",$O3="",$P3="",$J$37&lt;&gt;"Yes"),0,IF($K$10=0,SUMIFS(INDIRECT(ADDRESS(12,3+18*0+(2),,,"J1 C - (South) Bishopthorpe Roa")&amp;":"&amp;ADDRESS(130,3+18*0+(2))),'J1 C - (South) Bishopthorpe Roa'!$A$12:$A$130,"&gt;="&amp;Diagram!$O3,'J1 C - (South) Bishopthorpe Roa'!$A$12:$A$130,"&lt;"&amp;Diagram!$P3),SUMIFS(INDIRECT(ADDRESS(12,3+18*0+(10),,,"J1 C - (South) Bishopthorpe Roa")&amp;":"&amp;ADDRESS(130,3+18*0+(10))),'J1 C - (South) Bishopthorpe Roa'!$A$12:$A$130,"&gt;="&amp;Diagram!$O3,'J1 C - (South) Bishopthorpe Roa'!$A$12:$A$130,"&lt;"&amp;Diagram!$P3)))</f>
        <v>0</v>
      </c>
      <c r="BM3" s="42">
        <f ca="1">IF(OR($I$10="",$O3="",$P3="",$J$37&lt;&gt;"Yes"),0,IF($K$10=0,SUMIFS(INDIRECT(ADDRESS(12,3+18*0+(2),,,"J1 D - South Bank Avenue")&amp;":"&amp;ADDRESS(130,3+18*0+(2))),'J1 D - South Bank Avenue'!$A$12:$A$130,"&gt;="&amp;Diagram!$O3,'J1 D - South Bank Avenue'!$A$12:$A$130,"&lt;"&amp;Diagram!$P3),SUMIFS(INDIRECT(ADDRESS(12,3+18*0+(10),,,"J1 D - South Bank Avenue")&amp;":"&amp;ADDRESS(130,3+18*0+(10))),'J1 D - South Bank Avenue'!$A$12:$A$130,"&gt;="&amp;Diagram!$O3,'J1 D - South Bank Avenue'!$A$12:$A$130,"&lt;"&amp;Diagram!$P3)))</f>
        <v>0</v>
      </c>
      <c r="BN3" s="42">
        <f ca="1">IF(OR($I$10="",$O3="",$P3="",$J$37&lt;&gt;"Yes"),0,IF($K$10=0,SUMIFS(INDIRECT(ADDRESS(12,3+18*1+(2),,,"J1 D - South Bank Avenue")&amp;":"&amp;ADDRESS(130,3+18*1+(2))),'J1 D - South Bank Avenue'!$A$12:$A$130,"&gt;="&amp;Diagram!$O3,'J1 D - South Bank Avenue'!$A$12:$A$130,"&lt;"&amp;Diagram!$P3),SUMIFS(INDIRECT(ADDRESS(12,3+18*1+(10),,,"J1 D - South Bank Avenue")&amp;":"&amp;ADDRESS(130,3+18*1+(10))),'J1 D - South Bank Avenue'!$A$12:$A$130,"&gt;="&amp;Diagram!$O3,'J1 D - South Bank Avenue'!$A$12:$A$130,"&lt;"&amp;Diagram!$P3)))</f>
        <v>0</v>
      </c>
      <c r="BO3" s="42">
        <f ca="1">IF(OR($I$10="",$O3="",$P3="",$J$37&lt;&gt;"Yes"),0,IF($K$10=0,SUMIFS(INDIRECT(ADDRESS(12,3+18*2+(2),,,"J1 D - South Bank Avenue")&amp;":"&amp;ADDRESS(130,3+18*2+(2))),'J1 D - South Bank Avenue'!$A$12:$A$130,"&gt;="&amp;Diagram!$O3,'J1 D - South Bank Avenue'!$A$12:$A$130,"&lt;"&amp;Diagram!$P3),SUMIFS(INDIRECT(ADDRESS(12,3+18*2+(10),,,"J1 D - South Bank Avenue")&amp;":"&amp;ADDRESS(130,3+18*2+(10))),'J1 D - South Bank Avenue'!$A$12:$A$130,"&gt;="&amp;Diagram!$O3,'J1 D - South Bank Avenue'!$A$12:$A$130,"&lt;"&amp;Diagram!$P3)))</f>
        <v>0</v>
      </c>
      <c r="BP3" s="42">
        <f ca="1">IF(OR($I$10="",$O3="",$P3="",$J$37&lt;&gt;"Yes"),0,IF($K$10=0,SUMIFS(INDIRECT(ADDRESS(12,3+18*3+(2),,,"J1 D - South Bank Avenue")&amp;":"&amp;ADDRESS(130,3+18*3+(2))),'J1 D - South Bank Avenue'!$A$12:$A$130,"&gt;="&amp;Diagram!$O3,'J1 D - South Bank Avenue'!$A$12:$A$130,"&lt;"&amp;Diagram!$P3),SUMIFS(INDIRECT(ADDRESS(12,3+18*3+(10),,,"J1 D - South Bank Avenue")&amp;":"&amp;ADDRESS(130,3+18*3+(10))),'J1 D - South Bank Avenue'!$A$12:$A$130,"&gt;="&amp;Diagram!$O3,'J1 D - South Bank Avenue'!$A$12:$A$130,"&lt;"&amp;Diagram!$P3)))</f>
        <v>0</v>
      </c>
      <c r="BQ3" s="42">
        <f t="shared" ca="1" si="4"/>
        <v>0</v>
      </c>
      <c r="BR3" s="42">
        <f ca="1">IF(OR($I$10="",$O3="",$P3="",$J$38&lt;&gt;"Yes"),0,IF($K$10=0,SUMIFS(INDIRECT(ADDRESS(12,3+18*3+(3),,,"J1 A - (North) Bishopthorpe Roa")&amp;":"&amp;ADDRESS(130,3+18*3+(3))),'J1 A - (North) Bishopthorpe Roa'!$A$12:$A$130,"&gt;="&amp;Diagram!$O3,'J1 A - (North) Bishopthorpe Roa'!$A$12:$A$130,"&lt;"&amp;Diagram!$P3),SUMIFS(INDIRECT(ADDRESS(12,3+18*3+(11),,,"J1 A - (North) Bishopthorpe Roa")&amp;":"&amp;ADDRESS(130,3+18*3+(11))),'J1 A - (North) Bishopthorpe Roa'!$A$12:$A$130,"&gt;="&amp;Diagram!$O3,'J1 A - (North) Bishopthorpe Roa'!$A$12:$A$130,"&lt;"&amp;Diagram!$P3)))</f>
        <v>0</v>
      </c>
      <c r="BS3" s="42">
        <f ca="1">IF(OR($I$10="",$O3="",$P3="",$J$38&lt;&gt;"Yes"),0,IF($K$10=0,SUMIFS(INDIRECT(ADDRESS(12,3+18*0+(3),,,"J1 A - (North) Bishopthorpe Roa")&amp;":"&amp;ADDRESS(130,3+18*0+(3))),'J1 A - (North) Bishopthorpe Roa'!$A$12:$A$130,"&gt;="&amp;Diagram!$O3,'J1 A - (North) Bishopthorpe Roa'!$A$12:$A$130,"&lt;"&amp;Diagram!$P3),SUMIFS(INDIRECT(ADDRESS(12,3+18*0+(11),,,"J1 A - (North) Bishopthorpe Roa")&amp;":"&amp;ADDRESS(130,3+18*0+(11))),'J1 A - (North) Bishopthorpe Roa'!$A$12:$A$130,"&gt;="&amp;Diagram!$O3,'J1 A - (North) Bishopthorpe Roa'!$A$12:$A$130,"&lt;"&amp;Diagram!$P3)))</f>
        <v>0</v>
      </c>
      <c r="BT3" s="42">
        <f ca="1">IF(OR($I$10="",$O3="",$P3="",$J$38&lt;&gt;"Yes"),0,IF($K$10=0,SUMIFS(INDIRECT(ADDRESS(12,3+18*1+(3),,,"J1 A - (North) Bishopthorpe Roa")&amp;":"&amp;ADDRESS(130,3+18*1+(3))),'J1 A - (North) Bishopthorpe Roa'!$A$12:$A$130,"&gt;="&amp;Diagram!$O3,'J1 A - (North) Bishopthorpe Roa'!$A$12:$A$130,"&lt;"&amp;Diagram!$P3),SUMIFS(INDIRECT(ADDRESS(12,3+18*1+(11),,,"J1 A - (North) Bishopthorpe Roa")&amp;":"&amp;ADDRESS(130,3+18*1+(11))),'J1 A - (North) Bishopthorpe Roa'!$A$12:$A$130,"&gt;="&amp;Diagram!$O3,'J1 A - (North) Bishopthorpe Roa'!$A$12:$A$130,"&lt;"&amp;Diagram!$P3)))</f>
        <v>0</v>
      </c>
      <c r="BU3" s="42">
        <f ca="1">IF(OR($I$10="",$O3="",$P3="",$J$38&lt;&gt;"Yes"),0,IF($K$10=0,SUMIFS(INDIRECT(ADDRESS(12,3+18*2+(3),,,"J1 A - (North) Bishopthorpe Roa")&amp;":"&amp;ADDRESS(130,3+18*2+(3))),'J1 A - (North) Bishopthorpe Roa'!$A$12:$A$130,"&gt;="&amp;Diagram!$O3,'J1 A - (North) Bishopthorpe Roa'!$A$12:$A$130,"&lt;"&amp;Diagram!$P3),SUMIFS(INDIRECT(ADDRESS(12,3+18*2+(11),,,"J1 A - (North) Bishopthorpe Roa")&amp;":"&amp;ADDRESS(130,3+18*2+(11))),'J1 A - (North) Bishopthorpe Roa'!$A$12:$A$130,"&gt;="&amp;Diagram!$O3,'J1 A - (North) Bishopthorpe Roa'!$A$12:$A$130,"&lt;"&amp;Diagram!$P3)))</f>
        <v>0</v>
      </c>
      <c r="BV3" s="42">
        <f ca="1">IF(OR($I$10="",$O3="",$P3="",$J$38&lt;&gt;"Yes"),0,IF($K$10=0,SUMIFS(INDIRECT(ADDRESS(12,3+18*2+(3),,,"J1 B - Butcher Terrace")&amp;":"&amp;ADDRESS(130,3+18*2+(3))),'J1 B - Butcher Terrace'!$A$12:$A$130,"&gt;="&amp;Diagram!$O3,'J1 B - Butcher Terrace'!$A$12:$A$130,"&lt;"&amp;Diagram!$P3),SUMIFS(INDIRECT(ADDRESS(12,3+18*2+(11),,,"J1 B - Butcher Terrace")&amp;":"&amp;ADDRESS(130,3+18*2+(11))),'J1 B - Butcher Terrace'!$A$12:$A$130,"&gt;="&amp;Diagram!$O3,'J1 B - Butcher Terrace'!$A$12:$A$130,"&lt;"&amp;Diagram!$P3)))</f>
        <v>0</v>
      </c>
      <c r="BW3" s="42">
        <f ca="1">IF(OR($I$10="",$O3="",$P3="",$J$38&lt;&gt;"Yes"),0,IF($K$10=0,SUMIFS(INDIRECT(ADDRESS(12,3+18*3+(3),,,"J1 B - Butcher Terrace")&amp;":"&amp;ADDRESS(130,3+18*3+(3))),'J1 B - Butcher Terrace'!$A$12:$A$130,"&gt;="&amp;Diagram!$O3,'J1 B - Butcher Terrace'!$A$12:$A$130,"&lt;"&amp;Diagram!$P3),SUMIFS(INDIRECT(ADDRESS(12,3+18*3+(11),,,"J1 B - Butcher Terrace")&amp;":"&amp;ADDRESS(130,3+18*3+(11))),'J1 B - Butcher Terrace'!$A$12:$A$130,"&gt;="&amp;Diagram!$O3,'J1 B - Butcher Terrace'!$A$12:$A$130,"&lt;"&amp;Diagram!$P3)))</f>
        <v>0</v>
      </c>
      <c r="BX3" s="42">
        <f ca="1">IF(OR($I$10="",$O3="",$P3="",$J$38&lt;&gt;"Yes"),0,IF($K$10=0,SUMIFS(INDIRECT(ADDRESS(12,3+18*0+(3),,,"J1 B - Butcher Terrace")&amp;":"&amp;ADDRESS(130,3+18*0+(3))),'J1 B - Butcher Terrace'!$A$12:$A$130,"&gt;="&amp;Diagram!$O3,'J1 B - Butcher Terrace'!$A$12:$A$130,"&lt;"&amp;Diagram!$P3),SUMIFS(INDIRECT(ADDRESS(12,3+18*0+(11),,,"J1 B - Butcher Terrace")&amp;":"&amp;ADDRESS(130,3+18*0+(11))),'J1 B - Butcher Terrace'!$A$12:$A$130,"&gt;="&amp;Diagram!$O3,'J1 B - Butcher Terrace'!$A$12:$A$130,"&lt;"&amp;Diagram!$P3)))</f>
        <v>0</v>
      </c>
      <c r="BY3" s="42">
        <f ca="1">IF(OR($I$10="",$O3="",$P3="",$J$38&lt;&gt;"Yes"),0,IF($K$10=0,SUMIFS(INDIRECT(ADDRESS(12,3+18*1+(3),,,"J1 B - Butcher Terrace")&amp;":"&amp;ADDRESS(130,3+18*1+(3))),'J1 B - Butcher Terrace'!$A$12:$A$130,"&gt;="&amp;Diagram!$O3,'J1 B - Butcher Terrace'!$A$12:$A$130,"&lt;"&amp;Diagram!$P3),SUMIFS(INDIRECT(ADDRESS(12,3+18*1+(11),,,"J1 B - Butcher Terrace")&amp;":"&amp;ADDRESS(130,3+18*1+(11))),'J1 B - Butcher Terrace'!$A$12:$A$130,"&gt;="&amp;Diagram!$O3,'J1 B - Butcher Terrace'!$A$12:$A$130,"&lt;"&amp;Diagram!$P3)))</f>
        <v>0</v>
      </c>
      <c r="BZ3" s="42">
        <f ca="1">IF(OR($I$10="",$O3="",$P3="",$J$38&lt;&gt;"Yes"),0,IF($K$10=0,SUMIFS(INDIRECT(ADDRESS(12,3+18*1+(3),,,"J1 C - (South) Bishopthorpe Roa")&amp;":"&amp;ADDRESS(130,3+18*1+(3))),'J1 C - (South) Bishopthorpe Roa'!$A$12:$A$130,"&gt;="&amp;Diagram!$O3,'J1 C - (South) Bishopthorpe Roa'!$A$12:$A$130,"&lt;"&amp;Diagram!$P3),SUMIFS(INDIRECT(ADDRESS(12,3+18*1+(11),,,"J1 C - (South) Bishopthorpe Roa")&amp;":"&amp;ADDRESS(130,3+18*1+(11))),'J1 C - (South) Bishopthorpe Roa'!$A$12:$A$130,"&gt;="&amp;Diagram!$O3,'J1 C - (South) Bishopthorpe Roa'!$A$12:$A$130,"&lt;"&amp;Diagram!$P3)))</f>
        <v>0</v>
      </c>
      <c r="CA3" s="42">
        <f ca="1">IF(OR($I$10="",$O3="",$P3="",$J$38&lt;&gt;"Yes"),0,IF($K$10=0,SUMIFS(INDIRECT(ADDRESS(12,3+18*2+(3),,,"J1 C - (South) Bishopthorpe Roa")&amp;":"&amp;ADDRESS(130,3+18*2+(3))),'J1 C - (South) Bishopthorpe Roa'!$A$12:$A$130,"&gt;="&amp;Diagram!$O3,'J1 C - (South) Bishopthorpe Roa'!$A$12:$A$130,"&lt;"&amp;Diagram!$P3),SUMIFS(INDIRECT(ADDRESS(12,3+18*2+(11),,,"J1 C - (South) Bishopthorpe Roa")&amp;":"&amp;ADDRESS(130,3+18*2+(11))),'J1 C - (South) Bishopthorpe Roa'!$A$12:$A$130,"&gt;="&amp;Diagram!$O3,'J1 C - (South) Bishopthorpe Roa'!$A$12:$A$130,"&lt;"&amp;Diagram!$P3)))</f>
        <v>0</v>
      </c>
      <c r="CB3" s="42">
        <f ca="1">IF(OR($I$10="",$O3="",$P3="",$J$38&lt;&gt;"Yes"),0,IF($K$10=0,SUMIFS(INDIRECT(ADDRESS(12,3+18*3+(3),,,"J1 C - (South) Bishopthorpe Roa")&amp;":"&amp;ADDRESS(130,3+18*3+(3))),'J1 C - (South) Bishopthorpe Roa'!$A$12:$A$130,"&gt;="&amp;Diagram!$O3,'J1 C - (South) Bishopthorpe Roa'!$A$12:$A$130,"&lt;"&amp;Diagram!$P3),SUMIFS(INDIRECT(ADDRESS(12,3+18*3+(11),,,"J1 C - (South) Bishopthorpe Roa")&amp;":"&amp;ADDRESS(130,3+18*3+(11))),'J1 C - (South) Bishopthorpe Roa'!$A$12:$A$130,"&gt;="&amp;Diagram!$O3,'J1 C - (South) Bishopthorpe Roa'!$A$12:$A$130,"&lt;"&amp;Diagram!$P3)))</f>
        <v>0</v>
      </c>
      <c r="CC3" s="42">
        <f ca="1">IF(OR($I$10="",$O3="",$P3="",$J$38&lt;&gt;"Yes"),0,IF($K$10=0,SUMIFS(INDIRECT(ADDRESS(12,3+18*0+(3),,,"J1 C - (South) Bishopthorpe Roa")&amp;":"&amp;ADDRESS(130,3+18*0+(3))),'J1 C - (South) Bishopthorpe Roa'!$A$12:$A$130,"&gt;="&amp;Diagram!$O3,'J1 C - (South) Bishopthorpe Roa'!$A$12:$A$130,"&lt;"&amp;Diagram!$P3),SUMIFS(INDIRECT(ADDRESS(12,3+18*0+(11),,,"J1 C - (South) Bishopthorpe Roa")&amp;":"&amp;ADDRESS(130,3+18*0+(11))),'J1 C - (South) Bishopthorpe Roa'!$A$12:$A$130,"&gt;="&amp;Diagram!$O3,'J1 C - (South) Bishopthorpe Roa'!$A$12:$A$130,"&lt;"&amp;Diagram!$P3)))</f>
        <v>0</v>
      </c>
      <c r="CD3" s="42">
        <f ca="1">IF(OR($I$10="",$O3="",$P3="",$J$38&lt;&gt;"Yes"),0,IF($K$10=0,SUMIFS(INDIRECT(ADDRESS(12,3+18*0+(3),,,"J1 D - South Bank Avenue")&amp;":"&amp;ADDRESS(130,3+18*0+(3))),'J1 D - South Bank Avenue'!$A$12:$A$130,"&gt;="&amp;Diagram!$O3,'J1 D - South Bank Avenue'!$A$12:$A$130,"&lt;"&amp;Diagram!$P3),SUMIFS(INDIRECT(ADDRESS(12,3+18*0+(11),,,"J1 D - South Bank Avenue")&amp;":"&amp;ADDRESS(130,3+18*0+(11))),'J1 D - South Bank Avenue'!$A$12:$A$130,"&gt;="&amp;Diagram!$O3,'J1 D - South Bank Avenue'!$A$12:$A$130,"&lt;"&amp;Diagram!$P3)))</f>
        <v>0</v>
      </c>
      <c r="CE3" s="42">
        <f ca="1">IF(OR($I$10="",$O3="",$P3="",$J$38&lt;&gt;"Yes"),0,IF($K$10=0,SUMIFS(INDIRECT(ADDRESS(12,3+18*1+(3),,,"J1 D - South Bank Avenue")&amp;":"&amp;ADDRESS(130,3+18*1+(3))),'J1 D - South Bank Avenue'!$A$12:$A$130,"&gt;="&amp;Diagram!$O3,'J1 D - South Bank Avenue'!$A$12:$A$130,"&lt;"&amp;Diagram!$P3),SUMIFS(INDIRECT(ADDRESS(12,3+18*1+(11),,,"J1 D - South Bank Avenue")&amp;":"&amp;ADDRESS(130,3+18*1+(11))),'J1 D - South Bank Avenue'!$A$12:$A$130,"&gt;="&amp;Diagram!$O3,'J1 D - South Bank Avenue'!$A$12:$A$130,"&lt;"&amp;Diagram!$P3)))</f>
        <v>0</v>
      </c>
      <c r="CF3" s="42">
        <f ca="1">IF(OR($I$10="",$O3="",$P3="",$J$38&lt;&gt;"Yes"),0,IF($K$10=0,SUMIFS(INDIRECT(ADDRESS(12,3+18*2+(3),,,"J1 D - South Bank Avenue")&amp;":"&amp;ADDRESS(130,3+18*2+(3))),'J1 D - South Bank Avenue'!$A$12:$A$130,"&gt;="&amp;Diagram!$O3,'J1 D - South Bank Avenue'!$A$12:$A$130,"&lt;"&amp;Diagram!$P3),SUMIFS(INDIRECT(ADDRESS(12,3+18*2+(11),,,"J1 D - South Bank Avenue")&amp;":"&amp;ADDRESS(130,3+18*2+(11))),'J1 D - South Bank Avenue'!$A$12:$A$130,"&gt;="&amp;Diagram!$O3,'J1 D - South Bank Avenue'!$A$12:$A$130,"&lt;"&amp;Diagram!$P3)))</f>
        <v>0</v>
      </c>
      <c r="CG3" s="42">
        <f ca="1">IF(OR($I$10="",$O3="",$P3="",$J$38&lt;&gt;"Yes"),0,IF($K$10=0,SUMIFS(INDIRECT(ADDRESS(12,3+18*3+(3),,,"J1 D - South Bank Avenue")&amp;":"&amp;ADDRESS(130,3+18*3+(3))),'J1 D - South Bank Avenue'!$A$12:$A$130,"&gt;="&amp;Diagram!$O3,'J1 D - South Bank Avenue'!$A$12:$A$130,"&lt;"&amp;Diagram!$P3),SUMIFS(INDIRECT(ADDRESS(12,3+18*3+(11),,,"J1 D - South Bank Avenue")&amp;":"&amp;ADDRESS(130,3+18*3+(11))),'J1 D - South Bank Avenue'!$A$12:$A$130,"&gt;="&amp;Diagram!$O3,'J1 D - South Bank Avenue'!$A$12:$A$130,"&lt;"&amp;Diagram!$P3)))</f>
        <v>0</v>
      </c>
      <c r="CH3" s="42">
        <f t="shared" ca="1" si="5"/>
        <v>0</v>
      </c>
      <c r="CI3" s="42">
        <f ca="1">IF(OR($I$10="",$O3="",$P3="",$J$39&lt;&gt;"Yes"),0,IF($K$10=0,SUMIFS(INDIRECT(ADDRESS(12,3+18*3+(4),,,"J1 A - (North) Bishopthorpe Roa")&amp;":"&amp;ADDRESS(130,3+18*3+(4))),'J1 A - (North) Bishopthorpe Roa'!$A$12:$A$130,"&gt;="&amp;Diagram!$O3,'J1 A - (North) Bishopthorpe Roa'!$A$12:$A$130,"&lt;"&amp;Diagram!$P3),SUMIFS(INDIRECT(ADDRESS(12,3+18*3+(12),,,"J1 A - (North) Bishopthorpe Roa")&amp;":"&amp;ADDRESS(130,3+18*3+(12))),'J1 A - (North) Bishopthorpe Roa'!$A$12:$A$130,"&gt;="&amp;Diagram!$O3,'J1 A - (North) Bishopthorpe Roa'!$A$12:$A$130,"&lt;"&amp;Diagram!$P3)))</f>
        <v>0</v>
      </c>
      <c r="CJ3" s="42">
        <f ca="1">IF(OR($I$10="",$O3="",$P3="",$J$39&lt;&gt;"Yes"),0,IF($K$10=0,SUMIFS(INDIRECT(ADDRESS(12,3+18*0+(4),,,"J1 A - (North) Bishopthorpe Roa")&amp;":"&amp;ADDRESS(130,3+18*0+(4))),'J1 A - (North) Bishopthorpe Roa'!$A$12:$A$130,"&gt;="&amp;Diagram!$O3,'J1 A - (North) Bishopthorpe Roa'!$A$12:$A$130,"&lt;"&amp;Diagram!$P3),SUMIFS(INDIRECT(ADDRESS(12,3+18*0+(12),,,"J1 A - (North) Bishopthorpe Roa")&amp;":"&amp;ADDRESS(130,3+18*0+(12))),'J1 A - (North) Bishopthorpe Roa'!$A$12:$A$130,"&gt;="&amp;Diagram!$O3,'J1 A - (North) Bishopthorpe Roa'!$A$12:$A$130,"&lt;"&amp;Diagram!$P3)))</f>
        <v>0</v>
      </c>
      <c r="CK3" s="42">
        <f ca="1">IF(OR($I$10="",$O3="",$P3="",$J$39&lt;&gt;"Yes"),0,IF($K$10=0,SUMIFS(INDIRECT(ADDRESS(12,3+18*1+(4),,,"J1 A - (North) Bishopthorpe Roa")&amp;":"&amp;ADDRESS(130,3+18*1+(4))),'J1 A - (North) Bishopthorpe Roa'!$A$12:$A$130,"&gt;="&amp;Diagram!$O3,'J1 A - (North) Bishopthorpe Roa'!$A$12:$A$130,"&lt;"&amp;Diagram!$P3),SUMIFS(INDIRECT(ADDRESS(12,3+18*1+(12),,,"J1 A - (North) Bishopthorpe Roa")&amp;":"&amp;ADDRESS(130,3+18*1+(12))),'J1 A - (North) Bishopthorpe Roa'!$A$12:$A$130,"&gt;="&amp;Diagram!$O3,'J1 A - (North) Bishopthorpe Roa'!$A$12:$A$130,"&lt;"&amp;Diagram!$P3)))</f>
        <v>0</v>
      </c>
      <c r="CL3" s="42">
        <f ca="1">IF(OR($I$10="",$O3="",$P3="",$J$39&lt;&gt;"Yes"),0,IF($K$10=0,SUMIFS(INDIRECT(ADDRESS(12,3+18*2+(4),,,"J1 A - (North) Bishopthorpe Roa")&amp;":"&amp;ADDRESS(130,3+18*2+(4))),'J1 A - (North) Bishopthorpe Roa'!$A$12:$A$130,"&gt;="&amp;Diagram!$O3,'J1 A - (North) Bishopthorpe Roa'!$A$12:$A$130,"&lt;"&amp;Diagram!$P3),SUMIFS(INDIRECT(ADDRESS(12,3+18*2+(12),,,"J1 A - (North) Bishopthorpe Roa")&amp;":"&amp;ADDRESS(130,3+18*2+(12))),'J1 A - (North) Bishopthorpe Roa'!$A$12:$A$130,"&gt;="&amp;Diagram!$O3,'J1 A - (North) Bishopthorpe Roa'!$A$12:$A$130,"&lt;"&amp;Diagram!$P3)))</f>
        <v>0</v>
      </c>
      <c r="CM3" s="42">
        <f ca="1">IF(OR($I$10="",$O3="",$P3="",$J$39&lt;&gt;"Yes"),0,IF($K$10=0,SUMIFS(INDIRECT(ADDRESS(12,3+18*2+(4),,,"J1 B - Butcher Terrace")&amp;":"&amp;ADDRESS(130,3+18*2+(4))),'J1 B - Butcher Terrace'!$A$12:$A$130,"&gt;="&amp;Diagram!$O3,'J1 B - Butcher Terrace'!$A$12:$A$130,"&lt;"&amp;Diagram!$P3),SUMIFS(INDIRECT(ADDRESS(12,3+18*2+(12),,,"J1 B - Butcher Terrace")&amp;":"&amp;ADDRESS(130,3+18*2+(12))),'J1 B - Butcher Terrace'!$A$12:$A$130,"&gt;="&amp;Diagram!$O3,'J1 B - Butcher Terrace'!$A$12:$A$130,"&lt;"&amp;Diagram!$P3)))</f>
        <v>0</v>
      </c>
      <c r="CN3" s="42">
        <f ca="1">IF(OR($I$10="",$O3="",$P3="",$J$39&lt;&gt;"Yes"),0,IF($K$10=0,SUMIFS(INDIRECT(ADDRESS(12,3+18*3+(4),,,"J1 B - Butcher Terrace")&amp;":"&amp;ADDRESS(130,3+18*3+(4))),'J1 B - Butcher Terrace'!$A$12:$A$130,"&gt;="&amp;Diagram!$O3,'J1 B - Butcher Terrace'!$A$12:$A$130,"&lt;"&amp;Diagram!$P3),SUMIFS(INDIRECT(ADDRESS(12,3+18*3+(12),,,"J1 B - Butcher Terrace")&amp;":"&amp;ADDRESS(130,3+18*3+(12))),'J1 B - Butcher Terrace'!$A$12:$A$130,"&gt;="&amp;Diagram!$O3,'J1 B - Butcher Terrace'!$A$12:$A$130,"&lt;"&amp;Diagram!$P3)))</f>
        <v>0</v>
      </c>
      <c r="CO3" s="42">
        <f ca="1">IF(OR($I$10="",$O3="",$P3="",$J$39&lt;&gt;"Yes"),0,IF($K$10=0,SUMIFS(INDIRECT(ADDRESS(12,3+18*0+(4),,,"J1 B - Butcher Terrace")&amp;":"&amp;ADDRESS(130,3+18*0+(4))),'J1 B - Butcher Terrace'!$A$12:$A$130,"&gt;="&amp;Diagram!$O3,'J1 B - Butcher Terrace'!$A$12:$A$130,"&lt;"&amp;Diagram!$P3),SUMIFS(INDIRECT(ADDRESS(12,3+18*0+(12),,,"J1 B - Butcher Terrace")&amp;":"&amp;ADDRESS(130,3+18*0+(12))),'J1 B - Butcher Terrace'!$A$12:$A$130,"&gt;="&amp;Diagram!$O3,'J1 B - Butcher Terrace'!$A$12:$A$130,"&lt;"&amp;Diagram!$P3)))</f>
        <v>0</v>
      </c>
      <c r="CP3" s="42">
        <f ca="1">IF(OR($I$10="",$O3="",$P3="",$J$39&lt;&gt;"Yes"),0,IF($K$10=0,SUMIFS(INDIRECT(ADDRESS(12,3+18*1+(4),,,"J1 B - Butcher Terrace")&amp;":"&amp;ADDRESS(130,3+18*1+(4))),'J1 B - Butcher Terrace'!$A$12:$A$130,"&gt;="&amp;Diagram!$O3,'J1 B - Butcher Terrace'!$A$12:$A$130,"&lt;"&amp;Diagram!$P3),SUMIFS(INDIRECT(ADDRESS(12,3+18*1+(12),,,"J1 B - Butcher Terrace")&amp;":"&amp;ADDRESS(130,3+18*1+(12))),'J1 B - Butcher Terrace'!$A$12:$A$130,"&gt;="&amp;Diagram!$O3,'J1 B - Butcher Terrace'!$A$12:$A$130,"&lt;"&amp;Diagram!$P3)))</f>
        <v>0</v>
      </c>
      <c r="CQ3" s="42">
        <f ca="1">IF(OR($I$10="",$O3="",$P3="",$J$39&lt;&gt;"Yes"),0,IF($K$10=0,SUMIFS(INDIRECT(ADDRESS(12,3+18*1+(4),,,"J1 C - (South) Bishopthorpe Roa")&amp;":"&amp;ADDRESS(130,3+18*1+(4))),'J1 C - (South) Bishopthorpe Roa'!$A$12:$A$130,"&gt;="&amp;Diagram!$O3,'J1 C - (South) Bishopthorpe Roa'!$A$12:$A$130,"&lt;"&amp;Diagram!$P3),SUMIFS(INDIRECT(ADDRESS(12,3+18*1+(12),,,"J1 C - (South) Bishopthorpe Roa")&amp;":"&amp;ADDRESS(130,3+18*1+(12))),'J1 C - (South) Bishopthorpe Roa'!$A$12:$A$130,"&gt;="&amp;Diagram!$O3,'J1 C - (South) Bishopthorpe Roa'!$A$12:$A$130,"&lt;"&amp;Diagram!$P3)))</f>
        <v>0</v>
      </c>
      <c r="CR3" s="42">
        <f ca="1">IF(OR($I$10="",$O3="",$P3="",$J$39&lt;&gt;"Yes"),0,IF($K$10=0,SUMIFS(INDIRECT(ADDRESS(12,3+18*2+(4),,,"J1 C - (South) Bishopthorpe Roa")&amp;":"&amp;ADDRESS(130,3+18*2+(4))),'J1 C - (South) Bishopthorpe Roa'!$A$12:$A$130,"&gt;="&amp;Diagram!$O3,'J1 C - (South) Bishopthorpe Roa'!$A$12:$A$130,"&lt;"&amp;Diagram!$P3),SUMIFS(INDIRECT(ADDRESS(12,3+18*2+(12),,,"J1 C - (South) Bishopthorpe Roa")&amp;":"&amp;ADDRESS(130,3+18*2+(12))),'J1 C - (South) Bishopthorpe Roa'!$A$12:$A$130,"&gt;="&amp;Diagram!$O3,'J1 C - (South) Bishopthorpe Roa'!$A$12:$A$130,"&lt;"&amp;Diagram!$P3)))</f>
        <v>0</v>
      </c>
      <c r="CS3" s="42">
        <f ca="1">IF(OR($I$10="",$O3="",$P3="",$J$39&lt;&gt;"Yes"),0,IF($K$10=0,SUMIFS(INDIRECT(ADDRESS(12,3+18*3+(4),,,"J1 C - (South) Bishopthorpe Roa")&amp;":"&amp;ADDRESS(130,3+18*3+(4))),'J1 C - (South) Bishopthorpe Roa'!$A$12:$A$130,"&gt;="&amp;Diagram!$O3,'J1 C - (South) Bishopthorpe Roa'!$A$12:$A$130,"&lt;"&amp;Diagram!$P3),SUMIFS(INDIRECT(ADDRESS(12,3+18*3+(12),,,"J1 C - (South) Bishopthorpe Roa")&amp;":"&amp;ADDRESS(130,3+18*3+(12))),'J1 C - (South) Bishopthorpe Roa'!$A$12:$A$130,"&gt;="&amp;Diagram!$O3,'J1 C - (South) Bishopthorpe Roa'!$A$12:$A$130,"&lt;"&amp;Diagram!$P3)))</f>
        <v>0</v>
      </c>
      <c r="CT3" s="42">
        <f ca="1">IF(OR($I$10="",$O3="",$P3="",$J$39&lt;&gt;"Yes"),0,IF($K$10=0,SUMIFS(INDIRECT(ADDRESS(12,3+18*0+(4),,,"J1 C - (South) Bishopthorpe Roa")&amp;":"&amp;ADDRESS(130,3+18*0+(4))),'J1 C - (South) Bishopthorpe Roa'!$A$12:$A$130,"&gt;="&amp;Diagram!$O3,'J1 C - (South) Bishopthorpe Roa'!$A$12:$A$130,"&lt;"&amp;Diagram!$P3),SUMIFS(INDIRECT(ADDRESS(12,3+18*0+(12),,,"J1 C - (South) Bishopthorpe Roa")&amp;":"&amp;ADDRESS(130,3+18*0+(12))),'J1 C - (South) Bishopthorpe Roa'!$A$12:$A$130,"&gt;="&amp;Diagram!$O3,'J1 C - (South) Bishopthorpe Roa'!$A$12:$A$130,"&lt;"&amp;Diagram!$P3)))</f>
        <v>0</v>
      </c>
      <c r="CU3" s="42">
        <f ca="1">IF(OR($I$10="",$O3="",$P3="",$J$39&lt;&gt;"Yes"),0,IF($K$10=0,SUMIFS(INDIRECT(ADDRESS(12,3+18*0+(4),,,"J1 D - South Bank Avenue")&amp;":"&amp;ADDRESS(130,3+18*0+(4))),'J1 D - South Bank Avenue'!$A$12:$A$130,"&gt;="&amp;Diagram!$O3,'J1 D - South Bank Avenue'!$A$12:$A$130,"&lt;"&amp;Diagram!$P3),SUMIFS(INDIRECT(ADDRESS(12,3+18*0+(12),,,"J1 D - South Bank Avenue")&amp;":"&amp;ADDRESS(130,3+18*0+(12))),'J1 D - South Bank Avenue'!$A$12:$A$130,"&gt;="&amp;Diagram!$O3,'J1 D - South Bank Avenue'!$A$12:$A$130,"&lt;"&amp;Diagram!$P3)))</f>
        <v>0</v>
      </c>
      <c r="CV3" s="42">
        <f ca="1">IF(OR($I$10="",$O3="",$P3="",$J$39&lt;&gt;"Yes"),0,IF($K$10=0,SUMIFS(INDIRECT(ADDRESS(12,3+18*1+(4),,,"J1 D - South Bank Avenue")&amp;":"&amp;ADDRESS(130,3+18*1+(4))),'J1 D - South Bank Avenue'!$A$12:$A$130,"&gt;="&amp;Diagram!$O3,'J1 D - South Bank Avenue'!$A$12:$A$130,"&lt;"&amp;Diagram!$P3),SUMIFS(INDIRECT(ADDRESS(12,3+18*1+(12),,,"J1 D - South Bank Avenue")&amp;":"&amp;ADDRESS(130,3+18*1+(12))),'J1 D - South Bank Avenue'!$A$12:$A$130,"&gt;="&amp;Diagram!$O3,'J1 D - South Bank Avenue'!$A$12:$A$130,"&lt;"&amp;Diagram!$P3)))</f>
        <v>0</v>
      </c>
      <c r="CW3" s="42">
        <f ca="1">IF(OR($I$10="",$O3="",$P3="",$J$39&lt;&gt;"Yes"),0,IF($K$10=0,SUMIFS(INDIRECT(ADDRESS(12,3+18*2+(4),,,"J1 D - South Bank Avenue")&amp;":"&amp;ADDRESS(130,3+18*2+(4))),'J1 D - South Bank Avenue'!$A$12:$A$130,"&gt;="&amp;Diagram!$O3,'J1 D - South Bank Avenue'!$A$12:$A$130,"&lt;"&amp;Diagram!$P3),SUMIFS(INDIRECT(ADDRESS(12,3+18*2+(12),,,"J1 D - South Bank Avenue")&amp;":"&amp;ADDRESS(130,3+18*2+(12))),'J1 D - South Bank Avenue'!$A$12:$A$130,"&gt;="&amp;Diagram!$O3,'J1 D - South Bank Avenue'!$A$12:$A$130,"&lt;"&amp;Diagram!$P3)))</f>
        <v>0</v>
      </c>
      <c r="CX3" s="42">
        <f ca="1">IF(OR($I$10="",$O3="",$P3="",$J$39&lt;&gt;"Yes"),0,IF($K$10=0,SUMIFS(INDIRECT(ADDRESS(12,3+18*3+(4),,,"J1 D - South Bank Avenue")&amp;":"&amp;ADDRESS(130,3+18*3+(4))),'J1 D - South Bank Avenue'!$A$12:$A$130,"&gt;="&amp;Diagram!$O3,'J1 D - South Bank Avenue'!$A$12:$A$130,"&lt;"&amp;Diagram!$P3),SUMIFS(INDIRECT(ADDRESS(12,3+18*3+(12),,,"J1 D - South Bank Avenue")&amp;":"&amp;ADDRESS(130,3+18*3+(12))),'J1 D - South Bank Avenue'!$A$12:$A$130,"&gt;="&amp;Diagram!$O3,'J1 D - South Bank Avenue'!$A$12:$A$130,"&lt;"&amp;Diagram!$P3)))</f>
        <v>0</v>
      </c>
      <c r="CY3" s="42">
        <f t="shared" ca="1" si="6"/>
        <v>8</v>
      </c>
      <c r="CZ3" s="42">
        <f ca="1">IF(OR($I$10="",$O3="",$P3="",$J$40&lt;&gt;"Yes"),0,IF($K$10=0,SUMIFS(INDIRECT(ADDRESS(12,3+18*3+(5),,,"J1 A - (North) Bishopthorpe Roa")&amp;":"&amp;ADDRESS(130,3+18*3+(5))),'J1 A - (North) Bishopthorpe Roa'!$A$12:$A$130,"&gt;="&amp;Diagram!$O3,'J1 A - (North) Bishopthorpe Roa'!$A$12:$A$130,"&lt;"&amp;Diagram!$P3),SUMIFS(INDIRECT(ADDRESS(12,3+18*3+(13),,,"J1 A - (North) Bishopthorpe Roa")&amp;":"&amp;ADDRESS(130,3+18*3+(13))),'J1 A - (North) Bishopthorpe Roa'!$A$12:$A$130,"&gt;="&amp;Diagram!$O3,'J1 A - (North) Bishopthorpe Roa'!$A$12:$A$130,"&lt;"&amp;Diagram!$P3)))</f>
        <v>0</v>
      </c>
      <c r="DA3" s="42">
        <f ca="1">IF(OR($I$10="",$O3="",$P3="",$J$40&lt;&gt;"Yes"),0,IF($K$10=0,SUMIFS(INDIRECT(ADDRESS(12,3+18*0+(5),,,"J1 A - (North) Bishopthorpe Roa")&amp;":"&amp;ADDRESS(130,3+18*0+(5))),'J1 A - (North) Bishopthorpe Roa'!$A$12:$A$130,"&gt;="&amp;Diagram!$O3,'J1 A - (North) Bishopthorpe Roa'!$A$12:$A$130,"&lt;"&amp;Diagram!$P3),SUMIFS(INDIRECT(ADDRESS(12,3+18*0+(13),,,"J1 A - (North) Bishopthorpe Roa")&amp;":"&amp;ADDRESS(130,3+18*0+(13))),'J1 A - (North) Bishopthorpe Roa'!$A$12:$A$130,"&gt;="&amp;Diagram!$O3,'J1 A - (North) Bishopthorpe Roa'!$A$12:$A$130,"&lt;"&amp;Diagram!$P3)))</f>
        <v>0</v>
      </c>
      <c r="DB3" s="42">
        <f ca="1">IF(OR($I$10="",$O3="",$P3="",$J$40&lt;&gt;"Yes"),0,IF($K$10=0,SUMIFS(INDIRECT(ADDRESS(12,3+18*1+(5),,,"J1 A - (North) Bishopthorpe Roa")&amp;":"&amp;ADDRESS(130,3+18*1+(5))),'J1 A - (North) Bishopthorpe Roa'!$A$12:$A$130,"&gt;="&amp;Diagram!$O3,'J1 A - (North) Bishopthorpe Roa'!$A$12:$A$130,"&lt;"&amp;Diagram!$P3),SUMIFS(INDIRECT(ADDRESS(12,3+18*1+(13),,,"J1 A - (North) Bishopthorpe Roa")&amp;":"&amp;ADDRESS(130,3+18*1+(13))),'J1 A - (North) Bishopthorpe Roa'!$A$12:$A$130,"&gt;="&amp;Diagram!$O3,'J1 A - (North) Bishopthorpe Roa'!$A$12:$A$130,"&lt;"&amp;Diagram!$P3)))</f>
        <v>5</v>
      </c>
      <c r="DC3" s="42">
        <f ca="1">IF(OR($I$10="",$O3="",$P3="",$J$40&lt;&gt;"Yes"),0,IF($K$10=0,SUMIFS(INDIRECT(ADDRESS(12,3+18*2+(5),,,"J1 A - (North) Bishopthorpe Roa")&amp;":"&amp;ADDRESS(130,3+18*2+(5))),'J1 A - (North) Bishopthorpe Roa'!$A$12:$A$130,"&gt;="&amp;Diagram!$O3,'J1 A - (North) Bishopthorpe Roa'!$A$12:$A$130,"&lt;"&amp;Diagram!$P3),SUMIFS(INDIRECT(ADDRESS(12,3+18*2+(13),,,"J1 A - (North) Bishopthorpe Roa")&amp;":"&amp;ADDRESS(130,3+18*2+(13))),'J1 A - (North) Bishopthorpe Roa'!$A$12:$A$130,"&gt;="&amp;Diagram!$O3,'J1 A - (North) Bishopthorpe Roa'!$A$12:$A$130,"&lt;"&amp;Diagram!$P3)))</f>
        <v>2</v>
      </c>
      <c r="DD3" s="42">
        <f ca="1">IF(OR($I$10="",$O3="",$P3="",$J$40&lt;&gt;"Yes"),0,IF($K$10=0,SUMIFS(INDIRECT(ADDRESS(12,3+18*2+(5),,,"J1 B - Butcher Terrace")&amp;":"&amp;ADDRESS(130,3+18*2+(5))),'J1 B - Butcher Terrace'!$A$12:$A$130,"&gt;="&amp;Diagram!$O3,'J1 B - Butcher Terrace'!$A$12:$A$130,"&lt;"&amp;Diagram!$P3),SUMIFS(INDIRECT(ADDRESS(12,3+18*2+(13),,,"J1 B - Butcher Terrace")&amp;":"&amp;ADDRESS(130,3+18*2+(13))),'J1 B - Butcher Terrace'!$A$12:$A$130,"&gt;="&amp;Diagram!$O3,'J1 B - Butcher Terrace'!$A$12:$A$130,"&lt;"&amp;Diagram!$P3)))</f>
        <v>0</v>
      </c>
      <c r="DE3" s="42">
        <f ca="1">IF(OR($I$10="",$O3="",$P3="",$J$40&lt;&gt;"Yes"),0,IF($K$10=0,SUMIFS(INDIRECT(ADDRESS(12,3+18*3+(5),,,"J1 B - Butcher Terrace")&amp;":"&amp;ADDRESS(130,3+18*3+(5))),'J1 B - Butcher Terrace'!$A$12:$A$130,"&gt;="&amp;Diagram!$O3,'J1 B - Butcher Terrace'!$A$12:$A$130,"&lt;"&amp;Diagram!$P3),SUMIFS(INDIRECT(ADDRESS(12,3+18*3+(13),,,"J1 B - Butcher Terrace")&amp;":"&amp;ADDRESS(130,3+18*3+(13))),'J1 B - Butcher Terrace'!$A$12:$A$130,"&gt;="&amp;Diagram!$O3,'J1 B - Butcher Terrace'!$A$12:$A$130,"&lt;"&amp;Diagram!$P3)))</f>
        <v>0</v>
      </c>
      <c r="DF3" s="42">
        <f ca="1">IF(OR($I$10="",$O3="",$P3="",$J$40&lt;&gt;"Yes"),0,IF($K$10=0,SUMIFS(INDIRECT(ADDRESS(12,3+18*0+(5),,,"J1 B - Butcher Terrace")&amp;":"&amp;ADDRESS(130,3+18*0+(5))),'J1 B - Butcher Terrace'!$A$12:$A$130,"&gt;="&amp;Diagram!$O3,'J1 B - Butcher Terrace'!$A$12:$A$130,"&lt;"&amp;Diagram!$P3),SUMIFS(INDIRECT(ADDRESS(12,3+18*0+(13),,,"J1 B - Butcher Terrace")&amp;":"&amp;ADDRESS(130,3+18*0+(13))),'J1 B - Butcher Terrace'!$A$12:$A$130,"&gt;="&amp;Diagram!$O3,'J1 B - Butcher Terrace'!$A$12:$A$130,"&lt;"&amp;Diagram!$P3)))</f>
        <v>0</v>
      </c>
      <c r="DG3" s="42">
        <f ca="1">IF(OR($I$10="",$O3="",$P3="",$J$40&lt;&gt;"Yes"),0,IF($K$10=0,SUMIFS(INDIRECT(ADDRESS(12,3+18*1+(5),,,"J1 B - Butcher Terrace")&amp;":"&amp;ADDRESS(130,3+18*1+(5))),'J1 B - Butcher Terrace'!$A$12:$A$130,"&gt;="&amp;Diagram!$O3,'J1 B - Butcher Terrace'!$A$12:$A$130,"&lt;"&amp;Diagram!$P3),SUMIFS(INDIRECT(ADDRESS(12,3+18*1+(13),,,"J1 B - Butcher Terrace")&amp;":"&amp;ADDRESS(130,3+18*1+(13))),'J1 B - Butcher Terrace'!$A$12:$A$130,"&gt;="&amp;Diagram!$O3,'J1 B - Butcher Terrace'!$A$12:$A$130,"&lt;"&amp;Diagram!$P3)))</f>
        <v>1</v>
      </c>
      <c r="DH3" s="42">
        <f ca="1">IF(OR($I$10="",$O3="",$P3="",$J$40&lt;&gt;"Yes"),0,IF($K$10=0,SUMIFS(INDIRECT(ADDRESS(12,3+18*1+(5),,,"J1 C - (South) Bishopthorpe Roa")&amp;":"&amp;ADDRESS(130,3+18*1+(5))),'J1 C - (South) Bishopthorpe Roa'!$A$12:$A$130,"&gt;="&amp;Diagram!$O3,'J1 C - (South) Bishopthorpe Roa'!$A$12:$A$130,"&lt;"&amp;Diagram!$P3),SUMIFS(INDIRECT(ADDRESS(12,3+18*1+(13),,,"J1 C - (South) Bishopthorpe Roa")&amp;":"&amp;ADDRESS(130,3+18*1+(13))),'J1 C - (South) Bishopthorpe Roa'!$A$12:$A$130,"&gt;="&amp;Diagram!$O3,'J1 C - (South) Bishopthorpe Roa'!$A$12:$A$130,"&lt;"&amp;Diagram!$P3)))</f>
        <v>0</v>
      </c>
      <c r="DI3" s="42">
        <f ca="1">IF(OR($I$10="",$O3="",$P3="",$J$40&lt;&gt;"Yes"),0,IF($K$10=0,SUMIFS(INDIRECT(ADDRESS(12,3+18*2+(5),,,"J1 C - (South) Bishopthorpe Roa")&amp;":"&amp;ADDRESS(130,3+18*2+(5))),'J1 C - (South) Bishopthorpe Roa'!$A$12:$A$130,"&gt;="&amp;Diagram!$O3,'J1 C - (South) Bishopthorpe Roa'!$A$12:$A$130,"&lt;"&amp;Diagram!$P3),SUMIFS(INDIRECT(ADDRESS(12,3+18*2+(13),,,"J1 C - (South) Bishopthorpe Roa")&amp;":"&amp;ADDRESS(130,3+18*2+(13))),'J1 C - (South) Bishopthorpe Roa'!$A$12:$A$130,"&gt;="&amp;Diagram!$O3,'J1 C - (South) Bishopthorpe Roa'!$A$12:$A$130,"&lt;"&amp;Diagram!$P3)))</f>
        <v>0</v>
      </c>
      <c r="DJ3" s="42">
        <f ca="1">IF(OR($I$10="",$O3="",$P3="",$J$40&lt;&gt;"Yes"),0,IF($K$10=0,SUMIFS(INDIRECT(ADDRESS(12,3+18*3+(5),,,"J1 C - (South) Bishopthorpe Roa")&amp;":"&amp;ADDRESS(130,3+18*3+(5))),'J1 C - (South) Bishopthorpe Roa'!$A$12:$A$130,"&gt;="&amp;Diagram!$O3,'J1 C - (South) Bishopthorpe Roa'!$A$12:$A$130,"&lt;"&amp;Diagram!$P3),SUMIFS(INDIRECT(ADDRESS(12,3+18*3+(13),,,"J1 C - (South) Bishopthorpe Roa")&amp;":"&amp;ADDRESS(130,3+18*3+(13))),'J1 C - (South) Bishopthorpe Roa'!$A$12:$A$130,"&gt;="&amp;Diagram!$O3,'J1 C - (South) Bishopthorpe Roa'!$A$12:$A$130,"&lt;"&amp;Diagram!$P3)))</f>
        <v>0</v>
      </c>
      <c r="DK3" s="42">
        <f ca="1">IF(OR($I$10="",$O3="",$P3="",$J$40&lt;&gt;"Yes"),0,IF($K$10=0,SUMIFS(INDIRECT(ADDRESS(12,3+18*0+(5),,,"J1 C - (South) Bishopthorpe Roa")&amp;":"&amp;ADDRESS(130,3+18*0+(5))),'J1 C - (South) Bishopthorpe Roa'!$A$12:$A$130,"&gt;="&amp;Diagram!$O3,'J1 C - (South) Bishopthorpe Roa'!$A$12:$A$130,"&lt;"&amp;Diagram!$P3),SUMIFS(INDIRECT(ADDRESS(12,3+18*0+(13),,,"J1 C - (South) Bishopthorpe Roa")&amp;":"&amp;ADDRESS(130,3+18*0+(13))),'J1 C - (South) Bishopthorpe Roa'!$A$12:$A$130,"&gt;="&amp;Diagram!$O3,'J1 C - (South) Bishopthorpe Roa'!$A$12:$A$130,"&lt;"&amp;Diagram!$P3)))</f>
        <v>0</v>
      </c>
      <c r="DL3" s="42">
        <f ca="1">IF(OR($I$10="",$O3="",$P3="",$J$40&lt;&gt;"Yes"),0,IF($K$10=0,SUMIFS(INDIRECT(ADDRESS(12,3+18*0+(5),,,"J1 D - South Bank Avenue")&amp;":"&amp;ADDRESS(130,3+18*0+(5))),'J1 D - South Bank Avenue'!$A$12:$A$130,"&gt;="&amp;Diagram!$O3,'J1 D - South Bank Avenue'!$A$12:$A$130,"&lt;"&amp;Diagram!$P3),SUMIFS(INDIRECT(ADDRESS(12,3+18*0+(13),,,"J1 D - South Bank Avenue")&amp;":"&amp;ADDRESS(130,3+18*0+(13))),'J1 D - South Bank Avenue'!$A$12:$A$130,"&gt;="&amp;Diagram!$O3,'J1 D - South Bank Avenue'!$A$12:$A$130,"&lt;"&amp;Diagram!$P3)))</f>
        <v>0</v>
      </c>
      <c r="DM3" s="42">
        <f ca="1">IF(OR($I$10="",$O3="",$P3="",$J$40&lt;&gt;"Yes"),0,IF($K$10=0,SUMIFS(INDIRECT(ADDRESS(12,3+18*1+(5),,,"J1 D - South Bank Avenue")&amp;":"&amp;ADDRESS(130,3+18*1+(5))),'J1 D - South Bank Avenue'!$A$12:$A$130,"&gt;="&amp;Diagram!$O3,'J1 D - South Bank Avenue'!$A$12:$A$130,"&lt;"&amp;Diagram!$P3),SUMIFS(INDIRECT(ADDRESS(12,3+18*1+(13),,,"J1 D - South Bank Avenue")&amp;":"&amp;ADDRESS(130,3+18*1+(13))),'J1 D - South Bank Avenue'!$A$12:$A$130,"&gt;="&amp;Diagram!$O3,'J1 D - South Bank Avenue'!$A$12:$A$130,"&lt;"&amp;Diagram!$P3)))</f>
        <v>0</v>
      </c>
      <c r="DN3" s="42">
        <f ca="1">IF(OR($I$10="",$O3="",$P3="",$J$40&lt;&gt;"Yes"),0,IF($K$10=0,SUMIFS(INDIRECT(ADDRESS(12,3+18*2+(5),,,"J1 D - South Bank Avenue")&amp;":"&amp;ADDRESS(130,3+18*2+(5))),'J1 D - South Bank Avenue'!$A$12:$A$130,"&gt;="&amp;Diagram!$O3,'J1 D - South Bank Avenue'!$A$12:$A$130,"&lt;"&amp;Diagram!$P3),SUMIFS(INDIRECT(ADDRESS(12,3+18*2+(13),,,"J1 D - South Bank Avenue")&amp;":"&amp;ADDRESS(130,3+18*2+(13))),'J1 D - South Bank Avenue'!$A$12:$A$130,"&gt;="&amp;Diagram!$O3,'J1 D - South Bank Avenue'!$A$12:$A$130,"&lt;"&amp;Diagram!$P3)))</f>
        <v>0</v>
      </c>
      <c r="DO3" s="42">
        <f ca="1">IF(OR($I$10="",$O3="",$P3="",$J$40&lt;&gt;"Yes"),0,IF($K$10=0,SUMIFS(INDIRECT(ADDRESS(12,3+18*3+(5),,,"J1 D - South Bank Avenue")&amp;":"&amp;ADDRESS(130,3+18*3+(5))),'J1 D - South Bank Avenue'!$A$12:$A$130,"&gt;="&amp;Diagram!$O3,'J1 D - South Bank Avenue'!$A$12:$A$130,"&lt;"&amp;Diagram!$P3),SUMIFS(INDIRECT(ADDRESS(12,3+18*3+(13),,,"J1 D - South Bank Avenue")&amp;":"&amp;ADDRESS(130,3+18*3+(13))),'J1 D - South Bank Avenue'!$A$12:$A$130,"&gt;="&amp;Diagram!$O3,'J1 D - South Bank Avenue'!$A$12:$A$130,"&lt;"&amp;Diagram!$P3)))</f>
        <v>0</v>
      </c>
      <c r="DP3" s="42">
        <f t="shared" ca="1" si="7"/>
        <v>1</v>
      </c>
      <c r="DQ3" s="42">
        <f ca="1">IF(OR($I$10="",$O3="",$P3="",$J$41&lt;&gt;"Yes"),0,IF($K$10=0,SUMIFS(INDIRECT(ADDRESS(12,3+18*3+(6),,,"J1 A - (North) Bishopthorpe Roa")&amp;":"&amp;ADDRESS(130,3+18*3+(6))),'J1 A - (North) Bishopthorpe Roa'!$A$12:$A$130,"&gt;="&amp;Diagram!$O3,'J1 A - (North) Bishopthorpe Roa'!$A$12:$A$130,"&lt;"&amp;Diagram!$P3),SUMIFS(INDIRECT(ADDRESS(12,3+18*3+(14),,,"J1 A - (North) Bishopthorpe Roa")&amp;":"&amp;ADDRESS(130,3+18*3+(14))),'J1 A - (North) Bishopthorpe Roa'!$A$12:$A$130,"&gt;="&amp;Diagram!$O3,'J1 A - (North) Bishopthorpe Roa'!$A$12:$A$130,"&lt;"&amp;Diagram!$P3)))</f>
        <v>0</v>
      </c>
      <c r="DR3" s="42">
        <f ca="1">IF(OR($I$10="",$O3="",$P3="",$J$41&lt;&gt;"Yes"),0,IF($K$10=0,SUMIFS(INDIRECT(ADDRESS(12,3+18*0+(6),,,"J1 A - (North) Bishopthorpe Roa")&amp;":"&amp;ADDRESS(130,3+18*0+(6))),'J1 A - (North) Bishopthorpe Roa'!$A$12:$A$130,"&gt;="&amp;Diagram!$O3,'J1 A - (North) Bishopthorpe Roa'!$A$12:$A$130,"&lt;"&amp;Diagram!$P3),SUMIFS(INDIRECT(ADDRESS(12,3+18*0+(14),,,"J1 A - (North) Bishopthorpe Roa")&amp;":"&amp;ADDRESS(130,3+18*0+(14))),'J1 A - (North) Bishopthorpe Roa'!$A$12:$A$130,"&gt;="&amp;Diagram!$O3,'J1 A - (North) Bishopthorpe Roa'!$A$12:$A$130,"&lt;"&amp;Diagram!$P3)))</f>
        <v>0</v>
      </c>
      <c r="DS3" s="42">
        <f ca="1">IF(OR($I$10="",$O3="",$P3="",$J$41&lt;&gt;"Yes"),0,IF($K$10=0,SUMIFS(INDIRECT(ADDRESS(12,3+18*1+(6),,,"J1 A - (North) Bishopthorpe Roa")&amp;":"&amp;ADDRESS(130,3+18*1+(6))),'J1 A - (North) Bishopthorpe Roa'!$A$12:$A$130,"&gt;="&amp;Diagram!$O3,'J1 A - (North) Bishopthorpe Roa'!$A$12:$A$130,"&lt;"&amp;Diagram!$P3),SUMIFS(INDIRECT(ADDRESS(12,3+18*1+(14),,,"J1 A - (North) Bishopthorpe Roa")&amp;":"&amp;ADDRESS(130,3+18*1+(14))),'J1 A - (North) Bishopthorpe Roa'!$A$12:$A$130,"&gt;="&amp;Diagram!$O3,'J1 A - (North) Bishopthorpe Roa'!$A$12:$A$130,"&lt;"&amp;Diagram!$P3)))</f>
        <v>1</v>
      </c>
      <c r="DT3" s="42">
        <f ca="1">IF(OR($I$10="",$O3="",$P3="",$J$41&lt;&gt;"Yes"),0,IF($K$10=0,SUMIFS(INDIRECT(ADDRESS(12,3+18*2+(6),,,"J1 A - (North) Bishopthorpe Roa")&amp;":"&amp;ADDRESS(130,3+18*2+(6))),'J1 A - (North) Bishopthorpe Roa'!$A$12:$A$130,"&gt;="&amp;Diagram!$O3,'J1 A - (North) Bishopthorpe Roa'!$A$12:$A$130,"&lt;"&amp;Diagram!$P3),SUMIFS(INDIRECT(ADDRESS(12,3+18*2+(14),,,"J1 A - (North) Bishopthorpe Roa")&amp;":"&amp;ADDRESS(130,3+18*2+(14))),'J1 A - (North) Bishopthorpe Roa'!$A$12:$A$130,"&gt;="&amp;Diagram!$O3,'J1 A - (North) Bishopthorpe Roa'!$A$12:$A$130,"&lt;"&amp;Diagram!$P3)))</f>
        <v>0</v>
      </c>
      <c r="DU3" s="42">
        <f ca="1">IF(OR($I$10="",$O3="",$P3="",$J$41&lt;&gt;"Yes"),0,IF($K$10=0,SUMIFS(INDIRECT(ADDRESS(12,3+18*2+(6),,,"J1 B - Butcher Terrace")&amp;":"&amp;ADDRESS(130,3+18*2+(6))),'J1 B - Butcher Terrace'!$A$12:$A$130,"&gt;="&amp;Diagram!$O3,'J1 B - Butcher Terrace'!$A$12:$A$130,"&lt;"&amp;Diagram!$P3),SUMIFS(INDIRECT(ADDRESS(12,3+18*2+(14),,,"J1 B - Butcher Terrace")&amp;":"&amp;ADDRESS(130,3+18*2+(14))),'J1 B - Butcher Terrace'!$A$12:$A$130,"&gt;="&amp;Diagram!$O3,'J1 B - Butcher Terrace'!$A$12:$A$130,"&lt;"&amp;Diagram!$P3)))</f>
        <v>0</v>
      </c>
      <c r="DV3" s="42">
        <f ca="1">IF(OR($I$10="",$O3="",$P3="",$J$41&lt;&gt;"Yes"),0,IF($K$10=0,SUMIFS(INDIRECT(ADDRESS(12,3+18*3+(6),,,"J1 B - Butcher Terrace")&amp;":"&amp;ADDRESS(130,3+18*3+(6))),'J1 B - Butcher Terrace'!$A$12:$A$130,"&gt;="&amp;Diagram!$O3,'J1 B - Butcher Terrace'!$A$12:$A$130,"&lt;"&amp;Diagram!$P3),SUMIFS(INDIRECT(ADDRESS(12,3+18*3+(14),,,"J1 B - Butcher Terrace")&amp;":"&amp;ADDRESS(130,3+18*3+(14))),'J1 B - Butcher Terrace'!$A$12:$A$130,"&gt;="&amp;Diagram!$O3,'J1 B - Butcher Terrace'!$A$12:$A$130,"&lt;"&amp;Diagram!$P3)))</f>
        <v>0</v>
      </c>
      <c r="DW3" s="42">
        <f ca="1">IF(OR($I$10="",$O3="",$P3="",$J$41&lt;&gt;"Yes"),0,IF($K$10=0,SUMIFS(INDIRECT(ADDRESS(12,3+18*0+(6),,,"J1 B - Butcher Terrace")&amp;":"&amp;ADDRESS(130,3+18*0+(6))),'J1 B - Butcher Terrace'!$A$12:$A$130,"&gt;="&amp;Diagram!$O3,'J1 B - Butcher Terrace'!$A$12:$A$130,"&lt;"&amp;Diagram!$P3),SUMIFS(INDIRECT(ADDRESS(12,3+18*0+(14),,,"J1 B - Butcher Terrace")&amp;":"&amp;ADDRESS(130,3+18*0+(14))),'J1 B - Butcher Terrace'!$A$12:$A$130,"&gt;="&amp;Diagram!$O3,'J1 B - Butcher Terrace'!$A$12:$A$130,"&lt;"&amp;Diagram!$P3)))</f>
        <v>0</v>
      </c>
      <c r="DX3" s="42">
        <f ca="1">IF(OR($I$10="",$O3="",$P3="",$J$41&lt;&gt;"Yes"),0,IF($K$10=0,SUMIFS(INDIRECT(ADDRESS(12,3+18*1+(6),,,"J1 B - Butcher Terrace")&amp;":"&amp;ADDRESS(130,3+18*1+(6))),'J1 B - Butcher Terrace'!$A$12:$A$130,"&gt;="&amp;Diagram!$O3,'J1 B - Butcher Terrace'!$A$12:$A$130,"&lt;"&amp;Diagram!$P3),SUMIFS(INDIRECT(ADDRESS(12,3+18*1+(14),,,"J1 B - Butcher Terrace")&amp;":"&amp;ADDRESS(130,3+18*1+(14))),'J1 B - Butcher Terrace'!$A$12:$A$130,"&gt;="&amp;Diagram!$O3,'J1 B - Butcher Terrace'!$A$12:$A$130,"&lt;"&amp;Diagram!$P3)))</f>
        <v>0</v>
      </c>
      <c r="DY3" s="42">
        <f ca="1">IF(OR($I$10="",$O3="",$P3="",$J$41&lt;&gt;"Yes"),0,IF($K$10=0,SUMIFS(INDIRECT(ADDRESS(12,3+18*1+(6),,,"J1 C - (South) Bishopthorpe Roa")&amp;":"&amp;ADDRESS(130,3+18*1+(6))),'J1 C - (South) Bishopthorpe Roa'!$A$12:$A$130,"&gt;="&amp;Diagram!$O3,'J1 C - (South) Bishopthorpe Roa'!$A$12:$A$130,"&lt;"&amp;Diagram!$P3),SUMIFS(INDIRECT(ADDRESS(12,3+18*1+(14),,,"J1 C - (South) Bishopthorpe Roa")&amp;":"&amp;ADDRESS(130,3+18*1+(14))),'J1 C - (South) Bishopthorpe Roa'!$A$12:$A$130,"&gt;="&amp;Diagram!$O3,'J1 C - (South) Bishopthorpe Roa'!$A$12:$A$130,"&lt;"&amp;Diagram!$P3)))</f>
        <v>0</v>
      </c>
      <c r="DZ3" s="42">
        <f ca="1">IF(OR($I$10="",$O3="",$P3="",$J$41&lt;&gt;"Yes"),0,IF($K$10=0,SUMIFS(INDIRECT(ADDRESS(12,3+18*2+(6),,,"J1 C - (South) Bishopthorpe Roa")&amp;":"&amp;ADDRESS(130,3+18*2+(6))),'J1 C - (South) Bishopthorpe Roa'!$A$12:$A$130,"&gt;="&amp;Diagram!$O3,'J1 C - (South) Bishopthorpe Roa'!$A$12:$A$130,"&lt;"&amp;Diagram!$P3),SUMIFS(INDIRECT(ADDRESS(12,3+18*2+(14),,,"J1 C - (South) Bishopthorpe Roa")&amp;":"&amp;ADDRESS(130,3+18*2+(14))),'J1 C - (South) Bishopthorpe Roa'!$A$12:$A$130,"&gt;="&amp;Diagram!$O3,'J1 C - (South) Bishopthorpe Roa'!$A$12:$A$130,"&lt;"&amp;Diagram!$P3)))</f>
        <v>0</v>
      </c>
      <c r="EA3" s="42">
        <f ca="1">IF(OR($I$10="",$O3="",$P3="",$J$41&lt;&gt;"Yes"),0,IF($K$10=0,SUMIFS(INDIRECT(ADDRESS(12,3+18*3+(6),,,"J1 C - (South) Bishopthorpe Roa")&amp;":"&amp;ADDRESS(130,3+18*3+(6))),'J1 C - (South) Bishopthorpe Roa'!$A$12:$A$130,"&gt;="&amp;Diagram!$O3,'J1 C - (South) Bishopthorpe Roa'!$A$12:$A$130,"&lt;"&amp;Diagram!$P3),SUMIFS(INDIRECT(ADDRESS(12,3+18*3+(14),,,"J1 C - (South) Bishopthorpe Roa")&amp;":"&amp;ADDRESS(130,3+18*3+(14))),'J1 C - (South) Bishopthorpe Roa'!$A$12:$A$130,"&gt;="&amp;Diagram!$O3,'J1 C - (South) Bishopthorpe Roa'!$A$12:$A$130,"&lt;"&amp;Diagram!$P3)))</f>
        <v>0</v>
      </c>
      <c r="EB3" s="42">
        <f ca="1">IF(OR($I$10="",$O3="",$P3="",$J$41&lt;&gt;"Yes"),0,IF($K$10=0,SUMIFS(INDIRECT(ADDRESS(12,3+18*0+(6),,,"J1 C - (South) Bishopthorpe Roa")&amp;":"&amp;ADDRESS(130,3+18*0+(6))),'J1 C - (South) Bishopthorpe Roa'!$A$12:$A$130,"&gt;="&amp;Diagram!$O3,'J1 C - (South) Bishopthorpe Roa'!$A$12:$A$130,"&lt;"&amp;Diagram!$P3),SUMIFS(INDIRECT(ADDRESS(12,3+18*0+(14),,,"J1 C - (South) Bishopthorpe Roa")&amp;":"&amp;ADDRESS(130,3+18*0+(14))),'J1 C - (South) Bishopthorpe Roa'!$A$12:$A$130,"&gt;="&amp;Diagram!$O3,'J1 C - (South) Bishopthorpe Roa'!$A$12:$A$130,"&lt;"&amp;Diagram!$P3)))</f>
        <v>0</v>
      </c>
      <c r="EC3" s="42">
        <f ca="1">IF(OR($I$10="",$O3="",$P3="",$J$41&lt;&gt;"Yes"),0,IF($K$10=0,SUMIFS(INDIRECT(ADDRESS(12,3+18*0+(6),,,"J1 D - South Bank Avenue")&amp;":"&amp;ADDRESS(130,3+18*0+(6))),'J1 D - South Bank Avenue'!$A$12:$A$130,"&gt;="&amp;Diagram!$O3,'J1 D - South Bank Avenue'!$A$12:$A$130,"&lt;"&amp;Diagram!$P3),SUMIFS(INDIRECT(ADDRESS(12,3+18*0+(14),,,"J1 D - South Bank Avenue")&amp;":"&amp;ADDRESS(130,3+18*0+(14))),'J1 D - South Bank Avenue'!$A$12:$A$130,"&gt;="&amp;Diagram!$O3,'J1 D - South Bank Avenue'!$A$12:$A$130,"&lt;"&amp;Diagram!$P3)))</f>
        <v>0</v>
      </c>
      <c r="ED3" s="42">
        <f ca="1">IF(OR($I$10="",$O3="",$P3="",$J$41&lt;&gt;"Yes"),0,IF($K$10=0,SUMIFS(INDIRECT(ADDRESS(12,3+18*1+(6),,,"J1 D - South Bank Avenue")&amp;":"&amp;ADDRESS(130,3+18*1+(6))),'J1 D - South Bank Avenue'!$A$12:$A$130,"&gt;="&amp;Diagram!$O3,'J1 D - South Bank Avenue'!$A$12:$A$130,"&lt;"&amp;Diagram!$P3),SUMIFS(INDIRECT(ADDRESS(12,3+18*1+(14),,,"J1 D - South Bank Avenue")&amp;":"&amp;ADDRESS(130,3+18*1+(14))),'J1 D - South Bank Avenue'!$A$12:$A$130,"&gt;="&amp;Diagram!$O3,'J1 D - South Bank Avenue'!$A$12:$A$130,"&lt;"&amp;Diagram!$P3)))</f>
        <v>0</v>
      </c>
      <c r="EE3" s="42">
        <f ca="1">IF(OR($I$10="",$O3="",$P3="",$J$41&lt;&gt;"Yes"),0,IF($K$10=0,SUMIFS(INDIRECT(ADDRESS(12,3+18*2+(6),,,"J1 D - South Bank Avenue")&amp;":"&amp;ADDRESS(130,3+18*2+(6))),'J1 D - South Bank Avenue'!$A$12:$A$130,"&gt;="&amp;Diagram!$O3,'J1 D - South Bank Avenue'!$A$12:$A$130,"&lt;"&amp;Diagram!$P3),SUMIFS(INDIRECT(ADDRESS(12,3+18*2+(14),,,"J1 D - South Bank Avenue")&amp;":"&amp;ADDRESS(130,3+18*2+(14))),'J1 D - South Bank Avenue'!$A$12:$A$130,"&gt;="&amp;Diagram!$O3,'J1 D - South Bank Avenue'!$A$12:$A$130,"&lt;"&amp;Diagram!$P3)))</f>
        <v>0</v>
      </c>
      <c r="EF3" s="42">
        <f ca="1">IF(OR($I$10="",$O3="",$P3="",$J$41&lt;&gt;"Yes"),0,IF($K$10=0,SUMIFS(INDIRECT(ADDRESS(12,3+18*3+(6),,,"J1 D - South Bank Avenue")&amp;":"&amp;ADDRESS(130,3+18*3+(6))),'J1 D - South Bank Avenue'!$A$12:$A$130,"&gt;="&amp;Diagram!$O3,'J1 D - South Bank Avenue'!$A$12:$A$130,"&lt;"&amp;Diagram!$P3),SUMIFS(INDIRECT(ADDRESS(12,3+18*3+(14),,,"J1 D - South Bank Avenue")&amp;":"&amp;ADDRESS(130,3+18*3+(14))),'J1 D - South Bank Avenue'!$A$12:$A$130,"&gt;="&amp;Diagram!$O3,'J1 D - South Bank Avenue'!$A$12:$A$130,"&lt;"&amp;Diagram!$P3)))</f>
        <v>0</v>
      </c>
      <c r="EG3" s="42">
        <f t="shared" ca="1" si="8"/>
        <v>0</v>
      </c>
      <c r="EH3" s="42">
        <f ca="1">IF(OR($I$10="",$O3="",$P3="",$J$42&lt;&gt;"Yes"),0,IF($K$10=0,SUMIFS(INDIRECT(ADDRESS(12,3+18*3+(7),,,"J1 A - (North) Bishopthorpe Roa")&amp;":"&amp;ADDRESS(130,3+18*3+(7))),'J1 A - (North) Bishopthorpe Roa'!$A$12:$A$130,"&gt;="&amp;Diagram!$O3,'J1 A - (North) Bishopthorpe Roa'!$A$12:$A$130,"&lt;"&amp;Diagram!$P3),SUMIFS(INDIRECT(ADDRESS(12,3+18*3+(15),,,"J1 A - (North) Bishopthorpe Roa")&amp;":"&amp;ADDRESS(130,3+18*3+(15))),'J1 A - (North) Bishopthorpe Roa'!$A$12:$A$130,"&gt;="&amp;Diagram!$O3,'J1 A - (North) Bishopthorpe Roa'!$A$12:$A$130,"&lt;"&amp;Diagram!$P3)))</f>
        <v>0</v>
      </c>
      <c r="EI3" s="42">
        <f ca="1">IF(OR($I$10="",$O3="",$P3="",$J$42&lt;&gt;"Yes"),0,IF($K$10=0,SUMIFS(INDIRECT(ADDRESS(12,3+18*0+(7),,,"J1 A - (North) Bishopthorpe Roa")&amp;":"&amp;ADDRESS(130,3+18*0+(7))),'J1 A - (North) Bishopthorpe Roa'!$A$12:$A$130,"&gt;="&amp;Diagram!$O3,'J1 A - (North) Bishopthorpe Roa'!$A$12:$A$130,"&lt;"&amp;Diagram!$P3),SUMIFS(INDIRECT(ADDRESS(12,3+18*0+(15),,,"J1 A - (North) Bishopthorpe Roa")&amp;":"&amp;ADDRESS(130,3+18*0+(15))),'J1 A - (North) Bishopthorpe Roa'!$A$12:$A$130,"&gt;="&amp;Diagram!$O3,'J1 A - (North) Bishopthorpe Roa'!$A$12:$A$130,"&lt;"&amp;Diagram!$P3)))</f>
        <v>0</v>
      </c>
      <c r="EJ3" s="42">
        <f ca="1">IF(OR($I$10="",$O3="",$P3="",$J$42&lt;&gt;"Yes"),0,IF($K$10=0,SUMIFS(INDIRECT(ADDRESS(12,3+18*1+(7),,,"J1 A - (North) Bishopthorpe Roa")&amp;":"&amp;ADDRESS(130,3+18*1+(7))),'J1 A - (North) Bishopthorpe Roa'!$A$12:$A$130,"&gt;="&amp;Diagram!$O3,'J1 A - (North) Bishopthorpe Roa'!$A$12:$A$130,"&lt;"&amp;Diagram!$P3),SUMIFS(INDIRECT(ADDRESS(12,3+18*1+(15),,,"J1 A - (North) Bishopthorpe Roa")&amp;":"&amp;ADDRESS(130,3+18*1+(15))),'J1 A - (North) Bishopthorpe Roa'!$A$12:$A$130,"&gt;="&amp;Diagram!$O3,'J1 A - (North) Bishopthorpe Roa'!$A$12:$A$130,"&lt;"&amp;Diagram!$P3)))</f>
        <v>0</v>
      </c>
      <c r="EK3" s="42">
        <f ca="1">IF(OR($I$10="",$O3="",$P3="",$J$42&lt;&gt;"Yes"),0,IF($K$10=0,SUMIFS(INDIRECT(ADDRESS(12,3+18*2+(7),,,"J1 A - (North) Bishopthorpe Roa")&amp;":"&amp;ADDRESS(130,3+18*2+(7))),'J1 A - (North) Bishopthorpe Roa'!$A$12:$A$130,"&gt;="&amp;Diagram!$O3,'J1 A - (North) Bishopthorpe Roa'!$A$12:$A$130,"&lt;"&amp;Diagram!$P3),SUMIFS(INDIRECT(ADDRESS(12,3+18*2+(15),,,"J1 A - (North) Bishopthorpe Roa")&amp;":"&amp;ADDRESS(130,3+18*2+(15))),'J1 A - (North) Bishopthorpe Roa'!$A$12:$A$130,"&gt;="&amp;Diagram!$O3,'J1 A - (North) Bishopthorpe Roa'!$A$12:$A$130,"&lt;"&amp;Diagram!$P3)))</f>
        <v>0</v>
      </c>
      <c r="EL3" s="42">
        <f ca="1">IF(OR($I$10="",$O3="",$P3="",$J$42&lt;&gt;"Yes"),0,IF($K$10=0,SUMIFS(INDIRECT(ADDRESS(12,3+18*2+(7),,,"J1 B - Butcher Terrace")&amp;":"&amp;ADDRESS(130,3+18*2+(7))),'J1 B - Butcher Terrace'!$A$12:$A$130,"&gt;="&amp;Diagram!$O3,'J1 B - Butcher Terrace'!$A$12:$A$130,"&lt;"&amp;Diagram!$P3),SUMIFS(INDIRECT(ADDRESS(12,3+18*2+(15),,,"J1 B - Butcher Terrace")&amp;":"&amp;ADDRESS(130,3+18*2+(15))),'J1 B - Butcher Terrace'!$A$12:$A$130,"&gt;="&amp;Diagram!$O3,'J1 B - Butcher Terrace'!$A$12:$A$130,"&lt;"&amp;Diagram!$P3)))</f>
        <v>0</v>
      </c>
      <c r="EM3" s="42">
        <f ca="1">IF(OR($I$10="",$O3="",$P3="",$J$42&lt;&gt;"Yes"),0,IF($K$10=0,SUMIFS(INDIRECT(ADDRESS(12,3+18*3+(7),,,"J1 B - Butcher Terrace")&amp;":"&amp;ADDRESS(130,3+18*3+(7))),'J1 B - Butcher Terrace'!$A$12:$A$130,"&gt;="&amp;Diagram!$O3,'J1 B - Butcher Terrace'!$A$12:$A$130,"&lt;"&amp;Diagram!$P3),SUMIFS(INDIRECT(ADDRESS(12,3+18*3+(15),,,"J1 B - Butcher Terrace")&amp;":"&amp;ADDRESS(130,3+18*3+(15))),'J1 B - Butcher Terrace'!$A$12:$A$130,"&gt;="&amp;Diagram!$O3,'J1 B - Butcher Terrace'!$A$12:$A$130,"&lt;"&amp;Diagram!$P3)))</f>
        <v>0</v>
      </c>
      <c r="EN3" s="42">
        <f ca="1">IF(OR($I$10="",$O3="",$P3="",$J$42&lt;&gt;"Yes"),0,IF($K$10=0,SUMIFS(INDIRECT(ADDRESS(12,3+18*0+(7),,,"J1 B - Butcher Terrace")&amp;":"&amp;ADDRESS(130,3+18*0+(7))),'J1 B - Butcher Terrace'!$A$12:$A$130,"&gt;="&amp;Diagram!$O3,'J1 B - Butcher Terrace'!$A$12:$A$130,"&lt;"&amp;Diagram!$P3),SUMIFS(INDIRECT(ADDRESS(12,3+18*0+(15),,,"J1 B - Butcher Terrace")&amp;":"&amp;ADDRESS(130,3+18*0+(15))),'J1 B - Butcher Terrace'!$A$12:$A$130,"&gt;="&amp;Diagram!$O3,'J1 B - Butcher Terrace'!$A$12:$A$130,"&lt;"&amp;Diagram!$P3)))</f>
        <v>0</v>
      </c>
      <c r="EO3" s="42">
        <f ca="1">IF(OR($I$10="",$O3="",$P3="",$J$42&lt;&gt;"Yes"),0,IF($K$10=0,SUMIFS(INDIRECT(ADDRESS(12,3+18*1+(7),,,"J1 B - Butcher Terrace")&amp;":"&amp;ADDRESS(130,3+18*1+(7))),'J1 B - Butcher Terrace'!$A$12:$A$130,"&gt;="&amp;Diagram!$O3,'J1 B - Butcher Terrace'!$A$12:$A$130,"&lt;"&amp;Diagram!$P3),SUMIFS(INDIRECT(ADDRESS(12,3+18*1+(15),,,"J1 B - Butcher Terrace")&amp;":"&amp;ADDRESS(130,3+18*1+(15))),'J1 B - Butcher Terrace'!$A$12:$A$130,"&gt;="&amp;Diagram!$O3,'J1 B - Butcher Terrace'!$A$12:$A$130,"&lt;"&amp;Diagram!$P3)))</f>
        <v>0</v>
      </c>
      <c r="EP3" s="42">
        <f ca="1">IF(OR($I$10="",$O3="",$P3="",$J$42&lt;&gt;"Yes"),0,IF($K$10=0,SUMIFS(INDIRECT(ADDRESS(12,3+18*1+(7),,,"J1 C - (South) Bishopthorpe Roa")&amp;":"&amp;ADDRESS(130,3+18*1+(7))),'J1 C - (South) Bishopthorpe Roa'!$A$12:$A$130,"&gt;="&amp;Diagram!$O3,'J1 C - (South) Bishopthorpe Roa'!$A$12:$A$130,"&lt;"&amp;Diagram!$P3),SUMIFS(INDIRECT(ADDRESS(12,3+18*1+(15),,,"J1 C - (South) Bishopthorpe Roa")&amp;":"&amp;ADDRESS(130,3+18*1+(15))),'J1 C - (South) Bishopthorpe Roa'!$A$12:$A$130,"&gt;="&amp;Diagram!$O3,'J1 C - (South) Bishopthorpe Roa'!$A$12:$A$130,"&lt;"&amp;Diagram!$P3)))</f>
        <v>0</v>
      </c>
      <c r="EQ3" s="42">
        <f ca="1">IF(OR($I$10="",$O3="",$P3="",$J$42&lt;&gt;"Yes"),0,IF($K$10=0,SUMIFS(INDIRECT(ADDRESS(12,3+18*2+(7),,,"J1 C - (South) Bishopthorpe Roa")&amp;":"&amp;ADDRESS(130,3+18*2+(7))),'J1 C - (South) Bishopthorpe Roa'!$A$12:$A$130,"&gt;="&amp;Diagram!$O3,'J1 C - (South) Bishopthorpe Roa'!$A$12:$A$130,"&lt;"&amp;Diagram!$P3),SUMIFS(INDIRECT(ADDRESS(12,3+18*2+(15),,,"J1 C - (South) Bishopthorpe Roa")&amp;":"&amp;ADDRESS(130,3+18*2+(15))),'J1 C - (South) Bishopthorpe Roa'!$A$12:$A$130,"&gt;="&amp;Diagram!$O3,'J1 C - (South) Bishopthorpe Roa'!$A$12:$A$130,"&lt;"&amp;Diagram!$P3)))</f>
        <v>0</v>
      </c>
      <c r="ER3" s="42">
        <f ca="1">IF(OR($I$10="",$O3="",$P3="",$J$42&lt;&gt;"Yes"),0,IF($K$10=0,SUMIFS(INDIRECT(ADDRESS(12,3+18*3+(7),,,"J1 C - (South) Bishopthorpe Roa")&amp;":"&amp;ADDRESS(130,3+18*3+(7))),'J1 C - (South) Bishopthorpe Roa'!$A$12:$A$130,"&gt;="&amp;Diagram!$O3,'J1 C - (South) Bishopthorpe Roa'!$A$12:$A$130,"&lt;"&amp;Diagram!$P3),SUMIFS(INDIRECT(ADDRESS(12,3+18*3+(15),,,"J1 C - (South) Bishopthorpe Roa")&amp;":"&amp;ADDRESS(130,3+18*3+(15))),'J1 C - (South) Bishopthorpe Roa'!$A$12:$A$130,"&gt;="&amp;Diagram!$O3,'J1 C - (South) Bishopthorpe Roa'!$A$12:$A$130,"&lt;"&amp;Diagram!$P3)))</f>
        <v>0</v>
      </c>
      <c r="ES3" s="42">
        <f ca="1">IF(OR($I$10="",$O3="",$P3="",$J$42&lt;&gt;"Yes"),0,IF($K$10=0,SUMIFS(INDIRECT(ADDRESS(12,3+18*0+(7),,,"J1 C - (South) Bishopthorpe Roa")&amp;":"&amp;ADDRESS(130,3+18*0+(7))),'J1 C - (South) Bishopthorpe Roa'!$A$12:$A$130,"&gt;="&amp;Diagram!$O3,'J1 C - (South) Bishopthorpe Roa'!$A$12:$A$130,"&lt;"&amp;Diagram!$P3),SUMIFS(INDIRECT(ADDRESS(12,3+18*0+(15),,,"J1 C - (South) Bishopthorpe Roa")&amp;":"&amp;ADDRESS(130,3+18*0+(15))),'J1 C - (South) Bishopthorpe Roa'!$A$12:$A$130,"&gt;="&amp;Diagram!$O3,'J1 C - (South) Bishopthorpe Roa'!$A$12:$A$130,"&lt;"&amp;Diagram!$P3)))</f>
        <v>0</v>
      </c>
      <c r="ET3" s="42">
        <f ca="1">IF(OR($I$10="",$O3="",$P3="",$J$42&lt;&gt;"Yes"),0,IF($K$10=0,SUMIFS(INDIRECT(ADDRESS(12,3+18*0+(7),,,"J1 D - South Bank Avenue")&amp;":"&amp;ADDRESS(130,3+18*0+(7))),'J1 D - South Bank Avenue'!$A$12:$A$130,"&gt;="&amp;Diagram!$O3,'J1 D - South Bank Avenue'!$A$12:$A$130,"&lt;"&amp;Diagram!$P3),SUMIFS(INDIRECT(ADDRESS(12,3+18*0+(15),,,"J1 D - South Bank Avenue")&amp;":"&amp;ADDRESS(130,3+18*0+(15))),'J1 D - South Bank Avenue'!$A$12:$A$130,"&gt;="&amp;Diagram!$O3,'J1 D - South Bank Avenue'!$A$12:$A$130,"&lt;"&amp;Diagram!$P3)))</f>
        <v>0</v>
      </c>
      <c r="EU3" s="42">
        <f ca="1">IF(OR($I$10="",$O3="",$P3="",$J$42&lt;&gt;"Yes"),0,IF($K$10=0,SUMIFS(INDIRECT(ADDRESS(12,3+18*1+(7),,,"J1 D - South Bank Avenue")&amp;":"&amp;ADDRESS(130,3+18*1+(7))),'J1 D - South Bank Avenue'!$A$12:$A$130,"&gt;="&amp;Diagram!$O3,'J1 D - South Bank Avenue'!$A$12:$A$130,"&lt;"&amp;Diagram!$P3),SUMIFS(INDIRECT(ADDRESS(12,3+18*1+(15),,,"J1 D - South Bank Avenue")&amp;":"&amp;ADDRESS(130,3+18*1+(15))),'J1 D - South Bank Avenue'!$A$12:$A$130,"&gt;="&amp;Diagram!$O3,'J1 D - South Bank Avenue'!$A$12:$A$130,"&lt;"&amp;Diagram!$P3)))</f>
        <v>0</v>
      </c>
      <c r="EV3" s="42">
        <f ca="1">IF(OR($I$10="",$O3="",$P3="",$J$42&lt;&gt;"Yes"),0,IF($K$10=0,SUMIFS(INDIRECT(ADDRESS(12,3+18*2+(7),,,"J1 D - South Bank Avenue")&amp;":"&amp;ADDRESS(130,3+18*2+(7))),'J1 D - South Bank Avenue'!$A$12:$A$130,"&gt;="&amp;Diagram!$O3,'J1 D - South Bank Avenue'!$A$12:$A$130,"&lt;"&amp;Diagram!$P3),SUMIFS(INDIRECT(ADDRESS(12,3+18*2+(15),,,"J1 D - South Bank Avenue")&amp;":"&amp;ADDRESS(130,3+18*2+(15))),'J1 D - South Bank Avenue'!$A$12:$A$130,"&gt;="&amp;Diagram!$O3,'J1 D - South Bank Avenue'!$A$12:$A$130,"&lt;"&amp;Diagram!$P3)))</f>
        <v>0</v>
      </c>
      <c r="EW3" s="42">
        <f ca="1">IF(OR($I$10="",$O3="",$P3="",$J$42&lt;&gt;"Yes"),0,IF($K$10=0,SUMIFS(INDIRECT(ADDRESS(12,3+18*3+(7),,,"J1 D - South Bank Avenue")&amp;":"&amp;ADDRESS(130,3+18*3+(7))),'J1 D - South Bank Avenue'!$A$12:$A$130,"&gt;="&amp;Diagram!$O3,'J1 D - South Bank Avenue'!$A$12:$A$130,"&lt;"&amp;Diagram!$P3),SUMIFS(INDIRECT(ADDRESS(12,3+18*3+(15),,,"J1 D - South Bank Avenue")&amp;":"&amp;ADDRESS(130,3+18*3+(15))),'J1 D - South Bank Avenue'!$A$12:$A$130,"&gt;="&amp;Diagram!$O3,'J1 D - South Bank Avenue'!$A$12:$A$130,"&lt;"&amp;Diagram!$P3)))</f>
        <v>0</v>
      </c>
    </row>
    <row r="4" spans="1:153" ht="15" customHeight="1">
      <c r="A4" s="1">
        <v>44395.03125</v>
      </c>
      <c r="B4" s="1">
        <v>44395.041666666701</v>
      </c>
      <c r="G4" s="5" t="s">
        <v>1</v>
      </c>
      <c r="O4" s="3">
        <v>44395.03125</v>
      </c>
      <c r="P4" s="3">
        <v>44395.072916666701</v>
      </c>
      <c r="Q4" s="42">
        <f t="shared" ca="1" si="0"/>
        <v>26</v>
      </c>
      <c r="R4" s="42">
        <f t="shared" ca="1" si="1"/>
        <v>22</v>
      </c>
      <c r="S4" s="42">
        <f ca="1">IF(OR($I$10="",$O4="",$P4="",$J$35&lt;&gt;"Yes"),0,IF($K$10=0,SUMIFS(INDIRECT(ADDRESS(12,3+18*3+(0),,,"J1 A - (North) Bishopthorpe Roa")&amp;":"&amp;ADDRESS(130,3+18*3+(0))),'J1 A - (North) Bishopthorpe Roa'!$A$12:$A$130,"&gt;="&amp;Diagram!$O4,'J1 A - (North) Bishopthorpe Roa'!$A$12:$A$130,"&lt;"&amp;Diagram!$P4),SUMIFS(INDIRECT(ADDRESS(12,3+18*3+(8),,,"J1 A - (North) Bishopthorpe Roa")&amp;":"&amp;ADDRESS(130,3+18*3+(8))),'J1 A - (North) Bishopthorpe Roa'!$A$12:$A$130,"&gt;="&amp;Diagram!$O4,'J1 A - (North) Bishopthorpe Roa'!$A$12:$A$130,"&lt;"&amp;Diagram!$P4)))</f>
        <v>0</v>
      </c>
      <c r="T4" s="42">
        <f ca="1">IF(OR($I$10="",$O4="",$P4="",$J$35&lt;&gt;"Yes"),0,IF($K$10=0,SUMIFS(INDIRECT(ADDRESS(12,3+18*0+(0),,,"J1 A - (North) Bishopthorpe Roa")&amp;":"&amp;ADDRESS(130,3+18*0+(0))),'J1 A - (North) Bishopthorpe Roa'!$A$12:$A$130,"&gt;="&amp;Diagram!$O4,'J1 A - (North) Bishopthorpe Roa'!$A$12:$A$130,"&lt;"&amp;Diagram!$P4),SUMIFS(INDIRECT(ADDRESS(12,3+18*0+(8),,,"J1 A - (North) Bishopthorpe Roa")&amp;":"&amp;ADDRESS(130,3+18*0+(8))),'J1 A - (North) Bishopthorpe Roa'!$A$12:$A$130,"&gt;="&amp;Diagram!$O4,'J1 A - (North) Bishopthorpe Roa'!$A$12:$A$130,"&lt;"&amp;Diagram!$P4)))</f>
        <v>1</v>
      </c>
      <c r="U4" s="42">
        <f ca="1">IF(OR($I$10="",$O4="",$P4="",$J$35&lt;&gt;"Yes"),0,IF($K$10=0,SUMIFS(INDIRECT(ADDRESS(12,3+18*1+(0),,,"J1 A - (North) Bishopthorpe Roa")&amp;":"&amp;ADDRESS(130,3+18*1+(0))),'J1 A - (North) Bishopthorpe Roa'!$A$12:$A$130,"&gt;="&amp;Diagram!$O4,'J1 A - (North) Bishopthorpe Roa'!$A$12:$A$130,"&lt;"&amp;Diagram!$P4),SUMIFS(INDIRECT(ADDRESS(12,3+18*1+(8),,,"J1 A - (North) Bishopthorpe Roa")&amp;":"&amp;ADDRESS(130,3+18*1+(8))),'J1 A - (North) Bishopthorpe Roa'!$A$12:$A$130,"&gt;="&amp;Diagram!$O4,'J1 A - (North) Bishopthorpe Roa'!$A$12:$A$130,"&lt;"&amp;Diagram!$P4)))</f>
        <v>8</v>
      </c>
      <c r="V4" s="42">
        <f ca="1">IF(OR($I$10="",$O4="",$P4="",$J$35&lt;&gt;"Yes"),0,IF($K$10=0,SUMIFS(INDIRECT(ADDRESS(12,3+18*2+(0),,,"J1 A - (North) Bishopthorpe Roa")&amp;":"&amp;ADDRESS(130,3+18*2+(0))),'J1 A - (North) Bishopthorpe Roa'!$A$12:$A$130,"&gt;="&amp;Diagram!$O4,'J1 A - (North) Bishopthorpe Roa'!$A$12:$A$130,"&lt;"&amp;Diagram!$P4),SUMIFS(INDIRECT(ADDRESS(12,3+18*2+(8),,,"J1 A - (North) Bishopthorpe Roa")&amp;":"&amp;ADDRESS(130,3+18*2+(8))),'J1 A - (North) Bishopthorpe Roa'!$A$12:$A$130,"&gt;="&amp;Diagram!$O4,'J1 A - (North) Bishopthorpe Roa'!$A$12:$A$130,"&lt;"&amp;Diagram!$P4)))</f>
        <v>2</v>
      </c>
      <c r="W4" s="42">
        <f ca="1">IF(OR($I$10="",$O4="",$P4="",$J$35&lt;&gt;"Yes"),0,IF($K$10=0,SUMIFS(INDIRECT(ADDRESS(12,3+18*2+(0),,,"J1 B - Butcher Terrace")&amp;":"&amp;ADDRESS(130,3+18*2+(0))),'J1 B - Butcher Terrace'!$A$12:$A$130,"&gt;="&amp;Diagram!$O4,'J1 B - Butcher Terrace'!$A$12:$A$130,"&lt;"&amp;Diagram!$P4),SUMIFS(INDIRECT(ADDRESS(12,3+18*2+(8),,,"J1 B - Butcher Terrace")&amp;":"&amp;ADDRESS(130,3+18*2+(8))),'J1 B - Butcher Terrace'!$A$12:$A$130,"&gt;="&amp;Diagram!$O4,'J1 B - Butcher Terrace'!$A$12:$A$130,"&lt;"&amp;Diagram!$P4)))</f>
        <v>1</v>
      </c>
      <c r="X4" s="42">
        <f ca="1">IF(OR($I$10="",$O4="",$P4="",$J$35&lt;&gt;"Yes"),0,IF($K$10=0,SUMIFS(INDIRECT(ADDRESS(12,3+18*3+(0),,,"J1 B - Butcher Terrace")&amp;":"&amp;ADDRESS(130,3+18*3+(0))),'J1 B - Butcher Terrace'!$A$12:$A$130,"&gt;="&amp;Diagram!$O4,'J1 B - Butcher Terrace'!$A$12:$A$130,"&lt;"&amp;Diagram!$P4),SUMIFS(INDIRECT(ADDRESS(12,3+18*3+(8),,,"J1 B - Butcher Terrace")&amp;":"&amp;ADDRESS(130,3+18*3+(8))),'J1 B - Butcher Terrace'!$A$12:$A$130,"&gt;="&amp;Diagram!$O4,'J1 B - Butcher Terrace'!$A$12:$A$130,"&lt;"&amp;Diagram!$P4)))</f>
        <v>0</v>
      </c>
      <c r="Y4" s="42">
        <f ca="1">IF(OR($I$10="",$O4="",$P4="",$J$35&lt;&gt;"Yes"),0,IF($K$10=0,SUMIFS(INDIRECT(ADDRESS(12,3+18*0+(0),,,"J1 B - Butcher Terrace")&amp;":"&amp;ADDRESS(130,3+18*0+(0))),'J1 B - Butcher Terrace'!$A$12:$A$130,"&gt;="&amp;Diagram!$O4,'J1 B - Butcher Terrace'!$A$12:$A$130,"&lt;"&amp;Diagram!$P4),SUMIFS(INDIRECT(ADDRESS(12,3+18*0+(8),,,"J1 B - Butcher Terrace")&amp;":"&amp;ADDRESS(130,3+18*0+(8))),'J1 B - Butcher Terrace'!$A$12:$A$130,"&gt;="&amp;Diagram!$O4,'J1 B - Butcher Terrace'!$A$12:$A$130,"&lt;"&amp;Diagram!$P4)))</f>
        <v>0</v>
      </c>
      <c r="Z4" s="42">
        <f ca="1">IF(OR($I$10="",$O4="",$P4="",$J$35&lt;&gt;"Yes"),0,IF($K$10=0,SUMIFS(INDIRECT(ADDRESS(12,3+18*1+(0),,,"J1 B - Butcher Terrace")&amp;":"&amp;ADDRESS(130,3+18*1+(0))),'J1 B - Butcher Terrace'!$A$12:$A$130,"&gt;="&amp;Diagram!$O4,'J1 B - Butcher Terrace'!$A$12:$A$130,"&lt;"&amp;Diagram!$P4),SUMIFS(INDIRECT(ADDRESS(12,3+18*1+(8),,,"J1 B - Butcher Terrace")&amp;":"&amp;ADDRESS(130,3+18*1+(8))),'J1 B - Butcher Terrace'!$A$12:$A$130,"&gt;="&amp;Diagram!$O4,'J1 B - Butcher Terrace'!$A$12:$A$130,"&lt;"&amp;Diagram!$P4)))</f>
        <v>0</v>
      </c>
      <c r="AA4" s="42">
        <f ca="1">IF(OR($I$10="",$O4="",$P4="",$J$35&lt;&gt;"Yes"),0,IF($K$10=0,SUMIFS(INDIRECT(ADDRESS(12,3+18*1+(0),,,"J1 C - (South) Bishopthorpe Roa")&amp;":"&amp;ADDRESS(130,3+18*1+(0))),'J1 C - (South) Bishopthorpe Roa'!$A$12:$A$130,"&gt;="&amp;Diagram!$O4,'J1 C - (South) Bishopthorpe Roa'!$A$12:$A$130,"&lt;"&amp;Diagram!$P4),SUMIFS(INDIRECT(ADDRESS(12,3+18*1+(8),,,"J1 C - (South) Bishopthorpe Roa")&amp;":"&amp;ADDRESS(130,3+18*1+(8))),'J1 C - (South) Bishopthorpe Roa'!$A$12:$A$130,"&gt;="&amp;Diagram!$O4,'J1 C - (South) Bishopthorpe Roa'!$A$12:$A$130,"&lt;"&amp;Diagram!$P4)))</f>
        <v>8</v>
      </c>
      <c r="AB4" s="42">
        <f ca="1">IF(OR($I$10="",$O4="",$P4="",$J$35&lt;&gt;"Yes"),0,IF($K$10=0,SUMIFS(INDIRECT(ADDRESS(12,3+18*2+(0),,,"J1 C - (South) Bishopthorpe Roa")&amp;":"&amp;ADDRESS(130,3+18*2+(0))),'J1 C - (South) Bishopthorpe Roa'!$A$12:$A$130,"&gt;="&amp;Diagram!$O4,'J1 C - (South) Bishopthorpe Roa'!$A$12:$A$130,"&lt;"&amp;Diagram!$P4),SUMIFS(INDIRECT(ADDRESS(12,3+18*2+(8),,,"J1 C - (South) Bishopthorpe Roa")&amp;":"&amp;ADDRESS(130,3+18*2+(8))),'J1 C - (South) Bishopthorpe Roa'!$A$12:$A$130,"&gt;="&amp;Diagram!$O4,'J1 C - (South) Bishopthorpe Roa'!$A$12:$A$130,"&lt;"&amp;Diagram!$P4)))</f>
        <v>0</v>
      </c>
      <c r="AC4" s="42">
        <f ca="1">IF(OR($I$10="",$O4="",$P4="",$J$35&lt;&gt;"Yes"),0,IF($K$10=0,SUMIFS(INDIRECT(ADDRESS(12,3+18*3+(0),,,"J1 C - (South) Bishopthorpe Roa")&amp;":"&amp;ADDRESS(130,3+18*3+(0))),'J1 C - (South) Bishopthorpe Roa'!$A$12:$A$130,"&gt;="&amp;Diagram!$O4,'J1 C - (South) Bishopthorpe Roa'!$A$12:$A$130,"&lt;"&amp;Diagram!$P4),SUMIFS(INDIRECT(ADDRESS(12,3+18*3+(8),,,"J1 C - (South) Bishopthorpe Roa")&amp;":"&amp;ADDRESS(130,3+18*3+(8))),'J1 C - (South) Bishopthorpe Roa'!$A$12:$A$130,"&gt;="&amp;Diagram!$O4,'J1 C - (South) Bishopthorpe Roa'!$A$12:$A$130,"&lt;"&amp;Diagram!$P4)))</f>
        <v>0</v>
      </c>
      <c r="AD4" s="42">
        <f ca="1">IF(OR($I$10="",$O4="",$P4="",$J$35&lt;&gt;"Yes"),0,IF($K$10=0,SUMIFS(INDIRECT(ADDRESS(12,3+18*0+(0),,,"J1 C - (South) Bishopthorpe Roa")&amp;":"&amp;ADDRESS(130,3+18*0+(0))),'J1 C - (South) Bishopthorpe Roa'!$A$12:$A$130,"&gt;="&amp;Diagram!$O4,'J1 C - (South) Bishopthorpe Roa'!$A$12:$A$130,"&lt;"&amp;Diagram!$P4),SUMIFS(INDIRECT(ADDRESS(12,3+18*0+(8),,,"J1 C - (South) Bishopthorpe Roa")&amp;":"&amp;ADDRESS(130,3+18*0+(8))),'J1 C - (South) Bishopthorpe Roa'!$A$12:$A$130,"&gt;="&amp;Diagram!$O4,'J1 C - (South) Bishopthorpe Roa'!$A$12:$A$130,"&lt;"&amp;Diagram!$P4)))</f>
        <v>0</v>
      </c>
      <c r="AE4" s="42">
        <f ca="1">IF(OR($I$10="",$O4="",$P4="",$J$35&lt;&gt;"Yes"),0,IF($K$10=0,SUMIFS(INDIRECT(ADDRESS(12,3+18*0+(0),,,"J1 D - South Bank Avenue")&amp;":"&amp;ADDRESS(130,3+18*0+(0))),'J1 D - South Bank Avenue'!$A$12:$A$130,"&gt;="&amp;Diagram!$O4,'J1 D - South Bank Avenue'!$A$12:$A$130,"&lt;"&amp;Diagram!$P4),SUMIFS(INDIRECT(ADDRESS(12,3+18*0+(8),,,"J1 D - South Bank Avenue")&amp;":"&amp;ADDRESS(130,3+18*0+(8))),'J1 D - South Bank Avenue'!$A$12:$A$130,"&gt;="&amp;Diagram!$O4,'J1 D - South Bank Avenue'!$A$12:$A$130,"&lt;"&amp;Diagram!$P4)))</f>
        <v>2</v>
      </c>
      <c r="AF4" s="42">
        <f ca="1">IF(OR($I$10="",$O4="",$P4="",$J$35&lt;&gt;"Yes"),0,IF($K$10=0,SUMIFS(INDIRECT(ADDRESS(12,3+18*1+(0),,,"J1 D - South Bank Avenue")&amp;":"&amp;ADDRESS(130,3+18*1+(0))),'J1 D - South Bank Avenue'!$A$12:$A$130,"&gt;="&amp;Diagram!$O4,'J1 D - South Bank Avenue'!$A$12:$A$130,"&lt;"&amp;Diagram!$P4),SUMIFS(INDIRECT(ADDRESS(12,3+18*1+(8),,,"J1 D - South Bank Avenue")&amp;":"&amp;ADDRESS(130,3+18*1+(8))),'J1 D - South Bank Avenue'!$A$12:$A$130,"&gt;="&amp;Diagram!$O4,'J1 D - South Bank Avenue'!$A$12:$A$130,"&lt;"&amp;Diagram!$P4)))</f>
        <v>0</v>
      </c>
      <c r="AG4" s="42">
        <f ca="1">IF(OR($I$10="",$O4="",$P4="",$J$35&lt;&gt;"Yes"),0,IF($K$10=0,SUMIFS(INDIRECT(ADDRESS(12,3+18*2+(0),,,"J1 D - South Bank Avenue")&amp;":"&amp;ADDRESS(130,3+18*2+(0))),'J1 D - South Bank Avenue'!$A$12:$A$130,"&gt;="&amp;Diagram!$O4,'J1 D - South Bank Avenue'!$A$12:$A$130,"&lt;"&amp;Diagram!$P4),SUMIFS(INDIRECT(ADDRESS(12,3+18*2+(8),,,"J1 D - South Bank Avenue")&amp;":"&amp;ADDRESS(130,3+18*2+(8))),'J1 D - South Bank Avenue'!$A$12:$A$130,"&gt;="&amp;Diagram!$O4,'J1 D - South Bank Avenue'!$A$12:$A$130,"&lt;"&amp;Diagram!$P4)))</f>
        <v>0</v>
      </c>
      <c r="AH4" s="42">
        <f ca="1">IF(OR($I$10="",$O4="",$P4="",$J$35&lt;&gt;"Yes"),0,IF($K$10=0,SUMIFS(INDIRECT(ADDRESS(12,3+18*3+(0),,,"J1 D - South Bank Avenue")&amp;":"&amp;ADDRESS(130,3+18*3+(0))),'J1 D - South Bank Avenue'!$A$12:$A$130,"&gt;="&amp;Diagram!$O4,'J1 D - South Bank Avenue'!$A$12:$A$130,"&lt;"&amp;Diagram!$P4),SUMIFS(INDIRECT(ADDRESS(12,3+18*3+(8),,,"J1 D - South Bank Avenue")&amp;":"&amp;ADDRESS(130,3+18*3+(8))),'J1 D - South Bank Avenue'!$A$12:$A$130,"&gt;="&amp;Diagram!$O4,'J1 D - South Bank Avenue'!$A$12:$A$130,"&lt;"&amp;Diagram!$P4)))</f>
        <v>0</v>
      </c>
      <c r="AI4" s="42">
        <f t="shared" ca="1" si="2"/>
        <v>0</v>
      </c>
      <c r="AJ4" s="42">
        <f ca="1">IF(OR($I$10="",$O4="",$P4="",$J$36&lt;&gt;"Yes"),0,IF($K$10=0,SUMIFS(INDIRECT(ADDRESS(12,3+18*3+(1),,,"J1 A - (North) Bishopthorpe Roa")&amp;":"&amp;ADDRESS(130,3+18*3+(1))),'J1 A - (North) Bishopthorpe Roa'!$A$12:$A$130,"&gt;="&amp;Diagram!$O4,'J1 A - (North) Bishopthorpe Roa'!$A$12:$A$130,"&lt;"&amp;Diagram!$P4),SUMIFS(INDIRECT(ADDRESS(12,3+18*3+(9),,,"J1 A - (North) Bishopthorpe Roa")&amp;":"&amp;ADDRESS(130,3+18*3+(9))),'J1 A - (North) Bishopthorpe Roa'!$A$12:$A$130,"&gt;="&amp;Diagram!$O4,'J1 A - (North) Bishopthorpe Roa'!$A$12:$A$130,"&lt;"&amp;Diagram!$P4)))</f>
        <v>0</v>
      </c>
      <c r="AK4" s="42">
        <f ca="1">IF(OR($I$10="",$O4="",$P4="",$J$36&lt;&gt;"Yes"),0,IF($K$10=0,SUMIFS(INDIRECT(ADDRESS(12,3+18*0+(1),,,"J1 A - (North) Bishopthorpe Roa")&amp;":"&amp;ADDRESS(130,3+18*0+(1))),'J1 A - (North) Bishopthorpe Roa'!$A$12:$A$130,"&gt;="&amp;Diagram!$O4,'J1 A - (North) Bishopthorpe Roa'!$A$12:$A$130,"&lt;"&amp;Diagram!$P4),SUMIFS(INDIRECT(ADDRESS(12,3+18*0+(9),,,"J1 A - (North) Bishopthorpe Roa")&amp;":"&amp;ADDRESS(130,3+18*0+(9))),'J1 A - (North) Bishopthorpe Roa'!$A$12:$A$130,"&gt;="&amp;Diagram!$O4,'J1 A - (North) Bishopthorpe Roa'!$A$12:$A$130,"&lt;"&amp;Diagram!$P4)))</f>
        <v>0</v>
      </c>
      <c r="AL4" s="42">
        <f ca="1">IF(OR($I$10="",$O4="",$P4="",$J$36&lt;&gt;"Yes"),0,IF($K$10=0,SUMIFS(INDIRECT(ADDRESS(12,3+18*1+(1),,,"J1 A - (North) Bishopthorpe Roa")&amp;":"&amp;ADDRESS(130,3+18*1+(1))),'J1 A - (North) Bishopthorpe Roa'!$A$12:$A$130,"&gt;="&amp;Diagram!$O4,'J1 A - (North) Bishopthorpe Roa'!$A$12:$A$130,"&lt;"&amp;Diagram!$P4),SUMIFS(INDIRECT(ADDRESS(12,3+18*1+(9),,,"J1 A - (North) Bishopthorpe Roa")&amp;":"&amp;ADDRESS(130,3+18*1+(9))),'J1 A - (North) Bishopthorpe Roa'!$A$12:$A$130,"&gt;="&amp;Diagram!$O4,'J1 A - (North) Bishopthorpe Roa'!$A$12:$A$130,"&lt;"&amp;Diagram!$P4)))</f>
        <v>0</v>
      </c>
      <c r="AM4" s="42">
        <f ca="1">IF(OR($I$10="",$O4="",$P4="",$J$36&lt;&gt;"Yes"),0,IF($K$10=0,SUMIFS(INDIRECT(ADDRESS(12,3+18*2+(1),,,"J1 A - (North) Bishopthorpe Roa")&amp;":"&amp;ADDRESS(130,3+18*2+(1))),'J1 A - (North) Bishopthorpe Roa'!$A$12:$A$130,"&gt;="&amp;Diagram!$O4,'J1 A - (North) Bishopthorpe Roa'!$A$12:$A$130,"&lt;"&amp;Diagram!$P4),SUMIFS(INDIRECT(ADDRESS(12,3+18*2+(9),,,"J1 A - (North) Bishopthorpe Roa")&amp;":"&amp;ADDRESS(130,3+18*2+(9))),'J1 A - (North) Bishopthorpe Roa'!$A$12:$A$130,"&gt;="&amp;Diagram!$O4,'J1 A - (North) Bishopthorpe Roa'!$A$12:$A$130,"&lt;"&amp;Diagram!$P4)))</f>
        <v>0</v>
      </c>
      <c r="AN4" s="42">
        <f ca="1">IF(OR($I$10="",$O4="",$P4="",$J$36&lt;&gt;"Yes"),0,IF($K$10=0,SUMIFS(INDIRECT(ADDRESS(12,3+18*2+(1),,,"J1 B - Butcher Terrace")&amp;":"&amp;ADDRESS(130,3+18*2+(1))),'J1 B - Butcher Terrace'!$A$12:$A$130,"&gt;="&amp;Diagram!$O4,'J1 B - Butcher Terrace'!$A$12:$A$130,"&lt;"&amp;Diagram!$P4),SUMIFS(INDIRECT(ADDRESS(12,3+18*2+(9),,,"J1 B - Butcher Terrace")&amp;":"&amp;ADDRESS(130,3+18*2+(9))),'J1 B - Butcher Terrace'!$A$12:$A$130,"&gt;="&amp;Diagram!$O4,'J1 B - Butcher Terrace'!$A$12:$A$130,"&lt;"&amp;Diagram!$P4)))</f>
        <v>0</v>
      </c>
      <c r="AO4" s="42">
        <f ca="1">IF(OR($I$10="",$O4="",$P4="",$J$36&lt;&gt;"Yes"),0,IF($K$10=0,SUMIFS(INDIRECT(ADDRESS(12,3+18*3+(1),,,"J1 B - Butcher Terrace")&amp;":"&amp;ADDRESS(130,3+18*3+(1))),'J1 B - Butcher Terrace'!$A$12:$A$130,"&gt;="&amp;Diagram!$O4,'J1 B - Butcher Terrace'!$A$12:$A$130,"&lt;"&amp;Diagram!$P4),SUMIFS(INDIRECT(ADDRESS(12,3+18*3+(9),,,"J1 B - Butcher Terrace")&amp;":"&amp;ADDRESS(130,3+18*3+(9))),'J1 B - Butcher Terrace'!$A$12:$A$130,"&gt;="&amp;Diagram!$O4,'J1 B - Butcher Terrace'!$A$12:$A$130,"&lt;"&amp;Diagram!$P4)))</f>
        <v>0</v>
      </c>
      <c r="AP4" s="42">
        <f ca="1">IF(OR($I$10="",$O4="",$P4="",$J$36&lt;&gt;"Yes"),0,IF($K$10=0,SUMIFS(INDIRECT(ADDRESS(12,3+18*0+(1),,,"J1 B - Butcher Terrace")&amp;":"&amp;ADDRESS(130,3+18*0+(1))),'J1 B - Butcher Terrace'!$A$12:$A$130,"&gt;="&amp;Diagram!$O4,'J1 B - Butcher Terrace'!$A$12:$A$130,"&lt;"&amp;Diagram!$P4),SUMIFS(INDIRECT(ADDRESS(12,3+18*0+(9),,,"J1 B - Butcher Terrace")&amp;":"&amp;ADDRESS(130,3+18*0+(9))),'J1 B - Butcher Terrace'!$A$12:$A$130,"&gt;="&amp;Diagram!$O4,'J1 B - Butcher Terrace'!$A$12:$A$130,"&lt;"&amp;Diagram!$P4)))</f>
        <v>0</v>
      </c>
      <c r="AQ4" s="42">
        <f ca="1">IF(OR($I$10="",$O4="",$P4="",$J$36&lt;&gt;"Yes"),0,IF($K$10=0,SUMIFS(INDIRECT(ADDRESS(12,3+18*1+(1),,,"J1 B - Butcher Terrace")&amp;":"&amp;ADDRESS(130,3+18*1+(1))),'J1 B - Butcher Terrace'!$A$12:$A$130,"&gt;="&amp;Diagram!$O4,'J1 B - Butcher Terrace'!$A$12:$A$130,"&lt;"&amp;Diagram!$P4),SUMIFS(INDIRECT(ADDRESS(12,3+18*1+(9),,,"J1 B - Butcher Terrace")&amp;":"&amp;ADDRESS(130,3+18*1+(9))),'J1 B - Butcher Terrace'!$A$12:$A$130,"&gt;="&amp;Diagram!$O4,'J1 B - Butcher Terrace'!$A$12:$A$130,"&lt;"&amp;Diagram!$P4)))</f>
        <v>0</v>
      </c>
      <c r="AR4" s="42">
        <f ca="1">IF(OR($I$10="",$O4="",$P4="",$J$36&lt;&gt;"Yes"),0,IF($K$10=0,SUMIFS(INDIRECT(ADDRESS(12,3+18*1+(1),,,"J1 C - (South) Bishopthorpe Roa")&amp;":"&amp;ADDRESS(130,3+18*1+(1))),'J1 C - (South) Bishopthorpe Roa'!$A$12:$A$130,"&gt;="&amp;Diagram!$O4,'J1 C - (South) Bishopthorpe Roa'!$A$12:$A$130,"&lt;"&amp;Diagram!$P4),SUMIFS(INDIRECT(ADDRESS(12,3+18*1+(9),,,"J1 C - (South) Bishopthorpe Roa")&amp;":"&amp;ADDRESS(130,3+18*1+(9))),'J1 C - (South) Bishopthorpe Roa'!$A$12:$A$130,"&gt;="&amp;Diagram!$O4,'J1 C - (South) Bishopthorpe Roa'!$A$12:$A$130,"&lt;"&amp;Diagram!$P4)))</f>
        <v>0</v>
      </c>
      <c r="AS4" s="42">
        <f ca="1">IF(OR($I$10="",$O4="",$P4="",$J$36&lt;&gt;"Yes"),0,IF($K$10=0,SUMIFS(INDIRECT(ADDRESS(12,3+18*2+(1),,,"J1 C - (South) Bishopthorpe Roa")&amp;":"&amp;ADDRESS(130,3+18*2+(1))),'J1 C - (South) Bishopthorpe Roa'!$A$12:$A$130,"&gt;="&amp;Diagram!$O4,'J1 C - (South) Bishopthorpe Roa'!$A$12:$A$130,"&lt;"&amp;Diagram!$P4),SUMIFS(INDIRECT(ADDRESS(12,3+18*2+(9),,,"J1 C - (South) Bishopthorpe Roa")&amp;":"&amp;ADDRESS(130,3+18*2+(9))),'J1 C - (South) Bishopthorpe Roa'!$A$12:$A$130,"&gt;="&amp;Diagram!$O4,'J1 C - (South) Bishopthorpe Roa'!$A$12:$A$130,"&lt;"&amp;Diagram!$P4)))</f>
        <v>0</v>
      </c>
      <c r="AT4" s="42">
        <f ca="1">IF(OR($I$10="",$O4="",$P4="",$J$36&lt;&gt;"Yes"),0,IF($K$10=0,SUMIFS(INDIRECT(ADDRESS(12,3+18*3+(1),,,"J1 C - (South) Bishopthorpe Roa")&amp;":"&amp;ADDRESS(130,3+18*3+(1))),'J1 C - (South) Bishopthorpe Roa'!$A$12:$A$130,"&gt;="&amp;Diagram!$O4,'J1 C - (South) Bishopthorpe Roa'!$A$12:$A$130,"&lt;"&amp;Diagram!$P4),SUMIFS(INDIRECT(ADDRESS(12,3+18*3+(9),,,"J1 C - (South) Bishopthorpe Roa")&amp;":"&amp;ADDRESS(130,3+18*3+(9))),'J1 C - (South) Bishopthorpe Roa'!$A$12:$A$130,"&gt;="&amp;Diagram!$O4,'J1 C - (South) Bishopthorpe Roa'!$A$12:$A$130,"&lt;"&amp;Diagram!$P4)))</f>
        <v>0</v>
      </c>
      <c r="AU4" s="42">
        <f ca="1">IF(OR($I$10="",$O4="",$P4="",$J$36&lt;&gt;"Yes"),0,IF($K$10=0,SUMIFS(INDIRECT(ADDRESS(12,3+18*0+(1),,,"J1 C - (South) Bishopthorpe Roa")&amp;":"&amp;ADDRESS(130,3+18*0+(1))),'J1 C - (South) Bishopthorpe Roa'!$A$12:$A$130,"&gt;="&amp;Diagram!$O4,'J1 C - (South) Bishopthorpe Roa'!$A$12:$A$130,"&lt;"&amp;Diagram!$P4),SUMIFS(INDIRECT(ADDRESS(12,3+18*0+(9),,,"J1 C - (South) Bishopthorpe Roa")&amp;":"&amp;ADDRESS(130,3+18*0+(9))),'J1 C - (South) Bishopthorpe Roa'!$A$12:$A$130,"&gt;="&amp;Diagram!$O4,'J1 C - (South) Bishopthorpe Roa'!$A$12:$A$130,"&lt;"&amp;Diagram!$P4)))</f>
        <v>0</v>
      </c>
      <c r="AV4" s="42">
        <f ca="1">IF(OR($I$10="",$O4="",$P4="",$J$36&lt;&gt;"Yes"),0,IF($K$10=0,SUMIFS(INDIRECT(ADDRESS(12,3+18*0+(1),,,"J1 D - South Bank Avenue")&amp;":"&amp;ADDRESS(130,3+18*0+(1))),'J1 D - South Bank Avenue'!$A$12:$A$130,"&gt;="&amp;Diagram!$O4,'J1 D - South Bank Avenue'!$A$12:$A$130,"&lt;"&amp;Diagram!$P4),SUMIFS(INDIRECT(ADDRESS(12,3+18*0+(9),,,"J1 D - South Bank Avenue")&amp;":"&amp;ADDRESS(130,3+18*0+(9))),'J1 D - South Bank Avenue'!$A$12:$A$130,"&gt;="&amp;Diagram!$O4,'J1 D - South Bank Avenue'!$A$12:$A$130,"&lt;"&amp;Diagram!$P4)))</f>
        <v>0</v>
      </c>
      <c r="AW4" s="42">
        <f ca="1">IF(OR($I$10="",$O4="",$P4="",$J$36&lt;&gt;"Yes"),0,IF($K$10=0,SUMIFS(INDIRECT(ADDRESS(12,3+18*1+(1),,,"J1 D - South Bank Avenue")&amp;":"&amp;ADDRESS(130,3+18*1+(1))),'J1 D - South Bank Avenue'!$A$12:$A$130,"&gt;="&amp;Diagram!$O4,'J1 D - South Bank Avenue'!$A$12:$A$130,"&lt;"&amp;Diagram!$P4),SUMIFS(INDIRECT(ADDRESS(12,3+18*1+(9),,,"J1 D - South Bank Avenue")&amp;":"&amp;ADDRESS(130,3+18*1+(9))),'J1 D - South Bank Avenue'!$A$12:$A$130,"&gt;="&amp;Diagram!$O4,'J1 D - South Bank Avenue'!$A$12:$A$130,"&lt;"&amp;Diagram!$P4)))</f>
        <v>0</v>
      </c>
      <c r="AX4" s="42">
        <f ca="1">IF(OR($I$10="",$O4="",$P4="",$J$36&lt;&gt;"Yes"),0,IF($K$10=0,SUMIFS(INDIRECT(ADDRESS(12,3+18*2+(1),,,"J1 D - South Bank Avenue")&amp;":"&amp;ADDRESS(130,3+18*2+(1))),'J1 D - South Bank Avenue'!$A$12:$A$130,"&gt;="&amp;Diagram!$O4,'J1 D - South Bank Avenue'!$A$12:$A$130,"&lt;"&amp;Diagram!$P4),SUMIFS(INDIRECT(ADDRESS(12,3+18*2+(9),,,"J1 D - South Bank Avenue")&amp;":"&amp;ADDRESS(130,3+18*2+(9))),'J1 D - South Bank Avenue'!$A$12:$A$130,"&gt;="&amp;Diagram!$O4,'J1 D - South Bank Avenue'!$A$12:$A$130,"&lt;"&amp;Diagram!$P4)))</f>
        <v>0</v>
      </c>
      <c r="AY4" s="42">
        <f ca="1">IF(OR($I$10="",$O4="",$P4="",$J$36&lt;&gt;"Yes"),0,IF($K$10=0,SUMIFS(INDIRECT(ADDRESS(12,3+18*3+(1),,,"J1 D - South Bank Avenue")&amp;":"&amp;ADDRESS(130,3+18*3+(1))),'J1 D - South Bank Avenue'!$A$12:$A$130,"&gt;="&amp;Diagram!$O4,'J1 D - South Bank Avenue'!$A$12:$A$130,"&lt;"&amp;Diagram!$P4),SUMIFS(INDIRECT(ADDRESS(12,3+18*3+(9),,,"J1 D - South Bank Avenue")&amp;":"&amp;ADDRESS(130,3+18*3+(9))),'J1 D - South Bank Avenue'!$A$12:$A$130,"&gt;="&amp;Diagram!$O4,'J1 D - South Bank Avenue'!$A$12:$A$130,"&lt;"&amp;Diagram!$P4)))</f>
        <v>0</v>
      </c>
      <c r="AZ4" s="42">
        <f t="shared" ca="1" si="3"/>
        <v>0</v>
      </c>
      <c r="BA4" s="42">
        <f ca="1">IF(OR($I$10="",$O4="",$P4="",$J$37&lt;&gt;"Yes"),0,IF($K$10=0,SUMIFS(INDIRECT(ADDRESS(12,3+18*3+(2),,,"J1 A - (North) Bishopthorpe Roa")&amp;":"&amp;ADDRESS(130,3+18*3+(2))),'J1 A - (North) Bishopthorpe Roa'!$A$12:$A$130,"&gt;="&amp;Diagram!$O4,'J1 A - (North) Bishopthorpe Roa'!$A$12:$A$130,"&lt;"&amp;Diagram!$P4),SUMIFS(INDIRECT(ADDRESS(12,3+18*3+(10),,,"J1 A - (North) Bishopthorpe Roa")&amp;":"&amp;ADDRESS(130,3+18*3+(10))),'J1 A - (North) Bishopthorpe Roa'!$A$12:$A$130,"&gt;="&amp;Diagram!$O4,'J1 A - (North) Bishopthorpe Roa'!$A$12:$A$130,"&lt;"&amp;Diagram!$P4)))</f>
        <v>0</v>
      </c>
      <c r="BB4" s="42">
        <f ca="1">IF(OR($I$10="",$O4="",$P4="",$J$37&lt;&gt;"Yes"),0,IF($K$10=0,SUMIFS(INDIRECT(ADDRESS(12,3+18*0+(2),,,"J1 A - (North) Bishopthorpe Roa")&amp;":"&amp;ADDRESS(130,3+18*0+(2))),'J1 A - (North) Bishopthorpe Roa'!$A$12:$A$130,"&gt;="&amp;Diagram!$O4,'J1 A - (North) Bishopthorpe Roa'!$A$12:$A$130,"&lt;"&amp;Diagram!$P4),SUMIFS(INDIRECT(ADDRESS(12,3+18*0+(10),,,"J1 A - (North) Bishopthorpe Roa")&amp;":"&amp;ADDRESS(130,3+18*0+(10))),'J1 A - (North) Bishopthorpe Roa'!$A$12:$A$130,"&gt;="&amp;Diagram!$O4,'J1 A - (North) Bishopthorpe Roa'!$A$12:$A$130,"&lt;"&amp;Diagram!$P4)))</f>
        <v>0</v>
      </c>
      <c r="BC4" s="42">
        <f ca="1">IF(OR($I$10="",$O4="",$P4="",$J$37&lt;&gt;"Yes"),0,IF($K$10=0,SUMIFS(INDIRECT(ADDRESS(12,3+18*1+(2),,,"J1 A - (North) Bishopthorpe Roa")&amp;":"&amp;ADDRESS(130,3+18*1+(2))),'J1 A - (North) Bishopthorpe Roa'!$A$12:$A$130,"&gt;="&amp;Diagram!$O4,'J1 A - (North) Bishopthorpe Roa'!$A$12:$A$130,"&lt;"&amp;Diagram!$P4),SUMIFS(INDIRECT(ADDRESS(12,3+18*1+(10),,,"J1 A - (North) Bishopthorpe Roa")&amp;":"&amp;ADDRESS(130,3+18*1+(10))),'J1 A - (North) Bishopthorpe Roa'!$A$12:$A$130,"&gt;="&amp;Diagram!$O4,'J1 A - (North) Bishopthorpe Roa'!$A$12:$A$130,"&lt;"&amp;Diagram!$P4)))</f>
        <v>0</v>
      </c>
      <c r="BD4" s="42">
        <f ca="1">IF(OR($I$10="",$O4="",$P4="",$J$37&lt;&gt;"Yes"),0,IF($K$10=0,SUMIFS(INDIRECT(ADDRESS(12,3+18*2+(2),,,"J1 A - (North) Bishopthorpe Roa")&amp;":"&amp;ADDRESS(130,3+18*2+(2))),'J1 A - (North) Bishopthorpe Roa'!$A$12:$A$130,"&gt;="&amp;Diagram!$O4,'J1 A - (North) Bishopthorpe Roa'!$A$12:$A$130,"&lt;"&amp;Diagram!$P4),SUMIFS(INDIRECT(ADDRESS(12,3+18*2+(10),,,"J1 A - (North) Bishopthorpe Roa")&amp;":"&amp;ADDRESS(130,3+18*2+(10))),'J1 A - (North) Bishopthorpe Roa'!$A$12:$A$130,"&gt;="&amp;Diagram!$O4,'J1 A - (North) Bishopthorpe Roa'!$A$12:$A$130,"&lt;"&amp;Diagram!$P4)))</f>
        <v>0</v>
      </c>
      <c r="BE4" s="42">
        <f ca="1">IF(OR($I$10="",$O4="",$P4="",$J$37&lt;&gt;"Yes"),0,IF($K$10=0,SUMIFS(INDIRECT(ADDRESS(12,3+18*2+(2),,,"J1 B - Butcher Terrace")&amp;":"&amp;ADDRESS(130,3+18*2+(2))),'J1 B - Butcher Terrace'!$A$12:$A$130,"&gt;="&amp;Diagram!$O4,'J1 B - Butcher Terrace'!$A$12:$A$130,"&lt;"&amp;Diagram!$P4),SUMIFS(INDIRECT(ADDRESS(12,3+18*2+(10),,,"J1 B - Butcher Terrace")&amp;":"&amp;ADDRESS(130,3+18*2+(10))),'J1 B - Butcher Terrace'!$A$12:$A$130,"&gt;="&amp;Diagram!$O4,'J1 B - Butcher Terrace'!$A$12:$A$130,"&lt;"&amp;Diagram!$P4)))</f>
        <v>0</v>
      </c>
      <c r="BF4" s="42">
        <f ca="1">IF(OR($I$10="",$O4="",$P4="",$J$37&lt;&gt;"Yes"),0,IF($K$10=0,SUMIFS(INDIRECT(ADDRESS(12,3+18*3+(2),,,"J1 B - Butcher Terrace")&amp;":"&amp;ADDRESS(130,3+18*3+(2))),'J1 B - Butcher Terrace'!$A$12:$A$130,"&gt;="&amp;Diagram!$O4,'J1 B - Butcher Terrace'!$A$12:$A$130,"&lt;"&amp;Diagram!$P4),SUMIFS(INDIRECT(ADDRESS(12,3+18*3+(10),,,"J1 B - Butcher Terrace")&amp;":"&amp;ADDRESS(130,3+18*3+(10))),'J1 B - Butcher Terrace'!$A$12:$A$130,"&gt;="&amp;Diagram!$O4,'J1 B - Butcher Terrace'!$A$12:$A$130,"&lt;"&amp;Diagram!$P4)))</f>
        <v>0</v>
      </c>
      <c r="BG4" s="42">
        <f ca="1">IF(OR($I$10="",$O4="",$P4="",$J$37&lt;&gt;"Yes"),0,IF($K$10=0,SUMIFS(INDIRECT(ADDRESS(12,3+18*0+(2),,,"J1 B - Butcher Terrace")&amp;":"&amp;ADDRESS(130,3+18*0+(2))),'J1 B - Butcher Terrace'!$A$12:$A$130,"&gt;="&amp;Diagram!$O4,'J1 B - Butcher Terrace'!$A$12:$A$130,"&lt;"&amp;Diagram!$P4),SUMIFS(INDIRECT(ADDRESS(12,3+18*0+(10),,,"J1 B - Butcher Terrace")&amp;":"&amp;ADDRESS(130,3+18*0+(10))),'J1 B - Butcher Terrace'!$A$12:$A$130,"&gt;="&amp;Diagram!$O4,'J1 B - Butcher Terrace'!$A$12:$A$130,"&lt;"&amp;Diagram!$P4)))</f>
        <v>0</v>
      </c>
      <c r="BH4" s="42">
        <f ca="1">IF(OR($I$10="",$O4="",$P4="",$J$37&lt;&gt;"Yes"),0,IF($K$10=0,SUMIFS(INDIRECT(ADDRESS(12,3+18*1+(2),,,"J1 B - Butcher Terrace")&amp;":"&amp;ADDRESS(130,3+18*1+(2))),'J1 B - Butcher Terrace'!$A$12:$A$130,"&gt;="&amp;Diagram!$O4,'J1 B - Butcher Terrace'!$A$12:$A$130,"&lt;"&amp;Diagram!$P4),SUMIFS(INDIRECT(ADDRESS(12,3+18*1+(10),,,"J1 B - Butcher Terrace")&amp;":"&amp;ADDRESS(130,3+18*1+(10))),'J1 B - Butcher Terrace'!$A$12:$A$130,"&gt;="&amp;Diagram!$O4,'J1 B - Butcher Terrace'!$A$12:$A$130,"&lt;"&amp;Diagram!$P4)))</f>
        <v>0</v>
      </c>
      <c r="BI4" s="42">
        <f ca="1">IF(OR($I$10="",$O4="",$P4="",$J$37&lt;&gt;"Yes"),0,IF($K$10=0,SUMIFS(INDIRECT(ADDRESS(12,3+18*1+(2),,,"J1 C - (South) Bishopthorpe Roa")&amp;":"&amp;ADDRESS(130,3+18*1+(2))),'J1 C - (South) Bishopthorpe Roa'!$A$12:$A$130,"&gt;="&amp;Diagram!$O4,'J1 C - (South) Bishopthorpe Roa'!$A$12:$A$130,"&lt;"&amp;Diagram!$P4),SUMIFS(INDIRECT(ADDRESS(12,3+18*1+(10),,,"J1 C - (South) Bishopthorpe Roa")&amp;":"&amp;ADDRESS(130,3+18*1+(10))),'J1 C - (South) Bishopthorpe Roa'!$A$12:$A$130,"&gt;="&amp;Diagram!$O4,'J1 C - (South) Bishopthorpe Roa'!$A$12:$A$130,"&lt;"&amp;Diagram!$P4)))</f>
        <v>0</v>
      </c>
      <c r="BJ4" s="42">
        <f ca="1">IF(OR($I$10="",$O4="",$P4="",$J$37&lt;&gt;"Yes"),0,IF($K$10=0,SUMIFS(INDIRECT(ADDRESS(12,3+18*2+(2),,,"J1 C - (South) Bishopthorpe Roa")&amp;":"&amp;ADDRESS(130,3+18*2+(2))),'J1 C - (South) Bishopthorpe Roa'!$A$12:$A$130,"&gt;="&amp;Diagram!$O4,'J1 C - (South) Bishopthorpe Roa'!$A$12:$A$130,"&lt;"&amp;Diagram!$P4),SUMIFS(INDIRECT(ADDRESS(12,3+18*2+(10),,,"J1 C - (South) Bishopthorpe Roa")&amp;":"&amp;ADDRESS(130,3+18*2+(10))),'J1 C - (South) Bishopthorpe Roa'!$A$12:$A$130,"&gt;="&amp;Diagram!$O4,'J1 C - (South) Bishopthorpe Roa'!$A$12:$A$130,"&lt;"&amp;Diagram!$P4)))</f>
        <v>0</v>
      </c>
      <c r="BK4" s="42">
        <f ca="1">IF(OR($I$10="",$O4="",$P4="",$J$37&lt;&gt;"Yes"),0,IF($K$10=0,SUMIFS(INDIRECT(ADDRESS(12,3+18*3+(2),,,"J1 C - (South) Bishopthorpe Roa")&amp;":"&amp;ADDRESS(130,3+18*3+(2))),'J1 C - (South) Bishopthorpe Roa'!$A$12:$A$130,"&gt;="&amp;Diagram!$O4,'J1 C - (South) Bishopthorpe Roa'!$A$12:$A$130,"&lt;"&amp;Diagram!$P4),SUMIFS(INDIRECT(ADDRESS(12,3+18*3+(10),,,"J1 C - (South) Bishopthorpe Roa")&amp;":"&amp;ADDRESS(130,3+18*3+(10))),'J1 C - (South) Bishopthorpe Roa'!$A$12:$A$130,"&gt;="&amp;Diagram!$O4,'J1 C - (South) Bishopthorpe Roa'!$A$12:$A$130,"&lt;"&amp;Diagram!$P4)))</f>
        <v>0</v>
      </c>
      <c r="BL4" s="42">
        <f ca="1">IF(OR($I$10="",$O4="",$P4="",$J$37&lt;&gt;"Yes"),0,IF($K$10=0,SUMIFS(INDIRECT(ADDRESS(12,3+18*0+(2),,,"J1 C - (South) Bishopthorpe Roa")&amp;":"&amp;ADDRESS(130,3+18*0+(2))),'J1 C - (South) Bishopthorpe Roa'!$A$12:$A$130,"&gt;="&amp;Diagram!$O4,'J1 C - (South) Bishopthorpe Roa'!$A$12:$A$130,"&lt;"&amp;Diagram!$P4),SUMIFS(INDIRECT(ADDRESS(12,3+18*0+(10),,,"J1 C - (South) Bishopthorpe Roa")&amp;":"&amp;ADDRESS(130,3+18*0+(10))),'J1 C - (South) Bishopthorpe Roa'!$A$12:$A$130,"&gt;="&amp;Diagram!$O4,'J1 C - (South) Bishopthorpe Roa'!$A$12:$A$130,"&lt;"&amp;Diagram!$P4)))</f>
        <v>0</v>
      </c>
      <c r="BM4" s="42">
        <f ca="1">IF(OR($I$10="",$O4="",$P4="",$J$37&lt;&gt;"Yes"),0,IF($K$10=0,SUMIFS(INDIRECT(ADDRESS(12,3+18*0+(2),,,"J1 D - South Bank Avenue")&amp;":"&amp;ADDRESS(130,3+18*0+(2))),'J1 D - South Bank Avenue'!$A$12:$A$130,"&gt;="&amp;Diagram!$O4,'J1 D - South Bank Avenue'!$A$12:$A$130,"&lt;"&amp;Diagram!$P4),SUMIFS(INDIRECT(ADDRESS(12,3+18*0+(10),,,"J1 D - South Bank Avenue")&amp;":"&amp;ADDRESS(130,3+18*0+(10))),'J1 D - South Bank Avenue'!$A$12:$A$130,"&gt;="&amp;Diagram!$O4,'J1 D - South Bank Avenue'!$A$12:$A$130,"&lt;"&amp;Diagram!$P4)))</f>
        <v>0</v>
      </c>
      <c r="BN4" s="42">
        <f ca="1">IF(OR($I$10="",$O4="",$P4="",$J$37&lt;&gt;"Yes"),0,IF($K$10=0,SUMIFS(INDIRECT(ADDRESS(12,3+18*1+(2),,,"J1 D - South Bank Avenue")&amp;":"&amp;ADDRESS(130,3+18*1+(2))),'J1 D - South Bank Avenue'!$A$12:$A$130,"&gt;="&amp;Diagram!$O4,'J1 D - South Bank Avenue'!$A$12:$A$130,"&lt;"&amp;Diagram!$P4),SUMIFS(INDIRECT(ADDRESS(12,3+18*1+(10),,,"J1 D - South Bank Avenue")&amp;":"&amp;ADDRESS(130,3+18*1+(10))),'J1 D - South Bank Avenue'!$A$12:$A$130,"&gt;="&amp;Diagram!$O4,'J1 D - South Bank Avenue'!$A$12:$A$130,"&lt;"&amp;Diagram!$P4)))</f>
        <v>0</v>
      </c>
      <c r="BO4" s="42">
        <f ca="1">IF(OR($I$10="",$O4="",$P4="",$J$37&lt;&gt;"Yes"),0,IF($K$10=0,SUMIFS(INDIRECT(ADDRESS(12,3+18*2+(2),,,"J1 D - South Bank Avenue")&amp;":"&amp;ADDRESS(130,3+18*2+(2))),'J1 D - South Bank Avenue'!$A$12:$A$130,"&gt;="&amp;Diagram!$O4,'J1 D - South Bank Avenue'!$A$12:$A$130,"&lt;"&amp;Diagram!$P4),SUMIFS(INDIRECT(ADDRESS(12,3+18*2+(10),,,"J1 D - South Bank Avenue")&amp;":"&amp;ADDRESS(130,3+18*2+(10))),'J1 D - South Bank Avenue'!$A$12:$A$130,"&gt;="&amp;Diagram!$O4,'J1 D - South Bank Avenue'!$A$12:$A$130,"&lt;"&amp;Diagram!$P4)))</f>
        <v>0</v>
      </c>
      <c r="BP4" s="42">
        <f ca="1">IF(OR($I$10="",$O4="",$P4="",$J$37&lt;&gt;"Yes"),0,IF($K$10=0,SUMIFS(INDIRECT(ADDRESS(12,3+18*3+(2),,,"J1 D - South Bank Avenue")&amp;":"&amp;ADDRESS(130,3+18*3+(2))),'J1 D - South Bank Avenue'!$A$12:$A$130,"&gt;="&amp;Diagram!$O4,'J1 D - South Bank Avenue'!$A$12:$A$130,"&lt;"&amp;Diagram!$P4),SUMIFS(INDIRECT(ADDRESS(12,3+18*3+(10),,,"J1 D - South Bank Avenue")&amp;":"&amp;ADDRESS(130,3+18*3+(10))),'J1 D - South Bank Avenue'!$A$12:$A$130,"&gt;="&amp;Diagram!$O4,'J1 D - South Bank Avenue'!$A$12:$A$130,"&lt;"&amp;Diagram!$P4)))</f>
        <v>0</v>
      </c>
      <c r="BQ4" s="42">
        <f t="shared" ca="1" si="4"/>
        <v>0</v>
      </c>
      <c r="BR4" s="42">
        <f ca="1">IF(OR($I$10="",$O4="",$P4="",$J$38&lt;&gt;"Yes"),0,IF($K$10=0,SUMIFS(INDIRECT(ADDRESS(12,3+18*3+(3),,,"J1 A - (North) Bishopthorpe Roa")&amp;":"&amp;ADDRESS(130,3+18*3+(3))),'J1 A - (North) Bishopthorpe Roa'!$A$12:$A$130,"&gt;="&amp;Diagram!$O4,'J1 A - (North) Bishopthorpe Roa'!$A$12:$A$130,"&lt;"&amp;Diagram!$P4),SUMIFS(INDIRECT(ADDRESS(12,3+18*3+(11),,,"J1 A - (North) Bishopthorpe Roa")&amp;":"&amp;ADDRESS(130,3+18*3+(11))),'J1 A - (North) Bishopthorpe Roa'!$A$12:$A$130,"&gt;="&amp;Diagram!$O4,'J1 A - (North) Bishopthorpe Roa'!$A$12:$A$130,"&lt;"&amp;Diagram!$P4)))</f>
        <v>0</v>
      </c>
      <c r="BS4" s="42">
        <f ca="1">IF(OR($I$10="",$O4="",$P4="",$J$38&lt;&gt;"Yes"),0,IF($K$10=0,SUMIFS(INDIRECT(ADDRESS(12,3+18*0+(3),,,"J1 A - (North) Bishopthorpe Roa")&amp;":"&amp;ADDRESS(130,3+18*0+(3))),'J1 A - (North) Bishopthorpe Roa'!$A$12:$A$130,"&gt;="&amp;Diagram!$O4,'J1 A - (North) Bishopthorpe Roa'!$A$12:$A$130,"&lt;"&amp;Diagram!$P4),SUMIFS(INDIRECT(ADDRESS(12,3+18*0+(11),,,"J1 A - (North) Bishopthorpe Roa")&amp;":"&amp;ADDRESS(130,3+18*0+(11))),'J1 A - (North) Bishopthorpe Roa'!$A$12:$A$130,"&gt;="&amp;Diagram!$O4,'J1 A - (North) Bishopthorpe Roa'!$A$12:$A$130,"&lt;"&amp;Diagram!$P4)))</f>
        <v>0</v>
      </c>
      <c r="BT4" s="42">
        <f ca="1">IF(OR($I$10="",$O4="",$P4="",$J$38&lt;&gt;"Yes"),0,IF($K$10=0,SUMIFS(INDIRECT(ADDRESS(12,3+18*1+(3),,,"J1 A - (North) Bishopthorpe Roa")&amp;":"&amp;ADDRESS(130,3+18*1+(3))),'J1 A - (North) Bishopthorpe Roa'!$A$12:$A$130,"&gt;="&amp;Diagram!$O4,'J1 A - (North) Bishopthorpe Roa'!$A$12:$A$130,"&lt;"&amp;Diagram!$P4),SUMIFS(INDIRECT(ADDRESS(12,3+18*1+(11),,,"J1 A - (North) Bishopthorpe Roa")&amp;":"&amp;ADDRESS(130,3+18*1+(11))),'J1 A - (North) Bishopthorpe Roa'!$A$12:$A$130,"&gt;="&amp;Diagram!$O4,'J1 A - (North) Bishopthorpe Roa'!$A$12:$A$130,"&lt;"&amp;Diagram!$P4)))</f>
        <v>0</v>
      </c>
      <c r="BU4" s="42">
        <f ca="1">IF(OR($I$10="",$O4="",$P4="",$J$38&lt;&gt;"Yes"),0,IF($K$10=0,SUMIFS(INDIRECT(ADDRESS(12,3+18*2+(3),,,"J1 A - (North) Bishopthorpe Roa")&amp;":"&amp;ADDRESS(130,3+18*2+(3))),'J1 A - (North) Bishopthorpe Roa'!$A$12:$A$130,"&gt;="&amp;Diagram!$O4,'J1 A - (North) Bishopthorpe Roa'!$A$12:$A$130,"&lt;"&amp;Diagram!$P4),SUMIFS(INDIRECT(ADDRESS(12,3+18*2+(11),,,"J1 A - (North) Bishopthorpe Roa")&amp;":"&amp;ADDRESS(130,3+18*2+(11))),'J1 A - (North) Bishopthorpe Roa'!$A$12:$A$130,"&gt;="&amp;Diagram!$O4,'J1 A - (North) Bishopthorpe Roa'!$A$12:$A$130,"&lt;"&amp;Diagram!$P4)))</f>
        <v>0</v>
      </c>
      <c r="BV4" s="42">
        <f ca="1">IF(OR($I$10="",$O4="",$P4="",$J$38&lt;&gt;"Yes"),0,IF($K$10=0,SUMIFS(INDIRECT(ADDRESS(12,3+18*2+(3),,,"J1 B - Butcher Terrace")&amp;":"&amp;ADDRESS(130,3+18*2+(3))),'J1 B - Butcher Terrace'!$A$12:$A$130,"&gt;="&amp;Diagram!$O4,'J1 B - Butcher Terrace'!$A$12:$A$130,"&lt;"&amp;Diagram!$P4),SUMIFS(INDIRECT(ADDRESS(12,3+18*2+(11),,,"J1 B - Butcher Terrace")&amp;":"&amp;ADDRESS(130,3+18*2+(11))),'J1 B - Butcher Terrace'!$A$12:$A$130,"&gt;="&amp;Diagram!$O4,'J1 B - Butcher Terrace'!$A$12:$A$130,"&lt;"&amp;Diagram!$P4)))</f>
        <v>0</v>
      </c>
      <c r="BW4" s="42">
        <f ca="1">IF(OR($I$10="",$O4="",$P4="",$J$38&lt;&gt;"Yes"),0,IF($K$10=0,SUMIFS(INDIRECT(ADDRESS(12,3+18*3+(3),,,"J1 B - Butcher Terrace")&amp;":"&amp;ADDRESS(130,3+18*3+(3))),'J1 B - Butcher Terrace'!$A$12:$A$130,"&gt;="&amp;Diagram!$O4,'J1 B - Butcher Terrace'!$A$12:$A$130,"&lt;"&amp;Diagram!$P4),SUMIFS(INDIRECT(ADDRESS(12,3+18*3+(11),,,"J1 B - Butcher Terrace")&amp;":"&amp;ADDRESS(130,3+18*3+(11))),'J1 B - Butcher Terrace'!$A$12:$A$130,"&gt;="&amp;Diagram!$O4,'J1 B - Butcher Terrace'!$A$12:$A$130,"&lt;"&amp;Diagram!$P4)))</f>
        <v>0</v>
      </c>
      <c r="BX4" s="42">
        <f ca="1">IF(OR($I$10="",$O4="",$P4="",$J$38&lt;&gt;"Yes"),0,IF($K$10=0,SUMIFS(INDIRECT(ADDRESS(12,3+18*0+(3),,,"J1 B - Butcher Terrace")&amp;":"&amp;ADDRESS(130,3+18*0+(3))),'J1 B - Butcher Terrace'!$A$12:$A$130,"&gt;="&amp;Diagram!$O4,'J1 B - Butcher Terrace'!$A$12:$A$130,"&lt;"&amp;Diagram!$P4),SUMIFS(INDIRECT(ADDRESS(12,3+18*0+(11),,,"J1 B - Butcher Terrace")&amp;":"&amp;ADDRESS(130,3+18*0+(11))),'J1 B - Butcher Terrace'!$A$12:$A$130,"&gt;="&amp;Diagram!$O4,'J1 B - Butcher Terrace'!$A$12:$A$130,"&lt;"&amp;Diagram!$P4)))</f>
        <v>0</v>
      </c>
      <c r="BY4" s="42">
        <f ca="1">IF(OR($I$10="",$O4="",$P4="",$J$38&lt;&gt;"Yes"),0,IF($K$10=0,SUMIFS(INDIRECT(ADDRESS(12,3+18*1+(3),,,"J1 B - Butcher Terrace")&amp;":"&amp;ADDRESS(130,3+18*1+(3))),'J1 B - Butcher Terrace'!$A$12:$A$130,"&gt;="&amp;Diagram!$O4,'J1 B - Butcher Terrace'!$A$12:$A$130,"&lt;"&amp;Diagram!$P4),SUMIFS(INDIRECT(ADDRESS(12,3+18*1+(11),,,"J1 B - Butcher Terrace")&amp;":"&amp;ADDRESS(130,3+18*1+(11))),'J1 B - Butcher Terrace'!$A$12:$A$130,"&gt;="&amp;Diagram!$O4,'J1 B - Butcher Terrace'!$A$12:$A$130,"&lt;"&amp;Diagram!$P4)))</f>
        <v>0</v>
      </c>
      <c r="BZ4" s="42">
        <f ca="1">IF(OR($I$10="",$O4="",$P4="",$J$38&lt;&gt;"Yes"),0,IF($K$10=0,SUMIFS(INDIRECT(ADDRESS(12,3+18*1+(3),,,"J1 C - (South) Bishopthorpe Roa")&amp;":"&amp;ADDRESS(130,3+18*1+(3))),'J1 C - (South) Bishopthorpe Roa'!$A$12:$A$130,"&gt;="&amp;Diagram!$O4,'J1 C - (South) Bishopthorpe Roa'!$A$12:$A$130,"&lt;"&amp;Diagram!$P4),SUMIFS(INDIRECT(ADDRESS(12,3+18*1+(11),,,"J1 C - (South) Bishopthorpe Roa")&amp;":"&amp;ADDRESS(130,3+18*1+(11))),'J1 C - (South) Bishopthorpe Roa'!$A$12:$A$130,"&gt;="&amp;Diagram!$O4,'J1 C - (South) Bishopthorpe Roa'!$A$12:$A$130,"&lt;"&amp;Diagram!$P4)))</f>
        <v>0</v>
      </c>
      <c r="CA4" s="42">
        <f ca="1">IF(OR($I$10="",$O4="",$P4="",$J$38&lt;&gt;"Yes"),0,IF($K$10=0,SUMIFS(INDIRECT(ADDRESS(12,3+18*2+(3),,,"J1 C - (South) Bishopthorpe Roa")&amp;":"&amp;ADDRESS(130,3+18*2+(3))),'J1 C - (South) Bishopthorpe Roa'!$A$12:$A$130,"&gt;="&amp;Diagram!$O4,'J1 C - (South) Bishopthorpe Roa'!$A$12:$A$130,"&lt;"&amp;Diagram!$P4),SUMIFS(INDIRECT(ADDRESS(12,3+18*2+(11),,,"J1 C - (South) Bishopthorpe Roa")&amp;":"&amp;ADDRESS(130,3+18*2+(11))),'J1 C - (South) Bishopthorpe Roa'!$A$12:$A$130,"&gt;="&amp;Diagram!$O4,'J1 C - (South) Bishopthorpe Roa'!$A$12:$A$130,"&lt;"&amp;Diagram!$P4)))</f>
        <v>0</v>
      </c>
      <c r="CB4" s="42">
        <f ca="1">IF(OR($I$10="",$O4="",$P4="",$J$38&lt;&gt;"Yes"),0,IF($K$10=0,SUMIFS(INDIRECT(ADDRESS(12,3+18*3+(3),,,"J1 C - (South) Bishopthorpe Roa")&amp;":"&amp;ADDRESS(130,3+18*3+(3))),'J1 C - (South) Bishopthorpe Roa'!$A$12:$A$130,"&gt;="&amp;Diagram!$O4,'J1 C - (South) Bishopthorpe Roa'!$A$12:$A$130,"&lt;"&amp;Diagram!$P4),SUMIFS(INDIRECT(ADDRESS(12,3+18*3+(11),,,"J1 C - (South) Bishopthorpe Roa")&amp;":"&amp;ADDRESS(130,3+18*3+(11))),'J1 C - (South) Bishopthorpe Roa'!$A$12:$A$130,"&gt;="&amp;Diagram!$O4,'J1 C - (South) Bishopthorpe Roa'!$A$12:$A$130,"&lt;"&amp;Diagram!$P4)))</f>
        <v>0</v>
      </c>
      <c r="CC4" s="42">
        <f ca="1">IF(OR($I$10="",$O4="",$P4="",$J$38&lt;&gt;"Yes"),0,IF($K$10=0,SUMIFS(INDIRECT(ADDRESS(12,3+18*0+(3),,,"J1 C - (South) Bishopthorpe Roa")&amp;":"&amp;ADDRESS(130,3+18*0+(3))),'J1 C - (South) Bishopthorpe Roa'!$A$12:$A$130,"&gt;="&amp;Diagram!$O4,'J1 C - (South) Bishopthorpe Roa'!$A$12:$A$130,"&lt;"&amp;Diagram!$P4),SUMIFS(INDIRECT(ADDRESS(12,3+18*0+(11),,,"J1 C - (South) Bishopthorpe Roa")&amp;":"&amp;ADDRESS(130,3+18*0+(11))),'J1 C - (South) Bishopthorpe Roa'!$A$12:$A$130,"&gt;="&amp;Diagram!$O4,'J1 C - (South) Bishopthorpe Roa'!$A$12:$A$130,"&lt;"&amp;Diagram!$P4)))</f>
        <v>0</v>
      </c>
      <c r="CD4" s="42">
        <f ca="1">IF(OR($I$10="",$O4="",$P4="",$J$38&lt;&gt;"Yes"),0,IF($K$10=0,SUMIFS(INDIRECT(ADDRESS(12,3+18*0+(3),,,"J1 D - South Bank Avenue")&amp;":"&amp;ADDRESS(130,3+18*0+(3))),'J1 D - South Bank Avenue'!$A$12:$A$130,"&gt;="&amp;Diagram!$O4,'J1 D - South Bank Avenue'!$A$12:$A$130,"&lt;"&amp;Diagram!$P4),SUMIFS(INDIRECT(ADDRESS(12,3+18*0+(11),,,"J1 D - South Bank Avenue")&amp;":"&amp;ADDRESS(130,3+18*0+(11))),'J1 D - South Bank Avenue'!$A$12:$A$130,"&gt;="&amp;Diagram!$O4,'J1 D - South Bank Avenue'!$A$12:$A$130,"&lt;"&amp;Diagram!$P4)))</f>
        <v>0</v>
      </c>
      <c r="CE4" s="42">
        <f ca="1">IF(OR($I$10="",$O4="",$P4="",$J$38&lt;&gt;"Yes"),0,IF($K$10=0,SUMIFS(INDIRECT(ADDRESS(12,3+18*1+(3),,,"J1 D - South Bank Avenue")&amp;":"&amp;ADDRESS(130,3+18*1+(3))),'J1 D - South Bank Avenue'!$A$12:$A$130,"&gt;="&amp;Diagram!$O4,'J1 D - South Bank Avenue'!$A$12:$A$130,"&lt;"&amp;Diagram!$P4),SUMIFS(INDIRECT(ADDRESS(12,3+18*1+(11),,,"J1 D - South Bank Avenue")&amp;":"&amp;ADDRESS(130,3+18*1+(11))),'J1 D - South Bank Avenue'!$A$12:$A$130,"&gt;="&amp;Diagram!$O4,'J1 D - South Bank Avenue'!$A$12:$A$130,"&lt;"&amp;Diagram!$P4)))</f>
        <v>0</v>
      </c>
      <c r="CF4" s="42">
        <f ca="1">IF(OR($I$10="",$O4="",$P4="",$J$38&lt;&gt;"Yes"),0,IF($K$10=0,SUMIFS(INDIRECT(ADDRESS(12,3+18*2+(3),,,"J1 D - South Bank Avenue")&amp;":"&amp;ADDRESS(130,3+18*2+(3))),'J1 D - South Bank Avenue'!$A$12:$A$130,"&gt;="&amp;Diagram!$O4,'J1 D - South Bank Avenue'!$A$12:$A$130,"&lt;"&amp;Diagram!$P4),SUMIFS(INDIRECT(ADDRESS(12,3+18*2+(11),,,"J1 D - South Bank Avenue")&amp;":"&amp;ADDRESS(130,3+18*2+(11))),'J1 D - South Bank Avenue'!$A$12:$A$130,"&gt;="&amp;Diagram!$O4,'J1 D - South Bank Avenue'!$A$12:$A$130,"&lt;"&amp;Diagram!$P4)))</f>
        <v>0</v>
      </c>
      <c r="CG4" s="42">
        <f ca="1">IF(OR($I$10="",$O4="",$P4="",$J$38&lt;&gt;"Yes"),0,IF($K$10=0,SUMIFS(INDIRECT(ADDRESS(12,3+18*3+(3),,,"J1 D - South Bank Avenue")&amp;":"&amp;ADDRESS(130,3+18*3+(3))),'J1 D - South Bank Avenue'!$A$12:$A$130,"&gt;="&amp;Diagram!$O4,'J1 D - South Bank Avenue'!$A$12:$A$130,"&lt;"&amp;Diagram!$P4),SUMIFS(INDIRECT(ADDRESS(12,3+18*3+(11),,,"J1 D - South Bank Avenue")&amp;":"&amp;ADDRESS(130,3+18*3+(11))),'J1 D - South Bank Avenue'!$A$12:$A$130,"&gt;="&amp;Diagram!$O4,'J1 D - South Bank Avenue'!$A$12:$A$130,"&lt;"&amp;Diagram!$P4)))</f>
        <v>0</v>
      </c>
      <c r="CH4" s="42">
        <f t="shared" ca="1" si="5"/>
        <v>0</v>
      </c>
      <c r="CI4" s="42">
        <f ca="1">IF(OR($I$10="",$O4="",$P4="",$J$39&lt;&gt;"Yes"),0,IF($K$10=0,SUMIFS(INDIRECT(ADDRESS(12,3+18*3+(4),,,"J1 A - (North) Bishopthorpe Roa")&amp;":"&amp;ADDRESS(130,3+18*3+(4))),'J1 A - (North) Bishopthorpe Roa'!$A$12:$A$130,"&gt;="&amp;Diagram!$O4,'J1 A - (North) Bishopthorpe Roa'!$A$12:$A$130,"&lt;"&amp;Diagram!$P4),SUMIFS(INDIRECT(ADDRESS(12,3+18*3+(12),,,"J1 A - (North) Bishopthorpe Roa")&amp;":"&amp;ADDRESS(130,3+18*3+(12))),'J1 A - (North) Bishopthorpe Roa'!$A$12:$A$130,"&gt;="&amp;Diagram!$O4,'J1 A - (North) Bishopthorpe Roa'!$A$12:$A$130,"&lt;"&amp;Diagram!$P4)))</f>
        <v>0</v>
      </c>
      <c r="CJ4" s="42">
        <f ca="1">IF(OR($I$10="",$O4="",$P4="",$J$39&lt;&gt;"Yes"),0,IF($K$10=0,SUMIFS(INDIRECT(ADDRESS(12,3+18*0+(4),,,"J1 A - (North) Bishopthorpe Roa")&amp;":"&amp;ADDRESS(130,3+18*0+(4))),'J1 A - (North) Bishopthorpe Roa'!$A$12:$A$130,"&gt;="&amp;Diagram!$O4,'J1 A - (North) Bishopthorpe Roa'!$A$12:$A$130,"&lt;"&amp;Diagram!$P4),SUMIFS(INDIRECT(ADDRESS(12,3+18*0+(12),,,"J1 A - (North) Bishopthorpe Roa")&amp;":"&amp;ADDRESS(130,3+18*0+(12))),'J1 A - (North) Bishopthorpe Roa'!$A$12:$A$130,"&gt;="&amp;Diagram!$O4,'J1 A - (North) Bishopthorpe Roa'!$A$12:$A$130,"&lt;"&amp;Diagram!$P4)))</f>
        <v>0</v>
      </c>
      <c r="CK4" s="42">
        <f ca="1">IF(OR($I$10="",$O4="",$P4="",$J$39&lt;&gt;"Yes"),0,IF($K$10=0,SUMIFS(INDIRECT(ADDRESS(12,3+18*1+(4),,,"J1 A - (North) Bishopthorpe Roa")&amp;":"&amp;ADDRESS(130,3+18*1+(4))),'J1 A - (North) Bishopthorpe Roa'!$A$12:$A$130,"&gt;="&amp;Diagram!$O4,'J1 A - (North) Bishopthorpe Roa'!$A$12:$A$130,"&lt;"&amp;Diagram!$P4),SUMIFS(INDIRECT(ADDRESS(12,3+18*1+(12),,,"J1 A - (North) Bishopthorpe Roa")&amp;":"&amp;ADDRESS(130,3+18*1+(12))),'J1 A - (North) Bishopthorpe Roa'!$A$12:$A$130,"&gt;="&amp;Diagram!$O4,'J1 A - (North) Bishopthorpe Roa'!$A$12:$A$130,"&lt;"&amp;Diagram!$P4)))</f>
        <v>0</v>
      </c>
      <c r="CL4" s="42">
        <f ca="1">IF(OR($I$10="",$O4="",$P4="",$J$39&lt;&gt;"Yes"),0,IF($K$10=0,SUMIFS(INDIRECT(ADDRESS(12,3+18*2+(4),,,"J1 A - (North) Bishopthorpe Roa")&amp;":"&amp;ADDRESS(130,3+18*2+(4))),'J1 A - (North) Bishopthorpe Roa'!$A$12:$A$130,"&gt;="&amp;Diagram!$O4,'J1 A - (North) Bishopthorpe Roa'!$A$12:$A$130,"&lt;"&amp;Diagram!$P4),SUMIFS(INDIRECT(ADDRESS(12,3+18*2+(12),,,"J1 A - (North) Bishopthorpe Roa")&amp;":"&amp;ADDRESS(130,3+18*2+(12))),'J1 A - (North) Bishopthorpe Roa'!$A$12:$A$130,"&gt;="&amp;Diagram!$O4,'J1 A - (North) Bishopthorpe Roa'!$A$12:$A$130,"&lt;"&amp;Diagram!$P4)))</f>
        <v>0</v>
      </c>
      <c r="CM4" s="42">
        <f ca="1">IF(OR($I$10="",$O4="",$P4="",$J$39&lt;&gt;"Yes"),0,IF($K$10=0,SUMIFS(INDIRECT(ADDRESS(12,3+18*2+(4),,,"J1 B - Butcher Terrace")&amp;":"&amp;ADDRESS(130,3+18*2+(4))),'J1 B - Butcher Terrace'!$A$12:$A$130,"&gt;="&amp;Diagram!$O4,'J1 B - Butcher Terrace'!$A$12:$A$130,"&lt;"&amp;Diagram!$P4),SUMIFS(INDIRECT(ADDRESS(12,3+18*2+(12),,,"J1 B - Butcher Terrace")&amp;":"&amp;ADDRESS(130,3+18*2+(12))),'J1 B - Butcher Terrace'!$A$12:$A$130,"&gt;="&amp;Diagram!$O4,'J1 B - Butcher Terrace'!$A$12:$A$130,"&lt;"&amp;Diagram!$P4)))</f>
        <v>0</v>
      </c>
      <c r="CN4" s="42">
        <f ca="1">IF(OR($I$10="",$O4="",$P4="",$J$39&lt;&gt;"Yes"),0,IF($K$10=0,SUMIFS(INDIRECT(ADDRESS(12,3+18*3+(4),,,"J1 B - Butcher Terrace")&amp;":"&amp;ADDRESS(130,3+18*3+(4))),'J1 B - Butcher Terrace'!$A$12:$A$130,"&gt;="&amp;Diagram!$O4,'J1 B - Butcher Terrace'!$A$12:$A$130,"&lt;"&amp;Diagram!$P4),SUMIFS(INDIRECT(ADDRESS(12,3+18*3+(12),,,"J1 B - Butcher Terrace")&amp;":"&amp;ADDRESS(130,3+18*3+(12))),'J1 B - Butcher Terrace'!$A$12:$A$130,"&gt;="&amp;Diagram!$O4,'J1 B - Butcher Terrace'!$A$12:$A$130,"&lt;"&amp;Diagram!$P4)))</f>
        <v>0</v>
      </c>
      <c r="CO4" s="42">
        <f ca="1">IF(OR($I$10="",$O4="",$P4="",$J$39&lt;&gt;"Yes"),0,IF($K$10=0,SUMIFS(INDIRECT(ADDRESS(12,3+18*0+(4),,,"J1 B - Butcher Terrace")&amp;":"&amp;ADDRESS(130,3+18*0+(4))),'J1 B - Butcher Terrace'!$A$12:$A$130,"&gt;="&amp;Diagram!$O4,'J1 B - Butcher Terrace'!$A$12:$A$130,"&lt;"&amp;Diagram!$P4),SUMIFS(INDIRECT(ADDRESS(12,3+18*0+(12),,,"J1 B - Butcher Terrace")&amp;":"&amp;ADDRESS(130,3+18*0+(12))),'J1 B - Butcher Terrace'!$A$12:$A$130,"&gt;="&amp;Diagram!$O4,'J1 B - Butcher Terrace'!$A$12:$A$130,"&lt;"&amp;Diagram!$P4)))</f>
        <v>0</v>
      </c>
      <c r="CP4" s="42">
        <f ca="1">IF(OR($I$10="",$O4="",$P4="",$J$39&lt;&gt;"Yes"),0,IF($K$10=0,SUMIFS(INDIRECT(ADDRESS(12,3+18*1+(4),,,"J1 B - Butcher Terrace")&amp;":"&amp;ADDRESS(130,3+18*1+(4))),'J1 B - Butcher Terrace'!$A$12:$A$130,"&gt;="&amp;Diagram!$O4,'J1 B - Butcher Terrace'!$A$12:$A$130,"&lt;"&amp;Diagram!$P4),SUMIFS(INDIRECT(ADDRESS(12,3+18*1+(12),,,"J1 B - Butcher Terrace")&amp;":"&amp;ADDRESS(130,3+18*1+(12))),'J1 B - Butcher Terrace'!$A$12:$A$130,"&gt;="&amp;Diagram!$O4,'J1 B - Butcher Terrace'!$A$12:$A$130,"&lt;"&amp;Diagram!$P4)))</f>
        <v>0</v>
      </c>
      <c r="CQ4" s="42">
        <f ca="1">IF(OR($I$10="",$O4="",$P4="",$J$39&lt;&gt;"Yes"),0,IF($K$10=0,SUMIFS(INDIRECT(ADDRESS(12,3+18*1+(4),,,"J1 C - (South) Bishopthorpe Roa")&amp;":"&amp;ADDRESS(130,3+18*1+(4))),'J1 C - (South) Bishopthorpe Roa'!$A$12:$A$130,"&gt;="&amp;Diagram!$O4,'J1 C - (South) Bishopthorpe Roa'!$A$12:$A$130,"&lt;"&amp;Diagram!$P4),SUMIFS(INDIRECT(ADDRESS(12,3+18*1+(12),,,"J1 C - (South) Bishopthorpe Roa")&amp;":"&amp;ADDRESS(130,3+18*1+(12))),'J1 C - (South) Bishopthorpe Roa'!$A$12:$A$130,"&gt;="&amp;Diagram!$O4,'J1 C - (South) Bishopthorpe Roa'!$A$12:$A$130,"&lt;"&amp;Diagram!$P4)))</f>
        <v>0</v>
      </c>
      <c r="CR4" s="42">
        <f ca="1">IF(OR($I$10="",$O4="",$P4="",$J$39&lt;&gt;"Yes"),0,IF($K$10=0,SUMIFS(INDIRECT(ADDRESS(12,3+18*2+(4),,,"J1 C - (South) Bishopthorpe Roa")&amp;":"&amp;ADDRESS(130,3+18*2+(4))),'J1 C - (South) Bishopthorpe Roa'!$A$12:$A$130,"&gt;="&amp;Diagram!$O4,'J1 C - (South) Bishopthorpe Roa'!$A$12:$A$130,"&lt;"&amp;Diagram!$P4),SUMIFS(INDIRECT(ADDRESS(12,3+18*2+(12),,,"J1 C - (South) Bishopthorpe Roa")&amp;":"&amp;ADDRESS(130,3+18*2+(12))),'J1 C - (South) Bishopthorpe Roa'!$A$12:$A$130,"&gt;="&amp;Diagram!$O4,'J1 C - (South) Bishopthorpe Roa'!$A$12:$A$130,"&lt;"&amp;Diagram!$P4)))</f>
        <v>0</v>
      </c>
      <c r="CS4" s="42">
        <f ca="1">IF(OR($I$10="",$O4="",$P4="",$J$39&lt;&gt;"Yes"),0,IF($K$10=0,SUMIFS(INDIRECT(ADDRESS(12,3+18*3+(4),,,"J1 C - (South) Bishopthorpe Roa")&amp;":"&amp;ADDRESS(130,3+18*3+(4))),'J1 C - (South) Bishopthorpe Roa'!$A$12:$A$130,"&gt;="&amp;Diagram!$O4,'J1 C - (South) Bishopthorpe Roa'!$A$12:$A$130,"&lt;"&amp;Diagram!$P4),SUMIFS(INDIRECT(ADDRESS(12,3+18*3+(12),,,"J1 C - (South) Bishopthorpe Roa")&amp;":"&amp;ADDRESS(130,3+18*3+(12))),'J1 C - (South) Bishopthorpe Roa'!$A$12:$A$130,"&gt;="&amp;Diagram!$O4,'J1 C - (South) Bishopthorpe Roa'!$A$12:$A$130,"&lt;"&amp;Diagram!$P4)))</f>
        <v>0</v>
      </c>
      <c r="CT4" s="42">
        <f ca="1">IF(OR($I$10="",$O4="",$P4="",$J$39&lt;&gt;"Yes"),0,IF($K$10=0,SUMIFS(INDIRECT(ADDRESS(12,3+18*0+(4),,,"J1 C - (South) Bishopthorpe Roa")&amp;":"&amp;ADDRESS(130,3+18*0+(4))),'J1 C - (South) Bishopthorpe Roa'!$A$12:$A$130,"&gt;="&amp;Diagram!$O4,'J1 C - (South) Bishopthorpe Roa'!$A$12:$A$130,"&lt;"&amp;Diagram!$P4),SUMIFS(INDIRECT(ADDRESS(12,3+18*0+(12),,,"J1 C - (South) Bishopthorpe Roa")&amp;":"&amp;ADDRESS(130,3+18*0+(12))),'J1 C - (South) Bishopthorpe Roa'!$A$12:$A$130,"&gt;="&amp;Diagram!$O4,'J1 C - (South) Bishopthorpe Roa'!$A$12:$A$130,"&lt;"&amp;Diagram!$P4)))</f>
        <v>0</v>
      </c>
      <c r="CU4" s="42">
        <f ca="1">IF(OR($I$10="",$O4="",$P4="",$J$39&lt;&gt;"Yes"),0,IF($K$10=0,SUMIFS(INDIRECT(ADDRESS(12,3+18*0+(4),,,"J1 D - South Bank Avenue")&amp;":"&amp;ADDRESS(130,3+18*0+(4))),'J1 D - South Bank Avenue'!$A$12:$A$130,"&gt;="&amp;Diagram!$O4,'J1 D - South Bank Avenue'!$A$12:$A$130,"&lt;"&amp;Diagram!$P4),SUMIFS(INDIRECT(ADDRESS(12,3+18*0+(12),,,"J1 D - South Bank Avenue")&amp;":"&amp;ADDRESS(130,3+18*0+(12))),'J1 D - South Bank Avenue'!$A$12:$A$130,"&gt;="&amp;Diagram!$O4,'J1 D - South Bank Avenue'!$A$12:$A$130,"&lt;"&amp;Diagram!$P4)))</f>
        <v>0</v>
      </c>
      <c r="CV4" s="42">
        <f ca="1">IF(OR($I$10="",$O4="",$P4="",$J$39&lt;&gt;"Yes"),0,IF($K$10=0,SUMIFS(INDIRECT(ADDRESS(12,3+18*1+(4),,,"J1 D - South Bank Avenue")&amp;":"&amp;ADDRESS(130,3+18*1+(4))),'J1 D - South Bank Avenue'!$A$12:$A$130,"&gt;="&amp;Diagram!$O4,'J1 D - South Bank Avenue'!$A$12:$A$130,"&lt;"&amp;Diagram!$P4),SUMIFS(INDIRECT(ADDRESS(12,3+18*1+(12),,,"J1 D - South Bank Avenue")&amp;":"&amp;ADDRESS(130,3+18*1+(12))),'J1 D - South Bank Avenue'!$A$12:$A$130,"&gt;="&amp;Diagram!$O4,'J1 D - South Bank Avenue'!$A$12:$A$130,"&lt;"&amp;Diagram!$P4)))</f>
        <v>0</v>
      </c>
      <c r="CW4" s="42">
        <f ca="1">IF(OR($I$10="",$O4="",$P4="",$J$39&lt;&gt;"Yes"),0,IF($K$10=0,SUMIFS(INDIRECT(ADDRESS(12,3+18*2+(4),,,"J1 D - South Bank Avenue")&amp;":"&amp;ADDRESS(130,3+18*2+(4))),'J1 D - South Bank Avenue'!$A$12:$A$130,"&gt;="&amp;Diagram!$O4,'J1 D - South Bank Avenue'!$A$12:$A$130,"&lt;"&amp;Diagram!$P4),SUMIFS(INDIRECT(ADDRESS(12,3+18*2+(12),,,"J1 D - South Bank Avenue")&amp;":"&amp;ADDRESS(130,3+18*2+(12))),'J1 D - South Bank Avenue'!$A$12:$A$130,"&gt;="&amp;Diagram!$O4,'J1 D - South Bank Avenue'!$A$12:$A$130,"&lt;"&amp;Diagram!$P4)))</f>
        <v>0</v>
      </c>
      <c r="CX4" s="42">
        <f ca="1">IF(OR($I$10="",$O4="",$P4="",$J$39&lt;&gt;"Yes"),0,IF($K$10=0,SUMIFS(INDIRECT(ADDRESS(12,3+18*3+(4),,,"J1 D - South Bank Avenue")&amp;":"&amp;ADDRESS(130,3+18*3+(4))),'J1 D - South Bank Avenue'!$A$12:$A$130,"&gt;="&amp;Diagram!$O4,'J1 D - South Bank Avenue'!$A$12:$A$130,"&lt;"&amp;Diagram!$P4),SUMIFS(INDIRECT(ADDRESS(12,3+18*3+(12),,,"J1 D - South Bank Avenue")&amp;":"&amp;ADDRESS(130,3+18*3+(12))),'J1 D - South Bank Avenue'!$A$12:$A$130,"&gt;="&amp;Diagram!$O4,'J1 D - South Bank Avenue'!$A$12:$A$130,"&lt;"&amp;Diagram!$P4)))</f>
        <v>0</v>
      </c>
      <c r="CY4" s="42">
        <f t="shared" ca="1" si="6"/>
        <v>4</v>
      </c>
      <c r="CZ4" s="42">
        <f ca="1">IF(OR($I$10="",$O4="",$P4="",$J$40&lt;&gt;"Yes"),0,IF($K$10=0,SUMIFS(INDIRECT(ADDRESS(12,3+18*3+(5),,,"J1 A - (North) Bishopthorpe Roa")&amp;":"&amp;ADDRESS(130,3+18*3+(5))),'J1 A - (North) Bishopthorpe Roa'!$A$12:$A$130,"&gt;="&amp;Diagram!$O4,'J1 A - (North) Bishopthorpe Roa'!$A$12:$A$130,"&lt;"&amp;Diagram!$P4),SUMIFS(INDIRECT(ADDRESS(12,3+18*3+(13),,,"J1 A - (North) Bishopthorpe Roa")&amp;":"&amp;ADDRESS(130,3+18*3+(13))),'J1 A - (North) Bishopthorpe Roa'!$A$12:$A$130,"&gt;="&amp;Diagram!$O4,'J1 A - (North) Bishopthorpe Roa'!$A$12:$A$130,"&lt;"&amp;Diagram!$P4)))</f>
        <v>0</v>
      </c>
      <c r="DA4" s="42">
        <f ca="1">IF(OR($I$10="",$O4="",$P4="",$J$40&lt;&gt;"Yes"),0,IF($K$10=0,SUMIFS(INDIRECT(ADDRESS(12,3+18*0+(5),,,"J1 A - (North) Bishopthorpe Roa")&amp;":"&amp;ADDRESS(130,3+18*0+(5))),'J1 A - (North) Bishopthorpe Roa'!$A$12:$A$130,"&gt;="&amp;Diagram!$O4,'J1 A - (North) Bishopthorpe Roa'!$A$12:$A$130,"&lt;"&amp;Diagram!$P4),SUMIFS(INDIRECT(ADDRESS(12,3+18*0+(13),,,"J1 A - (North) Bishopthorpe Roa")&amp;":"&amp;ADDRESS(130,3+18*0+(13))),'J1 A - (North) Bishopthorpe Roa'!$A$12:$A$130,"&gt;="&amp;Diagram!$O4,'J1 A - (North) Bishopthorpe Roa'!$A$12:$A$130,"&lt;"&amp;Diagram!$P4)))</f>
        <v>0</v>
      </c>
      <c r="DB4" s="42">
        <f ca="1">IF(OR($I$10="",$O4="",$P4="",$J$40&lt;&gt;"Yes"),0,IF($K$10=0,SUMIFS(INDIRECT(ADDRESS(12,3+18*1+(5),,,"J1 A - (North) Bishopthorpe Roa")&amp;":"&amp;ADDRESS(130,3+18*1+(5))),'J1 A - (North) Bishopthorpe Roa'!$A$12:$A$130,"&gt;="&amp;Diagram!$O4,'J1 A - (North) Bishopthorpe Roa'!$A$12:$A$130,"&lt;"&amp;Diagram!$P4),SUMIFS(INDIRECT(ADDRESS(12,3+18*1+(13),,,"J1 A - (North) Bishopthorpe Roa")&amp;":"&amp;ADDRESS(130,3+18*1+(13))),'J1 A - (North) Bishopthorpe Roa'!$A$12:$A$130,"&gt;="&amp;Diagram!$O4,'J1 A - (North) Bishopthorpe Roa'!$A$12:$A$130,"&lt;"&amp;Diagram!$P4)))</f>
        <v>3</v>
      </c>
      <c r="DC4" s="42">
        <f ca="1">IF(OR($I$10="",$O4="",$P4="",$J$40&lt;&gt;"Yes"),0,IF($K$10=0,SUMIFS(INDIRECT(ADDRESS(12,3+18*2+(5),,,"J1 A - (North) Bishopthorpe Roa")&amp;":"&amp;ADDRESS(130,3+18*2+(5))),'J1 A - (North) Bishopthorpe Roa'!$A$12:$A$130,"&gt;="&amp;Diagram!$O4,'J1 A - (North) Bishopthorpe Roa'!$A$12:$A$130,"&lt;"&amp;Diagram!$P4),SUMIFS(INDIRECT(ADDRESS(12,3+18*2+(13),,,"J1 A - (North) Bishopthorpe Roa")&amp;":"&amp;ADDRESS(130,3+18*2+(13))),'J1 A - (North) Bishopthorpe Roa'!$A$12:$A$130,"&gt;="&amp;Diagram!$O4,'J1 A - (North) Bishopthorpe Roa'!$A$12:$A$130,"&lt;"&amp;Diagram!$P4)))</f>
        <v>0</v>
      </c>
      <c r="DD4" s="42">
        <f ca="1">IF(OR($I$10="",$O4="",$P4="",$J$40&lt;&gt;"Yes"),0,IF($K$10=0,SUMIFS(INDIRECT(ADDRESS(12,3+18*2+(5),,,"J1 B - Butcher Terrace")&amp;":"&amp;ADDRESS(130,3+18*2+(5))),'J1 B - Butcher Terrace'!$A$12:$A$130,"&gt;="&amp;Diagram!$O4,'J1 B - Butcher Terrace'!$A$12:$A$130,"&lt;"&amp;Diagram!$P4),SUMIFS(INDIRECT(ADDRESS(12,3+18*2+(13),,,"J1 B - Butcher Terrace")&amp;":"&amp;ADDRESS(130,3+18*2+(13))),'J1 B - Butcher Terrace'!$A$12:$A$130,"&gt;="&amp;Diagram!$O4,'J1 B - Butcher Terrace'!$A$12:$A$130,"&lt;"&amp;Diagram!$P4)))</f>
        <v>0</v>
      </c>
      <c r="DE4" s="42">
        <f ca="1">IF(OR($I$10="",$O4="",$P4="",$J$40&lt;&gt;"Yes"),0,IF($K$10=0,SUMIFS(INDIRECT(ADDRESS(12,3+18*3+(5),,,"J1 B - Butcher Terrace")&amp;":"&amp;ADDRESS(130,3+18*3+(5))),'J1 B - Butcher Terrace'!$A$12:$A$130,"&gt;="&amp;Diagram!$O4,'J1 B - Butcher Terrace'!$A$12:$A$130,"&lt;"&amp;Diagram!$P4),SUMIFS(INDIRECT(ADDRESS(12,3+18*3+(13),,,"J1 B - Butcher Terrace")&amp;":"&amp;ADDRESS(130,3+18*3+(13))),'J1 B - Butcher Terrace'!$A$12:$A$130,"&gt;="&amp;Diagram!$O4,'J1 B - Butcher Terrace'!$A$12:$A$130,"&lt;"&amp;Diagram!$P4)))</f>
        <v>0</v>
      </c>
      <c r="DF4" s="42">
        <f ca="1">IF(OR($I$10="",$O4="",$P4="",$J$40&lt;&gt;"Yes"),0,IF($K$10=0,SUMIFS(INDIRECT(ADDRESS(12,3+18*0+(5),,,"J1 B - Butcher Terrace")&amp;":"&amp;ADDRESS(130,3+18*0+(5))),'J1 B - Butcher Terrace'!$A$12:$A$130,"&gt;="&amp;Diagram!$O4,'J1 B - Butcher Terrace'!$A$12:$A$130,"&lt;"&amp;Diagram!$P4),SUMIFS(INDIRECT(ADDRESS(12,3+18*0+(13),,,"J1 B - Butcher Terrace")&amp;":"&amp;ADDRESS(130,3+18*0+(13))),'J1 B - Butcher Terrace'!$A$12:$A$130,"&gt;="&amp;Diagram!$O4,'J1 B - Butcher Terrace'!$A$12:$A$130,"&lt;"&amp;Diagram!$P4)))</f>
        <v>0</v>
      </c>
      <c r="DG4" s="42">
        <f ca="1">IF(OR($I$10="",$O4="",$P4="",$J$40&lt;&gt;"Yes"),0,IF($K$10=0,SUMIFS(INDIRECT(ADDRESS(12,3+18*1+(5),,,"J1 B - Butcher Terrace")&amp;":"&amp;ADDRESS(130,3+18*1+(5))),'J1 B - Butcher Terrace'!$A$12:$A$130,"&gt;="&amp;Diagram!$O4,'J1 B - Butcher Terrace'!$A$12:$A$130,"&lt;"&amp;Diagram!$P4),SUMIFS(INDIRECT(ADDRESS(12,3+18*1+(13),,,"J1 B - Butcher Terrace")&amp;":"&amp;ADDRESS(130,3+18*1+(13))),'J1 B - Butcher Terrace'!$A$12:$A$130,"&gt;="&amp;Diagram!$O4,'J1 B - Butcher Terrace'!$A$12:$A$130,"&lt;"&amp;Diagram!$P4)))</f>
        <v>1</v>
      </c>
      <c r="DH4" s="42">
        <f ca="1">IF(OR($I$10="",$O4="",$P4="",$J$40&lt;&gt;"Yes"),0,IF($K$10=0,SUMIFS(INDIRECT(ADDRESS(12,3+18*1+(5),,,"J1 C - (South) Bishopthorpe Roa")&amp;":"&amp;ADDRESS(130,3+18*1+(5))),'J1 C - (South) Bishopthorpe Roa'!$A$12:$A$130,"&gt;="&amp;Diagram!$O4,'J1 C - (South) Bishopthorpe Roa'!$A$12:$A$130,"&lt;"&amp;Diagram!$P4),SUMIFS(INDIRECT(ADDRESS(12,3+18*1+(13),,,"J1 C - (South) Bishopthorpe Roa")&amp;":"&amp;ADDRESS(130,3+18*1+(13))),'J1 C - (South) Bishopthorpe Roa'!$A$12:$A$130,"&gt;="&amp;Diagram!$O4,'J1 C - (South) Bishopthorpe Roa'!$A$12:$A$130,"&lt;"&amp;Diagram!$P4)))</f>
        <v>0</v>
      </c>
      <c r="DI4" s="42">
        <f ca="1">IF(OR($I$10="",$O4="",$P4="",$J$40&lt;&gt;"Yes"),0,IF($K$10=0,SUMIFS(INDIRECT(ADDRESS(12,3+18*2+(5),,,"J1 C - (South) Bishopthorpe Roa")&amp;":"&amp;ADDRESS(130,3+18*2+(5))),'J1 C - (South) Bishopthorpe Roa'!$A$12:$A$130,"&gt;="&amp;Diagram!$O4,'J1 C - (South) Bishopthorpe Roa'!$A$12:$A$130,"&lt;"&amp;Diagram!$P4),SUMIFS(INDIRECT(ADDRESS(12,3+18*2+(13),,,"J1 C - (South) Bishopthorpe Roa")&amp;":"&amp;ADDRESS(130,3+18*2+(13))),'J1 C - (South) Bishopthorpe Roa'!$A$12:$A$130,"&gt;="&amp;Diagram!$O4,'J1 C - (South) Bishopthorpe Roa'!$A$12:$A$130,"&lt;"&amp;Diagram!$P4)))</f>
        <v>0</v>
      </c>
      <c r="DJ4" s="42">
        <f ca="1">IF(OR($I$10="",$O4="",$P4="",$J$40&lt;&gt;"Yes"),0,IF($K$10=0,SUMIFS(INDIRECT(ADDRESS(12,3+18*3+(5),,,"J1 C - (South) Bishopthorpe Roa")&amp;":"&amp;ADDRESS(130,3+18*3+(5))),'J1 C - (South) Bishopthorpe Roa'!$A$12:$A$130,"&gt;="&amp;Diagram!$O4,'J1 C - (South) Bishopthorpe Roa'!$A$12:$A$130,"&lt;"&amp;Diagram!$P4),SUMIFS(INDIRECT(ADDRESS(12,3+18*3+(13),,,"J1 C - (South) Bishopthorpe Roa")&amp;":"&amp;ADDRESS(130,3+18*3+(13))),'J1 C - (South) Bishopthorpe Roa'!$A$12:$A$130,"&gt;="&amp;Diagram!$O4,'J1 C - (South) Bishopthorpe Roa'!$A$12:$A$130,"&lt;"&amp;Diagram!$P4)))</f>
        <v>0</v>
      </c>
      <c r="DK4" s="42">
        <f ca="1">IF(OR($I$10="",$O4="",$P4="",$J$40&lt;&gt;"Yes"),0,IF($K$10=0,SUMIFS(INDIRECT(ADDRESS(12,3+18*0+(5),,,"J1 C - (South) Bishopthorpe Roa")&amp;":"&amp;ADDRESS(130,3+18*0+(5))),'J1 C - (South) Bishopthorpe Roa'!$A$12:$A$130,"&gt;="&amp;Diagram!$O4,'J1 C - (South) Bishopthorpe Roa'!$A$12:$A$130,"&lt;"&amp;Diagram!$P4),SUMIFS(INDIRECT(ADDRESS(12,3+18*0+(13),,,"J1 C - (South) Bishopthorpe Roa")&amp;":"&amp;ADDRESS(130,3+18*0+(13))),'J1 C - (South) Bishopthorpe Roa'!$A$12:$A$130,"&gt;="&amp;Diagram!$O4,'J1 C - (South) Bishopthorpe Roa'!$A$12:$A$130,"&lt;"&amp;Diagram!$P4)))</f>
        <v>0</v>
      </c>
      <c r="DL4" s="42">
        <f ca="1">IF(OR($I$10="",$O4="",$P4="",$J$40&lt;&gt;"Yes"),0,IF($K$10=0,SUMIFS(INDIRECT(ADDRESS(12,3+18*0+(5),,,"J1 D - South Bank Avenue")&amp;":"&amp;ADDRESS(130,3+18*0+(5))),'J1 D - South Bank Avenue'!$A$12:$A$130,"&gt;="&amp;Diagram!$O4,'J1 D - South Bank Avenue'!$A$12:$A$130,"&lt;"&amp;Diagram!$P4),SUMIFS(INDIRECT(ADDRESS(12,3+18*0+(13),,,"J1 D - South Bank Avenue")&amp;":"&amp;ADDRESS(130,3+18*0+(13))),'J1 D - South Bank Avenue'!$A$12:$A$130,"&gt;="&amp;Diagram!$O4,'J1 D - South Bank Avenue'!$A$12:$A$130,"&lt;"&amp;Diagram!$P4)))</f>
        <v>0</v>
      </c>
      <c r="DM4" s="42">
        <f ca="1">IF(OR($I$10="",$O4="",$P4="",$J$40&lt;&gt;"Yes"),0,IF($K$10=0,SUMIFS(INDIRECT(ADDRESS(12,3+18*1+(5),,,"J1 D - South Bank Avenue")&amp;":"&amp;ADDRESS(130,3+18*1+(5))),'J1 D - South Bank Avenue'!$A$12:$A$130,"&gt;="&amp;Diagram!$O4,'J1 D - South Bank Avenue'!$A$12:$A$130,"&lt;"&amp;Diagram!$P4),SUMIFS(INDIRECT(ADDRESS(12,3+18*1+(13),,,"J1 D - South Bank Avenue")&amp;":"&amp;ADDRESS(130,3+18*1+(13))),'J1 D - South Bank Avenue'!$A$12:$A$130,"&gt;="&amp;Diagram!$O4,'J1 D - South Bank Avenue'!$A$12:$A$130,"&lt;"&amp;Diagram!$P4)))</f>
        <v>0</v>
      </c>
      <c r="DN4" s="42">
        <f ca="1">IF(OR($I$10="",$O4="",$P4="",$J$40&lt;&gt;"Yes"),0,IF($K$10=0,SUMIFS(INDIRECT(ADDRESS(12,3+18*2+(5),,,"J1 D - South Bank Avenue")&amp;":"&amp;ADDRESS(130,3+18*2+(5))),'J1 D - South Bank Avenue'!$A$12:$A$130,"&gt;="&amp;Diagram!$O4,'J1 D - South Bank Avenue'!$A$12:$A$130,"&lt;"&amp;Diagram!$P4),SUMIFS(INDIRECT(ADDRESS(12,3+18*2+(13),,,"J1 D - South Bank Avenue")&amp;":"&amp;ADDRESS(130,3+18*2+(13))),'J1 D - South Bank Avenue'!$A$12:$A$130,"&gt;="&amp;Diagram!$O4,'J1 D - South Bank Avenue'!$A$12:$A$130,"&lt;"&amp;Diagram!$P4)))</f>
        <v>0</v>
      </c>
      <c r="DO4" s="42">
        <f ca="1">IF(OR($I$10="",$O4="",$P4="",$J$40&lt;&gt;"Yes"),0,IF($K$10=0,SUMIFS(INDIRECT(ADDRESS(12,3+18*3+(5),,,"J1 D - South Bank Avenue")&amp;":"&amp;ADDRESS(130,3+18*3+(5))),'J1 D - South Bank Avenue'!$A$12:$A$130,"&gt;="&amp;Diagram!$O4,'J1 D - South Bank Avenue'!$A$12:$A$130,"&lt;"&amp;Diagram!$P4),SUMIFS(INDIRECT(ADDRESS(12,3+18*3+(13),,,"J1 D - South Bank Avenue")&amp;":"&amp;ADDRESS(130,3+18*3+(13))),'J1 D - South Bank Avenue'!$A$12:$A$130,"&gt;="&amp;Diagram!$O4,'J1 D - South Bank Avenue'!$A$12:$A$130,"&lt;"&amp;Diagram!$P4)))</f>
        <v>0</v>
      </c>
      <c r="DP4" s="42">
        <f t="shared" ca="1" si="7"/>
        <v>0</v>
      </c>
      <c r="DQ4" s="42">
        <f ca="1">IF(OR($I$10="",$O4="",$P4="",$J$41&lt;&gt;"Yes"),0,IF($K$10=0,SUMIFS(INDIRECT(ADDRESS(12,3+18*3+(6),,,"J1 A - (North) Bishopthorpe Roa")&amp;":"&amp;ADDRESS(130,3+18*3+(6))),'J1 A - (North) Bishopthorpe Roa'!$A$12:$A$130,"&gt;="&amp;Diagram!$O4,'J1 A - (North) Bishopthorpe Roa'!$A$12:$A$130,"&lt;"&amp;Diagram!$P4),SUMIFS(INDIRECT(ADDRESS(12,3+18*3+(14),,,"J1 A - (North) Bishopthorpe Roa")&amp;":"&amp;ADDRESS(130,3+18*3+(14))),'J1 A - (North) Bishopthorpe Roa'!$A$12:$A$130,"&gt;="&amp;Diagram!$O4,'J1 A - (North) Bishopthorpe Roa'!$A$12:$A$130,"&lt;"&amp;Diagram!$P4)))</f>
        <v>0</v>
      </c>
      <c r="DR4" s="42">
        <f ca="1">IF(OR($I$10="",$O4="",$P4="",$J$41&lt;&gt;"Yes"),0,IF($K$10=0,SUMIFS(INDIRECT(ADDRESS(12,3+18*0+(6),,,"J1 A - (North) Bishopthorpe Roa")&amp;":"&amp;ADDRESS(130,3+18*0+(6))),'J1 A - (North) Bishopthorpe Roa'!$A$12:$A$130,"&gt;="&amp;Diagram!$O4,'J1 A - (North) Bishopthorpe Roa'!$A$12:$A$130,"&lt;"&amp;Diagram!$P4),SUMIFS(INDIRECT(ADDRESS(12,3+18*0+(14),,,"J1 A - (North) Bishopthorpe Roa")&amp;":"&amp;ADDRESS(130,3+18*0+(14))),'J1 A - (North) Bishopthorpe Roa'!$A$12:$A$130,"&gt;="&amp;Diagram!$O4,'J1 A - (North) Bishopthorpe Roa'!$A$12:$A$130,"&lt;"&amp;Diagram!$P4)))</f>
        <v>0</v>
      </c>
      <c r="DS4" s="42">
        <f ca="1">IF(OR($I$10="",$O4="",$P4="",$J$41&lt;&gt;"Yes"),0,IF($K$10=0,SUMIFS(INDIRECT(ADDRESS(12,3+18*1+(6),,,"J1 A - (North) Bishopthorpe Roa")&amp;":"&amp;ADDRESS(130,3+18*1+(6))),'J1 A - (North) Bishopthorpe Roa'!$A$12:$A$130,"&gt;="&amp;Diagram!$O4,'J1 A - (North) Bishopthorpe Roa'!$A$12:$A$130,"&lt;"&amp;Diagram!$P4),SUMIFS(INDIRECT(ADDRESS(12,3+18*1+(14),,,"J1 A - (North) Bishopthorpe Roa")&amp;":"&amp;ADDRESS(130,3+18*1+(14))),'J1 A - (North) Bishopthorpe Roa'!$A$12:$A$130,"&gt;="&amp;Diagram!$O4,'J1 A - (North) Bishopthorpe Roa'!$A$12:$A$130,"&lt;"&amp;Diagram!$P4)))</f>
        <v>0</v>
      </c>
      <c r="DT4" s="42">
        <f ca="1">IF(OR($I$10="",$O4="",$P4="",$J$41&lt;&gt;"Yes"),0,IF($K$10=0,SUMIFS(INDIRECT(ADDRESS(12,3+18*2+(6),,,"J1 A - (North) Bishopthorpe Roa")&amp;":"&amp;ADDRESS(130,3+18*2+(6))),'J1 A - (North) Bishopthorpe Roa'!$A$12:$A$130,"&gt;="&amp;Diagram!$O4,'J1 A - (North) Bishopthorpe Roa'!$A$12:$A$130,"&lt;"&amp;Diagram!$P4),SUMIFS(INDIRECT(ADDRESS(12,3+18*2+(14),,,"J1 A - (North) Bishopthorpe Roa")&amp;":"&amp;ADDRESS(130,3+18*2+(14))),'J1 A - (North) Bishopthorpe Roa'!$A$12:$A$130,"&gt;="&amp;Diagram!$O4,'J1 A - (North) Bishopthorpe Roa'!$A$12:$A$130,"&lt;"&amp;Diagram!$P4)))</f>
        <v>0</v>
      </c>
      <c r="DU4" s="42">
        <f ca="1">IF(OR($I$10="",$O4="",$P4="",$J$41&lt;&gt;"Yes"),0,IF($K$10=0,SUMIFS(INDIRECT(ADDRESS(12,3+18*2+(6),,,"J1 B - Butcher Terrace")&amp;":"&amp;ADDRESS(130,3+18*2+(6))),'J1 B - Butcher Terrace'!$A$12:$A$130,"&gt;="&amp;Diagram!$O4,'J1 B - Butcher Terrace'!$A$12:$A$130,"&lt;"&amp;Diagram!$P4),SUMIFS(INDIRECT(ADDRESS(12,3+18*2+(14),,,"J1 B - Butcher Terrace")&amp;":"&amp;ADDRESS(130,3+18*2+(14))),'J1 B - Butcher Terrace'!$A$12:$A$130,"&gt;="&amp;Diagram!$O4,'J1 B - Butcher Terrace'!$A$12:$A$130,"&lt;"&amp;Diagram!$P4)))</f>
        <v>0</v>
      </c>
      <c r="DV4" s="42">
        <f ca="1">IF(OR($I$10="",$O4="",$P4="",$J$41&lt;&gt;"Yes"),0,IF($K$10=0,SUMIFS(INDIRECT(ADDRESS(12,3+18*3+(6),,,"J1 B - Butcher Terrace")&amp;":"&amp;ADDRESS(130,3+18*3+(6))),'J1 B - Butcher Terrace'!$A$12:$A$130,"&gt;="&amp;Diagram!$O4,'J1 B - Butcher Terrace'!$A$12:$A$130,"&lt;"&amp;Diagram!$P4),SUMIFS(INDIRECT(ADDRESS(12,3+18*3+(14),,,"J1 B - Butcher Terrace")&amp;":"&amp;ADDRESS(130,3+18*3+(14))),'J1 B - Butcher Terrace'!$A$12:$A$130,"&gt;="&amp;Diagram!$O4,'J1 B - Butcher Terrace'!$A$12:$A$130,"&lt;"&amp;Diagram!$P4)))</f>
        <v>0</v>
      </c>
      <c r="DW4" s="42">
        <f ca="1">IF(OR($I$10="",$O4="",$P4="",$J$41&lt;&gt;"Yes"),0,IF($K$10=0,SUMIFS(INDIRECT(ADDRESS(12,3+18*0+(6),,,"J1 B - Butcher Terrace")&amp;":"&amp;ADDRESS(130,3+18*0+(6))),'J1 B - Butcher Terrace'!$A$12:$A$130,"&gt;="&amp;Diagram!$O4,'J1 B - Butcher Terrace'!$A$12:$A$130,"&lt;"&amp;Diagram!$P4),SUMIFS(INDIRECT(ADDRESS(12,3+18*0+(14),,,"J1 B - Butcher Terrace")&amp;":"&amp;ADDRESS(130,3+18*0+(14))),'J1 B - Butcher Terrace'!$A$12:$A$130,"&gt;="&amp;Diagram!$O4,'J1 B - Butcher Terrace'!$A$12:$A$130,"&lt;"&amp;Diagram!$P4)))</f>
        <v>0</v>
      </c>
      <c r="DX4" s="42">
        <f ca="1">IF(OR($I$10="",$O4="",$P4="",$J$41&lt;&gt;"Yes"),0,IF($K$10=0,SUMIFS(INDIRECT(ADDRESS(12,3+18*1+(6),,,"J1 B - Butcher Terrace")&amp;":"&amp;ADDRESS(130,3+18*1+(6))),'J1 B - Butcher Terrace'!$A$12:$A$130,"&gt;="&amp;Diagram!$O4,'J1 B - Butcher Terrace'!$A$12:$A$130,"&lt;"&amp;Diagram!$P4),SUMIFS(INDIRECT(ADDRESS(12,3+18*1+(14),,,"J1 B - Butcher Terrace")&amp;":"&amp;ADDRESS(130,3+18*1+(14))),'J1 B - Butcher Terrace'!$A$12:$A$130,"&gt;="&amp;Diagram!$O4,'J1 B - Butcher Terrace'!$A$12:$A$130,"&lt;"&amp;Diagram!$P4)))</f>
        <v>0</v>
      </c>
      <c r="DY4" s="42">
        <f ca="1">IF(OR($I$10="",$O4="",$P4="",$J$41&lt;&gt;"Yes"),0,IF($K$10=0,SUMIFS(INDIRECT(ADDRESS(12,3+18*1+(6),,,"J1 C - (South) Bishopthorpe Roa")&amp;":"&amp;ADDRESS(130,3+18*1+(6))),'J1 C - (South) Bishopthorpe Roa'!$A$12:$A$130,"&gt;="&amp;Diagram!$O4,'J1 C - (South) Bishopthorpe Roa'!$A$12:$A$130,"&lt;"&amp;Diagram!$P4),SUMIFS(INDIRECT(ADDRESS(12,3+18*1+(14),,,"J1 C - (South) Bishopthorpe Roa")&amp;":"&amp;ADDRESS(130,3+18*1+(14))),'J1 C - (South) Bishopthorpe Roa'!$A$12:$A$130,"&gt;="&amp;Diagram!$O4,'J1 C - (South) Bishopthorpe Roa'!$A$12:$A$130,"&lt;"&amp;Diagram!$P4)))</f>
        <v>0</v>
      </c>
      <c r="DZ4" s="42">
        <f ca="1">IF(OR($I$10="",$O4="",$P4="",$J$41&lt;&gt;"Yes"),0,IF($K$10=0,SUMIFS(INDIRECT(ADDRESS(12,3+18*2+(6),,,"J1 C - (South) Bishopthorpe Roa")&amp;":"&amp;ADDRESS(130,3+18*2+(6))),'J1 C - (South) Bishopthorpe Roa'!$A$12:$A$130,"&gt;="&amp;Diagram!$O4,'J1 C - (South) Bishopthorpe Roa'!$A$12:$A$130,"&lt;"&amp;Diagram!$P4),SUMIFS(INDIRECT(ADDRESS(12,3+18*2+(14),,,"J1 C - (South) Bishopthorpe Roa")&amp;":"&amp;ADDRESS(130,3+18*2+(14))),'J1 C - (South) Bishopthorpe Roa'!$A$12:$A$130,"&gt;="&amp;Diagram!$O4,'J1 C - (South) Bishopthorpe Roa'!$A$12:$A$130,"&lt;"&amp;Diagram!$P4)))</f>
        <v>0</v>
      </c>
      <c r="EA4" s="42">
        <f ca="1">IF(OR($I$10="",$O4="",$P4="",$J$41&lt;&gt;"Yes"),0,IF($K$10=0,SUMIFS(INDIRECT(ADDRESS(12,3+18*3+(6),,,"J1 C - (South) Bishopthorpe Roa")&amp;":"&amp;ADDRESS(130,3+18*3+(6))),'J1 C - (South) Bishopthorpe Roa'!$A$12:$A$130,"&gt;="&amp;Diagram!$O4,'J1 C - (South) Bishopthorpe Roa'!$A$12:$A$130,"&lt;"&amp;Diagram!$P4),SUMIFS(INDIRECT(ADDRESS(12,3+18*3+(14),,,"J1 C - (South) Bishopthorpe Roa")&amp;":"&amp;ADDRESS(130,3+18*3+(14))),'J1 C - (South) Bishopthorpe Roa'!$A$12:$A$130,"&gt;="&amp;Diagram!$O4,'J1 C - (South) Bishopthorpe Roa'!$A$12:$A$130,"&lt;"&amp;Diagram!$P4)))</f>
        <v>0</v>
      </c>
      <c r="EB4" s="42">
        <f ca="1">IF(OR($I$10="",$O4="",$P4="",$J$41&lt;&gt;"Yes"),0,IF($K$10=0,SUMIFS(INDIRECT(ADDRESS(12,3+18*0+(6),,,"J1 C - (South) Bishopthorpe Roa")&amp;":"&amp;ADDRESS(130,3+18*0+(6))),'J1 C - (South) Bishopthorpe Roa'!$A$12:$A$130,"&gt;="&amp;Diagram!$O4,'J1 C - (South) Bishopthorpe Roa'!$A$12:$A$130,"&lt;"&amp;Diagram!$P4),SUMIFS(INDIRECT(ADDRESS(12,3+18*0+(14),,,"J1 C - (South) Bishopthorpe Roa")&amp;":"&amp;ADDRESS(130,3+18*0+(14))),'J1 C - (South) Bishopthorpe Roa'!$A$12:$A$130,"&gt;="&amp;Diagram!$O4,'J1 C - (South) Bishopthorpe Roa'!$A$12:$A$130,"&lt;"&amp;Diagram!$P4)))</f>
        <v>0</v>
      </c>
      <c r="EC4" s="42">
        <f ca="1">IF(OR($I$10="",$O4="",$P4="",$J$41&lt;&gt;"Yes"),0,IF($K$10=0,SUMIFS(INDIRECT(ADDRESS(12,3+18*0+(6),,,"J1 D - South Bank Avenue")&amp;":"&amp;ADDRESS(130,3+18*0+(6))),'J1 D - South Bank Avenue'!$A$12:$A$130,"&gt;="&amp;Diagram!$O4,'J1 D - South Bank Avenue'!$A$12:$A$130,"&lt;"&amp;Diagram!$P4),SUMIFS(INDIRECT(ADDRESS(12,3+18*0+(14),,,"J1 D - South Bank Avenue")&amp;":"&amp;ADDRESS(130,3+18*0+(14))),'J1 D - South Bank Avenue'!$A$12:$A$130,"&gt;="&amp;Diagram!$O4,'J1 D - South Bank Avenue'!$A$12:$A$130,"&lt;"&amp;Diagram!$P4)))</f>
        <v>0</v>
      </c>
      <c r="ED4" s="42">
        <f ca="1">IF(OR($I$10="",$O4="",$P4="",$J$41&lt;&gt;"Yes"),0,IF($K$10=0,SUMIFS(INDIRECT(ADDRESS(12,3+18*1+(6),,,"J1 D - South Bank Avenue")&amp;":"&amp;ADDRESS(130,3+18*1+(6))),'J1 D - South Bank Avenue'!$A$12:$A$130,"&gt;="&amp;Diagram!$O4,'J1 D - South Bank Avenue'!$A$12:$A$130,"&lt;"&amp;Diagram!$P4),SUMIFS(INDIRECT(ADDRESS(12,3+18*1+(14),,,"J1 D - South Bank Avenue")&amp;":"&amp;ADDRESS(130,3+18*1+(14))),'J1 D - South Bank Avenue'!$A$12:$A$130,"&gt;="&amp;Diagram!$O4,'J1 D - South Bank Avenue'!$A$12:$A$130,"&lt;"&amp;Diagram!$P4)))</f>
        <v>0</v>
      </c>
      <c r="EE4" s="42">
        <f ca="1">IF(OR($I$10="",$O4="",$P4="",$J$41&lt;&gt;"Yes"),0,IF($K$10=0,SUMIFS(INDIRECT(ADDRESS(12,3+18*2+(6),,,"J1 D - South Bank Avenue")&amp;":"&amp;ADDRESS(130,3+18*2+(6))),'J1 D - South Bank Avenue'!$A$12:$A$130,"&gt;="&amp;Diagram!$O4,'J1 D - South Bank Avenue'!$A$12:$A$130,"&lt;"&amp;Diagram!$P4),SUMIFS(INDIRECT(ADDRESS(12,3+18*2+(14),,,"J1 D - South Bank Avenue")&amp;":"&amp;ADDRESS(130,3+18*2+(14))),'J1 D - South Bank Avenue'!$A$12:$A$130,"&gt;="&amp;Diagram!$O4,'J1 D - South Bank Avenue'!$A$12:$A$130,"&lt;"&amp;Diagram!$P4)))</f>
        <v>0</v>
      </c>
      <c r="EF4" s="42">
        <f ca="1">IF(OR($I$10="",$O4="",$P4="",$J$41&lt;&gt;"Yes"),0,IF($K$10=0,SUMIFS(INDIRECT(ADDRESS(12,3+18*3+(6),,,"J1 D - South Bank Avenue")&amp;":"&amp;ADDRESS(130,3+18*3+(6))),'J1 D - South Bank Avenue'!$A$12:$A$130,"&gt;="&amp;Diagram!$O4,'J1 D - South Bank Avenue'!$A$12:$A$130,"&lt;"&amp;Diagram!$P4),SUMIFS(INDIRECT(ADDRESS(12,3+18*3+(14),,,"J1 D - South Bank Avenue")&amp;":"&amp;ADDRESS(130,3+18*3+(14))),'J1 D - South Bank Avenue'!$A$12:$A$130,"&gt;="&amp;Diagram!$O4,'J1 D - South Bank Avenue'!$A$12:$A$130,"&lt;"&amp;Diagram!$P4)))</f>
        <v>0</v>
      </c>
      <c r="EG4" s="42">
        <f t="shared" ca="1" si="8"/>
        <v>0</v>
      </c>
      <c r="EH4" s="42">
        <f ca="1">IF(OR($I$10="",$O4="",$P4="",$J$42&lt;&gt;"Yes"),0,IF($K$10=0,SUMIFS(INDIRECT(ADDRESS(12,3+18*3+(7),,,"J1 A - (North) Bishopthorpe Roa")&amp;":"&amp;ADDRESS(130,3+18*3+(7))),'J1 A - (North) Bishopthorpe Roa'!$A$12:$A$130,"&gt;="&amp;Diagram!$O4,'J1 A - (North) Bishopthorpe Roa'!$A$12:$A$130,"&lt;"&amp;Diagram!$P4),SUMIFS(INDIRECT(ADDRESS(12,3+18*3+(15),,,"J1 A - (North) Bishopthorpe Roa")&amp;":"&amp;ADDRESS(130,3+18*3+(15))),'J1 A - (North) Bishopthorpe Roa'!$A$12:$A$130,"&gt;="&amp;Diagram!$O4,'J1 A - (North) Bishopthorpe Roa'!$A$12:$A$130,"&lt;"&amp;Diagram!$P4)))</f>
        <v>0</v>
      </c>
      <c r="EI4" s="42">
        <f ca="1">IF(OR($I$10="",$O4="",$P4="",$J$42&lt;&gt;"Yes"),0,IF($K$10=0,SUMIFS(INDIRECT(ADDRESS(12,3+18*0+(7),,,"J1 A - (North) Bishopthorpe Roa")&amp;":"&amp;ADDRESS(130,3+18*0+(7))),'J1 A - (North) Bishopthorpe Roa'!$A$12:$A$130,"&gt;="&amp;Diagram!$O4,'J1 A - (North) Bishopthorpe Roa'!$A$12:$A$130,"&lt;"&amp;Diagram!$P4),SUMIFS(INDIRECT(ADDRESS(12,3+18*0+(15),,,"J1 A - (North) Bishopthorpe Roa")&amp;":"&amp;ADDRESS(130,3+18*0+(15))),'J1 A - (North) Bishopthorpe Roa'!$A$12:$A$130,"&gt;="&amp;Diagram!$O4,'J1 A - (North) Bishopthorpe Roa'!$A$12:$A$130,"&lt;"&amp;Diagram!$P4)))</f>
        <v>0</v>
      </c>
      <c r="EJ4" s="42">
        <f ca="1">IF(OR($I$10="",$O4="",$P4="",$J$42&lt;&gt;"Yes"),0,IF($K$10=0,SUMIFS(INDIRECT(ADDRESS(12,3+18*1+(7),,,"J1 A - (North) Bishopthorpe Roa")&amp;":"&amp;ADDRESS(130,3+18*1+(7))),'J1 A - (North) Bishopthorpe Roa'!$A$12:$A$130,"&gt;="&amp;Diagram!$O4,'J1 A - (North) Bishopthorpe Roa'!$A$12:$A$130,"&lt;"&amp;Diagram!$P4),SUMIFS(INDIRECT(ADDRESS(12,3+18*1+(15),,,"J1 A - (North) Bishopthorpe Roa")&amp;":"&amp;ADDRESS(130,3+18*1+(15))),'J1 A - (North) Bishopthorpe Roa'!$A$12:$A$130,"&gt;="&amp;Diagram!$O4,'J1 A - (North) Bishopthorpe Roa'!$A$12:$A$130,"&lt;"&amp;Diagram!$P4)))</f>
        <v>0</v>
      </c>
      <c r="EK4" s="42">
        <f ca="1">IF(OR($I$10="",$O4="",$P4="",$J$42&lt;&gt;"Yes"),0,IF($K$10=0,SUMIFS(INDIRECT(ADDRESS(12,3+18*2+(7),,,"J1 A - (North) Bishopthorpe Roa")&amp;":"&amp;ADDRESS(130,3+18*2+(7))),'J1 A - (North) Bishopthorpe Roa'!$A$12:$A$130,"&gt;="&amp;Diagram!$O4,'J1 A - (North) Bishopthorpe Roa'!$A$12:$A$130,"&lt;"&amp;Diagram!$P4),SUMIFS(INDIRECT(ADDRESS(12,3+18*2+(15),,,"J1 A - (North) Bishopthorpe Roa")&amp;":"&amp;ADDRESS(130,3+18*2+(15))),'J1 A - (North) Bishopthorpe Roa'!$A$12:$A$130,"&gt;="&amp;Diagram!$O4,'J1 A - (North) Bishopthorpe Roa'!$A$12:$A$130,"&lt;"&amp;Diagram!$P4)))</f>
        <v>0</v>
      </c>
      <c r="EL4" s="42">
        <f ca="1">IF(OR($I$10="",$O4="",$P4="",$J$42&lt;&gt;"Yes"),0,IF($K$10=0,SUMIFS(INDIRECT(ADDRESS(12,3+18*2+(7),,,"J1 B - Butcher Terrace")&amp;":"&amp;ADDRESS(130,3+18*2+(7))),'J1 B - Butcher Terrace'!$A$12:$A$130,"&gt;="&amp;Diagram!$O4,'J1 B - Butcher Terrace'!$A$12:$A$130,"&lt;"&amp;Diagram!$P4),SUMIFS(INDIRECT(ADDRESS(12,3+18*2+(15),,,"J1 B - Butcher Terrace")&amp;":"&amp;ADDRESS(130,3+18*2+(15))),'J1 B - Butcher Terrace'!$A$12:$A$130,"&gt;="&amp;Diagram!$O4,'J1 B - Butcher Terrace'!$A$12:$A$130,"&lt;"&amp;Diagram!$P4)))</f>
        <v>0</v>
      </c>
      <c r="EM4" s="42">
        <f ca="1">IF(OR($I$10="",$O4="",$P4="",$J$42&lt;&gt;"Yes"),0,IF($K$10=0,SUMIFS(INDIRECT(ADDRESS(12,3+18*3+(7),,,"J1 B - Butcher Terrace")&amp;":"&amp;ADDRESS(130,3+18*3+(7))),'J1 B - Butcher Terrace'!$A$12:$A$130,"&gt;="&amp;Diagram!$O4,'J1 B - Butcher Terrace'!$A$12:$A$130,"&lt;"&amp;Diagram!$P4),SUMIFS(INDIRECT(ADDRESS(12,3+18*3+(15),,,"J1 B - Butcher Terrace")&amp;":"&amp;ADDRESS(130,3+18*3+(15))),'J1 B - Butcher Terrace'!$A$12:$A$130,"&gt;="&amp;Diagram!$O4,'J1 B - Butcher Terrace'!$A$12:$A$130,"&lt;"&amp;Diagram!$P4)))</f>
        <v>0</v>
      </c>
      <c r="EN4" s="42">
        <f ca="1">IF(OR($I$10="",$O4="",$P4="",$J$42&lt;&gt;"Yes"),0,IF($K$10=0,SUMIFS(INDIRECT(ADDRESS(12,3+18*0+(7),,,"J1 B - Butcher Terrace")&amp;":"&amp;ADDRESS(130,3+18*0+(7))),'J1 B - Butcher Terrace'!$A$12:$A$130,"&gt;="&amp;Diagram!$O4,'J1 B - Butcher Terrace'!$A$12:$A$130,"&lt;"&amp;Diagram!$P4),SUMIFS(INDIRECT(ADDRESS(12,3+18*0+(15),,,"J1 B - Butcher Terrace")&amp;":"&amp;ADDRESS(130,3+18*0+(15))),'J1 B - Butcher Terrace'!$A$12:$A$130,"&gt;="&amp;Diagram!$O4,'J1 B - Butcher Terrace'!$A$12:$A$130,"&lt;"&amp;Diagram!$P4)))</f>
        <v>0</v>
      </c>
      <c r="EO4" s="42">
        <f ca="1">IF(OR($I$10="",$O4="",$P4="",$J$42&lt;&gt;"Yes"),0,IF($K$10=0,SUMIFS(INDIRECT(ADDRESS(12,3+18*1+(7),,,"J1 B - Butcher Terrace")&amp;":"&amp;ADDRESS(130,3+18*1+(7))),'J1 B - Butcher Terrace'!$A$12:$A$130,"&gt;="&amp;Diagram!$O4,'J1 B - Butcher Terrace'!$A$12:$A$130,"&lt;"&amp;Diagram!$P4),SUMIFS(INDIRECT(ADDRESS(12,3+18*1+(15),,,"J1 B - Butcher Terrace")&amp;":"&amp;ADDRESS(130,3+18*1+(15))),'J1 B - Butcher Terrace'!$A$12:$A$130,"&gt;="&amp;Diagram!$O4,'J1 B - Butcher Terrace'!$A$12:$A$130,"&lt;"&amp;Diagram!$P4)))</f>
        <v>0</v>
      </c>
      <c r="EP4" s="42">
        <f ca="1">IF(OR($I$10="",$O4="",$P4="",$J$42&lt;&gt;"Yes"),0,IF($K$10=0,SUMIFS(INDIRECT(ADDRESS(12,3+18*1+(7),,,"J1 C - (South) Bishopthorpe Roa")&amp;":"&amp;ADDRESS(130,3+18*1+(7))),'J1 C - (South) Bishopthorpe Roa'!$A$12:$A$130,"&gt;="&amp;Diagram!$O4,'J1 C - (South) Bishopthorpe Roa'!$A$12:$A$130,"&lt;"&amp;Diagram!$P4),SUMIFS(INDIRECT(ADDRESS(12,3+18*1+(15),,,"J1 C - (South) Bishopthorpe Roa")&amp;":"&amp;ADDRESS(130,3+18*1+(15))),'J1 C - (South) Bishopthorpe Roa'!$A$12:$A$130,"&gt;="&amp;Diagram!$O4,'J1 C - (South) Bishopthorpe Roa'!$A$12:$A$130,"&lt;"&amp;Diagram!$P4)))</f>
        <v>0</v>
      </c>
      <c r="EQ4" s="42">
        <f ca="1">IF(OR($I$10="",$O4="",$P4="",$J$42&lt;&gt;"Yes"),0,IF($K$10=0,SUMIFS(INDIRECT(ADDRESS(12,3+18*2+(7),,,"J1 C - (South) Bishopthorpe Roa")&amp;":"&amp;ADDRESS(130,3+18*2+(7))),'J1 C - (South) Bishopthorpe Roa'!$A$12:$A$130,"&gt;="&amp;Diagram!$O4,'J1 C - (South) Bishopthorpe Roa'!$A$12:$A$130,"&lt;"&amp;Diagram!$P4),SUMIFS(INDIRECT(ADDRESS(12,3+18*2+(15),,,"J1 C - (South) Bishopthorpe Roa")&amp;":"&amp;ADDRESS(130,3+18*2+(15))),'J1 C - (South) Bishopthorpe Roa'!$A$12:$A$130,"&gt;="&amp;Diagram!$O4,'J1 C - (South) Bishopthorpe Roa'!$A$12:$A$130,"&lt;"&amp;Diagram!$P4)))</f>
        <v>0</v>
      </c>
      <c r="ER4" s="42">
        <f ca="1">IF(OR($I$10="",$O4="",$P4="",$J$42&lt;&gt;"Yes"),0,IF($K$10=0,SUMIFS(INDIRECT(ADDRESS(12,3+18*3+(7),,,"J1 C - (South) Bishopthorpe Roa")&amp;":"&amp;ADDRESS(130,3+18*3+(7))),'J1 C - (South) Bishopthorpe Roa'!$A$12:$A$130,"&gt;="&amp;Diagram!$O4,'J1 C - (South) Bishopthorpe Roa'!$A$12:$A$130,"&lt;"&amp;Diagram!$P4),SUMIFS(INDIRECT(ADDRESS(12,3+18*3+(15),,,"J1 C - (South) Bishopthorpe Roa")&amp;":"&amp;ADDRESS(130,3+18*3+(15))),'J1 C - (South) Bishopthorpe Roa'!$A$12:$A$130,"&gt;="&amp;Diagram!$O4,'J1 C - (South) Bishopthorpe Roa'!$A$12:$A$130,"&lt;"&amp;Diagram!$P4)))</f>
        <v>0</v>
      </c>
      <c r="ES4" s="42">
        <f ca="1">IF(OR($I$10="",$O4="",$P4="",$J$42&lt;&gt;"Yes"),0,IF($K$10=0,SUMIFS(INDIRECT(ADDRESS(12,3+18*0+(7),,,"J1 C - (South) Bishopthorpe Roa")&amp;":"&amp;ADDRESS(130,3+18*0+(7))),'J1 C - (South) Bishopthorpe Roa'!$A$12:$A$130,"&gt;="&amp;Diagram!$O4,'J1 C - (South) Bishopthorpe Roa'!$A$12:$A$130,"&lt;"&amp;Diagram!$P4),SUMIFS(INDIRECT(ADDRESS(12,3+18*0+(15),,,"J1 C - (South) Bishopthorpe Roa")&amp;":"&amp;ADDRESS(130,3+18*0+(15))),'J1 C - (South) Bishopthorpe Roa'!$A$12:$A$130,"&gt;="&amp;Diagram!$O4,'J1 C - (South) Bishopthorpe Roa'!$A$12:$A$130,"&lt;"&amp;Diagram!$P4)))</f>
        <v>0</v>
      </c>
      <c r="ET4" s="42">
        <f ca="1">IF(OR($I$10="",$O4="",$P4="",$J$42&lt;&gt;"Yes"),0,IF($K$10=0,SUMIFS(INDIRECT(ADDRESS(12,3+18*0+(7),,,"J1 D - South Bank Avenue")&amp;":"&amp;ADDRESS(130,3+18*0+(7))),'J1 D - South Bank Avenue'!$A$12:$A$130,"&gt;="&amp;Diagram!$O4,'J1 D - South Bank Avenue'!$A$12:$A$130,"&lt;"&amp;Diagram!$P4),SUMIFS(INDIRECT(ADDRESS(12,3+18*0+(15),,,"J1 D - South Bank Avenue")&amp;":"&amp;ADDRESS(130,3+18*0+(15))),'J1 D - South Bank Avenue'!$A$12:$A$130,"&gt;="&amp;Diagram!$O4,'J1 D - South Bank Avenue'!$A$12:$A$130,"&lt;"&amp;Diagram!$P4)))</f>
        <v>0</v>
      </c>
      <c r="EU4" s="42">
        <f ca="1">IF(OR($I$10="",$O4="",$P4="",$J$42&lt;&gt;"Yes"),0,IF($K$10=0,SUMIFS(INDIRECT(ADDRESS(12,3+18*1+(7),,,"J1 D - South Bank Avenue")&amp;":"&amp;ADDRESS(130,3+18*1+(7))),'J1 D - South Bank Avenue'!$A$12:$A$130,"&gt;="&amp;Diagram!$O4,'J1 D - South Bank Avenue'!$A$12:$A$130,"&lt;"&amp;Diagram!$P4),SUMIFS(INDIRECT(ADDRESS(12,3+18*1+(15),,,"J1 D - South Bank Avenue")&amp;":"&amp;ADDRESS(130,3+18*1+(15))),'J1 D - South Bank Avenue'!$A$12:$A$130,"&gt;="&amp;Diagram!$O4,'J1 D - South Bank Avenue'!$A$12:$A$130,"&lt;"&amp;Diagram!$P4)))</f>
        <v>0</v>
      </c>
      <c r="EV4" s="42">
        <f ca="1">IF(OR($I$10="",$O4="",$P4="",$J$42&lt;&gt;"Yes"),0,IF($K$10=0,SUMIFS(INDIRECT(ADDRESS(12,3+18*2+(7),,,"J1 D - South Bank Avenue")&amp;":"&amp;ADDRESS(130,3+18*2+(7))),'J1 D - South Bank Avenue'!$A$12:$A$130,"&gt;="&amp;Diagram!$O4,'J1 D - South Bank Avenue'!$A$12:$A$130,"&lt;"&amp;Diagram!$P4),SUMIFS(INDIRECT(ADDRESS(12,3+18*2+(15),,,"J1 D - South Bank Avenue")&amp;":"&amp;ADDRESS(130,3+18*2+(15))),'J1 D - South Bank Avenue'!$A$12:$A$130,"&gt;="&amp;Diagram!$O4,'J1 D - South Bank Avenue'!$A$12:$A$130,"&lt;"&amp;Diagram!$P4)))</f>
        <v>0</v>
      </c>
      <c r="EW4" s="42">
        <f ca="1">IF(OR($I$10="",$O4="",$P4="",$J$42&lt;&gt;"Yes"),0,IF($K$10=0,SUMIFS(INDIRECT(ADDRESS(12,3+18*3+(7),,,"J1 D - South Bank Avenue")&amp;":"&amp;ADDRESS(130,3+18*3+(7))),'J1 D - South Bank Avenue'!$A$12:$A$130,"&gt;="&amp;Diagram!$O4,'J1 D - South Bank Avenue'!$A$12:$A$130,"&lt;"&amp;Diagram!$P4),SUMIFS(INDIRECT(ADDRESS(12,3+18*3+(15),,,"J1 D - South Bank Avenue")&amp;":"&amp;ADDRESS(130,3+18*3+(15))),'J1 D - South Bank Avenue'!$A$12:$A$130,"&gt;="&amp;Diagram!$O4,'J1 D - South Bank Avenue'!$A$12:$A$130,"&lt;"&amp;Diagram!$P4)))</f>
        <v>0</v>
      </c>
    </row>
    <row r="5" spans="1:153">
      <c r="A5" s="1">
        <v>44395.041666666701</v>
      </c>
      <c r="B5" s="1">
        <v>44395.052083333299</v>
      </c>
      <c r="O5" s="3">
        <v>44395.041666666701</v>
      </c>
      <c r="P5" s="3">
        <v>44395.083333333299</v>
      </c>
      <c r="Q5" s="42">
        <f t="shared" ca="1" si="0"/>
        <v>14</v>
      </c>
      <c r="R5" s="42">
        <f t="shared" ca="1" si="1"/>
        <v>11</v>
      </c>
      <c r="S5" s="42">
        <f ca="1">IF(OR($I$10="",$O5="",$P5="",$J$35&lt;&gt;"Yes"),0,IF($K$10=0,SUMIFS(INDIRECT(ADDRESS(12,3+18*3+(0),,,"J1 A - (North) Bishopthorpe Roa")&amp;":"&amp;ADDRESS(130,3+18*3+(0))),'J1 A - (North) Bishopthorpe Roa'!$A$12:$A$130,"&gt;="&amp;Diagram!$O5,'J1 A - (North) Bishopthorpe Roa'!$A$12:$A$130,"&lt;"&amp;Diagram!$P5),SUMIFS(INDIRECT(ADDRESS(12,3+18*3+(8),,,"J1 A - (North) Bishopthorpe Roa")&amp;":"&amp;ADDRESS(130,3+18*3+(8))),'J1 A - (North) Bishopthorpe Roa'!$A$12:$A$130,"&gt;="&amp;Diagram!$O5,'J1 A - (North) Bishopthorpe Roa'!$A$12:$A$130,"&lt;"&amp;Diagram!$P5)))</f>
        <v>0</v>
      </c>
      <c r="T5" s="42">
        <f ca="1">IF(OR($I$10="",$O5="",$P5="",$J$35&lt;&gt;"Yes"),0,IF($K$10=0,SUMIFS(INDIRECT(ADDRESS(12,3+18*0+(0),,,"J1 A - (North) Bishopthorpe Roa")&amp;":"&amp;ADDRESS(130,3+18*0+(0))),'J1 A - (North) Bishopthorpe Roa'!$A$12:$A$130,"&gt;="&amp;Diagram!$O5,'J1 A - (North) Bishopthorpe Roa'!$A$12:$A$130,"&lt;"&amp;Diagram!$P5),SUMIFS(INDIRECT(ADDRESS(12,3+18*0+(8),,,"J1 A - (North) Bishopthorpe Roa")&amp;":"&amp;ADDRESS(130,3+18*0+(8))),'J1 A - (North) Bishopthorpe Roa'!$A$12:$A$130,"&gt;="&amp;Diagram!$O5,'J1 A - (North) Bishopthorpe Roa'!$A$12:$A$130,"&lt;"&amp;Diagram!$P5)))</f>
        <v>0</v>
      </c>
      <c r="U5" s="42">
        <f ca="1">IF(OR($I$10="",$O5="",$P5="",$J$35&lt;&gt;"Yes"),0,IF($K$10=0,SUMIFS(INDIRECT(ADDRESS(12,3+18*1+(0),,,"J1 A - (North) Bishopthorpe Roa")&amp;":"&amp;ADDRESS(130,3+18*1+(0))),'J1 A - (North) Bishopthorpe Roa'!$A$12:$A$130,"&gt;="&amp;Diagram!$O5,'J1 A - (North) Bishopthorpe Roa'!$A$12:$A$130,"&lt;"&amp;Diagram!$P5),SUMIFS(INDIRECT(ADDRESS(12,3+18*1+(8),,,"J1 A - (North) Bishopthorpe Roa")&amp;":"&amp;ADDRESS(130,3+18*1+(8))),'J1 A - (North) Bishopthorpe Roa'!$A$12:$A$130,"&gt;="&amp;Diagram!$O5,'J1 A - (North) Bishopthorpe Roa'!$A$12:$A$130,"&lt;"&amp;Diagram!$P5)))</f>
        <v>6</v>
      </c>
      <c r="V5" s="42">
        <f ca="1">IF(OR($I$10="",$O5="",$P5="",$J$35&lt;&gt;"Yes"),0,IF($K$10=0,SUMIFS(INDIRECT(ADDRESS(12,3+18*2+(0),,,"J1 A - (North) Bishopthorpe Roa")&amp;":"&amp;ADDRESS(130,3+18*2+(0))),'J1 A - (North) Bishopthorpe Roa'!$A$12:$A$130,"&gt;="&amp;Diagram!$O5,'J1 A - (North) Bishopthorpe Roa'!$A$12:$A$130,"&lt;"&amp;Diagram!$P5),SUMIFS(INDIRECT(ADDRESS(12,3+18*2+(8),,,"J1 A - (North) Bishopthorpe Roa")&amp;":"&amp;ADDRESS(130,3+18*2+(8))),'J1 A - (North) Bishopthorpe Roa'!$A$12:$A$130,"&gt;="&amp;Diagram!$O5,'J1 A - (North) Bishopthorpe Roa'!$A$12:$A$130,"&lt;"&amp;Diagram!$P5)))</f>
        <v>1</v>
      </c>
      <c r="W5" s="42">
        <f ca="1">IF(OR($I$10="",$O5="",$P5="",$J$35&lt;&gt;"Yes"),0,IF($K$10=0,SUMIFS(INDIRECT(ADDRESS(12,3+18*2+(0),,,"J1 B - Butcher Terrace")&amp;":"&amp;ADDRESS(130,3+18*2+(0))),'J1 B - Butcher Terrace'!$A$12:$A$130,"&gt;="&amp;Diagram!$O5,'J1 B - Butcher Terrace'!$A$12:$A$130,"&lt;"&amp;Diagram!$P5),SUMIFS(INDIRECT(ADDRESS(12,3+18*2+(8),,,"J1 B - Butcher Terrace")&amp;":"&amp;ADDRESS(130,3+18*2+(8))),'J1 B - Butcher Terrace'!$A$12:$A$130,"&gt;="&amp;Diagram!$O5,'J1 B - Butcher Terrace'!$A$12:$A$130,"&lt;"&amp;Diagram!$P5)))</f>
        <v>0</v>
      </c>
      <c r="X5" s="42">
        <f ca="1">IF(OR($I$10="",$O5="",$P5="",$J$35&lt;&gt;"Yes"),0,IF($K$10=0,SUMIFS(INDIRECT(ADDRESS(12,3+18*3+(0),,,"J1 B - Butcher Terrace")&amp;":"&amp;ADDRESS(130,3+18*3+(0))),'J1 B - Butcher Terrace'!$A$12:$A$130,"&gt;="&amp;Diagram!$O5,'J1 B - Butcher Terrace'!$A$12:$A$130,"&lt;"&amp;Diagram!$P5),SUMIFS(INDIRECT(ADDRESS(12,3+18*3+(8),,,"J1 B - Butcher Terrace")&amp;":"&amp;ADDRESS(130,3+18*3+(8))),'J1 B - Butcher Terrace'!$A$12:$A$130,"&gt;="&amp;Diagram!$O5,'J1 B - Butcher Terrace'!$A$12:$A$130,"&lt;"&amp;Diagram!$P5)))</f>
        <v>0</v>
      </c>
      <c r="Y5" s="42">
        <f ca="1">IF(OR($I$10="",$O5="",$P5="",$J$35&lt;&gt;"Yes"),0,IF($K$10=0,SUMIFS(INDIRECT(ADDRESS(12,3+18*0+(0),,,"J1 B - Butcher Terrace")&amp;":"&amp;ADDRESS(130,3+18*0+(0))),'J1 B - Butcher Terrace'!$A$12:$A$130,"&gt;="&amp;Diagram!$O5,'J1 B - Butcher Terrace'!$A$12:$A$130,"&lt;"&amp;Diagram!$P5),SUMIFS(INDIRECT(ADDRESS(12,3+18*0+(8),,,"J1 B - Butcher Terrace")&amp;":"&amp;ADDRESS(130,3+18*0+(8))),'J1 B - Butcher Terrace'!$A$12:$A$130,"&gt;="&amp;Diagram!$O5,'J1 B - Butcher Terrace'!$A$12:$A$130,"&lt;"&amp;Diagram!$P5)))</f>
        <v>0</v>
      </c>
      <c r="Z5" s="42">
        <f ca="1">IF(OR($I$10="",$O5="",$P5="",$J$35&lt;&gt;"Yes"),0,IF($K$10=0,SUMIFS(INDIRECT(ADDRESS(12,3+18*1+(0),,,"J1 B - Butcher Terrace")&amp;":"&amp;ADDRESS(130,3+18*1+(0))),'J1 B - Butcher Terrace'!$A$12:$A$130,"&gt;="&amp;Diagram!$O5,'J1 B - Butcher Terrace'!$A$12:$A$130,"&lt;"&amp;Diagram!$P5),SUMIFS(INDIRECT(ADDRESS(12,3+18*1+(8),,,"J1 B - Butcher Terrace")&amp;":"&amp;ADDRESS(130,3+18*1+(8))),'J1 B - Butcher Terrace'!$A$12:$A$130,"&gt;="&amp;Diagram!$O5,'J1 B - Butcher Terrace'!$A$12:$A$130,"&lt;"&amp;Diagram!$P5)))</f>
        <v>0</v>
      </c>
      <c r="AA5" s="42">
        <f ca="1">IF(OR($I$10="",$O5="",$P5="",$J$35&lt;&gt;"Yes"),0,IF($K$10=0,SUMIFS(INDIRECT(ADDRESS(12,3+18*1+(0),,,"J1 C - (South) Bishopthorpe Roa")&amp;":"&amp;ADDRESS(130,3+18*1+(0))),'J1 C - (South) Bishopthorpe Roa'!$A$12:$A$130,"&gt;="&amp;Diagram!$O5,'J1 C - (South) Bishopthorpe Roa'!$A$12:$A$130,"&lt;"&amp;Diagram!$P5),SUMIFS(INDIRECT(ADDRESS(12,3+18*1+(8),,,"J1 C - (South) Bishopthorpe Roa")&amp;":"&amp;ADDRESS(130,3+18*1+(8))),'J1 C - (South) Bishopthorpe Roa'!$A$12:$A$130,"&gt;="&amp;Diagram!$O5,'J1 C - (South) Bishopthorpe Roa'!$A$12:$A$130,"&lt;"&amp;Diagram!$P5)))</f>
        <v>4</v>
      </c>
      <c r="AB5" s="42">
        <f ca="1">IF(OR($I$10="",$O5="",$P5="",$J$35&lt;&gt;"Yes"),0,IF($K$10=0,SUMIFS(INDIRECT(ADDRESS(12,3+18*2+(0),,,"J1 C - (South) Bishopthorpe Roa")&amp;":"&amp;ADDRESS(130,3+18*2+(0))),'J1 C - (South) Bishopthorpe Roa'!$A$12:$A$130,"&gt;="&amp;Diagram!$O5,'J1 C - (South) Bishopthorpe Roa'!$A$12:$A$130,"&lt;"&amp;Diagram!$P5),SUMIFS(INDIRECT(ADDRESS(12,3+18*2+(8),,,"J1 C - (South) Bishopthorpe Roa")&amp;":"&amp;ADDRESS(130,3+18*2+(8))),'J1 C - (South) Bishopthorpe Roa'!$A$12:$A$130,"&gt;="&amp;Diagram!$O5,'J1 C - (South) Bishopthorpe Roa'!$A$12:$A$130,"&lt;"&amp;Diagram!$P5)))</f>
        <v>0</v>
      </c>
      <c r="AC5" s="42">
        <f ca="1">IF(OR($I$10="",$O5="",$P5="",$J$35&lt;&gt;"Yes"),0,IF($K$10=0,SUMIFS(INDIRECT(ADDRESS(12,3+18*3+(0),,,"J1 C - (South) Bishopthorpe Roa")&amp;":"&amp;ADDRESS(130,3+18*3+(0))),'J1 C - (South) Bishopthorpe Roa'!$A$12:$A$130,"&gt;="&amp;Diagram!$O5,'J1 C - (South) Bishopthorpe Roa'!$A$12:$A$130,"&lt;"&amp;Diagram!$P5),SUMIFS(INDIRECT(ADDRESS(12,3+18*3+(8),,,"J1 C - (South) Bishopthorpe Roa")&amp;":"&amp;ADDRESS(130,3+18*3+(8))),'J1 C - (South) Bishopthorpe Roa'!$A$12:$A$130,"&gt;="&amp;Diagram!$O5,'J1 C - (South) Bishopthorpe Roa'!$A$12:$A$130,"&lt;"&amp;Diagram!$P5)))</f>
        <v>0</v>
      </c>
      <c r="AD5" s="42">
        <f ca="1">IF(OR($I$10="",$O5="",$P5="",$J$35&lt;&gt;"Yes"),0,IF($K$10=0,SUMIFS(INDIRECT(ADDRESS(12,3+18*0+(0),,,"J1 C - (South) Bishopthorpe Roa")&amp;":"&amp;ADDRESS(130,3+18*0+(0))),'J1 C - (South) Bishopthorpe Roa'!$A$12:$A$130,"&gt;="&amp;Diagram!$O5,'J1 C - (South) Bishopthorpe Roa'!$A$12:$A$130,"&lt;"&amp;Diagram!$P5),SUMIFS(INDIRECT(ADDRESS(12,3+18*0+(8),,,"J1 C - (South) Bishopthorpe Roa")&amp;":"&amp;ADDRESS(130,3+18*0+(8))),'J1 C - (South) Bishopthorpe Roa'!$A$12:$A$130,"&gt;="&amp;Diagram!$O5,'J1 C - (South) Bishopthorpe Roa'!$A$12:$A$130,"&lt;"&amp;Diagram!$P5)))</f>
        <v>0</v>
      </c>
      <c r="AE5" s="42">
        <f ca="1">IF(OR($I$10="",$O5="",$P5="",$J$35&lt;&gt;"Yes"),0,IF($K$10=0,SUMIFS(INDIRECT(ADDRESS(12,3+18*0+(0),,,"J1 D - South Bank Avenue")&amp;":"&amp;ADDRESS(130,3+18*0+(0))),'J1 D - South Bank Avenue'!$A$12:$A$130,"&gt;="&amp;Diagram!$O5,'J1 D - South Bank Avenue'!$A$12:$A$130,"&lt;"&amp;Diagram!$P5),SUMIFS(INDIRECT(ADDRESS(12,3+18*0+(8),,,"J1 D - South Bank Avenue")&amp;":"&amp;ADDRESS(130,3+18*0+(8))),'J1 D - South Bank Avenue'!$A$12:$A$130,"&gt;="&amp;Diagram!$O5,'J1 D - South Bank Avenue'!$A$12:$A$130,"&lt;"&amp;Diagram!$P5)))</f>
        <v>0</v>
      </c>
      <c r="AF5" s="42">
        <f ca="1">IF(OR($I$10="",$O5="",$P5="",$J$35&lt;&gt;"Yes"),0,IF($K$10=0,SUMIFS(INDIRECT(ADDRESS(12,3+18*1+(0),,,"J1 D - South Bank Avenue")&amp;":"&amp;ADDRESS(130,3+18*1+(0))),'J1 D - South Bank Avenue'!$A$12:$A$130,"&gt;="&amp;Diagram!$O5,'J1 D - South Bank Avenue'!$A$12:$A$130,"&lt;"&amp;Diagram!$P5),SUMIFS(INDIRECT(ADDRESS(12,3+18*1+(8),,,"J1 D - South Bank Avenue")&amp;":"&amp;ADDRESS(130,3+18*1+(8))),'J1 D - South Bank Avenue'!$A$12:$A$130,"&gt;="&amp;Diagram!$O5,'J1 D - South Bank Avenue'!$A$12:$A$130,"&lt;"&amp;Diagram!$P5)))</f>
        <v>0</v>
      </c>
      <c r="AG5" s="42">
        <f ca="1">IF(OR($I$10="",$O5="",$P5="",$J$35&lt;&gt;"Yes"),0,IF($K$10=0,SUMIFS(INDIRECT(ADDRESS(12,3+18*2+(0),,,"J1 D - South Bank Avenue")&amp;":"&amp;ADDRESS(130,3+18*2+(0))),'J1 D - South Bank Avenue'!$A$12:$A$130,"&gt;="&amp;Diagram!$O5,'J1 D - South Bank Avenue'!$A$12:$A$130,"&lt;"&amp;Diagram!$P5),SUMIFS(INDIRECT(ADDRESS(12,3+18*2+(8),,,"J1 D - South Bank Avenue")&amp;":"&amp;ADDRESS(130,3+18*2+(8))),'J1 D - South Bank Avenue'!$A$12:$A$130,"&gt;="&amp;Diagram!$O5,'J1 D - South Bank Avenue'!$A$12:$A$130,"&lt;"&amp;Diagram!$P5)))</f>
        <v>0</v>
      </c>
      <c r="AH5" s="42">
        <f ca="1">IF(OR($I$10="",$O5="",$P5="",$J$35&lt;&gt;"Yes"),0,IF($K$10=0,SUMIFS(INDIRECT(ADDRESS(12,3+18*3+(0),,,"J1 D - South Bank Avenue")&amp;":"&amp;ADDRESS(130,3+18*3+(0))),'J1 D - South Bank Avenue'!$A$12:$A$130,"&gt;="&amp;Diagram!$O5,'J1 D - South Bank Avenue'!$A$12:$A$130,"&lt;"&amp;Diagram!$P5),SUMIFS(INDIRECT(ADDRESS(12,3+18*3+(8),,,"J1 D - South Bank Avenue")&amp;":"&amp;ADDRESS(130,3+18*3+(8))),'J1 D - South Bank Avenue'!$A$12:$A$130,"&gt;="&amp;Diagram!$O5,'J1 D - South Bank Avenue'!$A$12:$A$130,"&lt;"&amp;Diagram!$P5)))</f>
        <v>0</v>
      </c>
      <c r="AI5" s="42">
        <f t="shared" ca="1" si="2"/>
        <v>0</v>
      </c>
      <c r="AJ5" s="42">
        <f ca="1">IF(OR($I$10="",$O5="",$P5="",$J$36&lt;&gt;"Yes"),0,IF($K$10=0,SUMIFS(INDIRECT(ADDRESS(12,3+18*3+(1),,,"J1 A - (North) Bishopthorpe Roa")&amp;":"&amp;ADDRESS(130,3+18*3+(1))),'J1 A - (North) Bishopthorpe Roa'!$A$12:$A$130,"&gt;="&amp;Diagram!$O5,'J1 A - (North) Bishopthorpe Roa'!$A$12:$A$130,"&lt;"&amp;Diagram!$P5),SUMIFS(INDIRECT(ADDRESS(12,3+18*3+(9),,,"J1 A - (North) Bishopthorpe Roa")&amp;":"&amp;ADDRESS(130,3+18*3+(9))),'J1 A - (North) Bishopthorpe Roa'!$A$12:$A$130,"&gt;="&amp;Diagram!$O5,'J1 A - (North) Bishopthorpe Roa'!$A$12:$A$130,"&lt;"&amp;Diagram!$P5)))</f>
        <v>0</v>
      </c>
      <c r="AK5" s="42">
        <f ca="1">IF(OR($I$10="",$O5="",$P5="",$J$36&lt;&gt;"Yes"),0,IF($K$10=0,SUMIFS(INDIRECT(ADDRESS(12,3+18*0+(1),,,"J1 A - (North) Bishopthorpe Roa")&amp;":"&amp;ADDRESS(130,3+18*0+(1))),'J1 A - (North) Bishopthorpe Roa'!$A$12:$A$130,"&gt;="&amp;Diagram!$O5,'J1 A - (North) Bishopthorpe Roa'!$A$12:$A$130,"&lt;"&amp;Diagram!$P5),SUMIFS(INDIRECT(ADDRESS(12,3+18*0+(9),,,"J1 A - (North) Bishopthorpe Roa")&amp;":"&amp;ADDRESS(130,3+18*0+(9))),'J1 A - (North) Bishopthorpe Roa'!$A$12:$A$130,"&gt;="&amp;Diagram!$O5,'J1 A - (North) Bishopthorpe Roa'!$A$12:$A$130,"&lt;"&amp;Diagram!$P5)))</f>
        <v>0</v>
      </c>
      <c r="AL5" s="42">
        <f ca="1">IF(OR($I$10="",$O5="",$P5="",$J$36&lt;&gt;"Yes"),0,IF($K$10=0,SUMIFS(INDIRECT(ADDRESS(12,3+18*1+(1),,,"J1 A - (North) Bishopthorpe Roa")&amp;":"&amp;ADDRESS(130,3+18*1+(1))),'J1 A - (North) Bishopthorpe Roa'!$A$12:$A$130,"&gt;="&amp;Diagram!$O5,'J1 A - (North) Bishopthorpe Roa'!$A$12:$A$130,"&lt;"&amp;Diagram!$P5),SUMIFS(INDIRECT(ADDRESS(12,3+18*1+(9),,,"J1 A - (North) Bishopthorpe Roa")&amp;":"&amp;ADDRESS(130,3+18*1+(9))),'J1 A - (North) Bishopthorpe Roa'!$A$12:$A$130,"&gt;="&amp;Diagram!$O5,'J1 A - (North) Bishopthorpe Roa'!$A$12:$A$130,"&lt;"&amp;Diagram!$P5)))</f>
        <v>0</v>
      </c>
      <c r="AM5" s="42">
        <f ca="1">IF(OR($I$10="",$O5="",$P5="",$J$36&lt;&gt;"Yes"),0,IF($K$10=0,SUMIFS(INDIRECT(ADDRESS(12,3+18*2+(1),,,"J1 A - (North) Bishopthorpe Roa")&amp;":"&amp;ADDRESS(130,3+18*2+(1))),'J1 A - (North) Bishopthorpe Roa'!$A$12:$A$130,"&gt;="&amp;Diagram!$O5,'J1 A - (North) Bishopthorpe Roa'!$A$12:$A$130,"&lt;"&amp;Diagram!$P5),SUMIFS(INDIRECT(ADDRESS(12,3+18*2+(9),,,"J1 A - (North) Bishopthorpe Roa")&amp;":"&amp;ADDRESS(130,3+18*2+(9))),'J1 A - (North) Bishopthorpe Roa'!$A$12:$A$130,"&gt;="&amp;Diagram!$O5,'J1 A - (North) Bishopthorpe Roa'!$A$12:$A$130,"&lt;"&amp;Diagram!$P5)))</f>
        <v>0</v>
      </c>
      <c r="AN5" s="42">
        <f ca="1">IF(OR($I$10="",$O5="",$P5="",$J$36&lt;&gt;"Yes"),0,IF($K$10=0,SUMIFS(INDIRECT(ADDRESS(12,3+18*2+(1),,,"J1 B - Butcher Terrace")&amp;":"&amp;ADDRESS(130,3+18*2+(1))),'J1 B - Butcher Terrace'!$A$12:$A$130,"&gt;="&amp;Diagram!$O5,'J1 B - Butcher Terrace'!$A$12:$A$130,"&lt;"&amp;Diagram!$P5),SUMIFS(INDIRECT(ADDRESS(12,3+18*2+(9),,,"J1 B - Butcher Terrace")&amp;":"&amp;ADDRESS(130,3+18*2+(9))),'J1 B - Butcher Terrace'!$A$12:$A$130,"&gt;="&amp;Diagram!$O5,'J1 B - Butcher Terrace'!$A$12:$A$130,"&lt;"&amp;Diagram!$P5)))</f>
        <v>0</v>
      </c>
      <c r="AO5" s="42">
        <f ca="1">IF(OR($I$10="",$O5="",$P5="",$J$36&lt;&gt;"Yes"),0,IF($K$10=0,SUMIFS(INDIRECT(ADDRESS(12,3+18*3+(1),,,"J1 B - Butcher Terrace")&amp;":"&amp;ADDRESS(130,3+18*3+(1))),'J1 B - Butcher Terrace'!$A$12:$A$130,"&gt;="&amp;Diagram!$O5,'J1 B - Butcher Terrace'!$A$12:$A$130,"&lt;"&amp;Diagram!$P5),SUMIFS(INDIRECT(ADDRESS(12,3+18*3+(9),,,"J1 B - Butcher Terrace")&amp;":"&amp;ADDRESS(130,3+18*3+(9))),'J1 B - Butcher Terrace'!$A$12:$A$130,"&gt;="&amp;Diagram!$O5,'J1 B - Butcher Terrace'!$A$12:$A$130,"&lt;"&amp;Diagram!$P5)))</f>
        <v>0</v>
      </c>
      <c r="AP5" s="42">
        <f ca="1">IF(OR($I$10="",$O5="",$P5="",$J$36&lt;&gt;"Yes"),0,IF($K$10=0,SUMIFS(INDIRECT(ADDRESS(12,3+18*0+(1),,,"J1 B - Butcher Terrace")&amp;":"&amp;ADDRESS(130,3+18*0+(1))),'J1 B - Butcher Terrace'!$A$12:$A$130,"&gt;="&amp;Diagram!$O5,'J1 B - Butcher Terrace'!$A$12:$A$130,"&lt;"&amp;Diagram!$P5),SUMIFS(INDIRECT(ADDRESS(12,3+18*0+(9),,,"J1 B - Butcher Terrace")&amp;":"&amp;ADDRESS(130,3+18*0+(9))),'J1 B - Butcher Terrace'!$A$12:$A$130,"&gt;="&amp;Diagram!$O5,'J1 B - Butcher Terrace'!$A$12:$A$130,"&lt;"&amp;Diagram!$P5)))</f>
        <v>0</v>
      </c>
      <c r="AQ5" s="42">
        <f ca="1">IF(OR($I$10="",$O5="",$P5="",$J$36&lt;&gt;"Yes"),0,IF($K$10=0,SUMIFS(INDIRECT(ADDRESS(12,3+18*1+(1),,,"J1 B - Butcher Terrace")&amp;":"&amp;ADDRESS(130,3+18*1+(1))),'J1 B - Butcher Terrace'!$A$12:$A$130,"&gt;="&amp;Diagram!$O5,'J1 B - Butcher Terrace'!$A$12:$A$130,"&lt;"&amp;Diagram!$P5),SUMIFS(INDIRECT(ADDRESS(12,3+18*1+(9),,,"J1 B - Butcher Terrace")&amp;":"&amp;ADDRESS(130,3+18*1+(9))),'J1 B - Butcher Terrace'!$A$12:$A$130,"&gt;="&amp;Diagram!$O5,'J1 B - Butcher Terrace'!$A$12:$A$130,"&lt;"&amp;Diagram!$P5)))</f>
        <v>0</v>
      </c>
      <c r="AR5" s="42">
        <f ca="1">IF(OR($I$10="",$O5="",$P5="",$J$36&lt;&gt;"Yes"),0,IF($K$10=0,SUMIFS(INDIRECT(ADDRESS(12,3+18*1+(1),,,"J1 C - (South) Bishopthorpe Roa")&amp;":"&amp;ADDRESS(130,3+18*1+(1))),'J1 C - (South) Bishopthorpe Roa'!$A$12:$A$130,"&gt;="&amp;Diagram!$O5,'J1 C - (South) Bishopthorpe Roa'!$A$12:$A$130,"&lt;"&amp;Diagram!$P5),SUMIFS(INDIRECT(ADDRESS(12,3+18*1+(9),,,"J1 C - (South) Bishopthorpe Roa")&amp;":"&amp;ADDRESS(130,3+18*1+(9))),'J1 C - (South) Bishopthorpe Roa'!$A$12:$A$130,"&gt;="&amp;Diagram!$O5,'J1 C - (South) Bishopthorpe Roa'!$A$12:$A$130,"&lt;"&amp;Diagram!$P5)))</f>
        <v>0</v>
      </c>
      <c r="AS5" s="42">
        <f ca="1">IF(OR($I$10="",$O5="",$P5="",$J$36&lt;&gt;"Yes"),0,IF($K$10=0,SUMIFS(INDIRECT(ADDRESS(12,3+18*2+(1),,,"J1 C - (South) Bishopthorpe Roa")&amp;":"&amp;ADDRESS(130,3+18*2+(1))),'J1 C - (South) Bishopthorpe Roa'!$A$12:$A$130,"&gt;="&amp;Diagram!$O5,'J1 C - (South) Bishopthorpe Roa'!$A$12:$A$130,"&lt;"&amp;Diagram!$P5),SUMIFS(INDIRECT(ADDRESS(12,3+18*2+(9),,,"J1 C - (South) Bishopthorpe Roa")&amp;":"&amp;ADDRESS(130,3+18*2+(9))),'J1 C - (South) Bishopthorpe Roa'!$A$12:$A$130,"&gt;="&amp;Diagram!$O5,'J1 C - (South) Bishopthorpe Roa'!$A$12:$A$130,"&lt;"&amp;Diagram!$P5)))</f>
        <v>0</v>
      </c>
      <c r="AT5" s="42">
        <f ca="1">IF(OR($I$10="",$O5="",$P5="",$J$36&lt;&gt;"Yes"),0,IF($K$10=0,SUMIFS(INDIRECT(ADDRESS(12,3+18*3+(1),,,"J1 C - (South) Bishopthorpe Roa")&amp;":"&amp;ADDRESS(130,3+18*3+(1))),'J1 C - (South) Bishopthorpe Roa'!$A$12:$A$130,"&gt;="&amp;Diagram!$O5,'J1 C - (South) Bishopthorpe Roa'!$A$12:$A$130,"&lt;"&amp;Diagram!$P5),SUMIFS(INDIRECT(ADDRESS(12,3+18*3+(9),,,"J1 C - (South) Bishopthorpe Roa")&amp;":"&amp;ADDRESS(130,3+18*3+(9))),'J1 C - (South) Bishopthorpe Roa'!$A$12:$A$130,"&gt;="&amp;Diagram!$O5,'J1 C - (South) Bishopthorpe Roa'!$A$12:$A$130,"&lt;"&amp;Diagram!$P5)))</f>
        <v>0</v>
      </c>
      <c r="AU5" s="42">
        <f ca="1">IF(OR($I$10="",$O5="",$P5="",$J$36&lt;&gt;"Yes"),0,IF($K$10=0,SUMIFS(INDIRECT(ADDRESS(12,3+18*0+(1),,,"J1 C - (South) Bishopthorpe Roa")&amp;":"&amp;ADDRESS(130,3+18*0+(1))),'J1 C - (South) Bishopthorpe Roa'!$A$12:$A$130,"&gt;="&amp;Diagram!$O5,'J1 C - (South) Bishopthorpe Roa'!$A$12:$A$130,"&lt;"&amp;Diagram!$P5),SUMIFS(INDIRECT(ADDRESS(12,3+18*0+(9),,,"J1 C - (South) Bishopthorpe Roa")&amp;":"&amp;ADDRESS(130,3+18*0+(9))),'J1 C - (South) Bishopthorpe Roa'!$A$12:$A$130,"&gt;="&amp;Diagram!$O5,'J1 C - (South) Bishopthorpe Roa'!$A$12:$A$130,"&lt;"&amp;Diagram!$P5)))</f>
        <v>0</v>
      </c>
      <c r="AV5" s="42">
        <f ca="1">IF(OR($I$10="",$O5="",$P5="",$J$36&lt;&gt;"Yes"),0,IF($K$10=0,SUMIFS(INDIRECT(ADDRESS(12,3+18*0+(1),,,"J1 D - South Bank Avenue")&amp;":"&amp;ADDRESS(130,3+18*0+(1))),'J1 D - South Bank Avenue'!$A$12:$A$130,"&gt;="&amp;Diagram!$O5,'J1 D - South Bank Avenue'!$A$12:$A$130,"&lt;"&amp;Diagram!$P5),SUMIFS(INDIRECT(ADDRESS(12,3+18*0+(9),,,"J1 D - South Bank Avenue")&amp;":"&amp;ADDRESS(130,3+18*0+(9))),'J1 D - South Bank Avenue'!$A$12:$A$130,"&gt;="&amp;Diagram!$O5,'J1 D - South Bank Avenue'!$A$12:$A$130,"&lt;"&amp;Diagram!$P5)))</f>
        <v>0</v>
      </c>
      <c r="AW5" s="42">
        <f ca="1">IF(OR($I$10="",$O5="",$P5="",$J$36&lt;&gt;"Yes"),0,IF($K$10=0,SUMIFS(INDIRECT(ADDRESS(12,3+18*1+(1),,,"J1 D - South Bank Avenue")&amp;":"&amp;ADDRESS(130,3+18*1+(1))),'J1 D - South Bank Avenue'!$A$12:$A$130,"&gt;="&amp;Diagram!$O5,'J1 D - South Bank Avenue'!$A$12:$A$130,"&lt;"&amp;Diagram!$P5),SUMIFS(INDIRECT(ADDRESS(12,3+18*1+(9),,,"J1 D - South Bank Avenue")&amp;":"&amp;ADDRESS(130,3+18*1+(9))),'J1 D - South Bank Avenue'!$A$12:$A$130,"&gt;="&amp;Diagram!$O5,'J1 D - South Bank Avenue'!$A$12:$A$130,"&lt;"&amp;Diagram!$P5)))</f>
        <v>0</v>
      </c>
      <c r="AX5" s="42">
        <f ca="1">IF(OR($I$10="",$O5="",$P5="",$J$36&lt;&gt;"Yes"),0,IF($K$10=0,SUMIFS(INDIRECT(ADDRESS(12,3+18*2+(1),,,"J1 D - South Bank Avenue")&amp;":"&amp;ADDRESS(130,3+18*2+(1))),'J1 D - South Bank Avenue'!$A$12:$A$130,"&gt;="&amp;Diagram!$O5,'J1 D - South Bank Avenue'!$A$12:$A$130,"&lt;"&amp;Diagram!$P5),SUMIFS(INDIRECT(ADDRESS(12,3+18*2+(9),,,"J1 D - South Bank Avenue")&amp;":"&amp;ADDRESS(130,3+18*2+(9))),'J1 D - South Bank Avenue'!$A$12:$A$130,"&gt;="&amp;Diagram!$O5,'J1 D - South Bank Avenue'!$A$12:$A$130,"&lt;"&amp;Diagram!$P5)))</f>
        <v>0</v>
      </c>
      <c r="AY5" s="42">
        <f ca="1">IF(OR($I$10="",$O5="",$P5="",$J$36&lt;&gt;"Yes"),0,IF($K$10=0,SUMIFS(INDIRECT(ADDRESS(12,3+18*3+(1),,,"J1 D - South Bank Avenue")&amp;":"&amp;ADDRESS(130,3+18*3+(1))),'J1 D - South Bank Avenue'!$A$12:$A$130,"&gt;="&amp;Diagram!$O5,'J1 D - South Bank Avenue'!$A$12:$A$130,"&lt;"&amp;Diagram!$P5),SUMIFS(INDIRECT(ADDRESS(12,3+18*3+(9),,,"J1 D - South Bank Avenue")&amp;":"&amp;ADDRESS(130,3+18*3+(9))),'J1 D - South Bank Avenue'!$A$12:$A$130,"&gt;="&amp;Diagram!$O5,'J1 D - South Bank Avenue'!$A$12:$A$130,"&lt;"&amp;Diagram!$P5)))</f>
        <v>0</v>
      </c>
      <c r="AZ5" s="42">
        <f t="shared" ca="1" si="3"/>
        <v>0</v>
      </c>
      <c r="BA5" s="42">
        <f ca="1">IF(OR($I$10="",$O5="",$P5="",$J$37&lt;&gt;"Yes"),0,IF($K$10=0,SUMIFS(INDIRECT(ADDRESS(12,3+18*3+(2),,,"J1 A - (North) Bishopthorpe Roa")&amp;":"&amp;ADDRESS(130,3+18*3+(2))),'J1 A - (North) Bishopthorpe Roa'!$A$12:$A$130,"&gt;="&amp;Diagram!$O5,'J1 A - (North) Bishopthorpe Roa'!$A$12:$A$130,"&lt;"&amp;Diagram!$P5),SUMIFS(INDIRECT(ADDRESS(12,3+18*3+(10),,,"J1 A - (North) Bishopthorpe Roa")&amp;":"&amp;ADDRESS(130,3+18*3+(10))),'J1 A - (North) Bishopthorpe Roa'!$A$12:$A$130,"&gt;="&amp;Diagram!$O5,'J1 A - (North) Bishopthorpe Roa'!$A$12:$A$130,"&lt;"&amp;Diagram!$P5)))</f>
        <v>0</v>
      </c>
      <c r="BB5" s="42">
        <f ca="1">IF(OR($I$10="",$O5="",$P5="",$J$37&lt;&gt;"Yes"),0,IF($K$10=0,SUMIFS(INDIRECT(ADDRESS(12,3+18*0+(2),,,"J1 A - (North) Bishopthorpe Roa")&amp;":"&amp;ADDRESS(130,3+18*0+(2))),'J1 A - (North) Bishopthorpe Roa'!$A$12:$A$130,"&gt;="&amp;Diagram!$O5,'J1 A - (North) Bishopthorpe Roa'!$A$12:$A$130,"&lt;"&amp;Diagram!$P5),SUMIFS(INDIRECT(ADDRESS(12,3+18*0+(10),,,"J1 A - (North) Bishopthorpe Roa")&amp;":"&amp;ADDRESS(130,3+18*0+(10))),'J1 A - (North) Bishopthorpe Roa'!$A$12:$A$130,"&gt;="&amp;Diagram!$O5,'J1 A - (North) Bishopthorpe Roa'!$A$12:$A$130,"&lt;"&amp;Diagram!$P5)))</f>
        <v>0</v>
      </c>
      <c r="BC5" s="42">
        <f ca="1">IF(OR($I$10="",$O5="",$P5="",$J$37&lt;&gt;"Yes"),0,IF($K$10=0,SUMIFS(INDIRECT(ADDRESS(12,3+18*1+(2),,,"J1 A - (North) Bishopthorpe Roa")&amp;":"&amp;ADDRESS(130,3+18*1+(2))),'J1 A - (North) Bishopthorpe Roa'!$A$12:$A$130,"&gt;="&amp;Diagram!$O5,'J1 A - (North) Bishopthorpe Roa'!$A$12:$A$130,"&lt;"&amp;Diagram!$P5),SUMIFS(INDIRECT(ADDRESS(12,3+18*1+(10),,,"J1 A - (North) Bishopthorpe Roa")&amp;":"&amp;ADDRESS(130,3+18*1+(10))),'J1 A - (North) Bishopthorpe Roa'!$A$12:$A$130,"&gt;="&amp;Diagram!$O5,'J1 A - (North) Bishopthorpe Roa'!$A$12:$A$130,"&lt;"&amp;Diagram!$P5)))</f>
        <v>0</v>
      </c>
      <c r="BD5" s="42">
        <f ca="1">IF(OR($I$10="",$O5="",$P5="",$J$37&lt;&gt;"Yes"),0,IF($K$10=0,SUMIFS(INDIRECT(ADDRESS(12,3+18*2+(2),,,"J1 A - (North) Bishopthorpe Roa")&amp;":"&amp;ADDRESS(130,3+18*2+(2))),'J1 A - (North) Bishopthorpe Roa'!$A$12:$A$130,"&gt;="&amp;Diagram!$O5,'J1 A - (North) Bishopthorpe Roa'!$A$12:$A$130,"&lt;"&amp;Diagram!$P5),SUMIFS(INDIRECT(ADDRESS(12,3+18*2+(10),,,"J1 A - (North) Bishopthorpe Roa")&amp;":"&amp;ADDRESS(130,3+18*2+(10))),'J1 A - (North) Bishopthorpe Roa'!$A$12:$A$130,"&gt;="&amp;Diagram!$O5,'J1 A - (North) Bishopthorpe Roa'!$A$12:$A$130,"&lt;"&amp;Diagram!$P5)))</f>
        <v>0</v>
      </c>
      <c r="BE5" s="42">
        <f ca="1">IF(OR($I$10="",$O5="",$P5="",$J$37&lt;&gt;"Yes"),0,IF($K$10=0,SUMIFS(INDIRECT(ADDRESS(12,3+18*2+(2),,,"J1 B - Butcher Terrace")&amp;":"&amp;ADDRESS(130,3+18*2+(2))),'J1 B - Butcher Terrace'!$A$12:$A$130,"&gt;="&amp;Diagram!$O5,'J1 B - Butcher Terrace'!$A$12:$A$130,"&lt;"&amp;Diagram!$P5),SUMIFS(INDIRECT(ADDRESS(12,3+18*2+(10),,,"J1 B - Butcher Terrace")&amp;":"&amp;ADDRESS(130,3+18*2+(10))),'J1 B - Butcher Terrace'!$A$12:$A$130,"&gt;="&amp;Diagram!$O5,'J1 B - Butcher Terrace'!$A$12:$A$130,"&lt;"&amp;Diagram!$P5)))</f>
        <v>0</v>
      </c>
      <c r="BF5" s="42">
        <f ca="1">IF(OR($I$10="",$O5="",$P5="",$J$37&lt;&gt;"Yes"),0,IF($K$10=0,SUMIFS(INDIRECT(ADDRESS(12,3+18*3+(2),,,"J1 B - Butcher Terrace")&amp;":"&amp;ADDRESS(130,3+18*3+(2))),'J1 B - Butcher Terrace'!$A$12:$A$130,"&gt;="&amp;Diagram!$O5,'J1 B - Butcher Terrace'!$A$12:$A$130,"&lt;"&amp;Diagram!$P5),SUMIFS(INDIRECT(ADDRESS(12,3+18*3+(10),,,"J1 B - Butcher Terrace")&amp;":"&amp;ADDRESS(130,3+18*3+(10))),'J1 B - Butcher Terrace'!$A$12:$A$130,"&gt;="&amp;Diagram!$O5,'J1 B - Butcher Terrace'!$A$12:$A$130,"&lt;"&amp;Diagram!$P5)))</f>
        <v>0</v>
      </c>
      <c r="BG5" s="42">
        <f ca="1">IF(OR($I$10="",$O5="",$P5="",$J$37&lt;&gt;"Yes"),0,IF($K$10=0,SUMIFS(INDIRECT(ADDRESS(12,3+18*0+(2),,,"J1 B - Butcher Terrace")&amp;":"&amp;ADDRESS(130,3+18*0+(2))),'J1 B - Butcher Terrace'!$A$12:$A$130,"&gt;="&amp;Diagram!$O5,'J1 B - Butcher Terrace'!$A$12:$A$130,"&lt;"&amp;Diagram!$P5),SUMIFS(INDIRECT(ADDRESS(12,3+18*0+(10),,,"J1 B - Butcher Terrace")&amp;":"&amp;ADDRESS(130,3+18*0+(10))),'J1 B - Butcher Terrace'!$A$12:$A$130,"&gt;="&amp;Diagram!$O5,'J1 B - Butcher Terrace'!$A$12:$A$130,"&lt;"&amp;Diagram!$P5)))</f>
        <v>0</v>
      </c>
      <c r="BH5" s="42">
        <f ca="1">IF(OR($I$10="",$O5="",$P5="",$J$37&lt;&gt;"Yes"),0,IF($K$10=0,SUMIFS(INDIRECT(ADDRESS(12,3+18*1+(2),,,"J1 B - Butcher Terrace")&amp;":"&amp;ADDRESS(130,3+18*1+(2))),'J1 B - Butcher Terrace'!$A$12:$A$130,"&gt;="&amp;Diagram!$O5,'J1 B - Butcher Terrace'!$A$12:$A$130,"&lt;"&amp;Diagram!$P5),SUMIFS(INDIRECT(ADDRESS(12,3+18*1+(10),,,"J1 B - Butcher Terrace")&amp;":"&amp;ADDRESS(130,3+18*1+(10))),'J1 B - Butcher Terrace'!$A$12:$A$130,"&gt;="&amp;Diagram!$O5,'J1 B - Butcher Terrace'!$A$12:$A$130,"&lt;"&amp;Diagram!$P5)))</f>
        <v>0</v>
      </c>
      <c r="BI5" s="42">
        <f ca="1">IF(OR($I$10="",$O5="",$P5="",$J$37&lt;&gt;"Yes"),0,IF($K$10=0,SUMIFS(INDIRECT(ADDRESS(12,3+18*1+(2),,,"J1 C - (South) Bishopthorpe Roa")&amp;":"&amp;ADDRESS(130,3+18*1+(2))),'J1 C - (South) Bishopthorpe Roa'!$A$12:$A$130,"&gt;="&amp;Diagram!$O5,'J1 C - (South) Bishopthorpe Roa'!$A$12:$A$130,"&lt;"&amp;Diagram!$P5),SUMIFS(INDIRECT(ADDRESS(12,3+18*1+(10),,,"J1 C - (South) Bishopthorpe Roa")&amp;":"&amp;ADDRESS(130,3+18*1+(10))),'J1 C - (South) Bishopthorpe Roa'!$A$12:$A$130,"&gt;="&amp;Diagram!$O5,'J1 C - (South) Bishopthorpe Roa'!$A$12:$A$130,"&lt;"&amp;Diagram!$P5)))</f>
        <v>0</v>
      </c>
      <c r="BJ5" s="42">
        <f ca="1">IF(OR($I$10="",$O5="",$P5="",$J$37&lt;&gt;"Yes"),0,IF($K$10=0,SUMIFS(INDIRECT(ADDRESS(12,3+18*2+(2),,,"J1 C - (South) Bishopthorpe Roa")&amp;":"&amp;ADDRESS(130,3+18*2+(2))),'J1 C - (South) Bishopthorpe Roa'!$A$12:$A$130,"&gt;="&amp;Diagram!$O5,'J1 C - (South) Bishopthorpe Roa'!$A$12:$A$130,"&lt;"&amp;Diagram!$P5),SUMIFS(INDIRECT(ADDRESS(12,3+18*2+(10),,,"J1 C - (South) Bishopthorpe Roa")&amp;":"&amp;ADDRESS(130,3+18*2+(10))),'J1 C - (South) Bishopthorpe Roa'!$A$12:$A$130,"&gt;="&amp;Diagram!$O5,'J1 C - (South) Bishopthorpe Roa'!$A$12:$A$130,"&lt;"&amp;Diagram!$P5)))</f>
        <v>0</v>
      </c>
      <c r="BK5" s="42">
        <f ca="1">IF(OR($I$10="",$O5="",$P5="",$J$37&lt;&gt;"Yes"),0,IF($K$10=0,SUMIFS(INDIRECT(ADDRESS(12,3+18*3+(2),,,"J1 C - (South) Bishopthorpe Roa")&amp;":"&amp;ADDRESS(130,3+18*3+(2))),'J1 C - (South) Bishopthorpe Roa'!$A$12:$A$130,"&gt;="&amp;Diagram!$O5,'J1 C - (South) Bishopthorpe Roa'!$A$12:$A$130,"&lt;"&amp;Diagram!$P5),SUMIFS(INDIRECT(ADDRESS(12,3+18*3+(10),,,"J1 C - (South) Bishopthorpe Roa")&amp;":"&amp;ADDRESS(130,3+18*3+(10))),'J1 C - (South) Bishopthorpe Roa'!$A$12:$A$130,"&gt;="&amp;Diagram!$O5,'J1 C - (South) Bishopthorpe Roa'!$A$12:$A$130,"&lt;"&amp;Diagram!$P5)))</f>
        <v>0</v>
      </c>
      <c r="BL5" s="42">
        <f ca="1">IF(OR($I$10="",$O5="",$P5="",$J$37&lt;&gt;"Yes"),0,IF($K$10=0,SUMIFS(INDIRECT(ADDRESS(12,3+18*0+(2),,,"J1 C - (South) Bishopthorpe Roa")&amp;":"&amp;ADDRESS(130,3+18*0+(2))),'J1 C - (South) Bishopthorpe Roa'!$A$12:$A$130,"&gt;="&amp;Diagram!$O5,'J1 C - (South) Bishopthorpe Roa'!$A$12:$A$130,"&lt;"&amp;Diagram!$P5),SUMIFS(INDIRECT(ADDRESS(12,3+18*0+(10),,,"J1 C - (South) Bishopthorpe Roa")&amp;":"&amp;ADDRESS(130,3+18*0+(10))),'J1 C - (South) Bishopthorpe Roa'!$A$12:$A$130,"&gt;="&amp;Diagram!$O5,'J1 C - (South) Bishopthorpe Roa'!$A$12:$A$130,"&lt;"&amp;Diagram!$P5)))</f>
        <v>0</v>
      </c>
      <c r="BM5" s="42">
        <f ca="1">IF(OR($I$10="",$O5="",$P5="",$J$37&lt;&gt;"Yes"),0,IF($K$10=0,SUMIFS(INDIRECT(ADDRESS(12,3+18*0+(2),,,"J1 D - South Bank Avenue")&amp;":"&amp;ADDRESS(130,3+18*0+(2))),'J1 D - South Bank Avenue'!$A$12:$A$130,"&gt;="&amp;Diagram!$O5,'J1 D - South Bank Avenue'!$A$12:$A$130,"&lt;"&amp;Diagram!$P5),SUMIFS(INDIRECT(ADDRESS(12,3+18*0+(10),,,"J1 D - South Bank Avenue")&amp;":"&amp;ADDRESS(130,3+18*0+(10))),'J1 D - South Bank Avenue'!$A$12:$A$130,"&gt;="&amp;Diagram!$O5,'J1 D - South Bank Avenue'!$A$12:$A$130,"&lt;"&amp;Diagram!$P5)))</f>
        <v>0</v>
      </c>
      <c r="BN5" s="42">
        <f ca="1">IF(OR($I$10="",$O5="",$P5="",$J$37&lt;&gt;"Yes"),0,IF($K$10=0,SUMIFS(INDIRECT(ADDRESS(12,3+18*1+(2),,,"J1 D - South Bank Avenue")&amp;":"&amp;ADDRESS(130,3+18*1+(2))),'J1 D - South Bank Avenue'!$A$12:$A$130,"&gt;="&amp;Diagram!$O5,'J1 D - South Bank Avenue'!$A$12:$A$130,"&lt;"&amp;Diagram!$P5),SUMIFS(INDIRECT(ADDRESS(12,3+18*1+(10),,,"J1 D - South Bank Avenue")&amp;":"&amp;ADDRESS(130,3+18*1+(10))),'J1 D - South Bank Avenue'!$A$12:$A$130,"&gt;="&amp;Diagram!$O5,'J1 D - South Bank Avenue'!$A$12:$A$130,"&lt;"&amp;Diagram!$P5)))</f>
        <v>0</v>
      </c>
      <c r="BO5" s="42">
        <f ca="1">IF(OR($I$10="",$O5="",$P5="",$J$37&lt;&gt;"Yes"),0,IF($K$10=0,SUMIFS(INDIRECT(ADDRESS(12,3+18*2+(2),,,"J1 D - South Bank Avenue")&amp;":"&amp;ADDRESS(130,3+18*2+(2))),'J1 D - South Bank Avenue'!$A$12:$A$130,"&gt;="&amp;Diagram!$O5,'J1 D - South Bank Avenue'!$A$12:$A$130,"&lt;"&amp;Diagram!$P5),SUMIFS(INDIRECT(ADDRESS(12,3+18*2+(10),,,"J1 D - South Bank Avenue")&amp;":"&amp;ADDRESS(130,3+18*2+(10))),'J1 D - South Bank Avenue'!$A$12:$A$130,"&gt;="&amp;Diagram!$O5,'J1 D - South Bank Avenue'!$A$12:$A$130,"&lt;"&amp;Diagram!$P5)))</f>
        <v>0</v>
      </c>
      <c r="BP5" s="42">
        <f ca="1">IF(OR($I$10="",$O5="",$P5="",$J$37&lt;&gt;"Yes"),0,IF($K$10=0,SUMIFS(INDIRECT(ADDRESS(12,3+18*3+(2),,,"J1 D - South Bank Avenue")&amp;":"&amp;ADDRESS(130,3+18*3+(2))),'J1 D - South Bank Avenue'!$A$12:$A$130,"&gt;="&amp;Diagram!$O5,'J1 D - South Bank Avenue'!$A$12:$A$130,"&lt;"&amp;Diagram!$P5),SUMIFS(INDIRECT(ADDRESS(12,3+18*3+(10),,,"J1 D - South Bank Avenue")&amp;":"&amp;ADDRESS(130,3+18*3+(10))),'J1 D - South Bank Avenue'!$A$12:$A$130,"&gt;="&amp;Diagram!$O5,'J1 D - South Bank Avenue'!$A$12:$A$130,"&lt;"&amp;Diagram!$P5)))</f>
        <v>0</v>
      </c>
      <c r="BQ5" s="42">
        <f t="shared" ca="1" si="4"/>
        <v>0</v>
      </c>
      <c r="BR5" s="42">
        <f ca="1">IF(OR($I$10="",$O5="",$P5="",$J$38&lt;&gt;"Yes"),0,IF($K$10=0,SUMIFS(INDIRECT(ADDRESS(12,3+18*3+(3),,,"J1 A - (North) Bishopthorpe Roa")&amp;":"&amp;ADDRESS(130,3+18*3+(3))),'J1 A - (North) Bishopthorpe Roa'!$A$12:$A$130,"&gt;="&amp;Diagram!$O5,'J1 A - (North) Bishopthorpe Roa'!$A$12:$A$130,"&lt;"&amp;Diagram!$P5),SUMIFS(INDIRECT(ADDRESS(12,3+18*3+(11),,,"J1 A - (North) Bishopthorpe Roa")&amp;":"&amp;ADDRESS(130,3+18*3+(11))),'J1 A - (North) Bishopthorpe Roa'!$A$12:$A$130,"&gt;="&amp;Diagram!$O5,'J1 A - (North) Bishopthorpe Roa'!$A$12:$A$130,"&lt;"&amp;Diagram!$P5)))</f>
        <v>0</v>
      </c>
      <c r="BS5" s="42">
        <f ca="1">IF(OR($I$10="",$O5="",$P5="",$J$38&lt;&gt;"Yes"),0,IF($K$10=0,SUMIFS(INDIRECT(ADDRESS(12,3+18*0+(3),,,"J1 A - (North) Bishopthorpe Roa")&amp;":"&amp;ADDRESS(130,3+18*0+(3))),'J1 A - (North) Bishopthorpe Roa'!$A$12:$A$130,"&gt;="&amp;Diagram!$O5,'J1 A - (North) Bishopthorpe Roa'!$A$12:$A$130,"&lt;"&amp;Diagram!$P5),SUMIFS(INDIRECT(ADDRESS(12,3+18*0+(11),,,"J1 A - (North) Bishopthorpe Roa")&amp;":"&amp;ADDRESS(130,3+18*0+(11))),'J1 A - (North) Bishopthorpe Roa'!$A$12:$A$130,"&gt;="&amp;Diagram!$O5,'J1 A - (North) Bishopthorpe Roa'!$A$12:$A$130,"&lt;"&amp;Diagram!$P5)))</f>
        <v>0</v>
      </c>
      <c r="BT5" s="42">
        <f ca="1">IF(OR($I$10="",$O5="",$P5="",$J$38&lt;&gt;"Yes"),0,IF($K$10=0,SUMIFS(INDIRECT(ADDRESS(12,3+18*1+(3),,,"J1 A - (North) Bishopthorpe Roa")&amp;":"&amp;ADDRESS(130,3+18*1+(3))),'J1 A - (North) Bishopthorpe Roa'!$A$12:$A$130,"&gt;="&amp;Diagram!$O5,'J1 A - (North) Bishopthorpe Roa'!$A$12:$A$130,"&lt;"&amp;Diagram!$P5),SUMIFS(INDIRECT(ADDRESS(12,3+18*1+(11),,,"J1 A - (North) Bishopthorpe Roa")&amp;":"&amp;ADDRESS(130,3+18*1+(11))),'J1 A - (North) Bishopthorpe Roa'!$A$12:$A$130,"&gt;="&amp;Diagram!$O5,'J1 A - (North) Bishopthorpe Roa'!$A$12:$A$130,"&lt;"&amp;Diagram!$P5)))</f>
        <v>0</v>
      </c>
      <c r="BU5" s="42">
        <f ca="1">IF(OR($I$10="",$O5="",$P5="",$J$38&lt;&gt;"Yes"),0,IF($K$10=0,SUMIFS(INDIRECT(ADDRESS(12,3+18*2+(3),,,"J1 A - (North) Bishopthorpe Roa")&amp;":"&amp;ADDRESS(130,3+18*2+(3))),'J1 A - (North) Bishopthorpe Roa'!$A$12:$A$130,"&gt;="&amp;Diagram!$O5,'J1 A - (North) Bishopthorpe Roa'!$A$12:$A$130,"&lt;"&amp;Diagram!$P5),SUMIFS(INDIRECT(ADDRESS(12,3+18*2+(11),,,"J1 A - (North) Bishopthorpe Roa")&amp;":"&amp;ADDRESS(130,3+18*2+(11))),'J1 A - (North) Bishopthorpe Roa'!$A$12:$A$130,"&gt;="&amp;Diagram!$O5,'J1 A - (North) Bishopthorpe Roa'!$A$12:$A$130,"&lt;"&amp;Diagram!$P5)))</f>
        <v>0</v>
      </c>
      <c r="BV5" s="42">
        <f ca="1">IF(OR($I$10="",$O5="",$P5="",$J$38&lt;&gt;"Yes"),0,IF($K$10=0,SUMIFS(INDIRECT(ADDRESS(12,3+18*2+(3),,,"J1 B - Butcher Terrace")&amp;":"&amp;ADDRESS(130,3+18*2+(3))),'J1 B - Butcher Terrace'!$A$12:$A$130,"&gt;="&amp;Diagram!$O5,'J1 B - Butcher Terrace'!$A$12:$A$130,"&lt;"&amp;Diagram!$P5),SUMIFS(INDIRECT(ADDRESS(12,3+18*2+(11),,,"J1 B - Butcher Terrace")&amp;":"&amp;ADDRESS(130,3+18*2+(11))),'J1 B - Butcher Terrace'!$A$12:$A$130,"&gt;="&amp;Diagram!$O5,'J1 B - Butcher Terrace'!$A$12:$A$130,"&lt;"&amp;Diagram!$P5)))</f>
        <v>0</v>
      </c>
      <c r="BW5" s="42">
        <f ca="1">IF(OR($I$10="",$O5="",$P5="",$J$38&lt;&gt;"Yes"),0,IF($K$10=0,SUMIFS(INDIRECT(ADDRESS(12,3+18*3+(3),,,"J1 B - Butcher Terrace")&amp;":"&amp;ADDRESS(130,3+18*3+(3))),'J1 B - Butcher Terrace'!$A$12:$A$130,"&gt;="&amp;Diagram!$O5,'J1 B - Butcher Terrace'!$A$12:$A$130,"&lt;"&amp;Diagram!$P5),SUMIFS(INDIRECT(ADDRESS(12,3+18*3+(11),,,"J1 B - Butcher Terrace")&amp;":"&amp;ADDRESS(130,3+18*3+(11))),'J1 B - Butcher Terrace'!$A$12:$A$130,"&gt;="&amp;Diagram!$O5,'J1 B - Butcher Terrace'!$A$12:$A$130,"&lt;"&amp;Diagram!$P5)))</f>
        <v>0</v>
      </c>
      <c r="BX5" s="42">
        <f ca="1">IF(OR($I$10="",$O5="",$P5="",$J$38&lt;&gt;"Yes"),0,IF($K$10=0,SUMIFS(INDIRECT(ADDRESS(12,3+18*0+(3),,,"J1 B - Butcher Terrace")&amp;":"&amp;ADDRESS(130,3+18*0+(3))),'J1 B - Butcher Terrace'!$A$12:$A$130,"&gt;="&amp;Diagram!$O5,'J1 B - Butcher Terrace'!$A$12:$A$130,"&lt;"&amp;Diagram!$P5),SUMIFS(INDIRECT(ADDRESS(12,3+18*0+(11),,,"J1 B - Butcher Terrace")&amp;":"&amp;ADDRESS(130,3+18*0+(11))),'J1 B - Butcher Terrace'!$A$12:$A$130,"&gt;="&amp;Diagram!$O5,'J1 B - Butcher Terrace'!$A$12:$A$130,"&lt;"&amp;Diagram!$P5)))</f>
        <v>0</v>
      </c>
      <c r="BY5" s="42">
        <f ca="1">IF(OR($I$10="",$O5="",$P5="",$J$38&lt;&gt;"Yes"),0,IF($K$10=0,SUMIFS(INDIRECT(ADDRESS(12,3+18*1+(3),,,"J1 B - Butcher Terrace")&amp;":"&amp;ADDRESS(130,3+18*1+(3))),'J1 B - Butcher Terrace'!$A$12:$A$130,"&gt;="&amp;Diagram!$O5,'J1 B - Butcher Terrace'!$A$12:$A$130,"&lt;"&amp;Diagram!$P5),SUMIFS(INDIRECT(ADDRESS(12,3+18*1+(11),,,"J1 B - Butcher Terrace")&amp;":"&amp;ADDRESS(130,3+18*1+(11))),'J1 B - Butcher Terrace'!$A$12:$A$130,"&gt;="&amp;Diagram!$O5,'J1 B - Butcher Terrace'!$A$12:$A$130,"&lt;"&amp;Diagram!$P5)))</f>
        <v>0</v>
      </c>
      <c r="BZ5" s="42">
        <f ca="1">IF(OR($I$10="",$O5="",$P5="",$J$38&lt;&gt;"Yes"),0,IF($K$10=0,SUMIFS(INDIRECT(ADDRESS(12,3+18*1+(3),,,"J1 C - (South) Bishopthorpe Roa")&amp;":"&amp;ADDRESS(130,3+18*1+(3))),'J1 C - (South) Bishopthorpe Roa'!$A$12:$A$130,"&gt;="&amp;Diagram!$O5,'J1 C - (South) Bishopthorpe Roa'!$A$12:$A$130,"&lt;"&amp;Diagram!$P5),SUMIFS(INDIRECT(ADDRESS(12,3+18*1+(11),,,"J1 C - (South) Bishopthorpe Roa")&amp;":"&amp;ADDRESS(130,3+18*1+(11))),'J1 C - (South) Bishopthorpe Roa'!$A$12:$A$130,"&gt;="&amp;Diagram!$O5,'J1 C - (South) Bishopthorpe Roa'!$A$12:$A$130,"&lt;"&amp;Diagram!$P5)))</f>
        <v>0</v>
      </c>
      <c r="CA5" s="42">
        <f ca="1">IF(OR($I$10="",$O5="",$P5="",$J$38&lt;&gt;"Yes"),0,IF($K$10=0,SUMIFS(INDIRECT(ADDRESS(12,3+18*2+(3),,,"J1 C - (South) Bishopthorpe Roa")&amp;":"&amp;ADDRESS(130,3+18*2+(3))),'J1 C - (South) Bishopthorpe Roa'!$A$12:$A$130,"&gt;="&amp;Diagram!$O5,'J1 C - (South) Bishopthorpe Roa'!$A$12:$A$130,"&lt;"&amp;Diagram!$P5),SUMIFS(INDIRECT(ADDRESS(12,3+18*2+(11),,,"J1 C - (South) Bishopthorpe Roa")&amp;":"&amp;ADDRESS(130,3+18*2+(11))),'J1 C - (South) Bishopthorpe Roa'!$A$12:$A$130,"&gt;="&amp;Diagram!$O5,'J1 C - (South) Bishopthorpe Roa'!$A$12:$A$130,"&lt;"&amp;Diagram!$P5)))</f>
        <v>0</v>
      </c>
      <c r="CB5" s="42">
        <f ca="1">IF(OR($I$10="",$O5="",$P5="",$J$38&lt;&gt;"Yes"),0,IF($K$10=0,SUMIFS(INDIRECT(ADDRESS(12,3+18*3+(3),,,"J1 C - (South) Bishopthorpe Roa")&amp;":"&amp;ADDRESS(130,3+18*3+(3))),'J1 C - (South) Bishopthorpe Roa'!$A$12:$A$130,"&gt;="&amp;Diagram!$O5,'J1 C - (South) Bishopthorpe Roa'!$A$12:$A$130,"&lt;"&amp;Diagram!$P5),SUMIFS(INDIRECT(ADDRESS(12,3+18*3+(11),,,"J1 C - (South) Bishopthorpe Roa")&amp;":"&amp;ADDRESS(130,3+18*3+(11))),'J1 C - (South) Bishopthorpe Roa'!$A$12:$A$130,"&gt;="&amp;Diagram!$O5,'J1 C - (South) Bishopthorpe Roa'!$A$12:$A$130,"&lt;"&amp;Diagram!$P5)))</f>
        <v>0</v>
      </c>
      <c r="CC5" s="42">
        <f ca="1">IF(OR($I$10="",$O5="",$P5="",$J$38&lt;&gt;"Yes"),0,IF($K$10=0,SUMIFS(INDIRECT(ADDRESS(12,3+18*0+(3),,,"J1 C - (South) Bishopthorpe Roa")&amp;":"&amp;ADDRESS(130,3+18*0+(3))),'J1 C - (South) Bishopthorpe Roa'!$A$12:$A$130,"&gt;="&amp;Diagram!$O5,'J1 C - (South) Bishopthorpe Roa'!$A$12:$A$130,"&lt;"&amp;Diagram!$P5),SUMIFS(INDIRECT(ADDRESS(12,3+18*0+(11),,,"J1 C - (South) Bishopthorpe Roa")&amp;":"&amp;ADDRESS(130,3+18*0+(11))),'J1 C - (South) Bishopthorpe Roa'!$A$12:$A$130,"&gt;="&amp;Diagram!$O5,'J1 C - (South) Bishopthorpe Roa'!$A$12:$A$130,"&lt;"&amp;Diagram!$P5)))</f>
        <v>0</v>
      </c>
      <c r="CD5" s="42">
        <f ca="1">IF(OR($I$10="",$O5="",$P5="",$J$38&lt;&gt;"Yes"),0,IF($K$10=0,SUMIFS(INDIRECT(ADDRESS(12,3+18*0+(3),,,"J1 D - South Bank Avenue")&amp;":"&amp;ADDRESS(130,3+18*0+(3))),'J1 D - South Bank Avenue'!$A$12:$A$130,"&gt;="&amp;Diagram!$O5,'J1 D - South Bank Avenue'!$A$12:$A$130,"&lt;"&amp;Diagram!$P5),SUMIFS(INDIRECT(ADDRESS(12,3+18*0+(11),,,"J1 D - South Bank Avenue")&amp;":"&amp;ADDRESS(130,3+18*0+(11))),'J1 D - South Bank Avenue'!$A$12:$A$130,"&gt;="&amp;Diagram!$O5,'J1 D - South Bank Avenue'!$A$12:$A$130,"&lt;"&amp;Diagram!$P5)))</f>
        <v>0</v>
      </c>
      <c r="CE5" s="42">
        <f ca="1">IF(OR($I$10="",$O5="",$P5="",$J$38&lt;&gt;"Yes"),0,IF($K$10=0,SUMIFS(INDIRECT(ADDRESS(12,3+18*1+(3),,,"J1 D - South Bank Avenue")&amp;":"&amp;ADDRESS(130,3+18*1+(3))),'J1 D - South Bank Avenue'!$A$12:$A$130,"&gt;="&amp;Diagram!$O5,'J1 D - South Bank Avenue'!$A$12:$A$130,"&lt;"&amp;Diagram!$P5),SUMIFS(INDIRECT(ADDRESS(12,3+18*1+(11),,,"J1 D - South Bank Avenue")&amp;":"&amp;ADDRESS(130,3+18*1+(11))),'J1 D - South Bank Avenue'!$A$12:$A$130,"&gt;="&amp;Diagram!$O5,'J1 D - South Bank Avenue'!$A$12:$A$130,"&lt;"&amp;Diagram!$P5)))</f>
        <v>0</v>
      </c>
      <c r="CF5" s="42">
        <f ca="1">IF(OR($I$10="",$O5="",$P5="",$J$38&lt;&gt;"Yes"),0,IF($K$10=0,SUMIFS(INDIRECT(ADDRESS(12,3+18*2+(3),,,"J1 D - South Bank Avenue")&amp;":"&amp;ADDRESS(130,3+18*2+(3))),'J1 D - South Bank Avenue'!$A$12:$A$130,"&gt;="&amp;Diagram!$O5,'J1 D - South Bank Avenue'!$A$12:$A$130,"&lt;"&amp;Diagram!$P5),SUMIFS(INDIRECT(ADDRESS(12,3+18*2+(11),,,"J1 D - South Bank Avenue")&amp;":"&amp;ADDRESS(130,3+18*2+(11))),'J1 D - South Bank Avenue'!$A$12:$A$130,"&gt;="&amp;Diagram!$O5,'J1 D - South Bank Avenue'!$A$12:$A$130,"&lt;"&amp;Diagram!$P5)))</f>
        <v>0</v>
      </c>
      <c r="CG5" s="42">
        <f ca="1">IF(OR($I$10="",$O5="",$P5="",$J$38&lt;&gt;"Yes"),0,IF($K$10=0,SUMIFS(INDIRECT(ADDRESS(12,3+18*3+(3),,,"J1 D - South Bank Avenue")&amp;":"&amp;ADDRESS(130,3+18*3+(3))),'J1 D - South Bank Avenue'!$A$12:$A$130,"&gt;="&amp;Diagram!$O5,'J1 D - South Bank Avenue'!$A$12:$A$130,"&lt;"&amp;Diagram!$P5),SUMIFS(INDIRECT(ADDRESS(12,3+18*3+(11),,,"J1 D - South Bank Avenue")&amp;":"&amp;ADDRESS(130,3+18*3+(11))),'J1 D - South Bank Avenue'!$A$12:$A$130,"&gt;="&amp;Diagram!$O5,'J1 D - South Bank Avenue'!$A$12:$A$130,"&lt;"&amp;Diagram!$P5)))</f>
        <v>0</v>
      </c>
      <c r="CH5" s="42">
        <f t="shared" ca="1" si="5"/>
        <v>0</v>
      </c>
      <c r="CI5" s="42">
        <f ca="1">IF(OR($I$10="",$O5="",$P5="",$J$39&lt;&gt;"Yes"),0,IF($K$10=0,SUMIFS(INDIRECT(ADDRESS(12,3+18*3+(4),,,"J1 A - (North) Bishopthorpe Roa")&amp;":"&amp;ADDRESS(130,3+18*3+(4))),'J1 A - (North) Bishopthorpe Roa'!$A$12:$A$130,"&gt;="&amp;Diagram!$O5,'J1 A - (North) Bishopthorpe Roa'!$A$12:$A$130,"&lt;"&amp;Diagram!$P5),SUMIFS(INDIRECT(ADDRESS(12,3+18*3+(12),,,"J1 A - (North) Bishopthorpe Roa")&amp;":"&amp;ADDRESS(130,3+18*3+(12))),'J1 A - (North) Bishopthorpe Roa'!$A$12:$A$130,"&gt;="&amp;Diagram!$O5,'J1 A - (North) Bishopthorpe Roa'!$A$12:$A$130,"&lt;"&amp;Diagram!$P5)))</f>
        <v>0</v>
      </c>
      <c r="CJ5" s="42">
        <f ca="1">IF(OR($I$10="",$O5="",$P5="",$J$39&lt;&gt;"Yes"),0,IF($K$10=0,SUMIFS(INDIRECT(ADDRESS(12,3+18*0+(4),,,"J1 A - (North) Bishopthorpe Roa")&amp;":"&amp;ADDRESS(130,3+18*0+(4))),'J1 A - (North) Bishopthorpe Roa'!$A$12:$A$130,"&gt;="&amp;Diagram!$O5,'J1 A - (North) Bishopthorpe Roa'!$A$12:$A$130,"&lt;"&amp;Diagram!$P5),SUMIFS(INDIRECT(ADDRESS(12,3+18*0+(12),,,"J1 A - (North) Bishopthorpe Roa")&amp;":"&amp;ADDRESS(130,3+18*0+(12))),'J1 A - (North) Bishopthorpe Roa'!$A$12:$A$130,"&gt;="&amp;Diagram!$O5,'J1 A - (North) Bishopthorpe Roa'!$A$12:$A$130,"&lt;"&amp;Diagram!$P5)))</f>
        <v>0</v>
      </c>
      <c r="CK5" s="42">
        <f ca="1">IF(OR($I$10="",$O5="",$P5="",$J$39&lt;&gt;"Yes"),0,IF($K$10=0,SUMIFS(INDIRECT(ADDRESS(12,3+18*1+(4),,,"J1 A - (North) Bishopthorpe Roa")&amp;":"&amp;ADDRESS(130,3+18*1+(4))),'J1 A - (North) Bishopthorpe Roa'!$A$12:$A$130,"&gt;="&amp;Diagram!$O5,'J1 A - (North) Bishopthorpe Roa'!$A$12:$A$130,"&lt;"&amp;Diagram!$P5),SUMIFS(INDIRECT(ADDRESS(12,3+18*1+(12),,,"J1 A - (North) Bishopthorpe Roa")&amp;":"&amp;ADDRESS(130,3+18*1+(12))),'J1 A - (North) Bishopthorpe Roa'!$A$12:$A$130,"&gt;="&amp;Diagram!$O5,'J1 A - (North) Bishopthorpe Roa'!$A$12:$A$130,"&lt;"&amp;Diagram!$P5)))</f>
        <v>0</v>
      </c>
      <c r="CL5" s="42">
        <f ca="1">IF(OR($I$10="",$O5="",$P5="",$J$39&lt;&gt;"Yes"),0,IF($K$10=0,SUMIFS(INDIRECT(ADDRESS(12,3+18*2+(4),,,"J1 A - (North) Bishopthorpe Roa")&amp;":"&amp;ADDRESS(130,3+18*2+(4))),'J1 A - (North) Bishopthorpe Roa'!$A$12:$A$130,"&gt;="&amp;Diagram!$O5,'J1 A - (North) Bishopthorpe Roa'!$A$12:$A$130,"&lt;"&amp;Diagram!$P5),SUMIFS(INDIRECT(ADDRESS(12,3+18*2+(12),,,"J1 A - (North) Bishopthorpe Roa")&amp;":"&amp;ADDRESS(130,3+18*2+(12))),'J1 A - (North) Bishopthorpe Roa'!$A$12:$A$130,"&gt;="&amp;Diagram!$O5,'J1 A - (North) Bishopthorpe Roa'!$A$12:$A$130,"&lt;"&amp;Diagram!$P5)))</f>
        <v>0</v>
      </c>
      <c r="CM5" s="42">
        <f ca="1">IF(OR($I$10="",$O5="",$P5="",$J$39&lt;&gt;"Yes"),0,IF($K$10=0,SUMIFS(INDIRECT(ADDRESS(12,3+18*2+(4),,,"J1 B - Butcher Terrace")&amp;":"&amp;ADDRESS(130,3+18*2+(4))),'J1 B - Butcher Terrace'!$A$12:$A$130,"&gt;="&amp;Diagram!$O5,'J1 B - Butcher Terrace'!$A$12:$A$130,"&lt;"&amp;Diagram!$P5),SUMIFS(INDIRECT(ADDRESS(12,3+18*2+(12),,,"J1 B - Butcher Terrace")&amp;":"&amp;ADDRESS(130,3+18*2+(12))),'J1 B - Butcher Terrace'!$A$12:$A$130,"&gt;="&amp;Diagram!$O5,'J1 B - Butcher Terrace'!$A$12:$A$130,"&lt;"&amp;Diagram!$P5)))</f>
        <v>0</v>
      </c>
      <c r="CN5" s="42">
        <f ca="1">IF(OR($I$10="",$O5="",$P5="",$J$39&lt;&gt;"Yes"),0,IF($K$10=0,SUMIFS(INDIRECT(ADDRESS(12,3+18*3+(4),,,"J1 B - Butcher Terrace")&amp;":"&amp;ADDRESS(130,3+18*3+(4))),'J1 B - Butcher Terrace'!$A$12:$A$130,"&gt;="&amp;Diagram!$O5,'J1 B - Butcher Terrace'!$A$12:$A$130,"&lt;"&amp;Diagram!$P5),SUMIFS(INDIRECT(ADDRESS(12,3+18*3+(12),,,"J1 B - Butcher Terrace")&amp;":"&amp;ADDRESS(130,3+18*3+(12))),'J1 B - Butcher Terrace'!$A$12:$A$130,"&gt;="&amp;Diagram!$O5,'J1 B - Butcher Terrace'!$A$12:$A$130,"&lt;"&amp;Diagram!$P5)))</f>
        <v>0</v>
      </c>
      <c r="CO5" s="42">
        <f ca="1">IF(OR($I$10="",$O5="",$P5="",$J$39&lt;&gt;"Yes"),0,IF($K$10=0,SUMIFS(INDIRECT(ADDRESS(12,3+18*0+(4),,,"J1 B - Butcher Terrace")&amp;":"&amp;ADDRESS(130,3+18*0+(4))),'J1 B - Butcher Terrace'!$A$12:$A$130,"&gt;="&amp;Diagram!$O5,'J1 B - Butcher Terrace'!$A$12:$A$130,"&lt;"&amp;Diagram!$P5),SUMIFS(INDIRECT(ADDRESS(12,3+18*0+(12),,,"J1 B - Butcher Terrace")&amp;":"&amp;ADDRESS(130,3+18*0+(12))),'J1 B - Butcher Terrace'!$A$12:$A$130,"&gt;="&amp;Diagram!$O5,'J1 B - Butcher Terrace'!$A$12:$A$130,"&lt;"&amp;Diagram!$P5)))</f>
        <v>0</v>
      </c>
      <c r="CP5" s="42">
        <f ca="1">IF(OR($I$10="",$O5="",$P5="",$J$39&lt;&gt;"Yes"),0,IF($K$10=0,SUMIFS(INDIRECT(ADDRESS(12,3+18*1+(4),,,"J1 B - Butcher Terrace")&amp;":"&amp;ADDRESS(130,3+18*1+(4))),'J1 B - Butcher Terrace'!$A$12:$A$130,"&gt;="&amp;Diagram!$O5,'J1 B - Butcher Terrace'!$A$12:$A$130,"&lt;"&amp;Diagram!$P5),SUMIFS(INDIRECT(ADDRESS(12,3+18*1+(12),,,"J1 B - Butcher Terrace")&amp;":"&amp;ADDRESS(130,3+18*1+(12))),'J1 B - Butcher Terrace'!$A$12:$A$130,"&gt;="&amp;Diagram!$O5,'J1 B - Butcher Terrace'!$A$12:$A$130,"&lt;"&amp;Diagram!$P5)))</f>
        <v>0</v>
      </c>
      <c r="CQ5" s="42">
        <f ca="1">IF(OR($I$10="",$O5="",$P5="",$J$39&lt;&gt;"Yes"),0,IF($K$10=0,SUMIFS(INDIRECT(ADDRESS(12,3+18*1+(4),,,"J1 C - (South) Bishopthorpe Roa")&amp;":"&amp;ADDRESS(130,3+18*1+(4))),'J1 C - (South) Bishopthorpe Roa'!$A$12:$A$130,"&gt;="&amp;Diagram!$O5,'J1 C - (South) Bishopthorpe Roa'!$A$12:$A$130,"&lt;"&amp;Diagram!$P5),SUMIFS(INDIRECT(ADDRESS(12,3+18*1+(12),,,"J1 C - (South) Bishopthorpe Roa")&amp;":"&amp;ADDRESS(130,3+18*1+(12))),'J1 C - (South) Bishopthorpe Roa'!$A$12:$A$130,"&gt;="&amp;Diagram!$O5,'J1 C - (South) Bishopthorpe Roa'!$A$12:$A$130,"&lt;"&amp;Diagram!$P5)))</f>
        <v>0</v>
      </c>
      <c r="CR5" s="42">
        <f ca="1">IF(OR($I$10="",$O5="",$P5="",$J$39&lt;&gt;"Yes"),0,IF($K$10=0,SUMIFS(INDIRECT(ADDRESS(12,3+18*2+(4),,,"J1 C - (South) Bishopthorpe Roa")&amp;":"&amp;ADDRESS(130,3+18*2+(4))),'J1 C - (South) Bishopthorpe Roa'!$A$12:$A$130,"&gt;="&amp;Diagram!$O5,'J1 C - (South) Bishopthorpe Roa'!$A$12:$A$130,"&lt;"&amp;Diagram!$P5),SUMIFS(INDIRECT(ADDRESS(12,3+18*2+(12),,,"J1 C - (South) Bishopthorpe Roa")&amp;":"&amp;ADDRESS(130,3+18*2+(12))),'J1 C - (South) Bishopthorpe Roa'!$A$12:$A$130,"&gt;="&amp;Diagram!$O5,'J1 C - (South) Bishopthorpe Roa'!$A$12:$A$130,"&lt;"&amp;Diagram!$P5)))</f>
        <v>0</v>
      </c>
      <c r="CS5" s="42">
        <f ca="1">IF(OR($I$10="",$O5="",$P5="",$J$39&lt;&gt;"Yes"),0,IF($K$10=0,SUMIFS(INDIRECT(ADDRESS(12,3+18*3+(4),,,"J1 C - (South) Bishopthorpe Roa")&amp;":"&amp;ADDRESS(130,3+18*3+(4))),'J1 C - (South) Bishopthorpe Roa'!$A$12:$A$130,"&gt;="&amp;Diagram!$O5,'J1 C - (South) Bishopthorpe Roa'!$A$12:$A$130,"&lt;"&amp;Diagram!$P5),SUMIFS(INDIRECT(ADDRESS(12,3+18*3+(12),,,"J1 C - (South) Bishopthorpe Roa")&amp;":"&amp;ADDRESS(130,3+18*3+(12))),'J1 C - (South) Bishopthorpe Roa'!$A$12:$A$130,"&gt;="&amp;Diagram!$O5,'J1 C - (South) Bishopthorpe Roa'!$A$12:$A$130,"&lt;"&amp;Diagram!$P5)))</f>
        <v>0</v>
      </c>
      <c r="CT5" s="42">
        <f ca="1">IF(OR($I$10="",$O5="",$P5="",$J$39&lt;&gt;"Yes"),0,IF($K$10=0,SUMIFS(INDIRECT(ADDRESS(12,3+18*0+(4),,,"J1 C - (South) Bishopthorpe Roa")&amp;":"&amp;ADDRESS(130,3+18*0+(4))),'J1 C - (South) Bishopthorpe Roa'!$A$12:$A$130,"&gt;="&amp;Diagram!$O5,'J1 C - (South) Bishopthorpe Roa'!$A$12:$A$130,"&lt;"&amp;Diagram!$P5),SUMIFS(INDIRECT(ADDRESS(12,3+18*0+(12),,,"J1 C - (South) Bishopthorpe Roa")&amp;":"&amp;ADDRESS(130,3+18*0+(12))),'J1 C - (South) Bishopthorpe Roa'!$A$12:$A$130,"&gt;="&amp;Diagram!$O5,'J1 C - (South) Bishopthorpe Roa'!$A$12:$A$130,"&lt;"&amp;Diagram!$P5)))</f>
        <v>0</v>
      </c>
      <c r="CU5" s="42">
        <f ca="1">IF(OR($I$10="",$O5="",$P5="",$J$39&lt;&gt;"Yes"),0,IF($K$10=0,SUMIFS(INDIRECT(ADDRESS(12,3+18*0+(4),,,"J1 D - South Bank Avenue")&amp;":"&amp;ADDRESS(130,3+18*0+(4))),'J1 D - South Bank Avenue'!$A$12:$A$130,"&gt;="&amp;Diagram!$O5,'J1 D - South Bank Avenue'!$A$12:$A$130,"&lt;"&amp;Diagram!$P5),SUMIFS(INDIRECT(ADDRESS(12,3+18*0+(12),,,"J1 D - South Bank Avenue")&amp;":"&amp;ADDRESS(130,3+18*0+(12))),'J1 D - South Bank Avenue'!$A$12:$A$130,"&gt;="&amp;Diagram!$O5,'J1 D - South Bank Avenue'!$A$12:$A$130,"&lt;"&amp;Diagram!$P5)))</f>
        <v>0</v>
      </c>
      <c r="CV5" s="42">
        <f ca="1">IF(OR($I$10="",$O5="",$P5="",$J$39&lt;&gt;"Yes"),0,IF($K$10=0,SUMIFS(INDIRECT(ADDRESS(12,3+18*1+(4),,,"J1 D - South Bank Avenue")&amp;":"&amp;ADDRESS(130,3+18*1+(4))),'J1 D - South Bank Avenue'!$A$12:$A$130,"&gt;="&amp;Diagram!$O5,'J1 D - South Bank Avenue'!$A$12:$A$130,"&lt;"&amp;Diagram!$P5),SUMIFS(INDIRECT(ADDRESS(12,3+18*1+(12),,,"J1 D - South Bank Avenue")&amp;":"&amp;ADDRESS(130,3+18*1+(12))),'J1 D - South Bank Avenue'!$A$12:$A$130,"&gt;="&amp;Diagram!$O5,'J1 D - South Bank Avenue'!$A$12:$A$130,"&lt;"&amp;Diagram!$P5)))</f>
        <v>0</v>
      </c>
      <c r="CW5" s="42">
        <f ca="1">IF(OR($I$10="",$O5="",$P5="",$J$39&lt;&gt;"Yes"),0,IF($K$10=0,SUMIFS(INDIRECT(ADDRESS(12,3+18*2+(4),,,"J1 D - South Bank Avenue")&amp;":"&amp;ADDRESS(130,3+18*2+(4))),'J1 D - South Bank Avenue'!$A$12:$A$130,"&gt;="&amp;Diagram!$O5,'J1 D - South Bank Avenue'!$A$12:$A$130,"&lt;"&amp;Diagram!$P5),SUMIFS(INDIRECT(ADDRESS(12,3+18*2+(12),,,"J1 D - South Bank Avenue")&amp;":"&amp;ADDRESS(130,3+18*2+(12))),'J1 D - South Bank Avenue'!$A$12:$A$130,"&gt;="&amp;Diagram!$O5,'J1 D - South Bank Avenue'!$A$12:$A$130,"&lt;"&amp;Diagram!$P5)))</f>
        <v>0</v>
      </c>
      <c r="CX5" s="42">
        <f ca="1">IF(OR($I$10="",$O5="",$P5="",$J$39&lt;&gt;"Yes"),0,IF($K$10=0,SUMIFS(INDIRECT(ADDRESS(12,3+18*3+(4),,,"J1 D - South Bank Avenue")&amp;":"&amp;ADDRESS(130,3+18*3+(4))),'J1 D - South Bank Avenue'!$A$12:$A$130,"&gt;="&amp;Diagram!$O5,'J1 D - South Bank Avenue'!$A$12:$A$130,"&lt;"&amp;Diagram!$P5),SUMIFS(INDIRECT(ADDRESS(12,3+18*3+(12),,,"J1 D - South Bank Avenue")&amp;":"&amp;ADDRESS(130,3+18*3+(12))),'J1 D - South Bank Avenue'!$A$12:$A$130,"&gt;="&amp;Diagram!$O5,'J1 D - South Bank Avenue'!$A$12:$A$130,"&lt;"&amp;Diagram!$P5)))</f>
        <v>0</v>
      </c>
      <c r="CY5" s="42">
        <f t="shared" ca="1" si="6"/>
        <v>3</v>
      </c>
      <c r="CZ5" s="42">
        <f ca="1">IF(OR($I$10="",$O5="",$P5="",$J$40&lt;&gt;"Yes"),0,IF($K$10=0,SUMIFS(INDIRECT(ADDRESS(12,3+18*3+(5),,,"J1 A - (North) Bishopthorpe Roa")&amp;":"&amp;ADDRESS(130,3+18*3+(5))),'J1 A - (North) Bishopthorpe Roa'!$A$12:$A$130,"&gt;="&amp;Diagram!$O5,'J1 A - (North) Bishopthorpe Roa'!$A$12:$A$130,"&lt;"&amp;Diagram!$P5),SUMIFS(INDIRECT(ADDRESS(12,3+18*3+(13),,,"J1 A - (North) Bishopthorpe Roa")&amp;":"&amp;ADDRESS(130,3+18*3+(13))),'J1 A - (North) Bishopthorpe Roa'!$A$12:$A$130,"&gt;="&amp;Diagram!$O5,'J1 A - (North) Bishopthorpe Roa'!$A$12:$A$130,"&lt;"&amp;Diagram!$P5)))</f>
        <v>0</v>
      </c>
      <c r="DA5" s="42">
        <f ca="1">IF(OR($I$10="",$O5="",$P5="",$J$40&lt;&gt;"Yes"),0,IF($K$10=0,SUMIFS(INDIRECT(ADDRESS(12,3+18*0+(5),,,"J1 A - (North) Bishopthorpe Roa")&amp;":"&amp;ADDRESS(130,3+18*0+(5))),'J1 A - (North) Bishopthorpe Roa'!$A$12:$A$130,"&gt;="&amp;Diagram!$O5,'J1 A - (North) Bishopthorpe Roa'!$A$12:$A$130,"&lt;"&amp;Diagram!$P5),SUMIFS(INDIRECT(ADDRESS(12,3+18*0+(13),,,"J1 A - (North) Bishopthorpe Roa")&amp;":"&amp;ADDRESS(130,3+18*0+(13))),'J1 A - (North) Bishopthorpe Roa'!$A$12:$A$130,"&gt;="&amp;Diagram!$O5,'J1 A - (North) Bishopthorpe Roa'!$A$12:$A$130,"&lt;"&amp;Diagram!$P5)))</f>
        <v>0</v>
      </c>
      <c r="DB5" s="42">
        <f ca="1">IF(OR($I$10="",$O5="",$P5="",$J$40&lt;&gt;"Yes"),0,IF($K$10=0,SUMIFS(INDIRECT(ADDRESS(12,3+18*1+(5),,,"J1 A - (North) Bishopthorpe Roa")&amp;":"&amp;ADDRESS(130,3+18*1+(5))),'J1 A - (North) Bishopthorpe Roa'!$A$12:$A$130,"&gt;="&amp;Diagram!$O5,'J1 A - (North) Bishopthorpe Roa'!$A$12:$A$130,"&lt;"&amp;Diagram!$P5),SUMIFS(INDIRECT(ADDRESS(12,3+18*1+(13),,,"J1 A - (North) Bishopthorpe Roa")&amp;":"&amp;ADDRESS(130,3+18*1+(13))),'J1 A - (North) Bishopthorpe Roa'!$A$12:$A$130,"&gt;="&amp;Diagram!$O5,'J1 A - (North) Bishopthorpe Roa'!$A$12:$A$130,"&lt;"&amp;Diagram!$P5)))</f>
        <v>2</v>
      </c>
      <c r="DC5" s="42">
        <f ca="1">IF(OR($I$10="",$O5="",$P5="",$J$40&lt;&gt;"Yes"),0,IF($K$10=0,SUMIFS(INDIRECT(ADDRESS(12,3+18*2+(5),,,"J1 A - (North) Bishopthorpe Roa")&amp;":"&amp;ADDRESS(130,3+18*2+(5))),'J1 A - (North) Bishopthorpe Roa'!$A$12:$A$130,"&gt;="&amp;Diagram!$O5,'J1 A - (North) Bishopthorpe Roa'!$A$12:$A$130,"&lt;"&amp;Diagram!$P5),SUMIFS(INDIRECT(ADDRESS(12,3+18*2+(13),,,"J1 A - (North) Bishopthorpe Roa")&amp;":"&amp;ADDRESS(130,3+18*2+(13))),'J1 A - (North) Bishopthorpe Roa'!$A$12:$A$130,"&gt;="&amp;Diagram!$O5,'J1 A - (North) Bishopthorpe Roa'!$A$12:$A$130,"&lt;"&amp;Diagram!$P5)))</f>
        <v>0</v>
      </c>
      <c r="DD5" s="42">
        <f ca="1">IF(OR($I$10="",$O5="",$P5="",$J$40&lt;&gt;"Yes"),0,IF($K$10=0,SUMIFS(INDIRECT(ADDRESS(12,3+18*2+(5),,,"J1 B - Butcher Terrace")&amp;":"&amp;ADDRESS(130,3+18*2+(5))),'J1 B - Butcher Terrace'!$A$12:$A$130,"&gt;="&amp;Diagram!$O5,'J1 B - Butcher Terrace'!$A$12:$A$130,"&lt;"&amp;Diagram!$P5),SUMIFS(INDIRECT(ADDRESS(12,3+18*2+(13),,,"J1 B - Butcher Terrace")&amp;":"&amp;ADDRESS(130,3+18*2+(13))),'J1 B - Butcher Terrace'!$A$12:$A$130,"&gt;="&amp;Diagram!$O5,'J1 B - Butcher Terrace'!$A$12:$A$130,"&lt;"&amp;Diagram!$P5)))</f>
        <v>0</v>
      </c>
      <c r="DE5" s="42">
        <f ca="1">IF(OR($I$10="",$O5="",$P5="",$J$40&lt;&gt;"Yes"),0,IF($K$10=0,SUMIFS(INDIRECT(ADDRESS(12,3+18*3+(5),,,"J1 B - Butcher Terrace")&amp;":"&amp;ADDRESS(130,3+18*3+(5))),'J1 B - Butcher Terrace'!$A$12:$A$130,"&gt;="&amp;Diagram!$O5,'J1 B - Butcher Terrace'!$A$12:$A$130,"&lt;"&amp;Diagram!$P5),SUMIFS(INDIRECT(ADDRESS(12,3+18*3+(13),,,"J1 B - Butcher Terrace")&amp;":"&amp;ADDRESS(130,3+18*3+(13))),'J1 B - Butcher Terrace'!$A$12:$A$130,"&gt;="&amp;Diagram!$O5,'J1 B - Butcher Terrace'!$A$12:$A$130,"&lt;"&amp;Diagram!$P5)))</f>
        <v>0</v>
      </c>
      <c r="DF5" s="42">
        <f ca="1">IF(OR($I$10="",$O5="",$P5="",$J$40&lt;&gt;"Yes"),0,IF($K$10=0,SUMIFS(INDIRECT(ADDRESS(12,3+18*0+(5),,,"J1 B - Butcher Terrace")&amp;":"&amp;ADDRESS(130,3+18*0+(5))),'J1 B - Butcher Terrace'!$A$12:$A$130,"&gt;="&amp;Diagram!$O5,'J1 B - Butcher Terrace'!$A$12:$A$130,"&lt;"&amp;Diagram!$P5),SUMIFS(INDIRECT(ADDRESS(12,3+18*0+(13),,,"J1 B - Butcher Terrace")&amp;":"&amp;ADDRESS(130,3+18*0+(13))),'J1 B - Butcher Terrace'!$A$12:$A$130,"&gt;="&amp;Diagram!$O5,'J1 B - Butcher Terrace'!$A$12:$A$130,"&lt;"&amp;Diagram!$P5)))</f>
        <v>0</v>
      </c>
      <c r="DG5" s="42">
        <f ca="1">IF(OR($I$10="",$O5="",$P5="",$J$40&lt;&gt;"Yes"),0,IF($K$10=0,SUMIFS(INDIRECT(ADDRESS(12,3+18*1+(5),,,"J1 B - Butcher Terrace")&amp;":"&amp;ADDRESS(130,3+18*1+(5))),'J1 B - Butcher Terrace'!$A$12:$A$130,"&gt;="&amp;Diagram!$O5,'J1 B - Butcher Terrace'!$A$12:$A$130,"&lt;"&amp;Diagram!$P5),SUMIFS(INDIRECT(ADDRESS(12,3+18*1+(13),,,"J1 B - Butcher Terrace")&amp;":"&amp;ADDRESS(130,3+18*1+(13))),'J1 B - Butcher Terrace'!$A$12:$A$130,"&gt;="&amp;Diagram!$O5,'J1 B - Butcher Terrace'!$A$12:$A$130,"&lt;"&amp;Diagram!$P5)))</f>
        <v>1</v>
      </c>
      <c r="DH5" s="42">
        <f ca="1">IF(OR($I$10="",$O5="",$P5="",$J$40&lt;&gt;"Yes"),0,IF($K$10=0,SUMIFS(INDIRECT(ADDRESS(12,3+18*1+(5),,,"J1 C - (South) Bishopthorpe Roa")&amp;":"&amp;ADDRESS(130,3+18*1+(5))),'J1 C - (South) Bishopthorpe Roa'!$A$12:$A$130,"&gt;="&amp;Diagram!$O5,'J1 C - (South) Bishopthorpe Roa'!$A$12:$A$130,"&lt;"&amp;Diagram!$P5),SUMIFS(INDIRECT(ADDRESS(12,3+18*1+(13),,,"J1 C - (South) Bishopthorpe Roa")&amp;":"&amp;ADDRESS(130,3+18*1+(13))),'J1 C - (South) Bishopthorpe Roa'!$A$12:$A$130,"&gt;="&amp;Diagram!$O5,'J1 C - (South) Bishopthorpe Roa'!$A$12:$A$130,"&lt;"&amp;Diagram!$P5)))</f>
        <v>0</v>
      </c>
      <c r="DI5" s="42">
        <f ca="1">IF(OR($I$10="",$O5="",$P5="",$J$40&lt;&gt;"Yes"),0,IF($K$10=0,SUMIFS(INDIRECT(ADDRESS(12,3+18*2+(5),,,"J1 C - (South) Bishopthorpe Roa")&amp;":"&amp;ADDRESS(130,3+18*2+(5))),'J1 C - (South) Bishopthorpe Roa'!$A$12:$A$130,"&gt;="&amp;Diagram!$O5,'J1 C - (South) Bishopthorpe Roa'!$A$12:$A$130,"&lt;"&amp;Diagram!$P5),SUMIFS(INDIRECT(ADDRESS(12,3+18*2+(13),,,"J1 C - (South) Bishopthorpe Roa")&amp;":"&amp;ADDRESS(130,3+18*2+(13))),'J1 C - (South) Bishopthorpe Roa'!$A$12:$A$130,"&gt;="&amp;Diagram!$O5,'J1 C - (South) Bishopthorpe Roa'!$A$12:$A$130,"&lt;"&amp;Diagram!$P5)))</f>
        <v>0</v>
      </c>
      <c r="DJ5" s="42">
        <f ca="1">IF(OR($I$10="",$O5="",$P5="",$J$40&lt;&gt;"Yes"),0,IF($K$10=0,SUMIFS(INDIRECT(ADDRESS(12,3+18*3+(5),,,"J1 C - (South) Bishopthorpe Roa")&amp;":"&amp;ADDRESS(130,3+18*3+(5))),'J1 C - (South) Bishopthorpe Roa'!$A$12:$A$130,"&gt;="&amp;Diagram!$O5,'J1 C - (South) Bishopthorpe Roa'!$A$12:$A$130,"&lt;"&amp;Diagram!$P5),SUMIFS(INDIRECT(ADDRESS(12,3+18*3+(13),,,"J1 C - (South) Bishopthorpe Roa")&amp;":"&amp;ADDRESS(130,3+18*3+(13))),'J1 C - (South) Bishopthorpe Roa'!$A$12:$A$130,"&gt;="&amp;Diagram!$O5,'J1 C - (South) Bishopthorpe Roa'!$A$12:$A$130,"&lt;"&amp;Diagram!$P5)))</f>
        <v>0</v>
      </c>
      <c r="DK5" s="42">
        <f ca="1">IF(OR($I$10="",$O5="",$P5="",$J$40&lt;&gt;"Yes"),0,IF($K$10=0,SUMIFS(INDIRECT(ADDRESS(12,3+18*0+(5),,,"J1 C - (South) Bishopthorpe Roa")&amp;":"&amp;ADDRESS(130,3+18*0+(5))),'J1 C - (South) Bishopthorpe Roa'!$A$12:$A$130,"&gt;="&amp;Diagram!$O5,'J1 C - (South) Bishopthorpe Roa'!$A$12:$A$130,"&lt;"&amp;Diagram!$P5),SUMIFS(INDIRECT(ADDRESS(12,3+18*0+(13),,,"J1 C - (South) Bishopthorpe Roa")&amp;":"&amp;ADDRESS(130,3+18*0+(13))),'J1 C - (South) Bishopthorpe Roa'!$A$12:$A$130,"&gt;="&amp;Diagram!$O5,'J1 C - (South) Bishopthorpe Roa'!$A$12:$A$130,"&lt;"&amp;Diagram!$P5)))</f>
        <v>0</v>
      </c>
      <c r="DL5" s="42">
        <f ca="1">IF(OR($I$10="",$O5="",$P5="",$J$40&lt;&gt;"Yes"),0,IF($K$10=0,SUMIFS(INDIRECT(ADDRESS(12,3+18*0+(5),,,"J1 D - South Bank Avenue")&amp;":"&amp;ADDRESS(130,3+18*0+(5))),'J1 D - South Bank Avenue'!$A$12:$A$130,"&gt;="&amp;Diagram!$O5,'J1 D - South Bank Avenue'!$A$12:$A$130,"&lt;"&amp;Diagram!$P5),SUMIFS(INDIRECT(ADDRESS(12,3+18*0+(13),,,"J1 D - South Bank Avenue")&amp;":"&amp;ADDRESS(130,3+18*0+(13))),'J1 D - South Bank Avenue'!$A$12:$A$130,"&gt;="&amp;Diagram!$O5,'J1 D - South Bank Avenue'!$A$12:$A$130,"&lt;"&amp;Diagram!$P5)))</f>
        <v>0</v>
      </c>
      <c r="DM5" s="42">
        <f ca="1">IF(OR($I$10="",$O5="",$P5="",$J$40&lt;&gt;"Yes"),0,IF($K$10=0,SUMIFS(INDIRECT(ADDRESS(12,3+18*1+(5),,,"J1 D - South Bank Avenue")&amp;":"&amp;ADDRESS(130,3+18*1+(5))),'J1 D - South Bank Avenue'!$A$12:$A$130,"&gt;="&amp;Diagram!$O5,'J1 D - South Bank Avenue'!$A$12:$A$130,"&lt;"&amp;Diagram!$P5),SUMIFS(INDIRECT(ADDRESS(12,3+18*1+(13),,,"J1 D - South Bank Avenue")&amp;":"&amp;ADDRESS(130,3+18*1+(13))),'J1 D - South Bank Avenue'!$A$12:$A$130,"&gt;="&amp;Diagram!$O5,'J1 D - South Bank Avenue'!$A$12:$A$130,"&lt;"&amp;Diagram!$P5)))</f>
        <v>0</v>
      </c>
      <c r="DN5" s="42">
        <f ca="1">IF(OR($I$10="",$O5="",$P5="",$J$40&lt;&gt;"Yes"),0,IF($K$10=0,SUMIFS(INDIRECT(ADDRESS(12,3+18*2+(5),,,"J1 D - South Bank Avenue")&amp;":"&amp;ADDRESS(130,3+18*2+(5))),'J1 D - South Bank Avenue'!$A$12:$A$130,"&gt;="&amp;Diagram!$O5,'J1 D - South Bank Avenue'!$A$12:$A$130,"&lt;"&amp;Diagram!$P5),SUMIFS(INDIRECT(ADDRESS(12,3+18*2+(13),,,"J1 D - South Bank Avenue")&amp;":"&amp;ADDRESS(130,3+18*2+(13))),'J1 D - South Bank Avenue'!$A$12:$A$130,"&gt;="&amp;Diagram!$O5,'J1 D - South Bank Avenue'!$A$12:$A$130,"&lt;"&amp;Diagram!$P5)))</f>
        <v>0</v>
      </c>
      <c r="DO5" s="42">
        <f ca="1">IF(OR($I$10="",$O5="",$P5="",$J$40&lt;&gt;"Yes"),0,IF($K$10=0,SUMIFS(INDIRECT(ADDRESS(12,3+18*3+(5),,,"J1 D - South Bank Avenue")&amp;":"&amp;ADDRESS(130,3+18*3+(5))),'J1 D - South Bank Avenue'!$A$12:$A$130,"&gt;="&amp;Diagram!$O5,'J1 D - South Bank Avenue'!$A$12:$A$130,"&lt;"&amp;Diagram!$P5),SUMIFS(INDIRECT(ADDRESS(12,3+18*3+(13),,,"J1 D - South Bank Avenue")&amp;":"&amp;ADDRESS(130,3+18*3+(13))),'J1 D - South Bank Avenue'!$A$12:$A$130,"&gt;="&amp;Diagram!$O5,'J1 D - South Bank Avenue'!$A$12:$A$130,"&lt;"&amp;Diagram!$P5)))</f>
        <v>0</v>
      </c>
      <c r="DP5" s="42">
        <f t="shared" ca="1" si="7"/>
        <v>0</v>
      </c>
      <c r="DQ5" s="42">
        <f ca="1">IF(OR($I$10="",$O5="",$P5="",$J$41&lt;&gt;"Yes"),0,IF($K$10=0,SUMIFS(INDIRECT(ADDRESS(12,3+18*3+(6),,,"J1 A - (North) Bishopthorpe Roa")&amp;":"&amp;ADDRESS(130,3+18*3+(6))),'J1 A - (North) Bishopthorpe Roa'!$A$12:$A$130,"&gt;="&amp;Diagram!$O5,'J1 A - (North) Bishopthorpe Roa'!$A$12:$A$130,"&lt;"&amp;Diagram!$P5),SUMIFS(INDIRECT(ADDRESS(12,3+18*3+(14),,,"J1 A - (North) Bishopthorpe Roa")&amp;":"&amp;ADDRESS(130,3+18*3+(14))),'J1 A - (North) Bishopthorpe Roa'!$A$12:$A$130,"&gt;="&amp;Diagram!$O5,'J1 A - (North) Bishopthorpe Roa'!$A$12:$A$130,"&lt;"&amp;Diagram!$P5)))</f>
        <v>0</v>
      </c>
      <c r="DR5" s="42">
        <f ca="1">IF(OR($I$10="",$O5="",$P5="",$J$41&lt;&gt;"Yes"),0,IF($K$10=0,SUMIFS(INDIRECT(ADDRESS(12,3+18*0+(6),,,"J1 A - (North) Bishopthorpe Roa")&amp;":"&amp;ADDRESS(130,3+18*0+(6))),'J1 A - (North) Bishopthorpe Roa'!$A$12:$A$130,"&gt;="&amp;Diagram!$O5,'J1 A - (North) Bishopthorpe Roa'!$A$12:$A$130,"&lt;"&amp;Diagram!$P5),SUMIFS(INDIRECT(ADDRESS(12,3+18*0+(14),,,"J1 A - (North) Bishopthorpe Roa")&amp;":"&amp;ADDRESS(130,3+18*0+(14))),'J1 A - (North) Bishopthorpe Roa'!$A$12:$A$130,"&gt;="&amp;Diagram!$O5,'J1 A - (North) Bishopthorpe Roa'!$A$12:$A$130,"&lt;"&amp;Diagram!$P5)))</f>
        <v>0</v>
      </c>
      <c r="DS5" s="42">
        <f ca="1">IF(OR($I$10="",$O5="",$P5="",$J$41&lt;&gt;"Yes"),0,IF($K$10=0,SUMIFS(INDIRECT(ADDRESS(12,3+18*1+(6),,,"J1 A - (North) Bishopthorpe Roa")&amp;":"&amp;ADDRESS(130,3+18*1+(6))),'J1 A - (North) Bishopthorpe Roa'!$A$12:$A$130,"&gt;="&amp;Diagram!$O5,'J1 A - (North) Bishopthorpe Roa'!$A$12:$A$130,"&lt;"&amp;Diagram!$P5),SUMIFS(INDIRECT(ADDRESS(12,3+18*1+(14),,,"J1 A - (North) Bishopthorpe Roa")&amp;":"&amp;ADDRESS(130,3+18*1+(14))),'J1 A - (North) Bishopthorpe Roa'!$A$12:$A$130,"&gt;="&amp;Diagram!$O5,'J1 A - (North) Bishopthorpe Roa'!$A$12:$A$130,"&lt;"&amp;Diagram!$P5)))</f>
        <v>0</v>
      </c>
      <c r="DT5" s="42">
        <f ca="1">IF(OR($I$10="",$O5="",$P5="",$J$41&lt;&gt;"Yes"),0,IF($K$10=0,SUMIFS(INDIRECT(ADDRESS(12,3+18*2+(6),,,"J1 A - (North) Bishopthorpe Roa")&amp;":"&amp;ADDRESS(130,3+18*2+(6))),'J1 A - (North) Bishopthorpe Roa'!$A$12:$A$130,"&gt;="&amp;Diagram!$O5,'J1 A - (North) Bishopthorpe Roa'!$A$12:$A$130,"&lt;"&amp;Diagram!$P5),SUMIFS(INDIRECT(ADDRESS(12,3+18*2+(14),,,"J1 A - (North) Bishopthorpe Roa")&amp;":"&amp;ADDRESS(130,3+18*2+(14))),'J1 A - (North) Bishopthorpe Roa'!$A$12:$A$130,"&gt;="&amp;Diagram!$O5,'J1 A - (North) Bishopthorpe Roa'!$A$12:$A$130,"&lt;"&amp;Diagram!$P5)))</f>
        <v>0</v>
      </c>
      <c r="DU5" s="42">
        <f ca="1">IF(OR($I$10="",$O5="",$P5="",$J$41&lt;&gt;"Yes"),0,IF($K$10=0,SUMIFS(INDIRECT(ADDRESS(12,3+18*2+(6),,,"J1 B - Butcher Terrace")&amp;":"&amp;ADDRESS(130,3+18*2+(6))),'J1 B - Butcher Terrace'!$A$12:$A$130,"&gt;="&amp;Diagram!$O5,'J1 B - Butcher Terrace'!$A$12:$A$130,"&lt;"&amp;Diagram!$P5),SUMIFS(INDIRECT(ADDRESS(12,3+18*2+(14),,,"J1 B - Butcher Terrace")&amp;":"&amp;ADDRESS(130,3+18*2+(14))),'J1 B - Butcher Terrace'!$A$12:$A$130,"&gt;="&amp;Diagram!$O5,'J1 B - Butcher Terrace'!$A$12:$A$130,"&lt;"&amp;Diagram!$P5)))</f>
        <v>0</v>
      </c>
      <c r="DV5" s="42">
        <f ca="1">IF(OR($I$10="",$O5="",$P5="",$J$41&lt;&gt;"Yes"),0,IF($K$10=0,SUMIFS(INDIRECT(ADDRESS(12,3+18*3+(6),,,"J1 B - Butcher Terrace")&amp;":"&amp;ADDRESS(130,3+18*3+(6))),'J1 B - Butcher Terrace'!$A$12:$A$130,"&gt;="&amp;Diagram!$O5,'J1 B - Butcher Terrace'!$A$12:$A$130,"&lt;"&amp;Diagram!$P5),SUMIFS(INDIRECT(ADDRESS(12,3+18*3+(14),,,"J1 B - Butcher Terrace")&amp;":"&amp;ADDRESS(130,3+18*3+(14))),'J1 B - Butcher Terrace'!$A$12:$A$130,"&gt;="&amp;Diagram!$O5,'J1 B - Butcher Terrace'!$A$12:$A$130,"&lt;"&amp;Diagram!$P5)))</f>
        <v>0</v>
      </c>
      <c r="DW5" s="42">
        <f ca="1">IF(OR($I$10="",$O5="",$P5="",$J$41&lt;&gt;"Yes"),0,IF($K$10=0,SUMIFS(INDIRECT(ADDRESS(12,3+18*0+(6),,,"J1 B - Butcher Terrace")&amp;":"&amp;ADDRESS(130,3+18*0+(6))),'J1 B - Butcher Terrace'!$A$12:$A$130,"&gt;="&amp;Diagram!$O5,'J1 B - Butcher Terrace'!$A$12:$A$130,"&lt;"&amp;Diagram!$P5),SUMIFS(INDIRECT(ADDRESS(12,3+18*0+(14),,,"J1 B - Butcher Terrace")&amp;":"&amp;ADDRESS(130,3+18*0+(14))),'J1 B - Butcher Terrace'!$A$12:$A$130,"&gt;="&amp;Diagram!$O5,'J1 B - Butcher Terrace'!$A$12:$A$130,"&lt;"&amp;Diagram!$P5)))</f>
        <v>0</v>
      </c>
      <c r="DX5" s="42">
        <f ca="1">IF(OR($I$10="",$O5="",$P5="",$J$41&lt;&gt;"Yes"),0,IF($K$10=0,SUMIFS(INDIRECT(ADDRESS(12,3+18*1+(6),,,"J1 B - Butcher Terrace")&amp;":"&amp;ADDRESS(130,3+18*1+(6))),'J1 B - Butcher Terrace'!$A$12:$A$130,"&gt;="&amp;Diagram!$O5,'J1 B - Butcher Terrace'!$A$12:$A$130,"&lt;"&amp;Diagram!$P5),SUMIFS(INDIRECT(ADDRESS(12,3+18*1+(14),,,"J1 B - Butcher Terrace")&amp;":"&amp;ADDRESS(130,3+18*1+(14))),'J1 B - Butcher Terrace'!$A$12:$A$130,"&gt;="&amp;Diagram!$O5,'J1 B - Butcher Terrace'!$A$12:$A$130,"&lt;"&amp;Diagram!$P5)))</f>
        <v>0</v>
      </c>
      <c r="DY5" s="42">
        <f ca="1">IF(OR($I$10="",$O5="",$P5="",$J$41&lt;&gt;"Yes"),0,IF($K$10=0,SUMIFS(INDIRECT(ADDRESS(12,3+18*1+(6),,,"J1 C - (South) Bishopthorpe Roa")&amp;":"&amp;ADDRESS(130,3+18*1+(6))),'J1 C - (South) Bishopthorpe Roa'!$A$12:$A$130,"&gt;="&amp;Diagram!$O5,'J1 C - (South) Bishopthorpe Roa'!$A$12:$A$130,"&lt;"&amp;Diagram!$P5),SUMIFS(INDIRECT(ADDRESS(12,3+18*1+(14),,,"J1 C - (South) Bishopthorpe Roa")&amp;":"&amp;ADDRESS(130,3+18*1+(14))),'J1 C - (South) Bishopthorpe Roa'!$A$12:$A$130,"&gt;="&amp;Diagram!$O5,'J1 C - (South) Bishopthorpe Roa'!$A$12:$A$130,"&lt;"&amp;Diagram!$P5)))</f>
        <v>0</v>
      </c>
      <c r="DZ5" s="42">
        <f ca="1">IF(OR($I$10="",$O5="",$P5="",$J$41&lt;&gt;"Yes"),0,IF($K$10=0,SUMIFS(INDIRECT(ADDRESS(12,3+18*2+(6),,,"J1 C - (South) Bishopthorpe Roa")&amp;":"&amp;ADDRESS(130,3+18*2+(6))),'J1 C - (South) Bishopthorpe Roa'!$A$12:$A$130,"&gt;="&amp;Diagram!$O5,'J1 C - (South) Bishopthorpe Roa'!$A$12:$A$130,"&lt;"&amp;Diagram!$P5),SUMIFS(INDIRECT(ADDRESS(12,3+18*2+(14),,,"J1 C - (South) Bishopthorpe Roa")&amp;":"&amp;ADDRESS(130,3+18*2+(14))),'J1 C - (South) Bishopthorpe Roa'!$A$12:$A$130,"&gt;="&amp;Diagram!$O5,'J1 C - (South) Bishopthorpe Roa'!$A$12:$A$130,"&lt;"&amp;Diagram!$P5)))</f>
        <v>0</v>
      </c>
      <c r="EA5" s="42">
        <f ca="1">IF(OR($I$10="",$O5="",$P5="",$J$41&lt;&gt;"Yes"),0,IF($K$10=0,SUMIFS(INDIRECT(ADDRESS(12,3+18*3+(6),,,"J1 C - (South) Bishopthorpe Roa")&amp;":"&amp;ADDRESS(130,3+18*3+(6))),'J1 C - (South) Bishopthorpe Roa'!$A$12:$A$130,"&gt;="&amp;Diagram!$O5,'J1 C - (South) Bishopthorpe Roa'!$A$12:$A$130,"&lt;"&amp;Diagram!$P5),SUMIFS(INDIRECT(ADDRESS(12,3+18*3+(14),,,"J1 C - (South) Bishopthorpe Roa")&amp;":"&amp;ADDRESS(130,3+18*3+(14))),'J1 C - (South) Bishopthorpe Roa'!$A$12:$A$130,"&gt;="&amp;Diagram!$O5,'J1 C - (South) Bishopthorpe Roa'!$A$12:$A$130,"&lt;"&amp;Diagram!$P5)))</f>
        <v>0</v>
      </c>
      <c r="EB5" s="42">
        <f ca="1">IF(OR($I$10="",$O5="",$P5="",$J$41&lt;&gt;"Yes"),0,IF($K$10=0,SUMIFS(INDIRECT(ADDRESS(12,3+18*0+(6),,,"J1 C - (South) Bishopthorpe Roa")&amp;":"&amp;ADDRESS(130,3+18*0+(6))),'J1 C - (South) Bishopthorpe Roa'!$A$12:$A$130,"&gt;="&amp;Diagram!$O5,'J1 C - (South) Bishopthorpe Roa'!$A$12:$A$130,"&lt;"&amp;Diagram!$P5),SUMIFS(INDIRECT(ADDRESS(12,3+18*0+(14),,,"J1 C - (South) Bishopthorpe Roa")&amp;":"&amp;ADDRESS(130,3+18*0+(14))),'J1 C - (South) Bishopthorpe Roa'!$A$12:$A$130,"&gt;="&amp;Diagram!$O5,'J1 C - (South) Bishopthorpe Roa'!$A$12:$A$130,"&lt;"&amp;Diagram!$P5)))</f>
        <v>0</v>
      </c>
      <c r="EC5" s="42">
        <f ca="1">IF(OR($I$10="",$O5="",$P5="",$J$41&lt;&gt;"Yes"),0,IF($K$10=0,SUMIFS(INDIRECT(ADDRESS(12,3+18*0+(6),,,"J1 D - South Bank Avenue")&amp;":"&amp;ADDRESS(130,3+18*0+(6))),'J1 D - South Bank Avenue'!$A$12:$A$130,"&gt;="&amp;Diagram!$O5,'J1 D - South Bank Avenue'!$A$12:$A$130,"&lt;"&amp;Diagram!$P5),SUMIFS(INDIRECT(ADDRESS(12,3+18*0+(14),,,"J1 D - South Bank Avenue")&amp;":"&amp;ADDRESS(130,3+18*0+(14))),'J1 D - South Bank Avenue'!$A$12:$A$130,"&gt;="&amp;Diagram!$O5,'J1 D - South Bank Avenue'!$A$12:$A$130,"&lt;"&amp;Diagram!$P5)))</f>
        <v>0</v>
      </c>
      <c r="ED5" s="42">
        <f ca="1">IF(OR($I$10="",$O5="",$P5="",$J$41&lt;&gt;"Yes"),0,IF($K$10=0,SUMIFS(INDIRECT(ADDRESS(12,3+18*1+(6),,,"J1 D - South Bank Avenue")&amp;":"&amp;ADDRESS(130,3+18*1+(6))),'J1 D - South Bank Avenue'!$A$12:$A$130,"&gt;="&amp;Diagram!$O5,'J1 D - South Bank Avenue'!$A$12:$A$130,"&lt;"&amp;Diagram!$P5),SUMIFS(INDIRECT(ADDRESS(12,3+18*1+(14),,,"J1 D - South Bank Avenue")&amp;":"&amp;ADDRESS(130,3+18*1+(14))),'J1 D - South Bank Avenue'!$A$12:$A$130,"&gt;="&amp;Diagram!$O5,'J1 D - South Bank Avenue'!$A$12:$A$130,"&lt;"&amp;Diagram!$P5)))</f>
        <v>0</v>
      </c>
      <c r="EE5" s="42">
        <f ca="1">IF(OR($I$10="",$O5="",$P5="",$J$41&lt;&gt;"Yes"),0,IF($K$10=0,SUMIFS(INDIRECT(ADDRESS(12,3+18*2+(6),,,"J1 D - South Bank Avenue")&amp;":"&amp;ADDRESS(130,3+18*2+(6))),'J1 D - South Bank Avenue'!$A$12:$A$130,"&gt;="&amp;Diagram!$O5,'J1 D - South Bank Avenue'!$A$12:$A$130,"&lt;"&amp;Diagram!$P5),SUMIFS(INDIRECT(ADDRESS(12,3+18*2+(14),,,"J1 D - South Bank Avenue")&amp;":"&amp;ADDRESS(130,3+18*2+(14))),'J1 D - South Bank Avenue'!$A$12:$A$130,"&gt;="&amp;Diagram!$O5,'J1 D - South Bank Avenue'!$A$12:$A$130,"&lt;"&amp;Diagram!$P5)))</f>
        <v>0</v>
      </c>
      <c r="EF5" s="42">
        <f ca="1">IF(OR($I$10="",$O5="",$P5="",$J$41&lt;&gt;"Yes"),0,IF($K$10=0,SUMIFS(INDIRECT(ADDRESS(12,3+18*3+(6),,,"J1 D - South Bank Avenue")&amp;":"&amp;ADDRESS(130,3+18*3+(6))),'J1 D - South Bank Avenue'!$A$12:$A$130,"&gt;="&amp;Diagram!$O5,'J1 D - South Bank Avenue'!$A$12:$A$130,"&lt;"&amp;Diagram!$P5),SUMIFS(INDIRECT(ADDRESS(12,3+18*3+(14),,,"J1 D - South Bank Avenue")&amp;":"&amp;ADDRESS(130,3+18*3+(14))),'J1 D - South Bank Avenue'!$A$12:$A$130,"&gt;="&amp;Diagram!$O5,'J1 D - South Bank Avenue'!$A$12:$A$130,"&lt;"&amp;Diagram!$P5)))</f>
        <v>0</v>
      </c>
      <c r="EG5" s="42">
        <f t="shared" ca="1" si="8"/>
        <v>0</v>
      </c>
      <c r="EH5" s="42">
        <f ca="1">IF(OR($I$10="",$O5="",$P5="",$J$42&lt;&gt;"Yes"),0,IF($K$10=0,SUMIFS(INDIRECT(ADDRESS(12,3+18*3+(7),,,"J1 A - (North) Bishopthorpe Roa")&amp;":"&amp;ADDRESS(130,3+18*3+(7))),'J1 A - (North) Bishopthorpe Roa'!$A$12:$A$130,"&gt;="&amp;Diagram!$O5,'J1 A - (North) Bishopthorpe Roa'!$A$12:$A$130,"&lt;"&amp;Diagram!$P5),SUMIFS(INDIRECT(ADDRESS(12,3+18*3+(15),,,"J1 A - (North) Bishopthorpe Roa")&amp;":"&amp;ADDRESS(130,3+18*3+(15))),'J1 A - (North) Bishopthorpe Roa'!$A$12:$A$130,"&gt;="&amp;Diagram!$O5,'J1 A - (North) Bishopthorpe Roa'!$A$12:$A$130,"&lt;"&amp;Diagram!$P5)))</f>
        <v>0</v>
      </c>
      <c r="EI5" s="42">
        <f ca="1">IF(OR($I$10="",$O5="",$P5="",$J$42&lt;&gt;"Yes"),0,IF($K$10=0,SUMIFS(INDIRECT(ADDRESS(12,3+18*0+(7),,,"J1 A - (North) Bishopthorpe Roa")&amp;":"&amp;ADDRESS(130,3+18*0+(7))),'J1 A - (North) Bishopthorpe Roa'!$A$12:$A$130,"&gt;="&amp;Diagram!$O5,'J1 A - (North) Bishopthorpe Roa'!$A$12:$A$130,"&lt;"&amp;Diagram!$P5),SUMIFS(INDIRECT(ADDRESS(12,3+18*0+(15),,,"J1 A - (North) Bishopthorpe Roa")&amp;":"&amp;ADDRESS(130,3+18*0+(15))),'J1 A - (North) Bishopthorpe Roa'!$A$12:$A$130,"&gt;="&amp;Diagram!$O5,'J1 A - (North) Bishopthorpe Roa'!$A$12:$A$130,"&lt;"&amp;Diagram!$P5)))</f>
        <v>0</v>
      </c>
      <c r="EJ5" s="42">
        <f ca="1">IF(OR($I$10="",$O5="",$P5="",$J$42&lt;&gt;"Yes"),0,IF($K$10=0,SUMIFS(INDIRECT(ADDRESS(12,3+18*1+(7),,,"J1 A - (North) Bishopthorpe Roa")&amp;":"&amp;ADDRESS(130,3+18*1+(7))),'J1 A - (North) Bishopthorpe Roa'!$A$12:$A$130,"&gt;="&amp;Diagram!$O5,'J1 A - (North) Bishopthorpe Roa'!$A$12:$A$130,"&lt;"&amp;Diagram!$P5),SUMIFS(INDIRECT(ADDRESS(12,3+18*1+(15),,,"J1 A - (North) Bishopthorpe Roa")&amp;":"&amp;ADDRESS(130,3+18*1+(15))),'J1 A - (North) Bishopthorpe Roa'!$A$12:$A$130,"&gt;="&amp;Diagram!$O5,'J1 A - (North) Bishopthorpe Roa'!$A$12:$A$130,"&lt;"&amp;Diagram!$P5)))</f>
        <v>0</v>
      </c>
      <c r="EK5" s="42">
        <f ca="1">IF(OR($I$10="",$O5="",$P5="",$J$42&lt;&gt;"Yes"),0,IF($K$10=0,SUMIFS(INDIRECT(ADDRESS(12,3+18*2+(7),,,"J1 A - (North) Bishopthorpe Roa")&amp;":"&amp;ADDRESS(130,3+18*2+(7))),'J1 A - (North) Bishopthorpe Roa'!$A$12:$A$130,"&gt;="&amp;Diagram!$O5,'J1 A - (North) Bishopthorpe Roa'!$A$12:$A$130,"&lt;"&amp;Diagram!$P5),SUMIFS(INDIRECT(ADDRESS(12,3+18*2+(15),,,"J1 A - (North) Bishopthorpe Roa")&amp;":"&amp;ADDRESS(130,3+18*2+(15))),'J1 A - (North) Bishopthorpe Roa'!$A$12:$A$130,"&gt;="&amp;Diagram!$O5,'J1 A - (North) Bishopthorpe Roa'!$A$12:$A$130,"&lt;"&amp;Diagram!$P5)))</f>
        <v>0</v>
      </c>
      <c r="EL5" s="42">
        <f ca="1">IF(OR($I$10="",$O5="",$P5="",$J$42&lt;&gt;"Yes"),0,IF($K$10=0,SUMIFS(INDIRECT(ADDRESS(12,3+18*2+(7),,,"J1 B - Butcher Terrace")&amp;":"&amp;ADDRESS(130,3+18*2+(7))),'J1 B - Butcher Terrace'!$A$12:$A$130,"&gt;="&amp;Diagram!$O5,'J1 B - Butcher Terrace'!$A$12:$A$130,"&lt;"&amp;Diagram!$P5),SUMIFS(INDIRECT(ADDRESS(12,3+18*2+(15),,,"J1 B - Butcher Terrace")&amp;":"&amp;ADDRESS(130,3+18*2+(15))),'J1 B - Butcher Terrace'!$A$12:$A$130,"&gt;="&amp;Diagram!$O5,'J1 B - Butcher Terrace'!$A$12:$A$130,"&lt;"&amp;Diagram!$P5)))</f>
        <v>0</v>
      </c>
      <c r="EM5" s="42">
        <f ca="1">IF(OR($I$10="",$O5="",$P5="",$J$42&lt;&gt;"Yes"),0,IF($K$10=0,SUMIFS(INDIRECT(ADDRESS(12,3+18*3+(7),,,"J1 B - Butcher Terrace")&amp;":"&amp;ADDRESS(130,3+18*3+(7))),'J1 B - Butcher Terrace'!$A$12:$A$130,"&gt;="&amp;Diagram!$O5,'J1 B - Butcher Terrace'!$A$12:$A$130,"&lt;"&amp;Diagram!$P5),SUMIFS(INDIRECT(ADDRESS(12,3+18*3+(15),,,"J1 B - Butcher Terrace")&amp;":"&amp;ADDRESS(130,3+18*3+(15))),'J1 B - Butcher Terrace'!$A$12:$A$130,"&gt;="&amp;Diagram!$O5,'J1 B - Butcher Terrace'!$A$12:$A$130,"&lt;"&amp;Diagram!$P5)))</f>
        <v>0</v>
      </c>
      <c r="EN5" s="42">
        <f ca="1">IF(OR($I$10="",$O5="",$P5="",$J$42&lt;&gt;"Yes"),0,IF($K$10=0,SUMIFS(INDIRECT(ADDRESS(12,3+18*0+(7),,,"J1 B - Butcher Terrace")&amp;":"&amp;ADDRESS(130,3+18*0+(7))),'J1 B - Butcher Terrace'!$A$12:$A$130,"&gt;="&amp;Diagram!$O5,'J1 B - Butcher Terrace'!$A$12:$A$130,"&lt;"&amp;Diagram!$P5),SUMIFS(INDIRECT(ADDRESS(12,3+18*0+(15),,,"J1 B - Butcher Terrace")&amp;":"&amp;ADDRESS(130,3+18*0+(15))),'J1 B - Butcher Terrace'!$A$12:$A$130,"&gt;="&amp;Diagram!$O5,'J1 B - Butcher Terrace'!$A$12:$A$130,"&lt;"&amp;Diagram!$P5)))</f>
        <v>0</v>
      </c>
      <c r="EO5" s="42">
        <f ca="1">IF(OR($I$10="",$O5="",$P5="",$J$42&lt;&gt;"Yes"),0,IF($K$10=0,SUMIFS(INDIRECT(ADDRESS(12,3+18*1+(7),,,"J1 B - Butcher Terrace")&amp;":"&amp;ADDRESS(130,3+18*1+(7))),'J1 B - Butcher Terrace'!$A$12:$A$130,"&gt;="&amp;Diagram!$O5,'J1 B - Butcher Terrace'!$A$12:$A$130,"&lt;"&amp;Diagram!$P5),SUMIFS(INDIRECT(ADDRESS(12,3+18*1+(15),,,"J1 B - Butcher Terrace")&amp;":"&amp;ADDRESS(130,3+18*1+(15))),'J1 B - Butcher Terrace'!$A$12:$A$130,"&gt;="&amp;Diagram!$O5,'J1 B - Butcher Terrace'!$A$12:$A$130,"&lt;"&amp;Diagram!$P5)))</f>
        <v>0</v>
      </c>
      <c r="EP5" s="42">
        <f ca="1">IF(OR($I$10="",$O5="",$P5="",$J$42&lt;&gt;"Yes"),0,IF($K$10=0,SUMIFS(INDIRECT(ADDRESS(12,3+18*1+(7),,,"J1 C - (South) Bishopthorpe Roa")&amp;":"&amp;ADDRESS(130,3+18*1+(7))),'J1 C - (South) Bishopthorpe Roa'!$A$12:$A$130,"&gt;="&amp;Diagram!$O5,'J1 C - (South) Bishopthorpe Roa'!$A$12:$A$130,"&lt;"&amp;Diagram!$P5),SUMIFS(INDIRECT(ADDRESS(12,3+18*1+(15),,,"J1 C - (South) Bishopthorpe Roa")&amp;":"&amp;ADDRESS(130,3+18*1+(15))),'J1 C - (South) Bishopthorpe Roa'!$A$12:$A$130,"&gt;="&amp;Diagram!$O5,'J1 C - (South) Bishopthorpe Roa'!$A$12:$A$130,"&lt;"&amp;Diagram!$P5)))</f>
        <v>0</v>
      </c>
      <c r="EQ5" s="42">
        <f ca="1">IF(OR($I$10="",$O5="",$P5="",$J$42&lt;&gt;"Yes"),0,IF($K$10=0,SUMIFS(INDIRECT(ADDRESS(12,3+18*2+(7),,,"J1 C - (South) Bishopthorpe Roa")&amp;":"&amp;ADDRESS(130,3+18*2+(7))),'J1 C - (South) Bishopthorpe Roa'!$A$12:$A$130,"&gt;="&amp;Diagram!$O5,'J1 C - (South) Bishopthorpe Roa'!$A$12:$A$130,"&lt;"&amp;Diagram!$P5),SUMIFS(INDIRECT(ADDRESS(12,3+18*2+(15),,,"J1 C - (South) Bishopthorpe Roa")&amp;":"&amp;ADDRESS(130,3+18*2+(15))),'J1 C - (South) Bishopthorpe Roa'!$A$12:$A$130,"&gt;="&amp;Diagram!$O5,'J1 C - (South) Bishopthorpe Roa'!$A$12:$A$130,"&lt;"&amp;Diagram!$P5)))</f>
        <v>0</v>
      </c>
      <c r="ER5" s="42">
        <f ca="1">IF(OR($I$10="",$O5="",$P5="",$J$42&lt;&gt;"Yes"),0,IF($K$10=0,SUMIFS(INDIRECT(ADDRESS(12,3+18*3+(7),,,"J1 C - (South) Bishopthorpe Roa")&amp;":"&amp;ADDRESS(130,3+18*3+(7))),'J1 C - (South) Bishopthorpe Roa'!$A$12:$A$130,"&gt;="&amp;Diagram!$O5,'J1 C - (South) Bishopthorpe Roa'!$A$12:$A$130,"&lt;"&amp;Diagram!$P5),SUMIFS(INDIRECT(ADDRESS(12,3+18*3+(15),,,"J1 C - (South) Bishopthorpe Roa")&amp;":"&amp;ADDRESS(130,3+18*3+(15))),'J1 C - (South) Bishopthorpe Roa'!$A$12:$A$130,"&gt;="&amp;Diagram!$O5,'J1 C - (South) Bishopthorpe Roa'!$A$12:$A$130,"&lt;"&amp;Diagram!$P5)))</f>
        <v>0</v>
      </c>
      <c r="ES5" s="42">
        <f ca="1">IF(OR($I$10="",$O5="",$P5="",$J$42&lt;&gt;"Yes"),0,IF($K$10=0,SUMIFS(INDIRECT(ADDRESS(12,3+18*0+(7),,,"J1 C - (South) Bishopthorpe Roa")&amp;":"&amp;ADDRESS(130,3+18*0+(7))),'J1 C - (South) Bishopthorpe Roa'!$A$12:$A$130,"&gt;="&amp;Diagram!$O5,'J1 C - (South) Bishopthorpe Roa'!$A$12:$A$130,"&lt;"&amp;Diagram!$P5),SUMIFS(INDIRECT(ADDRESS(12,3+18*0+(15),,,"J1 C - (South) Bishopthorpe Roa")&amp;":"&amp;ADDRESS(130,3+18*0+(15))),'J1 C - (South) Bishopthorpe Roa'!$A$12:$A$130,"&gt;="&amp;Diagram!$O5,'J1 C - (South) Bishopthorpe Roa'!$A$12:$A$130,"&lt;"&amp;Diagram!$P5)))</f>
        <v>0</v>
      </c>
      <c r="ET5" s="42">
        <f ca="1">IF(OR($I$10="",$O5="",$P5="",$J$42&lt;&gt;"Yes"),0,IF($K$10=0,SUMIFS(INDIRECT(ADDRESS(12,3+18*0+(7),,,"J1 D - South Bank Avenue")&amp;":"&amp;ADDRESS(130,3+18*0+(7))),'J1 D - South Bank Avenue'!$A$12:$A$130,"&gt;="&amp;Diagram!$O5,'J1 D - South Bank Avenue'!$A$12:$A$130,"&lt;"&amp;Diagram!$P5),SUMIFS(INDIRECT(ADDRESS(12,3+18*0+(15),,,"J1 D - South Bank Avenue")&amp;":"&amp;ADDRESS(130,3+18*0+(15))),'J1 D - South Bank Avenue'!$A$12:$A$130,"&gt;="&amp;Diagram!$O5,'J1 D - South Bank Avenue'!$A$12:$A$130,"&lt;"&amp;Diagram!$P5)))</f>
        <v>0</v>
      </c>
      <c r="EU5" s="42">
        <f ca="1">IF(OR($I$10="",$O5="",$P5="",$J$42&lt;&gt;"Yes"),0,IF($K$10=0,SUMIFS(INDIRECT(ADDRESS(12,3+18*1+(7),,,"J1 D - South Bank Avenue")&amp;":"&amp;ADDRESS(130,3+18*1+(7))),'J1 D - South Bank Avenue'!$A$12:$A$130,"&gt;="&amp;Diagram!$O5,'J1 D - South Bank Avenue'!$A$12:$A$130,"&lt;"&amp;Diagram!$P5),SUMIFS(INDIRECT(ADDRESS(12,3+18*1+(15),,,"J1 D - South Bank Avenue")&amp;":"&amp;ADDRESS(130,3+18*1+(15))),'J1 D - South Bank Avenue'!$A$12:$A$130,"&gt;="&amp;Diagram!$O5,'J1 D - South Bank Avenue'!$A$12:$A$130,"&lt;"&amp;Diagram!$P5)))</f>
        <v>0</v>
      </c>
      <c r="EV5" s="42">
        <f ca="1">IF(OR($I$10="",$O5="",$P5="",$J$42&lt;&gt;"Yes"),0,IF($K$10=0,SUMIFS(INDIRECT(ADDRESS(12,3+18*2+(7),,,"J1 D - South Bank Avenue")&amp;":"&amp;ADDRESS(130,3+18*2+(7))),'J1 D - South Bank Avenue'!$A$12:$A$130,"&gt;="&amp;Diagram!$O5,'J1 D - South Bank Avenue'!$A$12:$A$130,"&lt;"&amp;Diagram!$P5),SUMIFS(INDIRECT(ADDRESS(12,3+18*2+(15),,,"J1 D - South Bank Avenue")&amp;":"&amp;ADDRESS(130,3+18*2+(15))),'J1 D - South Bank Avenue'!$A$12:$A$130,"&gt;="&amp;Diagram!$O5,'J1 D - South Bank Avenue'!$A$12:$A$130,"&lt;"&amp;Diagram!$P5)))</f>
        <v>0</v>
      </c>
      <c r="EW5" s="42">
        <f ca="1">IF(OR($I$10="",$O5="",$P5="",$J$42&lt;&gt;"Yes"),0,IF($K$10=0,SUMIFS(INDIRECT(ADDRESS(12,3+18*3+(7),,,"J1 D - South Bank Avenue")&amp;":"&amp;ADDRESS(130,3+18*3+(7))),'J1 D - South Bank Avenue'!$A$12:$A$130,"&gt;="&amp;Diagram!$O5,'J1 D - South Bank Avenue'!$A$12:$A$130,"&lt;"&amp;Diagram!$P5),SUMIFS(INDIRECT(ADDRESS(12,3+18*3+(15),,,"J1 D - South Bank Avenue")&amp;":"&amp;ADDRESS(130,3+18*3+(15))),'J1 D - South Bank Avenue'!$A$12:$A$130,"&gt;="&amp;Diagram!$O5,'J1 D - South Bank Avenue'!$A$12:$A$130,"&lt;"&amp;Diagram!$P5)))</f>
        <v>0</v>
      </c>
    </row>
    <row r="6" spans="1:153" ht="21" customHeight="1">
      <c r="A6" s="1">
        <v>44395.052083333299</v>
      </c>
      <c r="B6" s="1">
        <v>44395.0625</v>
      </c>
      <c r="G6" s="6" t="s">
        <v>2</v>
      </c>
      <c r="H6" s="7" t="s">
        <v>3</v>
      </c>
      <c r="O6" s="3">
        <v>44395.052083333299</v>
      </c>
      <c r="P6" s="3">
        <v>44395.09375</v>
      </c>
      <c r="Q6" s="42">
        <f t="shared" ca="1" si="0"/>
        <v>9</v>
      </c>
      <c r="R6" s="42">
        <f t="shared" ca="1" si="1"/>
        <v>8</v>
      </c>
      <c r="S6" s="42">
        <f ca="1">IF(OR($I$10="",$O6="",$P6="",$J$35&lt;&gt;"Yes"),0,IF($K$10=0,SUMIFS(INDIRECT(ADDRESS(12,3+18*3+(0),,,"J1 A - (North) Bishopthorpe Roa")&amp;":"&amp;ADDRESS(130,3+18*3+(0))),'J1 A - (North) Bishopthorpe Roa'!$A$12:$A$130,"&gt;="&amp;Diagram!$O6,'J1 A - (North) Bishopthorpe Roa'!$A$12:$A$130,"&lt;"&amp;Diagram!$P6),SUMIFS(INDIRECT(ADDRESS(12,3+18*3+(8),,,"J1 A - (North) Bishopthorpe Roa")&amp;":"&amp;ADDRESS(130,3+18*3+(8))),'J1 A - (North) Bishopthorpe Roa'!$A$12:$A$130,"&gt;="&amp;Diagram!$O6,'J1 A - (North) Bishopthorpe Roa'!$A$12:$A$130,"&lt;"&amp;Diagram!$P6)))</f>
        <v>0</v>
      </c>
      <c r="T6" s="42">
        <f ca="1">IF(OR($I$10="",$O6="",$P6="",$J$35&lt;&gt;"Yes"),0,IF($K$10=0,SUMIFS(INDIRECT(ADDRESS(12,3+18*0+(0),,,"J1 A - (North) Bishopthorpe Roa")&amp;":"&amp;ADDRESS(130,3+18*0+(0))),'J1 A - (North) Bishopthorpe Roa'!$A$12:$A$130,"&gt;="&amp;Diagram!$O6,'J1 A - (North) Bishopthorpe Roa'!$A$12:$A$130,"&lt;"&amp;Diagram!$P6),SUMIFS(INDIRECT(ADDRESS(12,3+18*0+(8),,,"J1 A - (North) Bishopthorpe Roa")&amp;":"&amp;ADDRESS(130,3+18*0+(8))),'J1 A - (North) Bishopthorpe Roa'!$A$12:$A$130,"&gt;="&amp;Diagram!$O6,'J1 A - (North) Bishopthorpe Roa'!$A$12:$A$130,"&lt;"&amp;Diagram!$P6)))</f>
        <v>0</v>
      </c>
      <c r="U6" s="42">
        <f ca="1">IF(OR($I$10="",$O6="",$P6="",$J$35&lt;&gt;"Yes"),0,IF($K$10=0,SUMIFS(INDIRECT(ADDRESS(12,3+18*1+(0),,,"J1 A - (North) Bishopthorpe Roa")&amp;":"&amp;ADDRESS(130,3+18*1+(0))),'J1 A - (North) Bishopthorpe Roa'!$A$12:$A$130,"&gt;="&amp;Diagram!$O6,'J1 A - (North) Bishopthorpe Roa'!$A$12:$A$130,"&lt;"&amp;Diagram!$P6),SUMIFS(INDIRECT(ADDRESS(12,3+18*1+(8),,,"J1 A - (North) Bishopthorpe Roa")&amp;":"&amp;ADDRESS(130,3+18*1+(8))),'J1 A - (North) Bishopthorpe Roa'!$A$12:$A$130,"&gt;="&amp;Diagram!$O6,'J1 A - (North) Bishopthorpe Roa'!$A$12:$A$130,"&lt;"&amp;Diagram!$P6)))</f>
        <v>4</v>
      </c>
      <c r="V6" s="42">
        <f ca="1">IF(OR($I$10="",$O6="",$P6="",$J$35&lt;&gt;"Yes"),0,IF($K$10=0,SUMIFS(INDIRECT(ADDRESS(12,3+18*2+(0),,,"J1 A - (North) Bishopthorpe Roa")&amp;":"&amp;ADDRESS(130,3+18*2+(0))),'J1 A - (North) Bishopthorpe Roa'!$A$12:$A$130,"&gt;="&amp;Diagram!$O6,'J1 A - (North) Bishopthorpe Roa'!$A$12:$A$130,"&lt;"&amp;Diagram!$P6),SUMIFS(INDIRECT(ADDRESS(12,3+18*2+(8),,,"J1 A - (North) Bishopthorpe Roa")&amp;":"&amp;ADDRESS(130,3+18*2+(8))),'J1 A - (North) Bishopthorpe Roa'!$A$12:$A$130,"&gt;="&amp;Diagram!$O6,'J1 A - (North) Bishopthorpe Roa'!$A$12:$A$130,"&lt;"&amp;Diagram!$P6)))</f>
        <v>0</v>
      </c>
      <c r="W6" s="42">
        <f ca="1">IF(OR($I$10="",$O6="",$P6="",$J$35&lt;&gt;"Yes"),0,IF($K$10=0,SUMIFS(INDIRECT(ADDRESS(12,3+18*2+(0),,,"J1 B - Butcher Terrace")&amp;":"&amp;ADDRESS(130,3+18*2+(0))),'J1 B - Butcher Terrace'!$A$12:$A$130,"&gt;="&amp;Diagram!$O6,'J1 B - Butcher Terrace'!$A$12:$A$130,"&lt;"&amp;Diagram!$P6),SUMIFS(INDIRECT(ADDRESS(12,3+18*2+(8),,,"J1 B - Butcher Terrace")&amp;":"&amp;ADDRESS(130,3+18*2+(8))),'J1 B - Butcher Terrace'!$A$12:$A$130,"&gt;="&amp;Diagram!$O6,'J1 B - Butcher Terrace'!$A$12:$A$130,"&lt;"&amp;Diagram!$P6)))</f>
        <v>0</v>
      </c>
      <c r="X6" s="42">
        <f ca="1">IF(OR($I$10="",$O6="",$P6="",$J$35&lt;&gt;"Yes"),0,IF($K$10=0,SUMIFS(INDIRECT(ADDRESS(12,3+18*3+(0),,,"J1 B - Butcher Terrace")&amp;":"&amp;ADDRESS(130,3+18*3+(0))),'J1 B - Butcher Terrace'!$A$12:$A$130,"&gt;="&amp;Diagram!$O6,'J1 B - Butcher Terrace'!$A$12:$A$130,"&lt;"&amp;Diagram!$P6),SUMIFS(INDIRECT(ADDRESS(12,3+18*3+(8),,,"J1 B - Butcher Terrace")&amp;":"&amp;ADDRESS(130,3+18*3+(8))),'J1 B - Butcher Terrace'!$A$12:$A$130,"&gt;="&amp;Diagram!$O6,'J1 B - Butcher Terrace'!$A$12:$A$130,"&lt;"&amp;Diagram!$P6)))</f>
        <v>0</v>
      </c>
      <c r="Y6" s="42">
        <f ca="1">IF(OR($I$10="",$O6="",$P6="",$J$35&lt;&gt;"Yes"),0,IF($K$10=0,SUMIFS(INDIRECT(ADDRESS(12,3+18*0+(0),,,"J1 B - Butcher Terrace")&amp;":"&amp;ADDRESS(130,3+18*0+(0))),'J1 B - Butcher Terrace'!$A$12:$A$130,"&gt;="&amp;Diagram!$O6,'J1 B - Butcher Terrace'!$A$12:$A$130,"&lt;"&amp;Diagram!$P6),SUMIFS(INDIRECT(ADDRESS(12,3+18*0+(8),,,"J1 B - Butcher Terrace")&amp;":"&amp;ADDRESS(130,3+18*0+(8))),'J1 B - Butcher Terrace'!$A$12:$A$130,"&gt;="&amp;Diagram!$O6,'J1 B - Butcher Terrace'!$A$12:$A$130,"&lt;"&amp;Diagram!$P6)))</f>
        <v>0</v>
      </c>
      <c r="Z6" s="42">
        <f ca="1">IF(OR($I$10="",$O6="",$P6="",$J$35&lt;&gt;"Yes"),0,IF($K$10=0,SUMIFS(INDIRECT(ADDRESS(12,3+18*1+(0),,,"J1 B - Butcher Terrace")&amp;":"&amp;ADDRESS(130,3+18*1+(0))),'J1 B - Butcher Terrace'!$A$12:$A$130,"&gt;="&amp;Diagram!$O6,'J1 B - Butcher Terrace'!$A$12:$A$130,"&lt;"&amp;Diagram!$P6),SUMIFS(INDIRECT(ADDRESS(12,3+18*1+(8),,,"J1 B - Butcher Terrace")&amp;":"&amp;ADDRESS(130,3+18*1+(8))),'J1 B - Butcher Terrace'!$A$12:$A$130,"&gt;="&amp;Diagram!$O6,'J1 B - Butcher Terrace'!$A$12:$A$130,"&lt;"&amp;Diagram!$P6)))</f>
        <v>0</v>
      </c>
      <c r="AA6" s="42">
        <f ca="1">IF(OR($I$10="",$O6="",$P6="",$J$35&lt;&gt;"Yes"),0,IF($K$10=0,SUMIFS(INDIRECT(ADDRESS(12,3+18*1+(0),,,"J1 C - (South) Bishopthorpe Roa")&amp;":"&amp;ADDRESS(130,3+18*1+(0))),'J1 C - (South) Bishopthorpe Roa'!$A$12:$A$130,"&gt;="&amp;Diagram!$O6,'J1 C - (South) Bishopthorpe Roa'!$A$12:$A$130,"&lt;"&amp;Diagram!$P6),SUMIFS(INDIRECT(ADDRESS(12,3+18*1+(8),,,"J1 C - (South) Bishopthorpe Roa")&amp;":"&amp;ADDRESS(130,3+18*1+(8))),'J1 C - (South) Bishopthorpe Roa'!$A$12:$A$130,"&gt;="&amp;Diagram!$O6,'J1 C - (South) Bishopthorpe Roa'!$A$12:$A$130,"&lt;"&amp;Diagram!$P6)))</f>
        <v>3</v>
      </c>
      <c r="AB6" s="42">
        <f ca="1">IF(OR($I$10="",$O6="",$P6="",$J$35&lt;&gt;"Yes"),0,IF($K$10=0,SUMIFS(INDIRECT(ADDRESS(12,3+18*2+(0),,,"J1 C - (South) Bishopthorpe Roa")&amp;":"&amp;ADDRESS(130,3+18*2+(0))),'J1 C - (South) Bishopthorpe Roa'!$A$12:$A$130,"&gt;="&amp;Diagram!$O6,'J1 C - (South) Bishopthorpe Roa'!$A$12:$A$130,"&lt;"&amp;Diagram!$P6),SUMIFS(INDIRECT(ADDRESS(12,3+18*2+(8),,,"J1 C - (South) Bishopthorpe Roa")&amp;":"&amp;ADDRESS(130,3+18*2+(8))),'J1 C - (South) Bishopthorpe Roa'!$A$12:$A$130,"&gt;="&amp;Diagram!$O6,'J1 C - (South) Bishopthorpe Roa'!$A$12:$A$130,"&lt;"&amp;Diagram!$P6)))</f>
        <v>0</v>
      </c>
      <c r="AC6" s="42">
        <f ca="1">IF(OR($I$10="",$O6="",$P6="",$J$35&lt;&gt;"Yes"),0,IF($K$10=0,SUMIFS(INDIRECT(ADDRESS(12,3+18*3+(0),,,"J1 C - (South) Bishopthorpe Roa")&amp;":"&amp;ADDRESS(130,3+18*3+(0))),'J1 C - (South) Bishopthorpe Roa'!$A$12:$A$130,"&gt;="&amp;Diagram!$O6,'J1 C - (South) Bishopthorpe Roa'!$A$12:$A$130,"&lt;"&amp;Diagram!$P6),SUMIFS(INDIRECT(ADDRESS(12,3+18*3+(8),,,"J1 C - (South) Bishopthorpe Roa")&amp;":"&amp;ADDRESS(130,3+18*3+(8))),'J1 C - (South) Bishopthorpe Roa'!$A$12:$A$130,"&gt;="&amp;Diagram!$O6,'J1 C - (South) Bishopthorpe Roa'!$A$12:$A$130,"&lt;"&amp;Diagram!$P6)))</f>
        <v>0</v>
      </c>
      <c r="AD6" s="42">
        <f ca="1">IF(OR($I$10="",$O6="",$P6="",$J$35&lt;&gt;"Yes"),0,IF($K$10=0,SUMIFS(INDIRECT(ADDRESS(12,3+18*0+(0),,,"J1 C - (South) Bishopthorpe Roa")&amp;":"&amp;ADDRESS(130,3+18*0+(0))),'J1 C - (South) Bishopthorpe Roa'!$A$12:$A$130,"&gt;="&amp;Diagram!$O6,'J1 C - (South) Bishopthorpe Roa'!$A$12:$A$130,"&lt;"&amp;Diagram!$P6),SUMIFS(INDIRECT(ADDRESS(12,3+18*0+(8),,,"J1 C - (South) Bishopthorpe Roa")&amp;":"&amp;ADDRESS(130,3+18*0+(8))),'J1 C - (South) Bishopthorpe Roa'!$A$12:$A$130,"&gt;="&amp;Diagram!$O6,'J1 C - (South) Bishopthorpe Roa'!$A$12:$A$130,"&lt;"&amp;Diagram!$P6)))</f>
        <v>0</v>
      </c>
      <c r="AE6" s="42">
        <f ca="1">IF(OR($I$10="",$O6="",$P6="",$J$35&lt;&gt;"Yes"),0,IF($K$10=0,SUMIFS(INDIRECT(ADDRESS(12,3+18*0+(0),,,"J1 D - South Bank Avenue")&amp;":"&amp;ADDRESS(130,3+18*0+(0))),'J1 D - South Bank Avenue'!$A$12:$A$130,"&gt;="&amp;Diagram!$O6,'J1 D - South Bank Avenue'!$A$12:$A$130,"&lt;"&amp;Diagram!$P6),SUMIFS(INDIRECT(ADDRESS(12,3+18*0+(8),,,"J1 D - South Bank Avenue")&amp;":"&amp;ADDRESS(130,3+18*0+(8))),'J1 D - South Bank Avenue'!$A$12:$A$130,"&gt;="&amp;Diagram!$O6,'J1 D - South Bank Avenue'!$A$12:$A$130,"&lt;"&amp;Diagram!$P6)))</f>
        <v>1</v>
      </c>
      <c r="AF6" s="42">
        <f ca="1">IF(OR($I$10="",$O6="",$P6="",$J$35&lt;&gt;"Yes"),0,IF($K$10=0,SUMIFS(INDIRECT(ADDRESS(12,3+18*1+(0),,,"J1 D - South Bank Avenue")&amp;":"&amp;ADDRESS(130,3+18*1+(0))),'J1 D - South Bank Avenue'!$A$12:$A$130,"&gt;="&amp;Diagram!$O6,'J1 D - South Bank Avenue'!$A$12:$A$130,"&lt;"&amp;Diagram!$P6),SUMIFS(INDIRECT(ADDRESS(12,3+18*1+(8),,,"J1 D - South Bank Avenue")&amp;":"&amp;ADDRESS(130,3+18*1+(8))),'J1 D - South Bank Avenue'!$A$12:$A$130,"&gt;="&amp;Diagram!$O6,'J1 D - South Bank Avenue'!$A$12:$A$130,"&lt;"&amp;Diagram!$P6)))</f>
        <v>0</v>
      </c>
      <c r="AG6" s="42">
        <f ca="1">IF(OR($I$10="",$O6="",$P6="",$J$35&lt;&gt;"Yes"),0,IF($K$10=0,SUMIFS(INDIRECT(ADDRESS(12,3+18*2+(0),,,"J1 D - South Bank Avenue")&amp;":"&amp;ADDRESS(130,3+18*2+(0))),'J1 D - South Bank Avenue'!$A$12:$A$130,"&gt;="&amp;Diagram!$O6,'J1 D - South Bank Avenue'!$A$12:$A$130,"&lt;"&amp;Diagram!$P6),SUMIFS(INDIRECT(ADDRESS(12,3+18*2+(8),,,"J1 D - South Bank Avenue")&amp;":"&amp;ADDRESS(130,3+18*2+(8))),'J1 D - South Bank Avenue'!$A$12:$A$130,"&gt;="&amp;Diagram!$O6,'J1 D - South Bank Avenue'!$A$12:$A$130,"&lt;"&amp;Diagram!$P6)))</f>
        <v>0</v>
      </c>
      <c r="AH6" s="42">
        <f ca="1">IF(OR($I$10="",$O6="",$P6="",$J$35&lt;&gt;"Yes"),0,IF($K$10=0,SUMIFS(INDIRECT(ADDRESS(12,3+18*3+(0),,,"J1 D - South Bank Avenue")&amp;":"&amp;ADDRESS(130,3+18*3+(0))),'J1 D - South Bank Avenue'!$A$12:$A$130,"&gt;="&amp;Diagram!$O6,'J1 D - South Bank Avenue'!$A$12:$A$130,"&lt;"&amp;Diagram!$P6),SUMIFS(INDIRECT(ADDRESS(12,3+18*3+(8),,,"J1 D - South Bank Avenue")&amp;":"&amp;ADDRESS(130,3+18*3+(8))),'J1 D - South Bank Avenue'!$A$12:$A$130,"&gt;="&amp;Diagram!$O6,'J1 D - South Bank Avenue'!$A$12:$A$130,"&lt;"&amp;Diagram!$P6)))</f>
        <v>0</v>
      </c>
      <c r="AI6" s="42">
        <f t="shared" ca="1" si="2"/>
        <v>0</v>
      </c>
      <c r="AJ6" s="42">
        <f ca="1">IF(OR($I$10="",$O6="",$P6="",$J$36&lt;&gt;"Yes"),0,IF($K$10=0,SUMIFS(INDIRECT(ADDRESS(12,3+18*3+(1),,,"J1 A - (North) Bishopthorpe Roa")&amp;":"&amp;ADDRESS(130,3+18*3+(1))),'J1 A - (North) Bishopthorpe Roa'!$A$12:$A$130,"&gt;="&amp;Diagram!$O6,'J1 A - (North) Bishopthorpe Roa'!$A$12:$A$130,"&lt;"&amp;Diagram!$P6),SUMIFS(INDIRECT(ADDRESS(12,3+18*3+(9),,,"J1 A - (North) Bishopthorpe Roa")&amp;":"&amp;ADDRESS(130,3+18*3+(9))),'J1 A - (North) Bishopthorpe Roa'!$A$12:$A$130,"&gt;="&amp;Diagram!$O6,'J1 A - (North) Bishopthorpe Roa'!$A$12:$A$130,"&lt;"&amp;Diagram!$P6)))</f>
        <v>0</v>
      </c>
      <c r="AK6" s="42">
        <f ca="1">IF(OR($I$10="",$O6="",$P6="",$J$36&lt;&gt;"Yes"),0,IF($K$10=0,SUMIFS(INDIRECT(ADDRESS(12,3+18*0+(1),,,"J1 A - (North) Bishopthorpe Roa")&amp;":"&amp;ADDRESS(130,3+18*0+(1))),'J1 A - (North) Bishopthorpe Roa'!$A$12:$A$130,"&gt;="&amp;Diagram!$O6,'J1 A - (North) Bishopthorpe Roa'!$A$12:$A$130,"&lt;"&amp;Diagram!$P6),SUMIFS(INDIRECT(ADDRESS(12,3+18*0+(9),,,"J1 A - (North) Bishopthorpe Roa")&amp;":"&amp;ADDRESS(130,3+18*0+(9))),'J1 A - (North) Bishopthorpe Roa'!$A$12:$A$130,"&gt;="&amp;Diagram!$O6,'J1 A - (North) Bishopthorpe Roa'!$A$12:$A$130,"&lt;"&amp;Diagram!$P6)))</f>
        <v>0</v>
      </c>
      <c r="AL6" s="42">
        <f ca="1">IF(OR($I$10="",$O6="",$P6="",$J$36&lt;&gt;"Yes"),0,IF($K$10=0,SUMIFS(INDIRECT(ADDRESS(12,3+18*1+(1),,,"J1 A - (North) Bishopthorpe Roa")&amp;":"&amp;ADDRESS(130,3+18*1+(1))),'J1 A - (North) Bishopthorpe Roa'!$A$12:$A$130,"&gt;="&amp;Diagram!$O6,'J1 A - (North) Bishopthorpe Roa'!$A$12:$A$130,"&lt;"&amp;Diagram!$P6),SUMIFS(INDIRECT(ADDRESS(12,3+18*1+(9),,,"J1 A - (North) Bishopthorpe Roa")&amp;":"&amp;ADDRESS(130,3+18*1+(9))),'J1 A - (North) Bishopthorpe Roa'!$A$12:$A$130,"&gt;="&amp;Diagram!$O6,'J1 A - (North) Bishopthorpe Roa'!$A$12:$A$130,"&lt;"&amp;Diagram!$P6)))</f>
        <v>0</v>
      </c>
      <c r="AM6" s="42">
        <f ca="1">IF(OR($I$10="",$O6="",$P6="",$J$36&lt;&gt;"Yes"),0,IF($K$10=0,SUMIFS(INDIRECT(ADDRESS(12,3+18*2+(1),,,"J1 A - (North) Bishopthorpe Roa")&amp;":"&amp;ADDRESS(130,3+18*2+(1))),'J1 A - (North) Bishopthorpe Roa'!$A$12:$A$130,"&gt;="&amp;Diagram!$O6,'J1 A - (North) Bishopthorpe Roa'!$A$12:$A$130,"&lt;"&amp;Diagram!$P6),SUMIFS(INDIRECT(ADDRESS(12,3+18*2+(9),,,"J1 A - (North) Bishopthorpe Roa")&amp;":"&amp;ADDRESS(130,3+18*2+(9))),'J1 A - (North) Bishopthorpe Roa'!$A$12:$A$130,"&gt;="&amp;Diagram!$O6,'J1 A - (North) Bishopthorpe Roa'!$A$12:$A$130,"&lt;"&amp;Diagram!$P6)))</f>
        <v>0</v>
      </c>
      <c r="AN6" s="42">
        <f ca="1">IF(OR($I$10="",$O6="",$P6="",$J$36&lt;&gt;"Yes"),0,IF($K$10=0,SUMIFS(INDIRECT(ADDRESS(12,3+18*2+(1),,,"J1 B - Butcher Terrace")&amp;":"&amp;ADDRESS(130,3+18*2+(1))),'J1 B - Butcher Terrace'!$A$12:$A$130,"&gt;="&amp;Diagram!$O6,'J1 B - Butcher Terrace'!$A$12:$A$130,"&lt;"&amp;Diagram!$P6),SUMIFS(INDIRECT(ADDRESS(12,3+18*2+(9),,,"J1 B - Butcher Terrace")&amp;":"&amp;ADDRESS(130,3+18*2+(9))),'J1 B - Butcher Terrace'!$A$12:$A$130,"&gt;="&amp;Diagram!$O6,'J1 B - Butcher Terrace'!$A$12:$A$130,"&lt;"&amp;Diagram!$P6)))</f>
        <v>0</v>
      </c>
      <c r="AO6" s="42">
        <f ca="1">IF(OR($I$10="",$O6="",$P6="",$J$36&lt;&gt;"Yes"),0,IF($K$10=0,SUMIFS(INDIRECT(ADDRESS(12,3+18*3+(1),,,"J1 B - Butcher Terrace")&amp;":"&amp;ADDRESS(130,3+18*3+(1))),'J1 B - Butcher Terrace'!$A$12:$A$130,"&gt;="&amp;Diagram!$O6,'J1 B - Butcher Terrace'!$A$12:$A$130,"&lt;"&amp;Diagram!$P6),SUMIFS(INDIRECT(ADDRESS(12,3+18*3+(9),,,"J1 B - Butcher Terrace")&amp;":"&amp;ADDRESS(130,3+18*3+(9))),'J1 B - Butcher Terrace'!$A$12:$A$130,"&gt;="&amp;Diagram!$O6,'J1 B - Butcher Terrace'!$A$12:$A$130,"&lt;"&amp;Diagram!$P6)))</f>
        <v>0</v>
      </c>
      <c r="AP6" s="42">
        <f ca="1">IF(OR($I$10="",$O6="",$P6="",$J$36&lt;&gt;"Yes"),0,IF($K$10=0,SUMIFS(INDIRECT(ADDRESS(12,3+18*0+(1),,,"J1 B - Butcher Terrace")&amp;":"&amp;ADDRESS(130,3+18*0+(1))),'J1 B - Butcher Terrace'!$A$12:$A$130,"&gt;="&amp;Diagram!$O6,'J1 B - Butcher Terrace'!$A$12:$A$130,"&lt;"&amp;Diagram!$P6),SUMIFS(INDIRECT(ADDRESS(12,3+18*0+(9),,,"J1 B - Butcher Terrace")&amp;":"&amp;ADDRESS(130,3+18*0+(9))),'J1 B - Butcher Terrace'!$A$12:$A$130,"&gt;="&amp;Diagram!$O6,'J1 B - Butcher Terrace'!$A$12:$A$130,"&lt;"&amp;Diagram!$P6)))</f>
        <v>0</v>
      </c>
      <c r="AQ6" s="42">
        <f ca="1">IF(OR($I$10="",$O6="",$P6="",$J$36&lt;&gt;"Yes"),0,IF($K$10=0,SUMIFS(INDIRECT(ADDRESS(12,3+18*1+(1),,,"J1 B - Butcher Terrace")&amp;":"&amp;ADDRESS(130,3+18*1+(1))),'J1 B - Butcher Terrace'!$A$12:$A$130,"&gt;="&amp;Diagram!$O6,'J1 B - Butcher Terrace'!$A$12:$A$130,"&lt;"&amp;Diagram!$P6),SUMIFS(INDIRECT(ADDRESS(12,3+18*1+(9),,,"J1 B - Butcher Terrace")&amp;":"&amp;ADDRESS(130,3+18*1+(9))),'J1 B - Butcher Terrace'!$A$12:$A$130,"&gt;="&amp;Diagram!$O6,'J1 B - Butcher Terrace'!$A$12:$A$130,"&lt;"&amp;Diagram!$P6)))</f>
        <v>0</v>
      </c>
      <c r="AR6" s="42">
        <f ca="1">IF(OR($I$10="",$O6="",$P6="",$J$36&lt;&gt;"Yes"),0,IF($K$10=0,SUMIFS(INDIRECT(ADDRESS(12,3+18*1+(1),,,"J1 C - (South) Bishopthorpe Roa")&amp;":"&amp;ADDRESS(130,3+18*1+(1))),'J1 C - (South) Bishopthorpe Roa'!$A$12:$A$130,"&gt;="&amp;Diagram!$O6,'J1 C - (South) Bishopthorpe Roa'!$A$12:$A$130,"&lt;"&amp;Diagram!$P6),SUMIFS(INDIRECT(ADDRESS(12,3+18*1+(9),,,"J1 C - (South) Bishopthorpe Roa")&amp;":"&amp;ADDRESS(130,3+18*1+(9))),'J1 C - (South) Bishopthorpe Roa'!$A$12:$A$130,"&gt;="&amp;Diagram!$O6,'J1 C - (South) Bishopthorpe Roa'!$A$12:$A$130,"&lt;"&amp;Diagram!$P6)))</f>
        <v>0</v>
      </c>
      <c r="AS6" s="42">
        <f ca="1">IF(OR($I$10="",$O6="",$P6="",$J$36&lt;&gt;"Yes"),0,IF($K$10=0,SUMIFS(INDIRECT(ADDRESS(12,3+18*2+(1),,,"J1 C - (South) Bishopthorpe Roa")&amp;":"&amp;ADDRESS(130,3+18*2+(1))),'J1 C - (South) Bishopthorpe Roa'!$A$12:$A$130,"&gt;="&amp;Diagram!$O6,'J1 C - (South) Bishopthorpe Roa'!$A$12:$A$130,"&lt;"&amp;Diagram!$P6),SUMIFS(INDIRECT(ADDRESS(12,3+18*2+(9),,,"J1 C - (South) Bishopthorpe Roa")&amp;":"&amp;ADDRESS(130,3+18*2+(9))),'J1 C - (South) Bishopthorpe Roa'!$A$12:$A$130,"&gt;="&amp;Diagram!$O6,'J1 C - (South) Bishopthorpe Roa'!$A$12:$A$130,"&lt;"&amp;Diagram!$P6)))</f>
        <v>0</v>
      </c>
      <c r="AT6" s="42">
        <f ca="1">IF(OR($I$10="",$O6="",$P6="",$J$36&lt;&gt;"Yes"),0,IF($K$10=0,SUMIFS(INDIRECT(ADDRESS(12,3+18*3+(1),,,"J1 C - (South) Bishopthorpe Roa")&amp;":"&amp;ADDRESS(130,3+18*3+(1))),'J1 C - (South) Bishopthorpe Roa'!$A$12:$A$130,"&gt;="&amp;Diagram!$O6,'J1 C - (South) Bishopthorpe Roa'!$A$12:$A$130,"&lt;"&amp;Diagram!$P6),SUMIFS(INDIRECT(ADDRESS(12,3+18*3+(9),,,"J1 C - (South) Bishopthorpe Roa")&amp;":"&amp;ADDRESS(130,3+18*3+(9))),'J1 C - (South) Bishopthorpe Roa'!$A$12:$A$130,"&gt;="&amp;Diagram!$O6,'J1 C - (South) Bishopthorpe Roa'!$A$12:$A$130,"&lt;"&amp;Diagram!$P6)))</f>
        <v>0</v>
      </c>
      <c r="AU6" s="42">
        <f ca="1">IF(OR($I$10="",$O6="",$P6="",$J$36&lt;&gt;"Yes"),0,IF($K$10=0,SUMIFS(INDIRECT(ADDRESS(12,3+18*0+(1),,,"J1 C - (South) Bishopthorpe Roa")&amp;":"&amp;ADDRESS(130,3+18*0+(1))),'J1 C - (South) Bishopthorpe Roa'!$A$12:$A$130,"&gt;="&amp;Diagram!$O6,'J1 C - (South) Bishopthorpe Roa'!$A$12:$A$130,"&lt;"&amp;Diagram!$P6),SUMIFS(INDIRECT(ADDRESS(12,3+18*0+(9),,,"J1 C - (South) Bishopthorpe Roa")&amp;":"&amp;ADDRESS(130,3+18*0+(9))),'J1 C - (South) Bishopthorpe Roa'!$A$12:$A$130,"&gt;="&amp;Diagram!$O6,'J1 C - (South) Bishopthorpe Roa'!$A$12:$A$130,"&lt;"&amp;Diagram!$P6)))</f>
        <v>0</v>
      </c>
      <c r="AV6" s="42">
        <f ca="1">IF(OR($I$10="",$O6="",$P6="",$J$36&lt;&gt;"Yes"),0,IF($K$10=0,SUMIFS(INDIRECT(ADDRESS(12,3+18*0+(1),,,"J1 D - South Bank Avenue")&amp;":"&amp;ADDRESS(130,3+18*0+(1))),'J1 D - South Bank Avenue'!$A$12:$A$130,"&gt;="&amp;Diagram!$O6,'J1 D - South Bank Avenue'!$A$12:$A$130,"&lt;"&amp;Diagram!$P6),SUMIFS(INDIRECT(ADDRESS(12,3+18*0+(9),,,"J1 D - South Bank Avenue")&amp;":"&amp;ADDRESS(130,3+18*0+(9))),'J1 D - South Bank Avenue'!$A$12:$A$130,"&gt;="&amp;Diagram!$O6,'J1 D - South Bank Avenue'!$A$12:$A$130,"&lt;"&amp;Diagram!$P6)))</f>
        <v>0</v>
      </c>
      <c r="AW6" s="42">
        <f ca="1">IF(OR($I$10="",$O6="",$P6="",$J$36&lt;&gt;"Yes"),0,IF($K$10=0,SUMIFS(INDIRECT(ADDRESS(12,3+18*1+(1),,,"J1 D - South Bank Avenue")&amp;":"&amp;ADDRESS(130,3+18*1+(1))),'J1 D - South Bank Avenue'!$A$12:$A$130,"&gt;="&amp;Diagram!$O6,'J1 D - South Bank Avenue'!$A$12:$A$130,"&lt;"&amp;Diagram!$P6),SUMIFS(INDIRECT(ADDRESS(12,3+18*1+(9),,,"J1 D - South Bank Avenue")&amp;":"&amp;ADDRESS(130,3+18*1+(9))),'J1 D - South Bank Avenue'!$A$12:$A$130,"&gt;="&amp;Diagram!$O6,'J1 D - South Bank Avenue'!$A$12:$A$130,"&lt;"&amp;Diagram!$P6)))</f>
        <v>0</v>
      </c>
      <c r="AX6" s="42">
        <f ca="1">IF(OR($I$10="",$O6="",$P6="",$J$36&lt;&gt;"Yes"),0,IF($K$10=0,SUMIFS(INDIRECT(ADDRESS(12,3+18*2+(1),,,"J1 D - South Bank Avenue")&amp;":"&amp;ADDRESS(130,3+18*2+(1))),'J1 D - South Bank Avenue'!$A$12:$A$130,"&gt;="&amp;Diagram!$O6,'J1 D - South Bank Avenue'!$A$12:$A$130,"&lt;"&amp;Diagram!$P6),SUMIFS(INDIRECT(ADDRESS(12,3+18*2+(9),,,"J1 D - South Bank Avenue")&amp;":"&amp;ADDRESS(130,3+18*2+(9))),'J1 D - South Bank Avenue'!$A$12:$A$130,"&gt;="&amp;Diagram!$O6,'J1 D - South Bank Avenue'!$A$12:$A$130,"&lt;"&amp;Diagram!$P6)))</f>
        <v>0</v>
      </c>
      <c r="AY6" s="42">
        <f ca="1">IF(OR($I$10="",$O6="",$P6="",$J$36&lt;&gt;"Yes"),0,IF($K$10=0,SUMIFS(INDIRECT(ADDRESS(12,3+18*3+(1),,,"J1 D - South Bank Avenue")&amp;":"&amp;ADDRESS(130,3+18*3+(1))),'J1 D - South Bank Avenue'!$A$12:$A$130,"&gt;="&amp;Diagram!$O6,'J1 D - South Bank Avenue'!$A$12:$A$130,"&lt;"&amp;Diagram!$P6),SUMIFS(INDIRECT(ADDRESS(12,3+18*3+(9),,,"J1 D - South Bank Avenue")&amp;":"&amp;ADDRESS(130,3+18*3+(9))),'J1 D - South Bank Avenue'!$A$12:$A$130,"&gt;="&amp;Diagram!$O6,'J1 D - South Bank Avenue'!$A$12:$A$130,"&lt;"&amp;Diagram!$P6)))</f>
        <v>0</v>
      </c>
      <c r="AZ6" s="42">
        <f t="shared" ca="1" si="3"/>
        <v>0</v>
      </c>
      <c r="BA6" s="42">
        <f ca="1">IF(OR($I$10="",$O6="",$P6="",$J$37&lt;&gt;"Yes"),0,IF($K$10=0,SUMIFS(INDIRECT(ADDRESS(12,3+18*3+(2),,,"J1 A - (North) Bishopthorpe Roa")&amp;":"&amp;ADDRESS(130,3+18*3+(2))),'J1 A - (North) Bishopthorpe Roa'!$A$12:$A$130,"&gt;="&amp;Diagram!$O6,'J1 A - (North) Bishopthorpe Roa'!$A$12:$A$130,"&lt;"&amp;Diagram!$P6),SUMIFS(INDIRECT(ADDRESS(12,3+18*3+(10),,,"J1 A - (North) Bishopthorpe Roa")&amp;":"&amp;ADDRESS(130,3+18*3+(10))),'J1 A - (North) Bishopthorpe Roa'!$A$12:$A$130,"&gt;="&amp;Diagram!$O6,'J1 A - (North) Bishopthorpe Roa'!$A$12:$A$130,"&lt;"&amp;Diagram!$P6)))</f>
        <v>0</v>
      </c>
      <c r="BB6" s="42">
        <f ca="1">IF(OR($I$10="",$O6="",$P6="",$J$37&lt;&gt;"Yes"),0,IF($K$10=0,SUMIFS(INDIRECT(ADDRESS(12,3+18*0+(2),,,"J1 A - (North) Bishopthorpe Roa")&amp;":"&amp;ADDRESS(130,3+18*0+(2))),'J1 A - (North) Bishopthorpe Roa'!$A$12:$A$130,"&gt;="&amp;Diagram!$O6,'J1 A - (North) Bishopthorpe Roa'!$A$12:$A$130,"&lt;"&amp;Diagram!$P6),SUMIFS(INDIRECT(ADDRESS(12,3+18*0+(10),,,"J1 A - (North) Bishopthorpe Roa")&amp;":"&amp;ADDRESS(130,3+18*0+(10))),'J1 A - (North) Bishopthorpe Roa'!$A$12:$A$130,"&gt;="&amp;Diagram!$O6,'J1 A - (North) Bishopthorpe Roa'!$A$12:$A$130,"&lt;"&amp;Diagram!$P6)))</f>
        <v>0</v>
      </c>
      <c r="BC6" s="42">
        <f ca="1">IF(OR($I$10="",$O6="",$P6="",$J$37&lt;&gt;"Yes"),0,IF($K$10=0,SUMIFS(INDIRECT(ADDRESS(12,3+18*1+(2),,,"J1 A - (North) Bishopthorpe Roa")&amp;":"&amp;ADDRESS(130,3+18*1+(2))),'J1 A - (North) Bishopthorpe Roa'!$A$12:$A$130,"&gt;="&amp;Diagram!$O6,'J1 A - (North) Bishopthorpe Roa'!$A$12:$A$130,"&lt;"&amp;Diagram!$P6),SUMIFS(INDIRECT(ADDRESS(12,3+18*1+(10),,,"J1 A - (North) Bishopthorpe Roa")&amp;":"&amp;ADDRESS(130,3+18*1+(10))),'J1 A - (North) Bishopthorpe Roa'!$A$12:$A$130,"&gt;="&amp;Diagram!$O6,'J1 A - (North) Bishopthorpe Roa'!$A$12:$A$130,"&lt;"&amp;Diagram!$P6)))</f>
        <v>0</v>
      </c>
      <c r="BD6" s="42">
        <f ca="1">IF(OR($I$10="",$O6="",$P6="",$J$37&lt;&gt;"Yes"),0,IF($K$10=0,SUMIFS(INDIRECT(ADDRESS(12,3+18*2+(2),,,"J1 A - (North) Bishopthorpe Roa")&amp;":"&amp;ADDRESS(130,3+18*2+(2))),'J1 A - (North) Bishopthorpe Roa'!$A$12:$A$130,"&gt;="&amp;Diagram!$O6,'J1 A - (North) Bishopthorpe Roa'!$A$12:$A$130,"&lt;"&amp;Diagram!$P6),SUMIFS(INDIRECT(ADDRESS(12,3+18*2+(10),,,"J1 A - (North) Bishopthorpe Roa")&amp;":"&amp;ADDRESS(130,3+18*2+(10))),'J1 A - (North) Bishopthorpe Roa'!$A$12:$A$130,"&gt;="&amp;Diagram!$O6,'J1 A - (North) Bishopthorpe Roa'!$A$12:$A$130,"&lt;"&amp;Diagram!$P6)))</f>
        <v>0</v>
      </c>
      <c r="BE6" s="42">
        <f ca="1">IF(OR($I$10="",$O6="",$P6="",$J$37&lt;&gt;"Yes"),0,IF($K$10=0,SUMIFS(INDIRECT(ADDRESS(12,3+18*2+(2),,,"J1 B - Butcher Terrace")&amp;":"&amp;ADDRESS(130,3+18*2+(2))),'J1 B - Butcher Terrace'!$A$12:$A$130,"&gt;="&amp;Diagram!$O6,'J1 B - Butcher Terrace'!$A$12:$A$130,"&lt;"&amp;Diagram!$P6),SUMIFS(INDIRECT(ADDRESS(12,3+18*2+(10),,,"J1 B - Butcher Terrace")&amp;":"&amp;ADDRESS(130,3+18*2+(10))),'J1 B - Butcher Terrace'!$A$12:$A$130,"&gt;="&amp;Diagram!$O6,'J1 B - Butcher Terrace'!$A$12:$A$130,"&lt;"&amp;Diagram!$P6)))</f>
        <v>0</v>
      </c>
      <c r="BF6" s="42">
        <f ca="1">IF(OR($I$10="",$O6="",$P6="",$J$37&lt;&gt;"Yes"),0,IF($K$10=0,SUMIFS(INDIRECT(ADDRESS(12,3+18*3+(2),,,"J1 B - Butcher Terrace")&amp;":"&amp;ADDRESS(130,3+18*3+(2))),'J1 B - Butcher Terrace'!$A$12:$A$130,"&gt;="&amp;Diagram!$O6,'J1 B - Butcher Terrace'!$A$12:$A$130,"&lt;"&amp;Diagram!$P6),SUMIFS(INDIRECT(ADDRESS(12,3+18*3+(10),,,"J1 B - Butcher Terrace")&amp;":"&amp;ADDRESS(130,3+18*3+(10))),'J1 B - Butcher Terrace'!$A$12:$A$130,"&gt;="&amp;Diagram!$O6,'J1 B - Butcher Terrace'!$A$12:$A$130,"&lt;"&amp;Diagram!$P6)))</f>
        <v>0</v>
      </c>
      <c r="BG6" s="42">
        <f ca="1">IF(OR($I$10="",$O6="",$P6="",$J$37&lt;&gt;"Yes"),0,IF($K$10=0,SUMIFS(INDIRECT(ADDRESS(12,3+18*0+(2),,,"J1 B - Butcher Terrace")&amp;":"&amp;ADDRESS(130,3+18*0+(2))),'J1 B - Butcher Terrace'!$A$12:$A$130,"&gt;="&amp;Diagram!$O6,'J1 B - Butcher Terrace'!$A$12:$A$130,"&lt;"&amp;Diagram!$P6),SUMIFS(INDIRECT(ADDRESS(12,3+18*0+(10),,,"J1 B - Butcher Terrace")&amp;":"&amp;ADDRESS(130,3+18*0+(10))),'J1 B - Butcher Terrace'!$A$12:$A$130,"&gt;="&amp;Diagram!$O6,'J1 B - Butcher Terrace'!$A$12:$A$130,"&lt;"&amp;Diagram!$P6)))</f>
        <v>0</v>
      </c>
      <c r="BH6" s="42">
        <f ca="1">IF(OR($I$10="",$O6="",$P6="",$J$37&lt;&gt;"Yes"),0,IF($K$10=0,SUMIFS(INDIRECT(ADDRESS(12,3+18*1+(2),,,"J1 B - Butcher Terrace")&amp;":"&amp;ADDRESS(130,3+18*1+(2))),'J1 B - Butcher Terrace'!$A$12:$A$130,"&gt;="&amp;Diagram!$O6,'J1 B - Butcher Terrace'!$A$12:$A$130,"&lt;"&amp;Diagram!$P6),SUMIFS(INDIRECT(ADDRESS(12,3+18*1+(10),,,"J1 B - Butcher Terrace")&amp;":"&amp;ADDRESS(130,3+18*1+(10))),'J1 B - Butcher Terrace'!$A$12:$A$130,"&gt;="&amp;Diagram!$O6,'J1 B - Butcher Terrace'!$A$12:$A$130,"&lt;"&amp;Diagram!$P6)))</f>
        <v>0</v>
      </c>
      <c r="BI6" s="42">
        <f ca="1">IF(OR($I$10="",$O6="",$P6="",$J$37&lt;&gt;"Yes"),0,IF($K$10=0,SUMIFS(INDIRECT(ADDRESS(12,3+18*1+(2),,,"J1 C - (South) Bishopthorpe Roa")&amp;":"&amp;ADDRESS(130,3+18*1+(2))),'J1 C - (South) Bishopthorpe Roa'!$A$12:$A$130,"&gt;="&amp;Diagram!$O6,'J1 C - (South) Bishopthorpe Roa'!$A$12:$A$130,"&lt;"&amp;Diagram!$P6),SUMIFS(INDIRECT(ADDRESS(12,3+18*1+(10),,,"J1 C - (South) Bishopthorpe Roa")&amp;":"&amp;ADDRESS(130,3+18*1+(10))),'J1 C - (South) Bishopthorpe Roa'!$A$12:$A$130,"&gt;="&amp;Diagram!$O6,'J1 C - (South) Bishopthorpe Roa'!$A$12:$A$130,"&lt;"&amp;Diagram!$P6)))</f>
        <v>0</v>
      </c>
      <c r="BJ6" s="42">
        <f ca="1">IF(OR($I$10="",$O6="",$P6="",$J$37&lt;&gt;"Yes"),0,IF($K$10=0,SUMIFS(INDIRECT(ADDRESS(12,3+18*2+(2),,,"J1 C - (South) Bishopthorpe Roa")&amp;":"&amp;ADDRESS(130,3+18*2+(2))),'J1 C - (South) Bishopthorpe Roa'!$A$12:$A$130,"&gt;="&amp;Diagram!$O6,'J1 C - (South) Bishopthorpe Roa'!$A$12:$A$130,"&lt;"&amp;Diagram!$P6),SUMIFS(INDIRECT(ADDRESS(12,3+18*2+(10),,,"J1 C - (South) Bishopthorpe Roa")&amp;":"&amp;ADDRESS(130,3+18*2+(10))),'J1 C - (South) Bishopthorpe Roa'!$A$12:$A$130,"&gt;="&amp;Diagram!$O6,'J1 C - (South) Bishopthorpe Roa'!$A$12:$A$130,"&lt;"&amp;Diagram!$P6)))</f>
        <v>0</v>
      </c>
      <c r="BK6" s="42">
        <f ca="1">IF(OR($I$10="",$O6="",$P6="",$J$37&lt;&gt;"Yes"),0,IF($K$10=0,SUMIFS(INDIRECT(ADDRESS(12,3+18*3+(2),,,"J1 C - (South) Bishopthorpe Roa")&amp;":"&amp;ADDRESS(130,3+18*3+(2))),'J1 C - (South) Bishopthorpe Roa'!$A$12:$A$130,"&gt;="&amp;Diagram!$O6,'J1 C - (South) Bishopthorpe Roa'!$A$12:$A$130,"&lt;"&amp;Diagram!$P6),SUMIFS(INDIRECT(ADDRESS(12,3+18*3+(10),,,"J1 C - (South) Bishopthorpe Roa")&amp;":"&amp;ADDRESS(130,3+18*3+(10))),'J1 C - (South) Bishopthorpe Roa'!$A$12:$A$130,"&gt;="&amp;Diagram!$O6,'J1 C - (South) Bishopthorpe Roa'!$A$12:$A$130,"&lt;"&amp;Diagram!$P6)))</f>
        <v>0</v>
      </c>
      <c r="BL6" s="42">
        <f ca="1">IF(OR($I$10="",$O6="",$P6="",$J$37&lt;&gt;"Yes"),0,IF($K$10=0,SUMIFS(INDIRECT(ADDRESS(12,3+18*0+(2),,,"J1 C - (South) Bishopthorpe Roa")&amp;":"&amp;ADDRESS(130,3+18*0+(2))),'J1 C - (South) Bishopthorpe Roa'!$A$12:$A$130,"&gt;="&amp;Diagram!$O6,'J1 C - (South) Bishopthorpe Roa'!$A$12:$A$130,"&lt;"&amp;Diagram!$P6),SUMIFS(INDIRECT(ADDRESS(12,3+18*0+(10),,,"J1 C - (South) Bishopthorpe Roa")&amp;":"&amp;ADDRESS(130,3+18*0+(10))),'J1 C - (South) Bishopthorpe Roa'!$A$12:$A$130,"&gt;="&amp;Diagram!$O6,'J1 C - (South) Bishopthorpe Roa'!$A$12:$A$130,"&lt;"&amp;Diagram!$P6)))</f>
        <v>0</v>
      </c>
      <c r="BM6" s="42">
        <f ca="1">IF(OR($I$10="",$O6="",$P6="",$J$37&lt;&gt;"Yes"),0,IF($K$10=0,SUMIFS(INDIRECT(ADDRESS(12,3+18*0+(2),,,"J1 D - South Bank Avenue")&amp;":"&amp;ADDRESS(130,3+18*0+(2))),'J1 D - South Bank Avenue'!$A$12:$A$130,"&gt;="&amp;Diagram!$O6,'J1 D - South Bank Avenue'!$A$12:$A$130,"&lt;"&amp;Diagram!$P6),SUMIFS(INDIRECT(ADDRESS(12,3+18*0+(10),,,"J1 D - South Bank Avenue")&amp;":"&amp;ADDRESS(130,3+18*0+(10))),'J1 D - South Bank Avenue'!$A$12:$A$130,"&gt;="&amp;Diagram!$O6,'J1 D - South Bank Avenue'!$A$12:$A$130,"&lt;"&amp;Diagram!$P6)))</f>
        <v>0</v>
      </c>
      <c r="BN6" s="42">
        <f ca="1">IF(OR($I$10="",$O6="",$P6="",$J$37&lt;&gt;"Yes"),0,IF($K$10=0,SUMIFS(INDIRECT(ADDRESS(12,3+18*1+(2),,,"J1 D - South Bank Avenue")&amp;":"&amp;ADDRESS(130,3+18*1+(2))),'J1 D - South Bank Avenue'!$A$12:$A$130,"&gt;="&amp;Diagram!$O6,'J1 D - South Bank Avenue'!$A$12:$A$130,"&lt;"&amp;Diagram!$P6),SUMIFS(INDIRECT(ADDRESS(12,3+18*1+(10),,,"J1 D - South Bank Avenue")&amp;":"&amp;ADDRESS(130,3+18*1+(10))),'J1 D - South Bank Avenue'!$A$12:$A$130,"&gt;="&amp;Diagram!$O6,'J1 D - South Bank Avenue'!$A$12:$A$130,"&lt;"&amp;Diagram!$P6)))</f>
        <v>0</v>
      </c>
      <c r="BO6" s="42">
        <f ca="1">IF(OR($I$10="",$O6="",$P6="",$J$37&lt;&gt;"Yes"),0,IF($K$10=0,SUMIFS(INDIRECT(ADDRESS(12,3+18*2+(2),,,"J1 D - South Bank Avenue")&amp;":"&amp;ADDRESS(130,3+18*2+(2))),'J1 D - South Bank Avenue'!$A$12:$A$130,"&gt;="&amp;Diagram!$O6,'J1 D - South Bank Avenue'!$A$12:$A$130,"&lt;"&amp;Diagram!$P6),SUMIFS(INDIRECT(ADDRESS(12,3+18*2+(10),,,"J1 D - South Bank Avenue")&amp;":"&amp;ADDRESS(130,3+18*2+(10))),'J1 D - South Bank Avenue'!$A$12:$A$130,"&gt;="&amp;Diagram!$O6,'J1 D - South Bank Avenue'!$A$12:$A$130,"&lt;"&amp;Diagram!$P6)))</f>
        <v>0</v>
      </c>
      <c r="BP6" s="42">
        <f ca="1">IF(OR($I$10="",$O6="",$P6="",$J$37&lt;&gt;"Yes"),0,IF($K$10=0,SUMIFS(INDIRECT(ADDRESS(12,3+18*3+(2),,,"J1 D - South Bank Avenue")&amp;":"&amp;ADDRESS(130,3+18*3+(2))),'J1 D - South Bank Avenue'!$A$12:$A$130,"&gt;="&amp;Diagram!$O6,'J1 D - South Bank Avenue'!$A$12:$A$130,"&lt;"&amp;Diagram!$P6),SUMIFS(INDIRECT(ADDRESS(12,3+18*3+(10),,,"J1 D - South Bank Avenue")&amp;":"&amp;ADDRESS(130,3+18*3+(10))),'J1 D - South Bank Avenue'!$A$12:$A$130,"&gt;="&amp;Diagram!$O6,'J1 D - South Bank Avenue'!$A$12:$A$130,"&lt;"&amp;Diagram!$P6)))</f>
        <v>0</v>
      </c>
      <c r="BQ6" s="42">
        <f t="shared" ca="1" si="4"/>
        <v>0</v>
      </c>
      <c r="BR6" s="42">
        <f ca="1">IF(OR($I$10="",$O6="",$P6="",$J$38&lt;&gt;"Yes"),0,IF($K$10=0,SUMIFS(INDIRECT(ADDRESS(12,3+18*3+(3),,,"J1 A - (North) Bishopthorpe Roa")&amp;":"&amp;ADDRESS(130,3+18*3+(3))),'J1 A - (North) Bishopthorpe Roa'!$A$12:$A$130,"&gt;="&amp;Diagram!$O6,'J1 A - (North) Bishopthorpe Roa'!$A$12:$A$130,"&lt;"&amp;Diagram!$P6),SUMIFS(INDIRECT(ADDRESS(12,3+18*3+(11),,,"J1 A - (North) Bishopthorpe Roa")&amp;":"&amp;ADDRESS(130,3+18*3+(11))),'J1 A - (North) Bishopthorpe Roa'!$A$12:$A$130,"&gt;="&amp;Diagram!$O6,'J1 A - (North) Bishopthorpe Roa'!$A$12:$A$130,"&lt;"&amp;Diagram!$P6)))</f>
        <v>0</v>
      </c>
      <c r="BS6" s="42">
        <f ca="1">IF(OR($I$10="",$O6="",$P6="",$J$38&lt;&gt;"Yes"),0,IF($K$10=0,SUMIFS(INDIRECT(ADDRESS(12,3+18*0+(3),,,"J1 A - (North) Bishopthorpe Roa")&amp;":"&amp;ADDRESS(130,3+18*0+(3))),'J1 A - (North) Bishopthorpe Roa'!$A$12:$A$130,"&gt;="&amp;Diagram!$O6,'J1 A - (North) Bishopthorpe Roa'!$A$12:$A$130,"&lt;"&amp;Diagram!$P6),SUMIFS(INDIRECT(ADDRESS(12,3+18*0+(11),,,"J1 A - (North) Bishopthorpe Roa")&amp;":"&amp;ADDRESS(130,3+18*0+(11))),'J1 A - (North) Bishopthorpe Roa'!$A$12:$A$130,"&gt;="&amp;Diagram!$O6,'J1 A - (North) Bishopthorpe Roa'!$A$12:$A$130,"&lt;"&amp;Diagram!$P6)))</f>
        <v>0</v>
      </c>
      <c r="BT6" s="42">
        <f ca="1">IF(OR($I$10="",$O6="",$P6="",$J$38&lt;&gt;"Yes"),0,IF($K$10=0,SUMIFS(INDIRECT(ADDRESS(12,3+18*1+(3),,,"J1 A - (North) Bishopthorpe Roa")&amp;":"&amp;ADDRESS(130,3+18*1+(3))),'J1 A - (North) Bishopthorpe Roa'!$A$12:$A$130,"&gt;="&amp;Diagram!$O6,'J1 A - (North) Bishopthorpe Roa'!$A$12:$A$130,"&lt;"&amp;Diagram!$P6),SUMIFS(INDIRECT(ADDRESS(12,3+18*1+(11),,,"J1 A - (North) Bishopthorpe Roa")&amp;":"&amp;ADDRESS(130,3+18*1+(11))),'J1 A - (North) Bishopthorpe Roa'!$A$12:$A$130,"&gt;="&amp;Diagram!$O6,'J1 A - (North) Bishopthorpe Roa'!$A$12:$A$130,"&lt;"&amp;Diagram!$P6)))</f>
        <v>0</v>
      </c>
      <c r="BU6" s="42">
        <f ca="1">IF(OR($I$10="",$O6="",$P6="",$J$38&lt;&gt;"Yes"),0,IF($K$10=0,SUMIFS(INDIRECT(ADDRESS(12,3+18*2+(3),,,"J1 A - (North) Bishopthorpe Roa")&amp;":"&amp;ADDRESS(130,3+18*2+(3))),'J1 A - (North) Bishopthorpe Roa'!$A$12:$A$130,"&gt;="&amp;Diagram!$O6,'J1 A - (North) Bishopthorpe Roa'!$A$12:$A$130,"&lt;"&amp;Diagram!$P6),SUMIFS(INDIRECT(ADDRESS(12,3+18*2+(11),,,"J1 A - (North) Bishopthorpe Roa")&amp;":"&amp;ADDRESS(130,3+18*2+(11))),'J1 A - (North) Bishopthorpe Roa'!$A$12:$A$130,"&gt;="&amp;Diagram!$O6,'J1 A - (North) Bishopthorpe Roa'!$A$12:$A$130,"&lt;"&amp;Diagram!$P6)))</f>
        <v>0</v>
      </c>
      <c r="BV6" s="42">
        <f ca="1">IF(OR($I$10="",$O6="",$P6="",$J$38&lt;&gt;"Yes"),0,IF($K$10=0,SUMIFS(INDIRECT(ADDRESS(12,3+18*2+(3),,,"J1 B - Butcher Terrace")&amp;":"&amp;ADDRESS(130,3+18*2+(3))),'J1 B - Butcher Terrace'!$A$12:$A$130,"&gt;="&amp;Diagram!$O6,'J1 B - Butcher Terrace'!$A$12:$A$130,"&lt;"&amp;Diagram!$P6),SUMIFS(INDIRECT(ADDRESS(12,3+18*2+(11),,,"J1 B - Butcher Terrace")&amp;":"&amp;ADDRESS(130,3+18*2+(11))),'J1 B - Butcher Terrace'!$A$12:$A$130,"&gt;="&amp;Diagram!$O6,'J1 B - Butcher Terrace'!$A$12:$A$130,"&lt;"&amp;Diagram!$P6)))</f>
        <v>0</v>
      </c>
      <c r="BW6" s="42">
        <f ca="1">IF(OR($I$10="",$O6="",$P6="",$J$38&lt;&gt;"Yes"),0,IF($K$10=0,SUMIFS(INDIRECT(ADDRESS(12,3+18*3+(3),,,"J1 B - Butcher Terrace")&amp;":"&amp;ADDRESS(130,3+18*3+(3))),'J1 B - Butcher Terrace'!$A$12:$A$130,"&gt;="&amp;Diagram!$O6,'J1 B - Butcher Terrace'!$A$12:$A$130,"&lt;"&amp;Diagram!$P6),SUMIFS(INDIRECT(ADDRESS(12,3+18*3+(11),,,"J1 B - Butcher Terrace")&amp;":"&amp;ADDRESS(130,3+18*3+(11))),'J1 B - Butcher Terrace'!$A$12:$A$130,"&gt;="&amp;Diagram!$O6,'J1 B - Butcher Terrace'!$A$12:$A$130,"&lt;"&amp;Diagram!$P6)))</f>
        <v>0</v>
      </c>
      <c r="BX6" s="42">
        <f ca="1">IF(OR($I$10="",$O6="",$P6="",$J$38&lt;&gt;"Yes"),0,IF($K$10=0,SUMIFS(INDIRECT(ADDRESS(12,3+18*0+(3),,,"J1 B - Butcher Terrace")&amp;":"&amp;ADDRESS(130,3+18*0+(3))),'J1 B - Butcher Terrace'!$A$12:$A$130,"&gt;="&amp;Diagram!$O6,'J1 B - Butcher Terrace'!$A$12:$A$130,"&lt;"&amp;Diagram!$P6),SUMIFS(INDIRECT(ADDRESS(12,3+18*0+(11),,,"J1 B - Butcher Terrace")&amp;":"&amp;ADDRESS(130,3+18*0+(11))),'J1 B - Butcher Terrace'!$A$12:$A$130,"&gt;="&amp;Diagram!$O6,'J1 B - Butcher Terrace'!$A$12:$A$130,"&lt;"&amp;Diagram!$P6)))</f>
        <v>0</v>
      </c>
      <c r="BY6" s="42">
        <f ca="1">IF(OR($I$10="",$O6="",$P6="",$J$38&lt;&gt;"Yes"),0,IF($K$10=0,SUMIFS(INDIRECT(ADDRESS(12,3+18*1+(3),,,"J1 B - Butcher Terrace")&amp;":"&amp;ADDRESS(130,3+18*1+(3))),'J1 B - Butcher Terrace'!$A$12:$A$130,"&gt;="&amp;Diagram!$O6,'J1 B - Butcher Terrace'!$A$12:$A$130,"&lt;"&amp;Diagram!$P6),SUMIFS(INDIRECT(ADDRESS(12,3+18*1+(11),,,"J1 B - Butcher Terrace")&amp;":"&amp;ADDRESS(130,3+18*1+(11))),'J1 B - Butcher Terrace'!$A$12:$A$130,"&gt;="&amp;Diagram!$O6,'J1 B - Butcher Terrace'!$A$12:$A$130,"&lt;"&amp;Diagram!$P6)))</f>
        <v>0</v>
      </c>
      <c r="BZ6" s="42">
        <f ca="1">IF(OR($I$10="",$O6="",$P6="",$J$38&lt;&gt;"Yes"),0,IF($K$10=0,SUMIFS(INDIRECT(ADDRESS(12,3+18*1+(3),,,"J1 C - (South) Bishopthorpe Roa")&amp;":"&amp;ADDRESS(130,3+18*1+(3))),'J1 C - (South) Bishopthorpe Roa'!$A$12:$A$130,"&gt;="&amp;Diagram!$O6,'J1 C - (South) Bishopthorpe Roa'!$A$12:$A$130,"&lt;"&amp;Diagram!$P6),SUMIFS(INDIRECT(ADDRESS(12,3+18*1+(11),,,"J1 C - (South) Bishopthorpe Roa")&amp;":"&amp;ADDRESS(130,3+18*1+(11))),'J1 C - (South) Bishopthorpe Roa'!$A$12:$A$130,"&gt;="&amp;Diagram!$O6,'J1 C - (South) Bishopthorpe Roa'!$A$12:$A$130,"&lt;"&amp;Diagram!$P6)))</f>
        <v>0</v>
      </c>
      <c r="CA6" s="42">
        <f ca="1">IF(OR($I$10="",$O6="",$P6="",$J$38&lt;&gt;"Yes"),0,IF($K$10=0,SUMIFS(INDIRECT(ADDRESS(12,3+18*2+(3),,,"J1 C - (South) Bishopthorpe Roa")&amp;":"&amp;ADDRESS(130,3+18*2+(3))),'J1 C - (South) Bishopthorpe Roa'!$A$12:$A$130,"&gt;="&amp;Diagram!$O6,'J1 C - (South) Bishopthorpe Roa'!$A$12:$A$130,"&lt;"&amp;Diagram!$P6),SUMIFS(INDIRECT(ADDRESS(12,3+18*2+(11),,,"J1 C - (South) Bishopthorpe Roa")&amp;":"&amp;ADDRESS(130,3+18*2+(11))),'J1 C - (South) Bishopthorpe Roa'!$A$12:$A$130,"&gt;="&amp;Diagram!$O6,'J1 C - (South) Bishopthorpe Roa'!$A$12:$A$130,"&lt;"&amp;Diagram!$P6)))</f>
        <v>0</v>
      </c>
      <c r="CB6" s="42">
        <f ca="1">IF(OR($I$10="",$O6="",$P6="",$J$38&lt;&gt;"Yes"),0,IF($K$10=0,SUMIFS(INDIRECT(ADDRESS(12,3+18*3+(3),,,"J1 C - (South) Bishopthorpe Roa")&amp;":"&amp;ADDRESS(130,3+18*3+(3))),'J1 C - (South) Bishopthorpe Roa'!$A$12:$A$130,"&gt;="&amp;Diagram!$O6,'J1 C - (South) Bishopthorpe Roa'!$A$12:$A$130,"&lt;"&amp;Diagram!$P6),SUMIFS(INDIRECT(ADDRESS(12,3+18*3+(11),,,"J1 C - (South) Bishopthorpe Roa")&amp;":"&amp;ADDRESS(130,3+18*3+(11))),'J1 C - (South) Bishopthorpe Roa'!$A$12:$A$130,"&gt;="&amp;Diagram!$O6,'J1 C - (South) Bishopthorpe Roa'!$A$12:$A$130,"&lt;"&amp;Diagram!$P6)))</f>
        <v>0</v>
      </c>
      <c r="CC6" s="42">
        <f ca="1">IF(OR($I$10="",$O6="",$P6="",$J$38&lt;&gt;"Yes"),0,IF($K$10=0,SUMIFS(INDIRECT(ADDRESS(12,3+18*0+(3),,,"J1 C - (South) Bishopthorpe Roa")&amp;":"&amp;ADDRESS(130,3+18*0+(3))),'J1 C - (South) Bishopthorpe Roa'!$A$12:$A$130,"&gt;="&amp;Diagram!$O6,'J1 C - (South) Bishopthorpe Roa'!$A$12:$A$130,"&lt;"&amp;Diagram!$P6),SUMIFS(INDIRECT(ADDRESS(12,3+18*0+(11),,,"J1 C - (South) Bishopthorpe Roa")&amp;":"&amp;ADDRESS(130,3+18*0+(11))),'J1 C - (South) Bishopthorpe Roa'!$A$12:$A$130,"&gt;="&amp;Diagram!$O6,'J1 C - (South) Bishopthorpe Roa'!$A$12:$A$130,"&lt;"&amp;Diagram!$P6)))</f>
        <v>0</v>
      </c>
      <c r="CD6" s="42">
        <f ca="1">IF(OR($I$10="",$O6="",$P6="",$J$38&lt;&gt;"Yes"),0,IF($K$10=0,SUMIFS(INDIRECT(ADDRESS(12,3+18*0+(3),,,"J1 D - South Bank Avenue")&amp;":"&amp;ADDRESS(130,3+18*0+(3))),'J1 D - South Bank Avenue'!$A$12:$A$130,"&gt;="&amp;Diagram!$O6,'J1 D - South Bank Avenue'!$A$12:$A$130,"&lt;"&amp;Diagram!$P6),SUMIFS(INDIRECT(ADDRESS(12,3+18*0+(11),,,"J1 D - South Bank Avenue")&amp;":"&amp;ADDRESS(130,3+18*0+(11))),'J1 D - South Bank Avenue'!$A$12:$A$130,"&gt;="&amp;Diagram!$O6,'J1 D - South Bank Avenue'!$A$12:$A$130,"&lt;"&amp;Diagram!$P6)))</f>
        <v>0</v>
      </c>
      <c r="CE6" s="42">
        <f ca="1">IF(OR($I$10="",$O6="",$P6="",$J$38&lt;&gt;"Yes"),0,IF($K$10=0,SUMIFS(INDIRECT(ADDRESS(12,3+18*1+(3),,,"J1 D - South Bank Avenue")&amp;":"&amp;ADDRESS(130,3+18*1+(3))),'J1 D - South Bank Avenue'!$A$12:$A$130,"&gt;="&amp;Diagram!$O6,'J1 D - South Bank Avenue'!$A$12:$A$130,"&lt;"&amp;Diagram!$P6),SUMIFS(INDIRECT(ADDRESS(12,3+18*1+(11),,,"J1 D - South Bank Avenue")&amp;":"&amp;ADDRESS(130,3+18*1+(11))),'J1 D - South Bank Avenue'!$A$12:$A$130,"&gt;="&amp;Diagram!$O6,'J1 D - South Bank Avenue'!$A$12:$A$130,"&lt;"&amp;Diagram!$P6)))</f>
        <v>0</v>
      </c>
      <c r="CF6" s="42">
        <f ca="1">IF(OR($I$10="",$O6="",$P6="",$J$38&lt;&gt;"Yes"),0,IF($K$10=0,SUMIFS(INDIRECT(ADDRESS(12,3+18*2+(3),,,"J1 D - South Bank Avenue")&amp;":"&amp;ADDRESS(130,3+18*2+(3))),'J1 D - South Bank Avenue'!$A$12:$A$130,"&gt;="&amp;Diagram!$O6,'J1 D - South Bank Avenue'!$A$12:$A$130,"&lt;"&amp;Diagram!$P6),SUMIFS(INDIRECT(ADDRESS(12,3+18*2+(11),,,"J1 D - South Bank Avenue")&amp;":"&amp;ADDRESS(130,3+18*2+(11))),'J1 D - South Bank Avenue'!$A$12:$A$130,"&gt;="&amp;Diagram!$O6,'J1 D - South Bank Avenue'!$A$12:$A$130,"&lt;"&amp;Diagram!$P6)))</f>
        <v>0</v>
      </c>
      <c r="CG6" s="42">
        <f ca="1">IF(OR($I$10="",$O6="",$P6="",$J$38&lt;&gt;"Yes"),0,IF($K$10=0,SUMIFS(INDIRECT(ADDRESS(12,3+18*3+(3),,,"J1 D - South Bank Avenue")&amp;":"&amp;ADDRESS(130,3+18*3+(3))),'J1 D - South Bank Avenue'!$A$12:$A$130,"&gt;="&amp;Diagram!$O6,'J1 D - South Bank Avenue'!$A$12:$A$130,"&lt;"&amp;Diagram!$P6),SUMIFS(INDIRECT(ADDRESS(12,3+18*3+(11),,,"J1 D - South Bank Avenue")&amp;":"&amp;ADDRESS(130,3+18*3+(11))),'J1 D - South Bank Avenue'!$A$12:$A$130,"&gt;="&amp;Diagram!$O6,'J1 D - South Bank Avenue'!$A$12:$A$130,"&lt;"&amp;Diagram!$P6)))</f>
        <v>0</v>
      </c>
      <c r="CH6" s="42">
        <f t="shared" ca="1" si="5"/>
        <v>0</v>
      </c>
      <c r="CI6" s="42">
        <f ca="1">IF(OR($I$10="",$O6="",$P6="",$J$39&lt;&gt;"Yes"),0,IF($K$10=0,SUMIFS(INDIRECT(ADDRESS(12,3+18*3+(4),,,"J1 A - (North) Bishopthorpe Roa")&amp;":"&amp;ADDRESS(130,3+18*3+(4))),'J1 A - (North) Bishopthorpe Roa'!$A$12:$A$130,"&gt;="&amp;Diagram!$O6,'J1 A - (North) Bishopthorpe Roa'!$A$12:$A$130,"&lt;"&amp;Diagram!$P6),SUMIFS(INDIRECT(ADDRESS(12,3+18*3+(12),,,"J1 A - (North) Bishopthorpe Roa")&amp;":"&amp;ADDRESS(130,3+18*3+(12))),'J1 A - (North) Bishopthorpe Roa'!$A$12:$A$130,"&gt;="&amp;Diagram!$O6,'J1 A - (North) Bishopthorpe Roa'!$A$12:$A$130,"&lt;"&amp;Diagram!$P6)))</f>
        <v>0</v>
      </c>
      <c r="CJ6" s="42">
        <f ca="1">IF(OR($I$10="",$O6="",$P6="",$J$39&lt;&gt;"Yes"),0,IF($K$10=0,SUMIFS(INDIRECT(ADDRESS(12,3+18*0+(4),,,"J1 A - (North) Bishopthorpe Roa")&amp;":"&amp;ADDRESS(130,3+18*0+(4))),'J1 A - (North) Bishopthorpe Roa'!$A$12:$A$130,"&gt;="&amp;Diagram!$O6,'J1 A - (North) Bishopthorpe Roa'!$A$12:$A$130,"&lt;"&amp;Diagram!$P6),SUMIFS(INDIRECT(ADDRESS(12,3+18*0+(12),,,"J1 A - (North) Bishopthorpe Roa")&amp;":"&amp;ADDRESS(130,3+18*0+(12))),'J1 A - (North) Bishopthorpe Roa'!$A$12:$A$130,"&gt;="&amp;Diagram!$O6,'J1 A - (North) Bishopthorpe Roa'!$A$12:$A$130,"&lt;"&amp;Diagram!$P6)))</f>
        <v>0</v>
      </c>
      <c r="CK6" s="42">
        <f ca="1">IF(OR($I$10="",$O6="",$P6="",$J$39&lt;&gt;"Yes"),0,IF($K$10=0,SUMIFS(INDIRECT(ADDRESS(12,3+18*1+(4),,,"J1 A - (North) Bishopthorpe Roa")&amp;":"&amp;ADDRESS(130,3+18*1+(4))),'J1 A - (North) Bishopthorpe Roa'!$A$12:$A$130,"&gt;="&amp;Diagram!$O6,'J1 A - (North) Bishopthorpe Roa'!$A$12:$A$130,"&lt;"&amp;Diagram!$P6),SUMIFS(INDIRECT(ADDRESS(12,3+18*1+(12),,,"J1 A - (North) Bishopthorpe Roa")&amp;":"&amp;ADDRESS(130,3+18*1+(12))),'J1 A - (North) Bishopthorpe Roa'!$A$12:$A$130,"&gt;="&amp;Diagram!$O6,'J1 A - (North) Bishopthorpe Roa'!$A$12:$A$130,"&lt;"&amp;Diagram!$P6)))</f>
        <v>0</v>
      </c>
      <c r="CL6" s="42">
        <f ca="1">IF(OR($I$10="",$O6="",$P6="",$J$39&lt;&gt;"Yes"),0,IF($K$10=0,SUMIFS(INDIRECT(ADDRESS(12,3+18*2+(4),,,"J1 A - (North) Bishopthorpe Roa")&amp;":"&amp;ADDRESS(130,3+18*2+(4))),'J1 A - (North) Bishopthorpe Roa'!$A$12:$A$130,"&gt;="&amp;Diagram!$O6,'J1 A - (North) Bishopthorpe Roa'!$A$12:$A$130,"&lt;"&amp;Diagram!$P6),SUMIFS(INDIRECT(ADDRESS(12,3+18*2+(12),,,"J1 A - (North) Bishopthorpe Roa")&amp;":"&amp;ADDRESS(130,3+18*2+(12))),'J1 A - (North) Bishopthorpe Roa'!$A$12:$A$130,"&gt;="&amp;Diagram!$O6,'J1 A - (North) Bishopthorpe Roa'!$A$12:$A$130,"&lt;"&amp;Diagram!$P6)))</f>
        <v>0</v>
      </c>
      <c r="CM6" s="42">
        <f ca="1">IF(OR($I$10="",$O6="",$P6="",$J$39&lt;&gt;"Yes"),0,IF($K$10=0,SUMIFS(INDIRECT(ADDRESS(12,3+18*2+(4),,,"J1 B - Butcher Terrace")&amp;":"&amp;ADDRESS(130,3+18*2+(4))),'J1 B - Butcher Terrace'!$A$12:$A$130,"&gt;="&amp;Diagram!$O6,'J1 B - Butcher Terrace'!$A$12:$A$130,"&lt;"&amp;Diagram!$P6),SUMIFS(INDIRECT(ADDRESS(12,3+18*2+(12),,,"J1 B - Butcher Terrace")&amp;":"&amp;ADDRESS(130,3+18*2+(12))),'J1 B - Butcher Terrace'!$A$12:$A$130,"&gt;="&amp;Diagram!$O6,'J1 B - Butcher Terrace'!$A$12:$A$130,"&lt;"&amp;Diagram!$P6)))</f>
        <v>0</v>
      </c>
      <c r="CN6" s="42">
        <f ca="1">IF(OR($I$10="",$O6="",$P6="",$J$39&lt;&gt;"Yes"),0,IF($K$10=0,SUMIFS(INDIRECT(ADDRESS(12,3+18*3+(4),,,"J1 B - Butcher Terrace")&amp;":"&amp;ADDRESS(130,3+18*3+(4))),'J1 B - Butcher Terrace'!$A$12:$A$130,"&gt;="&amp;Diagram!$O6,'J1 B - Butcher Terrace'!$A$12:$A$130,"&lt;"&amp;Diagram!$P6),SUMIFS(INDIRECT(ADDRESS(12,3+18*3+(12),,,"J1 B - Butcher Terrace")&amp;":"&amp;ADDRESS(130,3+18*3+(12))),'J1 B - Butcher Terrace'!$A$12:$A$130,"&gt;="&amp;Diagram!$O6,'J1 B - Butcher Terrace'!$A$12:$A$130,"&lt;"&amp;Diagram!$P6)))</f>
        <v>0</v>
      </c>
      <c r="CO6" s="42">
        <f ca="1">IF(OR($I$10="",$O6="",$P6="",$J$39&lt;&gt;"Yes"),0,IF($K$10=0,SUMIFS(INDIRECT(ADDRESS(12,3+18*0+(4),,,"J1 B - Butcher Terrace")&amp;":"&amp;ADDRESS(130,3+18*0+(4))),'J1 B - Butcher Terrace'!$A$12:$A$130,"&gt;="&amp;Diagram!$O6,'J1 B - Butcher Terrace'!$A$12:$A$130,"&lt;"&amp;Diagram!$P6),SUMIFS(INDIRECT(ADDRESS(12,3+18*0+(12),,,"J1 B - Butcher Terrace")&amp;":"&amp;ADDRESS(130,3+18*0+(12))),'J1 B - Butcher Terrace'!$A$12:$A$130,"&gt;="&amp;Diagram!$O6,'J1 B - Butcher Terrace'!$A$12:$A$130,"&lt;"&amp;Diagram!$P6)))</f>
        <v>0</v>
      </c>
      <c r="CP6" s="42">
        <f ca="1">IF(OR($I$10="",$O6="",$P6="",$J$39&lt;&gt;"Yes"),0,IF($K$10=0,SUMIFS(INDIRECT(ADDRESS(12,3+18*1+(4),,,"J1 B - Butcher Terrace")&amp;":"&amp;ADDRESS(130,3+18*1+(4))),'J1 B - Butcher Terrace'!$A$12:$A$130,"&gt;="&amp;Diagram!$O6,'J1 B - Butcher Terrace'!$A$12:$A$130,"&lt;"&amp;Diagram!$P6),SUMIFS(INDIRECT(ADDRESS(12,3+18*1+(12),,,"J1 B - Butcher Terrace")&amp;":"&amp;ADDRESS(130,3+18*1+(12))),'J1 B - Butcher Terrace'!$A$12:$A$130,"&gt;="&amp;Diagram!$O6,'J1 B - Butcher Terrace'!$A$12:$A$130,"&lt;"&amp;Diagram!$P6)))</f>
        <v>0</v>
      </c>
      <c r="CQ6" s="42">
        <f ca="1">IF(OR($I$10="",$O6="",$P6="",$J$39&lt;&gt;"Yes"),0,IF($K$10=0,SUMIFS(INDIRECT(ADDRESS(12,3+18*1+(4),,,"J1 C - (South) Bishopthorpe Roa")&amp;":"&amp;ADDRESS(130,3+18*1+(4))),'J1 C - (South) Bishopthorpe Roa'!$A$12:$A$130,"&gt;="&amp;Diagram!$O6,'J1 C - (South) Bishopthorpe Roa'!$A$12:$A$130,"&lt;"&amp;Diagram!$P6),SUMIFS(INDIRECT(ADDRESS(12,3+18*1+(12),,,"J1 C - (South) Bishopthorpe Roa")&amp;":"&amp;ADDRESS(130,3+18*1+(12))),'J1 C - (South) Bishopthorpe Roa'!$A$12:$A$130,"&gt;="&amp;Diagram!$O6,'J1 C - (South) Bishopthorpe Roa'!$A$12:$A$130,"&lt;"&amp;Diagram!$P6)))</f>
        <v>0</v>
      </c>
      <c r="CR6" s="42">
        <f ca="1">IF(OR($I$10="",$O6="",$P6="",$J$39&lt;&gt;"Yes"),0,IF($K$10=0,SUMIFS(INDIRECT(ADDRESS(12,3+18*2+(4),,,"J1 C - (South) Bishopthorpe Roa")&amp;":"&amp;ADDRESS(130,3+18*2+(4))),'J1 C - (South) Bishopthorpe Roa'!$A$12:$A$130,"&gt;="&amp;Diagram!$O6,'J1 C - (South) Bishopthorpe Roa'!$A$12:$A$130,"&lt;"&amp;Diagram!$P6),SUMIFS(INDIRECT(ADDRESS(12,3+18*2+(12),,,"J1 C - (South) Bishopthorpe Roa")&amp;":"&amp;ADDRESS(130,3+18*2+(12))),'J1 C - (South) Bishopthorpe Roa'!$A$12:$A$130,"&gt;="&amp;Diagram!$O6,'J1 C - (South) Bishopthorpe Roa'!$A$12:$A$130,"&lt;"&amp;Diagram!$P6)))</f>
        <v>0</v>
      </c>
      <c r="CS6" s="42">
        <f ca="1">IF(OR($I$10="",$O6="",$P6="",$J$39&lt;&gt;"Yes"),0,IF($K$10=0,SUMIFS(INDIRECT(ADDRESS(12,3+18*3+(4),,,"J1 C - (South) Bishopthorpe Roa")&amp;":"&amp;ADDRESS(130,3+18*3+(4))),'J1 C - (South) Bishopthorpe Roa'!$A$12:$A$130,"&gt;="&amp;Diagram!$O6,'J1 C - (South) Bishopthorpe Roa'!$A$12:$A$130,"&lt;"&amp;Diagram!$P6),SUMIFS(INDIRECT(ADDRESS(12,3+18*3+(12),,,"J1 C - (South) Bishopthorpe Roa")&amp;":"&amp;ADDRESS(130,3+18*3+(12))),'J1 C - (South) Bishopthorpe Roa'!$A$12:$A$130,"&gt;="&amp;Diagram!$O6,'J1 C - (South) Bishopthorpe Roa'!$A$12:$A$130,"&lt;"&amp;Diagram!$P6)))</f>
        <v>0</v>
      </c>
      <c r="CT6" s="42">
        <f ca="1">IF(OR($I$10="",$O6="",$P6="",$J$39&lt;&gt;"Yes"),0,IF($K$10=0,SUMIFS(INDIRECT(ADDRESS(12,3+18*0+(4),,,"J1 C - (South) Bishopthorpe Roa")&amp;":"&amp;ADDRESS(130,3+18*0+(4))),'J1 C - (South) Bishopthorpe Roa'!$A$12:$A$130,"&gt;="&amp;Diagram!$O6,'J1 C - (South) Bishopthorpe Roa'!$A$12:$A$130,"&lt;"&amp;Diagram!$P6),SUMIFS(INDIRECT(ADDRESS(12,3+18*0+(12),,,"J1 C - (South) Bishopthorpe Roa")&amp;":"&amp;ADDRESS(130,3+18*0+(12))),'J1 C - (South) Bishopthorpe Roa'!$A$12:$A$130,"&gt;="&amp;Diagram!$O6,'J1 C - (South) Bishopthorpe Roa'!$A$12:$A$130,"&lt;"&amp;Diagram!$P6)))</f>
        <v>0</v>
      </c>
      <c r="CU6" s="42">
        <f ca="1">IF(OR($I$10="",$O6="",$P6="",$J$39&lt;&gt;"Yes"),0,IF($K$10=0,SUMIFS(INDIRECT(ADDRESS(12,3+18*0+(4),,,"J1 D - South Bank Avenue")&amp;":"&amp;ADDRESS(130,3+18*0+(4))),'J1 D - South Bank Avenue'!$A$12:$A$130,"&gt;="&amp;Diagram!$O6,'J1 D - South Bank Avenue'!$A$12:$A$130,"&lt;"&amp;Diagram!$P6),SUMIFS(INDIRECT(ADDRESS(12,3+18*0+(12),,,"J1 D - South Bank Avenue")&amp;":"&amp;ADDRESS(130,3+18*0+(12))),'J1 D - South Bank Avenue'!$A$12:$A$130,"&gt;="&amp;Diagram!$O6,'J1 D - South Bank Avenue'!$A$12:$A$130,"&lt;"&amp;Diagram!$P6)))</f>
        <v>0</v>
      </c>
      <c r="CV6" s="42">
        <f ca="1">IF(OR($I$10="",$O6="",$P6="",$J$39&lt;&gt;"Yes"),0,IF($K$10=0,SUMIFS(INDIRECT(ADDRESS(12,3+18*1+(4),,,"J1 D - South Bank Avenue")&amp;":"&amp;ADDRESS(130,3+18*1+(4))),'J1 D - South Bank Avenue'!$A$12:$A$130,"&gt;="&amp;Diagram!$O6,'J1 D - South Bank Avenue'!$A$12:$A$130,"&lt;"&amp;Diagram!$P6),SUMIFS(INDIRECT(ADDRESS(12,3+18*1+(12),,,"J1 D - South Bank Avenue")&amp;":"&amp;ADDRESS(130,3+18*1+(12))),'J1 D - South Bank Avenue'!$A$12:$A$130,"&gt;="&amp;Diagram!$O6,'J1 D - South Bank Avenue'!$A$12:$A$130,"&lt;"&amp;Diagram!$P6)))</f>
        <v>0</v>
      </c>
      <c r="CW6" s="42">
        <f ca="1">IF(OR($I$10="",$O6="",$P6="",$J$39&lt;&gt;"Yes"),0,IF($K$10=0,SUMIFS(INDIRECT(ADDRESS(12,3+18*2+(4),,,"J1 D - South Bank Avenue")&amp;":"&amp;ADDRESS(130,3+18*2+(4))),'J1 D - South Bank Avenue'!$A$12:$A$130,"&gt;="&amp;Diagram!$O6,'J1 D - South Bank Avenue'!$A$12:$A$130,"&lt;"&amp;Diagram!$P6),SUMIFS(INDIRECT(ADDRESS(12,3+18*2+(12),,,"J1 D - South Bank Avenue")&amp;":"&amp;ADDRESS(130,3+18*2+(12))),'J1 D - South Bank Avenue'!$A$12:$A$130,"&gt;="&amp;Diagram!$O6,'J1 D - South Bank Avenue'!$A$12:$A$130,"&lt;"&amp;Diagram!$P6)))</f>
        <v>0</v>
      </c>
      <c r="CX6" s="42">
        <f ca="1">IF(OR($I$10="",$O6="",$P6="",$J$39&lt;&gt;"Yes"),0,IF($K$10=0,SUMIFS(INDIRECT(ADDRESS(12,3+18*3+(4),,,"J1 D - South Bank Avenue")&amp;":"&amp;ADDRESS(130,3+18*3+(4))),'J1 D - South Bank Avenue'!$A$12:$A$130,"&gt;="&amp;Diagram!$O6,'J1 D - South Bank Avenue'!$A$12:$A$130,"&lt;"&amp;Diagram!$P6),SUMIFS(INDIRECT(ADDRESS(12,3+18*3+(12),,,"J1 D - South Bank Avenue")&amp;":"&amp;ADDRESS(130,3+18*3+(12))),'J1 D - South Bank Avenue'!$A$12:$A$130,"&gt;="&amp;Diagram!$O6,'J1 D - South Bank Avenue'!$A$12:$A$130,"&lt;"&amp;Diagram!$P6)))</f>
        <v>0</v>
      </c>
      <c r="CY6" s="42">
        <f t="shared" ca="1" si="6"/>
        <v>1</v>
      </c>
      <c r="CZ6" s="42">
        <f ca="1">IF(OR($I$10="",$O6="",$P6="",$J$40&lt;&gt;"Yes"),0,IF($K$10=0,SUMIFS(INDIRECT(ADDRESS(12,3+18*3+(5),,,"J1 A - (North) Bishopthorpe Roa")&amp;":"&amp;ADDRESS(130,3+18*3+(5))),'J1 A - (North) Bishopthorpe Roa'!$A$12:$A$130,"&gt;="&amp;Diagram!$O6,'J1 A - (North) Bishopthorpe Roa'!$A$12:$A$130,"&lt;"&amp;Diagram!$P6),SUMIFS(INDIRECT(ADDRESS(12,3+18*3+(13),,,"J1 A - (North) Bishopthorpe Roa")&amp;":"&amp;ADDRESS(130,3+18*3+(13))),'J1 A - (North) Bishopthorpe Roa'!$A$12:$A$130,"&gt;="&amp;Diagram!$O6,'J1 A - (North) Bishopthorpe Roa'!$A$12:$A$130,"&lt;"&amp;Diagram!$P6)))</f>
        <v>0</v>
      </c>
      <c r="DA6" s="42">
        <f ca="1">IF(OR($I$10="",$O6="",$P6="",$J$40&lt;&gt;"Yes"),0,IF($K$10=0,SUMIFS(INDIRECT(ADDRESS(12,3+18*0+(5),,,"J1 A - (North) Bishopthorpe Roa")&amp;":"&amp;ADDRESS(130,3+18*0+(5))),'J1 A - (North) Bishopthorpe Roa'!$A$12:$A$130,"&gt;="&amp;Diagram!$O6,'J1 A - (North) Bishopthorpe Roa'!$A$12:$A$130,"&lt;"&amp;Diagram!$P6),SUMIFS(INDIRECT(ADDRESS(12,3+18*0+(13),,,"J1 A - (North) Bishopthorpe Roa")&amp;":"&amp;ADDRESS(130,3+18*0+(13))),'J1 A - (North) Bishopthorpe Roa'!$A$12:$A$130,"&gt;="&amp;Diagram!$O6,'J1 A - (North) Bishopthorpe Roa'!$A$12:$A$130,"&lt;"&amp;Diagram!$P6)))</f>
        <v>0</v>
      </c>
      <c r="DB6" s="42">
        <f ca="1">IF(OR($I$10="",$O6="",$P6="",$J$40&lt;&gt;"Yes"),0,IF($K$10=0,SUMIFS(INDIRECT(ADDRESS(12,3+18*1+(5),,,"J1 A - (North) Bishopthorpe Roa")&amp;":"&amp;ADDRESS(130,3+18*1+(5))),'J1 A - (North) Bishopthorpe Roa'!$A$12:$A$130,"&gt;="&amp;Diagram!$O6,'J1 A - (North) Bishopthorpe Roa'!$A$12:$A$130,"&lt;"&amp;Diagram!$P6),SUMIFS(INDIRECT(ADDRESS(12,3+18*1+(13),,,"J1 A - (North) Bishopthorpe Roa")&amp;":"&amp;ADDRESS(130,3+18*1+(13))),'J1 A - (North) Bishopthorpe Roa'!$A$12:$A$130,"&gt;="&amp;Diagram!$O6,'J1 A - (North) Bishopthorpe Roa'!$A$12:$A$130,"&lt;"&amp;Diagram!$P6)))</f>
        <v>0</v>
      </c>
      <c r="DC6" s="42">
        <f ca="1">IF(OR($I$10="",$O6="",$P6="",$J$40&lt;&gt;"Yes"),0,IF($K$10=0,SUMIFS(INDIRECT(ADDRESS(12,3+18*2+(5),,,"J1 A - (North) Bishopthorpe Roa")&amp;":"&amp;ADDRESS(130,3+18*2+(5))),'J1 A - (North) Bishopthorpe Roa'!$A$12:$A$130,"&gt;="&amp;Diagram!$O6,'J1 A - (North) Bishopthorpe Roa'!$A$12:$A$130,"&lt;"&amp;Diagram!$P6),SUMIFS(INDIRECT(ADDRESS(12,3+18*2+(13),,,"J1 A - (North) Bishopthorpe Roa")&amp;":"&amp;ADDRESS(130,3+18*2+(13))),'J1 A - (North) Bishopthorpe Roa'!$A$12:$A$130,"&gt;="&amp;Diagram!$O6,'J1 A - (North) Bishopthorpe Roa'!$A$12:$A$130,"&lt;"&amp;Diagram!$P6)))</f>
        <v>0</v>
      </c>
      <c r="DD6" s="42">
        <f ca="1">IF(OR($I$10="",$O6="",$P6="",$J$40&lt;&gt;"Yes"),0,IF($K$10=0,SUMIFS(INDIRECT(ADDRESS(12,3+18*2+(5),,,"J1 B - Butcher Terrace")&amp;":"&amp;ADDRESS(130,3+18*2+(5))),'J1 B - Butcher Terrace'!$A$12:$A$130,"&gt;="&amp;Diagram!$O6,'J1 B - Butcher Terrace'!$A$12:$A$130,"&lt;"&amp;Diagram!$P6),SUMIFS(INDIRECT(ADDRESS(12,3+18*2+(13),,,"J1 B - Butcher Terrace")&amp;":"&amp;ADDRESS(130,3+18*2+(13))),'J1 B - Butcher Terrace'!$A$12:$A$130,"&gt;="&amp;Diagram!$O6,'J1 B - Butcher Terrace'!$A$12:$A$130,"&lt;"&amp;Diagram!$P6)))</f>
        <v>0</v>
      </c>
      <c r="DE6" s="42">
        <f ca="1">IF(OR($I$10="",$O6="",$P6="",$J$40&lt;&gt;"Yes"),0,IF($K$10=0,SUMIFS(INDIRECT(ADDRESS(12,3+18*3+(5),,,"J1 B - Butcher Terrace")&amp;":"&amp;ADDRESS(130,3+18*3+(5))),'J1 B - Butcher Terrace'!$A$12:$A$130,"&gt;="&amp;Diagram!$O6,'J1 B - Butcher Terrace'!$A$12:$A$130,"&lt;"&amp;Diagram!$P6),SUMIFS(INDIRECT(ADDRESS(12,3+18*3+(13),,,"J1 B - Butcher Terrace")&amp;":"&amp;ADDRESS(130,3+18*3+(13))),'J1 B - Butcher Terrace'!$A$12:$A$130,"&gt;="&amp;Diagram!$O6,'J1 B - Butcher Terrace'!$A$12:$A$130,"&lt;"&amp;Diagram!$P6)))</f>
        <v>0</v>
      </c>
      <c r="DF6" s="42">
        <f ca="1">IF(OR($I$10="",$O6="",$P6="",$J$40&lt;&gt;"Yes"),0,IF($K$10=0,SUMIFS(INDIRECT(ADDRESS(12,3+18*0+(5),,,"J1 B - Butcher Terrace")&amp;":"&amp;ADDRESS(130,3+18*0+(5))),'J1 B - Butcher Terrace'!$A$12:$A$130,"&gt;="&amp;Diagram!$O6,'J1 B - Butcher Terrace'!$A$12:$A$130,"&lt;"&amp;Diagram!$P6),SUMIFS(INDIRECT(ADDRESS(12,3+18*0+(13),,,"J1 B - Butcher Terrace")&amp;":"&amp;ADDRESS(130,3+18*0+(13))),'J1 B - Butcher Terrace'!$A$12:$A$130,"&gt;="&amp;Diagram!$O6,'J1 B - Butcher Terrace'!$A$12:$A$130,"&lt;"&amp;Diagram!$P6)))</f>
        <v>0</v>
      </c>
      <c r="DG6" s="42">
        <f ca="1">IF(OR($I$10="",$O6="",$P6="",$J$40&lt;&gt;"Yes"),0,IF($K$10=0,SUMIFS(INDIRECT(ADDRESS(12,3+18*1+(5),,,"J1 B - Butcher Terrace")&amp;":"&amp;ADDRESS(130,3+18*1+(5))),'J1 B - Butcher Terrace'!$A$12:$A$130,"&gt;="&amp;Diagram!$O6,'J1 B - Butcher Terrace'!$A$12:$A$130,"&lt;"&amp;Diagram!$P6),SUMIFS(INDIRECT(ADDRESS(12,3+18*1+(13),,,"J1 B - Butcher Terrace")&amp;":"&amp;ADDRESS(130,3+18*1+(13))),'J1 B - Butcher Terrace'!$A$12:$A$130,"&gt;="&amp;Diagram!$O6,'J1 B - Butcher Terrace'!$A$12:$A$130,"&lt;"&amp;Diagram!$P6)))</f>
        <v>1</v>
      </c>
      <c r="DH6" s="42">
        <f ca="1">IF(OR($I$10="",$O6="",$P6="",$J$40&lt;&gt;"Yes"),0,IF($K$10=0,SUMIFS(INDIRECT(ADDRESS(12,3+18*1+(5),,,"J1 C - (South) Bishopthorpe Roa")&amp;":"&amp;ADDRESS(130,3+18*1+(5))),'J1 C - (South) Bishopthorpe Roa'!$A$12:$A$130,"&gt;="&amp;Diagram!$O6,'J1 C - (South) Bishopthorpe Roa'!$A$12:$A$130,"&lt;"&amp;Diagram!$P6),SUMIFS(INDIRECT(ADDRESS(12,3+18*1+(13),,,"J1 C - (South) Bishopthorpe Roa")&amp;":"&amp;ADDRESS(130,3+18*1+(13))),'J1 C - (South) Bishopthorpe Roa'!$A$12:$A$130,"&gt;="&amp;Diagram!$O6,'J1 C - (South) Bishopthorpe Roa'!$A$12:$A$130,"&lt;"&amp;Diagram!$P6)))</f>
        <v>0</v>
      </c>
      <c r="DI6" s="42">
        <f ca="1">IF(OR($I$10="",$O6="",$P6="",$J$40&lt;&gt;"Yes"),0,IF($K$10=0,SUMIFS(INDIRECT(ADDRESS(12,3+18*2+(5),,,"J1 C - (South) Bishopthorpe Roa")&amp;":"&amp;ADDRESS(130,3+18*2+(5))),'J1 C - (South) Bishopthorpe Roa'!$A$12:$A$130,"&gt;="&amp;Diagram!$O6,'J1 C - (South) Bishopthorpe Roa'!$A$12:$A$130,"&lt;"&amp;Diagram!$P6),SUMIFS(INDIRECT(ADDRESS(12,3+18*2+(13),,,"J1 C - (South) Bishopthorpe Roa")&amp;":"&amp;ADDRESS(130,3+18*2+(13))),'J1 C - (South) Bishopthorpe Roa'!$A$12:$A$130,"&gt;="&amp;Diagram!$O6,'J1 C - (South) Bishopthorpe Roa'!$A$12:$A$130,"&lt;"&amp;Diagram!$P6)))</f>
        <v>0</v>
      </c>
      <c r="DJ6" s="42">
        <f ca="1">IF(OR($I$10="",$O6="",$P6="",$J$40&lt;&gt;"Yes"),0,IF($K$10=0,SUMIFS(INDIRECT(ADDRESS(12,3+18*3+(5),,,"J1 C - (South) Bishopthorpe Roa")&amp;":"&amp;ADDRESS(130,3+18*3+(5))),'J1 C - (South) Bishopthorpe Roa'!$A$12:$A$130,"&gt;="&amp;Diagram!$O6,'J1 C - (South) Bishopthorpe Roa'!$A$12:$A$130,"&lt;"&amp;Diagram!$P6),SUMIFS(INDIRECT(ADDRESS(12,3+18*3+(13),,,"J1 C - (South) Bishopthorpe Roa")&amp;":"&amp;ADDRESS(130,3+18*3+(13))),'J1 C - (South) Bishopthorpe Roa'!$A$12:$A$130,"&gt;="&amp;Diagram!$O6,'J1 C - (South) Bishopthorpe Roa'!$A$12:$A$130,"&lt;"&amp;Diagram!$P6)))</f>
        <v>0</v>
      </c>
      <c r="DK6" s="42">
        <f ca="1">IF(OR($I$10="",$O6="",$P6="",$J$40&lt;&gt;"Yes"),0,IF($K$10=0,SUMIFS(INDIRECT(ADDRESS(12,3+18*0+(5),,,"J1 C - (South) Bishopthorpe Roa")&amp;":"&amp;ADDRESS(130,3+18*0+(5))),'J1 C - (South) Bishopthorpe Roa'!$A$12:$A$130,"&gt;="&amp;Diagram!$O6,'J1 C - (South) Bishopthorpe Roa'!$A$12:$A$130,"&lt;"&amp;Diagram!$P6),SUMIFS(INDIRECT(ADDRESS(12,3+18*0+(13),,,"J1 C - (South) Bishopthorpe Roa")&amp;":"&amp;ADDRESS(130,3+18*0+(13))),'J1 C - (South) Bishopthorpe Roa'!$A$12:$A$130,"&gt;="&amp;Diagram!$O6,'J1 C - (South) Bishopthorpe Roa'!$A$12:$A$130,"&lt;"&amp;Diagram!$P6)))</f>
        <v>0</v>
      </c>
      <c r="DL6" s="42">
        <f ca="1">IF(OR($I$10="",$O6="",$P6="",$J$40&lt;&gt;"Yes"),0,IF($K$10=0,SUMIFS(INDIRECT(ADDRESS(12,3+18*0+(5),,,"J1 D - South Bank Avenue")&amp;":"&amp;ADDRESS(130,3+18*0+(5))),'J1 D - South Bank Avenue'!$A$12:$A$130,"&gt;="&amp;Diagram!$O6,'J1 D - South Bank Avenue'!$A$12:$A$130,"&lt;"&amp;Diagram!$P6),SUMIFS(INDIRECT(ADDRESS(12,3+18*0+(13),,,"J1 D - South Bank Avenue")&amp;":"&amp;ADDRESS(130,3+18*0+(13))),'J1 D - South Bank Avenue'!$A$12:$A$130,"&gt;="&amp;Diagram!$O6,'J1 D - South Bank Avenue'!$A$12:$A$130,"&lt;"&amp;Diagram!$P6)))</f>
        <v>0</v>
      </c>
      <c r="DM6" s="42">
        <f ca="1">IF(OR($I$10="",$O6="",$P6="",$J$40&lt;&gt;"Yes"),0,IF($K$10=0,SUMIFS(INDIRECT(ADDRESS(12,3+18*1+(5),,,"J1 D - South Bank Avenue")&amp;":"&amp;ADDRESS(130,3+18*1+(5))),'J1 D - South Bank Avenue'!$A$12:$A$130,"&gt;="&amp;Diagram!$O6,'J1 D - South Bank Avenue'!$A$12:$A$130,"&lt;"&amp;Diagram!$P6),SUMIFS(INDIRECT(ADDRESS(12,3+18*1+(13),,,"J1 D - South Bank Avenue")&amp;":"&amp;ADDRESS(130,3+18*1+(13))),'J1 D - South Bank Avenue'!$A$12:$A$130,"&gt;="&amp;Diagram!$O6,'J1 D - South Bank Avenue'!$A$12:$A$130,"&lt;"&amp;Diagram!$P6)))</f>
        <v>0</v>
      </c>
      <c r="DN6" s="42">
        <f ca="1">IF(OR($I$10="",$O6="",$P6="",$J$40&lt;&gt;"Yes"),0,IF($K$10=0,SUMIFS(INDIRECT(ADDRESS(12,3+18*2+(5),,,"J1 D - South Bank Avenue")&amp;":"&amp;ADDRESS(130,3+18*2+(5))),'J1 D - South Bank Avenue'!$A$12:$A$130,"&gt;="&amp;Diagram!$O6,'J1 D - South Bank Avenue'!$A$12:$A$130,"&lt;"&amp;Diagram!$P6),SUMIFS(INDIRECT(ADDRESS(12,3+18*2+(13),,,"J1 D - South Bank Avenue")&amp;":"&amp;ADDRESS(130,3+18*2+(13))),'J1 D - South Bank Avenue'!$A$12:$A$130,"&gt;="&amp;Diagram!$O6,'J1 D - South Bank Avenue'!$A$12:$A$130,"&lt;"&amp;Diagram!$P6)))</f>
        <v>0</v>
      </c>
      <c r="DO6" s="42">
        <f ca="1">IF(OR($I$10="",$O6="",$P6="",$J$40&lt;&gt;"Yes"),0,IF($K$10=0,SUMIFS(INDIRECT(ADDRESS(12,3+18*3+(5),,,"J1 D - South Bank Avenue")&amp;":"&amp;ADDRESS(130,3+18*3+(5))),'J1 D - South Bank Avenue'!$A$12:$A$130,"&gt;="&amp;Diagram!$O6,'J1 D - South Bank Avenue'!$A$12:$A$130,"&lt;"&amp;Diagram!$P6),SUMIFS(INDIRECT(ADDRESS(12,3+18*3+(13),,,"J1 D - South Bank Avenue")&amp;":"&amp;ADDRESS(130,3+18*3+(13))),'J1 D - South Bank Avenue'!$A$12:$A$130,"&gt;="&amp;Diagram!$O6,'J1 D - South Bank Avenue'!$A$12:$A$130,"&lt;"&amp;Diagram!$P6)))</f>
        <v>0</v>
      </c>
      <c r="DP6" s="42">
        <f t="shared" ca="1" si="7"/>
        <v>0</v>
      </c>
      <c r="DQ6" s="42">
        <f ca="1">IF(OR($I$10="",$O6="",$P6="",$J$41&lt;&gt;"Yes"),0,IF($K$10=0,SUMIFS(INDIRECT(ADDRESS(12,3+18*3+(6),,,"J1 A - (North) Bishopthorpe Roa")&amp;":"&amp;ADDRESS(130,3+18*3+(6))),'J1 A - (North) Bishopthorpe Roa'!$A$12:$A$130,"&gt;="&amp;Diagram!$O6,'J1 A - (North) Bishopthorpe Roa'!$A$12:$A$130,"&lt;"&amp;Diagram!$P6),SUMIFS(INDIRECT(ADDRESS(12,3+18*3+(14),,,"J1 A - (North) Bishopthorpe Roa")&amp;":"&amp;ADDRESS(130,3+18*3+(14))),'J1 A - (North) Bishopthorpe Roa'!$A$12:$A$130,"&gt;="&amp;Diagram!$O6,'J1 A - (North) Bishopthorpe Roa'!$A$12:$A$130,"&lt;"&amp;Diagram!$P6)))</f>
        <v>0</v>
      </c>
      <c r="DR6" s="42">
        <f ca="1">IF(OR($I$10="",$O6="",$P6="",$J$41&lt;&gt;"Yes"),0,IF($K$10=0,SUMIFS(INDIRECT(ADDRESS(12,3+18*0+(6),,,"J1 A - (North) Bishopthorpe Roa")&amp;":"&amp;ADDRESS(130,3+18*0+(6))),'J1 A - (North) Bishopthorpe Roa'!$A$12:$A$130,"&gt;="&amp;Diagram!$O6,'J1 A - (North) Bishopthorpe Roa'!$A$12:$A$130,"&lt;"&amp;Diagram!$P6),SUMIFS(INDIRECT(ADDRESS(12,3+18*0+(14),,,"J1 A - (North) Bishopthorpe Roa")&amp;":"&amp;ADDRESS(130,3+18*0+(14))),'J1 A - (North) Bishopthorpe Roa'!$A$12:$A$130,"&gt;="&amp;Diagram!$O6,'J1 A - (North) Bishopthorpe Roa'!$A$12:$A$130,"&lt;"&amp;Diagram!$P6)))</f>
        <v>0</v>
      </c>
      <c r="DS6" s="42">
        <f ca="1">IF(OR($I$10="",$O6="",$P6="",$J$41&lt;&gt;"Yes"),0,IF($K$10=0,SUMIFS(INDIRECT(ADDRESS(12,3+18*1+(6),,,"J1 A - (North) Bishopthorpe Roa")&amp;":"&amp;ADDRESS(130,3+18*1+(6))),'J1 A - (North) Bishopthorpe Roa'!$A$12:$A$130,"&gt;="&amp;Diagram!$O6,'J1 A - (North) Bishopthorpe Roa'!$A$12:$A$130,"&lt;"&amp;Diagram!$P6),SUMIFS(INDIRECT(ADDRESS(12,3+18*1+(14),,,"J1 A - (North) Bishopthorpe Roa")&amp;":"&amp;ADDRESS(130,3+18*1+(14))),'J1 A - (North) Bishopthorpe Roa'!$A$12:$A$130,"&gt;="&amp;Diagram!$O6,'J1 A - (North) Bishopthorpe Roa'!$A$12:$A$130,"&lt;"&amp;Diagram!$P6)))</f>
        <v>0</v>
      </c>
      <c r="DT6" s="42">
        <f ca="1">IF(OR($I$10="",$O6="",$P6="",$J$41&lt;&gt;"Yes"),0,IF($K$10=0,SUMIFS(INDIRECT(ADDRESS(12,3+18*2+(6),,,"J1 A - (North) Bishopthorpe Roa")&amp;":"&amp;ADDRESS(130,3+18*2+(6))),'J1 A - (North) Bishopthorpe Roa'!$A$12:$A$130,"&gt;="&amp;Diagram!$O6,'J1 A - (North) Bishopthorpe Roa'!$A$12:$A$130,"&lt;"&amp;Diagram!$P6),SUMIFS(INDIRECT(ADDRESS(12,3+18*2+(14),,,"J1 A - (North) Bishopthorpe Roa")&amp;":"&amp;ADDRESS(130,3+18*2+(14))),'J1 A - (North) Bishopthorpe Roa'!$A$12:$A$130,"&gt;="&amp;Diagram!$O6,'J1 A - (North) Bishopthorpe Roa'!$A$12:$A$130,"&lt;"&amp;Diagram!$P6)))</f>
        <v>0</v>
      </c>
      <c r="DU6" s="42">
        <f ca="1">IF(OR($I$10="",$O6="",$P6="",$J$41&lt;&gt;"Yes"),0,IF($K$10=0,SUMIFS(INDIRECT(ADDRESS(12,3+18*2+(6),,,"J1 B - Butcher Terrace")&amp;":"&amp;ADDRESS(130,3+18*2+(6))),'J1 B - Butcher Terrace'!$A$12:$A$130,"&gt;="&amp;Diagram!$O6,'J1 B - Butcher Terrace'!$A$12:$A$130,"&lt;"&amp;Diagram!$P6),SUMIFS(INDIRECT(ADDRESS(12,3+18*2+(14),,,"J1 B - Butcher Terrace")&amp;":"&amp;ADDRESS(130,3+18*2+(14))),'J1 B - Butcher Terrace'!$A$12:$A$130,"&gt;="&amp;Diagram!$O6,'J1 B - Butcher Terrace'!$A$12:$A$130,"&lt;"&amp;Diagram!$P6)))</f>
        <v>0</v>
      </c>
      <c r="DV6" s="42">
        <f ca="1">IF(OR($I$10="",$O6="",$P6="",$J$41&lt;&gt;"Yes"),0,IF($K$10=0,SUMIFS(INDIRECT(ADDRESS(12,3+18*3+(6),,,"J1 B - Butcher Terrace")&amp;":"&amp;ADDRESS(130,3+18*3+(6))),'J1 B - Butcher Terrace'!$A$12:$A$130,"&gt;="&amp;Diagram!$O6,'J1 B - Butcher Terrace'!$A$12:$A$130,"&lt;"&amp;Diagram!$P6),SUMIFS(INDIRECT(ADDRESS(12,3+18*3+(14),,,"J1 B - Butcher Terrace")&amp;":"&amp;ADDRESS(130,3+18*3+(14))),'J1 B - Butcher Terrace'!$A$12:$A$130,"&gt;="&amp;Diagram!$O6,'J1 B - Butcher Terrace'!$A$12:$A$130,"&lt;"&amp;Diagram!$P6)))</f>
        <v>0</v>
      </c>
      <c r="DW6" s="42">
        <f ca="1">IF(OR($I$10="",$O6="",$P6="",$J$41&lt;&gt;"Yes"),0,IF($K$10=0,SUMIFS(INDIRECT(ADDRESS(12,3+18*0+(6),,,"J1 B - Butcher Terrace")&amp;":"&amp;ADDRESS(130,3+18*0+(6))),'J1 B - Butcher Terrace'!$A$12:$A$130,"&gt;="&amp;Diagram!$O6,'J1 B - Butcher Terrace'!$A$12:$A$130,"&lt;"&amp;Diagram!$P6),SUMIFS(INDIRECT(ADDRESS(12,3+18*0+(14),,,"J1 B - Butcher Terrace")&amp;":"&amp;ADDRESS(130,3+18*0+(14))),'J1 B - Butcher Terrace'!$A$12:$A$130,"&gt;="&amp;Diagram!$O6,'J1 B - Butcher Terrace'!$A$12:$A$130,"&lt;"&amp;Diagram!$P6)))</f>
        <v>0</v>
      </c>
      <c r="DX6" s="42">
        <f ca="1">IF(OR($I$10="",$O6="",$P6="",$J$41&lt;&gt;"Yes"),0,IF($K$10=0,SUMIFS(INDIRECT(ADDRESS(12,3+18*1+(6),,,"J1 B - Butcher Terrace")&amp;":"&amp;ADDRESS(130,3+18*1+(6))),'J1 B - Butcher Terrace'!$A$12:$A$130,"&gt;="&amp;Diagram!$O6,'J1 B - Butcher Terrace'!$A$12:$A$130,"&lt;"&amp;Diagram!$P6),SUMIFS(INDIRECT(ADDRESS(12,3+18*1+(14),,,"J1 B - Butcher Terrace")&amp;":"&amp;ADDRESS(130,3+18*1+(14))),'J1 B - Butcher Terrace'!$A$12:$A$130,"&gt;="&amp;Diagram!$O6,'J1 B - Butcher Terrace'!$A$12:$A$130,"&lt;"&amp;Diagram!$P6)))</f>
        <v>0</v>
      </c>
      <c r="DY6" s="42">
        <f ca="1">IF(OR($I$10="",$O6="",$P6="",$J$41&lt;&gt;"Yes"),0,IF($K$10=0,SUMIFS(INDIRECT(ADDRESS(12,3+18*1+(6),,,"J1 C - (South) Bishopthorpe Roa")&amp;":"&amp;ADDRESS(130,3+18*1+(6))),'J1 C - (South) Bishopthorpe Roa'!$A$12:$A$130,"&gt;="&amp;Diagram!$O6,'J1 C - (South) Bishopthorpe Roa'!$A$12:$A$130,"&lt;"&amp;Diagram!$P6),SUMIFS(INDIRECT(ADDRESS(12,3+18*1+(14),,,"J1 C - (South) Bishopthorpe Roa")&amp;":"&amp;ADDRESS(130,3+18*1+(14))),'J1 C - (South) Bishopthorpe Roa'!$A$12:$A$130,"&gt;="&amp;Diagram!$O6,'J1 C - (South) Bishopthorpe Roa'!$A$12:$A$130,"&lt;"&amp;Diagram!$P6)))</f>
        <v>0</v>
      </c>
      <c r="DZ6" s="42">
        <f ca="1">IF(OR($I$10="",$O6="",$P6="",$J$41&lt;&gt;"Yes"),0,IF($K$10=0,SUMIFS(INDIRECT(ADDRESS(12,3+18*2+(6),,,"J1 C - (South) Bishopthorpe Roa")&amp;":"&amp;ADDRESS(130,3+18*2+(6))),'J1 C - (South) Bishopthorpe Roa'!$A$12:$A$130,"&gt;="&amp;Diagram!$O6,'J1 C - (South) Bishopthorpe Roa'!$A$12:$A$130,"&lt;"&amp;Diagram!$P6),SUMIFS(INDIRECT(ADDRESS(12,3+18*2+(14),,,"J1 C - (South) Bishopthorpe Roa")&amp;":"&amp;ADDRESS(130,3+18*2+(14))),'J1 C - (South) Bishopthorpe Roa'!$A$12:$A$130,"&gt;="&amp;Diagram!$O6,'J1 C - (South) Bishopthorpe Roa'!$A$12:$A$130,"&lt;"&amp;Diagram!$P6)))</f>
        <v>0</v>
      </c>
      <c r="EA6" s="42">
        <f ca="1">IF(OR($I$10="",$O6="",$P6="",$J$41&lt;&gt;"Yes"),0,IF($K$10=0,SUMIFS(INDIRECT(ADDRESS(12,3+18*3+(6),,,"J1 C - (South) Bishopthorpe Roa")&amp;":"&amp;ADDRESS(130,3+18*3+(6))),'J1 C - (South) Bishopthorpe Roa'!$A$12:$A$130,"&gt;="&amp;Diagram!$O6,'J1 C - (South) Bishopthorpe Roa'!$A$12:$A$130,"&lt;"&amp;Diagram!$P6),SUMIFS(INDIRECT(ADDRESS(12,3+18*3+(14),,,"J1 C - (South) Bishopthorpe Roa")&amp;":"&amp;ADDRESS(130,3+18*3+(14))),'J1 C - (South) Bishopthorpe Roa'!$A$12:$A$130,"&gt;="&amp;Diagram!$O6,'J1 C - (South) Bishopthorpe Roa'!$A$12:$A$130,"&lt;"&amp;Diagram!$P6)))</f>
        <v>0</v>
      </c>
      <c r="EB6" s="42">
        <f ca="1">IF(OR($I$10="",$O6="",$P6="",$J$41&lt;&gt;"Yes"),0,IF($K$10=0,SUMIFS(INDIRECT(ADDRESS(12,3+18*0+(6),,,"J1 C - (South) Bishopthorpe Roa")&amp;":"&amp;ADDRESS(130,3+18*0+(6))),'J1 C - (South) Bishopthorpe Roa'!$A$12:$A$130,"&gt;="&amp;Diagram!$O6,'J1 C - (South) Bishopthorpe Roa'!$A$12:$A$130,"&lt;"&amp;Diagram!$P6),SUMIFS(INDIRECT(ADDRESS(12,3+18*0+(14),,,"J1 C - (South) Bishopthorpe Roa")&amp;":"&amp;ADDRESS(130,3+18*0+(14))),'J1 C - (South) Bishopthorpe Roa'!$A$12:$A$130,"&gt;="&amp;Diagram!$O6,'J1 C - (South) Bishopthorpe Roa'!$A$12:$A$130,"&lt;"&amp;Diagram!$P6)))</f>
        <v>0</v>
      </c>
      <c r="EC6" s="42">
        <f ca="1">IF(OR($I$10="",$O6="",$P6="",$J$41&lt;&gt;"Yes"),0,IF($K$10=0,SUMIFS(INDIRECT(ADDRESS(12,3+18*0+(6),,,"J1 D - South Bank Avenue")&amp;":"&amp;ADDRESS(130,3+18*0+(6))),'J1 D - South Bank Avenue'!$A$12:$A$130,"&gt;="&amp;Diagram!$O6,'J1 D - South Bank Avenue'!$A$12:$A$130,"&lt;"&amp;Diagram!$P6),SUMIFS(INDIRECT(ADDRESS(12,3+18*0+(14),,,"J1 D - South Bank Avenue")&amp;":"&amp;ADDRESS(130,3+18*0+(14))),'J1 D - South Bank Avenue'!$A$12:$A$130,"&gt;="&amp;Diagram!$O6,'J1 D - South Bank Avenue'!$A$12:$A$130,"&lt;"&amp;Diagram!$P6)))</f>
        <v>0</v>
      </c>
      <c r="ED6" s="42">
        <f ca="1">IF(OR($I$10="",$O6="",$P6="",$J$41&lt;&gt;"Yes"),0,IF($K$10=0,SUMIFS(INDIRECT(ADDRESS(12,3+18*1+(6),,,"J1 D - South Bank Avenue")&amp;":"&amp;ADDRESS(130,3+18*1+(6))),'J1 D - South Bank Avenue'!$A$12:$A$130,"&gt;="&amp;Diagram!$O6,'J1 D - South Bank Avenue'!$A$12:$A$130,"&lt;"&amp;Diagram!$P6),SUMIFS(INDIRECT(ADDRESS(12,3+18*1+(14),,,"J1 D - South Bank Avenue")&amp;":"&amp;ADDRESS(130,3+18*1+(14))),'J1 D - South Bank Avenue'!$A$12:$A$130,"&gt;="&amp;Diagram!$O6,'J1 D - South Bank Avenue'!$A$12:$A$130,"&lt;"&amp;Diagram!$P6)))</f>
        <v>0</v>
      </c>
      <c r="EE6" s="42">
        <f ca="1">IF(OR($I$10="",$O6="",$P6="",$J$41&lt;&gt;"Yes"),0,IF($K$10=0,SUMIFS(INDIRECT(ADDRESS(12,3+18*2+(6),,,"J1 D - South Bank Avenue")&amp;":"&amp;ADDRESS(130,3+18*2+(6))),'J1 D - South Bank Avenue'!$A$12:$A$130,"&gt;="&amp;Diagram!$O6,'J1 D - South Bank Avenue'!$A$12:$A$130,"&lt;"&amp;Diagram!$P6),SUMIFS(INDIRECT(ADDRESS(12,3+18*2+(14),,,"J1 D - South Bank Avenue")&amp;":"&amp;ADDRESS(130,3+18*2+(14))),'J1 D - South Bank Avenue'!$A$12:$A$130,"&gt;="&amp;Diagram!$O6,'J1 D - South Bank Avenue'!$A$12:$A$130,"&lt;"&amp;Diagram!$P6)))</f>
        <v>0</v>
      </c>
      <c r="EF6" s="42">
        <f ca="1">IF(OR($I$10="",$O6="",$P6="",$J$41&lt;&gt;"Yes"),0,IF($K$10=0,SUMIFS(INDIRECT(ADDRESS(12,3+18*3+(6),,,"J1 D - South Bank Avenue")&amp;":"&amp;ADDRESS(130,3+18*3+(6))),'J1 D - South Bank Avenue'!$A$12:$A$130,"&gt;="&amp;Diagram!$O6,'J1 D - South Bank Avenue'!$A$12:$A$130,"&lt;"&amp;Diagram!$P6),SUMIFS(INDIRECT(ADDRESS(12,3+18*3+(14),,,"J1 D - South Bank Avenue")&amp;":"&amp;ADDRESS(130,3+18*3+(14))),'J1 D - South Bank Avenue'!$A$12:$A$130,"&gt;="&amp;Diagram!$O6,'J1 D - South Bank Avenue'!$A$12:$A$130,"&lt;"&amp;Diagram!$P6)))</f>
        <v>0</v>
      </c>
      <c r="EG6" s="42">
        <f t="shared" ca="1" si="8"/>
        <v>0</v>
      </c>
      <c r="EH6" s="42">
        <f ca="1">IF(OR($I$10="",$O6="",$P6="",$J$42&lt;&gt;"Yes"),0,IF($K$10=0,SUMIFS(INDIRECT(ADDRESS(12,3+18*3+(7),,,"J1 A - (North) Bishopthorpe Roa")&amp;":"&amp;ADDRESS(130,3+18*3+(7))),'J1 A - (North) Bishopthorpe Roa'!$A$12:$A$130,"&gt;="&amp;Diagram!$O6,'J1 A - (North) Bishopthorpe Roa'!$A$12:$A$130,"&lt;"&amp;Diagram!$P6),SUMIFS(INDIRECT(ADDRESS(12,3+18*3+(15),,,"J1 A - (North) Bishopthorpe Roa")&amp;":"&amp;ADDRESS(130,3+18*3+(15))),'J1 A - (North) Bishopthorpe Roa'!$A$12:$A$130,"&gt;="&amp;Diagram!$O6,'J1 A - (North) Bishopthorpe Roa'!$A$12:$A$130,"&lt;"&amp;Diagram!$P6)))</f>
        <v>0</v>
      </c>
      <c r="EI6" s="42">
        <f ca="1">IF(OR($I$10="",$O6="",$P6="",$J$42&lt;&gt;"Yes"),0,IF($K$10=0,SUMIFS(INDIRECT(ADDRESS(12,3+18*0+(7),,,"J1 A - (North) Bishopthorpe Roa")&amp;":"&amp;ADDRESS(130,3+18*0+(7))),'J1 A - (North) Bishopthorpe Roa'!$A$12:$A$130,"&gt;="&amp;Diagram!$O6,'J1 A - (North) Bishopthorpe Roa'!$A$12:$A$130,"&lt;"&amp;Diagram!$P6),SUMIFS(INDIRECT(ADDRESS(12,3+18*0+(15),,,"J1 A - (North) Bishopthorpe Roa")&amp;":"&amp;ADDRESS(130,3+18*0+(15))),'J1 A - (North) Bishopthorpe Roa'!$A$12:$A$130,"&gt;="&amp;Diagram!$O6,'J1 A - (North) Bishopthorpe Roa'!$A$12:$A$130,"&lt;"&amp;Diagram!$P6)))</f>
        <v>0</v>
      </c>
      <c r="EJ6" s="42">
        <f ca="1">IF(OR($I$10="",$O6="",$P6="",$J$42&lt;&gt;"Yes"),0,IF($K$10=0,SUMIFS(INDIRECT(ADDRESS(12,3+18*1+(7),,,"J1 A - (North) Bishopthorpe Roa")&amp;":"&amp;ADDRESS(130,3+18*1+(7))),'J1 A - (North) Bishopthorpe Roa'!$A$12:$A$130,"&gt;="&amp;Diagram!$O6,'J1 A - (North) Bishopthorpe Roa'!$A$12:$A$130,"&lt;"&amp;Diagram!$P6),SUMIFS(INDIRECT(ADDRESS(12,3+18*1+(15),,,"J1 A - (North) Bishopthorpe Roa")&amp;":"&amp;ADDRESS(130,3+18*1+(15))),'J1 A - (North) Bishopthorpe Roa'!$A$12:$A$130,"&gt;="&amp;Diagram!$O6,'J1 A - (North) Bishopthorpe Roa'!$A$12:$A$130,"&lt;"&amp;Diagram!$P6)))</f>
        <v>0</v>
      </c>
      <c r="EK6" s="42">
        <f ca="1">IF(OR($I$10="",$O6="",$P6="",$J$42&lt;&gt;"Yes"),0,IF($K$10=0,SUMIFS(INDIRECT(ADDRESS(12,3+18*2+(7),,,"J1 A - (North) Bishopthorpe Roa")&amp;":"&amp;ADDRESS(130,3+18*2+(7))),'J1 A - (North) Bishopthorpe Roa'!$A$12:$A$130,"&gt;="&amp;Diagram!$O6,'J1 A - (North) Bishopthorpe Roa'!$A$12:$A$130,"&lt;"&amp;Diagram!$P6),SUMIFS(INDIRECT(ADDRESS(12,3+18*2+(15),,,"J1 A - (North) Bishopthorpe Roa")&amp;":"&amp;ADDRESS(130,3+18*2+(15))),'J1 A - (North) Bishopthorpe Roa'!$A$12:$A$130,"&gt;="&amp;Diagram!$O6,'J1 A - (North) Bishopthorpe Roa'!$A$12:$A$130,"&lt;"&amp;Diagram!$P6)))</f>
        <v>0</v>
      </c>
      <c r="EL6" s="42">
        <f ca="1">IF(OR($I$10="",$O6="",$P6="",$J$42&lt;&gt;"Yes"),0,IF($K$10=0,SUMIFS(INDIRECT(ADDRESS(12,3+18*2+(7),,,"J1 B - Butcher Terrace")&amp;":"&amp;ADDRESS(130,3+18*2+(7))),'J1 B - Butcher Terrace'!$A$12:$A$130,"&gt;="&amp;Diagram!$O6,'J1 B - Butcher Terrace'!$A$12:$A$130,"&lt;"&amp;Diagram!$P6),SUMIFS(INDIRECT(ADDRESS(12,3+18*2+(15),,,"J1 B - Butcher Terrace")&amp;":"&amp;ADDRESS(130,3+18*2+(15))),'J1 B - Butcher Terrace'!$A$12:$A$130,"&gt;="&amp;Diagram!$O6,'J1 B - Butcher Terrace'!$A$12:$A$130,"&lt;"&amp;Diagram!$P6)))</f>
        <v>0</v>
      </c>
      <c r="EM6" s="42">
        <f ca="1">IF(OR($I$10="",$O6="",$P6="",$J$42&lt;&gt;"Yes"),0,IF($K$10=0,SUMIFS(INDIRECT(ADDRESS(12,3+18*3+(7),,,"J1 B - Butcher Terrace")&amp;":"&amp;ADDRESS(130,3+18*3+(7))),'J1 B - Butcher Terrace'!$A$12:$A$130,"&gt;="&amp;Diagram!$O6,'J1 B - Butcher Terrace'!$A$12:$A$130,"&lt;"&amp;Diagram!$P6),SUMIFS(INDIRECT(ADDRESS(12,3+18*3+(15),,,"J1 B - Butcher Terrace")&amp;":"&amp;ADDRESS(130,3+18*3+(15))),'J1 B - Butcher Terrace'!$A$12:$A$130,"&gt;="&amp;Diagram!$O6,'J1 B - Butcher Terrace'!$A$12:$A$130,"&lt;"&amp;Diagram!$P6)))</f>
        <v>0</v>
      </c>
      <c r="EN6" s="42">
        <f ca="1">IF(OR($I$10="",$O6="",$P6="",$J$42&lt;&gt;"Yes"),0,IF($K$10=0,SUMIFS(INDIRECT(ADDRESS(12,3+18*0+(7),,,"J1 B - Butcher Terrace")&amp;":"&amp;ADDRESS(130,3+18*0+(7))),'J1 B - Butcher Terrace'!$A$12:$A$130,"&gt;="&amp;Diagram!$O6,'J1 B - Butcher Terrace'!$A$12:$A$130,"&lt;"&amp;Diagram!$P6),SUMIFS(INDIRECT(ADDRESS(12,3+18*0+(15),,,"J1 B - Butcher Terrace")&amp;":"&amp;ADDRESS(130,3+18*0+(15))),'J1 B - Butcher Terrace'!$A$12:$A$130,"&gt;="&amp;Diagram!$O6,'J1 B - Butcher Terrace'!$A$12:$A$130,"&lt;"&amp;Diagram!$P6)))</f>
        <v>0</v>
      </c>
      <c r="EO6" s="42">
        <f ca="1">IF(OR($I$10="",$O6="",$P6="",$J$42&lt;&gt;"Yes"),0,IF($K$10=0,SUMIFS(INDIRECT(ADDRESS(12,3+18*1+(7),,,"J1 B - Butcher Terrace")&amp;":"&amp;ADDRESS(130,3+18*1+(7))),'J1 B - Butcher Terrace'!$A$12:$A$130,"&gt;="&amp;Diagram!$O6,'J1 B - Butcher Terrace'!$A$12:$A$130,"&lt;"&amp;Diagram!$P6),SUMIFS(INDIRECT(ADDRESS(12,3+18*1+(15),,,"J1 B - Butcher Terrace")&amp;":"&amp;ADDRESS(130,3+18*1+(15))),'J1 B - Butcher Terrace'!$A$12:$A$130,"&gt;="&amp;Diagram!$O6,'J1 B - Butcher Terrace'!$A$12:$A$130,"&lt;"&amp;Diagram!$P6)))</f>
        <v>0</v>
      </c>
      <c r="EP6" s="42">
        <f ca="1">IF(OR($I$10="",$O6="",$P6="",$J$42&lt;&gt;"Yes"),0,IF($K$10=0,SUMIFS(INDIRECT(ADDRESS(12,3+18*1+(7),,,"J1 C - (South) Bishopthorpe Roa")&amp;":"&amp;ADDRESS(130,3+18*1+(7))),'J1 C - (South) Bishopthorpe Roa'!$A$12:$A$130,"&gt;="&amp;Diagram!$O6,'J1 C - (South) Bishopthorpe Roa'!$A$12:$A$130,"&lt;"&amp;Diagram!$P6),SUMIFS(INDIRECT(ADDRESS(12,3+18*1+(15),,,"J1 C - (South) Bishopthorpe Roa")&amp;":"&amp;ADDRESS(130,3+18*1+(15))),'J1 C - (South) Bishopthorpe Roa'!$A$12:$A$130,"&gt;="&amp;Diagram!$O6,'J1 C - (South) Bishopthorpe Roa'!$A$12:$A$130,"&lt;"&amp;Diagram!$P6)))</f>
        <v>0</v>
      </c>
      <c r="EQ6" s="42">
        <f ca="1">IF(OR($I$10="",$O6="",$P6="",$J$42&lt;&gt;"Yes"),0,IF($K$10=0,SUMIFS(INDIRECT(ADDRESS(12,3+18*2+(7),,,"J1 C - (South) Bishopthorpe Roa")&amp;":"&amp;ADDRESS(130,3+18*2+(7))),'J1 C - (South) Bishopthorpe Roa'!$A$12:$A$130,"&gt;="&amp;Diagram!$O6,'J1 C - (South) Bishopthorpe Roa'!$A$12:$A$130,"&lt;"&amp;Diagram!$P6),SUMIFS(INDIRECT(ADDRESS(12,3+18*2+(15),,,"J1 C - (South) Bishopthorpe Roa")&amp;":"&amp;ADDRESS(130,3+18*2+(15))),'J1 C - (South) Bishopthorpe Roa'!$A$12:$A$130,"&gt;="&amp;Diagram!$O6,'J1 C - (South) Bishopthorpe Roa'!$A$12:$A$130,"&lt;"&amp;Diagram!$P6)))</f>
        <v>0</v>
      </c>
      <c r="ER6" s="42">
        <f ca="1">IF(OR($I$10="",$O6="",$P6="",$J$42&lt;&gt;"Yes"),0,IF($K$10=0,SUMIFS(INDIRECT(ADDRESS(12,3+18*3+(7),,,"J1 C - (South) Bishopthorpe Roa")&amp;":"&amp;ADDRESS(130,3+18*3+(7))),'J1 C - (South) Bishopthorpe Roa'!$A$12:$A$130,"&gt;="&amp;Diagram!$O6,'J1 C - (South) Bishopthorpe Roa'!$A$12:$A$130,"&lt;"&amp;Diagram!$P6),SUMIFS(INDIRECT(ADDRESS(12,3+18*3+(15),,,"J1 C - (South) Bishopthorpe Roa")&amp;":"&amp;ADDRESS(130,3+18*3+(15))),'J1 C - (South) Bishopthorpe Roa'!$A$12:$A$130,"&gt;="&amp;Diagram!$O6,'J1 C - (South) Bishopthorpe Roa'!$A$12:$A$130,"&lt;"&amp;Diagram!$P6)))</f>
        <v>0</v>
      </c>
      <c r="ES6" s="42">
        <f ca="1">IF(OR($I$10="",$O6="",$P6="",$J$42&lt;&gt;"Yes"),0,IF($K$10=0,SUMIFS(INDIRECT(ADDRESS(12,3+18*0+(7),,,"J1 C - (South) Bishopthorpe Roa")&amp;":"&amp;ADDRESS(130,3+18*0+(7))),'J1 C - (South) Bishopthorpe Roa'!$A$12:$A$130,"&gt;="&amp;Diagram!$O6,'J1 C - (South) Bishopthorpe Roa'!$A$12:$A$130,"&lt;"&amp;Diagram!$P6),SUMIFS(INDIRECT(ADDRESS(12,3+18*0+(15),,,"J1 C - (South) Bishopthorpe Roa")&amp;":"&amp;ADDRESS(130,3+18*0+(15))),'J1 C - (South) Bishopthorpe Roa'!$A$12:$A$130,"&gt;="&amp;Diagram!$O6,'J1 C - (South) Bishopthorpe Roa'!$A$12:$A$130,"&lt;"&amp;Diagram!$P6)))</f>
        <v>0</v>
      </c>
      <c r="ET6" s="42">
        <f ca="1">IF(OR($I$10="",$O6="",$P6="",$J$42&lt;&gt;"Yes"),0,IF($K$10=0,SUMIFS(INDIRECT(ADDRESS(12,3+18*0+(7),,,"J1 D - South Bank Avenue")&amp;":"&amp;ADDRESS(130,3+18*0+(7))),'J1 D - South Bank Avenue'!$A$12:$A$130,"&gt;="&amp;Diagram!$O6,'J1 D - South Bank Avenue'!$A$12:$A$130,"&lt;"&amp;Diagram!$P6),SUMIFS(INDIRECT(ADDRESS(12,3+18*0+(15),,,"J1 D - South Bank Avenue")&amp;":"&amp;ADDRESS(130,3+18*0+(15))),'J1 D - South Bank Avenue'!$A$12:$A$130,"&gt;="&amp;Diagram!$O6,'J1 D - South Bank Avenue'!$A$12:$A$130,"&lt;"&amp;Diagram!$P6)))</f>
        <v>0</v>
      </c>
      <c r="EU6" s="42">
        <f ca="1">IF(OR($I$10="",$O6="",$P6="",$J$42&lt;&gt;"Yes"),0,IF($K$10=0,SUMIFS(INDIRECT(ADDRESS(12,3+18*1+(7),,,"J1 D - South Bank Avenue")&amp;":"&amp;ADDRESS(130,3+18*1+(7))),'J1 D - South Bank Avenue'!$A$12:$A$130,"&gt;="&amp;Diagram!$O6,'J1 D - South Bank Avenue'!$A$12:$A$130,"&lt;"&amp;Diagram!$P6),SUMIFS(INDIRECT(ADDRESS(12,3+18*1+(15),,,"J1 D - South Bank Avenue")&amp;":"&amp;ADDRESS(130,3+18*1+(15))),'J1 D - South Bank Avenue'!$A$12:$A$130,"&gt;="&amp;Diagram!$O6,'J1 D - South Bank Avenue'!$A$12:$A$130,"&lt;"&amp;Diagram!$P6)))</f>
        <v>0</v>
      </c>
      <c r="EV6" s="42">
        <f ca="1">IF(OR($I$10="",$O6="",$P6="",$J$42&lt;&gt;"Yes"),0,IF($K$10=0,SUMIFS(INDIRECT(ADDRESS(12,3+18*2+(7),,,"J1 D - South Bank Avenue")&amp;":"&amp;ADDRESS(130,3+18*2+(7))),'J1 D - South Bank Avenue'!$A$12:$A$130,"&gt;="&amp;Diagram!$O6,'J1 D - South Bank Avenue'!$A$12:$A$130,"&lt;"&amp;Diagram!$P6),SUMIFS(INDIRECT(ADDRESS(12,3+18*2+(15),,,"J1 D - South Bank Avenue")&amp;":"&amp;ADDRESS(130,3+18*2+(15))),'J1 D - South Bank Avenue'!$A$12:$A$130,"&gt;="&amp;Diagram!$O6,'J1 D - South Bank Avenue'!$A$12:$A$130,"&lt;"&amp;Diagram!$P6)))</f>
        <v>0</v>
      </c>
      <c r="EW6" s="42">
        <f ca="1">IF(OR($I$10="",$O6="",$P6="",$J$42&lt;&gt;"Yes"),0,IF($K$10=0,SUMIFS(INDIRECT(ADDRESS(12,3+18*3+(7),,,"J1 D - South Bank Avenue")&amp;":"&amp;ADDRESS(130,3+18*3+(7))),'J1 D - South Bank Avenue'!$A$12:$A$130,"&gt;="&amp;Diagram!$O6,'J1 D - South Bank Avenue'!$A$12:$A$130,"&lt;"&amp;Diagram!$P6),SUMIFS(INDIRECT(ADDRESS(12,3+18*3+(15),,,"J1 D - South Bank Avenue")&amp;":"&amp;ADDRESS(130,3+18*3+(15))),'J1 D - South Bank Avenue'!$A$12:$A$130,"&gt;="&amp;Diagram!$O6,'J1 D - South Bank Avenue'!$A$12:$A$130,"&lt;"&amp;Diagram!$P6)))</f>
        <v>0</v>
      </c>
    </row>
    <row r="7" spans="1:153">
      <c r="A7" s="1">
        <v>44395.0625</v>
      </c>
      <c r="B7" s="1">
        <v>44395.072916666701</v>
      </c>
      <c r="O7" s="3">
        <v>44395.0625</v>
      </c>
      <c r="P7" s="3">
        <v>44395.104166666701</v>
      </c>
      <c r="Q7" s="42">
        <f t="shared" ca="1" si="0"/>
        <v>15</v>
      </c>
      <c r="R7" s="42">
        <f t="shared" ca="1" si="1"/>
        <v>15</v>
      </c>
      <c r="S7" s="42">
        <f ca="1">IF(OR($I$10="",$O7="",$P7="",$J$35&lt;&gt;"Yes"),0,IF($K$10=0,SUMIFS(INDIRECT(ADDRESS(12,3+18*3+(0),,,"J1 A - (North) Bishopthorpe Roa")&amp;":"&amp;ADDRESS(130,3+18*3+(0))),'J1 A - (North) Bishopthorpe Roa'!$A$12:$A$130,"&gt;="&amp;Diagram!$O7,'J1 A - (North) Bishopthorpe Roa'!$A$12:$A$130,"&lt;"&amp;Diagram!$P7),SUMIFS(INDIRECT(ADDRESS(12,3+18*3+(8),,,"J1 A - (North) Bishopthorpe Roa")&amp;":"&amp;ADDRESS(130,3+18*3+(8))),'J1 A - (North) Bishopthorpe Roa'!$A$12:$A$130,"&gt;="&amp;Diagram!$O7,'J1 A - (North) Bishopthorpe Roa'!$A$12:$A$130,"&lt;"&amp;Diagram!$P7)))</f>
        <v>0</v>
      </c>
      <c r="T7" s="42">
        <f ca="1">IF(OR($I$10="",$O7="",$P7="",$J$35&lt;&gt;"Yes"),0,IF($K$10=0,SUMIFS(INDIRECT(ADDRESS(12,3+18*0+(0),,,"J1 A - (North) Bishopthorpe Roa")&amp;":"&amp;ADDRESS(130,3+18*0+(0))),'J1 A - (North) Bishopthorpe Roa'!$A$12:$A$130,"&gt;="&amp;Diagram!$O7,'J1 A - (North) Bishopthorpe Roa'!$A$12:$A$130,"&lt;"&amp;Diagram!$P7),SUMIFS(INDIRECT(ADDRESS(12,3+18*0+(8),,,"J1 A - (North) Bishopthorpe Roa")&amp;":"&amp;ADDRESS(130,3+18*0+(8))),'J1 A - (North) Bishopthorpe Roa'!$A$12:$A$130,"&gt;="&amp;Diagram!$O7,'J1 A - (North) Bishopthorpe Roa'!$A$12:$A$130,"&lt;"&amp;Diagram!$P7)))</f>
        <v>0</v>
      </c>
      <c r="U7" s="42">
        <f ca="1">IF(OR($I$10="",$O7="",$P7="",$J$35&lt;&gt;"Yes"),0,IF($K$10=0,SUMIFS(INDIRECT(ADDRESS(12,3+18*1+(0),,,"J1 A - (North) Bishopthorpe Roa")&amp;":"&amp;ADDRESS(130,3+18*1+(0))),'J1 A - (North) Bishopthorpe Roa'!$A$12:$A$130,"&gt;="&amp;Diagram!$O7,'J1 A - (North) Bishopthorpe Roa'!$A$12:$A$130,"&lt;"&amp;Diagram!$P7),SUMIFS(INDIRECT(ADDRESS(12,3+18*1+(8),,,"J1 A - (North) Bishopthorpe Roa")&amp;":"&amp;ADDRESS(130,3+18*1+(8))),'J1 A - (North) Bishopthorpe Roa'!$A$12:$A$130,"&gt;="&amp;Diagram!$O7,'J1 A - (North) Bishopthorpe Roa'!$A$12:$A$130,"&lt;"&amp;Diagram!$P7)))</f>
        <v>8</v>
      </c>
      <c r="V7" s="42">
        <f ca="1">IF(OR($I$10="",$O7="",$P7="",$J$35&lt;&gt;"Yes"),0,IF($K$10=0,SUMIFS(INDIRECT(ADDRESS(12,3+18*2+(0),,,"J1 A - (North) Bishopthorpe Roa")&amp;":"&amp;ADDRESS(130,3+18*2+(0))),'J1 A - (North) Bishopthorpe Roa'!$A$12:$A$130,"&gt;="&amp;Diagram!$O7,'J1 A - (North) Bishopthorpe Roa'!$A$12:$A$130,"&lt;"&amp;Diagram!$P7),SUMIFS(INDIRECT(ADDRESS(12,3+18*2+(8),,,"J1 A - (North) Bishopthorpe Roa")&amp;":"&amp;ADDRESS(130,3+18*2+(8))),'J1 A - (North) Bishopthorpe Roa'!$A$12:$A$130,"&gt;="&amp;Diagram!$O7,'J1 A - (North) Bishopthorpe Roa'!$A$12:$A$130,"&lt;"&amp;Diagram!$P7)))</f>
        <v>0</v>
      </c>
      <c r="W7" s="42">
        <f ca="1">IF(OR($I$10="",$O7="",$P7="",$J$35&lt;&gt;"Yes"),0,IF($K$10=0,SUMIFS(INDIRECT(ADDRESS(12,3+18*2+(0),,,"J1 B - Butcher Terrace")&amp;":"&amp;ADDRESS(130,3+18*2+(0))),'J1 B - Butcher Terrace'!$A$12:$A$130,"&gt;="&amp;Diagram!$O7,'J1 B - Butcher Terrace'!$A$12:$A$130,"&lt;"&amp;Diagram!$P7),SUMIFS(INDIRECT(ADDRESS(12,3+18*2+(8),,,"J1 B - Butcher Terrace")&amp;":"&amp;ADDRESS(130,3+18*2+(8))),'J1 B - Butcher Terrace'!$A$12:$A$130,"&gt;="&amp;Diagram!$O7,'J1 B - Butcher Terrace'!$A$12:$A$130,"&lt;"&amp;Diagram!$P7)))</f>
        <v>0</v>
      </c>
      <c r="X7" s="42">
        <f ca="1">IF(OR($I$10="",$O7="",$P7="",$J$35&lt;&gt;"Yes"),0,IF($K$10=0,SUMIFS(INDIRECT(ADDRESS(12,3+18*3+(0),,,"J1 B - Butcher Terrace")&amp;":"&amp;ADDRESS(130,3+18*3+(0))),'J1 B - Butcher Terrace'!$A$12:$A$130,"&gt;="&amp;Diagram!$O7,'J1 B - Butcher Terrace'!$A$12:$A$130,"&lt;"&amp;Diagram!$P7),SUMIFS(INDIRECT(ADDRESS(12,3+18*3+(8),,,"J1 B - Butcher Terrace")&amp;":"&amp;ADDRESS(130,3+18*3+(8))),'J1 B - Butcher Terrace'!$A$12:$A$130,"&gt;="&amp;Diagram!$O7,'J1 B - Butcher Terrace'!$A$12:$A$130,"&lt;"&amp;Diagram!$P7)))</f>
        <v>0</v>
      </c>
      <c r="Y7" s="42">
        <f ca="1">IF(OR($I$10="",$O7="",$P7="",$J$35&lt;&gt;"Yes"),0,IF($K$10=0,SUMIFS(INDIRECT(ADDRESS(12,3+18*0+(0),,,"J1 B - Butcher Terrace")&amp;":"&amp;ADDRESS(130,3+18*0+(0))),'J1 B - Butcher Terrace'!$A$12:$A$130,"&gt;="&amp;Diagram!$O7,'J1 B - Butcher Terrace'!$A$12:$A$130,"&lt;"&amp;Diagram!$P7),SUMIFS(INDIRECT(ADDRESS(12,3+18*0+(8),,,"J1 B - Butcher Terrace")&amp;":"&amp;ADDRESS(130,3+18*0+(8))),'J1 B - Butcher Terrace'!$A$12:$A$130,"&gt;="&amp;Diagram!$O7,'J1 B - Butcher Terrace'!$A$12:$A$130,"&lt;"&amp;Diagram!$P7)))</f>
        <v>0</v>
      </c>
      <c r="Z7" s="42">
        <f ca="1">IF(OR($I$10="",$O7="",$P7="",$J$35&lt;&gt;"Yes"),0,IF($K$10=0,SUMIFS(INDIRECT(ADDRESS(12,3+18*1+(0),,,"J1 B - Butcher Terrace")&amp;":"&amp;ADDRESS(130,3+18*1+(0))),'J1 B - Butcher Terrace'!$A$12:$A$130,"&gt;="&amp;Diagram!$O7,'J1 B - Butcher Terrace'!$A$12:$A$130,"&lt;"&amp;Diagram!$P7),SUMIFS(INDIRECT(ADDRESS(12,3+18*1+(8),,,"J1 B - Butcher Terrace")&amp;":"&amp;ADDRESS(130,3+18*1+(8))),'J1 B - Butcher Terrace'!$A$12:$A$130,"&gt;="&amp;Diagram!$O7,'J1 B - Butcher Terrace'!$A$12:$A$130,"&lt;"&amp;Diagram!$P7)))</f>
        <v>0</v>
      </c>
      <c r="AA7" s="42">
        <f ca="1">IF(OR($I$10="",$O7="",$P7="",$J$35&lt;&gt;"Yes"),0,IF($K$10=0,SUMIFS(INDIRECT(ADDRESS(12,3+18*1+(0),,,"J1 C - (South) Bishopthorpe Roa")&amp;":"&amp;ADDRESS(130,3+18*1+(0))),'J1 C - (South) Bishopthorpe Roa'!$A$12:$A$130,"&gt;="&amp;Diagram!$O7,'J1 C - (South) Bishopthorpe Roa'!$A$12:$A$130,"&lt;"&amp;Diagram!$P7),SUMIFS(INDIRECT(ADDRESS(12,3+18*1+(8),,,"J1 C - (South) Bishopthorpe Roa")&amp;":"&amp;ADDRESS(130,3+18*1+(8))),'J1 C - (South) Bishopthorpe Roa'!$A$12:$A$130,"&gt;="&amp;Diagram!$O7,'J1 C - (South) Bishopthorpe Roa'!$A$12:$A$130,"&lt;"&amp;Diagram!$P7)))</f>
        <v>5</v>
      </c>
      <c r="AB7" s="42">
        <f ca="1">IF(OR($I$10="",$O7="",$P7="",$J$35&lt;&gt;"Yes"),0,IF($K$10=0,SUMIFS(INDIRECT(ADDRESS(12,3+18*2+(0),,,"J1 C - (South) Bishopthorpe Roa")&amp;":"&amp;ADDRESS(130,3+18*2+(0))),'J1 C - (South) Bishopthorpe Roa'!$A$12:$A$130,"&gt;="&amp;Diagram!$O7,'J1 C - (South) Bishopthorpe Roa'!$A$12:$A$130,"&lt;"&amp;Diagram!$P7),SUMIFS(INDIRECT(ADDRESS(12,3+18*2+(8),,,"J1 C - (South) Bishopthorpe Roa")&amp;":"&amp;ADDRESS(130,3+18*2+(8))),'J1 C - (South) Bishopthorpe Roa'!$A$12:$A$130,"&gt;="&amp;Diagram!$O7,'J1 C - (South) Bishopthorpe Roa'!$A$12:$A$130,"&lt;"&amp;Diagram!$P7)))</f>
        <v>1</v>
      </c>
      <c r="AC7" s="42">
        <f ca="1">IF(OR($I$10="",$O7="",$P7="",$J$35&lt;&gt;"Yes"),0,IF($K$10=0,SUMIFS(INDIRECT(ADDRESS(12,3+18*3+(0),,,"J1 C - (South) Bishopthorpe Roa")&amp;":"&amp;ADDRESS(130,3+18*3+(0))),'J1 C - (South) Bishopthorpe Roa'!$A$12:$A$130,"&gt;="&amp;Diagram!$O7,'J1 C - (South) Bishopthorpe Roa'!$A$12:$A$130,"&lt;"&amp;Diagram!$P7),SUMIFS(INDIRECT(ADDRESS(12,3+18*3+(8),,,"J1 C - (South) Bishopthorpe Roa")&amp;":"&amp;ADDRESS(130,3+18*3+(8))),'J1 C - (South) Bishopthorpe Roa'!$A$12:$A$130,"&gt;="&amp;Diagram!$O7,'J1 C - (South) Bishopthorpe Roa'!$A$12:$A$130,"&lt;"&amp;Diagram!$P7)))</f>
        <v>0</v>
      </c>
      <c r="AD7" s="42">
        <f ca="1">IF(OR($I$10="",$O7="",$P7="",$J$35&lt;&gt;"Yes"),0,IF($K$10=0,SUMIFS(INDIRECT(ADDRESS(12,3+18*0+(0),,,"J1 C - (South) Bishopthorpe Roa")&amp;":"&amp;ADDRESS(130,3+18*0+(0))),'J1 C - (South) Bishopthorpe Roa'!$A$12:$A$130,"&gt;="&amp;Diagram!$O7,'J1 C - (South) Bishopthorpe Roa'!$A$12:$A$130,"&lt;"&amp;Diagram!$P7),SUMIFS(INDIRECT(ADDRESS(12,3+18*0+(8),,,"J1 C - (South) Bishopthorpe Roa")&amp;":"&amp;ADDRESS(130,3+18*0+(8))),'J1 C - (South) Bishopthorpe Roa'!$A$12:$A$130,"&gt;="&amp;Diagram!$O7,'J1 C - (South) Bishopthorpe Roa'!$A$12:$A$130,"&lt;"&amp;Diagram!$P7)))</f>
        <v>0</v>
      </c>
      <c r="AE7" s="42">
        <f ca="1">IF(OR($I$10="",$O7="",$P7="",$J$35&lt;&gt;"Yes"),0,IF($K$10=0,SUMIFS(INDIRECT(ADDRESS(12,3+18*0+(0),,,"J1 D - South Bank Avenue")&amp;":"&amp;ADDRESS(130,3+18*0+(0))),'J1 D - South Bank Avenue'!$A$12:$A$130,"&gt;="&amp;Diagram!$O7,'J1 D - South Bank Avenue'!$A$12:$A$130,"&lt;"&amp;Diagram!$P7),SUMIFS(INDIRECT(ADDRESS(12,3+18*0+(8),,,"J1 D - South Bank Avenue")&amp;":"&amp;ADDRESS(130,3+18*0+(8))),'J1 D - South Bank Avenue'!$A$12:$A$130,"&gt;="&amp;Diagram!$O7,'J1 D - South Bank Avenue'!$A$12:$A$130,"&lt;"&amp;Diagram!$P7)))</f>
        <v>1</v>
      </c>
      <c r="AF7" s="42">
        <f ca="1">IF(OR($I$10="",$O7="",$P7="",$J$35&lt;&gt;"Yes"),0,IF($K$10=0,SUMIFS(INDIRECT(ADDRESS(12,3+18*1+(0),,,"J1 D - South Bank Avenue")&amp;":"&amp;ADDRESS(130,3+18*1+(0))),'J1 D - South Bank Avenue'!$A$12:$A$130,"&gt;="&amp;Diagram!$O7,'J1 D - South Bank Avenue'!$A$12:$A$130,"&lt;"&amp;Diagram!$P7),SUMIFS(INDIRECT(ADDRESS(12,3+18*1+(8),,,"J1 D - South Bank Avenue")&amp;":"&amp;ADDRESS(130,3+18*1+(8))),'J1 D - South Bank Avenue'!$A$12:$A$130,"&gt;="&amp;Diagram!$O7,'J1 D - South Bank Avenue'!$A$12:$A$130,"&lt;"&amp;Diagram!$P7)))</f>
        <v>0</v>
      </c>
      <c r="AG7" s="42">
        <f ca="1">IF(OR($I$10="",$O7="",$P7="",$J$35&lt;&gt;"Yes"),0,IF($K$10=0,SUMIFS(INDIRECT(ADDRESS(12,3+18*2+(0),,,"J1 D - South Bank Avenue")&amp;":"&amp;ADDRESS(130,3+18*2+(0))),'J1 D - South Bank Avenue'!$A$12:$A$130,"&gt;="&amp;Diagram!$O7,'J1 D - South Bank Avenue'!$A$12:$A$130,"&lt;"&amp;Diagram!$P7),SUMIFS(INDIRECT(ADDRESS(12,3+18*2+(8),,,"J1 D - South Bank Avenue")&amp;":"&amp;ADDRESS(130,3+18*2+(8))),'J1 D - South Bank Avenue'!$A$12:$A$130,"&gt;="&amp;Diagram!$O7,'J1 D - South Bank Avenue'!$A$12:$A$130,"&lt;"&amp;Diagram!$P7)))</f>
        <v>0</v>
      </c>
      <c r="AH7" s="42">
        <f ca="1">IF(OR($I$10="",$O7="",$P7="",$J$35&lt;&gt;"Yes"),0,IF($K$10=0,SUMIFS(INDIRECT(ADDRESS(12,3+18*3+(0),,,"J1 D - South Bank Avenue")&amp;":"&amp;ADDRESS(130,3+18*3+(0))),'J1 D - South Bank Avenue'!$A$12:$A$130,"&gt;="&amp;Diagram!$O7,'J1 D - South Bank Avenue'!$A$12:$A$130,"&lt;"&amp;Diagram!$P7),SUMIFS(INDIRECT(ADDRESS(12,3+18*3+(8),,,"J1 D - South Bank Avenue")&amp;":"&amp;ADDRESS(130,3+18*3+(8))),'J1 D - South Bank Avenue'!$A$12:$A$130,"&gt;="&amp;Diagram!$O7,'J1 D - South Bank Avenue'!$A$12:$A$130,"&lt;"&amp;Diagram!$P7)))</f>
        <v>0</v>
      </c>
      <c r="AI7" s="42">
        <f t="shared" ca="1" si="2"/>
        <v>0</v>
      </c>
      <c r="AJ7" s="42">
        <f ca="1">IF(OR($I$10="",$O7="",$P7="",$J$36&lt;&gt;"Yes"),0,IF($K$10=0,SUMIFS(INDIRECT(ADDRESS(12,3+18*3+(1),,,"J1 A - (North) Bishopthorpe Roa")&amp;":"&amp;ADDRESS(130,3+18*3+(1))),'J1 A - (North) Bishopthorpe Roa'!$A$12:$A$130,"&gt;="&amp;Diagram!$O7,'J1 A - (North) Bishopthorpe Roa'!$A$12:$A$130,"&lt;"&amp;Diagram!$P7),SUMIFS(INDIRECT(ADDRESS(12,3+18*3+(9),,,"J1 A - (North) Bishopthorpe Roa")&amp;":"&amp;ADDRESS(130,3+18*3+(9))),'J1 A - (North) Bishopthorpe Roa'!$A$12:$A$130,"&gt;="&amp;Diagram!$O7,'J1 A - (North) Bishopthorpe Roa'!$A$12:$A$130,"&lt;"&amp;Diagram!$P7)))</f>
        <v>0</v>
      </c>
      <c r="AK7" s="42">
        <f ca="1">IF(OR($I$10="",$O7="",$P7="",$J$36&lt;&gt;"Yes"),0,IF($K$10=0,SUMIFS(INDIRECT(ADDRESS(12,3+18*0+(1),,,"J1 A - (North) Bishopthorpe Roa")&amp;":"&amp;ADDRESS(130,3+18*0+(1))),'J1 A - (North) Bishopthorpe Roa'!$A$12:$A$130,"&gt;="&amp;Diagram!$O7,'J1 A - (North) Bishopthorpe Roa'!$A$12:$A$130,"&lt;"&amp;Diagram!$P7),SUMIFS(INDIRECT(ADDRESS(12,3+18*0+(9),,,"J1 A - (North) Bishopthorpe Roa")&amp;":"&amp;ADDRESS(130,3+18*0+(9))),'J1 A - (North) Bishopthorpe Roa'!$A$12:$A$130,"&gt;="&amp;Diagram!$O7,'J1 A - (North) Bishopthorpe Roa'!$A$12:$A$130,"&lt;"&amp;Diagram!$P7)))</f>
        <v>0</v>
      </c>
      <c r="AL7" s="42">
        <f ca="1">IF(OR($I$10="",$O7="",$P7="",$J$36&lt;&gt;"Yes"),0,IF($K$10=0,SUMIFS(INDIRECT(ADDRESS(12,3+18*1+(1),,,"J1 A - (North) Bishopthorpe Roa")&amp;":"&amp;ADDRESS(130,3+18*1+(1))),'J1 A - (North) Bishopthorpe Roa'!$A$12:$A$130,"&gt;="&amp;Diagram!$O7,'J1 A - (North) Bishopthorpe Roa'!$A$12:$A$130,"&lt;"&amp;Diagram!$P7),SUMIFS(INDIRECT(ADDRESS(12,3+18*1+(9),,,"J1 A - (North) Bishopthorpe Roa")&amp;":"&amp;ADDRESS(130,3+18*1+(9))),'J1 A - (North) Bishopthorpe Roa'!$A$12:$A$130,"&gt;="&amp;Diagram!$O7,'J1 A - (North) Bishopthorpe Roa'!$A$12:$A$130,"&lt;"&amp;Diagram!$P7)))</f>
        <v>0</v>
      </c>
      <c r="AM7" s="42">
        <f ca="1">IF(OR($I$10="",$O7="",$P7="",$J$36&lt;&gt;"Yes"),0,IF($K$10=0,SUMIFS(INDIRECT(ADDRESS(12,3+18*2+(1),,,"J1 A - (North) Bishopthorpe Roa")&amp;":"&amp;ADDRESS(130,3+18*2+(1))),'J1 A - (North) Bishopthorpe Roa'!$A$12:$A$130,"&gt;="&amp;Diagram!$O7,'J1 A - (North) Bishopthorpe Roa'!$A$12:$A$130,"&lt;"&amp;Diagram!$P7),SUMIFS(INDIRECT(ADDRESS(12,3+18*2+(9),,,"J1 A - (North) Bishopthorpe Roa")&amp;":"&amp;ADDRESS(130,3+18*2+(9))),'J1 A - (North) Bishopthorpe Roa'!$A$12:$A$130,"&gt;="&amp;Diagram!$O7,'J1 A - (North) Bishopthorpe Roa'!$A$12:$A$130,"&lt;"&amp;Diagram!$P7)))</f>
        <v>0</v>
      </c>
      <c r="AN7" s="42">
        <f ca="1">IF(OR($I$10="",$O7="",$P7="",$J$36&lt;&gt;"Yes"),0,IF($K$10=0,SUMIFS(INDIRECT(ADDRESS(12,3+18*2+(1),,,"J1 B - Butcher Terrace")&amp;":"&amp;ADDRESS(130,3+18*2+(1))),'J1 B - Butcher Terrace'!$A$12:$A$130,"&gt;="&amp;Diagram!$O7,'J1 B - Butcher Terrace'!$A$12:$A$130,"&lt;"&amp;Diagram!$P7),SUMIFS(INDIRECT(ADDRESS(12,3+18*2+(9),,,"J1 B - Butcher Terrace")&amp;":"&amp;ADDRESS(130,3+18*2+(9))),'J1 B - Butcher Terrace'!$A$12:$A$130,"&gt;="&amp;Diagram!$O7,'J1 B - Butcher Terrace'!$A$12:$A$130,"&lt;"&amp;Diagram!$P7)))</f>
        <v>0</v>
      </c>
      <c r="AO7" s="42">
        <f ca="1">IF(OR($I$10="",$O7="",$P7="",$J$36&lt;&gt;"Yes"),0,IF($K$10=0,SUMIFS(INDIRECT(ADDRESS(12,3+18*3+(1),,,"J1 B - Butcher Terrace")&amp;":"&amp;ADDRESS(130,3+18*3+(1))),'J1 B - Butcher Terrace'!$A$12:$A$130,"&gt;="&amp;Diagram!$O7,'J1 B - Butcher Terrace'!$A$12:$A$130,"&lt;"&amp;Diagram!$P7),SUMIFS(INDIRECT(ADDRESS(12,3+18*3+(9),,,"J1 B - Butcher Terrace")&amp;":"&amp;ADDRESS(130,3+18*3+(9))),'J1 B - Butcher Terrace'!$A$12:$A$130,"&gt;="&amp;Diagram!$O7,'J1 B - Butcher Terrace'!$A$12:$A$130,"&lt;"&amp;Diagram!$P7)))</f>
        <v>0</v>
      </c>
      <c r="AP7" s="42">
        <f ca="1">IF(OR($I$10="",$O7="",$P7="",$J$36&lt;&gt;"Yes"),0,IF($K$10=0,SUMIFS(INDIRECT(ADDRESS(12,3+18*0+(1),,,"J1 B - Butcher Terrace")&amp;":"&amp;ADDRESS(130,3+18*0+(1))),'J1 B - Butcher Terrace'!$A$12:$A$130,"&gt;="&amp;Diagram!$O7,'J1 B - Butcher Terrace'!$A$12:$A$130,"&lt;"&amp;Diagram!$P7),SUMIFS(INDIRECT(ADDRESS(12,3+18*0+(9),,,"J1 B - Butcher Terrace")&amp;":"&amp;ADDRESS(130,3+18*0+(9))),'J1 B - Butcher Terrace'!$A$12:$A$130,"&gt;="&amp;Diagram!$O7,'J1 B - Butcher Terrace'!$A$12:$A$130,"&lt;"&amp;Diagram!$P7)))</f>
        <v>0</v>
      </c>
      <c r="AQ7" s="42">
        <f ca="1">IF(OR($I$10="",$O7="",$P7="",$J$36&lt;&gt;"Yes"),0,IF($K$10=0,SUMIFS(INDIRECT(ADDRESS(12,3+18*1+(1),,,"J1 B - Butcher Terrace")&amp;":"&amp;ADDRESS(130,3+18*1+(1))),'J1 B - Butcher Terrace'!$A$12:$A$130,"&gt;="&amp;Diagram!$O7,'J1 B - Butcher Terrace'!$A$12:$A$130,"&lt;"&amp;Diagram!$P7),SUMIFS(INDIRECT(ADDRESS(12,3+18*1+(9),,,"J1 B - Butcher Terrace")&amp;":"&amp;ADDRESS(130,3+18*1+(9))),'J1 B - Butcher Terrace'!$A$12:$A$130,"&gt;="&amp;Diagram!$O7,'J1 B - Butcher Terrace'!$A$12:$A$130,"&lt;"&amp;Diagram!$P7)))</f>
        <v>0</v>
      </c>
      <c r="AR7" s="42">
        <f ca="1">IF(OR($I$10="",$O7="",$P7="",$J$36&lt;&gt;"Yes"),0,IF($K$10=0,SUMIFS(INDIRECT(ADDRESS(12,3+18*1+(1),,,"J1 C - (South) Bishopthorpe Roa")&amp;":"&amp;ADDRESS(130,3+18*1+(1))),'J1 C - (South) Bishopthorpe Roa'!$A$12:$A$130,"&gt;="&amp;Diagram!$O7,'J1 C - (South) Bishopthorpe Roa'!$A$12:$A$130,"&lt;"&amp;Diagram!$P7),SUMIFS(INDIRECT(ADDRESS(12,3+18*1+(9),,,"J1 C - (South) Bishopthorpe Roa")&amp;":"&amp;ADDRESS(130,3+18*1+(9))),'J1 C - (South) Bishopthorpe Roa'!$A$12:$A$130,"&gt;="&amp;Diagram!$O7,'J1 C - (South) Bishopthorpe Roa'!$A$12:$A$130,"&lt;"&amp;Diagram!$P7)))</f>
        <v>0</v>
      </c>
      <c r="AS7" s="42">
        <f ca="1">IF(OR($I$10="",$O7="",$P7="",$J$36&lt;&gt;"Yes"),0,IF($K$10=0,SUMIFS(INDIRECT(ADDRESS(12,3+18*2+(1),,,"J1 C - (South) Bishopthorpe Roa")&amp;":"&amp;ADDRESS(130,3+18*2+(1))),'J1 C - (South) Bishopthorpe Roa'!$A$12:$A$130,"&gt;="&amp;Diagram!$O7,'J1 C - (South) Bishopthorpe Roa'!$A$12:$A$130,"&lt;"&amp;Diagram!$P7),SUMIFS(INDIRECT(ADDRESS(12,3+18*2+(9),,,"J1 C - (South) Bishopthorpe Roa")&amp;":"&amp;ADDRESS(130,3+18*2+(9))),'J1 C - (South) Bishopthorpe Roa'!$A$12:$A$130,"&gt;="&amp;Diagram!$O7,'J1 C - (South) Bishopthorpe Roa'!$A$12:$A$130,"&lt;"&amp;Diagram!$P7)))</f>
        <v>0</v>
      </c>
      <c r="AT7" s="42">
        <f ca="1">IF(OR($I$10="",$O7="",$P7="",$J$36&lt;&gt;"Yes"),0,IF($K$10=0,SUMIFS(INDIRECT(ADDRESS(12,3+18*3+(1),,,"J1 C - (South) Bishopthorpe Roa")&amp;":"&amp;ADDRESS(130,3+18*3+(1))),'J1 C - (South) Bishopthorpe Roa'!$A$12:$A$130,"&gt;="&amp;Diagram!$O7,'J1 C - (South) Bishopthorpe Roa'!$A$12:$A$130,"&lt;"&amp;Diagram!$P7),SUMIFS(INDIRECT(ADDRESS(12,3+18*3+(9),,,"J1 C - (South) Bishopthorpe Roa")&amp;":"&amp;ADDRESS(130,3+18*3+(9))),'J1 C - (South) Bishopthorpe Roa'!$A$12:$A$130,"&gt;="&amp;Diagram!$O7,'J1 C - (South) Bishopthorpe Roa'!$A$12:$A$130,"&lt;"&amp;Diagram!$P7)))</f>
        <v>0</v>
      </c>
      <c r="AU7" s="42">
        <f ca="1">IF(OR($I$10="",$O7="",$P7="",$J$36&lt;&gt;"Yes"),0,IF($K$10=0,SUMIFS(INDIRECT(ADDRESS(12,3+18*0+(1),,,"J1 C - (South) Bishopthorpe Roa")&amp;":"&amp;ADDRESS(130,3+18*0+(1))),'J1 C - (South) Bishopthorpe Roa'!$A$12:$A$130,"&gt;="&amp;Diagram!$O7,'J1 C - (South) Bishopthorpe Roa'!$A$12:$A$130,"&lt;"&amp;Diagram!$P7),SUMIFS(INDIRECT(ADDRESS(12,3+18*0+(9),,,"J1 C - (South) Bishopthorpe Roa")&amp;":"&amp;ADDRESS(130,3+18*0+(9))),'J1 C - (South) Bishopthorpe Roa'!$A$12:$A$130,"&gt;="&amp;Diagram!$O7,'J1 C - (South) Bishopthorpe Roa'!$A$12:$A$130,"&lt;"&amp;Diagram!$P7)))</f>
        <v>0</v>
      </c>
      <c r="AV7" s="42">
        <f ca="1">IF(OR($I$10="",$O7="",$P7="",$J$36&lt;&gt;"Yes"),0,IF($K$10=0,SUMIFS(INDIRECT(ADDRESS(12,3+18*0+(1),,,"J1 D - South Bank Avenue")&amp;":"&amp;ADDRESS(130,3+18*0+(1))),'J1 D - South Bank Avenue'!$A$12:$A$130,"&gt;="&amp;Diagram!$O7,'J1 D - South Bank Avenue'!$A$12:$A$130,"&lt;"&amp;Diagram!$P7),SUMIFS(INDIRECT(ADDRESS(12,3+18*0+(9),,,"J1 D - South Bank Avenue")&amp;":"&amp;ADDRESS(130,3+18*0+(9))),'J1 D - South Bank Avenue'!$A$12:$A$130,"&gt;="&amp;Diagram!$O7,'J1 D - South Bank Avenue'!$A$12:$A$130,"&lt;"&amp;Diagram!$P7)))</f>
        <v>0</v>
      </c>
      <c r="AW7" s="42">
        <f ca="1">IF(OR($I$10="",$O7="",$P7="",$J$36&lt;&gt;"Yes"),0,IF($K$10=0,SUMIFS(INDIRECT(ADDRESS(12,3+18*1+(1),,,"J1 D - South Bank Avenue")&amp;":"&amp;ADDRESS(130,3+18*1+(1))),'J1 D - South Bank Avenue'!$A$12:$A$130,"&gt;="&amp;Diagram!$O7,'J1 D - South Bank Avenue'!$A$12:$A$130,"&lt;"&amp;Diagram!$P7),SUMIFS(INDIRECT(ADDRESS(12,3+18*1+(9),,,"J1 D - South Bank Avenue")&amp;":"&amp;ADDRESS(130,3+18*1+(9))),'J1 D - South Bank Avenue'!$A$12:$A$130,"&gt;="&amp;Diagram!$O7,'J1 D - South Bank Avenue'!$A$12:$A$130,"&lt;"&amp;Diagram!$P7)))</f>
        <v>0</v>
      </c>
      <c r="AX7" s="42">
        <f ca="1">IF(OR($I$10="",$O7="",$P7="",$J$36&lt;&gt;"Yes"),0,IF($K$10=0,SUMIFS(INDIRECT(ADDRESS(12,3+18*2+(1),,,"J1 D - South Bank Avenue")&amp;":"&amp;ADDRESS(130,3+18*2+(1))),'J1 D - South Bank Avenue'!$A$12:$A$130,"&gt;="&amp;Diagram!$O7,'J1 D - South Bank Avenue'!$A$12:$A$130,"&lt;"&amp;Diagram!$P7),SUMIFS(INDIRECT(ADDRESS(12,3+18*2+(9),,,"J1 D - South Bank Avenue")&amp;":"&amp;ADDRESS(130,3+18*2+(9))),'J1 D - South Bank Avenue'!$A$12:$A$130,"&gt;="&amp;Diagram!$O7,'J1 D - South Bank Avenue'!$A$12:$A$130,"&lt;"&amp;Diagram!$P7)))</f>
        <v>0</v>
      </c>
      <c r="AY7" s="42">
        <f ca="1">IF(OR($I$10="",$O7="",$P7="",$J$36&lt;&gt;"Yes"),0,IF($K$10=0,SUMIFS(INDIRECT(ADDRESS(12,3+18*3+(1),,,"J1 D - South Bank Avenue")&amp;":"&amp;ADDRESS(130,3+18*3+(1))),'J1 D - South Bank Avenue'!$A$12:$A$130,"&gt;="&amp;Diagram!$O7,'J1 D - South Bank Avenue'!$A$12:$A$130,"&lt;"&amp;Diagram!$P7),SUMIFS(INDIRECT(ADDRESS(12,3+18*3+(9),,,"J1 D - South Bank Avenue")&amp;":"&amp;ADDRESS(130,3+18*3+(9))),'J1 D - South Bank Avenue'!$A$12:$A$130,"&gt;="&amp;Diagram!$O7,'J1 D - South Bank Avenue'!$A$12:$A$130,"&lt;"&amp;Diagram!$P7)))</f>
        <v>0</v>
      </c>
      <c r="AZ7" s="42">
        <f t="shared" ca="1" si="3"/>
        <v>0</v>
      </c>
      <c r="BA7" s="42">
        <f ca="1">IF(OR($I$10="",$O7="",$P7="",$J$37&lt;&gt;"Yes"),0,IF($K$10=0,SUMIFS(INDIRECT(ADDRESS(12,3+18*3+(2),,,"J1 A - (North) Bishopthorpe Roa")&amp;":"&amp;ADDRESS(130,3+18*3+(2))),'J1 A - (North) Bishopthorpe Roa'!$A$12:$A$130,"&gt;="&amp;Diagram!$O7,'J1 A - (North) Bishopthorpe Roa'!$A$12:$A$130,"&lt;"&amp;Diagram!$P7),SUMIFS(INDIRECT(ADDRESS(12,3+18*3+(10),,,"J1 A - (North) Bishopthorpe Roa")&amp;":"&amp;ADDRESS(130,3+18*3+(10))),'J1 A - (North) Bishopthorpe Roa'!$A$12:$A$130,"&gt;="&amp;Diagram!$O7,'J1 A - (North) Bishopthorpe Roa'!$A$12:$A$130,"&lt;"&amp;Diagram!$P7)))</f>
        <v>0</v>
      </c>
      <c r="BB7" s="42">
        <f ca="1">IF(OR($I$10="",$O7="",$P7="",$J$37&lt;&gt;"Yes"),0,IF($K$10=0,SUMIFS(INDIRECT(ADDRESS(12,3+18*0+(2),,,"J1 A - (North) Bishopthorpe Roa")&amp;":"&amp;ADDRESS(130,3+18*0+(2))),'J1 A - (North) Bishopthorpe Roa'!$A$12:$A$130,"&gt;="&amp;Diagram!$O7,'J1 A - (North) Bishopthorpe Roa'!$A$12:$A$130,"&lt;"&amp;Diagram!$P7),SUMIFS(INDIRECT(ADDRESS(12,3+18*0+(10),,,"J1 A - (North) Bishopthorpe Roa")&amp;":"&amp;ADDRESS(130,3+18*0+(10))),'J1 A - (North) Bishopthorpe Roa'!$A$12:$A$130,"&gt;="&amp;Diagram!$O7,'J1 A - (North) Bishopthorpe Roa'!$A$12:$A$130,"&lt;"&amp;Diagram!$P7)))</f>
        <v>0</v>
      </c>
      <c r="BC7" s="42">
        <f ca="1">IF(OR($I$10="",$O7="",$P7="",$J$37&lt;&gt;"Yes"),0,IF($K$10=0,SUMIFS(INDIRECT(ADDRESS(12,3+18*1+(2),,,"J1 A - (North) Bishopthorpe Roa")&amp;":"&amp;ADDRESS(130,3+18*1+(2))),'J1 A - (North) Bishopthorpe Roa'!$A$12:$A$130,"&gt;="&amp;Diagram!$O7,'J1 A - (North) Bishopthorpe Roa'!$A$12:$A$130,"&lt;"&amp;Diagram!$P7),SUMIFS(INDIRECT(ADDRESS(12,3+18*1+(10),,,"J1 A - (North) Bishopthorpe Roa")&amp;":"&amp;ADDRESS(130,3+18*1+(10))),'J1 A - (North) Bishopthorpe Roa'!$A$12:$A$130,"&gt;="&amp;Diagram!$O7,'J1 A - (North) Bishopthorpe Roa'!$A$12:$A$130,"&lt;"&amp;Diagram!$P7)))</f>
        <v>0</v>
      </c>
      <c r="BD7" s="42">
        <f ca="1">IF(OR($I$10="",$O7="",$P7="",$J$37&lt;&gt;"Yes"),0,IF($K$10=0,SUMIFS(INDIRECT(ADDRESS(12,3+18*2+(2),,,"J1 A - (North) Bishopthorpe Roa")&amp;":"&amp;ADDRESS(130,3+18*2+(2))),'J1 A - (North) Bishopthorpe Roa'!$A$12:$A$130,"&gt;="&amp;Diagram!$O7,'J1 A - (North) Bishopthorpe Roa'!$A$12:$A$130,"&lt;"&amp;Diagram!$P7),SUMIFS(INDIRECT(ADDRESS(12,3+18*2+(10),,,"J1 A - (North) Bishopthorpe Roa")&amp;":"&amp;ADDRESS(130,3+18*2+(10))),'J1 A - (North) Bishopthorpe Roa'!$A$12:$A$130,"&gt;="&amp;Diagram!$O7,'J1 A - (North) Bishopthorpe Roa'!$A$12:$A$130,"&lt;"&amp;Diagram!$P7)))</f>
        <v>0</v>
      </c>
      <c r="BE7" s="42">
        <f ca="1">IF(OR($I$10="",$O7="",$P7="",$J$37&lt;&gt;"Yes"),0,IF($K$10=0,SUMIFS(INDIRECT(ADDRESS(12,3+18*2+(2),,,"J1 B - Butcher Terrace")&amp;":"&amp;ADDRESS(130,3+18*2+(2))),'J1 B - Butcher Terrace'!$A$12:$A$130,"&gt;="&amp;Diagram!$O7,'J1 B - Butcher Terrace'!$A$12:$A$130,"&lt;"&amp;Diagram!$P7),SUMIFS(INDIRECT(ADDRESS(12,3+18*2+(10),,,"J1 B - Butcher Terrace")&amp;":"&amp;ADDRESS(130,3+18*2+(10))),'J1 B - Butcher Terrace'!$A$12:$A$130,"&gt;="&amp;Diagram!$O7,'J1 B - Butcher Terrace'!$A$12:$A$130,"&lt;"&amp;Diagram!$P7)))</f>
        <v>0</v>
      </c>
      <c r="BF7" s="42">
        <f ca="1">IF(OR($I$10="",$O7="",$P7="",$J$37&lt;&gt;"Yes"),0,IF($K$10=0,SUMIFS(INDIRECT(ADDRESS(12,3+18*3+(2),,,"J1 B - Butcher Terrace")&amp;":"&amp;ADDRESS(130,3+18*3+(2))),'J1 B - Butcher Terrace'!$A$12:$A$130,"&gt;="&amp;Diagram!$O7,'J1 B - Butcher Terrace'!$A$12:$A$130,"&lt;"&amp;Diagram!$P7),SUMIFS(INDIRECT(ADDRESS(12,3+18*3+(10),,,"J1 B - Butcher Terrace")&amp;":"&amp;ADDRESS(130,3+18*3+(10))),'J1 B - Butcher Terrace'!$A$12:$A$130,"&gt;="&amp;Diagram!$O7,'J1 B - Butcher Terrace'!$A$12:$A$130,"&lt;"&amp;Diagram!$P7)))</f>
        <v>0</v>
      </c>
      <c r="BG7" s="42">
        <f ca="1">IF(OR($I$10="",$O7="",$P7="",$J$37&lt;&gt;"Yes"),0,IF($K$10=0,SUMIFS(INDIRECT(ADDRESS(12,3+18*0+(2),,,"J1 B - Butcher Terrace")&amp;":"&amp;ADDRESS(130,3+18*0+(2))),'J1 B - Butcher Terrace'!$A$12:$A$130,"&gt;="&amp;Diagram!$O7,'J1 B - Butcher Terrace'!$A$12:$A$130,"&lt;"&amp;Diagram!$P7),SUMIFS(INDIRECT(ADDRESS(12,3+18*0+(10),,,"J1 B - Butcher Terrace")&amp;":"&amp;ADDRESS(130,3+18*0+(10))),'J1 B - Butcher Terrace'!$A$12:$A$130,"&gt;="&amp;Diagram!$O7,'J1 B - Butcher Terrace'!$A$12:$A$130,"&lt;"&amp;Diagram!$P7)))</f>
        <v>0</v>
      </c>
      <c r="BH7" s="42">
        <f ca="1">IF(OR($I$10="",$O7="",$P7="",$J$37&lt;&gt;"Yes"),0,IF($K$10=0,SUMIFS(INDIRECT(ADDRESS(12,3+18*1+(2),,,"J1 B - Butcher Terrace")&amp;":"&amp;ADDRESS(130,3+18*1+(2))),'J1 B - Butcher Terrace'!$A$12:$A$130,"&gt;="&amp;Diagram!$O7,'J1 B - Butcher Terrace'!$A$12:$A$130,"&lt;"&amp;Diagram!$P7),SUMIFS(INDIRECT(ADDRESS(12,3+18*1+(10),,,"J1 B - Butcher Terrace")&amp;":"&amp;ADDRESS(130,3+18*1+(10))),'J1 B - Butcher Terrace'!$A$12:$A$130,"&gt;="&amp;Diagram!$O7,'J1 B - Butcher Terrace'!$A$12:$A$130,"&lt;"&amp;Diagram!$P7)))</f>
        <v>0</v>
      </c>
      <c r="BI7" s="42">
        <f ca="1">IF(OR($I$10="",$O7="",$P7="",$J$37&lt;&gt;"Yes"),0,IF($K$10=0,SUMIFS(INDIRECT(ADDRESS(12,3+18*1+(2),,,"J1 C - (South) Bishopthorpe Roa")&amp;":"&amp;ADDRESS(130,3+18*1+(2))),'J1 C - (South) Bishopthorpe Roa'!$A$12:$A$130,"&gt;="&amp;Diagram!$O7,'J1 C - (South) Bishopthorpe Roa'!$A$12:$A$130,"&lt;"&amp;Diagram!$P7),SUMIFS(INDIRECT(ADDRESS(12,3+18*1+(10),,,"J1 C - (South) Bishopthorpe Roa")&amp;":"&amp;ADDRESS(130,3+18*1+(10))),'J1 C - (South) Bishopthorpe Roa'!$A$12:$A$130,"&gt;="&amp;Diagram!$O7,'J1 C - (South) Bishopthorpe Roa'!$A$12:$A$130,"&lt;"&amp;Diagram!$P7)))</f>
        <v>0</v>
      </c>
      <c r="BJ7" s="42">
        <f ca="1">IF(OR($I$10="",$O7="",$P7="",$J$37&lt;&gt;"Yes"),0,IF($K$10=0,SUMIFS(INDIRECT(ADDRESS(12,3+18*2+(2),,,"J1 C - (South) Bishopthorpe Roa")&amp;":"&amp;ADDRESS(130,3+18*2+(2))),'J1 C - (South) Bishopthorpe Roa'!$A$12:$A$130,"&gt;="&amp;Diagram!$O7,'J1 C - (South) Bishopthorpe Roa'!$A$12:$A$130,"&lt;"&amp;Diagram!$P7),SUMIFS(INDIRECT(ADDRESS(12,3+18*2+(10),,,"J1 C - (South) Bishopthorpe Roa")&amp;":"&amp;ADDRESS(130,3+18*2+(10))),'J1 C - (South) Bishopthorpe Roa'!$A$12:$A$130,"&gt;="&amp;Diagram!$O7,'J1 C - (South) Bishopthorpe Roa'!$A$12:$A$130,"&lt;"&amp;Diagram!$P7)))</f>
        <v>0</v>
      </c>
      <c r="BK7" s="42">
        <f ca="1">IF(OR($I$10="",$O7="",$P7="",$J$37&lt;&gt;"Yes"),0,IF($K$10=0,SUMIFS(INDIRECT(ADDRESS(12,3+18*3+(2),,,"J1 C - (South) Bishopthorpe Roa")&amp;":"&amp;ADDRESS(130,3+18*3+(2))),'J1 C - (South) Bishopthorpe Roa'!$A$12:$A$130,"&gt;="&amp;Diagram!$O7,'J1 C - (South) Bishopthorpe Roa'!$A$12:$A$130,"&lt;"&amp;Diagram!$P7),SUMIFS(INDIRECT(ADDRESS(12,3+18*3+(10),,,"J1 C - (South) Bishopthorpe Roa")&amp;":"&amp;ADDRESS(130,3+18*3+(10))),'J1 C - (South) Bishopthorpe Roa'!$A$12:$A$130,"&gt;="&amp;Diagram!$O7,'J1 C - (South) Bishopthorpe Roa'!$A$12:$A$130,"&lt;"&amp;Diagram!$P7)))</f>
        <v>0</v>
      </c>
      <c r="BL7" s="42">
        <f ca="1">IF(OR($I$10="",$O7="",$P7="",$J$37&lt;&gt;"Yes"),0,IF($K$10=0,SUMIFS(INDIRECT(ADDRESS(12,3+18*0+(2),,,"J1 C - (South) Bishopthorpe Roa")&amp;":"&amp;ADDRESS(130,3+18*0+(2))),'J1 C - (South) Bishopthorpe Roa'!$A$12:$A$130,"&gt;="&amp;Diagram!$O7,'J1 C - (South) Bishopthorpe Roa'!$A$12:$A$130,"&lt;"&amp;Diagram!$P7),SUMIFS(INDIRECT(ADDRESS(12,3+18*0+(10),,,"J1 C - (South) Bishopthorpe Roa")&amp;":"&amp;ADDRESS(130,3+18*0+(10))),'J1 C - (South) Bishopthorpe Roa'!$A$12:$A$130,"&gt;="&amp;Diagram!$O7,'J1 C - (South) Bishopthorpe Roa'!$A$12:$A$130,"&lt;"&amp;Diagram!$P7)))</f>
        <v>0</v>
      </c>
      <c r="BM7" s="42">
        <f ca="1">IF(OR($I$10="",$O7="",$P7="",$J$37&lt;&gt;"Yes"),0,IF($K$10=0,SUMIFS(INDIRECT(ADDRESS(12,3+18*0+(2),,,"J1 D - South Bank Avenue")&amp;":"&amp;ADDRESS(130,3+18*0+(2))),'J1 D - South Bank Avenue'!$A$12:$A$130,"&gt;="&amp;Diagram!$O7,'J1 D - South Bank Avenue'!$A$12:$A$130,"&lt;"&amp;Diagram!$P7),SUMIFS(INDIRECT(ADDRESS(12,3+18*0+(10),,,"J1 D - South Bank Avenue")&amp;":"&amp;ADDRESS(130,3+18*0+(10))),'J1 D - South Bank Avenue'!$A$12:$A$130,"&gt;="&amp;Diagram!$O7,'J1 D - South Bank Avenue'!$A$12:$A$130,"&lt;"&amp;Diagram!$P7)))</f>
        <v>0</v>
      </c>
      <c r="BN7" s="42">
        <f ca="1">IF(OR($I$10="",$O7="",$P7="",$J$37&lt;&gt;"Yes"),0,IF($K$10=0,SUMIFS(INDIRECT(ADDRESS(12,3+18*1+(2),,,"J1 D - South Bank Avenue")&amp;":"&amp;ADDRESS(130,3+18*1+(2))),'J1 D - South Bank Avenue'!$A$12:$A$130,"&gt;="&amp;Diagram!$O7,'J1 D - South Bank Avenue'!$A$12:$A$130,"&lt;"&amp;Diagram!$P7),SUMIFS(INDIRECT(ADDRESS(12,3+18*1+(10),,,"J1 D - South Bank Avenue")&amp;":"&amp;ADDRESS(130,3+18*1+(10))),'J1 D - South Bank Avenue'!$A$12:$A$130,"&gt;="&amp;Diagram!$O7,'J1 D - South Bank Avenue'!$A$12:$A$130,"&lt;"&amp;Diagram!$P7)))</f>
        <v>0</v>
      </c>
      <c r="BO7" s="42">
        <f ca="1">IF(OR($I$10="",$O7="",$P7="",$J$37&lt;&gt;"Yes"),0,IF($K$10=0,SUMIFS(INDIRECT(ADDRESS(12,3+18*2+(2),,,"J1 D - South Bank Avenue")&amp;":"&amp;ADDRESS(130,3+18*2+(2))),'J1 D - South Bank Avenue'!$A$12:$A$130,"&gt;="&amp;Diagram!$O7,'J1 D - South Bank Avenue'!$A$12:$A$130,"&lt;"&amp;Diagram!$P7),SUMIFS(INDIRECT(ADDRESS(12,3+18*2+(10),,,"J1 D - South Bank Avenue")&amp;":"&amp;ADDRESS(130,3+18*2+(10))),'J1 D - South Bank Avenue'!$A$12:$A$130,"&gt;="&amp;Diagram!$O7,'J1 D - South Bank Avenue'!$A$12:$A$130,"&lt;"&amp;Diagram!$P7)))</f>
        <v>0</v>
      </c>
      <c r="BP7" s="42">
        <f ca="1">IF(OR($I$10="",$O7="",$P7="",$J$37&lt;&gt;"Yes"),0,IF($K$10=0,SUMIFS(INDIRECT(ADDRESS(12,3+18*3+(2),,,"J1 D - South Bank Avenue")&amp;":"&amp;ADDRESS(130,3+18*3+(2))),'J1 D - South Bank Avenue'!$A$12:$A$130,"&gt;="&amp;Diagram!$O7,'J1 D - South Bank Avenue'!$A$12:$A$130,"&lt;"&amp;Diagram!$P7),SUMIFS(INDIRECT(ADDRESS(12,3+18*3+(10),,,"J1 D - South Bank Avenue")&amp;":"&amp;ADDRESS(130,3+18*3+(10))),'J1 D - South Bank Avenue'!$A$12:$A$130,"&gt;="&amp;Diagram!$O7,'J1 D - South Bank Avenue'!$A$12:$A$130,"&lt;"&amp;Diagram!$P7)))</f>
        <v>0</v>
      </c>
      <c r="BQ7" s="42">
        <f t="shared" ca="1" si="4"/>
        <v>0</v>
      </c>
      <c r="BR7" s="42">
        <f ca="1">IF(OR($I$10="",$O7="",$P7="",$J$38&lt;&gt;"Yes"),0,IF($K$10=0,SUMIFS(INDIRECT(ADDRESS(12,3+18*3+(3),,,"J1 A - (North) Bishopthorpe Roa")&amp;":"&amp;ADDRESS(130,3+18*3+(3))),'J1 A - (North) Bishopthorpe Roa'!$A$12:$A$130,"&gt;="&amp;Diagram!$O7,'J1 A - (North) Bishopthorpe Roa'!$A$12:$A$130,"&lt;"&amp;Diagram!$P7),SUMIFS(INDIRECT(ADDRESS(12,3+18*3+(11),,,"J1 A - (North) Bishopthorpe Roa")&amp;":"&amp;ADDRESS(130,3+18*3+(11))),'J1 A - (North) Bishopthorpe Roa'!$A$12:$A$130,"&gt;="&amp;Diagram!$O7,'J1 A - (North) Bishopthorpe Roa'!$A$12:$A$130,"&lt;"&amp;Diagram!$P7)))</f>
        <v>0</v>
      </c>
      <c r="BS7" s="42">
        <f ca="1">IF(OR($I$10="",$O7="",$P7="",$J$38&lt;&gt;"Yes"),0,IF($K$10=0,SUMIFS(INDIRECT(ADDRESS(12,3+18*0+(3),,,"J1 A - (North) Bishopthorpe Roa")&amp;":"&amp;ADDRESS(130,3+18*0+(3))),'J1 A - (North) Bishopthorpe Roa'!$A$12:$A$130,"&gt;="&amp;Diagram!$O7,'J1 A - (North) Bishopthorpe Roa'!$A$12:$A$130,"&lt;"&amp;Diagram!$P7),SUMIFS(INDIRECT(ADDRESS(12,3+18*0+(11),,,"J1 A - (North) Bishopthorpe Roa")&amp;":"&amp;ADDRESS(130,3+18*0+(11))),'J1 A - (North) Bishopthorpe Roa'!$A$12:$A$130,"&gt;="&amp;Diagram!$O7,'J1 A - (North) Bishopthorpe Roa'!$A$12:$A$130,"&lt;"&amp;Diagram!$P7)))</f>
        <v>0</v>
      </c>
      <c r="BT7" s="42">
        <f ca="1">IF(OR($I$10="",$O7="",$P7="",$J$38&lt;&gt;"Yes"),0,IF($K$10=0,SUMIFS(INDIRECT(ADDRESS(12,3+18*1+(3),,,"J1 A - (North) Bishopthorpe Roa")&amp;":"&amp;ADDRESS(130,3+18*1+(3))),'J1 A - (North) Bishopthorpe Roa'!$A$12:$A$130,"&gt;="&amp;Diagram!$O7,'J1 A - (North) Bishopthorpe Roa'!$A$12:$A$130,"&lt;"&amp;Diagram!$P7),SUMIFS(INDIRECT(ADDRESS(12,3+18*1+(11),,,"J1 A - (North) Bishopthorpe Roa")&amp;":"&amp;ADDRESS(130,3+18*1+(11))),'J1 A - (North) Bishopthorpe Roa'!$A$12:$A$130,"&gt;="&amp;Diagram!$O7,'J1 A - (North) Bishopthorpe Roa'!$A$12:$A$130,"&lt;"&amp;Diagram!$P7)))</f>
        <v>0</v>
      </c>
      <c r="BU7" s="42">
        <f ca="1">IF(OR($I$10="",$O7="",$P7="",$J$38&lt;&gt;"Yes"),0,IF($K$10=0,SUMIFS(INDIRECT(ADDRESS(12,3+18*2+(3),,,"J1 A - (North) Bishopthorpe Roa")&amp;":"&amp;ADDRESS(130,3+18*2+(3))),'J1 A - (North) Bishopthorpe Roa'!$A$12:$A$130,"&gt;="&amp;Diagram!$O7,'J1 A - (North) Bishopthorpe Roa'!$A$12:$A$130,"&lt;"&amp;Diagram!$P7),SUMIFS(INDIRECT(ADDRESS(12,3+18*2+(11),,,"J1 A - (North) Bishopthorpe Roa")&amp;":"&amp;ADDRESS(130,3+18*2+(11))),'J1 A - (North) Bishopthorpe Roa'!$A$12:$A$130,"&gt;="&amp;Diagram!$O7,'J1 A - (North) Bishopthorpe Roa'!$A$12:$A$130,"&lt;"&amp;Diagram!$P7)))</f>
        <v>0</v>
      </c>
      <c r="BV7" s="42">
        <f ca="1">IF(OR($I$10="",$O7="",$P7="",$J$38&lt;&gt;"Yes"),0,IF($K$10=0,SUMIFS(INDIRECT(ADDRESS(12,3+18*2+(3),,,"J1 B - Butcher Terrace")&amp;":"&amp;ADDRESS(130,3+18*2+(3))),'J1 B - Butcher Terrace'!$A$12:$A$130,"&gt;="&amp;Diagram!$O7,'J1 B - Butcher Terrace'!$A$12:$A$130,"&lt;"&amp;Diagram!$P7),SUMIFS(INDIRECT(ADDRESS(12,3+18*2+(11),,,"J1 B - Butcher Terrace")&amp;":"&amp;ADDRESS(130,3+18*2+(11))),'J1 B - Butcher Terrace'!$A$12:$A$130,"&gt;="&amp;Diagram!$O7,'J1 B - Butcher Terrace'!$A$12:$A$130,"&lt;"&amp;Diagram!$P7)))</f>
        <v>0</v>
      </c>
      <c r="BW7" s="42">
        <f ca="1">IF(OR($I$10="",$O7="",$P7="",$J$38&lt;&gt;"Yes"),0,IF($K$10=0,SUMIFS(INDIRECT(ADDRESS(12,3+18*3+(3),,,"J1 B - Butcher Terrace")&amp;":"&amp;ADDRESS(130,3+18*3+(3))),'J1 B - Butcher Terrace'!$A$12:$A$130,"&gt;="&amp;Diagram!$O7,'J1 B - Butcher Terrace'!$A$12:$A$130,"&lt;"&amp;Diagram!$P7),SUMIFS(INDIRECT(ADDRESS(12,3+18*3+(11),,,"J1 B - Butcher Terrace")&amp;":"&amp;ADDRESS(130,3+18*3+(11))),'J1 B - Butcher Terrace'!$A$12:$A$130,"&gt;="&amp;Diagram!$O7,'J1 B - Butcher Terrace'!$A$12:$A$130,"&lt;"&amp;Diagram!$P7)))</f>
        <v>0</v>
      </c>
      <c r="BX7" s="42">
        <f ca="1">IF(OR($I$10="",$O7="",$P7="",$J$38&lt;&gt;"Yes"),0,IF($K$10=0,SUMIFS(INDIRECT(ADDRESS(12,3+18*0+(3),,,"J1 B - Butcher Terrace")&amp;":"&amp;ADDRESS(130,3+18*0+(3))),'J1 B - Butcher Terrace'!$A$12:$A$130,"&gt;="&amp;Diagram!$O7,'J1 B - Butcher Terrace'!$A$12:$A$130,"&lt;"&amp;Diagram!$P7),SUMIFS(INDIRECT(ADDRESS(12,3+18*0+(11),,,"J1 B - Butcher Terrace")&amp;":"&amp;ADDRESS(130,3+18*0+(11))),'J1 B - Butcher Terrace'!$A$12:$A$130,"&gt;="&amp;Diagram!$O7,'J1 B - Butcher Terrace'!$A$12:$A$130,"&lt;"&amp;Diagram!$P7)))</f>
        <v>0</v>
      </c>
      <c r="BY7" s="42">
        <f ca="1">IF(OR($I$10="",$O7="",$P7="",$J$38&lt;&gt;"Yes"),0,IF($K$10=0,SUMIFS(INDIRECT(ADDRESS(12,3+18*1+(3),,,"J1 B - Butcher Terrace")&amp;":"&amp;ADDRESS(130,3+18*1+(3))),'J1 B - Butcher Terrace'!$A$12:$A$130,"&gt;="&amp;Diagram!$O7,'J1 B - Butcher Terrace'!$A$12:$A$130,"&lt;"&amp;Diagram!$P7),SUMIFS(INDIRECT(ADDRESS(12,3+18*1+(11),,,"J1 B - Butcher Terrace")&amp;":"&amp;ADDRESS(130,3+18*1+(11))),'J1 B - Butcher Terrace'!$A$12:$A$130,"&gt;="&amp;Diagram!$O7,'J1 B - Butcher Terrace'!$A$12:$A$130,"&lt;"&amp;Diagram!$P7)))</f>
        <v>0</v>
      </c>
      <c r="BZ7" s="42">
        <f ca="1">IF(OR($I$10="",$O7="",$P7="",$J$38&lt;&gt;"Yes"),0,IF($K$10=0,SUMIFS(INDIRECT(ADDRESS(12,3+18*1+(3),,,"J1 C - (South) Bishopthorpe Roa")&amp;":"&amp;ADDRESS(130,3+18*1+(3))),'J1 C - (South) Bishopthorpe Roa'!$A$12:$A$130,"&gt;="&amp;Diagram!$O7,'J1 C - (South) Bishopthorpe Roa'!$A$12:$A$130,"&lt;"&amp;Diagram!$P7),SUMIFS(INDIRECT(ADDRESS(12,3+18*1+(11),,,"J1 C - (South) Bishopthorpe Roa")&amp;":"&amp;ADDRESS(130,3+18*1+(11))),'J1 C - (South) Bishopthorpe Roa'!$A$12:$A$130,"&gt;="&amp;Diagram!$O7,'J1 C - (South) Bishopthorpe Roa'!$A$12:$A$130,"&lt;"&amp;Diagram!$P7)))</f>
        <v>0</v>
      </c>
      <c r="CA7" s="42">
        <f ca="1">IF(OR($I$10="",$O7="",$P7="",$J$38&lt;&gt;"Yes"),0,IF($K$10=0,SUMIFS(INDIRECT(ADDRESS(12,3+18*2+(3),,,"J1 C - (South) Bishopthorpe Roa")&amp;":"&amp;ADDRESS(130,3+18*2+(3))),'J1 C - (South) Bishopthorpe Roa'!$A$12:$A$130,"&gt;="&amp;Diagram!$O7,'J1 C - (South) Bishopthorpe Roa'!$A$12:$A$130,"&lt;"&amp;Diagram!$P7),SUMIFS(INDIRECT(ADDRESS(12,3+18*2+(11),,,"J1 C - (South) Bishopthorpe Roa")&amp;":"&amp;ADDRESS(130,3+18*2+(11))),'J1 C - (South) Bishopthorpe Roa'!$A$12:$A$130,"&gt;="&amp;Diagram!$O7,'J1 C - (South) Bishopthorpe Roa'!$A$12:$A$130,"&lt;"&amp;Diagram!$P7)))</f>
        <v>0</v>
      </c>
      <c r="CB7" s="42">
        <f ca="1">IF(OR($I$10="",$O7="",$P7="",$J$38&lt;&gt;"Yes"),0,IF($K$10=0,SUMIFS(INDIRECT(ADDRESS(12,3+18*3+(3),,,"J1 C - (South) Bishopthorpe Roa")&amp;":"&amp;ADDRESS(130,3+18*3+(3))),'J1 C - (South) Bishopthorpe Roa'!$A$12:$A$130,"&gt;="&amp;Diagram!$O7,'J1 C - (South) Bishopthorpe Roa'!$A$12:$A$130,"&lt;"&amp;Diagram!$P7),SUMIFS(INDIRECT(ADDRESS(12,3+18*3+(11),,,"J1 C - (South) Bishopthorpe Roa")&amp;":"&amp;ADDRESS(130,3+18*3+(11))),'J1 C - (South) Bishopthorpe Roa'!$A$12:$A$130,"&gt;="&amp;Diagram!$O7,'J1 C - (South) Bishopthorpe Roa'!$A$12:$A$130,"&lt;"&amp;Diagram!$P7)))</f>
        <v>0</v>
      </c>
      <c r="CC7" s="42">
        <f ca="1">IF(OR($I$10="",$O7="",$P7="",$J$38&lt;&gt;"Yes"),0,IF($K$10=0,SUMIFS(INDIRECT(ADDRESS(12,3+18*0+(3),,,"J1 C - (South) Bishopthorpe Roa")&amp;":"&amp;ADDRESS(130,3+18*0+(3))),'J1 C - (South) Bishopthorpe Roa'!$A$12:$A$130,"&gt;="&amp;Diagram!$O7,'J1 C - (South) Bishopthorpe Roa'!$A$12:$A$130,"&lt;"&amp;Diagram!$P7),SUMIFS(INDIRECT(ADDRESS(12,3+18*0+(11),,,"J1 C - (South) Bishopthorpe Roa")&amp;":"&amp;ADDRESS(130,3+18*0+(11))),'J1 C - (South) Bishopthorpe Roa'!$A$12:$A$130,"&gt;="&amp;Diagram!$O7,'J1 C - (South) Bishopthorpe Roa'!$A$12:$A$130,"&lt;"&amp;Diagram!$P7)))</f>
        <v>0</v>
      </c>
      <c r="CD7" s="42">
        <f ca="1">IF(OR($I$10="",$O7="",$P7="",$J$38&lt;&gt;"Yes"),0,IF($K$10=0,SUMIFS(INDIRECT(ADDRESS(12,3+18*0+(3),,,"J1 D - South Bank Avenue")&amp;":"&amp;ADDRESS(130,3+18*0+(3))),'J1 D - South Bank Avenue'!$A$12:$A$130,"&gt;="&amp;Diagram!$O7,'J1 D - South Bank Avenue'!$A$12:$A$130,"&lt;"&amp;Diagram!$P7),SUMIFS(INDIRECT(ADDRESS(12,3+18*0+(11),,,"J1 D - South Bank Avenue")&amp;":"&amp;ADDRESS(130,3+18*0+(11))),'J1 D - South Bank Avenue'!$A$12:$A$130,"&gt;="&amp;Diagram!$O7,'J1 D - South Bank Avenue'!$A$12:$A$130,"&lt;"&amp;Diagram!$P7)))</f>
        <v>0</v>
      </c>
      <c r="CE7" s="42">
        <f ca="1">IF(OR($I$10="",$O7="",$P7="",$J$38&lt;&gt;"Yes"),0,IF($K$10=0,SUMIFS(INDIRECT(ADDRESS(12,3+18*1+(3),,,"J1 D - South Bank Avenue")&amp;":"&amp;ADDRESS(130,3+18*1+(3))),'J1 D - South Bank Avenue'!$A$12:$A$130,"&gt;="&amp;Diagram!$O7,'J1 D - South Bank Avenue'!$A$12:$A$130,"&lt;"&amp;Diagram!$P7),SUMIFS(INDIRECT(ADDRESS(12,3+18*1+(11),,,"J1 D - South Bank Avenue")&amp;":"&amp;ADDRESS(130,3+18*1+(11))),'J1 D - South Bank Avenue'!$A$12:$A$130,"&gt;="&amp;Diagram!$O7,'J1 D - South Bank Avenue'!$A$12:$A$130,"&lt;"&amp;Diagram!$P7)))</f>
        <v>0</v>
      </c>
      <c r="CF7" s="42">
        <f ca="1">IF(OR($I$10="",$O7="",$P7="",$J$38&lt;&gt;"Yes"),0,IF($K$10=0,SUMIFS(INDIRECT(ADDRESS(12,3+18*2+(3),,,"J1 D - South Bank Avenue")&amp;":"&amp;ADDRESS(130,3+18*2+(3))),'J1 D - South Bank Avenue'!$A$12:$A$130,"&gt;="&amp;Diagram!$O7,'J1 D - South Bank Avenue'!$A$12:$A$130,"&lt;"&amp;Diagram!$P7),SUMIFS(INDIRECT(ADDRESS(12,3+18*2+(11),,,"J1 D - South Bank Avenue")&amp;":"&amp;ADDRESS(130,3+18*2+(11))),'J1 D - South Bank Avenue'!$A$12:$A$130,"&gt;="&amp;Diagram!$O7,'J1 D - South Bank Avenue'!$A$12:$A$130,"&lt;"&amp;Diagram!$P7)))</f>
        <v>0</v>
      </c>
      <c r="CG7" s="42">
        <f ca="1">IF(OR($I$10="",$O7="",$P7="",$J$38&lt;&gt;"Yes"),0,IF($K$10=0,SUMIFS(INDIRECT(ADDRESS(12,3+18*3+(3),,,"J1 D - South Bank Avenue")&amp;":"&amp;ADDRESS(130,3+18*3+(3))),'J1 D - South Bank Avenue'!$A$12:$A$130,"&gt;="&amp;Diagram!$O7,'J1 D - South Bank Avenue'!$A$12:$A$130,"&lt;"&amp;Diagram!$P7),SUMIFS(INDIRECT(ADDRESS(12,3+18*3+(11),,,"J1 D - South Bank Avenue")&amp;":"&amp;ADDRESS(130,3+18*3+(11))),'J1 D - South Bank Avenue'!$A$12:$A$130,"&gt;="&amp;Diagram!$O7,'J1 D - South Bank Avenue'!$A$12:$A$130,"&lt;"&amp;Diagram!$P7)))</f>
        <v>0</v>
      </c>
      <c r="CH7" s="42">
        <f t="shared" ca="1" si="5"/>
        <v>0</v>
      </c>
      <c r="CI7" s="42">
        <f ca="1">IF(OR($I$10="",$O7="",$P7="",$J$39&lt;&gt;"Yes"),0,IF($K$10=0,SUMIFS(INDIRECT(ADDRESS(12,3+18*3+(4),,,"J1 A - (North) Bishopthorpe Roa")&amp;":"&amp;ADDRESS(130,3+18*3+(4))),'J1 A - (North) Bishopthorpe Roa'!$A$12:$A$130,"&gt;="&amp;Diagram!$O7,'J1 A - (North) Bishopthorpe Roa'!$A$12:$A$130,"&lt;"&amp;Diagram!$P7),SUMIFS(INDIRECT(ADDRESS(12,3+18*3+(12),,,"J1 A - (North) Bishopthorpe Roa")&amp;":"&amp;ADDRESS(130,3+18*3+(12))),'J1 A - (North) Bishopthorpe Roa'!$A$12:$A$130,"&gt;="&amp;Diagram!$O7,'J1 A - (North) Bishopthorpe Roa'!$A$12:$A$130,"&lt;"&amp;Diagram!$P7)))</f>
        <v>0</v>
      </c>
      <c r="CJ7" s="42">
        <f ca="1">IF(OR($I$10="",$O7="",$P7="",$J$39&lt;&gt;"Yes"),0,IF($K$10=0,SUMIFS(INDIRECT(ADDRESS(12,3+18*0+(4),,,"J1 A - (North) Bishopthorpe Roa")&amp;":"&amp;ADDRESS(130,3+18*0+(4))),'J1 A - (North) Bishopthorpe Roa'!$A$12:$A$130,"&gt;="&amp;Diagram!$O7,'J1 A - (North) Bishopthorpe Roa'!$A$12:$A$130,"&lt;"&amp;Diagram!$P7),SUMIFS(INDIRECT(ADDRESS(12,3+18*0+(12),,,"J1 A - (North) Bishopthorpe Roa")&amp;":"&amp;ADDRESS(130,3+18*0+(12))),'J1 A - (North) Bishopthorpe Roa'!$A$12:$A$130,"&gt;="&amp;Diagram!$O7,'J1 A - (North) Bishopthorpe Roa'!$A$12:$A$130,"&lt;"&amp;Diagram!$P7)))</f>
        <v>0</v>
      </c>
      <c r="CK7" s="42">
        <f ca="1">IF(OR($I$10="",$O7="",$P7="",$J$39&lt;&gt;"Yes"),0,IF($K$10=0,SUMIFS(INDIRECT(ADDRESS(12,3+18*1+(4),,,"J1 A - (North) Bishopthorpe Roa")&amp;":"&amp;ADDRESS(130,3+18*1+(4))),'J1 A - (North) Bishopthorpe Roa'!$A$12:$A$130,"&gt;="&amp;Diagram!$O7,'J1 A - (North) Bishopthorpe Roa'!$A$12:$A$130,"&lt;"&amp;Diagram!$P7),SUMIFS(INDIRECT(ADDRESS(12,3+18*1+(12),,,"J1 A - (North) Bishopthorpe Roa")&amp;":"&amp;ADDRESS(130,3+18*1+(12))),'J1 A - (North) Bishopthorpe Roa'!$A$12:$A$130,"&gt;="&amp;Diagram!$O7,'J1 A - (North) Bishopthorpe Roa'!$A$12:$A$130,"&lt;"&amp;Diagram!$P7)))</f>
        <v>0</v>
      </c>
      <c r="CL7" s="42">
        <f ca="1">IF(OR($I$10="",$O7="",$P7="",$J$39&lt;&gt;"Yes"),0,IF($K$10=0,SUMIFS(INDIRECT(ADDRESS(12,3+18*2+(4),,,"J1 A - (North) Bishopthorpe Roa")&amp;":"&amp;ADDRESS(130,3+18*2+(4))),'J1 A - (North) Bishopthorpe Roa'!$A$12:$A$130,"&gt;="&amp;Diagram!$O7,'J1 A - (North) Bishopthorpe Roa'!$A$12:$A$130,"&lt;"&amp;Diagram!$P7),SUMIFS(INDIRECT(ADDRESS(12,3+18*2+(12),,,"J1 A - (North) Bishopthorpe Roa")&amp;":"&amp;ADDRESS(130,3+18*2+(12))),'J1 A - (North) Bishopthorpe Roa'!$A$12:$A$130,"&gt;="&amp;Diagram!$O7,'J1 A - (North) Bishopthorpe Roa'!$A$12:$A$130,"&lt;"&amp;Diagram!$P7)))</f>
        <v>0</v>
      </c>
      <c r="CM7" s="42">
        <f ca="1">IF(OR($I$10="",$O7="",$P7="",$J$39&lt;&gt;"Yes"),0,IF($K$10=0,SUMIFS(INDIRECT(ADDRESS(12,3+18*2+(4),,,"J1 B - Butcher Terrace")&amp;":"&amp;ADDRESS(130,3+18*2+(4))),'J1 B - Butcher Terrace'!$A$12:$A$130,"&gt;="&amp;Diagram!$O7,'J1 B - Butcher Terrace'!$A$12:$A$130,"&lt;"&amp;Diagram!$P7),SUMIFS(INDIRECT(ADDRESS(12,3+18*2+(12),,,"J1 B - Butcher Terrace")&amp;":"&amp;ADDRESS(130,3+18*2+(12))),'J1 B - Butcher Terrace'!$A$12:$A$130,"&gt;="&amp;Diagram!$O7,'J1 B - Butcher Terrace'!$A$12:$A$130,"&lt;"&amp;Diagram!$P7)))</f>
        <v>0</v>
      </c>
      <c r="CN7" s="42">
        <f ca="1">IF(OR($I$10="",$O7="",$P7="",$J$39&lt;&gt;"Yes"),0,IF($K$10=0,SUMIFS(INDIRECT(ADDRESS(12,3+18*3+(4),,,"J1 B - Butcher Terrace")&amp;":"&amp;ADDRESS(130,3+18*3+(4))),'J1 B - Butcher Terrace'!$A$12:$A$130,"&gt;="&amp;Diagram!$O7,'J1 B - Butcher Terrace'!$A$12:$A$130,"&lt;"&amp;Diagram!$P7),SUMIFS(INDIRECT(ADDRESS(12,3+18*3+(12),,,"J1 B - Butcher Terrace")&amp;":"&amp;ADDRESS(130,3+18*3+(12))),'J1 B - Butcher Terrace'!$A$12:$A$130,"&gt;="&amp;Diagram!$O7,'J1 B - Butcher Terrace'!$A$12:$A$130,"&lt;"&amp;Diagram!$P7)))</f>
        <v>0</v>
      </c>
      <c r="CO7" s="42">
        <f ca="1">IF(OR($I$10="",$O7="",$P7="",$J$39&lt;&gt;"Yes"),0,IF($K$10=0,SUMIFS(INDIRECT(ADDRESS(12,3+18*0+(4),,,"J1 B - Butcher Terrace")&amp;":"&amp;ADDRESS(130,3+18*0+(4))),'J1 B - Butcher Terrace'!$A$12:$A$130,"&gt;="&amp;Diagram!$O7,'J1 B - Butcher Terrace'!$A$12:$A$130,"&lt;"&amp;Diagram!$P7),SUMIFS(INDIRECT(ADDRESS(12,3+18*0+(12),,,"J1 B - Butcher Terrace")&amp;":"&amp;ADDRESS(130,3+18*0+(12))),'J1 B - Butcher Terrace'!$A$12:$A$130,"&gt;="&amp;Diagram!$O7,'J1 B - Butcher Terrace'!$A$12:$A$130,"&lt;"&amp;Diagram!$P7)))</f>
        <v>0</v>
      </c>
      <c r="CP7" s="42">
        <f ca="1">IF(OR($I$10="",$O7="",$P7="",$J$39&lt;&gt;"Yes"),0,IF($K$10=0,SUMIFS(INDIRECT(ADDRESS(12,3+18*1+(4),,,"J1 B - Butcher Terrace")&amp;":"&amp;ADDRESS(130,3+18*1+(4))),'J1 B - Butcher Terrace'!$A$12:$A$130,"&gt;="&amp;Diagram!$O7,'J1 B - Butcher Terrace'!$A$12:$A$130,"&lt;"&amp;Diagram!$P7),SUMIFS(INDIRECT(ADDRESS(12,3+18*1+(12),,,"J1 B - Butcher Terrace")&amp;":"&amp;ADDRESS(130,3+18*1+(12))),'J1 B - Butcher Terrace'!$A$12:$A$130,"&gt;="&amp;Diagram!$O7,'J1 B - Butcher Terrace'!$A$12:$A$130,"&lt;"&amp;Diagram!$P7)))</f>
        <v>0</v>
      </c>
      <c r="CQ7" s="42">
        <f ca="1">IF(OR($I$10="",$O7="",$P7="",$J$39&lt;&gt;"Yes"),0,IF($K$10=0,SUMIFS(INDIRECT(ADDRESS(12,3+18*1+(4),,,"J1 C - (South) Bishopthorpe Roa")&amp;":"&amp;ADDRESS(130,3+18*1+(4))),'J1 C - (South) Bishopthorpe Roa'!$A$12:$A$130,"&gt;="&amp;Diagram!$O7,'J1 C - (South) Bishopthorpe Roa'!$A$12:$A$130,"&lt;"&amp;Diagram!$P7),SUMIFS(INDIRECT(ADDRESS(12,3+18*1+(12),,,"J1 C - (South) Bishopthorpe Roa")&amp;":"&amp;ADDRESS(130,3+18*1+(12))),'J1 C - (South) Bishopthorpe Roa'!$A$12:$A$130,"&gt;="&amp;Diagram!$O7,'J1 C - (South) Bishopthorpe Roa'!$A$12:$A$130,"&lt;"&amp;Diagram!$P7)))</f>
        <v>0</v>
      </c>
      <c r="CR7" s="42">
        <f ca="1">IF(OR($I$10="",$O7="",$P7="",$J$39&lt;&gt;"Yes"),0,IF($K$10=0,SUMIFS(INDIRECT(ADDRESS(12,3+18*2+(4),,,"J1 C - (South) Bishopthorpe Roa")&amp;":"&amp;ADDRESS(130,3+18*2+(4))),'J1 C - (South) Bishopthorpe Roa'!$A$12:$A$130,"&gt;="&amp;Diagram!$O7,'J1 C - (South) Bishopthorpe Roa'!$A$12:$A$130,"&lt;"&amp;Diagram!$P7),SUMIFS(INDIRECT(ADDRESS(12,3+18*2+(12),,,"J1 C - (South) Bishopthorpe Roa")&amp;":"&amp;ADDRESS(130,3+18*2+(12))),'J1 C - (South) Bishopthorpe Roa'!$A$12:$A$130,"&gt;="&amp;Diagram!$O7,'J1 C - (South) Bishopthorpe Roa'!$A$12:$A$130,"&lt;"&amp;Diagram!$P7)))</f>
        <v>0</v>
      </c>
      <c r="CS7" s="42">
        <f ca="1">IF(OR($I$10="",$O7="",$P7="",$J$39&lt;&gt;"Yes"),0,IF($K$10=0,SUMIFS(INDIRECT(ADDRESS(12,3+18*3+(4),,,"J1 C - (South) Bishopthorpe Roa")&amp;":"&amp;ADDRESS(130,3+18*3+(4))),'J1 C - (South) Bishopthorpe Roa'!$A$12:$A$130,"&gt;="&amp;Diagram!$O7,'J1 C - (South) Bishopthorpe Roa'!$A$12:$A$130,"&lt;"&amp;Diagram!$P7),SUMIFS(INDIRECT(ADDRESS(12,3+18*3+(12),,,"J1 C - (South) Bishopthorpe Roa")&amp;":"&amp;ADDRESS(130,3+18*3+(12))),'J1 C - (South) Bishopthorpe Roa'!$A$12:$A$130,"&gt;="&amp;Diagram!$O7,'J1 C - (South) Bishopthorpe Roa'!$A$12:$A$130,"&lt;"&amp;Diagram!$P7)))</f>
        <v>0</v>
      </c>
      <c r="CT7" s="42">
        <f ca="1">IF(OR($I$10="",$O7="",$P7="",$J$39&lt;&gt;"Yes"),0,IF($K$10=0,SUMIFS(INDIRECT(ADDRESS(12,3+18*0+(4),,,"J1 C - (South) Bishopthorpe Roa")&amp;":"&amp;ADDRESS(130,3+18*0+(4))),'J1 C - (South) Bishopthorpe Roa'!$A$12:$A$130,"&gt;="&amp;Diagram!$O7,'J1 C - (South) Bishopthorpe Roa'!$A$12:$A$130,"&lt;"&amp;Diagram!$P7),SUMIFS(INDIRECT(ADDRESS(12,3+18*0+(12),,,"J1 C - (South) Bishopthorpe Roa")&amp;":"&amp;ADDRESS(130,3+18*0+(12))),'J1 C - (South) Bishopthorpe Roa'!$A$12:$A$130,"&gt;="&amp;Diagram!$O7,'J1 C - (South) Bishopthorpe Roa'!$A$12:$A$130,"&lt;"&amp;Diagram!$P7)))</f>
        <v>0</v>
      </c>
      <c r="CU7" s="42">
        <f ca="1">IF(OR($I$10="",$O7="",$P7="",$J$39&lt;&gt;"Yes"),0,IF($K$10=0,SUMIFS(INDIRECT(ADDRESS(12,3+18*0+(4),,,"J1 D - South Bank Avenue")&amp;":"&amp;ADDRESS(130,3+18*0+(4))),'J1 D - South Bank Avenue'!$A$12:$A$130,"&gt;="&amp;Diagram!$O7,'J1 D - South Bank Avenue'!$A$12:$A$130,"&lt;"&amp;Diagram!$P7),SUMIFS(INDIRECT(ADDRESS(12,3+18*0+(12),,,"J1 D - South Bank Avenue")&amp;":"&amp;ADDRESS(130,3+18*0+(12))),'J1 D - South Bank Avenue'!$A$12:$A$130,"&gt;="&amp;Diagram!$O7,'J1 D - South Bank Avenue'!$A$12:$A$130,"&lt;"&amp;Diagram!$P7)))</f>
        <v>0</v>
      </c>
      <c r="CV7" s="42">
        <f ca="1">IF(OR($I$10="",$O7="",$P7="",$J$39&lt;&gt;"Yes"),0,IF($K$10=0,SUMIFS(INDIRECT(ADDRESS(12,3+18*1+(4),,,"J1 D - South Bank Avenue")&amp;":"&amp;ADDRESS(130,3+18*1+(4))),'J1 D - South Bank Avenue'!$A$12:$A$130,"&gt;="&amp;Diagram!$O7,'J1 D - South Bank Avenue'!$A$12:$A$130,"&lt;"&amp;Diagram!$P7),SUMIFS(INDIRECT(ADDRESS(12,3+18*1+(12),,,"J1 D - South Bank Avenue")&amp;":"&amp;ADDRESS(130,3+18*1+(12))),'J1 D - South Bank Avenue'!$A$12:$A$130,"&gt;="&amp;Diagram!$O7,'J1 D - South Bank Avenue'!$A$12:$A$130,"&lt;"&amp;Diagram!$P7)))</f>
        <v>0</v>
      </c>
      <c r="CW7" s="42">
        <f ca="1">IF(OR($I$10="",$O7="",$P7="",$J$39&lt;&gt;"Yes"),0,IF($K$10=0,SUMIFS(INDIRECT(ADDRESS(12,3+18*2+(4),,,"J1 D - South Bank Avenue")&amp;":"&amp;ADDRESS(130,3+18*2+(4))),'J1 D - South Bank Avenue'!$A$12:$A$130,"&gt;="&amp;Diagram!$O7,'J1 D - South Bank Avenue'!$A$12:$A$130,"&lt;"&amp;Diagram!$P7),SUMIFS(INDIRECT(ADDRESS(12,3+18*2+(12),,,"J1 D - South Bank Avenue")&amp;":"&amp;ADDRESS(130,3+18*2+(12))),'J1 D - South Bank Avenue'!$A$12:$A$130,"&gt;="&amp;Diagram!$O7,'J1 D - South Bank Avenue'!$A$12:$A$130,"&lt;"&amp;Diagram!$P7)))</f>
        <v>0</v>
      </c>
      <c r="CX7" s="42">
        <f ca="1">IF(OR($I$10="",$O7="",$P7="",$J$39&lt;&gt;"Yes"),0,IF($K$10=0,SUMIFS(INDIRECT(ADDRESS(12,3+18*3+(4),,,"J1 D - South Bank Avenue")&amp;":"&amp;ADDRESS(130,3+18*3+(4))),'J1 D - South Bank Avenue'!$A$12:$A$130,"&gt;="&amp;Diagram!$O7,'J1 D - South Bank Avenue'!$A$12:$A$130,"&lt;"&amp;Diagram!$P7),SUMIFS(INDIRECT(ADDRESS(12,3+18*3+(12),,,"J1 D - South Bank Avenue")&amp;":"&amp;ADDRESS(130,3+18*3+(12))),'J1 D - South Bank Avenue'!$A$12:$A$130,"&gt;="&amp;Diagram!$O7,'J1 D - South Bank Avenue'!$A$12:$A$130,"&lt;"&amp;Diagram!$P7)))</f>
        <v>0</v>
      </c>
      <c r="CY7" s="42">
        <f t="shared" ca="1" si="6"/>
        <v>0</v>
      </c>
      <c r="CZ7" s="42">
        <f ca="1">IF(OR($I$10="",$O7="",$P7="",$J$40&lt;&gt;"Yes"),0,IF($K$10=0,SUMIFS(INDIRECT(ADDRESS(12,3+18*3+(5),,,"J1 A - (North) Bishopthorpe Roa")&amp;":"&amp;ADDRESS(130,3+18*3+(5))),'J1 A - (North) Bishopthorpe Roa'!$A$12:$A$130,"&gt;="&amp;Diagram!$O7,'J1 A - (North) Bishopthorpe Roa'!$A$12:$A$130,"&lt;"&amp;Diagram!$P7),SUMIFS(INDIRECT(ADDRESS(12,3+18*3+(13),,,"J1 A - (North) Bishopthorpe Roa")&amp;":"&amp;ADDRESS(130,3+18*3+(13))),'J1 A - (North) Bishopthorpe Roa'!$A$12:$A$130,"&gt;="&amp;Diagram!$O7,'J1 A - (North) Bishopthorpe Roa'!$A$12:$A$130,"&lt;"&amp;Diagram!$P7)))</f>
        <v>0</v>
      </c>
      <c r="DA7" s="42">
        <f ca="1">IF(OR($I$10="",$O7="",$P7="",$J$40&lt;&gt;"Yes"),0,IF($K$10=0,SUMIFS(INDIRECT(ADDRESS(12,3+18*0+(5),,,"J1 A - (North) Bishopthorpe Roa")&amp;":"&amp;ADDRESS(130,3+18*0+(5))),'J1 A - (North) Bishopthorpe Roa'!$A$12:$A$130,"&gt;="&amp;Diagram!$O7,'J1 A - (North) Bishopthorpe Roa'!$A$12:$A$130,"&lt;"&amp;Diagram!$P7),SUMIFS(INDIRECT(ADDRESS(12,3+18*0+(13),,,"J1 A - (North) Bishopthorpe Roa")&amp;":"&amp;ADDRESS(130,3+18*0+(13))),'J1 A - (North) Bishopthorpe Roa'!$A$12:$A$130,"&gt;="&amp;Diagram!$O7,'J1 A - (North) Bishopthorpe Roa'!$A$12:$A$130,"&lt;"&amp;Diagram!$P7)))</f>
        <v>0</v>
      </c>
      <c r="DB7" s="42">
        <f ca="1">IF(OR($I$10="",$O7="",$P7="",$J$40&lt;&gt;"Yes"),0,IF($K$10=0,SUMIFS(INDIRECT(ADDRESS(12,3+18*1+(5),,,"J1 A - (North) Bishopthorpe Roa")&amp;":"&amp;ADDRESS(130,3+18*1+(5))),'J1 A - (North) Bishopthorpe Roa'!$A$12:$A$130,"&gt;="&amp;Diagram!$O7,'J1 A - (North) Bishopthorpe Roa'!$A$12:$A$130,"&lt;"&amp;Diagram!$P7),SUMIFS(INDIRECT(ADDRESS(12,3+18*1+(13),,,"J1 A - (North) Bishopthorpe Roa")&amp;":"&amp;ADDRESS(130,3+18*1+(13))),'J1 A - (North) Bishopthorpe Roa'!$A$12:$A$130,"&gt;="&amp;Diagram!$O7,'J1 A - (North) Bishopthorpe Roa'!$A$12:$A$130,"&lt;"&amp;Diagram!$P7)))</f>
        <v>0</v>
      </c>
      <c r="DC7" s="42">
        <f ca="1">IF(OR($I$10="",$O7="",$P7="",$J$40&lt;&gt;"Yes"),0,IF($K$10=0,SUMIFS(INDIRECT(ADDRESS(12,3+18*2+(5),,,"J1 A - (North) Bishopthorpe Roa")&amp;":"&amp;ADDRESS(130,3+18*2+(5))),'J1 A - (North) Bishopthorpe Roa'!$A$12:$A$130,"&gt;="&amp;Diagram!$O7,'J1 A - (North) Bishopthorpe Roa'!$A$12:$A$130,"&lt;"&amp;Diagram!$P7),SUMIFS(INDIRECT(ADDRESS(12,3+18*2+(13),,,"J1 A - (North) Bishopthorpe Roa")&amp;":"&amp;ADDRESS(130,3+18*2+(13))),'J1 A - (North) Bishopthorpe Roa'!$A$12:$A$130,"&gt;="&amp;Diagram!$O7,'J1 A - (North) Bishopthorpe Roa'!$A$12:$A$130,"&lt;"&amp;Diagram!$P7)))</f>
        <v>0</v>
      </c>
      <c r="DD7" s="42">
        <f ca="1">IF(OR($I$10="",$O7="",$P7="",$J$40&lt;&gt;"Yes"),0,IF($K$10=0,SUMIFS(INDIRECT(ADDRESS(12,3+18*2+(5),,,"J1 B - Butcher Terrace")&amp;":"&amp;ADDRESS(130,3+18*2+(5))),'J1 B - Butcher Terrace'!$A$12:$A$130,"&gt;="&amp;Diagram!$O7,'J1 B - Butcher Terrace'!$A$12:$A$130,"&lt;"&amp;Diagram!$P7),SUMIFS(INDIRECT(ADDRESS(12,3+18*2+(13),,,"J1 B - Butcher Terrace")&amp;":"&amp;ADDRESS(130,3+18*2+(13))),'J1 B - Butcher Terrace'!$A$12:$A$130,"&gt;="&amp;Diagram!$O7,'J1 B - Butcher Terrace'!$A$12:$A$130,"&lt;"&amp;Diagram!$P7)))</f>
        <v>0</v>
      </c>
      <c r="DE7" s="42">
        <f ca="1">IF(OR($I$10="",$O7="",$P7="",$J$40&lt;&gt;"Yes"),0,IF($K$10=0,SUMIFS(INDIRECT(ADDRESS(12,3+18*3+(5),,,"J1 B - Butcher Terrace")&amp;":"&amp;ADDRESS(130,3+18*3+(5))),'J1 B - Butcher Terrace'!$A$12:$A$130,"&gt;="&amp;Diagram!$O7,'J1 B - Butcher Terrace'!$A$12:$A$130,"&lt;"&amp;Diagram!$P7),SUMIFS(INDIRECT(ADDRESS(12,3+18*3+(13),,,"J1 B - Butcher Terrace")&amp;":"&amp;ADDRESS(130,3+18*3+(13))),'J1 B - Butcher Terrace'!$A$12:$A$130,"&gt;="&amp;Diagram!$O7,'J1 B - Butcher Terrace'!$A$12:$A$130,"&lt;"&amp;Diagram!$P7)))</f>
        <v>0</v>
      </c>
      <c r="DF7" s="42">
        <f ca="1">IF(OR($I$10="",$O7="",$P7="",$J$40&lt;&gt;"Yes"),0,IF($K$10=0,SUMIFS(INDIRECT(ADDRESS(12,3+18*0+(5),,,"J1 B - Butcher Terrace")&amp;":"&amp;ADDRESS(130,3+18*0+(5))),'J1 B - Butcher Terrace'!$A$12:$A$130,"&gt;="&amp;Diagram!$O7,'J1 B - Butcher Terrace'!$A$12:$A$130,"&lt;"&amp;Diagram!$P7),SUMIFS(INDIRECT(ADDRESS(12,3+18*0+(13),,,"J1 B - Butcher Terrace")&amp;":"&amp;ADDRESS(130,3+18*0+(13))),'J1 B - Butcher Terrace'!$A$12:$A$130,"&gt;="&amp;Diagram!$O7,'J1 B - Butcher Terrace'!$A$12:$A$130,"&lt;"&amp;Diagram!$P7)))</f>
        <v>0</v>
      </c>
      <c r="DG7" s="42">
        <f ca="1">IF(OR($I$10="",$O7="",$P7="",$J$40&lt;&gt;"Yes"),0,IF($K$10=0,SUMIFS(INDIRECT(ADDRESS(12,3+18*1+(5),,,"J1 B - Butcher Terrace")&amp;":"&amp;ADDRESS(130,3+18*1+(5))),'J1 B - Butcher Terrace'!$A$12:$A$130,"&gt;="&amp;Diagram!$O7,'J1 B - Butcher Terrace'!$A$12:$A$130,"&lt;"&amp;Diagram!$P7),SUMIFS(INDIRECT(ADDRESS(12,3+18*1+(13),,,"J1 B - Butcher Terrace")&amp;":"&amp;ADDRESS(130,3+18*1+(13))),'J1 B - Butcher Terrace'!$A$12:$A$130,"&gt;="&amp;Diagram!$O7,'J1 B - Butcher Terrace'!$A$12:$A$130,"&lt;"&amp;Diagram!$P7)))</f>
        <v>0</v>
      </c>
      <c r="DH7" s="42">
        <f ca="1">IF(OR($I$10="",$O7="",$P7="",$J$40&lt;&gt;"Yes"),0,IF($K$10=0,SUMIFS(INDIRECT(ADDRESS(12,3+18*1+(5),,,"J1 C - (South) Bishopthorpe Roa")&amp;":"&amp;ADDRESS(130,3+18*1+(5))),'J1 C - (South) Bishopthorpe Roa'!$A$12:$A$130,"&gt;="&amp;Diagram!$O7,'J1 C - (South) Bishopthorpe Roa'!$A$12:$A$130,"&lt;"&amp;Diagram!$P7),SUMIFS(INDIRECT(ADDRESS(12,3+18*1+(13),,,"J1 C - (South) Bishopthorpe Roa")&amp;":"&amp;ADDRESS(130,3+18*1+(13))),'J1 C - (South) Bishopthorpe Roa'!$A$12:$A$130,"&gt;="&amp;Diagram!$O7,'J1 C - (South) Bishopthorpe Roa'!$A$12:$A$130,"&lt;"&amp;Diagram!$P7)))</f>
        <v>0</v>
      </c>
      <c r="DI7" s="42">
        <f ca="1">IF(OR($I$10="",$O7="",$P7="",$J$40&lt;&gt;"Yes"),0,IF($K$10=0,SUMIFS(INDIRECT(ADDRESS(12,3+18*2+(5),,,"J1 C - (South) Bishopthorpe Roa")&amp;":"&amp;ADDRESS(130,3+18*2+(5))),'J1 C - (South) Bishopthorpe Roa'!$A$12:$A$130,"&gt;="&amp;Diagram!$O7,'J1 C - (South) Bishopthorpe Roa'!$A$12:$A$130,"&lt;"&amp;Diagram!$P7),SUMIFS(INDIRECT(ADDRESS(12,3+18*2+(13),,,"J1 C - (South) Bishopthorpe Roa")&amp;":"&amp;ADDRESS(130,3+18*2+(13))),'J1 C - (South) Bishopthorpe Roa'!$A$12:$A$130,"&gt;="&amp;Diagram!$O7,'J1 C - (South) Bishopthorpe Roa'!$A$12:$A$130,"&lt;"&amp;Diagram!$P7)))</f>
        <v>0</v>
      </c>
      <c r="DJ7" s="42">
        <f ca="1">IF(OR($I$10="",$O7="",$P7="",$J$40&lt;&gt;"Yes"),0,IF($K$10=0,SUMIFS(INDIRECT(ADDRESS(12,3+18*3+(5),,,"J1 C - (South) Bishopthorpe Roa")&amp;":"&amp;ADDRESS(130,3+18*3+(5))),'J1 C - (South) Bishopthorpe Roa'!$A$12:$A$130,"&gt;="&amp;Diagram!$O7,'J1 C - (South) Bishopthorpe Roa'!$A$12:$A$130,"&lt;"&amp;Diagram!$P7),SUMIFS(INDIRECT(ADDRESS(12,3+18*3+(13),,,"J1 C - (South) Bishopthorpe Roa")&amp;":"&amp;ADDRESS(130,3+18*3+(13))),'J1 C - (South) Bishopthorpe Roa'!$A$12:$A$130,"&gt;="&amp;Diagram!$O7,'J1 C - (South) Bishopthorpe Roa'!$A$12:$A$130,"&lt;"&amp;Diagram!$P7)))</f>
        <v>0</v>
      </c>
      <c r="DK7" s="42">
        <f ca="1">IF(OR($I$10="",$O7="",$P7="",$J$40&lt;&gt;"Yes"),0,IF($K$10=0,SUMIFS(INDIRECT(ADDRESS(12,3+18*0+(5),,,"J1 C - (South) Bishopthorpe Roa")&amp;":"&amp;ADDRESS(130,3+18*0+(5))),'J1 C - (South) Bishopthorpe Roa'!$A$12:$A$130,"&gt;="&amp;Diagram!$O7,'J1 C - (South) Bishopthorpe Roa'!$A$12:$A$130,"&lt;"&amp;Diagram!$P7),SUMIFS(INDIRECT(ADDRESS(12,3+18*0+(13),,,"J1 C - (South) Bishopthorpe Roa")&amp;":"&amp;ADDRESS(130,3+18*0+(13))),'J1 C - (South) Bishopthorpe Roa'!$A$12:$A$130,"&gt;="&amp;Diagram!$O7,'J1 C - (South) Bishopthorpe Roa'!$A$12:$A$130,"&lt;"&amp;Diagram!$P7)))</f>
        <v>0</v>
      </c>
      <c r="DL7" s="42">
        <f ca="1">IF(OR($I$10="",$O7="",$P7="",$J$40&lt;&gt;"Yes"),0,IF($K$10=0,SUMIFS(INDIRECT(ADDRESS(12,3+18*0+(5),,,"J1 D - South Bank Avenue")&amp;":"&amp;ADDRESS(130,3+18*0+(5))),'J1 D - South Bank Avenue'!$A$12:$A$130,"&gt;="&amp;Diagram!$O7,'J1 D - South Bank Avenue'!$A$12:$A$130,"&lt;"&amp;Diagram!$P7),SUMIFS(INDIRECT(ADDRESS(12,3+18*0+(13),,,"J1 D - South Bank Avenue")&amp;":"&amp;ADDRESS(130,3+18*0+(13))),'J1 D - South Bank Avenue'!$A$12:$A$130,"&gt;="&amp;Diagram!$O7,'J1 D - South Bank Avenue'!$A$12:$A$130,"&lt;"&amp;Diagram!$P7)))</f>
        <v>0</v>
      </c>
      <c r="DM7" s="42">
        <f ca="1">IF(OR($I$10="",$O7="",$P7="",$J$40&lt;&gt;"Yes"),0,IF($K$10=0,SUMIFS(INDIRECT(ADDRESS(12,3+18*1+(5),,,"J1 D - South Bank Avenue")&amp;":"&amp;ADDRESS(130,3+18*1+(5))),'J1 D - South Bank Avenue'!$A$12:$A$130,"&gt;="&amp;Diagram!$O7,'J1 D - South Bank Avenue'!$A$12:$A$130,"&lt;"&amp;Diagram!$P7),SUMIFS(INDIRECT(ADDRESS(12,3+18*1+(13),,,"J1 D - South Bank Avenue")&amp;":"&amp;ADDRESS(130,3+18*1+(13))),'J1 D - South Bank Avenue'!$A$12:$A$130,"&gt;="&amp;Diagram!$O7,'J1 D - South Bank Avenue'!$A$12:$A$130,"&lt;"&amp;Diagram!$P7)))</f>
        <v>0</v>
      </c>
      <c r="DN7" s="42">
        <f ca="1">IF(OR($I$10="",$O7="",$P7="",$J$40&lt;&gt;"Yes"),0,IF($K$10=0,SUMIFS(INDIRECT(ADDRESS(12,3+18*2+(5),,,"J1 D - South Bank Avenue")&amp;":"&amp;ADDRESS(130,3+18*2+(5))),'J1 D - South Bank Avenue'!$A$12:$A$130,"&gt;="&amp;Diagram!$O7,'J1 D - South Bank Avenue'!$A$12:$A$130,"&lt;"&amp;Diagram!$P7),SUMIFS(INDIRECT(ADDRESS(12,3+18*2+(13),,,"J1 D - South Bank Avenue")&amp;":"&amp;ADDRESS(130,3+18*2+(13))),'J1 D - South Bank Avenue'!$A$12:$A$130,"&gt;="&amp;Diagram!$O7,'J1 D - South Bank Avenue'!$A$12:$A$130,"&lt;"&amp;Diagram!$P7)))</f>
        <v>0</v>
      </c>
      <c r="DO7" s="42">
        <f ca="1">IF(OR($I$10="",$O7="",$P7="",$J$40&lt;&gt;"Yes"),0,IF($K$10=0,SUMIFS(INDIRECT(ADDRESS(12,3+18*3+(5),,,"J1 D - South Bank Avenue")&amp;":"&amp;ADDRESS(130,3+18*3+(5))),'J1 D - South Bank Avenue'!$A$12:$A$130,"&gt;="&amp;Diagram!$O7,'J1 D - South Bank Avenue'!$A$12:$A$130,"&lt;"&amp;Diagram!$P7),SUMIFS(INDIRECT(ADDRESS(12,3+18*3+(13),,,"J1 D - South Bank Avenue")&amp;":"&amp;ADDRESS(130,3+18*3+(13))),'J1 D - South Bank Avenue'!$A$12:$A$130,"&gt;="&amp;Diagram!$O7,'J1 D - South Bank Avenue'!$A$12:$A$130,"&lt;"&amp;Diagram!$P7)))</f>
        <v>0</v>
      </c>
      <c r="DP7" s="42">
        <f t="shared" ca="1" si="7"/>
        <v>0</v>
      </c>
      <c r="DQ7" s="42">
        <f ca="1">IF(OR($I$10="",$O7="",$P7="",$J$41&lt;&gt;"Yes"),0,IF($K$10=0,SUMIFS(INDIRECT(ADDRESS(12,3+18*3+(6),,,"J1 A - (North) Bishopthorpe Roa")&amp;":"&amp;ADDRESS(130,3+18*3+(6))),'J1 A - (North) Bishopthorpe Roa'!$A$12:$A$130,"&gt;="&amp;Diagram!$O7,'J1 A - (North) Bishopthorpe Roa'!$A$12:$A$130,"&lt;"&amp;Diagram!$P7),SUMIFS(INDIRECT(ADDRESS(12,3+18*3+(14),,,"J1 A - (North) Bishopthorpe Roa")&amp;":"&amp;ADDRESS(130,3+18*3+(14))),'J1 A - (North) Bishopthorpe Roa'!$A$12:$A$130,"&gt;="&amp;Diagram!$O7,'J1 A - (North) Bishopthorpe Roa'!$A$12:$A$130,"&lt;"&amp;Diagram!$P7)))</f>
        <v>0</v>
      </c>
      <c r="DR7" s="42">
        <f ca="1">IF(OR($I$10="",$O7="",$P7="",$J$41&lt;&gt;"Yes"),0,IF($K$10=0,SUMIFS(INDIRECT(ADDRESS(12,3+18*0+(6),,,"J1 A - (North) Bishopthorpe Roa")&amp;":"&amp;ADDRESS(130,3+18*0+(6))),'J1 A - (North) Bishopthorpe Roa'!$A$12:$A$130,"&gt;="&amp;Diagram!$O7,'J1 A - (North) Bishopthorpe Roa'!$A$12:$A$130,"&lt;"&amp;Diagram!$P7),SUMIFS(INDIRECT(ADDRESS(12,3+18*0+(14),,,"J1 A - (North) Bishopthorpe Roa")&amp;":"&amp;ADDRESS(130,3+18*0+(14))),'J1 A - (North) Bishopthorpe Roa'!$A$12:$A$130,"&gt;="&amp;Diagram!$O7,'J1 A - (North) Bishopthorpe Roa'!$A$12:$A$130,"&lt;"&amp;Diagram!$P7)))</f>
        <v>0</v>
      </c>
      <c r="DS7" s="42">
        <f ca="1">IF(OR($I$10="",$O7="",$P7="",$J$41&lt;&gt;"Yes"),0,IF($K$10=0,SUMIFS(INDIRECT(ADDRESS(12,3+18*1+(6),,,"J1 A - (North) Bishopthorpe Roa")&amp;":"&amp;ADDRESS(130,3+18*1+(6))),'J1 A - (North) Bishopthorpe Roa'!$A$12:$A$130,"&gt;="&amp;Diagram!$O7,'J1 A - (North) Bishopthorpe Roa'!$A$12:$A$130,"&lt;"&amp;Diagram!$P7),SUMIFS(INDIRECT(ADDRESS(12,3+18*1+(14),,,"J1 A - (North) Bishopthorpe Roa")&amp;":"&amp;ADDRESS(130,3+18*1+(14))),'J1 A - (North) Bishopthorpe Roa'!$A$12:$A$130,"&gt;="&amp;Diagram!$O7,'J1 A - (North) Bishopthorpe Roa'!$A$12:$A$130,"&lt;"&amp;Diagram!$P7)))</f>
        <v>0</v>
      </c>
      <c r="DT7" s="42">
        <f ca="1">IF(OR($I$10="",$O7="",$P7="",$J$41&lt;&gt;"Yes"),0,IF($K$10=0,SUMIFS(INDIRECT(ADDRESS(12,3+18*2+(6),,,"J1 A - (North) Bishopthorpe Roa")&amp;":"&amp;ADDRESS(130,3+18*2+(6))),'J1 A - (North) Bishopthorpe Roa'!$A$12:$A$130,"&gt;="&amp;Diagram!$O7,'J1 A - (North) Bishopthorpe Roa'!$A$12:$A$130,"&lt;"&amp;Diagram!$P7),SUMIFS(INDIRECT(ADDRESS(12,3+18*2+(14),,,"J1 A - (North) Bishopthorpe Roa")&amp;":"&amp;ADDRESS(130,3+18*2+(14))),'J1 A - (North) Bishopthorpe Roa'!$A$12:$A$130,"&gt;="&amp;Diagram!$O7,'J1 A - (North) Bishopthorpe Roa'!$A$12:$A$130,"&lt;"&amp;Diagram!$P7)))</f>
        <v>0</v>
      </c>
      <c r="DU7" s="42">
        <f ca="1">IF(OR($I$10="",$O7="",$P7="",$J$41&lt;&gt;"Yes"),0,IF($K$10=0,SUMIFS(INDIRECT(ADDRESS(12,3+18*2+(6),,,"J1 B - Butcher Terrace")&amp;":"&amp;ADDRESS(130,3+18*2+(6))),'J1 B - Butcher Terrace'!$A$12:$A$130,"&gt;="&amp;Diagram!$O7,'J1 B - Butcher Terrace'!$A$12:$A$130,"&lt;"&amp;Diagram!$P7),SUMIFS(INDIRECT(ADDRESS(12,3+18*2+(14),,,"J1 B - Butcher Terrace")&amp;":"&amp;ADDRESS(130,3+18*2+(14))),'J1 B - Butcher Terrace'!$A$12:$A$130,"&gt;="&amp;Diagram!$O7,'J1 B - Butcher Terrace'!$A$12:$A$130,"&lt;"&amp;Diagram!$P7)))</f>
        <v>0</v>
      </c>
      <c r="DV7" s="42">
        <f ca="1">IF(OR($I$10="",$O7="",$P7="",$J$41&lt;&gt;"Yes"),0,IF($K$10=0,SUMIFS(INDIRECT(ADDRESS(12,3+18*3+(6),,,"J1 B - Butcher Terrace")&amp;":"&amp;ADDRESS(130,3+18*3+(6))),'J1 B - Butcher Terrace'!$A$12:$A$130,"&gt;="&amp;Diagram!$O7,'J1 B - Butcher Terrace'!$A$12:$A$130,"&lt;"&amp;Diagram!$P7),SUMIFS(INDIRECT(ADDRESS(12,3+18*3+(14),,,"J1 B - Butcher Terrace")&amp;":"&amp;ADDRESS(130,3+18*3+(14))),'J1 B - Butcher Terrace'!$A$12:$A$130,"&gt;="&amp;Diagram!$O7,'J1 B - Butcher Terrace'!$A$12:$A$130,"&lt;"&amp;Diagram!$P7)))</f>
        <v>0</v>
      </c>
      <c r="DW7" s="42">
        <f ca="1">IF(OR($I$10="",$O7="",$P7="",$J$41&lt;&gt;"Yes"),0,IF($K$10=0,SUMIFS(INDIRECT(ADDRESS(12,3+18*0+(6),,,"J1 B - Butcher Terrace")&amp;":"&amp;ADDRESS(130,3+18*0+(6))),'J1 B - Butcher Terrace'!$A$12:$A$130,"&gt;="&amp;Diagram!$O7,'J1 B - Butcher Terrace'!$A$12:$A$130,"&lt;"&amp;Diagram!$P7),SUMIFS(INDIRECT(ADDRESS(12,3+18*0+(14),,,"J1 B - Butcher Terrace")&amp;":"&amp;ADDRESS(130,3+18*0+(14))),'J1 B - Butcher Terrace'!$A$12:$A$130,"&gt;="&amp;Diagram!$O7,'J1 B - Butcher Terrace'!$A$12:$A$130,"&lt;"&amp;Diagram!$P7)))</f>
        <v>0</v>
      </c>
      <c r="DX7" s="42">
        <f ca="1">IF(OR($I$10="",$O7="",$P7="",$J$41&lt;&gt;"Yes"),0,IF($K$10=0,SUMIFS(INDIRECT(ADDRESS(12,3+18*1+(6),,,"J1 B - Butcher Terrace")&amp;":"&amp;ADDRESS(130,3+18*1+(6))),'J1 B - Butcher Terrace'!$A$12:$A$130,"&gt;="&amp;Diagram!$O7,'J1 B - Butcher Terrace'!$A$12:$A$130,"&lt;"&amp;Diagram!$P7),SUMIFS(INDIRECT(ADDRESS(12,3+18*1+(14),,,"J1 B - Butcher Terrace")&amp;":"&amp;ADDRESS(130,3+18*1+(14))),'J1 B - Butcher Terrace'!$A$12:$A$130,"&gt;="&amp;Diagram!$O7,'J1 B - Butcher Terrace'!$A$12:$A$130,"&lt;"&amp;Diagram!$P7)))</f>
        <v>0</v>
      </c>
      <c r="DY7" s="42">
        <f ca="1">IF(OR($I$10="",$O7="",$P7="",$J$41&lt;&gt;"Yes"),0,IF($K$10=0,SUMIFS(INDIRECT(ADDRESS(12,3+18*1+(6),,,"J1 C - (South) Bishopthorpe Roa")&amp;":"&amp;ADDRESS(130,3+18*1+(6))),'J1 C - (South) Bishopthorpe Roa'!$A$12:$A$130,"&gt;="&amp;Diagram!$O7,'J1 C - (South) Bishopthorpe Roa'!$A$12:$A$130,"&lt;"&amp;Diagram!$P7),SUMIFS(INDIRECT(ADDRESS(12,3+18*1+(14),,,"J1 C - (South) Bishopthorpe Roa")&amp;":"&amp;ADDRESS(130,3+18*1+(14))),'J1 C - (South) Bishopthorpe Roa'!$A$12:$A$130,"&gt;="&amp;Diagram!$O7,'J1 C - (South) Bishopthorpe Roa'!$A$12:$A$130,"&lt;"&amp;Diagram!$P7)))</f>
        <v>0</v>
      </c>
      <c r="DZ7" s="42">
        <f ca="1">IF(OR($I$10="",$O7="",$P7="",$J$41&lt;&gt;"Yes"),0,IF($K$10=0,SUMIFS(INDIRECT(ADDRESS(12,3+18*2+(6),,,"J1 C - (South) Bishopthorpe Roa")&amp;":"&amp;ADDRESS(130,3+18*2+(6))),'J1 C - (South) Bishopthorpe Roa'!$A$12:$A$130,"&gt;="&amp;Diagram!$O7,'J1 C - (South) Bishopthorpe Roa'!$A$12:$A$130,"&lt;"&amp;Diagram!$P7),SUMIFS(INDIRECT(ADDRESS(12,3+18*2+(14),,,"J1 C - (South) Bishopthorpe Roa")&amp;":"&amp;ADDRESS(130,3+18*2+(14))),'J1 C - (South) Bishopthorpe Roa'!$A$12:$A$130,"&gt;="&amp;Diagram!$O7,'J1 C - (South) Bishopthorpe Roa'!$A$12:$A$130,"&lt;"&amp;Diagram!$P7)))</f>
        <v>0</v>
      </c>
      <c r="EA7" s="42">
        <f ca="1">IF(OR($I$10="",$O7="",$P7="",$J$41&lt;&gt;"Yes"),0,IF($K$10=0,SUMIFS(INDIRECT(ADDRESS(12,3+18*3+(6),,,"J1 C - (South) Bishopthorpe Roa")&amp;":"&amp;ADDRESS(130,3+18*3+(6))),'J1 C - (South) Bishopthorpe Roa'!$A$12:$A$130,"&gt;="&amp;Diagram!$O7,'J1 C - (South) Bishopthorpe Roa'!$A$12:$A$130,"&lt;"&amp;Diagram!$P7),SUMIFS(INDIRECT(ADDRESS(12,3+18*3+(14),,,"J1 C - (South) Bishopthorpe Roa")&amp;":"&amp;ADDRESS(130,3+18*3+(14))),'J1 C - (South) Bishopthorpe Roa'!$A$12:$A$130,"&gt;="&amp;Diagram!$O7,'J1 C - (South) Bishopthorpe Roa'!$A$12:$A$130,"&lt;"&amp;Diagram!$P7)))</f>
        <v>0</v>
      </c>
      <c r="EB7" s="42">
        <f ca="1">IF(OR($I$10="",$O7="",$P7="",$J$41&lt;&gt;"Yes"),0,IF($K$10=0,SUMIFS(INDIRECT(ADDRESS(12,3+18*0+(6),,,"J1 C - (South) Bishopthorpe Roa")&amp;":"&amp;ADDRESS(130,3+18*0+(6))),'J1 C - (South) Bishopthorpe Roa'!$A$12:$A$130,"&gt;="&amp;Diagram!$O7,'J1 C - (South) Bishopthorpe Roa'!$A$12:$A$130,"&lt;"&amp;Diagram!$P7),SUMIFS(INDIRECT(ADDRESS(12,3+18*0+(14),,,"J1 C - (South) Bishopthorpe Roa")&amp;":"&amp;ADDRESS(130,3+18*0+(14))),'J1 C - (South) Bishopthorpe Roa'!$A$12:$A$130,"&gt;="&amp;Diagram!$O7,'J1 C - (South) Bishopthorpe Roa'!$A$12:$A$130,"&lt;"&amp;Diagram!$P7)))</f>
        <v>0</v>
      </c>
      <c r="EC7" s="42">
        <f ca="1">IF(OR($I$10="",$O7="",$P7="",$J$41&lt;&gt;"Yes"),0,IF($K$10=0,SUMIFS(INDIRECT(ADDRESS(12,3+18*0+(6),,,"J1 D - South Bank Avenue")&amp;":"&amp;ADDRESS(130,3+18*0+(6))),'J1 D - South Bank Avenue'!$A$12:$A$130,"&gt;="&amp;Diagram!$O7,'J1 D - South Bank Avenue'!$A$12:$A$130,"&lt;"&amp;Diagram!$P7),SUMIFS(INDIRECT(ADDRESS(12,3+18*0+(14),,,"J1 D - South Bank Avenue")&amp;":"&amp;ADDRESS(130,3+18*0+(14))),'J1 D - South Bank Avenue'!$A$12:$A$130,"&gt;="&amp;Diagram!$O7,'J1 D - South Bank Avenue'!$A$12:$A$130,"&lt;"&amp;Diagram!$P7)))</f>
        <v>0</v>
      </c>
      <c r="ED7" s="42">
        <f ca="1">IF(OR($I$10="",$O7="",$P7="",$J$41&lt;&gt;"Yes"),0,IF($K$10=0,SUMIFS(INDIRECT(ADDRESS(12,3+18*1+(6),,,"J1 D - South Bank Avenue")&amp;":"&amp;ADDRESS(130,3+18*1+(6))),'J1 D - South Bank Avenue'!$A$12:$A$130,"&gt;="&amp;Diagram!$O7,'J1 D - South Bank Avenue'!$A$12:$A$130,"&lt;"&amp;Diagram!$P7),SUMIFS(INDIRECT(ADDRESS(12,3+18*1+(14),,,"J1 D - South Bank Avenue")&amp;":"&amp;ADDRESS(130,3+18*1+(14))),'J1 D - South Bank Avenue'!$A$12:$A$130,"&gt;="&amp;Diagram!$O7,'J1 D - South Bank Avenue'!$A$12:$A$130,"&lt;"&amp;Diagram!$P7)))</f>
        <v>0</v>
      </c>
      <c r="EE7" s="42">
        <f ca="1">IF(OR($I$10="",$O7="",$P7="",$J$41&lt;&gt;"Yes"),0,IF($K$10=0,SUMIFS(INDIRECT(ADDRESS(12,3+18*2+(6),,,"J1 D - South Bank Avenue")&amp;":"&amp;ADDRESS(130,3+18*2+(6))),'J1 D - South Bank Avenue'!$A$12:$A$130,"&gt;="&amp;Diagram!$O7,'J1 D - South Bank Avenue'!$A$12:$A$130,"&lt;"&amp;Diagram!$P7),SUMIFS(INDIRECT(ADDRESS(12,3+18*2+(14),,,"J1 D - South Bank Avenue")&amp;":"&amp;ADDRESS(130,3+18*2+(14))),'J1 D - South Bank Avenue'!$A$12:$A$130,"&gt;="&amp;Diagram!$O7,'J1 D - South Bank Avenue'!$A$12:$A$130,"&lt;"&amp;Diagram!$P7)))</f>
        <v>0</v>
      </c>
      <c r="EF7" s="42">
        <f ca="1">IF(OR($I$10="",$O7="",$P7="",$J$41&lt;&gt;"Yes"),0,IF($K$10=0,SUMIFS(INDIRECT(ADDRESS(12,3+18*3+(6),,,"J1 D - South Bank Avenue")&amp;":"&amp;ADDRESS(130,3+18*3+(6))),'J1 D - South Bank Avenue'!$A$12:$A$130,"&gt;="&amp;Diagram!$O7,'J1 D - South Bank Avenue'!$A$12:$A$130,"&lt;"&amp;Diagram!$P7),SUMIFS(INDIRECT(ADDRESS(12,3+18*3+(14),,,"J1 D - South Bank Avenue")&amp;":"&amp;ADDRESS(130,3+18*3+(14))),'J1 D - South Bank Avenue'!$A$12:$A$130,"&gt;="&amp;Diagram!$O7,'J1 D - South Bank Avenue'!$A$12:$A$130,"&lt;"&amp;Diagram!$P7)))</f>
        <v>0</v>
      </c>
      <c r="EG7" s="42">
        <f t="shared" ca="1" si="8"/>
        <v>0</v>
      </c>
      <c r="EH7" s="42">
        <f ca="1">IF(OR($I$10="",$O7="",$P7="",$J$42&lt;&gt;"Yes"),0,IF($K$10=0,SUMIFS(INDIRECT(ADDRESS(12,3+18*3+(7),,,"J1 A - (North) Bishopthorpe Roa")&amp;":"&amp;ADDRESS(130,3+18*3+(7))),'J1 A - (North) Bishopthorpe Roa'!$A$12:$A$130,"&gt;="&amp;Diagram!$O7,'J1 A - (North) Bishopthorpe Roa'!$A$12:$A$130,"&lt;"&amp;Diagram!$P7),SUMIFS(INDIRECT(ADDRESS(12,3+18*3+(15),,,"J1 A - (North) Bishopthorpe Roa")&amp;":"&amp;ADDRESS(130,3+18*3+(15))),'J1 A - (North) Bishopthorpe Roa'!$A$12:$A$130,"&gt;="&amp;Diagram!$O7,'J1 A - (North) Bishopthorpe Roa'!$A$12:$A$130,"&lt;"&amp;Diagram!$P7)))</f>
        <v>0</v>
      </c>
      <c r="EI7" s="42">
        <f ca="1">IF(OR($I$10="",$O7="",$P7="",$J$42&lt;&gt;"Yes"),0,IF($K$10=0,SUMIFS(INDIRECT(ADDRESS(12,3+18*0+(7),,,"J1 A - (North) Bishopthorpe Roa")&amp;":"&amp;ADDRESS(130,3+18*0+(7))),'J1 A - (North) Bishopthorpe Roa'!$A$12:$A$130,"&gt;="&amp;Diagram!$O7,'J1 A - (North) Bishopthorpe Roa'!$A$12:$A$130,"&lt;"&amp;Diagram!$P7),SUMIFS(INDIRECT(ADDRESS(12,3+18*0+(15),,,"J1 A - (North) Bishopthorpe Roa")&amp;":"&amp;ADDRESS(130,3+18*0+(15))),'J1 A - (North) Bishopthorpe Roa'!$A$12:$A$130,"&gt;="&amp;Diagram!$O7,'J1 A - (North) Bishopthorpe Roa'!$A$12:$A$130,"&lt;"&amp;Diagram!$P7)))</f>
        <v>0</v>
      </c>
      <c r="EJ7" s="42">
        <f ca="1">IF(OR($I$10="",$O7="",$P7="",$J$42&lt;&gt;"Yes"),0,IF($K$10=0,SUMIFS(INDIRECT(ADDRESS(12,3+18*1+(7),,,"J1 A - (North) Bishopthorpe Roa")&amp;":"&amp;ADDRESS(130,3+18*1+(7))),'J1 A - (North) Bishopthorpe Roa'!$A$12:$A$130,"&gt;="&amp;Diagram!$O7,'J1 A - (North) Bishopthorpe Roa'!$A$12:$A$130,"&lt;"&amp;Diagram!$P7),SUMIFS(INDIRECT(ADDRESS(12,3+18*1+(15),,,"J1 A - (North) Bishopthorpe Roa")&amp;":"&amp;ADDRESS(130,3+18*1+(15))),'J1 A - (North) Bishopthorpe Roa'!$A$12:$A$130,"&gt;="&amp;Diagram!$O7,'J1 A - (North) Bishopthorpe Roa'!$A$12:$A$130,"&lt;"&amp;Diagram!$P7)))</f>
        <v>0</v>
      </c>
      <c r="EK7" s="42">
        <f ca="1">IF(OR($I$10="",$O7="",$P7="",$J$42&lt;&gt;"Yes"),0,IF($K$10=0,SUMIFS(INDIRECT(ADDRESS(12,3+18*2+(7),,,"J1 A - (North) Bishopthorpe Roa")&amp;":"&amp;ADDRESS(130,3+18*2+(7))),'J1 A - (North) Bishopthorpe Roa'!$A$12:$A$130,"&gt;="&amp;Diagram!$O7,'J1 A - (North) Bishopthorpe Roa'!$A$12:$A$130,"&lt;"&amp;Diagram!$P7),SUMIFS(INDIRECT(ADDRESS(12,3+18*2+(15),,,"J1 A - (North) Bishopthorpe Roa")&amp;":"&amp;ADDRESS(130,3+18*2+(15))),'J1 A - (North) Bishopthorpe Roa'!$A$12:$A$130,"&gt;="&amp;Diagram!$O7,'J1 A - (North) Bishopthorpe Roa'!$A$12:$A$130,"&lt;"&amp;Diagram!$P7)))</f>
        <v>0</v>
      </c>
      <c r="EL7" s="42">
        <f ca="1">IF(OR($I$10="",$O7="",$P7="",$J$42&lt;&gt;"Yes"),0,IF($K$10=0,SUMIFS(INDIRECT(ADDRESS(12,3+18*2+(7),,,"J1 B - Butcher Terrace")&amp;":"&amp;ADDRESS(130,3+18*2+(7))),'J1 B - Butcher Terrace'!$A$12:$A$130,"&gt;="&amp;Diagram!$O7,'J1 B - Butcher Terrace'!$A$12:$A$130,"&lt;"&amp;Diagram!$P7),SUMIFS(INDIRECT(ADDRESS(12,3+18*2+(15),,,"J1 B - Butcher Terrace")&amp;":"&amp;ADDRESS(130,3+18*2+(15))),'J1 B - Butcher Terrace'!$A$12:$A$130,"&gt;="&amp;Diagram!$O7,'J1 B - Butcher Terrace'!$A$12:$A$130,"&lt;"&amp;Diagram!$P7)))</f>
        <v>0</v>
      </c>
      <c r="EM7" s="42">
        <f ca="1">IF(OR($I$10="",$O7="",$P7="",$J$42&lt;&gt;"Yes"),0,IF($K$10=0,SUMIFS(INDIRECT(ADDRESS(12,3+18*3+(7),,,"J1 B - Butcher Terrace")&amp;":"&amp;ADDRESS(130,3+18*3+(7))),'J1 B - Butcher Terrace'!$A$12:$A$130,"&gt;="&amp;Diagram!$O7,'J1 B - Butcher Terrace'!$A$12:$A$130,"&lt;"&amp;Diagram!$P7),SUMIFS(INDIRECT(ADDRESS(12,3+18*3+(15),,,"J1 B - Butcher Terrace")&amp;":"&amp;ADDRESS(130,3+18*3+(15))),'J1 B - Butcher Terrace'!$A$12:$A$130,"&gt;="&amp;Diagram!$O7,'J1 B - Butcher Terrace'!$A$12:$A$130,"&lt;"&amp;Diagram!$P7)))</f>
        <v>0</v>
      </c>
      <c r="EN7" s="42">
        <f ca="1">IF(OR($I$10="",$O7="",$P7="",$J$42&lt;&gt;"Yes"),0,IF($K$10=0,SUMIFS(INDIRECT(ADDRESS(12,3+18*0+(7),,,"J1 B - Butcher Terrace")&amp;":"&amp;ADDRESS(130,3+18*0+(7))),'J1 B - Butcher Terrace'!$A$12:$A$130,"&gt;="&amp;Diagram!$O7,'J1 B - Butcher Terrace'!$A$12:$A$130,"&lt;"&amp;Diagram!$P7),SUMIFS(INDIRECT(ADDRESS(12,3+18*0+(15),,,"J1 B - Butcher Terrace")&amp;":"&amp;ADDRESS(130,3+18*0+(15))),'J1 B - Butcher Terrace'!$A$12:$A$130,"&gt;="&amp;Diagram!$O7,'J1 B - Butcher Terrace'!$A$12:$A$130,"&lt;"&amp;Diagram!$P7)))</f>
        <v>0</v>
      </c>
      <c r="EO7" s="42">
        <f ca="1">IF(OR($I$10="",$O7="",$P7="",$J$42&lt;&gt;"Yes"),0,IF($K$10=0,SUMIFS(INDIRECT(ADDRESS(12,3+18*1+(7),,,"J1 B - Butcher Terrace")&amp;":"&amp;ADDRESS(130,3+18*1+(7))),'J1 B - Butcher Terrace'!$A$12:$A$130,"&gt;="&amp;Diagram!$O7,'J1 B - Butcher Terrace'!$A$12:$A$130,"&lt;"&amp;Diagram!$P7),SUMIFS(INDIRECT(ADDRESS(12,3+18*1+(15),,,"J1 B - Butcher Terrace")&amp;":"&amp;ADDRESS(130,3+18*1+(15))),'J1 B - Butcher Terrace'!$A$12:$A$130,"&gt;="&amp;Diagram!$O7,'J1 B - Butcher Terrace'!$A$12:$A$130,"&lt;"&amp;Diagram!$P7)))</f>
        <v>0</v>
      </c>
      <c r="EP7" s="42">
        <f ca="1">IF(OR($I$10="",$O7="",$P7="",$J$42&lt;&gt;"Yes"),0,IF($K$10=0,SUMIFS(INDIRECT(ADDRESS(12,3+18*1+(7),,,"J1 C - (South) Bishopthorpe Roa")&amp;":"&amp;ADDRESS(130,3+18*1+(7))),'J1 C - (South) Bishopthorpe Roa'!$A$12:$A$130,"&gt;="&amp;Diagram!$O7,'J1 C - (South) Bishopthorpe Roa'!$A$12:$A$130,"&lt;"&amp;Diagram!$P7),SUMIFS(INDIRECT(ADDRESS(12,3+18*1+(15),,,"J1 C - (South) Bishopthorpe Roa")&amp;":"&amp;ADDRESS(130,3+18*1+(15))),'J1 C - (South) Bishopthorpe Roa'!$A$12:$A$130,"&gt;="&amp;Diagram!$O7,'J1 C - (South) Bishopthorpe Roa'!$A$12:$A$130,"&lt;"&amp;Diagram!$P7)))</f>
        <v>0</v>
      </c>
      <c r="EQ7" s="42">
        <f ca="1">IF(OR($I$10="",$O7="",$P7="",$J$42&lt;&gt;"Yes"),0,IF($K$10=0,SUMIFS(INDIRECT(ADDRESS(12,3+18*2+(7),,,"J1 C - (South) Bishopthorpe Roa")&amp;":"&amp;ADDRESS(130,3+18*2+(7))),'J1 C - (South) Bishopthorpe Roa'!$A$12:$A$130,"&gt;="&amp;Diagram!$O7,'J1 C - (South) Bishopthorpe Roa'!$A$12:$A$130,"&lt;"&amp;Diagram!$P7),SUMIFS(INDIRECT(ADDRESS(12,3+18*2+(15),,,"J1 C - (South) Bishopthorpe Roa")&amp;":"&amp;ADDRESS(130,3+18*2+(15))),'J1 C - (South) Bishopthorpe Roa'!$A$12:$A$130,"&gt;="&amp;Diagram!$O7,'J1 C - (South) Bishopthorpe Roa'!$A$12:$A$130,"&lt;"&amp;Diagram!$P7)))</f>
        <v>0</v>
      </c>
      <c r="ER7" s="42">
        <f ca="1">IF(OR($I$10="",$O7="",$P7="",$J$42&lt;&gt;"Yes"),0,IF($K$10=0,SUMIFS(INDIRECT(ADDRESS(12,3+18*3+(7),,,"J1 C - (South) Bishopthorpe Roa")&amp;":"&amp;ADDRESS(130,3+18*3+(7))),'J1 C - (South) Bishopthorpe Roa'!$A$12:$A$130,"&gt;="&amp;Diagram!$O7,'J1 C - (South) Bishopthorpe Roa'!$A$12:$A$130,"&lt;"&amp;Diagram!$P7),SUMIFS(INDIRECT(ADDRESS(12,3+18*3+(15),,,"J1 C - (South) Bishopthorpe Roa")&amp;":"&amp;ADDRESS(130,3+18*3+(15))),'J1 C - (South) Bishopthorpe Roa'!$A$12:$A$130,"&gt;="&amp;Diagram!$O7,'J1 C - (South) Bishopthorpe Roa'!$A$12:$A$130,"&lt;"&amp;Diagram!$P7)))</f>
        <v>0</v>
      </c>
      <c r="ES7" s="42">
        <f ca="1">IF(OR($I$10="",$O7="",$P7="",$J$42&lt;&gt;"Yes"),0,IF($K$10=0,SUMIFS(INDIRECT(ADDRESS(12,3+18*0+(7),,,"J1 C - (South) Bishopthorpe Roa")&amp;":"&amp;ADDRESS(130,3+18*0+(7))),'J1 C - (South) Bishopthorpe Roa'!$A$12:$A$130,"&gt;="&amp;Diagram!$O7,'J1 C - (South) Bishopthorpe Roa'!$A$12:$A$130,"&lt;"&amp;Diagram!$P7),SUMIFS(INDIRECT(ADDRESS(12,3+18*0+(15),,,"J1 C - (South) Bishopthorpe Roa")&amp;":"&amp;ADDRESS(130,3+18*0+(15))),'J1 C - (South) Bishopthorpe Roa'!$A$12:$A$130,"&gt;="&amp;Diagram!$O7,'J1 C - (South) Bishopthorpe Roa'!$A$12:$A$130,"&lt;"&amp;Diagram!$P7)))</f>
        <v>0</v>
      </c>
      <c r="ET7" s="42">
        <f ca="1">IF(OR($I$10="",$O7="",$P7="",$J$42&lt;&gt;"Yes"),0,IF($K$10=0,SUMIFS(INDIRECT(ADDRESS(12,3+18*0+(7),,,"J1 D - South Bank Avenue")&amp;":"&amp;ADDRESS(130,3+18*0+(7))),'J1 D - South Bank Avenue'!$A$12:$A$130,"&gt;="&amp;Diagram!$O7,'J1 D - South Bank Avenue'!$A$12:$A$130,"&lt;"&amp;Diagram!$P7),SUMIFS(INDIRECT(ADDRESS(12,3+18*0+(15),,,"J1 D - South Bank Avenue")&amp;":"&amp;ADDRESS(130,3+18*0+(15))),'J1 D - South Bank Avenue'!$A$12:$A$130,"&gt;="&amp;Diagram!$O7,'J1 D - South Bank Avenue'!$A$12:$A$130,"&lt;"&amp;Diagram!$P7)))</f>
        <v>0</v>
      </c>
      <c r="EU7" s="42">
        <f ca="1">IF(OR($I$10="",$O7="",$P7="",$J$42&lt;&gt;"Yes"),0,IF($K$10=0,SUMIFS(INDIRECT(ADDRESS(12,3+18*1+(7),,,"J1 D - South Bank Avenue")&amp;":"&amp;ADDRESS(130,3+18*1+(7))),'J1 D - South Bank Avenue'!$A$12:$A$130,"&gt;="&amp;Diagram!$O7,'J1 D - South Bank Avenue'!$A$12:$A$130,"&lt;"&amp;Diagram!$P7),SUMIFS(INDIRECT(ADDRESS(12,3+18*1+(15),,,"J1 D - South Bank Avenue")&amp;":"&amp;ADDRESS(130,3+18*1+(15))),'J1 D - South Bank Avenue'!$A$12:$A$130,"&gt;="&amp;Diagram!$O7,'J1 D - South Bank Avenue'!$A$12:$A$130,"&lt;"&amp;Diagram!$P7)))</f>
        <v>0</v>
      </c>
      <c r="EV7" s="42">
        <f ca="1">IF(OR($I$10="",$O7="",$P7="",$J$42&lt;&gt;"Yes"),0,IF($K$10=0,SUMIFS(INDIRECT(ADDRESS(12,3+18*2+(7),,,"J1 D - South Bank Avenue")&amp;":"&amp;ADDRESS(130,3+18*2+(7))),'J1 D - South Bank Avenue'!$A$12:$A$130,"&gt;="&amp;Diagram!$O7,'J1 D - South Bank Avenue'!$A$12:$A$130,"&lt;"&amp;Diagram!$P7),SUMIFS(INDIRECT(ADDRESS(12,3+18*2+(15),,,"J1 D - South Bank Avenue")&amp;":"&amp;ADDRESS(130,3+18*2+(15))),'J1 D - South Bank Avenue'!$A$12:$A$130,"&gt;="&amp;Diagram!$O7,'J1 D - South Bank Avenue'!$A$12:$A$130,"&lt;"&amp;Diagram!$P7)))</f>
        <v>0</v>
      </c>
      <c r="EW7" s="42">
        <f ca="1">IF(OR($I$10="",$O7="",$P7="",$J$42&lt;&gt;"Yes"),0,IF($K$10=0,SUMIFS(INDIRECT(ADDRESS(12,3+18*3+(7),,,"J1 D - South Bank Avenue")&amp;":"&amp;ADDRESS(130,3+18*3+(7))),'J1 D - South Bank Avenue'!$A$12:$A$130,"&gt;="&amp;Diagram!$O7,'J1 D - South Bank Avenue'!$A$12:$A$130,"&lt;"&amp;Diagram!$P7),SUMIFS(INDIRECT(ADDRESS(12,3+18*3+(15),,,"J1 D - South Bank Avenue")&amp;":"&amp;ADDRESS(130,3+18*3+(15))),'J1 D - South Bank Avenue'!$A$12:$A$130,"&gt;="&amp;Diagram!$O7,'J1 D - South Bank Avenue'!$A$12:$A$130,"&lt;"&amp;Diagram!$P7)))</f>
        <v>0</v>
      </c>
    </row>
    <row r="8" spans="1:153" ht="253.95" customHeight="1">
      <c r="A8" s="1">
        <v>44395.072916666701</v>
      </c>
      <c r="B8" s="1">
        <v>44395.083333333299</v>
      </c>
      <c r="O8" s="3">
        <v>44395.072916666701</v>
      </c>
      <c r="P8" s="3">
        <v>44395.114583333299</v>
      </c>
      <c r="Q8" s="42">
        <f t="shared" ca="1" si="0"/>
        <v>13</v>
      </c>
      <c r="R8" s="42">
        <f t="shared" ca="1" si="1"/>
        <v>13</v>
      </c>
      <c r="S8" s="42">
        <f ca="1">IF(OR($I$10="",$O8="",$P8="",$J$35&lt;&gt;"Yes"),0,IF($K$10=0,SUMIFS(INDIRECT(ADDRESS(12,3+18*3+(0),,,"J1 A - (North) Bishopthorpe Roa")&amp;":"&amp;ADDRESS(130,3+18*3+(0))),'J1 A - (North) Bishopthorpe Roa'!$A$12:$A$130,"&gt;="&amp;Diagram!$O8,'J1 A - (North) Bishopthorpe Roa'!$A$12:$A$130,"&lt;"&amp;Diagram!$P8),SUMIFS(INDIRECT(ADDRESS(12,3+18*3+(8),,,"J1 A - (North) Bishopthorpe Roa")&amp;":"&amp;ADDRESS(130,3+18*3+(8))),'J1 A - (North) Bishopthorpe Roa'!$A$12:$A$130,"&gt;="&amp;Diagram!$O8,'J1 A - (North) Bishopthorpe Roa'!$A$12:$A$130,"&lt;"&amp;Diagram!$P8)))</f>
        <v>0</v>
      </c>
      <c r="T8" s="42">
        <f ca="1">IF(OR($I$10="",$O8="",$P8="",$J$35&lt;&gt;"Yes"),0,IF($K$10=0,SUMIFS(INDIRECT(ADDRESS(12,3+18*0+(0),,,"J1 A - (North) Bishopthorpe Roa")&amp;":"&amp;ADDRESS(130,3+18*0+(0))),'J1 A - (North) Bishopthorpe Roa'!$A$12:$A$130,"&gt;="&amp;Diagram!$O8,'J1 A - (North) Bishopthorpe Roa'!$A$12:$A$130,"&lt;"&amp;Diagram!$P8),SUMIFS(INDIRECT(ADDRESS(12,3+18*0+(8),,,"J1 A - (North) Bishopthorpe Roa")&amp;":"&amp;ADDRESS(130,3+18*0+(8))),'J1 A - (North) Bishopthorpe Roa'!$A$12:$A$130,"&gt;="&amp;Diagram!$O8,'J1 A - (North) Bishopthorpe Roa'!$A$12:$A$130,"&lt;"&amp;Diagram!$P8)))</f>
        <v>0</v>
      </c>
      <c r="U8" s="42">
        <f ca="1">IF(OR($I$10="",$O8="",$P8="",$J$35&lt;&gt;"Yes"),0,IF($K$10=0,SUMIFS(INDIRECT(ADDRESS(12,3+18*1+(0),,,"J1 A - (North) Bishopthorpe Roa")&amp;":"&amp;ADDRESS(130,3+18*1+(0))),'J1 A - (North) Bishopthorpe Roa'!$A$12:$A$130,"&gt;="&amp;Diagram!$O8,'J1 A - (North) Bishopthorpe Roa'!$A$12:$A$130,"&lt;"&amp;Diagram!$P8),SUMIFS(INDIRECT(ADDRESS(12,3+18*1+(8),,,"J1 A - (North) Bishopthorpe Roa")&amp;":"&amp;ADDRESS(130,3+18*1+(8))),'J1 A - (North) Bishopthorpe Roa'!$A$12:$A$130,"&gt;="&amp;Diagram!$O8,'J1 A - (North) Bishopthorpe Roa'!$A$12:$A$130,"&lt;"&amp;Diagram!$P8)))</f>
        <v>7</v>
      </c>
      <c r="V8" s="42">
        <f ca="1">IF(OR($I$10="",$O8="",$P8="",$J$35&lt;&gt;"Yes"),0,IF($K$10=0,SUMIFS(INDIRECT(ADDRESS(12,3+18*2+(0),,,"J1 A - (North) Bishopthorpe Roa")&amp;":"&amp;ADDRESS(130,3+18*2+(0))),'J1 A - (North) Bishopthorpe Roa'!$A$12:$A$130,"&gt;="&amp;Diagram!$O8,'J1 A - (North) Bishopthorpe Roa'!$A$12:$A$130,"&lt;"&amp;Diagram!$P8),SUMIFS(INDIRECT(ADDRESS(12,3+18*2+(8),,,"J1 A - (North) Bishopthorpe Roa")&amp;":"&amp;ADDRESS(130,3+18*2+(8))),'J1 A - (North) Bishopthorpe Roa'!$A$12:$A$130,"&gt;="&amp;Diagram!$O8,'J1 A - (North) Bishopthorpe Roa'!$A$12:$A$130,"&lt;"&amp;Diagram!$P8)))</f>
        <v>0</v>
      </c>
      <c r="W8" s="42">
        <f ca="1">IF(OR($I$10="",$O8="",$P8="",$J$35&lt;&gt;"Yes"),0,IF($K$10=0,SUMIFS(INDIRECT(ADDRESS(12,3+18*2+(0),,,"J1 B - Butcher Terrace")&amp;":"&amp;ADDRESS(130,3+18*2+(0))),'J1 B - Butcher Terrace'!$A$12:$A$130,"&gt;="&amp;Diagram!$O8,'J1 B - Butcher Terrace'!$A$12:$A$130,"&lt;"&amp;Diagram!$P8),SUMIFS(INDIRECT(ADDRESS(12,3+18*2+(8),,,"J1 B - Butcher Terrace")&amp;":"&amp;ADDRESS(130,3+18*2+(8))),'J1 B - Butcher Terrace'!$A$12:$A$130,"&gt;="&amp;Diagram!$O8,'J1 B - Butcher Terrace'!$A$12:$A$130,"&lt;"&amp;Diagram!$P8)))</f>
        <v>0</v>
      </c>
      <c r="X8" s="42">
        <f ca="1">IF(OR($I$10="",$O8="",$P8="",$J$35&lt;&gt;"Yes"),0,IF($K$10=0,SUMIFS(INDIRECT(ADDRESS(12,3+18*3+(0),,,"J1 B - Butcher Terrace")&amp;":"&amp;ADDRESS(130,3+18*3+(0))),'J1 B - Butcher Terrace'!$A$12:$A$130,"&gt;="&amp;Diagram!$O8,'J1 B - Butcher Terrace'!$A$12:$A$130,"&lt;"&amp;Diagram!$P8),SUMIFS(INDIRECT(ADDRESS(12,3+18*3+(8),,,"J1 B - Butcher Terrace")&amp;":"&amp;ADDRESS(130,3+18*3+(8))),'J1 B - Butcher Terrace'!$A$12:$A$130,"&gt;="&amp;Diagram!$O8,'J1 B - Butcher Terrace'!$A$12:$A$130,"&lt;"&amp;Diagram!$P8)))</f>
        <v>0</v>
      </c>
      <c r="Y8" s="42">
        <f ca="1">IF(OR($I$10="",$O8="",$P8="",$J$35&lt;&gt;"Yes"),0,IF($K$10=0,SUMIFS(INDIRECT(ADDRESS(12,3+18*0+(0),,,"J1 B - Butcher Terrace")&amp;":"&amp;ADDRESS(130,3+18*0+(0))),'J1 B - Butcher Terrace'!$A$12:$A$130,"&gt;="&amp;Diagram!$O8,'J1 B - Butcher Terrace'!$A$12:$A$130,"&lt;"&amp;Diagram!$P8),SUMIFS(INDIRECT(ADDRESS(12,3+18*0+(8),,,"J1 B - Butcher Terrace")&amp;":"&amp;ADDRESS(130,3+18*0+(8))),'J1 B - Butcher Terrace'!$A$12:$A$130,"&gt;="&amp;Diagram!$O8,'J1 B - Butcher Terrace'!$A$12:$A$130,"&lt;"&amp;Diagram!$P8)))</f>
        <v>0</v>
      </c>
      <c r="Z8" s="42">
        <f ca="1">IF(OR($I$10="",$O8="",$P8="",$J$35&lt;&gt;"Yes"),0,IF($K$10=0,SUMIFS(INDIRECT(ADDRESS(12,3+18*1+(0),,,"J1 B - Butcher Terrace")&amp;":"&amp;ADDRESS(130,3+18*1+(0))),'J1 B - Butcher Terrace'!$A$12:$A$130,"&gt;="&amp;Diagram!$O8,'J1 B - Butcher Terrace'!$A$12:$A$130,"&lt;"&amp;Diagram!$P8),SUMIFS(INDIRECT(ADDRESS(12,3+18*1+(8),,,"J1 B - Butcher Terrace")&amp;":"&amp;ADDRESS(130,3+18*1+(8))),'J1 B - Butcher Terrace'!$A$12:$A$130,"&gt;="&amp;Diagram!$O8,'J1 B - Butcher Terrace'!$A$12:$A$130,"&lt;"&amp;Diagram!$P8)))</f>
        <v>0</v>
      </c>
      <c r="AA8" s="42">
        <f ca="1">IF(OR($I$10="",$O8="",$P8="",$J$35&lt;&gt;"Yes"),0,IF($K$10=0,SUMIFS(INDIRECT(ADDRESS(12,3+18*1+(0),,,"J1 C - (South) Bishopthorpe Roa")&amp;":"&amp;ADDRESS(130,3+18*1+(0))),'J1 C - (South) Bishopthorpe Roa'!$A$12:$A$130,"&gt;="&amp;Diagram!$O8,'J1 C - (South) Bishopthorpe Roa'!$A$12:$A$130,"&lt;"&amp;Diagram!$P8),SUMIFS(INDIRECT(ADDRESS(12,3+18*1+(8),,,"J1 C - (South) Bishopthorpe Roa")&amp;":"&amp;ADDRESS(130,3+18*1+(8))),'J1 C - (South) Bishopthorpe Roa'!$A$12:$A$130,"&gt;="&amp;Diagram!$O8,'J1 C - (South) Bishopthorpe Roa'!$A$12:$A$130,"&lt;"&amp;Diagram!$P8)))</f>
        <v>4</v>
      </c>
      <c r="AB8" s="42">
        <f ca="1">IF(OR($I$10="",$O8="",$P8="",$J$35&lt;&gt;"Yes"),0,IF($K$10=0,SUMIFS(INDIRECT(ADDRESS(12,3+18*2+(0),,,"J1 C - (South) Bishopthorpe Roa")&amp;":"&amp;ADDRESS(130,3+18*2+(0))),'J1 C - (South) Bishopthorpe Roa'!$A$12:$A$130,"&gt;="&amp;Diagram!$O8,'J1 C - (South) Bishopthorpe Roa'!$A$12:$A$130,"&lt;"&amp;Diagram!$P8),SUMIFS(INDIRECT(ADDRESS(12,3+18*2+(8),,,"J1 C - (South) Bishopthorpe Roa")&amp;":"&amp;ADDRESS(130,3+18*2+(8))),'J1 C - (South) Bishopthorpe Roa'!$A$12:$A$130,"&gt;="&amp;Diagram!$O8,'J1 C - (South) Bishopthorpe Roa'!$A$12:$A$130,"&lt;"&amp;Diagram!$P8)))</f>
        <v>1</v>
      </c>
      <c r="AC8" s="42">
        <f ca="1">IF(OR($I$10="",$O8="",$P8="",$J$35&lt;&gt;"Yes"),0,IF($K$10=0,SUMIFS(INDIRECT(ADDRESS(12,3+18*3+(0),,,"J1 C - (South) Bishopthorpe Roa")&amp;":"&amp;ADDRESS(130,3+18*3+(0))),'J1 C - (South) Bishopthorpe Roa'!$A$12:$A$130,"&gt;="&amp;Diagram!$O8,'J1 C - (South) Bishopthorpe Roa'!$A$12:$A$130,"&lt;"&amp;Diagram!$P8),SUMIFS(INDIRECT(ADDRESS(12,3+18*3+(8),,,"J1 C - (South) Bishopthorpe Roa")&amp;":"&amp;ADDRESS(130,3+18*3+(8))),'J1 C - (South) Bishopthorpe Roa'!$A$12:$A$130,"&gt;="&amp;Diagram!$O8,'J1 C - (South) Bishopthorpe Roa'!$A$12:$A$130,"&lt;"&amp;Diagram!$P8)))</f>
        <v>0</v>
      </c>
      <c r="AD8" s="42">
        <f ca="1">IF(OR($I$10="",$O8="",$P8="",$J$35&lt;&gt;"Yes"),0,IF($K$10=0,SUMIFS(INDIRECT(ADDRESS(12,3+18*0+(0),,,"J1 C - (South) Bishopthorpe Roa")&amp;":"&amp;ADDRESS(130,3+18*0+(0))),'J1 C - (South) Bishopthorpe Roa'!$A$12:$A$130,"&gt;="&amp;Diagram!$O8,'J1 C - (South) Bishopthorpe Roa'!$A$12:$A$130,"&lt;"&amp;Diagram!$P8),SUMIFS(INDIRECT(ADDRESS(12,3+18*0+(8),,,"J1 C - (South) Bishopthorpe Roa")&amp;":"&amp;ADDRESS(130,3+18*0+(8))),'J1 C - (South) Bishopthorpe Roa'!$A$12:$A$130,"&gt;="&amp;Diagram!$O8,'J1 C - (South) Bishopthorpe Roa'!$A$12:$A$130,"&lt;"&amp;Diagram!$P8)))</f>
        <v>0</v>
      </c>
      <c r="AE8" s="42">
        <f ca="1">IF(OR($I$10="",$O8="",$P8="",$J$35&lt;&gt;"Yes"),0,IF($K$10=0,SUMIFS(INDIRECT(ADDRESS(12,3+18*0+(0),,,"J1 D - South Bank Avenue")&amp;":"&amp;ADDRESS(130,3+18*0+(0))),'J1 D - South Bank Avenue'!$A$12:$A$130,"&gt;="&amp;Diagram!$O8,'J1 D - South Bank Avenue'!$A$12:$A$130,"&lt;"&amp;Diagram!$P8),SUMIFS(INDIRECT(ADDRESS(12,3+18*0+(8),,,"J1 D - South Bank Avenue")&amp;":"&amp;ADDRESS(130,3+18*0+(8))),'J1 D - South Bank Avenue'!$A$12:$A$130,"&gt;="&amp;Diagram!$O8,'J1 D - South Bank Avenue'!$A$12:$A$130,"&lt;"&amp;Diagram!$P8)))</f>
        <v>1</v>
      </c>
      <c r="AF8" s="42">
        <f ca="1">IF(OR($I$10="",$O8="",$P8="",$J$35&lt;&gt;"Yes"),0,IF($K$10=0,SUMIFS(INDIRECT(ADDRESS(12,3+18*1+(0),,,"J1 D - South Bank Avenue")&amp;":"&amp;ADDRESS(130,3+18*1+(0))),'J1 D - South Bank Avenue'!$A$12:$A$130,"&gt;="&amp;Diagram!$O8,'J1 D - South Bank Avenue'!$A$12:$A$130,"&lt;"&amp;Diagram!$P8),SUMIFS(INDIRECT(ADDRESS(12,3+18*1+(8),,,"J1 D - South Bank Avenue")&amp;":"&amp;ADDRESS(130,3+18*1+(8))),'J1 D - South Bank Avenue'!$A$12:$A$130,"&gt;="&amp;Diagram!$O8,'J1 D - South Bank Avenue'!$A$12:$A$130,"&lt;"&amp;Diagram!$P8)))</f>
        <v>0</v>
      </c>
      <c r="AG8" s="42">
        <f ca="1">IF(OR($I$10="",$O8="",$P8="",$J$35&lt;&gt;"Yes"),0,IF($K$10=0,SUMIFS(INDIRECT(ADDRESS(12,3+18*2+(0),,,"J1 D - South Bank Avenue")&amp;":"&amp;ADDRESS(130,3+18*2+(0))),'J1 D - South Bank Avenue'!$A$12:$A$130,"&gt;="&amp;Diagram!$O8,'J1 D - South Bank Avenue'!$A$12:$A$130,"&lt;"&amp;Diagram!$P8),SUMIFS(INDIRECT(ADDRESS(12,3+18*2+(8),,,"J1 D - South Bank Avenue")&amp;":"&amp;ADDRESS(130,3+18*2+(8))),'J1 D - South Bank Avenue'!$A$12:$A$130,"&gt;="&amp;Diagram!$O8,'J1 D - South Bank Avenue'!$A$12:$A$130,"&lt;"&amp;Diagram!$P8)))</f>
        <v>0</v>
      </c>
      <c r="AH8" s="42">
        <f ca="1">IF(OR($I$10="",$O8="",$P8="",$J$35&lt;&gt;"Yes"),0,IF($K$10=0,SUMIFS(INDIRECT(ADDRESS(12,3+18*3+(0),,,"J1 D - South Bank Avenue")&amp;":"&amp;ADDRESS(130,3+18*3+(0))),'J1 D - South Bank Avenue'!$A$12:$A$130,"&gt;="&amp;Diagram!$O8,'J1 D - South Bank Avenue'!$A$12:$A$130,"&lt;"&amp;Diagram!$P8),SUMIFS(INDIRECT(ADDRESS(12,3+18*3+(8),,,"J1 D - South Bank Avenue")&amp;":"&amp;ADDRESS(130,3+18*3+(8))),'J1 D - South Bank Avenue'!$A$12:$A$130,"&gt;="&amp;Diagram!$O8,'J1 D - South Bank Avenue'!$A$12:$A$130,"&lt;"&amp;Diagram!$P8)))</f>
        <v>0</v>
      </c>
      <c r="AI8" s="42">
        <f t="shared" ca="1" si="2"/>
        <v>0</v>
      </c>
      <c r="AJ8" s="42">
        <f ca="1">IF(OR($I$10="",$O8="",$P8="",$J$36&lt;&gt;"Yes"),0,IF($K$10=0,SUMIFS(INDIRECT(ADDRESS(12,3+18*3+(1),,,"J1 A - (North) Bishopthorpe Roa")&amp;":"&amp;ADDRESS(130,3+18*3+(1))),'J1 A - (North) Bishopthorpe Roa'!$A$12:$A$130,"&gt;="&amp;Diagram!$O8,'J1 A - (North) Bishopthorpe Roa'!$A$12:$A$130,"&lt;"&amp;Diagram!$P8),SUMIFS(INDIRECT(ADDRESS(12,3+18*3+(9),,,"J1 A - (North) Bishopthorpe Roa")&amp;":"&amp;ADDRESS(130,3+18*3+(9))),'J1 A - (North) Bishopthorpe Roa'!$A$12:$A$130,"&gt;="&amp;Diagram!$O8,'J1 A - (North) Bishopthorpe Roa'!$A$12:$A$130,"&lt;"&amp;Diagram!$P8)))</f>
        <v>0</v>
      </c>
      <c r="AK8" s="42">
        <f ca="1">IF(OR($I$10="",$O8="",$P8="",$J$36&lt;&gt;"Yes"),0,IF($K$10=0,SUMIFS(INDIRECT(ADDRESS(12,3+18*0+(1),,,"J1 A - (North) Bishopthorpe Roa")&amp;":"&amp;ADDRESS(130,3+18*0+(1))),'J1 A - (North) Bishopthorpe Roa'!$A$12:$A$130,"&gt;="&amp;Diagram!$O8,'J1 A - (North) Bishopthorpe Roa'!$A$12:$A$130,"&lt;"&amp;Diagram!$P8),SUMIFS(INDIRECT(ADDRESS(12,3+18*0+(9),,,"J1 A - (North) Bishopthorpe Roa")&amp;":"&amp;ADDRESS(130,3+18*0+(9))),'J1 A - (North) Bishopthorpe Roa'!$A$12:$A$130,"&gt;="&amp;Diagram!$O8,'J1 A - (North) Bishopthorpe Roa'!$A$12:$A$130,"&lt;"&amp;Diagram!$P8)))</f>
        <v>0</v>
      </c>
      <c r="AL8" s="42">
        <f ca="1">IF(OR($I$10="",$O8="",$P8="",$J$36&lt;&gt;"Yes"),0,IF($K$10=0,SUMIFS(INDIRECT(ADDRESS(12,3+18*1+(1),,,"J1 A - (North) Bishopthorpe Roa")&amp;":"&amp;ADDRESS(130,3+18*1+(1))),'J1 A - (North) Bishopthorpe Roa'!$A$12:$A$130,"&gt;="&amp;Diagram!$O8,'J1 A - (North) Bishopthorpe Roa'!$A$12:$A$130,"&lt;"&amp;Diagram!$P8),SUMIFS(INDIRECT(ADDRESS(12,3+18*1+(9),,,"J1 A - (North) Bishopthorpe Roa")&amp;":"&amp;ADDRESS(130,3+18*1+(9))),'J1 A - (North) Bishopthorpe Roa'!$A$12:$A$130,"&gt;="&amp;Diagram!$O8,'J1 A - (North) Bishopthorpe Roa'!$A$12:$A$130,"&lt;"&amp;Diagram!$P8)))</f>
        <v>0</v>
      </c>
      <c r="AM8" s="42">
        <f ca="1">IF(OR($I$10="",$O8="",$P8="",$J$36&lt;&gt;"Yes"),0,IF($K$10=0,SUMIFS(INDIRECT(ADDRESS(12,3+18*2+(1),,,"J1 A - (North) Bishopthorpe Roa")&amp;":"&amp;ADDRESS(130,3+18*2+(1))),'J1 A - (North) Bishopthorpe Roa'!$A$12:$A$130,"&gt;="&amp;Diagram!$O8,'J1 A - (North) Bishopthorpe Roa'!$A$12:$A$130,"&lt;"&amp;Diagram!$P8),SUMIFS(INDIRECT(ADDRESS(12,3+18*2+(9),,,"J1 A - (North) Bishopthorpe Roa")&amp;":"&amp;ADDRESS(130,3+18*2+(9))),'J1 A - (North) Bishopthorpe Roa'!$A$12:$A$130,"&gt;="&amp;Diagram!$O8,'J1 A - (North) Bishopthorpe Roa'!$A$12:$A$130,"&lt;"&amp;Diagram!$P8)))</f>
        <v>0</v>
      </c>
      <c r="AN8" s="42">
        <f ca="1">IF(OR($I$10="",$O8="",$P8="",$J$36&lt;&gt;"Yes"),0,IF($K$10=0,SUMIFS(INDIRECT(ADDRESS(12,3+18*2+(1),,,"J1 B - Butcher Terrace")&amp;":"&amp;ADDRESS(130,3+18*2+(1))),'J1 B - Butcher Terrace'!$A$12:$A$130,"&gt;="&amp;Diagram!$O8,'J1 B - Butcher Terrace'!$A$12:$A$130,"&lt;"&amp;Diagram!$P8),SUMIFS(INDIRECT(ADDRESS(12,3+18*2+(9),,,"J1 B - Butcher Terrace")&amp;":"&amp;ADDRESS(130,3+18*2+(9))),'J1 B - Butcher Terrace'!$A$12:$A$130,"&gt;="&amp;Diagram!$O8,'J1 B - Butcher Terrace'!$A$12:$A$130,"&lt;"&amp;Diagram!$P8)))</f>
        <v>0</v>
      </c>
      <c r="AO8" s="42">
        <f ca="1">IF(OR($I$10="",$O8="",$P8="",$J$36&lt;&gt;"Yes"),0,IF($K$10=0,SUMIFS(INDIRECT(ADDRESS(12,3+18*3+(1),,,"J1 B - Butcher Terrace")&amp;":"&amp;ADDRESS(130,3+18*3+(1))),'J1 B - Butcher Terrace'!$A$12:$A$130,"&gt;="&amp;Diagram!$O8,'J1 B - Butcher Terrace'!$A$12:$A$130,"&lt;"&amp;Diagram!$P8),SUMIFS(INDIRECT(ADDRESS(12,3+18*3+(9),,,"J1 B - Butcher Terrace")&amp;":"&amp;ADDRESS(130,3+18*3+(9))),'J1 B - Butcher Terrace'!$A$12:$A$130,"&gt;="&amp;Diagram!$O8,'J1 B - Butcher Terrace'!$A$12:$A$130,"&lt;"&amp;Diagram!$P8)))</f>
        <v>0</v>
      </c>
      <c r="AP8" s="42">
        <f ca="1">IF(OR($I$10="",$O8="",$P8="",$J$36&lt;&gt;"Yes"),0,IF($K$10=0,SUMIFS(INDIRECT(ADDRESS(12,3+18*0+(1),,,"J1 B - Butcher Terrace")&amp;":"&amp;ADDRESS(130,3+18*0+(1))),'J1 B - Butcher Terrace'!$A$12:$A$130,"&gt;="&amp;Diagram!$O8,'J1 B - Butcher Terrace'!$A$12:$A$130,"&lt;"&amp;Diagram!$P8),SUMIFS(INDIRECT(ADDRESS(12,3+18*0+(9),,,"J1 B - Butcher Terrace")&amp;":"&amp;ADDRESS(130,3+18*0+(9))),'J1 B - Butcher Terrace'!$A$12:$A$130,"&gt;="&amp;Diagram!$O8,'J1 B - Butcher Terrace'!$A$12:$A$130,"&lt;"&amp;Diagram!$P8)))</f>
        <v>0</v>
      </c>
      <c r="AQ8" s="42">
        <f ca="1">IF(OR($I$10="",$O8="",$P8="",$J$36&lt;&gt;"Yes"),0,IF($K$10=0,SUMIFS(INDIRECT(ADDRESS(12,3+18*1+(1),,,"J1 B - Butcher Terrace")&amp;":"&amp;ADDRESS(130,3+18*1+(1))),'J1 B - Butcher Terrace'!$A$12:$A$130,"&gt;="&amp;Diagram!$O8,'J1 B - Butcher Terrace'!$A$12:$A$130,"&lt;"&amp;Diagram!$P8),SUMIFS(INDIRECT(ADDRESS(12,3+18*1+(9),,,"J1 B - Butcher Terrace")&amp;":"&amp;ADDRESS(130,3+18*1+(9))),'J1 B - Butcher Terrace'!$A$12:$A$130,"&gt;="&amp;Diagram!$O8,'J1 B - Butcher Terrace'!$A$12:$A$130,"&lt;"&amp;Diagram!$P8)))</f>
        <v>0</v>
      </c>
      <c r="AR8" s="42">
        <f ca="1">IF(OR($I$10="",$O8="",$P8="",$J$36&lt;&gt;"Yes"),0,IF($K$10=0,SUMIFS(INDIRECT(ADDRESS(12,3+18*1+(1),,,"J1 C - (South) Bishopthorpe Roa")&amp;":"&amp;ADDRESS(130,3+18*1+(1))),'J1 C - (South) Bishopthorpe Roa'!$A$12:$A$130,"&gt;="&amp;Diagram!$O8,'J1 C - (South) Bishopthorpe Roa'!$A$12:$A$130,"&lt;"&amp;Diagram!$P8),SUMIFS(INDIRECT(ADDRESS(12,3+18*1+(9),,,"J1 C - (South) Bishopthorpe Roa")&amp;":"&amp;ADDRESS(130,3+18*1+(9))),'J1 C - (South) Bishopthorpe Roa'!$A$12:$A$130,"&gt;="&amp;Diagram!$O8,'J1 C - (South) Bishopthorpe Roa'!$A$12:$A$130,"&lt;"&amp;Diagram!$P8)))</f>
        <v>0</v>
      </c>
      <c r="AS8" s="42">
        <f ca="1">IF(OR($I$10="",$O8="",$P8="",$J$36&lt;&gt;"Yes"),0,IF($K$10=0,SUMIFS(INDIRECT(ADDRESS(12,3+18*2+(1),,,"J1 C - (South) Bishopthorpe Roa")&amp;":"&amp;ADDRESS(130,3+18*2+(1))),'J1 C - (South) Bishopthorpe Roa'!$A$12:$A$130,"&gt;="&amp;Diagram!$O8,'J1 C - (South) Bishopthorpe Roa'!$A$12:$A$130,"&lt;"&amp;Diagram!$P8),SUMIFS(INDIRECT(ADDRESS(12,3+18*2+(9),,,"J1 C - (South) Bishopthorpe Roa")&amp;":"&amp;ADDRESS(130,3+18*2+(9))),'J1 C - (South) Bishopthorpe Roa'!$A$12:$A$130,"&gt;="&amp;Diagram!$O8,'J1 C - (South) Bishopthorpe Roa'!$A$12:$A$130,"&lt;"&amp;Diagram!$P8)))</f>
        <v>0</v>
      </c>
      <c r="AT8" s="42">
        <f ca="1">IF(OR($I$10="",$O8="",$P8="",$J$36&lt;&gt;"Yes"),0,IF($K$10=0,SUMIFS(INDIRECT(ADDRESS(12,3+18*3+(1),,,"J1 C - (South) Bishopthorpe Roa")&amp;":"&amp;ADDRESS(130,3+18*3+(1))),'J1 C - (South) Bishopthorpe Roa'!$A$12:$A$130,"&gt;="&amp;Diagram!$O8,'J1 C - (South) Bishopthorpe Roa'!$A$12:$A$130,"&lt;"&amp;Diagram!$P8),SUMIFS(INDIRECT(ADDRESS(12,3+18*3+(9),,,"J1 C - (South) Bishopthorpe Roa")&amp;":"&amp;ADDRESS(130,3+18*3+(9))),'J1 C - (South) Bishopthorpe Roa'!$A$12:$A$130,"&gt;="&amp;Diagram!$O8,'J1 C - (South) Bishopthorpe Roa'!$A$12:$A$130,"&lt;"&amp;Diagram!$P8)))</f>
        <v>0</v>
      </c>
      <c r="AU8" s="42">
        <f ca="1">IF(OR($I$10="",$O8="",$P8="",$J$36&lt;&gt;"Yes"),0,IF($K$10=0,SUMIFS(INDIRECT(ADDRESS(12,3+18*0+(1),,,"J1 C - (South) Bishopthorpe Roa")&amp;":"&amp;ADDRESS(130,3+18*0+(1))),'J1 C - (South) Bishopthorpe Roa'!$A$12:$A$130,"&gt;="&amp;Diagram!$O8,'J1 C - (South) Bishopthorpe Roa'!$A$12:$A$130,"&lt;"&amp;Diagram!$P8),SUMIFS(INDIRECT(ADDRESS(12,3+18*0+(9),,,"J1 C - (South) Bishopthorpe Roa")&amp;":"&amp;ADDRESS(130,3+18*0+(9))),'J1 C - (South) Bishopthorpe Roa'!$A$12:$A$130,"&gt;="&amp;Diagram!$O8,'J1 C - (South) Bishopthorpe Roa'!$A$12:$A$130,"&lt;"&amp;Diagram!$P8)))</f>
        <v>0</v>
      </c>
      <c r="AV8" s="42">
        <f ca="1">IF(OR($I$10="",$O8="",$P8="",$J$36&lt;&gt;"Yes"),0,IF($K$10=0,SUMIFS(INDIRECT(ADDRESS(12,3+18*0+(1),,,"J1 D - South Bank Avenue")&amp;":"&amp;ADDRESS(130,3+18*0+(1))),'J1 D - South Bank Avenue'!$A$12:$A$130,"&gt;="&amp;Diagram!$O8,'J1 D - South Bank Avenue'!$A$12:$A$130,"&lt;"&amp;Diagram!$P8),SUMIFS(INDIRECT(ADDRESS(12,3+18*0+(9),,,"J1 D - South Bank Avenue")&amp;":"&amp;ADDRESS(130,3+18*0+(9))),'J1 D - South Bank Avenue'!$A$12:$A$130,"&gt;="&amp;Diagram!$O8,'J1 D - South Bank Avenue'!$A$12:$A$130,"&lt;"&amp;Diagram!$P8)))</f>
        <v>0</v>
      </c>
      <c r="AW8" s="42">
        <f ca="1">IF(OR($I$10="",$O8="",$P8="",$J$36&lt;&gt;"Yes"),0,IF($K$10=0,SUMIFS(INDIRECT(ADDRESS(12,3+18*1+(1),,,"J1 D - South Bank Avenue")&amp;":"&amp;ADDRESS(130,3+18*1+(1))),'J1 D - South Bank Avenue'!$A$12:$A$130,"&gt;="&amp;Diagram!$O8,'J1 D - South Bank Avenue'!$A$12:$A$130,"&lt;"&amp;Diagram!$P8),SUMIFS(INDIRECT(ADDRESS(12,3+18*1+(9),,,"J1 D - South Bank Avenue")&amp;":"&amp;ADDRESS(130,3+18*1+(9))),'J1 D - South Bank Avenue'!$A$12:$A$130,"&gt;="&amp;Diagram!$O8,'J1 D - South Bank Avenue'!$A$12:$A$130,"&lt;"&amp;Diagram!$P8)))</f>
        <v>0</v>
      </c>
      <c r="AX8" s="42">
        <f ca="1">IF(OR($I$10="",$O8="",$P8="",$J$36&lt;&gt;"Yes"),0,IF($K$10=0,SUMIFS(INDIRECT(ADDRESS(12,3+18*2+(1),,,"J1 D - South Bank Avenue")&amp;":"&amp;ADDRESS(130,3+18*2+(1))),'J1 D - South Bank Avenue'!$A$12:$A$130,"&gt;="&amp;Diagram!$O8,'J1 D - South Bank Avenue'!$A$12:$A$130,"&lt;"&amp;Diagram!$P8),SUMIFS(INDIRECT(ADDRESS(12,3+18*2+(9),,,"J1 D - South Bank Avenue")&amp;":"&amp;ADDRESS(130,3+18*2+(9))),'J1 D - South Bank Avenue'!$A$12:$A$130,"&gt;="&amp;Diagram!$O8,'J1 D - South Bank Avenue'!$A$12:$A$130,"&lt;"&amp;Diagram!$P8)))</f>
        <v>0</v>
      </c>
      <c r="AY8" s="42">
        <f ca="1">IF(OR($I$10="",$O8="",$P8="",$J$36&lt;&gt;"Yes"),0,IF($K$10=0,SUMIFS(INDIRECT(ADDRESS(12,3+18*3+(1),,,"J1 D - South Bank Avenue")&amp;":"&amp;ADDRESS(130,3+18*3+(1))),'J1 D - South Bank Avenue'!$A$12:$A$130,"&gt;="&amp;Diagram!$O8,'J1 D - South Bank Avenue'!$A$12:$A$130,"&lt;"&amp;Diagram!$P8),SUMIFS(INDIRECT(ADDRESS(12,3+18*3+(9),,,"J1 D - South Bank Avenue")&amp;":"&amp;ADDRESS(130,3+18*3+(9))),'J1 D - South Bank Avenue'!$A$12:$A$130,"&gt;="&amp;Diagram!$O8,'J1 D - South Bank Avenue'!$A$12:$A$130,"&lt;"&amp;Diagram!$P8)))</f>
        <v>0</v>
      </c>
      <c r="AZ8" s="42">
        <f t="shared" ca="1" si="3"/>
        <v>0</v>
      </c>
      <c r="BA8" s="42">
        <f ca="1">IF(OR($I$10="",$O8="",$P8="",$J$37&lt;&gt;"Yes"),0,IF($K$10=0,SUMIFS(INDIRECT(ADDRESS(12,3+18*3+(2),,,"J1 A - (North) Bishopthorpe Roa")&amp;":"&amp;ADDRESS(130,3+18*3+(2))),'J1 A - (North) Bishopthorpe Roa'!$A$12:$A$130,"&gt;="&amp;Diagram!$O8,'J1 A - (North) Bishopthorpe Roa'!$A$12:$A$130,"&lt;"&amp;Diagram!$P8),SUMIFS(INDIRECT(ADDRESS(12,3+18*3+(10),,,"J1 A - (North) Bishopthorpe Roa")&amp;":"&amp;ADDRESS(130,3+18*3+(10))),'J1 A - (North) Bishopthorpe Roa'!$A$12:$A$130,"&gt;="&amp;Diagram!$O8,'J1 A - (North) Bishopthorpe Roa'!$A$12:$A$130,"&lt;"&amp;Diagram!$P8)))</f>
        <v>0</v>
      </c>
      <c r="BB8" s="42">
        <f ca="1">IF(OR($I$10="",$O8="",$P8="",$J$37&lt;&gt;"Yes"),0,IF($K$10=0,SUMIFS(INDIRECT(ADDRESS(12,3+18*0+(2),,,"J1 A - (North) Bishopthorpe Roa")&amp;":"&amp;ADDRESS(130,3+18*0+(2))),'J1 A - (North) Bishopthorpe Roa'!$A$12:$A$130,"&gt;="&amp;Diagram!$O8,'J1 A - (North) Bishopthorpe Roa'!$A$12:$A$130,"&lt;"&amp;Diagram!$P8),SUMIFS(INDIRECT(ADDRESS(12,3+18*0+(10),,,"J1 A - (North) Bishopthorpe Roa")&amp;":"&amp;ADDRESS(130,3+18*0+(10))),'J1 A - (North) Bishopthorpe Roa'!$A$12:$A$130,"&gt;="&amp;Diagram!$O8,'J1 A - (North) Bishopthorpe Roa'!$A$12:$A$130,"&lt;"&amp;Diagram!$P8)))</f>
        <v>0</v>
      </c>
      <c r="BC8" s="42">
        <f ca="1">IF(OR($I$10="",$O8="",$P8="",$J$37&lt;&gt;"Yes"),0,IF($K$10=0,SUMIFS(INDIRECT(ADDRESS(12,3+18*1+(2),,,"J1 A - (North) Bishopthorpe Roa")&amp;":"&amp;ADDRESS(130,3+18*1+(2))),'J1 A - (North) Bishopthorpe Roa'!$A$12:$A$130,"&gt;="&amp;Diagram!$O8,'J1 A - (North) Bishopthorpe Roa'!$A$12:$A$130,"&lt;"&amp;Diagram!$P8),SUMIFS(INDIRECT(ADDRESS(12,3+18*1+(10),,,"J1 A - (North) Bishopthorpe Roa")&amp;":"&amp;ADDRESS(130,3+18*1+(10))),'J1 A - (North) Bishopthorpe Roa'!$A$12:$A$130,"&gt;="&amp;Diagram!$O8,'J1 A - (North) Bishopthorpe Roa'!$A$12:$A$130,"&lt;"&amp;Diagram!$P8)))</f>
        <v>0</v>
      </c>
      <c r="BD8" s="42">
        <f ca="1">IF(OR($I$10="",$O8="",$P8="",$J$37&lt;&gt;"Yes"),0,IF($K$10=0,SUMIFS(INDIRECT(ADDRESS(12,3+18*2+(2),,,"J1 A - (North) Bishopthorpe Roa")&amp;":"&amp;ADDRESS(130,3+18*2+(2))),'J1 A - (North) Bishopthorpe Roa'!$A$12:$A$130,"&gt;="&amp;Diagram!$O8,'J1 A - (North) Bishopthorpe Roa'!$A$12:$A$130,"&lt;"&amp;Diagram!$P8),SUMIFS(INDIRECT(ADDRESS(12,3+18*2+(10),,,"J1 A - (North) Bishopthorpe Roa")&amp;":"&amp;ADDRESS(130,3+18*2+(10))),'J1 A - (North) Bishopthorpe Roa'!$A$12:$A$130,"&gt;="&amp;Diagram!$O8,'J1 A - (North) Bishopthorpe Roa'!$A$12:$A$130,"&lt;"&amp;Diagram!$P8)))</f>
        <v>0</v>
      </c>
      <c r="BE8" s="42">
        <f ca="1">IF(OR($I$10="",$O8="",$P8="",$J$37&lt;&gt;"Yes"),0,IF($K$10=0,SUMIFS(INDIRECT(ADDRESS(12,3+18*2+(2),,,"J1 B - Butcher Terrace")&amp;":"&amp;ADDRESS(130,3+18*2+(2))),'J1 B - Butcher Terrace'!$A$12:$A$130,"&gt;="&amp;Diagram!$O8,'J1 B - Butcher Terrace'!$A$12:$A$130,"&lt;"&amp;Diagram!$P8),SUMIFS(INDIRECT(ADDRESS(12,3+18*2+(10),,,"J1 B - Butcher Terrace")&amp;":"&amp;ADDRESS(130,3+18*2+(10))),'J1 B - Butcher Terrace'!$A$12:$A$130,"&gt;="&amp;Diagram!$O8,'J1 B - Butcher Terrace'!$A$12:$A$130,"&lt;"&amp;Diagram!$P8)))</f>
        <v>0</v>
      </c>
      <c r="BF8" s="42">
        <f ca="1">IF(OR($I$10="",$O8="",$P8="",$J$37&lt;&gt;"Yes"),0,IF($K$10=0,SUMIFS(INDIRECT(ADDRESS(12,3+18*3+(2),,,"J1 B - Butcher Terrace")&amp;":"&amp;ADDRESS(130,3+18*3+(2))),'J1 B - Butcher Terrace'!$A$12:$A$130,"&gt;="&amp;Diagram!$O8,'J1 B - Butcher Terrace'!$A$12:$A$130,"&lt;"&amp;Diagram!$P8),SUMIFS(INDIRECT(ADDRESS(12,3+18*3+(10),,,"J1 B - Butcher Terrace")&amp;":"&amp;ADDRESS(130,3+18*3+(10))),'J1 B - Butcher Terrace'!$A$12:$A$130,"&gt;="&amp;Diagram!$O8,'J1 B - Butcher Terrace'!$A$12:$A$130,"&lt;"&amp;Diagram!$P8)))</f>
        <v>0</v>
      </c>
      <c r="BG8" s="42">
        <f ca="1">IF(OR($I$10="",$O8="",$P8="",$J$37&lt;&gt;"Yes"),0,IF($K$10=0,SUMIFS(INDIRECT(ADDRESS(12,3+18*0+(2),,,"J1 B - Butcher Terrace")&amp;":"&amp;ADDRESS(130,3+18*0+(2))),'J1 B - Butcher Terrace'!$A$12:$A$130,"&gt;="&amp;Diagram!$O8,'J1 B - Butcher Terrace'!$A$12:$A$130,"&lt;"&amp;Diagram!$P8),SUMIFS(INDIRECT(ADDRESS(12,3+18*0+(10),,,"J1 B - Butcher Terrace")&amp;":"&amp;ADDRESS(130,3+18*0+(10))),'J1 B - Butcher Terrace'!$A$12:$A$130,"&gt;="&amp;Diagram!$O8,'J1 B - Butcher Terrace'!$A$12:$A$130,"&lt;"&amp;Diagram!$P8)))</f>
        <v>0</v>
      </c>
      <c r="BH8" s="42">
        <f ca="1">IF(OR($I$10="",$O8="",$P8="",$J$37&lt;&gt;"Yes"),0,IF($K$10=0,SUMIFS(INDIRECT(ADDRESS(12,3+18*1+(2),,,"J1 B - Butcher Terrace")&amp;":"&amp;ADDRESS(130,3+18*1+(2))),'J1 B - Butcher Terrace'!$A$12:$A$130,"&gt;="&amp;Diagram!$O8,'J1 B - Butcher Terrace'!$A$12:$A$130,"&lt;"&amp;Diagram!$P8),SUMIFS(INDIRECT(ADDRESS(12,3+18*1+(10),,,"J1 B - Butcher Terrace")&amp;":"&amp;ADDRESS(130,3+18*1+(10))),'J1 B - Butcher Terrace'!$A$12:$A$130,"&gt;="&amp;Diagram!$O8,'J1 B - Butcher Terrace'!$A$12:$A$130,"&lt;"&amp;Diagram!$P8)))</f>
        <v>0</v>
      </c>
      <c r="BI8" s="42">
        <f ca="1">IF(OR($I$10="",$O8="",$P8="",$J$37&lt;&gt;"Yes"),0,IF($K$10=0,SUMIFS(INDIRECT(ADDRESS(12,3+18*1+(2),,,"J1 C - (South) Bishopthorpe Roa")&amp;":"&amp;ADDRESS(130,3+18*1+(2))),'J1 C - (South) Bishopthorpe Roa'!$A$12:$A$130,"&gt;="&amp;Diagram!$O8,'J1 C - (South) Bishopthorpe Roa'!$A$12:$A$130,"&lt;"&amp;Diagram!$P8),SUMIFS(INDIRECT(ADDRESS(12,3+18*1+(10),,,"J1 C - (South) Bishopthorpe Roa")&amp;":"&amp;ADDRESS(130,3+18*1+(10))),'J1 C - (South) Bishopthorpe Roa'!$A$12:$A$130,"&gt;="&amp;Diagram!$O8,'J1 C - (South) Bishopthorpe Roa'!$A$12:$A$130,"&lt;"&amp;Diagram!$P8)))</f>
        <v>0</v>
      </c>
      <c r="BJ8" s="42">
        <f ca="1">IF(OR($I$10="",$O8="",$P8="",$J$37&lt;&gt;"Yes"),0,IF($K$10=0,SUMIFS(INDIRECT(ADDRESS(12,3+18*2+(2),,,"J1 C - (South) Bishopthorpe Roa")&amp;":"&amp;ADDRESS(130,3+18*2+(2))),'J1 C - (South) Bishopthorpe Roa'!$A$12:$A$130,"&gt;="&amp;Diagram!$O8,'J1 C - (South) Bishopthorpe Roa'!$A$12:$A$130,"&lt;"&amp;Diagram!$P8),SUMIFS(INDIRECT(ADDRESS(12,3+18*2+(10),,,"J1 C - (South) Bishopthorpe Roa")&amp;":"&amp;ADDRESS(130,3+18*2+(10))),'J1 C - (South) Bishopthorpe Roa'!$A$12:$A$130,"&gt;="&amp;Diagram!$O8,'J1 C - (South) Bishopthorpe Roa'!$A$12:$A$130,"&lt;"&amp;Diagram!$P8)))</f>
        <v>0</v>
      </c>
      <c r="BK8" s="42">
        <f ca="1">IF(OR($I$10="",$O8="",$P8="",$J$37&lt;&gt;"Yes"),0,IF($K$10=0,SUMIFS(INDIRECT(ADDRESS(12,3+18*3+(2),,,"J1 C - (South) Bishopthorpe Roa")&amp;":"&amp;ADDRESS(130,3+18*3+(2))),'J1 C - (South) Bishopthorpe Roa'!$A$12:$A$130,"&gt;="&amp;Diagram!$O8,'J1 C - (South) Bishopthorpe Roa'!$A$12:$A$130,"&lt;"&amp;Diagram!$P8),SUMIFS(INDIRECT(ADDRESS(12,3+18*3+(10),,,"J1 C - (South) Bishopthorpe Roa")&amp;":"&amp;ADDRESS(130,3+18*3+(10))),'J1 C - (South) Bishopthorpe Roa'!$A$12:$A$130,"&gt;="&amp;Diagram!$O8,'J1 C - (South) Bishopthorpe Roa'!$A$12:$A$130,"&lt;"&amp;Diagram!$P8)))</f>
        <v>0</v>
      </c>
      <c r="BL8" s="42">
        <f ca="1">IF(OR($I$10="",$O8="",$P8="",$J$37&lt;&gt;"Yes"),0,IF($K$10=0,SUMIFS(INDIRECT(ADDRESS(12,3+18*0+(2),,,"J1 C - (South) Bishopthorpe Roa")&amp;":"&amp;ADDRESS(130,3+18*0+(2))),'J1 C - (South) Bishopthorpe Roa'!$A$12:$A$130,"&gt;="&amp;Diagram!$O8,'J1 C - (South) Bishopthorpe Roa'!$A$12:$A$130,"&lt;"&amp;Diagram!$P8),SUMIFS(INDIRECT(ADDRESS(12,3+18*0+(10),,,"J1 C - (South) Bishopthorpe Roa")&amp;":"&amp;ADDRESS(130,3+18*0+(10))),'J1 C - (South) Bishopthorpe Roa'!$A$12:$A$130,"&gt;="&amp;Diagram!$O8,'J1 C - (South) Bishopthorpe Roa'!$A$12:$A$130,"&lt;"&amp;Diagram!$P8)))</f>
        <v>0</v>
      </c>
      <c r="BM8" s="42">
        <f ca="1">IF(OR($I$10="",$O8="",$P8="",$J$37&lt;&gt;"Yes"),0,IF($K$10=0,SUMIFS(INDIRECT(ADDRESS(12,3+18*0+(2),,,"J1 D - South Bank Avenue")&amp;":"&amp;ADDRESS(130,3+18*0+(2))),'J1 D - South Bank Avenue'!$A$12:$A$130,"&gt;="&amp;Diagram!$O8,'J1 D - South Bank Avenue'!$A$12:$A$130,"&lt;"&amp;Diagram!$P8),SUMIFS(INDIRECT(ADDRESS(12,3+18*0+(10),,,"J1 D - South Bank Avenue")&amp;":"&amp;ADDRESS(130,3+18*0+(10))),'J1 D - South Bank Avenue'!$A$12:$A$130,"&gt;="&amp;Diagram!$O8,'J1 D - South Bank Avenue'!$A$12:$A$130,"&lt;"&amp;Diagram!$P8)))</f>
        <v>0</v>
      </c>
      <c r="BN8" s="42">
        <f ca="1">IF(OR($I$10="",$O8="",$P8="",$J$37&lt;&gt;"Yes"),0,IF($K$10=0,SUMIFS(INDIRECT(ADDRESS(12,3+18*1+(2),,,"J1 D - South Bank Avenue")&amp;":"&amp;ADDRESS(130,3+18*1+(2))),'J1 D - South Bank Avenue'!$A$12:$A$130,"&gt;="&amp;Diagram!$O8,'J1 D - South Bank Avenue'!$A$12:$A$130,"&lt;"&amp;Diagram!$P8),SUMIFS(INDIRECT(ADDRESS(12,3+18*1+(10),,,"J1 D - South Bank Avenue")&amp;":"&amp;ADDRESS(130,3+18*1+(10))),'J1 D - South Bank Avenue'!$A$12:$A$130,"&gt;="&amp;Diagram!$O8,'J1 D - South Bank Avenue'!$A$12:$A$130,"&lt;"&amp;Diagram!$P8)))</f>
        <v>0</v>
      </c>
      <c r="BO8" s="42">
        <f ca="1">IF(OR($I$10="",$O8="",$P8="",$J$37&lt;&gt;"Yes"),0,IF($K$10=0,SUMIFS(INDIRECT(ADDRESS(12,3+18*2+(2),,,"J1 D - South Bank Avenue")&amp;":"&amp;ADDRESS(130,3+18*2+(2))),'J1 D - South Bank Avenue'!$A$12:$A$130,"&gt;="&amp;Diagram!$O8,'J1 D - South Bank Avenue'!$A$12:$A$130,"&lt;"&amp;Diagram!$P8),SUMIFS(INDIRECT(ADDRESS(12,3+18*2+(10),,,"J1 D - South Bank Avenue")&amp;":"&amp;ADDRESS(130,3+18*2+(10))),'J1 D - South Bank Avenue'!$A$12:$A$130,"&gt;="&amp;Diagram!$O8,'J1 D - South Bank Avenue'!$A$12:$A$130,"&lt;"&amp;Diagram!$P8)))</f>
        <v>0</v>
      </c>
      <c r="BP8" s="42">
        <f ca="1">IF(OR($I$10="",$O8="",$P8="",$J$37&lt;&gt;"Yes"),0,IF($K$10=0,SUMIFS(INDIRECT(ADDRESS(12,3+18*3+(2),,,"J1 D - South Bank Avenue")&amp;":"&amp;ADDRESS(130,3+18*3+(2))),'J1 D - South Bank Avenue'!$A$12:$A$130,"&gt;="&amp;Diagram!$O8,'J1 D - South Bank Avenue'!$A$12:$A$130,"&lt;"&amp;Diagram!$P8),SUMIFS(INDIRECT(ADDRESS(12,3+18*3+(10),,,"J1 D - South Bank Avenue")&amp;":"&amp;ADDRESS(130,3+18*3+(10))),'J1 D - South Bank Avenue'!$A$12:$A$130,"&gt;="&amp;Diagram!$O8,'J1 D - South Bank Avenue'!$A$12:$A$130,"&lt;"&amp;Diagram!$P8)))</f>
        <v>0</v>
      </c>
      <c r="BQ8" s="42">
        <f t="shared" ca="1" si="4"/>
        <v>0</v>
      </c>
      <c r="BR8" s="42">
        <f ca="1">IF(OR($I$10="",$O8="",$P8="",$J$38&lt;&gt;"Yes"),0,IF($K$10=0,SUMIFS(INDIRECT(ADDRESS(12,3+18*3+(3),,,"J1 A - (North) Bishopthorpe Roa")&amp;":"&amp;ADDRESS(130,3+18*3+(3))),'J1 A - (North) Bishopthorpe Roa'!$A$12:$A$130,"&gt;="&amp;Diagram!$O8,'J1 A - (North) Bishopthorpe Roa'!$A$12:$A$130,"&lt;"&amp;Diagram!$P8),SUMIFS(INDIRECT(ADDRESS(12,3+18*3+(11),,,"J1 A - (North) Bishopthorpe Roa")&amp;":"&amp;ADDRESS(130,3+18*3+(11))),'J1 A - (North) Bishopthorpe Roa'!$A$12:$A$130,"&gt;="&amp;Diagram!$O8,'J1 A - (North) Bishopthorpe Roa'!$A$12:$A$130,"&lt;"&amp;Diagram!$P8)))</f>
        <v>0</v>
      </c>
      <c r="BS8" s="42">
        <f ca="1">IF(OR($I$10="",$O8="",$P8="",$J$38&lt;&gt;"Yes"),0,IF($K$10=0,SUMIFS(INDIRECT(ADDRESS(12,3+18*0+(3),,,"J1 A - (North) Bishopthorpe Roa")&amp;":"&amp;ADDRESS(130,3+18*0+(3))),'J1 A - (North) Bishopthorpe Roa'!$A$12:$A$130,"&gt;="&amp;Diagram!$O8,'J1 A - (North) Bishopthorpe Roa'!$A$12:$A$130,"&lt;"&amp;Diagram!$P8),SUMIFS(INDIRECT(ADDRESS(12,3+18*0+(11),,,"J1 A - (North) Bishopthorpe Roa")&amp;":"&amp;ADDRESS(130,3+18*0+(11))),'J1 A - (North) Bishopthorpe Roa'!$A$12:$A$130,"&gt;="&amp;Diagram!$O8,'J1 A - (North) Bishopthorpe Roa'!$A$12:$A$130,"&lt;"&amp;Diagram!$P8)))</f>
        <v>0</v>
      </c>
      <c r="BT8" s="42">
        <f ca="1">IF(OR($I$10="",$O8="",$P8="",$J$38&lt;&gt;"Yes"),0,IF($K$10=0,SUMIFS(INDIRECT(ADDRESS(12,3+18*1+(3),,,"J1 A - (North) Bishopthorpe Roa")&amp;":"&amp;ADDRESS(130,3+18*1+(3))),'J1 A - (North) Bishopthorpe Roa'!$A$12:$A$130,"&gt;="&amp;Diagram!$O8,'J1 A - (North) Bishopthorpe Roa'!$A$12:$A$130,"&lt;"&amp;Diagram!$P8),SUMIFS(INDIRECT(ADDRESS(12,3+18*1+(11),,,"J1 A - (North) Bishopthorpe Roa")&amp;":"&amp;ADDRESS(130,3+18*1+(11))),'J1 A - (North) Bishopthorpe Roa'!$A$12:$A$130,"&gt;="&amp;Diagram!$O8,'J1 A - (North) Bishopthorpe Roa'!$A$12:$A$130,"&lt;"&amp;Diagram!$P8)))</f>
        <v>0</v>
      </c>
      <c r="BU8" s="42">
        <f ca="1">IF(OR($I$10="",$O8="",$P8="",$J$38&lt;&gt;"Yes"),0,IF($K$10=0,SUMIFS(INDIRECT(ADDRESS(12,3+18*2+(3),,,"J1 A - (North) Bishopthorpe Roa")&amp;":"&amp;ADDRESS(130,3+18*2+(3))),'J1 A - (North) Bishopthorpe Roa'!$A$12:$A$130,"&gt;="&amp;Diagram!$O8,'J1 A - (North) Bishopthorpe Roa'!$A$12:$A$130,"&lt;"&amp;Diagram!$P8),SUMIFS(INDIRECT(ADDRESS(12,3+18*2+(11),,,"J1 A - (North) Bishopthorpe Roa")&amp;":"&amp;ADDRESS(130,3+18*2+(11))),'J1 A - (North) Bishopthorpe Roa'!$A$12:$A$130,"&gt;="&amp;Diagram!$O8,'J1 A - (North) Bishopthorpe Roa'!$A$12:$A$130,"&lt;"&amp;Diagram!$P8)))</f>
        <v>0</v>
      </c>
      <c r="BV8" s="42">
        <f ca="1">IF(OR($I$10="",$O8="",$P8="",$J$38&lt;&gt;"Yes"),0,IF($K$10=0,SUMIFS(INDIRECT(ADDRESS(12,3+18*2+(3),,,"J1 B - Butcher Terrace")&amp;":"&amp;ADDRESS(130,3+18*2+(3))),'J1 B - Butcher Terrace'!$A$12:$A$130,"&gt;="&amp;Diagram!$O8,'J1 B - Butcher Terrace'!$A$12:$A$130,"&lt;"&amp;Diagram!$P8),SUMIFS(INDIRECT(ADDRESS(12,3+18*2+(11),,,"J1 B - Butcher Terrace")&amp;":"&amp;ADDRESS(130,3+18*2+(11))),'J1 B - Butcher Terrace'!$A$12:$A$130,"&gt;="&amp;Diagram!$O8,'J1 B - Butcher Terrace'!$A$12:$A$130,"&lt;"&amp;Diagram!$P8)))</f>
        <v>0</v>
      </c>
      <c r="BW8" s="42">
        <f ca="1">IF(OR($I$10="",$O8="",$P8="",$J$38&lt;&gt;"Yes"),0,IF($K$10=0,SUMIFS(INDIRECT(ADDRESS(12,3+18*3+(3),,,"J1 B - Butcher Terrace")&amp;":"&amp;ADDRESS(130,3+18*3+(3))),'J1 B - Butcher Terrace'!$A$12:$A$130,"&gt;="&amp;Diagram!$O8,'J1 B - Butcher Terrace'!$A$12:$A$130,"&lt;"&amp;Diagram!$P8),SUMIFS(INDIRECT(ADDRESS(12,3+18*3+(11),,,"J1 B - Butcher Terrace")&amp;":"&amp;ADDRESS(130,3+18*3+(11))),'J1 B - Butcher Terrace'!$A$12:$A$130,"&gt;="&amp;Diagram!$O8,'J1 B - Butcher Terrace'!$A$12:$A$130,"&lt;"&amp;Diagram!$P8)))</f>
        <v>0</v>
      </c>
      <c r="BX8" s="42">
        <f ca="1">IF(OR($I$10="",$O8="",$P8="",$J$38&lt;&gt;"Yes"),0,IF($K$10=0,SUMIFS(INDIRECT(ADDRESS(12,3+18*0+(3),,,"J1 B - Butcher Terrace")&amp;":"&amp;ADDRESS(130,3+18*0+(3))),'J1 B - Butcher Terrace'!$A$12:$A$130,"&gt;="&amp;Diagram!$O8,'J1 B - Butcher Terrace'!$A$12:$A$130,"&lt;"&amp;Diagram!$P8),SUMIFS(INDIRECT(ADDRESS(12,3+18*0+(11),,,"J1 B - Butcher Terrace")&amp;":"&amp;ADDRESS(130,3+18*0+(11))),'J1 B - Butcher Terrace'!$A$12:$A$130,"&gt;="&amp;Diagram!$O8,'J1 B - Butcher Terrace'!$A$12:$A$130,"&lt;"&amp;Diagram!$P8)))</f>
        <v>0</v>
      </c>
      <c r="BY8" s="42">
        <f ca="1">IF(OR($I$10="",$O8="",$P8="",$J$38&lt;&gt;"Yes"),0,IF($K$10=0,SUMIFS(INDIRECT(ADDRESS(12,3+18*1+(3),,,"J1 B - Butcher Terrace")&amp;":"&amp;ADDRESS(130,3+18*1+(3))),'J1 B - Butcher Terrace'!$A$12:$A$130,"&gt;="&amp;Diagram!$O8,'J1 B - Butcher Terrace'!$A$12:$A$130,"&lt;"&amp;Diagram!$P8),SUMIFS(INDIRECT(ADDRESS(12,3+18*1+(11),,,"J1 B - Butcher Terrace")&amp;":"&amp;ADDRESS(130,3+18*1+(11))),'J1 B - Butcher Terrace'!$A$12:$A$130,"&gt;="&amp;Diagram!$O8,'J1 B - Butcher Terrace'!$A$12:$A$130,"&lt;"&amp;Diagram!$P8)))</f>
        <v>0</v>
      </c>
      <c r="BZ8" s="42">
        <f ca="1">IF(OR($I$10="",$O8="",$P8="",$J$38&lt;&gt;"Yes"),0,IF($K$10=0,SUMIFS(INDIRECT(ADDRESS(12,3+18*1+(3),,,"J1 C - (South) Bishopthorpe Roa")&amp;":"&amp;ADDRESS(130,3+18*1+(3))),'J1 C - (South) Bishopthorpe Roa'!$A$12:$A$130,"&gt;="&amp;Diagram!$O8,'J1 C - (South) Bishopthorpe Roa'!$A$12:$A$130,"&lt;"&amp;Diagram!$P8),SUMIFS(INDIRECT(ADDRESS(12,3+18*1+(11),,,"J1 C - (South) Bishopthorpe Roa")&amp;":"&amp;ADDRESS(130,3+18*1+(11))),'J1 C - (South) Bishopthorpe Roa'!$A$12:$A$130,"&gt;="&amp;Diagram!$O8,'J1 C - (South) Bishopthorpe Roa'!$A$12:$A$130,"&lt;"&amp;Diagram!$P8)))</f>
        <v>0</v>
      </c>
      <c r="CA8" s="42">
        <f ca="1">IF(OR($I$10="",$O8="",$P8="",$J$38&lt;&gt;"Yes"),0,IF($K$10=0,SUMIFS(INDIRECT(ADDRESS(12,3+18*2+(3),,,"J1 C - (South) Bishopthorpe Roa")&amp;":"&amp;ADDRESS(130,3+18*2+(3))),'J1 C - (South) Bishopthorpe Roa'!$A$12:$A$130,"&gt;="&amp;Diagram!$O8,'J1 C - (South) Bishopthorpe Roa'!$A$12:$A$130,"&lt;"&amp;Diagram!$P8),SUMIFS(INDIRECT(ADDRESS(12,3+18*2+(11),,,"J1 C - (South) Bishopthorpe Roa")&amp;":"&amp;ADDRESS(130,3+18*2+(11))),'J1 C - (South) Bishopthorpe Roa'!$A$12:$A$130,"&gt;="&amp;Diagram!$O8,'J1 C - (South) Bishopthorpe Roa'!$A$12:$A$130,"&lt;"&amp;Diagram!$P8)))</f>
        <v>0</v>
      </c>
      <c r="CB8" s="42">
        <f ca="1">IF(OR($I$10="",$O8="",$P8="",$J$38&lt;&gt;"Yes"),0,IF($K$10=0,SUMIFS(INDIRECT(ADDRESS(12,3+18*3+(3),,,"J1 C - (South) Bishopthorpe Roa")&amp;":"&amp;ADDRESS(130,3+18*3+(3))),'J1 C - (South) Bishopthorpe Roa'!$A$12:$A$130,"&gt;="&amp;Diagram!$O8,'J1 C - (South) Bishopthorpe Roa'!$A$12:$A$130,"&lt;"&amp;Diagram!$P8),SUMIFS(INDIRECT(ADDRESS(12,3+18*3+(11),,,"J1 C - (South) Bishopthorpe Roa")&amp;":"&amp;ADDRESS(130,3+18*3+(11))),'J1 C - (South) Bishopthorpe Roa'!$A$12:$A$130,"&gt;="&amp;Diagram!$O8,'J1 C - (South) Bishopthorpe Roa'!$A$12:$A$130,"&lt;"&amp;Diagram!$P8)))</f>
        <v>0</v>
      </c>
      <c r="CC8" s="42">
        <f ca="1">IF(OR($I$10="",$O8="",$P8="",$J$38&lt;&gt;"Yes"),0,IF($K$10=0,SUMIFS(INDIRECT(ADDRESS(12,3+18*0+(3),,,"J1 C - (South) Bishopthorpe Roa")&amp;":"&amp;ADDRESS(130,3+18*0+(3))),'J1 C - (South) Bishopthorpe Roa'!$A$12:$A$130,"&gt;="&amp;Diagram!$O8,'J1 C - (South) Bishopthorpe Roa'!$A$12:$A$130,"&lt;"&amp;Diagram!$P8),SUMIFS(INDIRECT(ADDRESS(12,3+18*0+(11),,,"J1 C - (South) Bishopthorpe Roa")&amp;":"&amp;ADDRESS(130,3+18*0+(11))),'J1 C - (South) Bishopthorpe Roa'!$A$12:$A$130,"&gt;="&amp;Diagram!$O8,'J1 C - (South) Bishopthorpe Roa'!$A$12:$A$130,"&lt;"&amp;Diagram!$P8)))</f>
        <v>0</v>
      </c>
      <c r="CD8" s="42">
        <f ca="1">IF(OR($I$10="",$O8="",$P8="",$J$38&lt;&gt;"Yes"),0,IF($K$10=0,SUMIFS(INDIRECT(ADDRESS(12,3+18*0+(3),,,"J1 D - South Bank Avenue")&amp;":"&amp;ADDRESS(130,3+18*0+(3))),'J1 D - South Bank Avenue'!$A$12:$A$130,"&gt;="&amp;Diagram!$O8,'J1 D - South Bank Avenue'!$A$12:$A$130,"&lt;"&amp;Diagram!$P8),SUMIFS(INDIRECT(ADDRESS(12,3+18*0+(11),,,"J1 D - South Bank Avenue")&amp;":"&amp;ADDRESS(130,3+18*0+(11))),'J1 D - South Bank Avenue'!$A$12:$A$130,"&gt;="&amp;Diagram!$O8,'J1 D - South Bank Avenue'!$A$12:$A$130,"&lt;"&amp;Diagram!$P8)))</f>
        <v>0</v>
      </c>
      <c r="CE8" s="42">
        <f ca="1">IF(OR($I$10="",$O8="",$P8="",$J$38&lt;&gt;"Yes"),0,IF($K$10=0,SUMIFS(INDIRECT(ADDRESS(12,3+18*1+(3),,,"J1 D - South Bank Avenue")&amp;":"&amp;ADDRESS(130,3+18*1+(3))),'J1 D - South Bank Avenue'!$A$12:$A$130,"&gt;="&amp;Diagram!$O8,'J1 D - South Bank Avenue'!$A$12:$A$130,"&lt;"&amp;Diagram!$P8),SUMIFS(INDIRECT(ADDRESS(12,3+18*1+(11),,,"J1 D - South Bank Avenue")&amp;":"&amp;ADDRESS(130,3+18*1+(11))),'J1 D - South Bank Avenue'!$A$12:$A$130,"&gt;="&amp;Diagram!$O8,'J1 D - South Bank Avenue'!$A$12:$A$130,"&lt;"&amp;Diagram!$P8)))</f>
        <v>0</v>
      </c>
      <c r="CF8" s="42">
        <f ca="1">IF(OR($I$10="",$O8="",$P8="",$J$38&lt;&gt;"Yes"),0,IF($K$10=0,SUMIFS(INDIRECT(ADDRESS(12,3+18*2+(3),,,"J1 D - South Bank Avenue")&amp;":"&amp;ADDRESS(130,3+18*2+(3))),'J1 D - South Bank Avenue'!$A$12:$A$130,"&gt;="&amp;Diagram!$O8,'J1 D - South Bank Avenue'!$A$12:$A$130,"&lt;"&amp;Diagram!$P8),SUMIFS(INDIRECT(ADDRESS(12,3+18*2+(11),,,"J1 D - South Bank Avenue")&amp;":"&amp;ADDRESS(130,3+18*2+(11))),'J1 D - South Bank Avenue'!$A$12:$A$130,"&gt;="&amp;Diagram!$O8,'J1 D - South Bank Avenue'!$A$12:$A$130,"&lt;"&amp;Diagram!$P8)))</f>
        <v>0</v>
      </c>
      <c r="CG8" s="42">
        <f ca="1">IF(OR($I$10="",$O8="",$P8="",$J$38&lt;&gt;"Yes"),0,IF($K$10=0,SUMIFS(INDIRECT(ADDRESS(12,3+18*3+(3),,,"J1 D - South Bank Avenue")&amp;":"&amp;ADDRESS(130,3+18*3+(3))),'J1 D - South Bank Avenue'!$A$12:$A$130,"&gt;="&amp;Diagram!$O8,'J1 D - South Bank Avenue'!$A$12:$A$130,"&lt;"&amp;Diagram!$P8),SUMIFS(INDIRECT(ADDRESS(12,3+18*3+(11),,,"J1 D - South Bank Avenue")&amp;":"&amp;ADDRESS(130,3+18*3+(11))),'J1 D - South Bank Avenue'!$A$12:$A$130,"&gt;="&amp;Diagram!$O8,'J1 D - South Bank Avenue'!$A$12:$A$130,"&lt;"&amp;Diagram!$P8)))</f>
        <v>0</v>
      </c>
      <c r="CH8" s="42">
        <f t="shared" ca="1" si="5"/>
        <v>0</v>
      </c>
      <c r="CI8" s="42">
        <f ca="1">IF(OR($I$10="",$O8="",$P8="",$J$39&lt;&gt;"Yes"),0,IF($K$10=0,SUMIFS(INDIRECT(ADDRESS(12,3+18*3+(4),,,"J1 A - (North) Bishopthorpe Roa")&amp;":"&amp;ADDRESS(130,3+18*3+(4))),'J1 A - (North) Bishopthorpe Roa'!$A$12:$A$130,"&gt;="&amp;Diagram!$O8,'J1 A - (North) Bishopthorpe Roa'!$A$12:$A$130,"&lt;"&amp;Diagram!$P8),SUMIFS(INDIRECT(ADDRESS(12,3+18*3+(12),,,"J1 A - (North) Bishopthorpe Roa")&amp;":"&amp;ADDRESS(130,3+18*3+(12))),'J1 A - (North) Bishopthorpe Roa'!$A$12:$A$130,"&gt;="&amp;Diagram!$O8,'J1 A - (North) Bishopthorpe Roa'!$A$12:$A$130,"&lt;"&amp;Diagram!$P8)))</f>
        <v>0</v>
      </c>
      <c r="CJ8" s="42">
        <f ca="1">IF(OR($I$10="",$O8="",$P8="",$J$39&lt;&gt;"Yes"),0,IF($K$10=0,SUMIFS(INDIRECT(ADDRESS(12,3+18*0+(4),,,"J1 A - (North) Bishopthorpe Roa")&amp;":"&amp;ADDRESS(130,3+18*0+(4))),'J1 A - (North) Bishopthorpe Roa'!$A$12:$A$130,"&gt;="&amp;Diagram!$O8,'J1 A - (North) Bishopthorpe Roa'!$A$12:$A$130,"&lt;"&amp;Diagram!$P8),SUMIFS(INDIRECT(ADDRESS(12,3+18*0+(12),,,"J1 A - (North) Bishopthorpe Roa")&amp;":"&amp;ADDRESS(130,3+18*0+(12))),'J1 A - (North) Bishopthorpe Roa'!$A$12:$A$130,"&gt;="&amp;Diagram!$O8,'J1 A - (North) Bishopthorpe Roa'!$A$12:$A$130,"&lt;"&amp;Diagram!$P8)))</f>
        <v>0</v>
      </c>
      <c r="CK8" s="42">
        <f ca="1">IF(OR($I$10="",$O8="",$P8="",$J$39&lt;&gt;"Yes"),0,IF($K$10=0,SUMIFS(INDIRECT(ADDRESS(12,3+18*1+(4),,,"J1 A - (North) Bishopthorpe Roa")&amp;":"&amp;ADDRESS(130,3+18*1+(4))),'J1 A - (North) Bishopthorpe Roa'!$A$12:$A$130,"&gt;="&amp;Diagram!$O8,'J1 A - (North) Bishopthorpe Roa'!$A$12:$A$130,"&lt;"&amp;Diagram!$P8),SUMIFS(INDIRECT(ADDRESS(12,3+18*1+(12),,,"J1 A - (North) Bishopthorpe Roa")&amp;":"&amp;ADDRESS(130,3+18*1+(12))),'J1 A - (North) Bishopthorpe Roa'!$A$12:$A$130,"&gt;="&amp;Diagram!$O8,'J1 A - (North) Bishopthorpe Roa'!$A$12:$A$130,"&lt;"&amp;Diagram!$P8)))</f>
        <v>0</v>
      </c>
      <c r="CL8" s="42">
        <f ca="1">IF(OR($I$10="",$O8="",$P8="",$J$39&lt;&gt;"Yes"),0,IF($K$10=0,SUMIFS(INDIRECT(ADDRESS(12,3+18*2+(4),,,"J1 A - (North) Bishopthorpe Roa")&amp;":"&amp;ADDRESS(130,3+18*2+(4))),'J1 A - (North) Bishopthorpe Roa'!$A$12:$A$130,"&gt;="&amp;Diagram!$O8,'J1 A - (North) Bishopthorpe Roa'!$A$12:$A$130,"&lt;"&amp;Diagram!$P8),SUMIFS(INDIRECT(ADDRESS(12,3+18*2+(12),,,"J1 A - (North) Bishopthorpe Roa")&amp;":"&amp;ADDRESS(130,3+18*2+(12))),'J1 A - (North) Bishopthorpe Roa'!$A$12:$A$130,"&gt;="&amp;Diagram!$O8,'J1 A - (North) Bishopthorpe Roa'!$A$12:$A$130,"&lt;"&amp;Diagram!$P8)))</f>
        <v>0</v>
      </c>
      <c r="CM8" s="42">
        <f ca="1">IF(OR($I$10="",$O8="",$P8="",$J$39&lt;&gt;"Yes"),0,IF($K$10=0,SUMIFS(INDIRECT(ADDRESS(12,3+18*2+(4),,,"J1 B - Butcher Terrace")&amp;":"&amp;ADDRESS(130,3+18*2+(4))),'J1 B - Butcher Terrace'!$A$12:$A$130,"&gt;="&amp;Diagram!$O8,'J1 B - Butcher Terrace'!$A$12:$A$130,"&lt;"&amp;Diagram!$P8),SUMIFS(INDIRECT(ADDRESS(12,3+18*2+(12),,,"J1 B - Butcher Terrace")&amp;":"&amp;ADDRESS(130,3+18*2+(12))),'J1 B - Butcher Terrace'!$A$12:$A$130,"&gt;="&amp;Diagram!$O8,'J1 B - Butcher Terrace'!$A$12:$A$130,"&lt;"&amp;Diagram!$P8)))</f>
        <v>0</v>
      </c>
      <c r="CN8" s="42">
        <f ca="1">IF(OR($I$10="",$O8="",$P8="",$J$39&lt;&gt;"Yes"),0,IF($K$10=0,SUMIFS(INDIRECT(ADDRESS(12,3+18*3+(4),,,"J1 B - Butcher Terrace")&amp;":"&amp;ADDRESS(130,3+18*3+(4))),'J1 B - Butcher Terrace'!$A$12:$A$130,"&gt;="&amp;Diagram!$O8,'J1 B - Butcher Terrace'!$A$12:$A$130,"&lt;"&amp;Diagram!$P8),SUMIFS(INDIRECT(ADDRESS(12,3+18*3+(12),,,"J1 B - Butcher Terrace")&amp;":"&amp;ADDRESS(130,3+18*3+(12))),'J1 B - Butcher Terrace'!$A$12:$A$130,"&gt;="&amp;Diagram!$O8,'J1 B - Butcher Terrace'!$A$12:$A$130,"&lt;"&amp;Diagram!$P8)))</f>
        <v>0</v>
      </c>
      <c r="CO8" s="42">
        <f ca="1">IF(OR($I$10="",$O8="",$P8="",$J$39&lt;&gt;"Yes"),0,IF($K$10=0,SUMIFS(INDIRECT(ADDRESS(12,3+18*0+(4),,,"J1 B - Butcher Terrace")&amp;":"&amp;ADDRESS(130,3+18*0+(4))),'J1 B - Butcher Terrace'!$A$12:$A$130,"&gt;="&amp;Diagram!$O8,'J1 B - Butcher Terrace'!$A$12:$A$130,"&lt;"&amp;Diagram!$P8),SUMIFS(INDIRECT(ADDRESS(12,3+18*0+(12),,,"J1 B - Butcher Terrace")&amp;":"&amp;ADDRESS(130,3+18*0+(12))),'J1 B - Butcher Terrace'!$A$12:$A$130,"&gt;="&amp;Diagram!$O8,'J1 B - Butcher Terrace'!$A$12:$A$130,"&lt;"&amp;Diagram!$P8)))</f>
        <v>0</v>
      </c>
      <c r="CP8" s="42">
        <f ca="1">IF(OR($I$10="",$O8="",$P8="",$J$39&lt;&gt;"Yes"),0,IF($K$10=0,SUMIFS(INDIRECT(ADDRESS(12,3+18*1+(4),,,"J1 B - Butcher Terrace")&amp;":"&amp;ADDRESS(130,3+18*1+(4))),'J1 B - Butcher Terrace'!$A$12:$A$130,"&gt;="&amp;Diagram!$O8,'J1 B - Butcher Terrace'!$A$12:$A$130,"&lt;"&amp;Diagram!$P8),SUMIFS(INDIRECT(ADDRESS(12,3+18*1+(12),,,"J1 B - Butcher Terrace")&amp;":"&amp;ADDRESS(130,3+18*1+(12))),'J1 B - Butcher Terrace'!$A$12:$A$130,"&gt;="&amp;Diagram!$O8,'J1 B - Butcher Terrace'!$A$12:$A$130,"&lt;"&amp;Diagram!$P8)))</f>
        <v>0</v>
      </c>
      <c r="CQ8" s="42">
        <f ca="1">IF(OR($I$10="",$O8="",$P8="",$J$39&lt;&gt;"Yes"),0,IF($K$10=0,SUMIFS(INDIRECT(ADDRESS(12,3+18*1+(4),,,"J1 C - (South) Bishopthorpe Roa")&amp;":"&amp;ADDRESS(130,3+18*1+(4))),'J1 C - (South) Bishopthorpe Roa'!$A$12:$A$130,"&gt;="&amp;Diagram!$O8,'J1 C - (South) Bishopthorpe Roa'!$A$12:$A$130,"&lt;"&amp;Diagram!$P8),SUMIFS(INDIRECT(ADDRESS(12,3+18*1+(12),,,"J1 C - (South) Bishopthorpe Roa")&amp;":"&amp;ADDRESS(130,3+18*1+(12))),'J1 C - (South) Bishopthorpe Roa'!$A$12:$A$130,"&gt;="&amp;Diagram!$O8,'J1 C - (South) Bishopthorpe Roa'!$A$12:$A$130,"&lt;"&amp;Diagram!$P8)))</f>
        <v>0</v>
      </c>
      <c r="CR8" s="42">
        <f ca="1">IF(OR($I$10="",$O8="",$P8="",$J$39&lt;&gt;"Yes"),0,IF($K$10=0,SUMIFS(INDIRECT(ADDRESS(12,3+18*2+(4),,,"J1 C - (South) Bishopthorpe Roa")&amp;":"&amp;ADDRESS(130,3+18*2+(4))),'J1 C - (South) Bishopthorpe Roa'!$A$12:$A$130,"&gt;="&amp;Diagram!$O8,'J1 C - (South) Bishopthorpe Roa'!$A$12:$A$130,"&lt;"&amp;Diagram!$P8),SUMIFS(INDIRECT(ADDRESS(12,3+18*2+(12),,,"J1 C - (South) Bishopthorpe Roa")&amp;":"&amp;ADDRESS(130,3+18*2+(12))),'J1 C - (South) Bishopthorpe Roa'!$A$12:$A$130,"&gt;="&amp;Diagram!$O8,'J1 C - (South) Bishopthorpe Roa'!$A$12:$A$130,"&lt;"&amp;Diagram!$P8)))</f>
        <v>0</v>
      </c>
      <c r="CS8" s="42">
        <f ca="1">IF(OR($I$10="",$O8="",$P8="",$J$39&lt;&gt;"Yes"),0,IF($K$10=0,SUMIFS(INDIRECT(ADDRESS(12,3+18*3+(4),,,"J1 C - (South) Bishopthorpe Roa")&amp;":"&amp;ADDRESS(130,3+18*3+(4))),'J1 C - (South) Bishopthorpe Roa'!$A$12:$A$130,"&gt;="&amp;Diagram!$O8,'J1 C - (South) Bishopthorpe Roa'!$A$12:$A$130,"&lt;"&amp;Diagram!$P8),SUMIFS(INDIRECT(ADDRESS(12,3+18*3+(12),,,"J1 C - (South) Bishopthorpe Roa")&amp;":"&amp;ADDRESS(130,3+18*3+(12))),'J1 C - (South) Bishopthorpe Roa'!$A$12:$A$130,"&gt;="&amp;Diagram!$O8,'J1 C - (South) Bishopthorpe Roa'!$A$12:$A$130,"&lt;"&amp;Diagram!$P8)))</f>
        <v>0</v>
      </c>
      <c r="CT8" s="42">
        <f ca="1">IF(OR($I$10="",$O8="",$P8="",$J$39&lt;&gt;"Yes"),0,IF($K$10=0,SUMIFS(INDIRECT(ADDRESS(12,3+18*0+(4),,,"J1 C - (South) Bishopthorpe Roa")&amp;":"&amp;ADDRESS(130,3+18*0+(4))),'J1 C - (South) Bishopthorpe Roa'!$A$12:$A$130,"&gt;="&amp;Diagram!$O8,'J1 C - (South) Bishopthorpe Roa'!$A$12:$A$130,"&lt;"&amp;Diagram!$P8),SUMIFS(INDIRECT(ADDRESS(12,3+18*0+(12),,,"J1 C - (South) Bishopthorpe Roa")&amp;":"&amp;ADDRESS(130,3+18*0+(12))),'J1 C - (South) Bishopthorpe Roa'!$A$12:$A$130,"&gt;="&amp;Diagram!$O8,'J1 C - (South) Bishopthorpe Roa'!$A$12:$A$130,"&lt;"&amp;Diagram!$P8)))</f>
        <v>0</v>
      </c>
      <c r="CU8" s="42">
        <f ca="1">IF(OR($I$10="",$O8="",$P8="",$J$39&lt;&gt;"Yes"),0,IF($K$10=0,SUMIFS(INDIRECT(ADDRESS(12,3+18*0+(4),,,"J1 D - South Bank Avenue")&amp;":"&amp;ADDRESS(130,3+18*0+(4))),'J1 D - South Bank Avenue'!$A$12:$A$130,"&gt;="&amp;Diagram!$O8,'J1 D - South Bank Avenue'!$A$12:$A$130,"&lt;"&amp;Diagram!$P8),SUMIFS(INDIRECT(ADDRESS(12,3+18*0+(12),,,"J1 D - South Bank Avenue")&amp;":"&amp;ADDRESS(130,3+18*0+(12))),'J1 D - South Bank Avenue'!$A$12:$A$130,"&gt;="&amp;Diagram!$O8,'J1 D - South Bank Avenue'!$A$12:$A$130,"&lt;"&amp;Diagram!$P8)))</f>
        <v>0</v>
      </c>
      <c r="CV8" s="42">
        <f ca="1">IF(OR($I$10="",$O8="",$P8="",$J$39&lt;&gt;"Yes"),0,IF($K$10=0,SUMIFS(INDIRECT(ADDRESS(12,3+18*1+(4),,,"J1 D - South Bank Avenue")&amp;":"&amp;ADDRESS(130,3+18*1+(4))),'J1 D - South Bank Avenue'!$A$12:$A$130,"&gt;="&amp;Diagram!$O8,'J1 D - South Bank Avenue'!$A$12:$A$130,"&lt;"&amp;Diagram!$P8),SUMIFS(INDIRECT(ADDRESS(12,3+18*1+(12),,,"J1 D - South Bank Avenue")&amp;":"&amp;ADDRESS(130,3+18*1+(12))),'J1 D - South Bank Avenue'!$A$12:$A$130,"&gt;="&amp;Diagram!$O8,'J1 D - South Bank Avenue'!$A$12:$A$130,"&lt;"&amp;Diagram!$P8)))</f>
        <v>0</v>
      </c>
      <c r="CW8" s="42">
        <f ca="1">IF(OR($I$10="",$O8="",$P8="",$J$39&lt;&gt;"Yes"),0,IF($K$10=0,SUMIFS(INDIRECT(ADDRESS(12,3+18*2+(4),,,"J1 D - South Bank Avenue")&amp;":"&amp;ADDRESS(130,3+18*2+(4))),'J1 D - South Bank Avenue'!$A$12:$A$130,"&gt;="&amp;Diagram!$O8,'J1 D - South Bank Avenue'!$A$12:$A$130,"&lt;"&amp;Diagram!$P8),SUMIFS(INDIRECT(ADDRESS(12,3+18*2+(12),,,"J1 D - South Bank Avenue")&amp;":"&amp;ADDRESS(130,3+18*2+(12))),'J1 D - South Bank Avenue'!$A$12:$A$130,"&gt;="&amp;Diagram!$O8,'J1 D - South Bank Avenue'!$A$12:$A$130,"&lt;"&amp;Diagram!$P8)))</f>
        <v>0</v>
      </c>
      <c r="CX8" s="42">
        <f ca="1">IF(OR($I$10="",$O8="",$P8="",$J$39&lt;&gt;"Yes"),0,IF($K$10=0,SUMIFS(INDIRECT(ADDRESS(12,3+18*3+(4),,,"J1 D - South Bank Avenue")&amp;":"&amp;ADDRESS(130,3+18*3+(4))),'J1 D - South Bank Avenue'!$A$12:$A$130,"&gt;="&amp;Diagram!$O8,'J1 D - South Bank Avenue'!$A$12:$A$130,"&lt;"&amp;Diagram!$P8),SUMIFS(INDIRECT(ADDRESS(12,3+18*3+(12),,,"J1 D - South Bank Avenue")&amp;":"&amp;ADDRESS(130,3+18*3+(12))),'J1 D - South Bank Avenue'!$A$12:$A$130,"&gt;="&amp;Diagram!$O8,'J1 D - South Bank Avenue'!$A$12:$A$130,"&lt;"&amp;Diagram!$P8)))</f>
        <v>0</v>
      </c>
      <c r="CY8" s="42">
        <f t="shared" ca="1" si="6"/>
        <v>0</v>
      </c>
      <c r="CZ8" s="42">
        <f ca="1">IF(OR($I$10="",$O8="",$P8="",$J$40&lt;&gt;"Yes"),0,IF($K$10=0,SUMIFS(INDIRECT(ADDRESS(12,3+18*3+(5),,,"J1 A - (North) Bishopthorpe Roa")&amp;":"&amp;ADDRESS(130,3+18*3+(5))),'J1 A - (North) Bishopthorpe Roa'!$A$12:$A$130,"&gt;="&amp;Diagram!$O8,'J1 A - (North) Bishopthorpe Roa'!$A$12:$A$130,"&lt;"&amp;Diagram!$P8),SUMIFS(INDIRECT(ADDRESS(12,3+18*3+(13),,,"J1 A - (North) Bishopthorpe Roa")&amp;":"&amp;ADDRESS(130,3+18*3+(13))),'J1 A - (North) Bishopthorpe Roa'!$A$12:$A$130,"&gt;="&amp;Diagram!$O8,'J1 A - (North) Bishopthorpe Roa'!$A$12:$A$130,"&lt;"&amp;Diagram!$P8)))</f>
        <v>0</v>
      </c>
      <c r="DA8" s="42">
        <f ca="1">IF(OR($I$10="",$O8="",$P8="",$J$40&lt;&gt;"Yes"),0,IF($K$10=0,SUMIFS(INDIRECT(ADDRESS(12,3+18*0+(5),,,"J1 A - (North) Bishopthorpe Roa")&amp;":"&amp;ADDRESS(130,3+18*0+(5))),'J1 A - (North) Bishopthorpe Roa'!$A$12:$A$130,"&gt;="&amp;Diagram!$O8,'J1 A - (North) Bishopthorpe Roa'!$A$12:$A$130,"&lt;"&amp;Diagram!$P8),SUMIFS(INDIRECT(ADDRESS(12,3+18*0+(13),,,"J1 A - (North) Bishopthorpe Roa")&amp;":"&amp;ADDRESS(130,3+18*0+(13))),'J1 A - (North) Bishopthorpe Roa'!$A$12:$A$130,"&gt;="&amp;Diagram!$O8,'J1 A - (North) Bishopthorpe Roa'!$A$12:$A$130,"&lt;"&amp;Diagram!$P8)))</f>
        <v>0</v>
      </c>
      <c r="DB8" s="42">
        <f ca="1">IF(OR($I$10="",$O8="",$P8="",$J$40&lt;&gt;"Yes"),0,IF($K$10=0,SUMIFS(INDIRECT(ADDRESS(12,3+18*1+(5),,,"J1 A - (North) Bishopthorpe Roa")&amp;":"&amp;ADDRESS(130,3+18*1+(5))),'J1 A - (North) Bishopthorpe Roa'!$A$12:$A$130,"&gt;="&amp;Diagram!$O8,'J1 A - (North) Bishopthorpe Roa'!$A$12:$A$130,"&lt;"&amp;Diagram!$P8),SUMIFS(INDIRECT(ADDRESS(12,3+18*1+(13),,,"J1 A - (North) Bishopthorpe Roa")&amp;":"&amp;ADDRESS(130,3+18*1+(13))),'J1 A - (North) Bishopthorpe Roa'!$A$12:$A$130,"&gt;="&amp;Diagram!$O8,'J1 A - (North) Bishopthorpe Roa'!$A$12:$A$130,"&lt;"&amp;Diagram!$P8)))</f>
        <v>0</v>
      </c>
      <c r="DC8" s="42">
        <f ca="1">IF(OR($I$10="",$O8="",$P8="",$J$40&lt;&gt;"Yes"),0,IF($K$10=0,SUMIFS(INDIRECT(ADDRESS(12,3+18*2+(5),,,"J1 A - (North) Bishopthorpe Roa")&amp;":"&amp;ADDRESS(130,3+18*2+(5))),'J1 A - (North) Bishopthorpe Roa'!$A$12:$A$130,"&gt;="&amp;Diagram!$O8,'J1 A - (North) Bishopthorpe Roa'!$A$12:$A$130,"&lt;"&amp;Diagram!$P8),SUMIFS(INDIRECT(ADDRESS(12,3+18*2+(13),,,"J1 A - (North) Bishopthorpe Roa")&amp;":"&amp;ADDRESS(130,3+18*2+(13))),'J1 A - (North) Bishopthorpe Roa'!$A$12:$A$130,"&gt;="&amp;Diagram!$O8,'J1 A - (North) Bishopthorpe Roa'!$A$12:$A$130,"&lt;"&amp;Diagram!$P8)))</f>
        <v>0</v>
      </c>
      <c r="DD8" s="42">
        <f ca="1">IF(OR($I$10="",$O8="",$P8="",$J$40&lt;&gt;"Yes"),0,IF($K$10=0,SUMIFS(INDIRECT(ADDRESS(12,3+18*2+(5),,,"J1 B - Butcher Terrace")&amp;":"&amp;ADDRESS(130,3+18*2+(5))),'J1 B - Butcher Terrace'!$A$12:$A$130,"&gt;="&amp;Diagram!$O8,'J1 B - Butcher Terrace'!$A$12:$A$130,"&lt;"&amp;Diagram!$P8),SUMIFS(INDIRECT(ADDRESS(12,3+18*2+(13),,,"J1 B - Butcher Terrace")&amp;":"&amp;ADDRESS(130,3+18*2+(13))),'J1 B - Butcher Terrace'!$A$12:$A$130,"&gt;="&amp;Diagram!$O8,'J1 B - Butcher Terrace'!$A$12:$A$130,"&lt;"&amp;Diagram!$P8)))</f>
        <v>0</v>
      </c>
      <c r="DE8" s="42">
        <f ca="1">IF(OR($I$10="",$O8="",$P8="",$J$40&lt;&gt;"Yes"),0,IF($K$10=0,SUMIFS(INDIRECT(ADDRESS(12,3+18*3+(5),,,"J1 B - Butcher Terrace")&amp;":"&amp;ADDRESS(130,3+18*3+(5))),'J1 B - Butcher Terrace'!$A$12:$A$130,"&gt;="&amp;Diagram!$O8,'J1 B - Butcher Terrace'!$A$12:$A$130,"&lt;"&amp;Diagram!$P8),SUMIFS(INDIRECT(ADDRESS(12,3+18*3+(13),,,"J1 B - Butcher Terrace")&amp;":"&amp;ADDRESS(130,3+18*3+(13))),'J1 B - Butcher Terrace'!$A$12:$A$130,"&gt;="&amp;Diagram!$O8,'J1 B - Butcher Terrace'!$A$12:$A$130,"&lt;"&amp;Diagram!$P8)))</f>
        <v>0</v>
      </c>
      <c r="DF8" s="42">
        <f ca="1">IF(OR($I$10="",$O8="",$P8="",$J$40&lt;&gt;"Yes"),0,IF($K$10=0,SUMIFS(INDIRECT(ADDRESS(12,3+18*0+(5),,,"J1 B - Butcher Terrace")&amp;":"&amp;ADDRESS(130,3+18*0+(5))),'J1 B - Butcher Terrace'!$A$12:$A$130,"&gt;="&amp;Diagram!$O8,'J1 B - Butcher Terrace'!$A$12:$A$130,"&lt;"&amp;Diagram!$P8),SUMIFS(INDIRECT(ADDRESS(12,3+18*0+(13),,,"J1 B - Butcher Terrace")&amp;":"&amp;ADDRESS(130,3+18*0+(13))),'J1 B - Butcher Terrace'!$A$12:$A$130,"&gt;="&amp;Diagram!$O8,'J1 B - Butcher Terrace'!$A$12:$A$130,"&lt;"&amp;Diagram!$P8)))</f>
        <v>0</v>
      </c>
      <c r="DG8" s="42">
        <f ca="1">IF(OR($I$10="",$O8="",$P8="",$J$40&lt;&gt;"Yes"),0,IF($K$10=0,SUMIFS(INDIRECT(ADDRESS(12,3+18*1+(5),,,"J1 B - Butcher Terrace")&amp;":"&amp;ADDRESS(130,3+18*1+(5))),'J1 B - Butcher Terrace'!$A$12:$A$130,"&gt;="&amp;Diagram!$O8,'J1 B - Butcher Terrace'!$A$12:$A$130,"&lt;"&amp;Diagram!$P8),SUMIFS(INDIRECT(ADDRESS(12,3+18*1+(13),,,"J1 B - Butcher Terrace")&amp;":"&amp;ADDRESS(130,3+18*1+(13))),'J1 B - Butcher Terrace'!$A$12:$A$130,"&gt;="&amp;Diagram!$O8,'J1 B - Butcher Terrace'!$A$12:$A$130,"&lt;"&amp;Diagram!$P8)))</f>
        <v>0</v>
      </c>
      <c r="DH8" s="42">
        <f ca="1">IF(OR($I$10="",$O8="",$P8="",$J$40&lt;&gt;"Yes"),0,IF($K$10=0,SUMIFS(INDIRECT(ADDRESS(12,3+18*1+(5),,,"J1 C - (South) Bishopthorpe Roa")&amp;":"&amp;ADDRESS(130,3+18*1+(5))),'J1 C - (South) Bishopthorpe Roa'!$A$12:$A$130,"&gt;="&amp;Diagram!$O8,'J1 C - (South) Bishopthorpe Roa'!$A$12:$A$130,"&lt;"&amp;Diagram!$P8),SUMIFS(INDIRECT(ADDRESS(12,3+18*1+(13),,,"J1 C - (South) Bishopthorpe Roa")&amp;":"&amp;ADDRESS(130,3+18*1+(13))),'J1 C - (South) Bishopthorpe Roa'!$A$12:$A$130,"&gt;="&amp;Diagram!$O8,'J1 C - (South) Bishopthorpe Roa'!$A$12:$A$130,"&lt;"&amp;Diagram!$P8)))</f>
        <v>0</v>
      </c>
      <c r="DI8" s="42">
        <f ca="1">IF(OR($I$10="",$O8="",$P8="",$J$40&lt;&gt;"Yes"),0,IF($K$10=0,SUMIFS(INDIRECT(ADDRESS(12,3+18*2+(5),,,"J1 C - (South) Bishopthorpe Roa")&amp;":"&amp;ADDRESS(130,3+18*2+(5))),'J1 C - (South) Bishopthorpe Roa'!$A$12:$A$130,"&gt;="&amp;Diagram!$O8,'J1 C - (South) Bishopthorpe Roa'!$A$12:$A$130,"&lt;"&amp;Diagram!$P8),SUMIFS(INDIRECT(ADDRESS(12,3+18*2+(13),,,"J1 C - (South) Bishopthorpe Roa")&amp;":"&amp;ADDRESS(130,3+18*2+(13))),'J1 C - (South) Bishopthorpe Roa'!$A$12:$A$130,"&gt;="&amp;Diagram!$O8,'J1 C - (South) Bishopthorpe Roa'!$A$12:$A$130,"&lt;"&amp;Diagram!$P8)))</f>
        <v>0</v>
      </c>
      <c r="DJ8" s="42">
        <f ca="1">IF(OR($I$10="",$O8="",$P8="",$J$40&lt;&gt;"Yes"),0,IF($K$10=0,SUMIFS(INDIRECT(ADDRESS(12,3+18*3+(5),,,"J1 C - (South) Bishopthorpe Roa")&amp;":"&amp;ADDRESS(130,3+18*3+(5))),'J1 C - (South) Bishopthorpe Roa'!$A$12:$A$130,"&gt;="&amp;Diagram!$O8,'J1 C - (South) Bishopthorpe Roa'!$A$12:$A$130,"&lt;"&amp;Diagram!$P8),SUMIFS(INDIRECT(ADDRESS(12,3+18*3+(13),,,"J1 C - (South) Bishopthorpe Roa")&amp;":"&amp;ADDRESS(130,3+18*3+(13))),'J1 C - (South) Bishopthorpe Roa'!$A$12:$A$130,"&gt;="&amp;Diagram!$O8,'J1 C - (South) Bishopthorpe Roa'!$A$12:$A$130,"&lt;"&amp;Diagram!$P8)))</f>
        <v>0</v>
      </c>
      <c r="DK8" s="42">
        <f ca="1">IF(OR($I$10="",$O8="",$P8="",$J$40&lt;&gt;"Yes"),0,IF($K$10=0,SUMIFS(INDIRECT(ADDRESS(12,3+18*0+(5),,,"J1 C - (South) Bishopthorpe Roa")&amp;":"&amp;ADDRESS(130,3+18*0+(5))),'J1 C - (South) Bishopthorpe Roa'!$A$12:$A$130,"&gt;="&amp;Diagram!$O8,'J1 C - (South) Bishopthorpe Roa'!$A$12:$A$130,"&lt;"&amp;Diagram!$P8),SUMIFS(INDIRECT(ADDRESS(12,3+18*0+(13),,,"J1 C - (South) Bishopthorpe Roa")&amp;":"&amp;ADDRESS(130,3+18*0+(13))),'J1 C - (South) Bishopthorpe Roa'!$A$12:$A$130,"&gt;="&amp;Diagram!$O8,'J1 C - (South) Bishopthorpe Roa'!$A$12:$A$130,"&lt;"&amp;Diagram!$P8)))</f>
        <v>0</v>
      </c>
      <c r="DL8" s="42">
        <f ca="1">IF(OR($I$10="",$O8="",$P8="",$J$40&lt;&gt;"Yes"),0,IF($K$10=0,SUMIFS(INDIRECT(ADDRESS(12,3+18*0+(5),,,"J1 D - South Bank Avenue")&amp;":"&amp;ADDRESS(130,3+18*0+(5))),'J1 D - South Bank Avenue'!$A$12:$A$130,"&gt;="&amp;Diagram!$O8,'J1 D - South Bank Avenue'!$A$12:$A$130,"&lt;"&amp;Diagram!$P8),SUMIFS(INDIRECT(ADDRESS(12,3+18*0+(13),,,"J1 D - South Bank Avenue")&amp;":"&amp;ADDRESS(130,3+18*0+(13))),'J1 D - South Bank Avenue'!$A$12:$A$130,"&gt;="&amp;Diagram!$O8,'J1 D - South Bank Avenue'!$A$12:$A$130,"&lt;"&amp;Diagram!$P8)))</f>
        <v>0</v>
      </c>
      <c r="DM8" s="42">
        <f ca="1">IF(OR($I$10="",$O8="",$P8="",$J$40&lt;&gt;"Yes"),0,IF($K$10=0,SUMIFS(INDIRECT(ADDRESS(12,3+18*1+(5),,,"J1 D - South Bank Avenue")&amp;":"&amp;ADDRESS(130,3+18*1+(5))),'J1 D - South Bank Avenue'!$A$12:$A$130,"&gt;="&amp;Diagram!$O8,'J1 D - South Bank Avenue'!$A$12:$A$130,"&lt;"&amp;Diagram!$P8),SUMIFS(INDIRECT(ADDRESS(12,3+18*1+(13),,,"J1 D - South Bank Avenue")&amp;":"&amp;ADDRESS(130,3+18*1+(13))),'J1 D - South Bank Avenue'!$A$12:$A$130,"&gt;="&amp;Diagram!$O8,'J1 D - South Bank Avenue'!$A$12:$A$130,"&lt;"&amp;Diagram!$P8)))</f>
        <v>0</v>
      </c>
      <c r="DN8" s="42">
        <f ca="1">IF(OR($I$10="",$O8="",$P8="",$J$40&lt;&gt;"Yes"),0,IF($K$10=0,SUMIFS(INDIRECT(ADDRESS(12,3+18*2+(5),,,"J1 D - South Bank Avenue")&amp;":"&amp;ADDRESS(130,3+18*2+(5))),'J1 D - South Bank Avenue'!$A$12:$A$130,"&gt;="&amp;Diagram!$O8,'J1 D - South Bank Avenue'!$A$12:$A$130,"&lt;"&amp;Diagram!$P8),SUMIFS(INDIRECT(ADDRESS(12,3+18*2+(13),,,"J1 D - South Bank Avenue")&amp;":"&amp;ADDRESS(130,3+18*2+(13))),'J1 D - South Bank Avenue'!$A$12:$A$130,"&gt;="&amp;Diagram!$O8,'J1 D - South Bank Avenue'!$A$12:$A$130,"&lt;"&amp;Diagram!$P8)))</f>
        <v>0</v>
      </c>
      <c r="DO8" s="42">
        <f ca="1">IF(OR($I$10="",$O8="",$P8="",$J$40&lt;&gt;"Yes"),0,IF($K$10=0,SUMIFS(INDIRECT(ADDRESS(12,3+18*3+(5),,,"J1 D - South Bank Avenue")&amp;":"&amp;ADDRESS(130,3+18*3+(5))),'J1 D - South Bank Avenue'!$A$12:$A$130,"&gt;="&amp;Diagram!$O8,'J1 D - South Bank Avenue'!$A$12:$A$130,"&lt;"&amp;Diagram!$P8),SUMIFS(INDIRECT(ADDRESS(12,3+18*3+(13),,,"J1 D - South Bank Avenue")&amp;":"&amp;ADDRESS(130,3+18*3+(13))),'J1 D - South Bank Avenue'!$A$12:$A$130,"&gt;="&amp;Diagram!$O8,'J1 D - South Bank Avenue'!$A$12:$A$130,"&lt;"&amp;Diagram!$P8)))</f>
        <v>0</v>
      </c>
      <c r="DP8" s="42">
        <f t="shared" ca="1" si="7"/>
        <v>0</v>
      </c>
      <c r="DQ8" s="42">
        <f ca="1">IF(OR($I$10="",$O8="",$P8="",$J$41&lt;&gt;"Yes"),0,IF($K$10=0,SUMIFS(INDIRECT(ADDRESS(12,3+18*3+(6),,,"J1 A - (North) Bishopthorpe Roa")&amp;":"&amp;ADDRESS(130,3+18*3+(6))),'J1 A - (North) Bishopthorpe Roa'!$A$12:$A$130,"&gt;="&amp;Diagram!$O8,'J1 A - (North) Bishopthorpe Roa'!$A$12:$A$130,"&lt;"&amp;Diagram!$P8),SUMIFS(INDIRECT(ADDRESS(12,3+18*3+(14),,,"J1 A - (North) Bishopthorpe Roa")&amp;":"&amp;ADDRESS(130,3+18*3+(14))),'J1 A - (North) Bishopthorpe Roa'!$A$12:$A$130,"&gt;="&amp;Diagram!$O8,'J1 A - (North) Bishopthorpe Roa'!$A$12:$A$130,"&lt;"&amp;Diagram!$P8)))</f>
        <v>0</v>
      </c>
      <c r="DR8" s="42">
        <f ca="1">IF(OR($I$10="",$O8="",$P8="",$J$41&lt;&gt;"Yes"),0,IF($K$10=0,SUMIFS(INDIRECT(ADDRESS(12,3+18*0+(6),,,"J1 A - (North) Bishopthorpe Roa")&amp;":"&amp;ADDRESS(130,3+18*0+(6))),'J1 A - (North) Bishopthorpe Roa'!$A$12:$A$130,"&gt;="&amp;Diagram!$O8,'J1 A - (North) Bishopthorpe Roa'!$A$12:$A$130,"&lt;"&amp;Diagram!$P8),SUMIFS(INDIRECT(ADDRESS(12,3+18*0+(14),,,"J1 A - (North) Bishopthorpe Roa")&amp;":"&amp;ADDRESS(130,3+18*0+(14))),'J1 A - (North) Bishopthorpe Roa'!$A$12:$A$130,"&gt;="&amp;Diagram!$O8,'J1 A - (North) Bishopthorpe Roa'!$A$12:$A$130,"&lt;"&amp;Diagram!$P8)))</f>
        <v>0</v>
      </c>
      <c r="DS8" s="42">
        <f ca="1">IF(OR($I$10="",$O8="",$P8="",$J$41&lt;&gt;"Yes"),0,IF($K$10=0,SUMIFS(INDIRECT(ADDRESS(12,3+18*1+(6),,,"J1 A - (North) Bishopthorpe Roa")&amp;":"&amp;ADDRESS(130,3+18*1+(6))),'J1 A - (North) Bishopthorpe Roa'!$A$12:$A$130,"&gt;="&amp;Diagram!$O8,'J1 A - (North) Bishopthorpe Roa'!$A$12:$A$130,"&lt;"&amp;Diagram!$P8),SUMIFS(INDIRECT(ADDRESS(12,3+18*1+(14),,,"J1 A - (North) Bishopthorpe Roa")&amp;":"&amp;ADDRESS(130,3+18*1+(14))),'J1 A - (North) Bishopthorpe Roa'!$A$12:$A$130,"&gt;="&amp;Diagram!$O8,'J1 A - (North) Bishopthorpe Roa'!$A$12:$A$130,"&lt;"&amp;Diagram!$P8)))</f>
        <v>0</v>
      </c>
      <c r="DT8" s="42">
        <f ca="1">IF(OR($I$10="",$O8="",$P8="",$J$41&lt;&gt;"Yes"),0,IF($K$10=0,SUMIFS(INDIRECT(ADDRESS(12,3+18*2+(6),,,"J1 A - (North) Bishopthorpe Roa")&amp;":"&amp;ADDRESS(130,3+18*2+(6))),'J1 A - (North) Bishopthorpe Roa'!$A$12:$A$130,"&gt;="&amp;Diagram!$O8,'J1 A - (North) Bishopthorpe Roa'!$A$12:$A$130,"&lt;"&amp;Diagram!$P8),SUMIFS(INDIRECT(ADDRESS(12,3+18*2+(14),,,"J1 A - (North) Bishopthorpe Roa")&amp;":"&amp;ADDRESS(130,3+18*2+(14))),'J1 A - (North) Bishopthorpe Roa'!$A$12:$A$130,"&gt;="&amp;Diagram!$O8,'J1 A - (North) Bishopthorpe Roa'!$A$12:$A$130,"&lt;"&amp;Diagram!$P8)))</f>
        <v>0</v>
      </c>
      <c r="DU8" s="42">
        <f ca="1">IF(OR($I$10="",$O8="",$P8="",$J$41&lt;&gt;"Yes"),0,IF($K$10=0,SUMIFS(INDIRECT(ADDRESS(12,3+18*2+(6),,,"J1 B - Butcher Terrace")&amp;":"&amp;ADDRESS(130,3+18*2+(6))),'J1 B - Butcher Terrace'!$A$12:$A$130,"&gt;="&amp;Diagram!$O8,'J1 B - Butcher Terrace'!$A$12:$A$130,"&lt;"&amp;Diagram!$P8),SUMIFS(INDIRECT(ADDRESS(12,3+18*2+(14),,,"J1 B - Butcher Terrace")&amp;":"&amp;ADDRESS(130,3+18*2+(14))),'J1 B - Butcher Terrace'!$A$12:$A$130,"&gt;="&amp;Diagram!$O8,'J1 B - Butcher Terrace'!$A$12:$A$130,"&lt;"&amp;Diagram!$P8)))</f>
        <v>0</v>
      </c>
      <c r="DV8" s="42">
        <f ca="1">IF(OR($I$10="",$O8="",$P8="",$J$41&lt;&gt;"Yes"),0,IF($K$10=0,SUMIFS(INDIRECT(ADDRESS(12,3+18*3+(6),,,"J1 B - Butcher Terrace")&amp;":"&amp;ADDRESS(130,3+18*3+(6))),'J1 B - Butcher Terrace'!$A$12:$A$130,"&gt;="&amp;Diagram!$O8,'J1 B - Butcher Terrace'!$A$12:$A$130,"&lt;"&amp;Diagram!$P8),SUMIFS(INDIRECT(ADDRESS(12,3+18*3+(14),,,"J1 B - Butcher Terrace")&amp;":"&amp;ADDRESS(130,3+18*3+(14))),'J1 B - Butcher Terrace'!$A$12:$A$130,"&gt;="&amp;Diagram!$O8,'J1 B - Butcher Terrace'!$A$12:$A$130,"&lt;"&amp;Diagram!$P8)))</f>
        <v>0</v>
      </c>
      <c r="DW8" s="42">
        <f ca="1">IF(OR($I$10="",$O8="",$P8="",$J$41&lt;&gt;"Yes"),0,IF($K$10=0,SUMIFS(INDIRECT(ADDRESS(12,3+18*0+(6),,,"J1 B - Butcher Terrace")&amp;":"&amp;ADDRESS(130,3+18*0+(6))),'J1 B - Butcher Terrace'!$A$12:$A$130,"&gt;="&amp;Diagram!$O8,'J1 B - Butcher Terrace'!$A$12:$A$130,"&lt;"&amp;Diagram!$P8),SUMIFS(INDIRECT(ADDRESS(12,3+18*0+(14),,,"J1 B - Butcher Terrace")&amp;":"&amp;ADDRESS(130,3+18*0+(14))),'J1 B - Butcher Terrace'!$A$12:$A$130,"&gt;="&amp;Diagram!$O8,'J1 B - Butcher Terrace'!$A$12:$A$130,"&lt;"&amp;Diagram!$P8)))</f>
        <v>0</v>
      </c>
      <c r="DX8" s="42">
        <f ca="1">IF(OR($I$10="",$O8="",$P8="",$J$41&lt;&gt;"Yes"),0,IF($K$10=0,SUMIFS(INDIRECT(ADDRESS(12,3+18*1+(6),,,"J1 B - Butcher Terrace")&amp;":"&amp;ADDRESS(130,3+18*1+(6))),'J1 B - Butcher Terrace'!$A$12:$A$130,"&gt;="&amp;Diagram!$O8,'J1 B - Butcher Terrace'!$A$12:$A$130,"&lt;"&amp;Diagram!$P8),SUMIFS(INDIRECT(ADDRESS(12,3+18*1+(14),,,"J1 B - Butcher Terrace")&amp;":"&amp;ADDRESS(130,3+18*1+(14))),'J1 B - Butcher Terrace'!$A$12:$A$130,"&gt;="&amp;Diagram!$O8,'J1 B - Butcher Terrace'!$A$12:$A$130,"&lt;"&amp;Diagram!$P8)))</f>
        <v>0</v>
      </c>
      <c r="DY8" s="42">
        <f ca="1">IF(OR($I$10="",$O8="",$P8="",$J$41&lt;&gt;"Yes"),0,IF($K$10=0,SUMIFS(INDIRECT(ADDRESS(12,3+18*1+(6),,,"J1 C - (South) Bishopthorpe Roa")&amp;":"&amp;ADDRESS(130,3+18*1+(6))),'J1 C - (South) Bishopthorpe Roa'!$A$12:$A$130,"&gt;="&amp;Diagram!$O8,'J1 C - (South) Bishopthorpe Roa'!$A$12:$A$130,"&lt;"&amp;Diagram!$P8),SUMIFS(INDIRECT(ADDRESS(12,3+18*1+(14),,,"J1 C - (South) Bishopthorpe Roa")&amp;":"&amp;ADDRESS(130,3+18*1+(14))),'J1 C - (South) Bishopthorpe Roa'!$A$12:$A$130,"&gt;="&amp;Diagram!$O8,'J1 C - (South) Bishopthorpe Roa'!$A$12:$A$130,"&lt;"&amp;Diagram!$P8)))</f>
        <v>0</v>
      </c>
      <c r="DZ8" s="42">
        <f ca="1">IF(OR($I$10="",$O8="",$P8="",$J$41&lt;&gt;"Yes"),0,IF($K$10=0,SUMIFS(INDIRECT(ADDRESS(12,3+18*2+(6),,,"J1 C - (South) Bishopthorpe Roa")&amp;":"&amp;ADDRESS(130,3+18*2+(6))),'J1 C - (South) Bishopthorpe Roa'!$A$12:$A$130,"&gt;="&amp;Diagram!$O8,'J1 C - (South) Bishopthorpe Roa'!$A$12:$A$130,"&lt;"&amp;Diagram!$P8),SUMIFS(INDIRECT(ADDRESS(12,3+18*2+(14),,,"J1 C - (South) Bishopthorpe Roa")&amp;":"&amp;ADDRESS(130,3+18*2+(14))),'J1 C - (South) Bishopthorpe Roa'!$A$12:$A$130,"&gt;="&amp;Diagram!$O8,'J1 C - (South) Bishopthorpe Roa'!$A$12:$A$130,"&lt;"&amp;Diagram!$P8)))</f>
        <v>0</v>
      </c>
      <c r="EA8" s="42">
        <f ca="1">IF(OR($I$10="",$O8="",$P8="",$J$41&lt;&gt;"Yes"),0,IF($K$10=0,SUMIFS(INDIRECT(ADDRESS(12,3+18*3+(6),,,"J1 C - (South) Bishopthorpe Roa")&amp;":"&amp;ADDRESS(130,3+18*3+(6))),'J1 C - (South) Bishopthorpe Roa'!$A$12:$A$130,"&gt;="&amp;Diagram!$O8,'J1 C - (South) Bishopthorpe Roa'!$A$12:$A$130,"&lt;"&amp;Diagram!$P8),SUMIFS(INDIRECT(ADDRESS(12,3+18*3+(14),,,"J1 C - (South) Bishopthorpe Roa")&amp;":"&amp;ADDRESS(130,3+18*3+(14))),'J1 C - (South) Bishopthorpe Roa'!$A$12:$A$130,"&gt;="&amp;Diagram!$O8,'J1 C - (South) Bishopthorpe Roa'!$A$12:$A$130,"&lt;"&amp;Diagram!$P8)))</f>
        <v>0</v>
      </c>
      <c r="EB8" s="42">
        <f ca="1">IF(OR($I$10="",$O8="",$P8="",$J$41&lt;&gt;"Yes"),0,IF($K$10=0,SUMIFS(INDIRECT(ADDRESS(12,3+18*0+(6),,,"J1 C - (South) Bishopthorpe Roa")&amp;":"&amp;ADDRESS(130,3+18*0+(6))),'J1 C - (South) Bishopthorpe Roa'!$A$12:$A$130,"&gt;="&amp;Diagram!$O8,'J1 C - (South) Bishopthorpe Roa'!$A$12:$A$130,"&lt;"&amp;Diagram!$P8),SUMIFS(INDIRECT(ADDRESS(12,3+18*0+(14),,,"J1 C - (South) Bishopthorpe Roa")&amp;":"&amp;ADDRESS(130,3+18*0+(14))),'J1 C - (South) Bishopthorpe Roa'!$A$12:$A$130,"&gt;="&amp;Diagram!$O8,'J1 C - (South) Bishopthorpe Roa'!$A$12:$A$130,"&lt;"&amp;Diagram!$P8)))</f>
        <v>0</v>
      </c>
      <c r="EC8" s="42">
        <f ca="1">IF(OR($I$10="",$O8="",$P8="",$J$41&lt;&gt;"Yes"),0,IF($K$10=0,SUMIFS(INDIRECT(ADDRESS(12,3+18*0+(6),,,"J1 D - South Bank Avenue")&amp;":"&amp;ADDRESS(130,3+18*0+(6))),'J1 D - South Bank Avenue'!$A$12:$A$130,"&gt;="&amp;Diagram!$O8,'J1 D - South Bank Avenue'!$A$12:$A$130,"&lt;"&amp;Diagram!$P8),SUMIFS(INDIRECT(ADDRESS(12,3+18*0+(14),,,"J1 D - South Bank Avenue")&amp;":"&amp;ADDRESS(130,3+18*0+(14))),'J1 D - South Bank Avenue'!$A$12:$A$130,"&gt;="&amp;Diagram!$O8,'J1 D - South Bank Avenue'!$A$12:$A$130,"&lt;"&amp;Diagram!$P8)))</f>
        <v>0</v>
      </c>
      <c r="ED8" s="42">
        <f ca="1">IF(OR($I$10="",$O8="",$P8="",$J$41&lt;&gt;"Yes"),0,IF($K$10=0,SUMIFS(INDIRECT(ADDRESS(12,3+18*1+(6),,,"J1 D - South Bank Avenue")&amp;":"&amp;ADDRESS(130,3+18*1+(6))),'J1 D - South Bank Avenue'!$A$12:$A$130,"&gt;="&amp;Diagram!$O8,'J1 D - South Bank Avenue'!$A$12:$A$130,"&lt;"&amp;Diagram!$P8),SUMIFS(INDIRECT(ADDRESS(12,3+18*1+(14),,,"J1 D - South Bank Avenue")&amp;":"&amp;ADDRESS(130,3+18*1+(14))),'J1 D - South Bank Avenue'!$A$12:$A$130,"&gt;="&amp;Diagram!$O8,'J1 D - South Bank Avenue'!$A$12:$A$130,"&lt;"&amp;Diagram!$P8)))</f>
        <v>0</v>
      </c>
      <c r="EE8" s="42">
        <f ca="1">IF(OR($I$10="",$O8="",$P8="",$J$41&lt;&gt;"Yes"),0,IF($K$10=0,SUMIFS(INDIRECT(ADDRESS(12,3+18*2+(6),,,"J1 D - South Bank Avenue")&amp;":"&amp;ADDRESS(130,3+18*2+(6))),'J1 D - South Bank Avenue'!$A$12:$A$130,"&gt;="&amp;Diagram!$O8,'J1 D - South Bank Avenue'!$A$12:$A$130,"&lt;"&amp;Diagram!$P8),SUMIFS(INDIRECT(ADDRESS(12,3+18*2+(14),,,"J1 D - South Bank Avenue")&amp;":"&amp;ADDRESS(130,3+18*2+(14))),'J1 D - South Bank Avenue'!$A$12:$A$130,"&gt;="&amp;Diagram!$O8,'J1 D - South Bank Avenue'!$A$12:$A$130,"&lt;"&amp;Diagram!$P8)))</f>
        <v>0</v>
      </c>
      <c r="EF8" s="42">
        <f ca="1">IF(OR($I$10="",$O8="",$P8="",$J$41&lt;&gt;"Yes"),0,IF($K$10=0,SUMIFS(INDIRECT(ADDRESS(12,3+18*3+(6),,,"J1 D - South Bank Avenue")&amp;":"&amp;ADDRESS(130,3+18*3+(6))),'J1 D - South Bank Avenue'!$A$12:$A$130,"&gt;="&amp;Diagram!$O8,'J1 D - South Bank Avenue'!$A$12:$A$130,"&lt;"&amp;Diagram!$P8),SUMIFS(INDIRECT(ADDRESS(12,3+18*3+(14),,,"J1 D - South Bank Avenue")&amp;":"&amp;ADDRESS(130,3+18*3+(14))),'J1 D - South Bank Avenue'!$A$12:$A$130,"&gt;="&amp;Diagram!$O8,'J1 D - South Bank Avenue'!$A$12:$A$130,"&lt;"&amp;Diagram!$P8)))</f>
        <v>0</v>
      </c>
      <c r="EG8" s="42">
        <f t="shared" ca="1" si="8"/>
        <v>0</v>
      </c>
      <c r="EH8" s="42">
        <f ca="1">IF(OR($I$10="",$O8="",$P8="",$J$42&lt;&gt;"Yes"),0,IF($K$10=0,SUMIFS(INDIRECT(ADDRESS(12,3+18*3+(7),,,"J1 A - (North) Bishopthorpe Roa")&amp;":"&amp;ADDRESS(130,3+18*3+(7))),'J1 A - (North) Bishopthorpe Roa'!$A$12:$A$130,"&gt;="&amp;Diagram!$O8,'J1 A - (North) Bishopthorpe Roa'!$A$12:$A$130,"&lt;"&amp;Diagram!$P8),SUMIFS(INDIRECT(ADDRESS(12,3+18*3+(15),,,"J1 A - (North) Bishopthorpe Roa")&amp;":"&amp;ADDRESS(130,3+18*3+(15))),'J1 A - (North) Bishopthorpe Roa'!$A$12:$A$130,"&gt;="&amp;Diagram!$O8,'J1 A - (North) Bishopthorpe Roa'!$A$12:$A$130,"&lt;"&amp;Diagram!$P8)))</f>
        <v>0</v>
      </c>
      <c r="EI8" s="42">
        <f ca="1">IF(OR($I$10="",$O8="",$P8="",$J$42&lt;&gt;"Yes"),0,IF($K$10=0,SUMIFS(INDIRECT(ADDRESS(12,3+18*0+(7),,,"J1 A - (North) Bishopthorpe Roa")&amp;":"&amp;ADDRESS(130,3+18*0+(7))),'J1 A - (North) Bishopthorpe Roa'!$A$12:$A$130,"&gt;="&amp;Diagram!$O8,'J1 A - (North) Bishopthorpe Roa'!$A$12:$A$130,"&lt;"&amp;Diagram!$P8),SUMIFS(INDIRECT(ADDRESS(12,3+18*0+(15),,,"J1 A - (North) Bishopthorpe Roa")&amp;":"&amp;ADDRESS(130,3+18*0+(15))),'J1 A - (North) Bishopthorpe Roa'!$A$12:$A$130,"&gt;="&amp;Diagram!$O8,'J1 A - (North) Bishopthorpe Roa'!$A$12:$A$130,"&lt;"&amp;Diagram!$P8)))</f>
        <v>0</v>
      </c>
      <c r="EJ8" s="42">
        <f ca="1">IF(OR($I$10="",$O8="",$P8="",$J$42&lt;&gt;"Yes"),0,IF($K$10=0,SUMIFS(INDIRECT(ADDRESS(12,3+18*1+(7),,,"J1 A - (North) Bishopthorpe Roa")&amp;":"&amp;ADDRESS(130,3+18*1+(7))),'J1 A - (North) Bishopthorpe Roa'!$A$12:$A$130,"&gt;="&amp;Diagram!$O8,'J1 A - (North) Bishopthorpe Roa'!$A$12:$A$130,"&lt;"&amp;Diagram!$P8),SUMIFS(INDIRECT(ADDRESS(12,3+18*1+(15),,,"J1 A - (North) Bishopthorpe Roa")&amp;":"&amp;ADDRESS(130,3+18*1+(15))),'J1 A - (North) Bishopthorpe Roa'!$A$12:$A$130,"&gt;="&amp;Diagram!$O8,'J1 A - (North) Bishopthorpe Roa'!$A$12:$A$130,"&lt;"&amp;Diagram!$P8)))</f>
        <v>0</v>
      </c>
      <c r="EK8" s="42">
        <f ca="1">IF(OR($I$10="",$O8="",$P8="",$J$42&lt;&gt;"Yes"),0,IF($K$10=0,SUMIFS(INDIRECT(ADDRESS(12,3+18*2+(7),,,"J1 A - (North) Bishopthorpe Roa")&amp;":"&amp;ADDRESS(130,3+18*2+(7))),'J1 A - (North) Bishopthorpe Roa'!$A$12:$A$130,"&gt;="&amp;Diagram!$O8,'J1 A - (North) Bishopthorpe Roa'!$A$12:$A$130,"&lt;"&amp;Diagram!$P8),SUMIFS(INDIRECT(ADDRESS(12,3+18*2+(15),,,"J1 A - (North) Bishopthorpe Roa")&amp;":"&amp;ADDRESS(130,3+18*2+(15))),'J1 A - (North) Bishopthorpe Roa'!$A$12:$A$130,"&gt;="&amp;Diagram!$O8,'J1 A - (North) Bishopthorpe Roa'!$A$12:$A$130,"&lt;"&amp;Diagram!$P8)))</f>
        <v>0</v>
      </c>
      <c r="EL8" s="42">
        <f ca="1">IF(OR($I$10="",$O8="",$P8="",$J$42&lt;&gt;"Yes"),0,IF($K$10=0,SUMIFS(INDIRECT(ADDRESS(12,3+18*2+(7),,,"J1 B - Butcher Terrace")&amp;":"&amp;ADDRESS(130,3+18*2+(7))),'J1 B - Butcher Terrace'!$A$12:$A$130,"&gt;="&amp;Diagram!$O8,'J1 B - Butcher Terrace'!$A$12:$A$130,"&lt;"&amp;Diagram!$P8),SUMIFS(INDIRECT(ADDRESS(12,3+18*2+(15),,,"J1 B - Butcher Terrace")&amp;":"&amp;ADDRESS(130,3+18*2+(15))),'J1 B - Butcher Terrace'!$A$12:$A$130,"&gt;="&amp;Diagram!$O8,'J1 B - Butcher Terrace'!$A$12:$A$130,"&lt;"&amp;Diagram!$P8)))</f>
        <v>0</v>
      </c>
      <c r="EM8" s="42">
        <f ca="1">IF(OR($I$10="",$O8="",$P8="",$J$42&lt;&gt;"Yes"),0,IF($K$10=0,SUMIFS(INDIRECT(ADDRESS(12,3+18*3+(7),,,"J1 B - Butcher Terrace")&amp;":"&amp;ADDRESS(130,3+18*3+(7))),'J1 B - Butcher Terrace'!$A$12:$A$130,"&gt;="&amp;Diagram!$O8,'J1 B - Butcher Terrace'!$A$12:$A$130,"&lt;"&amp;Diagram!$P8),SUMIFS(INDIRECT(ADDRESS(12,3+18*3+(15),,,"J1 B - Butcher Terrace")&amp;":"&amp;ADDRESS(130,3+18*3+(15))),'J1 B - Butcher Terrace'!$A$12:$A$130,"&gt;="&amp;Diagram!$O8,'J1 B - Butcher Terrace'!$A$12:$A$130,"&lt;"&amp;Diagram!$P8)))</f>
        <v>0</v>
      </c>
      <c r="EN8" s="42">
        <f ca="1">IF(OR($I$10="",$O8="",$P8="",$J$42&lt;&gt;"Yes"),0,IF($K$10=0,SUMIFS(INDIRECT(ADDRESS(12,3+18*0+(7),,,"J1 B - Butcher Terrace")&amp;":"&amp;ADDRESS(130,3+18*0+(7))),'J1 B - Butcher Terrace'!$A$12:$A$130,"&gt;="&amp;Diagram!$O8,'J1 B - Butcher Terrace'!$A$12:$A$130,"&lt;"&amp;Diagram!$P8),SUMIFS(INDIRECT(ADDRESS(12,3+18*0+(15),,,"J1 B - Butcher Terrace")&amp;":"&amp;ADDRESS(130,3+18*0+(15))),'J1 B - Butcher Terrace'!$A$12:$A$130,"&gt;="&amp;Diagram!$O8,'J1 B - Butcher Terrace'!$A$12:$A$130,"&lt;"&amp;Diagram!$P8)))</f>
        <v>0</v>
      </c>
      <c r="EO8" s="42">
        <f ca="1">IF(OR($I$10="",$O8="",$P8="",$J$42&lt;&gt;"Yes"),0,IF($K$10=0,SUMIFS(INDIRECT(ADDRESS(12,3+18*1+(7),,,"J1 B - Butcher Terrace")&amp;":"&amp;ADDRESS(130,3+18*1+(7))),'J1 B - Butcher Terrace'!$A$12:$A$130,"&gt;="&amp;Diagram!$O8,'J1 B - Butcher Terrace'!$A$12:$A$130,"&lt;"&amp;Diagram!$P8),SUMIFS(INDIRECT(ADDRESS(12,3+18*1+(15),,,"J1 B - Butcher Terrace")&amp;":"&amp;ADDRESS(130,3+18*1+(15))),'J1 B - Butcher Terrace'!$A$12:$A$130,"&gt;="&amp;Diagram!$O8,'J1 B - Butcher Terrace'!$A$12:$A$130,"&lt;"&amp;Diagram!$P8)))</f>
        <v>0</v>
      </c>
      <c r="EP8" s="42">
        <f ca="1">IF(OR($I$10="",$O8="",$P8="",$J$42&lt;&gt;"Yes"),0,IF($K$10=0,SUMIFS(INDIRECT(ADDRESS(12,3+18*1+(7),,,"J1 C - (South) Bishopthorpe Roa")&amp;":"&amp;ADDRESS(130,3+18*1+(7))),'J1 C - (South) Bishopthorpe Roa'!$A$12:$A$130,"&gt;="&amp;Diagram!$O8,'J1 C - (South) Bishopthorpe Roa'!$A$12:$A$130,"&lt;"&amp;Diagram!$P8),SUMIFS(INDIRECT(ADDRESS(12,3+18*1+(15),,,"J1 C - (South) Bishopthorpe Roa")&amp;":"&amp;ADDRESS(130,3+18*1+(15))),'J1 C - (South) Bishopthorpe Roa'!$A$12:$A$130,"&gt;="&amp;Diagram!$O8,'J1 C - (South) Bishopthorpe Roa'!$A$12:$A$130,"&lt;"&amp;Diagram!$P8)))</f>
        <v>0</v>
      </c>
      <c r="EQ8" s="42">
        <f ca="1">IF(OR($I$10="",$O8="",$P8="",$J$42&lt;&gt;"Yes"),0,IF($K$10=0,SUMIFS(INDIRECT(ADDRESS(12,3+18*2+(7),,,"J1 C - (South) Bishopthorpe Roa")&amp;":"&amp;ADDRESS(130,3+18*2+(7))),'J1 C - (South) Bishopthorpe Roa'!$A$12:$A$130,"&gt;="&amp;Diagram!$O8,'J1 C - (South) Bishopthorpe Roa'!$A$12:$A$130,"&lt;"&amp;Diagram!$P8),SUMIFS(INDIRECT(ADDRESS(12,3+18*2+(15),,,"J1 C - (South) Bishopthorpe Roa")&amp;":"&amp;ADDRESS(130,3+18*2+(15))),'J1 C - (South) Bishopthorpe Roa'!$A$12:$A$130,"&gt;="&amp;Diagram!$O8,'J1 C - (South) Bishopthorpe Roa'!$A$12:$A$130,"&lt;"&amp;Diagram!$P8)))</f>
        <v>0</v>
      </c>
      <c r="ER8" s="42">
        <f ca="1">IF(OR($I$10="",$O8="",$P8="",$J$42&lt;&gt;"Yes"),0,IF($K$10=0,SUMIFS(INDIRECT(ADDRESS(12,3+18*3+(7),,,"J1 C - (South) Bishopthorpe Roa")&amp;":"&amp;ADDRESS(130,3+18*3+(7))),'J1 C - (South) Bishopthorpe Roa'!$A$12:$A$130,"&gt;="&amp;Diagram!$O8,'J1 C - (South) Bishopthorpe Roa'!$A$12:$A$130,"&lt;"&amp;Diagram!$P8),SUMIFS(INDIRECT(ADDRESS(12,3+18*3+(15),,,"J1 C - (South) Bishopthorpe Roa")&amp;":"&amp;ADDRESS(130,3+18*3+(15))),'J1 C - (South) Bishopthorpe Roa'!$A$12:$A$130,"&gt;="&amp;Diagram!$O8,'J1 C - (South) Bishopthorpe Roa'!$A$12:$A$130,"&lt;"&amp;Diagram!$P8)))</f>
        <v>0</v>
      </c>
      <c r="ES8" s="42">
        <f ca="1">IF(OR($I$10="",$O8="",$P8="",$J$42&lt;&gt;"Yes"),0,IF($K$10=0,SUMIFS(INDIRECT(ADDRESS(12,3+18*0+(7),,,"J1 C - (South) Bishopthorpe Roa")&amp;":"&amp;ADDRESS(130,3+18*0+(7))),'J1 C - (South) Bishopthorpe Roa'!$A$12:$A$130,"&gt;="&amp;Diagram!$O8,'J1 C - (South) Bishopthorpe Roa'!$A$12:$A$130,"&lt;"&amp;Diagram!$P8),SUMIFS(INDIRECT(ADDRESS(12,3+18*0+(15),,,"J1 C - (South) Bishopthorpe Roa")&amp;":"&amp;ADDRESS(130,3+18*0+(15))),'J1 C - (South) Bishopthorpe Roa'!$A$12:$A$130,"&gt;="&amp;Diagram!$O8,'J1 C - (South) Bishopthorpe Roa'!$A$12:$A$130,"&lt;"&amp;Diagram!$P8)))</f>
        <v>0</v>
      </c>
      <c r="ET8" s="42">
        <f ca="1">IF(OR($I$10="",$O8="",$P8="",$J$42&lt;&gt;"Yes"),0,IF($K$10=0,SUMIFS(INDIRECT(ADDRESS(12,3+18*0+(7),,,"J1 D - South Bank Avenue")&amp;":"&amp;ADDRESS(130,3+18*0+(7))),'J1 D - South Bank Avenue'!$A$12:$A$130,"&gt;="&amp;Diagram!$O8,'J1 D - South Bank Avenue'!$A$12:$A$130,"&lt;"&amp;Diagram!$P8),SUMIFS(INDIRECT(ADDRESS(12,3+18*0+(15),,,"J1 D - South Bank Avenue")&amp;":"&amp;ADDRESS(130,3+18*0+(15))),'J1 D - South Bank Avenue'!$A$12:$A$130,"&gt;="&amp;Diagram!$O8,'J1 D - South Bank Avenue'!$A$12:$A$130,"&lt;"&amp;Diagram!$P8)))</f>
        <v>0</v>
      </c>
      <c r="EU8" s="42">
        <f ca="1">IF(OR($I$10="",$O8="",$P8="",$J$42&lt;&gt;"Yes"),0,IF($K$10=0,SUMIFS(INDIRECT(ADDRESS(12,3+18*1+(7),,,"J1 D - South Bank Avenue")&amp;":"&amp;ADDRESS(130,3+18*1+(7))),'J1 D - South Bank Avenue'!$A$12:$A$130,"&gt;="&amp;Diagram!$O8,'J1 D - South Bank Avenue'!$A$12:$A$130,"&lt;"&amp;Diagram!$P8),SUMIFS(INDIRECT(ADDRESS(12,3+18*1+(15),,,"J1 D - South Bank Avenue")&amp;":"&amp;ADDRESS(130,3+18*1+(15))),'J1 D - South Bank Avenue'!$A$12:$A$130,"&gt;="&amp;Diagram!$O8,'J1 D - South Bank Avenue'!$A$12:$A$130,"&lt;"&amp;Diagram!$P8)))</f>
        <v>0</v>
      </c>
      <c r="EV8" s="42">
        <f ca="1">IF(OR($I$10="",$O8="",$P8="",$J$42&lt;&gt;"Yes"),0,IF($K$10=0,SUMIFS(INDIRECT(ADDRESS(12,3+18*2+(7),,,"J1 D - South Bank Avenue")&amp;":"&amp;ADDRESS(130,3+18*2+(7))),'J1 D - South Bank Avenue'!$A$12:$A$130,"&gt;="&amp;Diagram!$O8,'J1 D - South Bank Avenue'!$A$12:$A$130,"&lt;"&amp;Diagram!$P8),SUMIFS(INDIRECT(ADDRESS(12,3+18*2+(15),,,"J1 D - South Bank Avenue")&amp;":"&amp;ADDRESS(130,3+18*2+(15))),'J1 D - South Bank Avenue'!$A$12:$A$130,"&gt;="&amp;Diagram!$O8,'J1 D - South Bank Avenue'!$A$12:$A$130,"&lt;"&amp;Diagram!$P8)))</f>
        <v>0</v>
      </c>
      <c r="EW8" s="42">
        <f ca="1">IF(OR($I$10="",$O8="",$P8="",$J$42&lt;&gt;"Yes"),0,IF($K$10=0,SUMIFS(INDIRECT(ADDRESS(12,3+18*3+(7),,,"J1 D - South Bank Avenue")&amp;":"&amp;ADDRESS(130,3+18*3+(7))),'J1 D - South Bank Avenue'!$A$12:$A$130,"&gt;="&amp;Diagram!$O8,'J1 D - South Bank Avenue'!$A$12:$A$130,"&lt;"&amp;Diagram!$P8),SUMIFS(INDIRECT(ADDRESS(12,3+18*3+(15),,,"J1 D - South Bank Avenue")&amp;":"&amp;ADDRESS(130,3+18*3+(15))),'J1 D - South Bank Avenue'!$A$12:$A$130,"&gt;="&amp;Diagram!$O8,'J1 D - South Bank Avenue'!$A$12:$A$130,"&lt;"&amp;Diagram!$P8)))</f>
        <v>0</v>
      </c>
    </row>
    <row r="9" spans="1:153">
      <c r="A9" s="1">
        <v>44395.083333333299</v>
      </c>
      <c r="B9" s="1">
        <v>44395.09375</v>
      </c>
      <c r="O9" s="3">
        <v>44395.083333333299</v>
      </c>
      <c r="P9" s="3">
        <v>44395.125</v>
      </c>
      <c r="Q9" s="42">
        <f t="shared" ca="1" si="0"/>
        <v>10</v>
      </c>
      <c r="R9" s="42">
        <f t="shared" ca="1" si="1"/>
        <v>10</v>
      </c>
      <c r="S9" s="42">
        <f ca="1">IF(OR($I$10="",$O9="",$P9="",$J$35&lt;&gt;"Yes"),0,IF($K$10=0,SUMIFS(INDIRECT(ADDRESS(12,3+18*3+(0),,,"J1 A - (North) Bishopthorpe Roa")&amp;":"&amp;ADDRESS(130,3+18*3+(0))),'J1 A - (North) Bishopthorpe Roa'!$A$12:$A$130,"&gt;="&amp;Diagram!$O9,'J1 A - (North) Bishopthorpe Roa'!$A$12:$A$130,"&lt;"&amp;Diagram!$P9),SUMIFS(INDIRECT(ADDRESS(12,3+18*3+(8),,,"J1 A - (North) Bishopthorpe Roa")&amp;":"&amp;ADDRESS(130,3+18*3+(8))),'J1 A - (North) Bishopthorpe Roa'!$A$12:$A$130,"&gt;="&amp;Diagram!$O9,'J1 A - (North) Bishopthorpe Roa'!$A$12:$A$130,"&lt;"&amp;Diagram!$P9)))</f>
        <v>0</v>
      </c>
      <c r="T9" s="42">
        <f ca="1">IF(OR($I$10="",$O9="",$P9="",$J$35&lt;&gt;"Yes"),0,IF($K$10=0,SUMIFS(INDIRECT(ADDRESS(12,3+18*0+(0),,,"J1 A - (North) Bishopthorpe Roa")&amp;":"&amp;ADDRESS(130,3+18*0+(0))),'J1 A - (North) Bishopthorpe Roa'!$A$12:$A$130,"&gt;="&amp;Diagram!$O9,'J1 A - (North) Bishopthorpe Roa'!$A$12:$A$130,"&lt;"&amp;Diagram!$P9),SUMIFS(INDIRECT(ADDRESS(12,3+18*0+(8),,,"J1 A - (North) Bishopthorpe Roa")&amp;":"&amp;ADDRESS(130,3+18*0+(8))),'J1 A - (North) Bishopthorpe Roa'!$A$12:$A$130,"&gt;="&amp;Diagram!$O9,'J1 A - (North) Bishopthorpe Roa'!$A$12:$A$130,"&lt;"&amp;Diagram!$P9)))</f>
        <v>0</v>
      </c>
      <c r="U9" s="42">
        <f ca="1">IF(OR($I$10="",$O9="",$P9="",$J$35&lt;&gt;"Yes"),0,IF($K$10=0,SUMIFS(INDIRECT(ADDRESS(12,3+18*1+(0),,,"J1 A - (North) Bishopthorpe Roa")&amp;":"&amp;ADDRESS(130,3+18*1+(0))),'J1 A - (North) Bishopthorpe Roa'!$A$12:$A$130,"&gt;="&amp;Diagram!$O9,'J1 A - (North) Bishopthorpe Roa'!$A$12:$A$130,"&lt;"&amp;Diagram!$P9),SUMIFS(INDIRECT(ADDRESS(12,3+18*1+(8),,,"J1 A - (North) Bishopthorpe Roa")&amp;":"&amp;ADDRESS(130,3+18*1+(8))),'J1 A - (North) Bishopthorpe Roa'!$A$12:$A$130,"&gt;="&amp;Diagram!$O9,'J1 A - (North) Bishopthorpe Roa'!$A$12:$A$130,"&lt;"&amp;Diagram!$P9)))</f>
        <v>5</v>
      </c>
      <c r="V9" s="42">
        <f ca="1">IF(OR($I$10="",$O9="",$P9="",$J$35&lt;&gt;"Yes"),0,IF($K$10=0,SUMIFS(INDIRECT(ADDRESS(12,3+18*2+(0),,,"J1 A - (North) Bishopthorpe Roa")&amp;":"&amp;ADDRESS(130,3+18*2+(0))),'J1 A - (North) Bishopthorpe Roa'!$A$12:$A$130,"&gt;="&amp;Diagram!$O9,'J1 A - (North) Bishopthorpe Roa'!$A$12:$A$130,"&lt;"&amp;Diagram!$P9),SUMIFS(INDIRECT(ADDRESS(12,3+18*2+(8),,,"J1 A - (North) Bishopthorpe Roa")&amp;":"&amp;ADDRESS(130,3+18*2+(8))),'J1 A - (North) Bishopthorpe Roa'!$A$12:$A$130,"&gt;="&amp;Diagram!$O9,'J1 A - (North) Bishopthorpe Roa'!$A$12:$A$130,"&lt;"&amp;Diagram!$P9)))</f>
        <v>0</v>
      </c>
      <c r="W9" s="42">
        <f ca="1">IF(OR($I$10="",$O9="",$P9="",$J$35&lt;&gt;"Yes"),0,IF($K$10=0,SUMIFS(INDIRECT(ADDRESS(12,3+18*2+(0),,,"J1 B - Butcher Terrace")&amp;":"&amp;ADDRESS(130,3+18*2+(0))),'J1 B - Butcher Terrace'!$A$12:$A$130,"&gt;="&amp;Diagram!$O9,'J1 B - Butcher Terrace'!$A$12:$A$130,"&lt;"&amp;Diagram!$P9),SUMIFS(INDIRECT(ADDRESS(12,3+18*2+(8),,,"J1 B - Butcher Terrace")&amp;":"&amp;ADDRESS(130,3+18*2+(8))),'J1 B - Butcher Terrace'!$A$12:$A$130,"&gt;="&amp;Diagram!$O9,'J1 B - Butcher Terrace'!$A$12:$A$130,"&lt;"&amp;Diagram!$P9)))</f>
        <v>0</v>
      </c>
      <c r="X9" s="42">
        <f ca="1">IF(OR($I$10="",$O9="",$P9="",$J$35&lt;&gt;"Yes"),0,IF($K$10=0,SUMIFS(INDIRECT(ADDRESS(12,3+18*3+(0),,,"J1 B - Butcher Terrace")&amp;":"&amp;ADDRESS(130,3+18*3+(0))),'J1 B - Butcher Terrace'!$A$12:$A$130,"&gt;="&amp;Diagram!$O9,'J1 B - Butcher Terrace'!$A$12:$A$130,"&lt;"&amp;Diagram!$P9),SUMIFS(INDIRECT(ADDRESS(12,3+18*3+(8),,,"J1 B - Butcher Terrace")&amp;":"&amp;ADDRESS(130,3+18*3+(8))),'J1 B - Butcher Terrace'!$A$12:$A$130,"&gt;="&amp;Diagram!$O9,'J1 B - Butcher Terrace'!$A$12:$A$130,"&lt;"&amp;Diagram!$P9)))</f>
        <v>0</v>
      </c>
      <c r="Y9" s="42">
        <f ca="1">IF(OR($I$10="",$O9="",$P9="",$J$35&lt;&gt;"Yes"),0,IF($K$10=0,SUMIFS(INDIRECT(ADDRESS(12,3+18*0+(0),,,"J1 B - Butcher Terrace")&amp;":"&amp;ADDRESS(130,3+18*0+(0))),'J1 B - Butcher Terrace'!$A$12:$A$130,"&gt;="&amp;Diagram!$O9,'J1 B - Butcher Terrace'!$A$12:$A$130,"&lt;"&amp;Diagram!$P9),SUMIFS(INDIRECT(ADDRESS(12,3+18*0+(8),,,"J1 B - Butcher Terrace")&amp;":"&amp;ADDRESS(130,3+18*0+(8))),'J1 B - Butcher Terrace'!$A$12:$A$130,"&gt;="&amp;Diagram!$O9,'J1 B - Butcher Terrace'!$A$12:$A$130,"&lt;"&amp;Diagram!$P9)))</f>
        <v>0</v>
      </c>
      <c r="Z9" s="42">
        <f ca="1">IF(OR($I$10="",$O9="",$P9="",$J$35&lt;&gt;"Yes"),0,IF($K$10=0,SUMIFS(INDIRECT(ADDRESS(12,3+18*1+(0),,,"J1 B - Butcher Terrace")&amp;":"&amp;ADDRESS(130,3+18*1+(0))),'J1 B - Butcher Terrace'!$A$12:$A$130,"&gt;="&amp;Diagram!$O9,'J1 B - Butcher Terrace'!$A$12:$A$130,"&lt;"&amp;Diagram!$P9),SUMIFS(INDIRECT(ADDRESS(12,3+18*1+(8),,,"J1 B - Butcher Terrace")&amp;":"&amp;ADDRESS(130,3+18*1+(8))),'J1 B - Butcher Terrace'!$A$12:$A$130,"&gt;="&amp;Diagram!$O9,'J1 B - Butcher Terrace'!$A$12:$A$130,"&lt;"&amp;Diagram!$P9)))</f>
        <v>0</v>
      </c>
      <c r="AA9" s="42">
        <f ca="1">IF(OR($I$10="",$O9="",$P9="",$J$35&lt;&gt;"Yes"),0,IF($K$10=0,SUMIFS(INDIRECT(ADDRESS(12,3+18*1+(0),,,"J1 C - (South) Bishopthorpe Roa")&amp;":"&amp;ADDRESS(130,3+18*1+(0))),'J1 C - (South) Bishopthorpe Roa'!$A$12:$A$130,"&gt;="&amp;Diagram!$O9,'J1 C - (South) Bishopthorpe Roa'!$A$12:$A$130,"&lt;"&amp;Diagram!$P9),SUMIFS(INDIRECT(ADDRESS(12,3+18*1+(8),,,"J1 C - (South) Bishopthorpe Roa")&amp;":"&amp;ADDRESS(130,3+18*1+(8))),'J1 C - (South) Bishopthorpe Roa'!$A$12:$A$130,"&gt;="&amp;Diagram!$O9,'J1 C - (South) Bishopthorpe Roa'!$A$12:$A$130,"&lt;"&amp;Diagram!$P9)))</f>
        <v>3</v>
      </c>
      <c r="AB9" s="42">
        <f ca="1">IF(OR($I$10="",$O9="",$P9="",$J$35&lt;&gt;"Yes"),0,IF($K$10=0,SUMIFS(INDIRECT(ADDRESS(12,3+18*2+(0),,,"J1 C - (South) Bishopthorpe Roa")&amp;":"&amp;ADDRESS(130,3+18*2+(0))),'J1 C - (South) Bishopthorpe Roa'!$A$12:$A$130,"&gt;="&amp;Diagram!$O9,'J1 C - (South) Bishopthorpe Roa'!$A$12:$A$130,"&lt;"&amp;Diagram!$P9),SUMIFS(INDIRECT(ADDRESS(12,3+18*2+(8),,,"J1 C - (South) Bishopthorpe Roa")&amp;":"&amp;ADDRESS(130,3+18*2+(8))),'J1 C - (South) Bishopthorpe Roa'!$A$12:$A$130,"&gt;="&amp;Diagram!$O9,'J1 C - (South) Bishopthorpe Roa'!$A$12:$A$130,"&lt;"&amp;Diagram!$P9)))</f>
        <v>1</v>
      </c>
      <c r="AC9" s="42">
        <f ca="1">IF(OR($I$10="",$O9="",$P9="",$J$35&lt;&gt;"Yes"),0,IF($K$10=0,SUMIFS(INDIRECT(ADDRESS(12,3+18*3+(0),,,"J1 C - (South) Bishopthorpe Roa")&amp;":"&amp;ADDRESS(130,3+18*3+(0))),'J1 C - (South) Bishopthorpe Roa'!$A$12:$A$130,"&gt;="&amp;Diagram!$O9,'J1 C - (South) Bishopthorpe Roa'!$A$12:$A$130,"&lt;"&amp;Diagram!$P9),SUMIFS(INDIRECT(ADDRESS(12,3+18*3+(8),,,"J1 C - (South) Bishopthorpe Roa")&amp;":"&amp;ADDRESS(130,3+18*3+(8))),'J1 C - (South) Bishopthorpe Roa'!$A$12:$A$130,"&gt;="&amp;Diagram!$O9,'J1 C - (South) Bishopthorpe Roa'!$A$12:$A$130,"&lt;"&amp;Diagram!$P9)))</f>
        <v>0</v>
      </c>
      <c r="AD9" s="42">
        <f ca="1">IF(OR($I$10="",$O9="",$P9="",$J$35&lt;&gt;"Yes"),0,IF($K$10=0,SUMIFS(INDIRECT(ADDRESS(12,3+18*0+(0),,,"J1 C - (South) Bishopthorpe Roa")&amp;":"&amp;ADDRESS(130,3+18*0+(0))),'J1 C - (South) Bishopthorpe Roa'!$A$12:$A$130,"&gt;="&amp;Diagram!$O9,'J1 C - (South) Bishopthorpe Roa'!$A$12:$A$130,"&lt;"&amp;Diagram!$P9),SUMIFS(INDIRECT(ADDRESS(12,3+18*0+(8),,,"J1 C - (South) Bishopthorpe Roa")&amp;":"&amp;ADDRESS(130,3+18*0+(8))),'J1 C - (South) Bishopthorpe Roa'!$A$12:$A$130,"&gt;="&amp;Diagram!$O9,'J1 C - (South) Bishopthorpe Roa'!$A$12:$A$130,"&lt;"&amp;Diagram!$P9)))</f>
        <v>0</v>
      </c>
      <c r="AE9" s="42">
        <f ca="1">IF(OR($I$10="",$O9="",$P9="",$J$35&lt;&gt;"Yes"),0,IF($K$10=0,SUMIFS(INDIRECT(ADDRESS(12,3+18*0+(0),,,"J1 D - South Bank Avenue")&amp;":"&amp;ADDRESS(130,3+18*0+(0))),'J1 D - South Bank Avenue'!$A$12:$A$130,"&gt;="&amp;Diagram!$O9,'J1 D - South Bank Avenue'!$A$12:$A$130,"&lt;"&amp;Diagram!$P9),SUMIFS(INDIRECT(ADDRESS(12,3+18*0+(8),,,"J1 D - South Bank Avenue")&amp;":"&amp;ADDRESS(130,3+18*0+(8))),'J1 D - South Bank Avenue'!$A$12:$A$130,"&gt;="&amp;Diagram!$O9,'J1 D - South Bank Avenue'!$A$12:$A$130,"&lt;"&amp;Diagram!$P9)))</f>
        <v>1</v>
      </c>
      <c r="AF9" s="42">
        <f ca="1">IF(OR($I$10="",$O9="",$P9="",$J$35&lt;&gt;"Yes"),0,IF($K$10=0,SUMIFS(INDIRECT(ADDRESS(12,3+18*1+(0),,,"J1 D - South Bank Avenue")&amp;":"&amp;ADDRESS(130,3+18*1+(0))),'J1 D - South Bank Avenue'!$A$12:$A$130,"&gt;="&amp;Diagram!$O9,'J1 D - South Bank Avenue'!$A$12:$A$130,"&lt;"&amp;Diagram!$P9),SUMIFS(INDIRECT(ADDRESS(12,3+18*1+(8),,,"J1 D - South Bank Avenue")&amp;":"&amp;ADDRESS(130,3+18*1+(8))),'J1 D - South Bank Avenue'!$A$12:$A$130,"&gt;="&amp;Diagram!$O9,'J1 D - South Bank Avenue'!$A$12:$A$130,"&lt;"&amp;Diagram!$P9)))</f>
        <v>0</v>
      </c>
      <c r="AG9" s="42">
        <f ca="1">IF(OR($I$10="",$O9="",$P9="",$J$35&lt;&gt;"Yes"),0,IF($K$10=0,SUMIFS(INDIRECT(ADDRESS(12,3+18*2+(0),,,"J1 D - South Bank Avenue")&amp;":"&amp;ADDRESS(130,3+18*2+(0))),'J1 D - South Bank Avenue'!$A$12:$A$130,"&gt;="&amp;Diagram!$O9,'J1 D - South Bank Avenue'!$A$12:$A$130,"&lt;"&amp;Diagram!$P9),SUMIFS(INDIRECT(ADDRESS(12,3+18*2+(8),,,"J1 D - South Bank Avenue")&amp;":"&amp;ADDRESS(130,3+18*2+(8))),'J1 D - South Bank Avenue'!$A$12:$A$130,"&gt;="&amp;Diagram!$O9,'J1 D - South Bank Avenue'!$A$12:$A$130,"&lt;"&amp;Diagram!$P9)))</f>
        <v>0</v>
      </c>
      <c r="AH9" s="42">
        <f ca="1">IF(OR($I$10="",$O9="",$P9="",$J$35&lt;&gt;"Yes"),0,IF($K$10=0,SUMIFS(INDIRECT(ADDRESS(12,3+18*3+(0),,,"J1 D - South Bank Avenue")&amp;":"&amp;ADDRESS(130,3+18*3+(0))),'J1 D - South Bank Avenue'!$A$12:$A$130,"&gt;="&amp;Diagram!$O9,'J1 D - South Bank Avenue'!$A$12:$A$130,"&lt;"&amp;Diagram!$P9),SUMIFS(INDIRECT(ADDRESS(12,3+18*3+(8),,,"J1 D - South Bank Avenue")&amp;":"&amp;ADDRESS(130,3+18*3+(8))),'J1 D - South Bank Avenue'!$A$12:$A$130,"&gt;="&amp;Diagram!$O9,'J1 D - South Bank Avenue'!$A$12:$A$130,"&lt;"&amp;Diagram!$P9)))</f>
        <v>0</v>
      </c>
      <c r="AI9" s="42">
        <f t="shared" ca="1" si="2"/>
        <v>0</v>
      </c>
      <c r="AJ9" s="42">
        <f ca="1">IF(OR($I$10="",$O9="",$P9="",$J$36&lt;&gt;"Yes"),0,IF($K$10=0,SUMIFS(INDIRECT(ADDRESS(12,3+18*3+(1),,,"J1 A - (North) Bishopthorpe Roa")&amp;":"&amp;ADDRESS(130,3+18*3+(1))),'J1 A - (North) Bishopthorpe Roa'!$A$12:$A$130,"&gt;="&amp;Diagram!$O9,'J1 A - (North) Bishopthorpe Roa'!$A$12:$A$130,"&lt;"&amp;Diagram!$P9),SUMIFS(INDIRECT(ADDRESS(12,3+18*3+(9),,,"J1 A - (North) Bishopthorpe Roa")&amp;":"&amp;ADDRESS(130,3+18*3+(9))),'J1 A - (North) Bishopthorpe Roa'!$A$12:$A$130,"&gt;="&amp;Diagram!$O9,'J1 A - (North) Bishopthorpe Roa'!$A$12:$A$130,"&lt;"&amp;Diagram!$P9)))</f>
        <v>0</v>
      </c>
      <c r="AK9" s="42">
        <f ca="1">IF(OR($I$10="",$O9="",$P9="",$J$36&lt;&gt;"Yes"),0,IF($K$10=0,SUMIFS(INDIRECT(ADDRESS(12,3+18*0+(1),,,"J1 A - (North) Bishopthorpe Roa")&amp;":"&amp;ADDRESS(130,3+18*0+(1))),'J1 A - (North) Bishopthorpe Roa'!$A$12:$A$130,"&gt;="&amp;Diagram!$O9,'J1 A - (North) Bishopthorpe Roa'!$A$12:$A$130,"&lt;"&amp;Diagram!$P9),SUMIFS(INDIRECT(ADDRESS(12,3+18*0+(9),,,"J1 A - (North) Bishopthorpe Roa")&amp;":"&amp;ADDRESS(130,3+18*0+(9))),'J1 A - (North) Bishopthorpe Roa'!$A$12:$A$130,"&gt;="&amp;Diagram!$O9,'J1 A - (North) Bishopthorpe Roa'!$A$12:$A$130,"&lt;"&amp;Diagram!$P9)))</f>
        <v>0</v>
      </c>
      <c r="AL9" s="42">
        <f ca="1">IF(OR($I$10="",$O9="",$P9="",$J$36&lt;&gt;"Yes"),0,IF($K$10=0,SUMIFS(INDIRECT(ADDRESS(12,3+18*1+(1),,,"J1 A - (North) Bishopthorpe Roa")&amp;":"&amp;ADDRESS(130,3+18*1+(1))),'J1 A - (North) Bishopthorpe Roa'!$A$12:$A$130,"&gt;="&amp;Diagram!$O9,'J1 A - (North) Bishopthorpe Roa'!$A$12:$A$130,"&lt;"&amp;Diagram!$P9),SUMIFS(INDIRECT(ADDRESS(12,3+18*1+(9),,,"J1 A - (North) Bishopthorpe Roa")&amp;":"&amp;ADDRESS(130,3+18*1+(9))),'J1 A - (North) Bishopthorpe Roa'!$A$12:$A$130,"&gt;="&amp;Diagram!$O9,'J1 A - (North) Bishopthorpe Roa'!$A$12:$A$130,"&lt;"&amp;Diagram!$P9)))</f>
        <v>0</v>
      </c>
      <c r="AM9" s="42">
        <f ca="1">IF(OR($I$10="",$O9="",$P9="",$J$36&lt;&gt;"Yes"),0,IF($K$10=0,SUMIFS(INDIRECT(ADDRESS(12,3+18*2+(1),,,"J1 A - (North) Bishopthorpe Roa")&amp;":"&amp;ADDRESS(130,3+18*2+(1))),'J1 A - (North) Bishopthorpe Roa'!$A$12:$A$130,"&gt;="&amp;Diagram!$O9,'J1 A - (North) Bishopthorpe Roa'!$A$12:$A$130,"&lt;"&amp;Diagram!$P9),SUMIFS(INDIRECT(ADDRESS(12,3+18*2+(9),,,"J1 A - (North) Bishopthorpe Roa")&amp;":"&amp;ADDRESS(130,3+18*2+(9))),'J1 A - (North) Bishopthorpe Roa'!$A$12:$A$130,"&gt;="&amp;Diagram!$O9,'J1 A - (North) Bishopthorpe Roa'!$A$12:$A$130,"&lt;"&amp;Diagram!$P9)))</f>
        <v>0</v>
      </c>
      <c r="AN9" s="42">
        <f ca="1">IF(OR($I$10="",$O9="",$P9="",$J$36&lt;&gt;"Yes"),0,IF($K$10=0,SUMIFS(INDIRECT(ADDRESS(12,3+18*2+(1),,,"J1 B - Butcher Terrace")&amp;":"&amp;ADDRESS(130,3+18*2+(1))),'J1 B - Butcher Terrace'!$A$12:$A$130,"&gt;="&amp;Diagram!$O9,'J1 B - Butcher Terrace'!$A$12:$A$130,"&lt;"&amp;Diagram!$P9),SUMIFS(INDIRECT(ADDRESS(12,3+18*2+(9),,,"J1 B - Butcher Terrace")&amp;":"&amp;ADDRESS(130,3+18*2+(9))),'J1 B - Butcher Terrace'!$A$12:$A$130,"&gt;="&amp;Diagram!$O9,'J1 B - Butcher Terrace'!$A$12:$A$130,"&lt;"&amp;Diagram!$P9)))</f>
        <v>0</v>
      </c>
      <c r="AO9" s="42">
        <f ca="1">IF(OR($I$10="",$O9="",$P9="",$J$36&lt;&gt;"Yes"),0,IF($K$10=0,SUMIFS(INDIRECT(ADDRESS(12,3+18*3+(1),,,"J1 B - Butcher Terrace")&amp;":"&amp;ADDRESS(130,3+18*3+(1))),'J1 B - Butcher Terrace'!$A$12:$A$130,"&gt;="&amp;Diagram!$O9,'J1 B - Butcher Terrace'!$A$12:$A$130,"&lt;"&amp;Diagram!$P9),SUMIFS(INDIRECT(ADDRESS(12,3+18*3+(9),,,"J1 B - Butcher Terrace")&amp;":"&amp;ADDRESS(130,3+18*3+(9))),'J1 B - Butcher Terrace'!$A$12:$A$130,"&gt;="&amp;Diagram!$O9,'J1 B - Butcher Terrace'!$A$12:$A$130,"&lt;"&amp;Diagram!$P9)))</f>
        <v>0</v>
      </c>
      <c r="AP9" s="42">
        <f ca="1">IF(OR($I$10="",$O9="",$P9="",$J$36&lt;&gt;"Yes"),0,IF($K$10=0,SUMIFS(INDIRECT(ADDRESS(12,3+18*0+(1),,,"J1 B - Butcher Terrace")&amp;":"&amp;ADDRESS(130,3+18*0+(1))),'J1 B - Butcher Terrace'!$A$12:$A$130,"&gt;="&amp;Diagram!$O9,'J1 B - Butcher Terrace'!$A$12:$A$130,"&lt;"&amp;Diagram!$P9),SUMIFS(INDIRECT(ADDRESS(12,3+18*0+(9),,,"J1 B - Butcher Terrace")&amp;":"&amp;ADDRESS(130,3+18*0+(9))),'J1 B - Butcher Terrace'!$A$12:$A$130,"&gt;="&amp;Diagram!$O9,'J1 B - Butcher Terrace'!$A$12:$A$130,"&lt;"&amp;Diagram!$P9)))</f>
        <v>0</v>
      </c>
      <c r="AQ9" s="42">
        <f ca="1">IF(OR($I$10="",$O9="",$P9="",$J$36&lt;&gt;"Yes"),0,IF($K$10=0,SUMIFS(INDIRECT(ADDRESS(12,3+18*1+(1),,,"J1 B - Butcher Terrace")&amp;":"&amp;ADDRESS(130,3+18*1+(1))),'J1 B - Butcher Terrace'!$A$12:$A$130,"&gt;="&amp;Diagram!$O9,'J1 B - Butcher Terrace'!$A$12:$A$130,"&lt;"&amp;Diagram!$P9),SUMIFS(INDIRECT(ADDRESS(12,3+18*1+(9),,,"J1 B - Butcher Terrace")&amp;":"&amp;ADDRESS(130,3+18*1+(9))),'J1 B - Butcher Terrace'!$A$12:$A$130,"&gt;="&amp;Diagram!$O9,'J1 B - Butcher Terrace'!$A$12:$A$130,"&lt;"&amp;Diagram!$P9)))</f>
        <v>0</v>
      </c>
      <c r="AR9" s="42">
        <f ca="1">IF(OR($I$10="",$O9="",$P9="",$J$36&lt;&gt;"Yes"),0,IF($K$10=0,SUMIFS(INDIRECT(ADDRESS(12,3+18*1+(1),,,"J1 C - (South) Bishopthorpe Roa")&amp;":"&amp;ADDRESS(130,3+18*1+(1))),'J1 C - (South) Bishopthorpe Roa'!$A$12:$A$130,"&gt;="&amp;Diagram!$O9,'J1 C - (South) Bishopthorpe Roa'!$A$12:$A$130,"&lt;"&amp;Diagram!$P9),SUMIFS(INDIRECT(ADDRESS(12,3+18*1+(9),,,"J1 C - (South) Bishopthorpe Roa")&amp;":"&amp;ADDRESS(130,3+18*1+(9))),'J1 C - (South) Bishopthorpe Roa'!$A$12:$A$130,"&gt;="&amp;Diagram!$O9,'J1 C - (South) Bishopthorpe Roa'!$A$12:$A$130,"&lt;"&amp;Diagram!$P9)))</f>
        <v>0</v>
      </c>
      <c r="AS9" s="42">
        <f ca="1">IF(OR($I$10="",$O9="",$P9="",$J$36&lt;&gt;"Yes"),0,IF($K$10=0,SUMIFS(INDIRECT(ADDRESS(12,3+18*2+(1),,,"J1 C - (South) Bishopthorpe Roa")&amp;":"&amp;ADDRESS(130,3+18*2+(1))),'J1 C - (South) Bishopthorpe Roa'!$A$12:$A$130,"&gt;="&amp;Diagram!$O9,'J1 C - (South) Bishopthorpe Roa'!$A$12:$A$130,"&lt;"&amp;Diagram!$P9),SUMIFS(INDIRECT(ADDRESS(12,3+18*2+(9),,,"J1 C - (South) Bishopthorpe Roa")&amp;":"&amp;ADDRESS(130,3+18*2+(9))),'J1 C - (South) Bishopthorpe Roa'!$A$12:$A$130,"&gt;="&amp;Diagram!$O9,'J1 C - (South) Bishopthorpe Roa'!$A$12:$A$130,"&lt;"&amp;Diagram!$P9)))</f>
        <v>0</v>
      </c>
      <c r="AT9" s="42">
        <f ca="1">IF(OR($I$10="",$O9="",$P9="",$J$36&lt;&gt;"Yes"),0,IF($K$10=0,SUMIFS(INDIRECT(ADDRESS(12,3+18*3+(1),,,"J1 C - (South) Bishopthorpe Roa")&amp;":"&amp;ADDRESS(130,3+18*3+(1))),'J1 C - (South) Bishopthorpe Roa'!$A$12:$A$130,"&gt;="&amp;Diagram!$O9,'J1 C - (South) Bishopthorpe Roa'!$A$12:$A$130,"&lt;"&amp;Diagram!$P9),SUMIFS(INDIRECT(ADDRESS(12,3+18*3+(9),,,"J1 C - (South) Bishopthorpe Roa")&amp;":"&amp;ADDRESS(130,3+18*3+(9))),'J1 C - (South) Bishopthorpe Roa'!$A$12:$A$130,"&gt;="&amp;Diagram!$O9,'J1 C - (South) Bishopthorpe Roa'!$A$12:$A$130,"&lt;"&amp;Diagram!$P9)))</f>
        <v>0</v>
      </c>
      <c r="AU9" s="42">
        <f ca="1">IF(OR($I$10="",$O9="",$P9="",$J$36&lt;&gt;"Yes"),0,IF($K$10=0,SUMIFS(INDIRECT(ADDRESS(12,3+18*0+(1),,,"J1 C - (South) Bishopthorpe Roa")&amp;":"&amp;ADDRESS(130,3+18*0+(1))),'J1 C - (South) Bishopthorpe Roa'!$A$12:$A$130,"&gt;="&amp;Diagram!$O9,'J1 C - (South) Bishopthorpe Roa'!$A$12:$A$130,"&lt;"&amp;Diagram!$P9),SUMIFS(INDIRECT(ADDRESS(12,3+18*0+(9),,,"J1 C - (South) Bishopthorpe Roa")&amp;":"&amp;ADDRESS(130,3+18*0+(9))),'J1 C - (South) Bishopthorpe Roa'!$A$12:$A$130,"&gt;="&amp;Diagram!$O9,'J1 C - (South) Bishopthorpe Roa'!$A$12:$A$130,"&lt;"&amp;Diagram!$P9)))</f>
        <v>0</v>
      </c>
      <c r="AV9" s="42">
        <f ca="1">IF(OR($I$10="",$O9="",$P9="",$J$36&lt;&gt;"Yes"),0,IF($K$10=0,SUMIFS(INDIRECT(ADDRESS(12,3+18*0+(1),,,"J1 D - South Bank Avenue")&amp;":"&amp;ADDRESS(130,3+18*0+(1))),'J1 D - South Bank Avenue'!$A$12:$A$130,"&gt;="&amp;Diagram!$O9,'J1 D - South Bank Avenue'!$A$12:$A$130,"&lt;"&amp;Diagram!$P9),SUMIFS(INDIRECT(ADDRESS(12,3+18*0+(9),,,"J1 D - South Bank Avenue")&amp;":"&amp;ADDRESS(130,3+18*0+(9))),'J1 D - South Bank Avenue'!$A$12:$A$130,"&gt;="&amp;Diagram!$O9,'J1 D - South Bank Avenue'!$A$12:$A$130,"&lt;"&amp;Diagram!$P9)))</f>
        <v>0</v>
      </c>
      <c r="AW9" s="42">
        <f ca="1">IF(OR($I$10="",$O9="",$P9="",$J$36&lt;&gt;"Yes"),0,IF($K$10=0,SUMIFS(INDIRECT(ADDRESS(12,3+18*1+(1),,,"J1 D - South Bank Avenue")&amp;":"&amp;ADDRESS(130,3+18*1+(1))),'J1 D - South Bank Avenue'!$A$12:$A$130,"&gt;="&amp;Diagram!$O9,'J1 D - South Bank Avenue'!$A$12:$A$130,"&lt;"&amp;Diagram!$P9),SUMIFS(INDIRECT(ADDRESS(12,3+18*1+(9),,,"J1 D - South Bank Avenue")&amp;":"&amp;ADDRESS(130,3+18*1+(9))),'J1 D - South Bank Avenue'!$A$12:$A$130,"&gt;="&amp;Diagram!$O9,'J1 D - South Bank Avenue'!$A$12:$A$130,"&lt;"&amp;Diagram!$P9)))</f>
        <v>0</v>
      </c>
      <c r="AX9" s="42">
        <f ca="1">IF(OR($I$10="",$O9="",$P9="",$J$36&lt;&gt;"Yes"),0,IF($K$10=0,SUMIFS(INDIRECT(ADDRESS(12,3+18*2+(1),,,"J1 D - South Bank Avenue")&amp;":"&amp;ADDRESS(130,3+18*2+(1))),'J1 D - South Bank Avenue'!$A$12:$A$130,"&gt;="&amp;Diagram!$O9,'J1 D - South Bank Avenue'!$A$12:$A$130,"&lt;"&amp;Diagram!$P9),SUMIFS(INDIRECT(ADDRESS(12,3+18*2+(9),,,"J1 D - South Bank Avenue")&amp;":"&amp;ADDRESS(130,3+18*2+(9))),'J1 D - South Bank Avenue'!$A$12:$A$130,"&gt;="&amp;Diagram!$O9,'J1 D - South Bank Avenue'!$A$12:$A$130,"&lt;"&amp;Diagram!$P9)))</f>
        <v>0</v>
      </c>
      <c r="AY9" s="42">
        <f ca="1">IF(OR($I$10="",$O9="",$P9="",$J$36&lt;&gt;"Yes"),0,IF($K$10=0,SUMIFS(INDIRECT(ADDRESS(12,3+18*3+(1),,,"J1 D - South Bank Avenue")&amp;":"&amp;ADDRESS(130,3+18*3+(1))),'J1 D - South Bank Avenue'!$A$12:$A$130,"&gt;="&amp;Diagram!$O9,'J1 D - South Bank Avenue'!$A$12:$A$130,"&lt;"&amp;Diagram!$P9),SUMIFS(INDIRECT(ADDRESS(12,3+18*3+(9),,,"J1 D - South Bank Avenue")&amp;":"&amp;ADDRESS(130,3+18*3+(9))),'J1 D - South Bank Avenue'!$A$12:$A$130,"&gt;="&amp;Diagram!$O9,'J1 D - South Bank Avenue'!$A$12:$A$130,"&lt;"&amp;Diagram!$P9)))</f>
        <v>0</v>
      </c>
      <c r="AZ9" s="42">
        <f t="shared" ca="1" si="3"/>
        <v>0</v>
      </c>
      <c r="BA9" s="42">
        <f ca="1">IF(OR($I$10="",$O9="",$P9="",$J$37&lt;&gt;"Yes"),0,IF($K$10=0,SUMIFS(INDIRECT(ADDRESS(12,3+18*3+(2),,,"J1 A - (North) Bishopthorpe Roa")&amp;":"&amp;ADDRESS(130,3+18*3+(2))),'J1 A - (North) Bishopthorpe Roa'!$A$12:$A$130,"&gt;="&amp;Diagram!$O9,'J1 A - (North) Bishopthorpe Roa'!$A$12:$A$130,"&lt;"&amp;Diagram!$P9),SUMIFS(INDIRECT(ADDRESS(12,3+18*3+(10),,,"J1 A - (North) Bishopthorpe Roa")&amp;":"&amp;ADDRESS(130,3+18*3+(10))),'J1 A - (North) Bishopthorpe Roa'!$A$12:$A$130,"&gt;="&amp;Diagram!$O9,'J1 A - (North) Bishopthorpe Roa'!$A$12:$A$130,"&lt;"&amp;Diagram!$P9)))</f>
        <v>0</v>
      </c>
      <c r="BB9" s="42">
        <f ca="1">IF(OR($I$10="",$O9="",$P9="",$J$37&lt;&gt;"Yes"),0,IF($K$10=0,SUMIFS(INDIRECT(ADDRESS(12,3+18*0+(2),,,"J1 A - (North) Bishopthorpe Roa")&amp;":"&amp;ADDRESS(130,3+18*0+(2))),'J1 A - (North) Bishopthorpe Roa'!$A$12:$A$130,"&gt;="&amp;Diagram!$O9,'J1 A - (North) Bishopthorpe Roa'!$A$12:$A$130,"&lt;"&amp;Diagram!$P9),SUMIFS(INDIRECT(ADDRESS(12,3+18*0+(10),,,"J1 A - (North) Bishopthorpe Roa")&amp;":"&amp;ADDRESS(130,3+18*0+(10))),'J1 A - (North) Bishopthorpe Roa'!$A$12:$A$130,"&gt;="&amp;Diagram!$O9,'J1 A - (North) Bishopthorpe Roa'!$A$12:$A$130,"&lt;"&amp;Diagram!$P9)))</f>
        <v>0</v>
      </c>
      <c r="BC9" s="42">
        <f ca="1">IF(OR($I$10="",$O9="",$P9="",$J$37&lt;&gt;"Yes"),0,IF($K$10=0,SUMIFS(INDIRECT(ADDRESS(12,3+18*1+(2),,,"J1 A - (North) Bishopthorpe Roa")&amp;":"&amp;ADDRESS(130,3+18*1+(2))),'J1 A - (North) Bishopthorpe Roa'!$A$12:$A$130,"&gt;="&amp;Diagram!$O9,'J1 A - (North) Bishopthorpe Roa'!$A$12:$A$130,"&lt;"&amp;Diagram!$P9),SUMIFS(INDIRECT(ADDRESS(12,3+18*1+(10),,,"J1 A - (North) Bishopthorpe Roa")&amp;":"&amp;ADDRESS(130,3+18*1+(10))),'J1 A - (North) Bishopthorpe Roa'!$A$12:$A$130,"&gt;="&amp;Diagram!$O9,'J1 A - (North) Bishopthorpe Roa'!$A$12:$A$130,"&lt;"&amp;Diagram!$P9)))</f>
        <v>0</v>
      </c>
      <c r="BD9" s="42">
        <f ca="1">IF(OR($I$10="",$O9="",$P9="",$J$37&lt;&gt;"Yes"),0,IF($K$10=0,SUMIFS(INDIRECT(ADDRESS(12,3+18*2+(2),,,"J1 A - (North) Bishopthorpe Roa")&amp;":"&amp;ADDRESS(130,3+18*2+(2))),'J1 A - (North) Bishopthorpe Roa'!$A$12:$A$130,"&gt;="&amp;Diagram!$O9,'J1 A - (North) Bishopthorpe Roa'!$A$12:$A$130,"&lt;"&amp;Diagram!$P9),SUMIFS(INDIRECT(ADDRESS(12,3+18*2+(10),,,"J1 A - (North) Bishopthorpe Roa")&amp;":"&amp;ADDRESS(130,3+18*2+(10))),'J1 A - (North) Bishopthorpe Roa'!$A$12:$A$130,"&gt;="&amp;Diagram!$O9,'J1 A - (North) Bishopthorpe Roa'!$A$12:$A$130,"&lt;"&amp;Diagram!$P9)))</f>
        <v>0</v>
      </c>
      <c r="BE9" s="42">
        <f ca="1">IF(OR($I$10="",$O9="",$P9="",$J$37&lt;&gt;"Yes"),0,IF($K$10=0,SUMIFS(INDIRECT(ADDRESS(12,3+18*2+(2),,,"J1 B - Butcher Terrace")&amp;":"&amp;ADDRESS(130,3+18*2+(2))),'J1 B - Butcher Terrace'!$A$12:$A$130,"&gt;="&amp;Diagram!$O9,'J1 B - Butcher Terrace'!$A$12:$A$130,"&lt;"&amp;Diagram!$P9),SUMIFS(INDIRECT(ADDRESS(12,3+18*2+(10),,,"J1 B - Butcher Terrace")&amp;":"&amp;ADDRESS(130,3+18*2+(10))),'J1 B - Butcher Terrace'!$A$12:$A$130,"&gt;="&amp;Diagram!$O9,'J1 B - Butcher Terrace'!$A$12:$A$130,"&lt;"&amp;Diagram!$P9)))</f>
        <v>0</v>
      </c>
      <c r="BF9" s="42">
        <f ca="1">IF(OR($I$10="",$O9="",$P9="",$J$37&lt;&gt;"Yes"),0,IF($K$10=0,SUMIFS(INDIRECT(ADDRESS(12,3+18*3+(2),,,"J1 B - Butcher Terrace")&amp;":"&amp;ADDRESS(130,3+18*3+(2))),'J1 B - Butcher Terrace'!$A$12:$A$130,"&gt;="&amp;Diagram!$O9,'J1 B - Butcher Terrace'!$A$12:$A$130,"&lt;"&amp;Diagram!$P9),SUMIFS(INDIRECT(ADDRESS(12,3+18*3+(10),,,"J1 B - Butcher Terrace")&amp;":"&amp;ADDRESS(130,3+18*3+(10))),'J1 B - Butcher Terrace'!$A$12:$A$130,"&gt;="&amp;Diagram!$O9,'J1 B - Butcher Terrace'!$A$12:$A$130,"&lt;"&amp;Diagram!$P9)))</f>
        <v>0</v>
      </c>
      <c r="BG9" s="42">
        <f ca="1">IF(OR($I$10="",$O9="",$P9="",$J$37&lt;&gt;"Yes"),0,IF($K$10=0,SUMIFS(INDIRECT(ADDRESS(12,3+18*0+(2),,,"J1 B - Butcher Terrace")&amp;":"&amp;ADDRESS(130,3+18*0+(2))),'J1 B - Butcher Terrace'!$A$12:$A$130,"&gt;="&amp;Diagram!$O9,'J1 B - Butcher Terrace'!$A$12:$A$130,"&lt;"&amp;Diagram!$P9),SUMIFS(INDIRECT(ADDRESS(12,3+18*0+(10),,,"J1 B - Butcher Terrace")&amp;":"&amp;ADDRESS(130,3+18*0+(10))),'J1 B - Butcher Terrace'!$A$12:$A$130,"&gt;="&amp;Diagram!$O9,'J1 B - Butcher Terrace'!$A$12:$A$130,"&lt;"&amp;Diagram!$P9)))</f>
        <v>0</v>
      </c>
      <c r="BH9" s="42">
        <f ca="1">IF(OR($I$10="",$O9="",$P9="",$J$37&lt;&gt;"Yes"),0,IF($K$10=0,SUMIFS(INDIRECT(ADDRESS(12,3+18*1+(2),,,"J1 B - Butcher Terrace")&amp;":"&amp;ADDRESS(130,3+18*1+(2))),'J1 B - Butcher Terrace'!$A$12:$A$130,"&gt;="&amp;Diagram!$O9,'J1 B - Butcher Terrace'!$A$12:$A$130,"&lt;"&amp;Diagram!$P9),SUMIFS(INDIRECT(ADDRESS(12,3+18*1+(10),,,"J1 B - Butcher Terrace")&amp;":"&amp;ADDRESS(130,3+18*1+(10))),'J1 B - Butcher Terrace'!$A$12:$A$130,"&gt;="&amp;Diagram!$O9,'J1 B - Butcher Terrace'!$A$12:$A$130,"&lt;"&amp;Diagram!$P9)))</f>
        <v>0</v>
      </c>
      <c r="BI9" s="42">
        <f ca="1">IF(OR($I$10="",$O9="",$P9="",$J$37&lt;&gt;"Yes"),0,IF($K$10=0,SUMIFS(INDIRECT(ADDRESS(12,3+18*1+(2),,,"J1 C - (South) Bishopthorpe Roa")&amp;":"&amp;ADDRESS(130,3+18*1+(2))),'J1 C - (South) Bishopthorpe Roa'!$A$12:$A$130,"&gt;="&amp;Diagram!$O9,'J1 C - (South) Bishopthorpe Roa'!$A$12:$A$130,"&lt;"&amp;Diagram!$P9),SUMIFS(INDIRECT(ADDRESS(12,3+18*1+(10),,,"J1 C - (South) Bishopthorpe Roa")&amp;":"&amp;ADDRESS(130,3+18*1+(10))),'J1 C - (South) Bishopthorpe Roa'!$A$12:$A$130,"&gt;="&amp;Diagram!$O9,'J1 C - (South) Bishopthorpe Roa'!$A$12:$A$130,"&lt;"&amp;Diagram!$P9)))</f>
        <v>0</v>
      </c>
      <c r="BJ9" s="42">
        <f ca="1">IF(OR($I$10="",$O9="",$P9="",$J$37&lt;&gt;"Yes"),0,IF($K$10=0,SUMIFS(INDIRECT(ADDRESS(12,3+18*2+(2),,,"J1 C - (South) Bishopthorpe Roa")&amp;":"&amp;ADDRESS(130,3+18*2+(2))),'J1 C - (South) Bishopthorpe Roa'!$A$12:$A$130,"&gt;="&amp;Diagram!$O9,'J1 C - (South) Bishopthorpe Roa'!$A$12:$A$130,"&lt;"&amp;Diagram!$P9),SUMIFS(INDIRECT(ADDRESS(12,3+18*2+(10),,,"J1 C - (South) Bishopthorpe Roa")&amp;":"&amp;ADDRESS(130,3+18*2+(10))),'J1 C - (South) Bishopthorpe Roa'!$A$12:$A$130,"&gt;="&amp;Diagram!$O9,'J1 C - (South) Bishopthorpe Roa'!$A$12:$A$130,"&lt;"&amp;Diagram!$P9)))</f>
        <v>0</v>
      </c>
      <c r="BK9" s="42">
        <f ca="1">IF(OR($I$10="",$O9="",$P9="",$J$37&lt;&gt;"Yes"),0,IF($K$10=0,SUMIFS(INDIRECT(ADDRESS(12,3+18*3+(2),,,"J1 C - (South) Bishopthorpe Roa")&amp;":"&amp;ADDRESS(130,3+18*3+(2))),'J1 C - (South) Bishopthorpe Roa'!$A$12:$A$130,"&gt;="&amp;Diagram!$O9,'J1 C - (South) Bishopthorpe Roa'!$A$12:$A$130,"&lt;"&amp;Diagram!$P9),SUMIFS(INDIRECT(ADDRESS(12,3+18*3+(10),,,"J1 C - (South) Bishopthorpe Roa")&amp;":"&amp;ADDRESS(130,3+18*3+(10))),'J1 C - (South) Bishopthorpe Roa'!$A$12:$A$130,"&gt;="&amp;Diagram!$O9,'J1 C - (South) Bishopthorpe Roa'!$A$12:$A$130,"&lt;"&amp;Diagram!$P9)))</f>
        <v>0</v>
      </c>
      <c r="BL9" s="42">
        <f ca="1">IF(OR($I$10="",$O9="",$P9="",$J$37&lt;&gt;"Yes"),0,IF($K$10=0,SUMIFS(INDIRECT(ADDRESS(12,3+18*0+(2),,,"J1 C - (South) Bishopthorpe Roa")&amp;":"&amp;ADDRESS(130,3+18*0+(2))),'J1 C - (South) Bishopthorpe Roa'!$A$12:$A$130,"&gt;="&amp;Diagram!$O9,'J1 C - (South) Bishopthorpe Roa'!$A$12:$A$130,"&lt;"&amp;Diagram!$P9),SUMIFS(INDIRECT(ADDRESS(12,3+18*0+(10),,,"J1 C - (South) Bishopthorpe Roa")&amp;":"&amp;ADDRESS(130,3+18*0+(10))),'J1 C - (South) Bishopthorpe Roa'!$A$12:$A$130,"&gt;="&amp;Diagram!$O9,'J1 C - (South) Bishopthorpe Roa'!$A$12:$A$130,"&lt;"&amp;Diagram!$P9)))</f>
        <v>0</v>
      </c>
      <c r="BM9" s="42">
        <f ca="1">IF(OR($I$10="",$O9="",$P9="",$J$37&lt;&gt;"Yes"),0,IF($K$10=0,SUMIFS(INDIRECT(ADDRESS(12,3+18*0+(2),,,"J1 D - South Bank Avenue")&amp;":"&amp;ADDRESS(130,3+18*0+(2))),'J1 D - South Bank Avenue'!$A$12:$A$130,"&gt;="&amp;Diagram!$O9,'J1 D - South Bank Avenue'!$A$12:$A$130,"&lt;"&amp;Diagram!$P9),SUMIFS(INDIRECT(ADDRESS(12,3+18*0+(10),,,"J1 D - South Bank Avenue")&amp;":"&amp;ADDRESS(130,3+18*0+(10))),'J1 D - South Bank Avenue'!$A$12:$A$130,"&gt;="&amp;Diagram!$O9,'J1 D - South Bank Avenue'!$A$12:$A$130,"&lt;"&amp;Diagram!$P9)))</f>
        <v>0</v>
      </c>
      <c r="BN9" s="42">
        <f ca="1">IF(OR($I$10="",$O9="",$P9="",$J$37&lt;&gt;"Yes"),0,IF($K$10=0,SUMIFS(INDIRECT(ADDRESS(12,3+18*1+(2),,,"J1 D - South Bank Avenue")&amp;":"&amp;ADDRESS(130,3+18*1+(2))),'J1 D - South Bank Avenue'!$A$12:$A$130,"&gt;="&amp;Diagram!$O9,'J1 D - South Bank Avenue'!$A$12:$A$130,"&lt;"&amp;Diagram!$P9),SUMIFS(INDIRECT(ADDRESS(12,3+18*1+(10),,,"J1 D - South Bank Avenue")&amp;":"&amp;ADDRESS(130,3+18*1+(10))),'J1 D - South Bank Avenue'!$A$12:$A$130,"&gt;="&amp;Diagram!$O9,'J1 D - South Bank Avenue'!$A$12:$A$130,"&lt;"&amp;Diagram!$P9)))</f>
        <v>0</v>
      </c>
      <c r="BO9" s="42">
        <f ca="1">IF(OR($I$10="",$O9="",$P9="",$J$37&lt;&gt;"Yes"),0,IF($K$10=0,SUMIFS(INDIRECT(ADDRESS(12,3+18*2+(2),,,"J1 D - South Bank Avenue")&amp;":"&amp;ADDRESS(130,3+18*2+(2))),'J1 D - South Bank Avenue'!$A$12:$A$130,"&gt;="&amp;Diagram!$O9,'J1 D - South Bank Avenue'!$A$12:$A$130,"&lt;"&amp;Diagram!$P9),SUMIFS(INDIRECT(ADDRESS(12,3+18*2+(10),,,"J1 D - South Bank Avenue")&amp;":"&amp;ADDRESS(130,3+18*2+(10))),'J1 D - South Bank Avenue'!$A$12:$A$130,"&gt;="&amp;Diagram!$O9,'J1 D - South Bank Avenue'!$A$12:$A$130,"&lt;"&amp;Diagram!$P9)))</f>
        <v>0</v>
      </c>
      <c r="BP9" s="42">
        <f ca="1">IF(OR($I$10="",$O9="",$P9="",$J$37&lt;&gt;"Yes"),0,IF($K$10=0,SUMIFS(INDIRECT(ADDRESS(12,3+18*3+(2),,,"J1 D - South Bank Avenue")&amp;":"&amp;ADDRESS(130,3+18*3+(2))),'J1 D - South Bank Avenue'!$A$12:$A$130,"&gt;="&amp;Diagram!$O9,'J1 D - South Bank Avenue'!$A$12:$A$130,"&lt;"&amp;Diagram!$P9),SUMIFS(INDIRECT(ADDRESS(12,3+18*3+(10),,,"J1 D - South Bank Avenue")&amp;":"&amp;ADDRESS(130,3+18*3+(10))),'J1 D - South Bank Avenue'!$A$12:$A$130,"&gt;="&amp;Diagram!$O9,'J1 D - South Bank Avenue'!$A$12:$A$130,"&lt;"&amp;Diagram!$P9)))</f>
        <v>0</v>
      </c>
      <c r="BQ9" s="42">
        <f t="shared" ca="1" si="4"/>
        <v>0</v>
      </c>
      <c r="BR9" s="42">
        <f ca="1">IF(OR($I$10="",$O9="",$P9="",$J$38&lt;&gt;"Yes"),0,IF($K$10=0,SUMIFS(INDIRECT(ADDRESS(12,3+18*3+(3),,,"J1 A - (North) Bishopthorpe Roa")&amp;":"&amp;ADDRESS(130,3+18*3+(3))),'J1 A - (North) Bishopthorpe Roa'!$A$12:$A$130,"&gt;="&amp;Diagram!$O9,'J1 A - (North) Bishopthorpe Roa'!$A$12:$A$130,"&lt;"&amp;Diagram!$P9),SUMIFS(INDIRECT(ADDRESS(12,3+18*3+(11),,,"J1 A - (North) Bishopthorpe Roa")&amp;":"&amp;ADDRESS(130,3+18*3+(11))),'J1 A - (North) Bishopthorpe Roa'!$A$12:$A$130,"&gt;="&amp;Diagram!$O9,'J1 A - (North) Bishopthorpe Roa'!$A$12:$A$130,"&lt;"&amp;Diagram!$P9)))</f>
        <v>0</v>
      </c>
      <c r="BS9" s="42">
        <f ca="1">IF(OR($I$10="",$O9="",$P9="",$J$38&lt;&gt;"Yes"),0,IF($K$10=0,SUMIFS(INDIRECT(ADDRESS(12,3+18*0+(3),,,"J1 A - (North) Bishopthorpe Roa")&amp;":"&amp;ADDRESS(130,3+18*0+(3))),'J1 A - (North) Bishopthorpe Roa'!$A$12:$A$130,"&gt;="&amp;Diagram!$O9,'J1 A - (North) Bishopthorpe Roa'!$A$12:$A$130,"&lt;"&amp;Diagram!$P9),SUMIFS(INDIRECT(ADDRESS(12,3+18*0+(11),,,"J1 A - (North) Bishopthorpe Roa")&amp;":"&amp;ADDRESS(130,3+18*0+(11))),'J1 A - (North) Bishopthorpe Roa'!$A$12:$A$130,"&gt;="&amp;Diagram!$O9,'J1 A - (North) Bishopthorpe Roa'!$A$12:$A$130,"&lt;"&amp;Diagram!$P9)))</f>
        <v>0</v>
      </c>
      <c r="BT9" s="42">
        <f ca="1">IF(OR($I$10="",$O9="",$P9="",$J$38&lt;&gt;"Yes"),0,IF($K$10=0,SUMIFS(INDIRECT(ADDRESS(12,3+18*1+(3),,,"J1 A - (North) Bishopthorpe Roa")&amp;":"&amp;ADDRESS(130,3+18*1+(3))),'J1 A - (North) Bishopthorpe Roa'!$A$12:$A$130,"&gt;="&amp;Diagram!$O9,'J1 A - (North) Bishopthorpe Roa'!$A$12:$A$130,"&lt;"&amp;Diagram!$P9),SUMIFS(INDIRECT(ADDRESS(12,3+18*1+(11),,,"J1 A - (North) Bishopthorpe Roa")&amp;":"&amp;ADDRESS(130,3+18*1+(11))),'J1 A - (North) Bishopthorpe Roa'!$A$12:$A$130,"&gt;="&amp;Diagram!$O9,'J1 A - (North) Bishopthorpe Roa'!$A$12:$A$130,"&lt;"&amp;Diagram!$P9)))</f>
        <v>0</v>
      </c>
      <c r="BU9" s="42">
        <f ca="1">IF(OR($I$10="",$O9="",$P9="",$J$38&lt;&gt;"Yes"),0,IF($K$10=0,SUMIFS(INDIRECT(ADDRESS(12,3+18*2+(3),,,"J1 A - (North) Bishopthorpe Roa")&amp;":"&amp;ADDRESS(130,3+18*2+(3))),'J1 A - (North) Bishopthorpe Roa'!$A$12:$A$130,"&gt;="&amp;Diagram!$O9,'J1 A - (North) Bishopthorpe Roa'!$A$12:$A$130,"&lt;"&amp;Diagram!$P9),SUMIFS(INDIRECT(ADDRESS(12,3+18*2+(11),,,"J1 A - (North) Bishopthorpe Roa")&amp;":"&amp;ADDRESS(130,3+18*2+(11))),'J1 A - (North) Bishopthorpe Roa'!$A$12:$A$130,"&gt;="&amp;Diagram!$O9,'J1 A - (North) Bishopthorpe Roa'!$A$12:$A$130,"&lt;"&amp;Diagram!$P9)))</f>
        <v>0</v>
      </c>
      <c r="BV9" s="42">
        <f ca="1">IF(OR($I$10="",$O9="",$P9="",$J$38&lt;&gt;"Yes"),0,IF($K$10=0,SUMIFS(INDIRECT(ADDRESS(12,3+18*2+(3),,,"J1 B - Butcher Terrace")&amp;":"&amp;ADDRESS(130,3+18*2+(3))),'J1 B - Butcher Terrace'!$A$12:$A$130,"&gt;="&amp;Diagram!$O9,'J1 B - Butcher Terrace'!$A$12:$A$130,"&lt;"&amp;Diagram!$P9),SUMIFS(INDIRECT(ADDRESS(12,3+18*2+(11),,,"J1 B - Butcher Terrace")&amp;":"&amp;ADDRESS(130,3+18*2+(11))),'J1 B - Butcher Terrace'!$A$12:$A$130,"&gt;="&amp;Diagram!$O9,'J1 B - Butcher Terrace'!$A$12:$A$130,"&lt;"&amp;Diagram!$P9)))</f>
        <v>0</v>
      </c>
      <c r="BW9" s="42">
        <f ca="1">IF(OR($I$10="",$O9="",$P9="",$J$38&lt;&gt;"Yes"),0,IF($K$10=0,SUMIFS(INDIRECT(ADDRESS(12,3+18*3+(3),,,"J1 B - Butcher Terrace")&amp;":"&amp;ADDRESS(130,3+18*3+(3))),'J1 B - Butcher Terrace'!$A$12:$A$130,"&gt;="&amp;Diagram!$O9,'J1 B - Butcher Terrace'!$A$12:$A$130,"&lt;"&amp;Diagram!$P9),SUMIFS(INDIRECT(ADDRESS(12,3+18*3+(11),,,"J1 B - Butcher Terrace")&amp;":"&amp;ADDRESS(130,3+18*3+(11))),'J1 B - Butcher Terrace'!$A$12:$A$130,"&gt;="&amp;Diagram!$O9,'J1 B - Butcher Terrace'!$A$12:$A$130,"&lt;"&amp;Diagram!$P9)))</f>
        <v>0</v>
      </c>
      <c r="BX9" s="42">
        <f ca="1">IF(OR($I$10="",$O9="",$P9="",$J$38&lt;&gt;"Yes"),0,IF($K$10=0,SUMIFS(INDIRECT(ADDRESS(12,3+18*0+(3),,,"J1 B - Butcher Terrace")&amp;":"&amp;ADDRESS(130,3+18*0+(3))),'J1 B - Butcher Terrace'!$A$12:$A$130,"&gt;="&amp;Diagram!$O9,'J1 B - Butcher Terrace'!$A$12:$A$130,"&lt;"&amp;Diagram!$P9),SUMIFS(INDIRECT(ADDRESS(12,3+18*0+(11),,,"J1 B - Butcher Terrace")&amp;":"&amp;ADDRESS(130,3+18*0+(11))),'J1 B - Butcher Terrace'!$A$12:$A$130,"&gt;="&amp;Diagram!$O9,'J1 B - Butcher Terrace'!$A$12:$A$130,"&lt;"&amp;Diagram!$P9)))</f>
        <v>0</v>
      </c>
      <c r="BY9" s="42">
        <f ca="1">IF(OR($I$10="",$O9="",$P9="",$J$38&lt;&gt;"Yes"),0,IF($K$10=0,SUMIFS(INDIRECT(ADDRESS(12,3+18*1+(3),,,"J1 B - Butcher Terrace")&amp;":"&amp;ADDRESS(130,3+18*1+(3))),'J1 B - Butcher Terrace'!$A$12:$A$130,"&gt;="&amp;Diagram!$O9,'J1 B - Butcher Terrace'!$A$12:$A$130,"&lt;"&amp;Diagram!$P9),SUMIFS(INDIRECT(ADDRESS(12,3+18*1+(11),,,"J1 B - Butcher Terrace")&amp;":"&amp;ADDRESS(130,3+18*1+(11))),'J1 B - Butcher Terrace'!$A$12:$A$130,"&gt;="&amp;Diagram!$O9,'J1 B - Butcher Terrace'!$A$12:$A$130,"&lt;"&amp;Diagram!$P9)))</f>
        <v>0</v>
      </c>
      <c r="BZ9" s="42">
        <f ca="1">IF(OR($I$10="",$O9="",$P9="",$J$38&lt;&gt;"Yes"),0,IF($K$10=0,SUMIFS(INDIRECT(ADDRESS(12,3+18*1+(3),,,"J1 C - (South) Bishopthorpe Roa")&amp;":"&amp;ADDRESS(130,3+18*1+(3))),'J1 C - (South) Bishopthorpe Roa'!$A$12:$A$130,"&gt;="&amp;Diagram!$O9,'J1 C - (South) Bishopthorpe Roa'!$A$12:$A$130,"&lt;"&amp;Diagram!$P9),SUMIFS(INDIRECT(ADDRESS(12,3+18*1+(11),,,"J1 C - (South) Bishopthorpe Roa")&amp;":"&amp;ADDRESS(130,3+18*1+(11))),'J1 C - (South) Bishopthorpe Roa'!$A$12:$A$130,"&gt;="&amp;Diagram!$O9,'J1 C - (South) Bishopthorpe Roa'!$A$12:$A$130,"&lt;"&amp;Diagram!$P9)))</f>
        <v>0</v>
      </c>
      <c r="CA9" s="42">
        <f ca="1">IF(OR($I$10="",$O9="",$P9="",$J$38&lt;&gt;"Yes"),0,IF($K$10=0,SUMIFS(INDIRECT(ADDRESS(12,3+18*2+(3),,,"J1 C - (South) Bishopthorpe Roa")&amp;":"&amp;ADDRESS(130,3+18*2+(3))),'J1 C - (South) Bishopthorpe Roa'!$A$12:$A$130,"&gt;="&amp;Diagram!$O9,'J1 C - (South) Bishopthorpe Roa'!$A$12:$A$130,"&lt;"&amp;Diagram!$P9),SUMIFS(INDIRECT(ADDRESS(12,3+18*2+(11),,,"J1 C - (South) Bishopthorpe Roa")&amp;":"&amp;ADDRESS(130,3+18*2+(11))),'J1 C - (South) Bishopthorpe Roa'!$A$12:$A$130,"&gt;="&amp;Diagram!$O9,'J1 C - (South) Bishopthorpe Roa'!$A$12:$A$130,"&lt;"&amp;Diagram!$P9)))</f>
        <v>0</v>
      </c>
      <c r="CB9" s="42">
        <f ca="1">IF(OR($I$10="",$O9="",$P9="",$J$38&lt;&gt;"Yes"),0,IF($K$10=0,SUMIFS(INDIRECT(ADDRESS(12,3+18*3+(3),,,"J1 C - (South) Bishopthorpe Roa")&amp;":"&amp;ADDRESS(130,3+18*3+(3))),'J1 C - (South) Bishopthorpe Roa'!$A$12:$A$130,"&gt;="&amp;Diagram!$O9,'J1 C - (South) Bishopthorpe Roa'!$A$12:$A$130,"&lt;"&amp;Diagram!$P9),SUMIFS(INDIRECT(ADDRESS(12,3+18*3+(11),,,"J1 C - (South) Bishopthorpe Roa")&amp;":"&amp;ADDRESS(130,3+18*3+(11))),'J1 C - (South) Bishopthorpe Roa'!$A$12:$A$130,"&gt;="&amp;Diagram!$O9,'J1 C - (South) Bishopthorpe Roa'!$A$12:$A$130,"&lt;"&amp;Diagram!$P9)))</f>
        <v>0</v>
      </c>
      <c r="CC9" s="42">
        <f ca="1">IF(OR($I$10="",$O9="",$P9="",$J$38&lt;&gt;"Yes"),0,IF($K$10=0,SUMIFS(INDIRECT(ADDRESS(12,3+18*0+(3),,,"J1 C - (South) Bishopthorpe Roa")&amp;":"&amp;ADDRESS(130,3+18*0+(3))),'J1 C - (South) Bishopthorpe Roa'!$A$12:$A$130,"&gt;="&amp;Diagram!$O9,'J1 C - (South) Bishopthorpe Roa'!$A$12:$A$130,"&lt;"&amp;Diagram!$P9),SUMIFS(INDIRECT(ADDRESS(12,3+18*0+(11),,,"J1 C - (South) Bishopthorpe Roa")&amp;":"&amp;ADDRESS(130,3+18*0+(11))),'J1 C - (South) Bishopthorpe Roa'!$A$12:$A$130,"&gt;="&amp;Diagram!$O9,'J1 C - (South) Bishopthorpe Roa'!$A$12:$A$130,"&lt;"&amp;Diagram!$P9)))</f>
        <v>0</v>
      </c>
      <c r="CD9" s="42">
        <f ca="1">IF(OR($I$10="",$O9="",$P9="",$J$38&lt;&gt;"Yes"),0,IF($K$10=0,SUMIFS(INDIRECT(ADDRESS(12,3+18*0+(3),,,"J1 D - South Bank Avenue")&amp;":"&amp;ADDRESS(130,3+18*0+(3))),'J1 D - South Bank Avenue'!$A$12:$A$130,"&gt;="&amp;Diagram!$O9,'J1 D - South Bank Avenue'!$A$12:$A$130,"&lt;"&amp;Diagram!$P9),SUMIFS(INDIRECT(ADDRESS(12,3+18*0+(11),,,"J1 D - South Bank Avenue")&amp;":"&amp;ADDRESS(130,3+18*0+(11))),'J1 D - South Bank Avenue'!$A$12:$A$130,"&gt;="&amp;Diagram!$O9,'J1 D - South Bank Avenue'!$A$12:$A$130,"&lt;"&amp;Diagram!$P9)))</f>
        <v>0</v>
      </c>
      <c r="CE9" s="42">
        <f ca="1">IF(OR($I$10="",$O9="",$P9="",$J$38&lt;&gt;"Yes"),0,IF($K$10=0,SUMIFS(INDIRECT(ADDRESS(12,3+18*1+(3),,,"J1 D - South Bank Avenue")&amp;":"&amp;ADDRESS(130,3+18*1+(3))),'J1 D - South Bank Avenue'!$A$12:$A$130,"&gt;="&amp;Diagram!$O9,'J1 D - South Bank Avenue'!$A$12:$A$130,"&lt;"&amp;Diagram!$P9),SUMIFS(INDIRECT(ADDRESS(12,3+18*1+(11),,,"J1 D - South Bank Avenue")&amp;":"&amp;ADDRESS(130,3+18*1+(11))),'J1 D - South Bank Avenue'!$A$12:$A$130,"&gt;="&amp;Diagram!$O9,'J1 D - South Bank Avenue'!$A$12:$A$130,"&lt;"&amp;Diagram!$P9)))</f>
        <v>0</v>
      </c>
      <c r="CF9" s="42">
        <f ca="1">IF(OR($I$10="",$O9="",$P9="",$J$38&lt;&gt;"Yes"),0,IF($K$10=0,SUMIFS(INDIRECT(ADDRESS(12,3+18*2+(3),,,"J1 D - South Bank Avenue")&amp;":"&amp;ADDRESS(130,3+18*2+(3))),'J1 D - South Bank Avenue'!$A$12:$A$130,"&gt;="&amp;Diagram!$O9,'J1 D - South Bank Avenue'!$A$12:$A$130,"&lt;"&amp;Diagram!$P9),SUMIFS(INDIRECT(ADDRESS(12,3+18*2+(11),,,"J1 D - South Bank Avenue")&amp;":"&amp;ADDRESS(130,3+18*2+(11))),'J1 D - South Bank Avenue'!$A$12:$A$130,"&gt;="&amp;Diagram!$O9,'J1 D - South Bank Avenue'!$A$12:$A$130,"&lt;"&amp;Diagram!$P9)))</f>
        <v>0</v>
      </c>
      <c r="CG9" s="42">
        <f ca="1">IF(OR($I$10="",$O9="",$P9="",$J$38&lt;&gt;"Yes"),0,IF($K$10=0,SUMIFS(INDIRECT(ADDRESS(12,3+18*3+(3),,,"J1 D - South Bank Avenue")&amp;":"&amp;ADDRESS(130,3+18*3+(3))),'J1 D - South Bank Avenue'!$A$12:$A$130,"&gt;="&amp;Diagram!$O9,'J1 D - South Bank Avenue'!$A$12:$A$130,"&lt;"&amp;Diagram!$P9),SUMIFS(INDIRECT(ADDRESS(12,3+18*3+(11),,,"J1 D - South Bank Avenue")&amp;":"&amp;ADDRESS(130,3+18*3+(11))),'J1 D - South Bank Avenue'!$A$12:$A$130,"&gt;="&amp;Diagram!$O9,'J1 D - South Bank Avenue'!$A$12:$A$130,"&lt;"&amp;Diagram!$P9)))</f>
        <v>0</v>
      </c>
      <c r="CH9" s="42">
        <f t="shared" ca="1" si="5"/>
        <v>0</v>
      </c>
      <c r="CI9" s="42">
        <f ca="1">IF(OR($I$10="",$O9="",$P9="",$J$39&lt;&gt;"Yes"),0,IF($K$10=0,SUMIFS(INDIRECT(ADDRESS(12,3+18*3+(4),,,"J1 A - (North) Bishopthorpe Roa")&amp;":"&amp;ADDRESS(130,3+18*3+(4))),'J1 A - (North) Bishopthorpe Roa'!$A$12:$A$130,"&gt;="&amp;Diagram!$O9,'J1 A - (North) Bishopthorpe Roa'!$A$12:$A$130,"&lt;"&amp;Diagram!$P9),SUMIFS(INDIRECT(ADDRESS(12,3+18*3+(12),,,"J1 A - (North) Bishopthorpe Roa")&amp;":"&amp;ADDRESS(130,3+18*3+(12))),'J1 A - (North) Bishopthorpe Roa'!$A$12:$A$130,"&gt;="&amp;Diagram!$O9,'J1 A - (North) Bishopthorpe Roa'!$A$12:$A$130,"&lt;"&amp;Diagram!$P9)))</f>
        <v>0</v>
      </c>
      <c r="CJ9" s="42">
        <f ca="1">IF(OR($I$10="",$O9="",$P9="",$J$39&lt;&gt;"Yes"),0,IF($K$10=0,SUMIFS(INDIRECT(ADDRESS(12,3+18*0+(4),,,"J1 A - (North) Bishopthorpe Roa")&amp;":"&amp;ADDRESS(130,3+18*0+(4))),'J1 A - (North) Bishopthorpe Roa'!$A$12:$A$130,"&gt;="&amp;Diagram!$O9,'J1 A - (North) Bishopthorpe Roa'!$A$12:$A$130,"&lt;"&amp;Diagram!$P9),SUMIFS(INDIRECT(ADDRESS(12,3+18*0+(12),,,"J1 A - (North) Bishopthorpe Roa")&amp;":"&amp;ADDRESS(130,3+18*0+(12))),'J1 A - (North) Bishopthorpe Roa'!$A$12:$A$130,"&gt;="&amp;Diagram!$O9,'J1 A - (North) Bishopthorpe Roa'!$A$12:$A$130,"&lt;"&amp;Diagram!$P9)))</f>
        <v>0</v>
      </c>
      <c r="CK9" s="42">
        <f ca="1">IF(OR($I$10="",$O9="",$P9="",$J$39&lt;&gt;"Yes"),0,IF($K$10=0,SUMIFS(INDIRECT(ADDRESS(12,3+18*1+(4),,,"J1 A - (North) Bishopthorpe Roa")&amp;":"&amp;ADDRESS(130,3+18*1+(4))),'J1 A - (North) Bishopthorpe Roa'!$A$12:$A$130,"&gt;="&amp;Diagram!$O9,'J1 A - (North) Bishopthorpe Roa'!$A$12:$A$130,"&lt;"&amp;Diagram!$P9),SUMIFS(INDIRECT(ADDRESS(12,3+18*1+(12),,,"J1 A - (North) Bishopthorpe Roa")&amp;":"&amp;ADDRESS(130,3+18*1+(12))),'J1 A - (North) Bishopthorpe Roa'!$A$12:$A$130,"&gt;="&amp;Diagram!$O9,'J1 A - (North) Bishopthorpe Roa'!$A$12:$A$130,"&lt;"&amp;Diagram!$P9)))</f>
        <v>0</v>
      </c>
      <c r="CL9" s="42">
        <f ca="1">IF(OR($I$10="",$O9="",$P9="",$J$39&lt;&gt;"Yes"),0,IF($K$10=0,SUMIFS(INDIRECT(ADDRESS(12,3+18*2+(4),,,"J1 A - (North) Bishopthorpe Roa")&amp;":"&amp;ADDRESS(130,3+18*2+(4))),'J1 A - (North) Bishopthorpe Roa'!$A$12:$A$130,"&gt;="&amp;Diagram!$O9,'J1 A - (North) Bishopthorpe Roa'!$A$12:$A$130,"&lt;"&amp;Diagram!$P9),SUMIFS(INDIRECT(ADDRESS(12,3+18*2+(12),,,"J1 A - (North) Bishopthorpe Roa")&amp;":"&amp;ADDRESS(130,3+18*2+(12))),'J1 A - (North) Bishopthorpe Roa'!$A$12:$A$130,"&gt;="&amp;Diagram!$O9,'J1 A - (North) Bishopthorpe Roa'!$A$12:$A$130,"&lt;"&amp;Diagram!$P9)))</f>
        <v>0</v>
      </c>
      <c r="CM9" s="42">
        <f ca="1">IF(OR($I$10="",$O9="",$P9="",$J$39&lt;&gt;"Yes"),0,IF($K$10=0,SUMIFS(INDIRECT(ADDRESS(12,3+18*2+(4),,,"J1 B - Butcher Terrace")&amp;":"&amp;ADDRESS(130,3+18*2+(4))),'J1 B - Butcher Terrace'!$A$12:$A$130,"&gt;="&amp;Diagram!$O9,'J1 B - Butcher Terrace'!$A$12:$A$130,"&lt;"&amp;Diagram!$P9),SUMIFS(INDIRECT(ADDRESS(12,3+18*2+(12),,,"J1 B - Butcher Terrace")&amp;":"&amp;ADDRESS(130,3+18*2+(12))),'J1 B - Butcher Terrace'!$A$12:$A$130,"&gt;="&amp;Diagram!$O9,'J1 B - Butcher Terrace'!$A$12:$A$130,"&lt;"&amp;Diagram!$P9)))</f>
        <v>0</v>
      </c>
      <c r="CN9" s="42">
        <f ca="1">IF(OR($I$10="",$O9="",$P9="",$J$39&lt;&gt;"Yes"),0,IF($K$10=0,SUMIFS(INDIRECT(ADDRESS(12,3+18*3+(4),,,"J1 B - Butcher Terrace")&amp;":"&amp;ADDRESS(130,3+18*3+(4))),'J1 B - Butcher Terrace'!$A$12:$A$130,"&gt;="&amp;Diagram!$O9,'J1 B - Butcher Terrace'!$A$12:$A$130,"&lt;"&amp;Diagram!$P9),SUMIFS(INDIRECT(ADDRESS(12,3+18*3+(12),,,"J1 B - Butcher Terrace")&amp;":"&amp;ADDRESS(130,3+18*3+(12))),'J1 B - Butcher Terrace'!$A$12:$A$130,"&gt;="&amp;Diagram!$O9,'J1 B - Butcher Terrace'!$A$12:$A$130,"&lt;"&amp;Diagram!$P9)))</f>
        <v>0</v>
      </c>
      <c r="CO9" s="42">
        <f ca="1">IF(OR($I$10="",$O9="",$P9="",$J$39&lt;&gt;"Yes"),0,IF($K$10=0,SUMIFS(INDIRECT(ADDRESS(12,3+18*0+(4),,,"J1 B - Butcher Terrace")&amp;":"&amp;ADDRESS(130,3+18*0+(4))),'J1 B - Butcher Terrace'!$A$12:$A$130,"&gt;="&amp;Diagram!$O9,'J1 B - Butcher Terrace'!$A$12:$A$130,"&lt;"&amp;Diagram!$P9),SUMIFS(INDIRECT(ADDRESS(12,3+18*0+(12),,,"J1 B - Butcher Terrace")&amp;":"&amp;ADDRESS(130,3+18*0+(12))),'J1 B - Butcher Terrace'!$A$12:$A$130,"&gt;="&amp;Diagram!$O9,'J1 B - Butcher Terrace'!$A$12:$A$130,"&lt;"&amp;Diagram!$P9)))</f>
        <v>0</v>
      </c>
      <c r="CP9" s="42">
        <f ca="1">IF(OR($I$10="",$O9="",$P9="",$J$39&lt;&gt;"Yes"),0,IF($K$10=0,SUMIFS(INDIRECT(ADDRESS(12,3+18*1+(4),,,"J1 B - Butcher Terrace")&amp;":"&amp;ADDRESS(130,3+18*1+(4))),'J1 B - Butcher Terrace'!$A$12:$A$130,"&gt;="&amp;Diagram!$O9,'J1 B - Butcher Terrace'!$A$12:$A$130,"&lt;"&amp;Diagram!$P9),SUMIFS(INDIRECT(ADDRESS(12,3+18*1+(12),,,"J1 B - Butcher Terrace")&amp;":"&amp;ADDRESS(130,3+18*1+(12))),'J1 B - Butcher Terrace'!$A$12:$A$130,"&gt;="&amp;Diagram!$O9,'J1 B - Butcher Terrace'!$A$12:$A$130,"&lt;"&amp;Diagram!$P9)))</f>
        <v>0</v>
      </c>
      <c r="CQ9" s="42">
        <f ca="1">IF(OR($I$10="",$O9="",$P9="",$J$39&lt;&gt;"Yes"),0,IF($K$10=0,SUMIFS(INDIRECT(ADDRESS(12,3+18*1+(4),,,"J1 C - (South) Bishopthorpe Roa")&amp;":"&amp;ADDRESS(130,3+18*1+(4))),'J1 C - (South) Bishopthorpe Roa'!$A$12:$A$130,"&gt;="&amp;Diagram!$O9,'J1 C - (South) Bishopthorpe Roa'!$A$12:$A$130,"&lt;"&amp;Diagram!$P9),SUMIFS(INDIRECT(ADDRESS(12,3+18*1+(12),,,"J1 C - (South) Bishopthorpe Roa")&amp;":"&amp;ADDRESS(130,3+18*1+(12))),'J1 C - (South) Bishopthorpe Roa'!$A$12:$A$130,"&gt;="&amp;Diagram!$O9,'J1 C - (South) Bishopthorpe Roa'!$A$12:$A$130,"&lt;"&amp;Diagram!$P9)))</f>
        <v>0</v>
      </c>
      <c r="CR9" s="42">
        <f ca="1">IF(OR($I$10="",$O9="",$P9="",$J$39&lt;&gt;"Yes"),0,IF($K$10=0,SUMIFS(INDIRECT(ADDRESS(12,3+18*2+(4),,,"J1 C - (South) Bishopthorpe Roa")&amp;":"&amp;ADDRESS(130,3+18*2+(4))),'J1 C - (South) Bishopthorpe Roa'!$A$12:$A$130,"&gt;="&amp;Diagram!$O9,'J1 C - (South) Bishopthorpe Roa'!$A$12:$A$130,"&lt;"&amp;Diagram!$P9),SUMIFS(INDIRECT(ADDRESS(12,3+18*2+(12),,,"J1 C - (South) Bishopthorpe Roa")&amp;":"&amp;ADDRESS(130,3+18*2+(12))),'J1 C - (South) Bishopthorpe Roa'!$A$12:$A$130,"&gt;="&amp;Diagram!$O9,'J1 C - (South) Bishopthorpe Roa'!$A$12:$A$130,"&lt;"&amp;Diagram!$P9)))</f>
        <v>0</v>
      </c>
      <c r="CS9" s="42">
        <f ca="1">IF(OR($I$10="",$O9="",$P9="",$J$39&lt;&gt;"Yes"),0,IF($K$10=0,SUMIFS(INDIRECT(ADDRESS(12,3+18*3+(4),,,"J1 C - (South) Bishopthorpe Roa")&amp;":"&amp;ADDRESS(130,3+18*3+(4))),'J1 C - (South) Bishopthorpe Roa'!$A$12:$A$130,"&gt;="&amp;Diagram!$O9,'J1 C - (South) Bishopthorpe Roa'!$A$12:$A$130,"&lt;"&amp;Diagram!$P9),SUMIFS(INDIRECT(ADDRESS(12,3+18*3+(12),,,"J1 C - (South) Bishopthorpe Roa")&amp;":"&amp;ADDRESS(130,3+18*3+(12))),'J1 C - (South) Bishopthorpe Roa'!$A$12:$A$130,"&gt;="&amp;Diagram!$O9,'J1 C - (South) Bishopthorpe Roa'!$A$12:$A$130,"&lt;"&amp;Diagram!$P9)))</f>
        <v>0</v>
      </c>
      <c r="CT9" s="42">
        <f ca="1">IF(OR($I$10="",$O9="",$P9="",$J$39&lt;&gt;"Yes"),0,IF($K$10=0,SUMIFS(INDIRECT(ADDRESS(12,3+18*0+(4),,,"J1 C - (South) Bishopthorpe Roa")&amp;":"&amp;ADDRESS(130,3+18*0+(4))),'J1 C - (South) Bishopthorpe Roa'!$A$12:$A$130,"&gt;="&amp;Diagram!$O9,'J1 C - (South) Bishopthorpe Roa'!$A$12:$A$130,"&lt;"&amp;Diagram!$P9),SUMIFS(INDIRECT(ADDRESS(12,3+18*0+(12),,,"J1 C - (South) Bishopthorpe Roa")&amp;":"&amp;ADDRESS(130,3+18*0+(12))),'J1 C - (South) Bishopthorpe Roa'!$A$12:$A$130,"&gt;="&amp;Diagram!$O9,'J1 C - (South) Bishopthorpe Roa'!$A$12:$A$130,"&lt;"&amp;Diagram!$P9)))</f>
        <v>0</v>
      </c>
      <c r="CU9" s="42">
        <f ca="1">IF(OR($I$10="",$O9="",$P9="",$J$39&lt;&gt;"Yes"),0,IF($K$10=0,SUMIFS(INDIRECT(ADDRESS(12,3+18*0+(4),,,"J1 D - South Bank Avenue")&amp;":"&amp;ADDRESS(130,3+18*0+(4))),'J1 D - South Bank Avenue'!$A$12:$A$130,"&gt;="&amp;Diagram!$O9,'J1 D - South Bank Avenue'!$A$12:$A$130,"&lt;"&amp;Diagram!$P9),SUMIFS(INDIRECT(ADDRESS(12,3+18*0+(12),,,"J1 D - South Bank Avenue")&amp;":"&amp;ADDRESS(130,3+18*0+(12))),'J1 D - South Bank Avenue'!$A$12:$A$130,"&gt;="&amp;Diagram!$O9,'J1 D - South Bank Avenue'!$A$12:$A$130,"&lt;"&amp;Diagram!$P9)))</f>
        <v>0</v>
      </c>
      <c r="CV9" s="42">
        <f ca="1">IF(OR($I$10="",$O9="",$P9="",$J$39&lt;&gt;"Yes"),0,IF($K$10=0,SUMIFS(INDIRECT(ADDRESS(12,3+18*1+(4),,,"J1 D - South Bank Avenue")&amp;":"&amp;ADDRESS(130,3+18*1+(4))),'J1 D - South Bank Avenue'!$A$12:$A$130,"&gt;="&amp;Diagram!$O9,'J1 D - South Bank Avenue'!$A$12:$A$130,"&lt;"&amp;Diagram!$P9),SUMIFS(INDIRECT(ADDRESS(12,3+18*1+(12),,,"J1 D - South Bank Avenue")&amp;":"&amp;ADDRESS(130,3+18*1+(12))),'J1 D - South Bank Avenue'!$A$12:$A$130,"&gt;="&amp;Diagram!$O9,'J1 D - South Bank Avenue'!$A$12:$A$130,"&lt;"&amp;Diagram!$P9)))</f>
        <v>0</v>
      </c>
      <c r="CW9" s="42">
        <f ca="1">IF(OR($I$10="",$O9="",$P9="",$J$39&lt;&gt;"Yes"),0,IF($K$10=0,SUMIFS(INDIRECT(ADDRESS(12,3+18*2+(4),,,"J1 D - South Bank Avenue")&amp;":"&amp;ADDRESS(130,3+18*2+(4))),'J1 D - South Bank Avenue'!$A$12:$A$130,"&gt;="&amp;Diagram!$O9,'J1 D - South Bank Avenue'!$A$12:$A$130,"&lt;"&amp;Diagram!$P9),SUMIFS(INDIRECT(ADDRESS(12,3+18*2+(12),,,"J1 D - South Bank Avenue")&amp;":"&amp;ADDRESS(130,3+18*2+(12))),'J1 D - South Bank Avenue'!$A$12:$A$130,"&gt;="&amp;Diagram!$O9,'J1 D - South Bank Avenue'!$A$12:$A$130,"&lt;"&amp;Diagram!$P9)))</f>
        <v>0</v>
      </c>
      <c r="CX9" s="42">
        <f ca="1">IF(OR($I$10="",$O9="",$P9="",$J$39&lt;&gt;"Yes"),0,IF($K$10=0,SUMIFS(INDIRECT(ADDRESS(12,3+18*3+(4),,,"J1 D - South Bank Avenue")&amp;":"&amp;ADDRESS(130,3+18*3+(4))),'J1 D - South Bank Avenue'!$A$12:$A$130,"&gt;="&amp;Diagram!$O9,'J1 D - South Bank Avenue'!$A$12:$A$130,"&lt;"&amp;Diagram!$P9),SUMIFS(INDIRECT(ADDRESS(12,3+18*3+(12),,,"J1 D - South Bank Avenue")&amp;":"&amp;ADDRESS(130,3+18*3+(12))),'J1 D - South Bank Avenue'!$A$12:$A$130,"&gt;="&amp;Diagram!$O9,'J1 D - South Bank Avenue'!$A$12:$A$130,"&lt;"&amp;Diagram!$P9)))</f>
        <v>0</v>
      </c>
      <c r="CY9" s="42">
        <f t="shared" ca="1" si="6"/>
        <v>0</v>
      </c>
      <c r="CZ9" s="42">
        <f ca="1">IF(OR($I$10="",$O9="",$P9="",$J$40&lt;&gt;"Yes"),0,IF($K$10=0,SUMIFS(INDIRECT(ADDRESS(12,3+18*3+(5),,,"J1 A - (North) Bishopthorpe Roa")&amp;":"&amp;ADDRESS(130,3+18*3+(5))),'J1 A - (North) Bishopthorpe Roa'!$A$12:$A$130,"&gt;="&amp;Diagram!$O9,'J1 A - (North) Bishopthorpe Roa'!$A$12:$A$130,"&lt;"&amp;Diagram!$P9),SUMIFS(INDIRECT(ADDRESS(12,3+18*3+(13),,,"J1 A - (North) Bishopthorpe Roa")&amp;":"&amp;ADDRESS(130,3+18*3+(13))),'J1 A - (North) Bishopthorpe Roa'!$A$12:$A$130,"&gt;="&amp;Diagram!$O9,'J1 A - (North) Bishopthorpe Roa'!$A$12:$A$130,"&lt;"&amp;Diagram!$P9)))</f>
        <v>0</v>
      </c>
      <c r="DA9" s="42">
        <f ca="1">IF(OR($I$10="",$O9="",$P9="",$J$40&lt;&gt;"Yes"),0,IF($K$10=0,SUMIFS(INDIRECT(ADDRESS(12,3+18*0+(5),,,"J1 A - (North) Bishopthorpe Roa")&amp;":"&amp;ADDRESS(130,3+18*0+(5))),'J1 A - (North) Bishopthorpe Roa'!$A$12:$A$130,"&gt;="&amp;Diagram!$O9,'J1 A - (North) Bishopthorpe Roa'!$A$12:$A$130,"&lt;"&amp;Diagram!$P9),SUMIFS(INDIRECT(ADDRESS(12,3+18*0+(13),,,"J1 A - (North) Bishopthorpe Roa")&amp;":"&amp;ADDRESS(130,3+18*0+(13))),'J1 A - (North) Bishopthorpe Roa'!$A$12:$A$130,"&gt;="&amp;Diagram!$O9,'J1 A - (North) Bishopthorpe Roa'!$A$12:$A$130,"&lt;"&amp;Diagram!$P9)))</f>
        <v>0</v>
      </c>
      <c r="DB9" s="42">
        <f ca="1">IF(OR($I$10="",$O9="",$P9="",$J$40&lt;&gt;"Yes"),0,IF($K$10=0,SUMIFS(INDIRECT(ADDRESS(12,3+18*1+(5),,,"J1 A - (North) Bishopthorpe Roa")&amp;":"&amp;ADDRESS(130,3+18*1+(5))),'J1 A - (North) Bishopthorpe Roa'!$A$12:$A$130,"&gt;="&amp;Diagram!$O9,'J1 A - (North) Bishopthorpe Roa'!$A$12:$A$130,"&lt;"&amp;Diagram!$P9),SUMIFS(INDIRECT(ADDRESS(12,3+18*1+(13),,,"J1 A - (North) Bishopthorpe Roa")&amp;":"&amp;ADDRESS(130,3+18*1+(13))),'J1 A - (North) Bishopthorpe Roa'!$A$12:$A$130,"&gt;="&amp;Diagram!$O9,'J1 A - (North) Bishopthorpe Roa'!$A$12:$A$130,"&lt;"&amp;Diagram!$P9)))</f>
        <v>0</v>
      </c>
      <c r="DC9" s="42">
        <f ca="1">IF(OR($I$10="",$O9="",$P9="",$J$40&lt;&gt;"Yes"),0,IF($K$10=0,SUMIFS(INDIRECT(ADDRESS(12,3+18*2+(5),,,"J1 A - (North) Bishopthorpe Roa")&amp;":"&amp;ADDRESS(130,3+18*2+(5))),'J1 A - (North) Bishopthorpe Roa'!$A$12:$A$130,"&gt;="&amp;Diagram!$O9,'J1 A - (North) Bishopthorpe Roa'!$A$12:$A$130,"&lt;"&amp;Diagram!$P9),SUMIFS(INDIRECT(ADDRESS(12,3+18*2+(13),,,"J1 A - (North) Bishopthorpe Roa")&amp;":"&amp;ADDRESS(130,3+18*2+(13))),'J1 A - (North) Bishopthorpe Roa'!$A$12:$A$130,"&gt;="&amp;Diagram!$O9,'J1 A - (North) Bishopthorpe Roa'!$A$12:$A$130,"&lt;"&amp;Diagram!$P9)))</f>
        <v>0</v>
      </c>
      <c r="DD9" s="42">
        <f ca="1">IF(OR($I$10="",$O9="",$P9="",$J$40&lt;&gt;"Yes"),0,IF($K$10=0,SUMIFS(INDIRECT(ADDRESS(12,3+18*2+(5),,,"J1 B - Butcher Terrace")&amp;":"&amp;ADDRESS(130,3+18*2+(5))),'J1 B - Butcher Terrace'!$A$12:$A$130,"&gt;="&amp;Diagram!$O9,'J1 B - Butcher Terrace'!$A$12:$A$130,"&lt;"&amp;Diagram!$P9),SUMIFS(INDIRECT(ADDRESS(12,3+18*2+(13),,,"J1 B - Butcher Terrace")&amp;":"&amp;ADDRESS(130,3+18*2+(13))),'J1 B - Butcher Terrace'!$A$12:$A$130,"&gt;="&amp;Diagram!$O9,'J1 B - Butcher Terrace'!$A$12:$A$130,"&lt;"&amp;Diagram!$P9)))</f>
        <v>0</v>
      </c>
      <c r="DE9" s="42">
        <f ca="1">IF(OR($I$10="",$O9="",$P9="",$J$40&lt;&gt;"Yes"),0,IF($K$10=0,SUMIFS(INDIRECT(ADDRESS(12,3+18*3+(5),,,"J1 B - Butcher Terrace")&amp;":"&amp;ADDRESS(130,3+18*3+(5))),'J1 B - Butcher Terrace'!$A$12:$A$130,"&gt;="&amp;Diagram!$O9,'J1 B - Butcher Terrace'!$A$12:$A$130,"&lt;"&amp;Diagram!$P9),SUMIFS(INDIRECT(ADDRESS(12,3+18*3+(13),,,"J1 B - Butcher Terrace")&amp;":"&amp;ADDRESS(130,3+18*3+(13))),'J1 B - Butcher Terrace'!$A$12:$A$130,"&gt;="&amp;Diagram!$O9,'J1 B - Butcher Terrace'!$A$12:$A$130,"&lt;"&amp;Diagram!$P9)))</f>
        <v>0</v>
      </c>
      <c r="DF9" s="42">
        <f ca="1">IF(OR($I$10="",$O9="",$P9="",$J$40&lt;&gt;"Yes"),0,IF($K$10=0,SUMIFS(INDIRECT(ADDRESS(12,3+18*0+(5),,,"J1 B - Butcher Terrace")&amp;":"&amp;ADDRESS(130,3+18*0+(5))),'J1 B - Butcher Terrace'!$A$12:$A$130,"&gt;="&amp;Diagram!$O9,'J1 B - Butcher Terrace'!$A$12:$A$130,"&lt;"&amp;Diagram!$P9),SUMIFS(INDIRECT(ADDRESS(12,3+18*0+(13),,,"J1 B - Butcher Terrace")&amp;":"&amp;ADDRESS(130,3+18*0+(13))),'J1 B - Butcher Terrace'!$A$12:$A$130,"&gt;="&amp;Diagram!$O9,'J1 B - Butcher Terrace'!$A$12:$A$130,"&lt;"&amp;Diagram!$P9)))</f>
        <v>0</v>
      </c>
      <c r="DG9" s="42">
        <f ca="1">IF(OR($I$10="",$O9="",$P9="",$J$40&lt;&gt;"Yes"),0,IF($K$10=0,SUMIFS(INDIRECT(ADDRESS(12,3+18*1+(5),,,"J1 B - Butcher Terrace")&amp;":"&amp;ADDRESS(130,3+18*1+(5))),'J1 B - Butcher Terrace'!$A$12:$A$130,"&gt;="&amp;Diagram!$O9,'J1 B - Butcher Terrace'!$A$12:$A$130,"&lt;"&amp;Diagram!$P9),SUMIFS(INDIRECT(ADDRESS(12,3+18*1+(13),,,"J1 B - Butcher Terrace")&amp;":"&amp;ADDRESS(130,3+18*1+(13))),'J1 B - Butcher Terrace'!$A$12:$A$130,"&gt;="&amp;Diagram!$O9,'J1 B - Butcher Terrace'!$A$12:$A$130,"&lt;"&amp;Diagram!$P9)))</f>
        <v>0</v>
      </c>
      <c r="DH9" s="42">
        <f ca="1">IF(OR($I$10="",$O9="",$P9="",$J$40&lt;&gt;"Yes"),0,IF($K$10=0,SUMIFS(INDIRECT(ADDRESS(12,3+18*1+(5),,,"J1 C - (South) Bishopthorpe Roa")&amp;":"&amp;ADDRESS(130,3+18*1+(5))),'J1 C - (South) Bishopthorpe Roa'!$A$12:$A$130,"&gt;="&amp;Diagram!$O9,'J1 C - (South) Bishopthorpe Roa'!$A$12:$A$130,"&lt;"&amp;Diagram!$P9),SUMIFS(INDIRECT(ADDRESS(12,3+18*1+(13),,,"J1 C - (South) Bishopthorpe Roa")&amp;":"&amp;ADDRESS(130,3+18*1+(13))),'J1 C - (South) Bishopthorpe Roa'!$A$12:$A$130,"&gt;="&amp;Diagram!$O9,'J1 C - (South) Bishopthorpe Roa'!$A$12:$A$130,"&lt;"&amp;Diagram!$P9)))</f>
        <v>0</v>
      </c>
      <c r="DI9" s="42">
        <f ca="1">IF(OR($I$10="",$O9="",$P9="",$J$40&lt;&gt;"Yes"),0,IF($K$10=0,SUMIFS(INDIRECT(ADDRESS(12,3+18*2+(5),,,"J1 C - (South) Bishopthorpe Roa")&amp;":"&amp;ADDRESS(130,3+18*2+(5))),'J1 C - (South) Bishopthorpe Roa'!$A$12:$A$130,"&gt;="&amp;Diagram!$O9,'J1 C - (South) Bishopthorpe Roa'!$A$12:$A$130,"&lt;"&amp;Diagram!$P9),SUMIFS(INDIRECT(ADDRESS(12,3+18*2+(13),,,"J1 C - (South) Bishopthorpe Roa")&amp;":"&amp;ADDRESS(130,3+18*2+(13))),'J1 C - (South) Bishopthorpe Roa'!$A$12:$A$130,"&gt;="&amp;Diagram!$O9,'J1 C - (South) Bishopthorpe Roa'!$A$12:$A$130,"&lt;"&amp;Diagram!$P9)))</f>
        <v>0</v>
      </c>
      <c r="DJ9" s="42">
        <f ca="1">IF(OR($I$10="",$O9="",$P9="",$J$40&lt;&gt;"Yes"),0,IF($K$10=0,SUMIFS(INDIRECT(ADDRESS(12,3+18*3+(5),,,"J1 C - (South) Bishopthorpe Roa")&amp;":"&amp;ADDRESS(130,3+18*3+(5))),'J1 C - (South) Bishopthorpe Roa'!$A$12:$A$130,"&gt;="&amp;Diagram!$O9,'J1 C - (South) Bishopthorpe Roa'!$A$12:$A$130,"&lt;"&amp;Diagram!$P9),SUMIFS(INDIRECT(ADDRESS(12,3+18*3+(13),,,"J1 C - (South) Bishopthorpe Roa")&amp;":"&amp;ADDRESS(130,3+18*3+(13))),'J1 C - (South) Bishopthorpe Roa'!$A$12:$A$130,"&gt;="&amp;Diagram!$O9,'J1 C - (South) Bishopthorpe Roa'!$A$12:$A$130,"&lt;"&amp;Diagram!$P9)))</f>
        <v>0</v>
      </c>
      <c r="DK9" s="42">
        <f ca="1">IF(OR($I$10="",$O9="",$P9="",$J$40&lt;&gt;"Yes"),0,IF($K$10=0,SUMIFS(INDIRECT(ADDRESS(12,3+18*0+(5),,,"J1 C - (South) Bishopthorpe Roa")&amp;":"&amp;ADDRESS(130,3+18*0+(5))),'J1 C - (South) Bishopthorpe Roa'!$A$12:$A$130,"&gt;="&amp;Diagram!$O9,'J1 C - (South) Bishopthorpe Roa'!$A$12:$A$130,"&lt;"&amp;Diagram!$P9),SUMIFS(INDIRECT(ADDRESS(12,3+18*0+(13),,,"J1 C - (South) Bishopthorpe Roa")&amp;":"&amp;ADDRESS(130,3+18*0+(13))),'J1 C - (South) Bishopthorpe Roa'!$A$12:$A$130,"&gt;="&amp;Diagram!$O9,'J1 C - (South) Bishopthorpe Roa'!$A$12:$A$130,"&lt;"&amp;Diagram!$P9)))</f>
        <v>0</v>
      </c>
      <c r="DL9" s="42">
        <f ca="1">IF(OR($I$10="",$O9="",$P9="",$J$40&lt;&gt;"Yes"),0,IF($K$10=0,SUMIFS(INDIRECT(ADDRESS(12,3+18*0+(5),,,"J1 D - South Bank Avenue")&amp;":"&amp;ADDRESS(130,3+18*0+(5))),'J1 D - South Bank Avenue'!$A$12:$A$130,"&gt;="&amp;Diagram!$O9,'J1 D - South Bank Avenue'!$A$12:$A$130,"&lt;"&amp;Diagram!$P9),SUMIFS(INDIRECT(ADDRESS(12,3+18*0+(13),,,"J1 D - South Bank Avenue")&amp;":"&amp;ADDRESS(130,3+18*0+(13))),'J1 D - South Bank Avenue'!$A$12:$A$130,"&gt;="&amp;Diagram!$O9,'J1 D - South Bank Avenue'!$A$12:$A$130,"&lt;"&amp;Diagram!$P9)))</f>
        <v>0</v>
      </c>
      <c r="DM9" s="42">
        <f ca="1">IF(OR($I$10="",$O9="",$P9="",$J$40&lt;&gt;"Yes"),0,IF($K$10=0,SUMIFS(INDIRECT(ADDRESS(12,3+18*1+(5),,,"J1 D - South Bank Avenue")&amp;":"&amp;ADDRESS(130,3+18*1+(5))),'J1 D - South Bank Avenue'!$A$12:$A$130,"&gt;="&amp;Diagram!$O9,'J1 D - South Bank Avenue'!$A$12:$A$130,"&lt;"&amp;Diagram!$P9),SUMIFS(INDIRECT(ADDRESS(12,3+18*1+(13),,,"J1 D - South Bank Avenue")&amp;":"&amp;ADDRESS(130,3+18*1+(13))),'J1 D - South Bank Avenue'!$A$12:$A$130,"&gt;="&amp;Diagram!$O9,'J1 D - South Bank Avenue'!$A$12:$A$130,"&lt;"&amp;Diagram!$P9)))</f>
        <v>0</v>
      </c>
      <c r="DN9" s="42">
        <f ca="1">IF(OR($I$10="",$O9="",$P9="",$J$40&lt;&gt;"Yes"),0,IF($K$10=0,SUMIFS(INDIRECT(ADDRESS(12,3+18*2+(5),,,"J1 D - South Bank Avenue")&amp;":"&amp;ADDRESS(130,3+18*2+(5))),'J1 D - South Bank Avenue'!$A$12:$A$130,"&gt;="&amp;Diagram!$O9,'J1 D - South Bank Avenue'!$A$12:$A$130,"&lt;"&amp;Diagram!$P9),SUMIFS(INDIRECT(ADDRESS(12,3+18*2+(13),,,"J1 D - South Bank Avenue")&amp;":"&amp;ADDRESS(130,3+18*2+(13))),'J1 D - South Bank Avenue'!$A$12:$A$130,"&gt;="&amp;Diagram!$O9,'J1 D - South Bank Avenue'!$A$12:$A$130,"&lt;"&amp;Diagram!$P9)))</f>
        <v>0</v>
      </c>
      <c r="DO9" s="42">
        <f ca="1">IF(OR($I$10="",$O9="",$P9="",$J$40&lt;&gt;"Yes"),0,IF($K$10=0,SUMIFS(INDIRECT(ADDRESS(12,3+18*3+(5),,,"J1 D - South Bank Avenue")&amp;":"&amp;ADDRESS(130,3+18*3+(5))),'J1 D - South Bank Avenue'!$A$12:$A$130,"&gt;="&amp;Diagram!$O9,'J1 D - South Bank Avenue'!$A$12:$A$130,"&lt;"&amp;Diagram!$P9),SUMIFS(INDIRECT(ADDRESS(12,3+18*3+(13),,,"J1 D - South Bank Avenue")&amp;":"&amp;ADDRESS(130,3+18*3+(13))),'J1 D - South Bank Avenue'!$A$12:$A$130,"&gt;="&amp;Diagram!$O9,'J1 D - South Bank Avenue'!$A$12:$A$130,"&lt;"&amp;Diagram!$P9)))</f>
        <v>0</v>
      </c>
      <c r="DP9" s="42">
        <f t="shared" ca="1" si="7"/>
        <v>0</v>
      </c>
      <c r="DQ9" s="42">
        <f ca="1">IF(OR($I$10="",$O9="",$P9="",$J$41&lt;&gt;"Yes"),0,IF($K$10=0,SUMIFS(INDIRECT(ADDRESS(12,3+18*3+(6),,,"J1 A - (North) Bishopthorpe Roa")&amp;":"&amp;ADDRESS(130,3+18*3+(6))),'J1 A - (North) Bishopthorpe Roa'!$A$12:$A$130,"&gt;="&amp;Diagram!$O9,'J1 A - (North) Bishopthorpe Roa'!$A$12:$A$130,"&lt;"&amp;Diagram!$P9),SUMIFS(INDIRECT(ADDRESS(12,3+18*3+(14),,,"J1 A - (North) Bishopthorpe Roa")&amp;":"&amp;ADDRESS(130,3+18*3+(14))),'J1 A - (North) Bishopthorpe Roa'!$A$12:$A$130,"&gt;="&amp;Diagram!$O9,'J1 A - (North) Bishopthorpe Roa'!$A$12:$A$130,"&lt;"&amp;Diagram!$P9)))</f>
        <v>0</v>
      </c>
      <c r="DR9" s="42">
        <f ca="1">IF(OR($I$10="",$O9="",$P9="",$J$41&lt;&gt;"Yes"),0,IF($K$10=0,SUMIFS(INDIRECT(ADDRESS(12,3+18*0+(6),,,"J1 A - (North) Bishopthorpe Roa")&amp;":"&amp;ADDRESS(130,3+18*0+(6))),'J1 A - (North) Bishopthorpe Roa'!$A$12:$A$130,"&gt;="&amp;Diagram!$O9,'J1 A - (North) Bishopthorpe Roa'!$A$12:$A$130,"&lt;"&amp;Diagram!$P9),SUMIFS(INDIRECT(ADDRESS(12,3+18*0+(14),,,"J1 A - (North) Bishopthorpe Roa")&amp;":"&amp;ADDRESS(130,3+18*0+(14))),'J1 A - (North) Bishopthorpe Roa'!$A$12:$A$130,"&gt;="&amp;Diagram!$O9,'J1 A - (North) Bishopthorpe Roa'!$A$12:$A$130,"&lt;"&amp;Diagram!$P9)))</f>
        <v>0</v>
      </c>
      <c r="DS9" s="42">
        <f ca="1">IF(OR($I$10="",$O9="",$P9="",$J$41&lt;&gt;"Yes"),0,IF($K$10=0,SUMIFS(INDIRECT(ADDRESS(12,3+18*1+(6),,,"J1 A - (North) Bishopthorpe Roa")&amp;":"&amp;ADDRESS(130,3+18*1+(6))),'J1 A - (North) Bishopthorpe Roa'!$A$12:$A$130,"&gt;="&amp;Diagram!$O9,'J1 A - (North) Bishopthorpe Roa'!$A$12:$A$130,"&lt;"&amp;Diagram!$P9),SUMIFS(INDIRECT(ADDRESS(12,3+18*1+(14),,,"J1 A - (North) Bishopthorpe Roa")&amp;":"&amp;ADDRESS(130,3+18*1+(14))),'J1 A - (North) Bishopthorpe Roa'!$A$12:$A$130,"&gt;="&amp;Diagram!$O9,'J1 A - (North) Bishopthorpe Roa'!$A$12:$A$130,"&lt;"&amp;Diagram!$P9)))</f>
        <v>0</v>
      </c>
      <c r="DT9" s="42">
        <f ca="1">IF(OR($I$10="",$O9="",$P9="",$J$41&lt;&gt;"Yes"),0,IF($K$10=0,SUMIFS(INDIRECT(ADDRESS(12,3+18*2+(6),,,"J1 A - (North) Bishopthorpe Roa")&amp;":"&amp;ADDRESS(130,3+18*2+(6))),'J1 A - (North) Bishopthorpe Roa'!$A$12:$A$130,"&gt;="&amp;Diagram!$O9,'J1 A - (North) Bishopthorpe Roa'!$A$12:$A$130,"&lt;"&amp;Diagram!$P9),SUMIFS(INDIRECT(ADDRESS(12,3+18*2+(14),,,"J1 A - (North) Bishopthorpe Roa")&amp;":"&amp;ADDRESS(130,3+18*2+(14))),'J1 A - (North) Bishopthorpe Roa'!$A$12:$A$130,"&gt;="&amp;Diagram!$O9,'J1 A - (North) Bishopthorpe Roa'!$A$12:$A$130,"&lt;"&amp;Diagram!$P9)))</f>
        <v>0</v>
      </c>
      <c r="DU9" s="42">
        <f ca="1">IF(OR($I$10="",$O9="",$P9="",$J$41&lt;&gt;"Yes"),0,IF($K$10=0,SUMIFS(INDIRECT(ADDRESS(12,3+18*2+(6),,,"J1 B - Butcher Terrace")&amp;":"&amp;ADDRESS(130,3+18*2+(6))),'J1 B - Butcher Terrace'!$A$12:$A$130,"&gt;="&amp;Diagram!$O9,'J1 B - Butcher Terrace'!$A$12:$A$130,"&lt;"&amp;Diagram!$P9),SUMIFS(INDIRECT(ADDRESS(12,3+18*2+(14),,,"J1 B - Butcher Terrace")&amp;":"&amp;ADDRESS(130,3+18*2+(14))),'J1 B - Butcher Terrace'!$A$12:$A$130,"&gt;="&amp;Diagram!$O9,'J1 B - Butcher Terrace'!$A$12:$A$130,"&lt;"&amp;Diagram!$P9)))</f>
        <v>0</v>
      </c>
      <c r="DV9" s="42">
        <f ca="1">IF(OR($I$10="",$O9="",$P9="",$J$41&lt;&gt;"Yes"),0,IF($K$10=0,SUMIFS(INDIRECT(ADDRESS(12,3+18*3+(6),,,"J1 B - Butcher Terrace")&amp;":"&amp;ADDRESS(130,3+18*3+(6))),'J1 B - Butcher Terrace'!$A$12:$A$130,"&gt;="&amp;Diagram!$O9,'J1 B - Butcher Terrace'!$A$12:$A$130,"&lt;"&amp;Diagram!$P9),SUMIFS(INDIRECT(ADDRESS(12,3+18*3+(14),,,"J1 B - Butcher Terrace")&amp;":"&amp;ADDRESS(130,3+18*3+(14))),'J1 B - Butcher Terrace'!$A$12:$A$130,"&gt;="&amp;Diagram!$O9,'J1 B - Butcher Terrace'!$A$12:$A$130,"&lt;"&amp;Diagram!$P9)))</f>
        <v>0</v>
      </c>
      <c r="DW9" s="42">
        <f ca="1">IF(OR($I$10="",$O9="",$P9="",$J$41&lt;&gt;"Yes"),0,IF($K$10=0,SUMIFS(INDIRECT(ADDRESS(12,3+18*0+(6),,,"J1 B - Butcher Terrace")&amp;":"&amp;ADDRESS(130,3+18*0+(6))),'J1 B - Butcher Terrace'!$A$12:$A$130,"&gt;="&amp;Diagram!$O9,'J1 B - Butcher Terrace'!$A$12:$A$130,"&lt;"&amp;Diagram!$P9),SUMIFS(INDIRECT(ADDRESS(12,3+18*0+(14),,,"J1 B - Butcher Terrace")&amp;":"&amp;ADDRESS(130,3+18*0+(14))),'J1 B - Butcher Terrace'!$A$12:$A$130,"&gt;="&amp;Diagram!$O9,'J1 B - Butcher Terrace'!$A$12:$A$130,"&lt;"&amp;Diagram!$P9)))</f>
        <v>0</v>
      </c>
      <c r="DX9" s="42">
        <f ca="1">IF(OR($I$10="",$O9="",$P9="",$J$41&lt;&gt;"Yes"),0,IF($K$10=0,SUMIFS(INDIRECT(ADDRESS(12,3+18*1+(6),,,"J1 B - Butcher Terrace")&amp;":"&amp;ADDRESS(130,3+18*1+(6))),'J1 B - Butcher Terrace'!$A$12:$A$130,"&gt;="&amp;Diagram!$O9,'J1 B - Butcher Terrace'!$A$12:$A$130,"&lt;"&amp;Diagram!$P9),SUMIFS(INDIRECT(ADDRESS(12,3+18*1+(14),,,"J1 B - Butcher Terrace")&amp;":"&amp;ADDRESS(130,3+18*1+(14))),'J1 B - Butcher Terrace'!$A$12:$A$130,"&gt;="&amp;Diagram!$O9,'J1 B - Butcher Terrace'!$A$12:$A$130,"&lt;"&amp;Diagram!$P9)))</f>
        <v>0</v>
      </c>
      <c r="DY9" s="42">
        <f ca="1">IF(OR($I$10="",$O9="",$P9="",$J$41&lt;&gt;"Yes"),0,IF($K$10=0,SUMIFS(INDIRECT(ADDRESS(12,3+18*1+(6),,,"J1 C - (South) Bishopthorpe Roa")&amp;":"&amp;ADDRESS(130,3+18*1+(6))),'J1 C - (South) Bishopthorpe Roa'!$A$12:$A$130,"&gt;="&amp;Diagram!$O9,'J1 C - (South) Bishopthorpe Roa'!$A$12:$A$130,"&lt;"&amp;Diagram!$P9),SUMIFS(INDIRECT(ADDRESS(12,3+18*1+(14),,,"J1 C - (South) Bishopthorpe Roa")&amp;":"&amp;ADDRESS(130,3+18*1+(14))),'J1 C - (South) Bishopthorpe Roa'!$A$12:$A$130,"&gt;="&amp;Diagram!$O9,'J1 C - (South) Bishopthorpe Roa'!$A$12:$A$130,"&lt;"&amp;Diagram!$P9)))</f>
        <v>0</v>
      </c>
      <c r="DZ9" s="42">
        <f ca="1">IF(OR($I$10="",$O9="",$P9="",$J$41&lt;&gt;"Yes"),0,IF($K$10=0,SUMIFS(INDIRECT(ADDRESS(12,3+18*2+(6),,,"J1 C - (South) Bishopthorpe Roa")&amp;":"&amp;ADDRESS(130,3+18*2+(6))),'J1 C - (South) Bishopthorpe Roa'!$A$12:$A$130,"&gt;="&amp;Diagram!$O9,'J1 C - (South) Bishopthorpe Roa'!$A$12:$A$130,"&lt;"&amp;Diagram!$P9),SUMIFS(INDIRECT(ADDRESS(12,3+18*2+(14),,,"J1 C - (South) Bishopthorpe Roa")&amp;":"&amp;ADDRESS(130,3+18*2+(14))),'J1 C - (South) Bishopthorpe Roa'!$A$12:$A$130,"&gt;="&amp;Diagram!$O9,'J1 C - (South) Bishopthorpe Roa'!$A$12:$A$130,"&lt;"&amp;Diagram!$P9)))</f>
        <v>0</v>
      </c>
      <c r="EA9" s="42">
        <f ca="1">IF(OR($I$10="",$O9="",$P9="",$J$41&lt;&gt;"Yes"),0,IF($K$10=0,SUMIFS(INDIRECT(ADDRESS(12,3+18*3+(6),,,"J1 C - (South) Bishopthorpe Roa")&amp;":"&amp;ADDRESS(130,3+18*3+(6))),'J1 C - (South) Bishopthorpe Roa'!$A$12:$A$130,"&gt;="&amp;Diagram!$O9,'J1 C - (South) Bishopthorpe Roa'!$A$12:$A$130,"&lt;"&amp;Diagram!$P9),SUMIFS(INDIRECT(ADDRESS(12,3+18*3+(14),,,"J1 C - (South) Bishopthorpe Roa")&amp;":"&amp;ADDRESS(130,3+18*3+(14))),'J1 C - (South) Bishopthorpe Roa'!$A$12:$A$130,"&gt;="&amp;Diagram!$O9,'J1 C - (South) Bishopthorpe Roa'!$A$12:$A$130,"&lt;"&amp;Diagram!$P9)))</f>
        <v>0</v>
      </c>
      <c r="EB9" s="42">
        <f ca="1">IF(OR($I$10="",$O9="",$P9="",$J$41&lt;&gt;"Yes"),0,IF($K$10=0,SUMIFS(INDIRECT(ADDRESS(12,3+18*0+(6),,,"J1 C - (South) Bishopthorpe Roa")&amp;":"&amp;ADDRESS(130,3+18*0+(6))),'J1 C - (South) Bishopthorpe Roa'!$A$12:$A$130,"&gt;="&amp;Diagram!$O9,'J1 C - (South) Bishopthorpe Roa'!$A$12:$A$130,"&lt;"&amp;Diagram!$P9),SUMIFS(INDIRECT(ADDRESS(12,3+18*0+(14),,,"J1 C - (South) Bishopthorpe Roa")&amp;":"&amp;ADDRESS(130,3+18*0+(14))),'J1 C - (South) Bishopthorpe Roa'!$A$12:$A$130,"&gt;="&amp;Diagram!$O9,'J1 C - (South) Bishopthorpe Roa'!$A$12:$A$130,"&lt;"&amp;Diagram!$P9)))</f>
        <v>0</v>
      </c>
      <c r="EC9" s="42">
        <f ca="1">IF(OR($I$10="",$O9="",$P9="",$J$41&lt;&gt;"Yes"),0,IF($K$10=0,SUMIFS(INDIRECT(ADDRESS(12,3+18*0+(6),,,"J1 D - South Bank Avenue")&amp;":"&amp;ADDRESS(130,3+18*0+(6))),'J1 D - South Bank Avenue'!$A$12:$A$130,"&gt;="&amp;Diagram!$O9,'J1 D - South Bank Avenue'!$A$12:$A$130,"&lt;"&amp;Diagram!$P9),SUMIFS(INDIRECT(ADDRESS(12,3+18*0+(14),,,"J1 D - South Bank Avenue")&amp;":"&amp;ADDRESS(130,3+18*0+(14))),'J1 D - South Bank Avenue'!$A$12:$A$130,"&gt;="&amp;Diagram!$O9,'J1 D - South Bank Avenue'!$A$12:$A$130,"&lt;"&amp;Diagram!$P9)))</f>
        <v>0</v>
      </c>
      <c r="ED9" s="42">
        <f ca="1">IF(OR($I$10="",$O9="",$P9="",$J$41&lt;&gt;"Yes"),0,IF($K$10=0,SUMIFS(INDIRECT(ADDRESS(12,3+18*1+(6),,,"J1 D - South Bank Avenue")&amp;":"&amp;ADDRESS(130,3+18*1+(6))),'J1 D - South Bank Avenue'!$A$12:$A$130,"&gt;="&amp;Diagram!$O9,'J1 D - South Bank Avenue'!$A$12:$A$130,"&lt;"&amp;Diagram!$P9),SUMIFS(INDIRECT(ADDRESS(12,3+18*1+(14),,,"J1 D - South Bank Avenue")&amp;":"&amp;ADDRESS(130,3+18*1+(14))),'J1 D - South Bank Avenue'!$A$12:$A$130,"&gt;="&amp;Diagram!$O9,'J1 D - South Bank Avenue'!$A$12:$A$130,"&lt;"&amp;Diagram!$P9)))</f>
        <v>0</v>
      </c>
      <c r="EE9" s="42">
        <f ca="1">IF(OR($I$10="",$O9="",$P9="",$J$41&lt;&gt;"Yes"),0,IF($K$10=0,SUMIFS(INDIRECT(ADDRESS(12,3+18*2+(6),,,"J1 D - South Bank Avenue")&amp;":"&amp;ADDRESS(130,3+18*2+(6))),'J1 D - South Bank Avenue'!$A$12:$A$130,"&gt;="&amp;Diagram!$O9,'J1 D - South Bank Avenue'!$A$12:$A$130,"&lt;"&amp;Diagram!$P9),SUMIFS(INDIRECT(ADDRESS(12,3+18*2+(14),,,"J1 D - South Bank Avenue")&amp;":"&amp;ADDRESS(130,3+18*2+(14))),'J1 D - South Bank Avenue'!$A$12:$A$130,"&gt;="&amp;Diagram!$O9,'J1 D - South Bank Avenue'!$A$12:$A$130,"&lt;"&amp;Diagram!$P9)))</f>
        <v>0</v>
      </c>
      <c r="EF9" s="42">
        <f ca="1">IF(OR($I$10="",$O9="",$P9="",$J$41&lt;&gt;"Yes"),0,IF($K$10=0,SUMIFS(INDIRECT(ADDRESS(12,3+18*3+(6),,,"J1 D - South Bank Avenue")&amp;":"&amp;ADDRESS(130,3+18*3+(6))),'J1 D - South Bank Avenue'!$A$12:$A$130,"&gt;="&amp;Diagram!$O9,'J1 D - South Bank Avenue'!$A$12:$A$130,"&lt;"&amp;Diagram!$P9),SUMIFS(INDIRECT(ADDRESS(12,3+18*3+(14),,,"J1 D - South Bank Avenue")&amp;":"&amp;ADDRESS(130,3+18*3+(14))),'J1 D - South Bank Avenue'!$A$12:$A$130,"&gt;="&amp;Diagram!$O9,'J1 D - South Bank Avenue'!$A$12:$A$130,"&lt;"&amp;Diagram!$P9)))</f>
        <v>0</v>
      </c>
      <c r="EG9" s="42">
        <f t="shared" ca="1" si="8"/>
        <v>0</v>
      </c>
      <c r="EH9" s="42">
        <f ca="1">IF(OR($I$10="",$O9="",$P9="",$J$42&lt;&gt;"Yes"),0,IF($K$10=0,SUMIFS(INDIRECT(ADDRESS(12,3+18*3+(7),,,"J1 A - (North) Bishopthorpe Roa")&amp;":"&amp;ADDRESS(130,3+18*3+(7))),'J1 A - (North) Bishopthorpe Roa'!$A$12:$A$130,"&gt;="&amp;Diagram!$O9,'J1 A - (North) Bishopthorpe Roa'!$A$12:$A$130,"&lt;"&amp;Diagram!$P9),SUMIFS(INDIRECT(ADDRESS(12,3+18*3+(15),,,"J1 A - (North) Bishopthorpe Roa")&amp;":"&amp;ADDRESS(130,3+18*3+(15))),'J1 A - (North) Bishopthorpe Roa'!$A$12:$A$130,"&gt;="&amp;Diagram!$O9,'J1 A - (North) Bishopthorpe Roa'!$A$12:$A$130,"&lt;"&amp;Diagram!$P9)))</f>
        <v>0</v>
      </c>
      <c r="EI9" s="42">
        <f ca="1">IF(OR($I$10="",$O9="",$P9="",$J$42&lt;&gt;"Yes"),0,IF($K$10=0,SUMIFS(INDIRECT(ADDRESS(12,3+18*0+(7),,,"J1 A - (North) Bishopthorpe Roa")&amp;":"&amp;ADDRESS(130,3+18*0+(7))),'J1 A - (North) Bishopthorpe Roa'!$A$12:$A$130,"&gt;="&amp;Diagram!$O9,'J1 A - (North) Bishopthorpe Roa'!$A$12:$A$130,"&lt;"&amp;Diagram!$P9),SUMIFS(INDIRECT(ADDRESS(12,3+18*0+(15),,,"J1 A - (North) Bishopthorpe Roa")&amp;":"&amp;ADDRESS(130,3+18*0+(15))),'J1 A - (North) Bishopthorpe Roa'!$A$12:$A$130,"&gt;="&amp;Diagram!$O9,'J1 A - (North) Bishopthorpe Roa'!$A$12:$A$130,"&lt;"&amp;Diagram!$P9)))</f>
        <v>0</v>
      </c>
      <c r="EJ9" s="42">
        <f ca="1">IF(OR($I$10="",$O9="",$P9="",$J$42&lt;&gt;"Yes"),0,IF($K$10=0,SUMIFS(INDIRECT(ADDRESS(12,3+18*1+(7),,,"J1 A - (North) Bishopthorpe Roa")&amp;":"&amp;ADDRESS(130,3+18*1+(7))),'J1 A - (North) Bishopthorpe Roa'!$A$12:$A$130,"&gt;="&amp;Diagram!$O9,'J1 A - (North) Bishopthorpe Roa'!$A$12:$A$130,"&lt;"&amp;Diagram!$P9),SUMIFS(INDIRECT(ADDRESS(12,3+18*1+(15),,,"J1 A - (North) Bishopthorpe Roa")&amp;":"&amp;ADDRESS(130,3+18*1+(15))),'J1 A - (North) Bishopthorpe Roa'!$A$12:$A$130,"&gt;="&amp;Diagram!$O9,'J1 A - (North) Bishopthorpe Roa'!$A$12:$A$130,"&lt;"&amp;Diagram!$P9)))</f>
        <v>0</v>
      </c>
      <c r="EK9" s="42">
        <f ca="1">IF(OR($I$10="",$O9="",$P9="",$J$42&lt;&gt;"Yes"),0,IF($K$10=0,SUMIFS(INDIRECT(ADDRESS(12,3+18*2+(7),,,"J1 A - (North) Bishopthorpe Roa")&amp;":"&amp;ADDRESS(130,3+18*2+(7))),'J1 A - (North) Bishopthorpe Roa'!$A$12:$A$130,"&gt;="&amp;Diagram!$O9,'J1 A - (North) Bishopthorpe Roa'!$A$12:$A$130,"&lt;"&amp;Diagram!$P9),SUMIFS(INDIRECT(ADDRESS(12,3+18*2+(15),,,"J1 A - (North) Bishopthorpe Roa")&amp;":"&amp;ADDRESS(130,3+18*2+(15))),'J1 A - (North) Bishopthorpe Roa'!$A$12:$A$130,"&gt;="&amp;Diagram!$O9,'J1 A - (North) Bishopthorpe Roa'!$A$12:$A$130,"&lt;"&amp;Diagram!$P9)))</f>
        <v>0</v>
      </c>
      <c r="EL9" s="42">
        <f ca="1">IF(OR($I$10="",$O9="",$P9="",$J$42&lt;&gt;"Yes"),0,IF($K$10=0,SUMIFS(INDIRECT(ADDRESS(12,3+18*2+(7),,,"J1 B - Butcher Terrace")&amp;":"&amp;ADDRESS(130,3+18*2+(7))),'J1 B - Butcher Terrace'!$A$12:$A$130,"&gt;="&amp;Diagram!$O9,'J1 B - Butcher Terrace'!$A$12:$A$130,"&lt;"&amp;Diagram!$P9),SUMIFS(INDIRECT(ADDRESS(12,3+18*2+(15),,,"J1 B - Butcher Terrace")&amp;":"&amp;ADDRESS(130,3+18*2+(15))),'J1 B - Butcher Terrace'!$A$12:$A$130,"&gt;="&amp;Diagram!$O9,'J1 B - Butcher Terrace'!$A$12:$A$130,"&lt;"&amp;Diagram!$P9)))</f>
        <v>0</v>
      </c>
      <c r="EM9" s="42">
        <f ca="1">IF(OR($I$10="",$O9="",$P9="",$J$42&lt;&gt;"Yes"),0,IF($K$10=0,SUMIFS(INDIRECT(ADDRESS(12,3+18*3+(7),,,"J1 B - Butcher Terrace")&amp;":"&amp;ADDRESS(130,3+18*3+(7))),'J1 B - Butcher Terrace'!$A$12:$A$130,"&gt;="&amp;Diagram!$O9,'J1 B - Butcher Terrace'!$A$12:$A$130,"&lt;"&amp;Diagram!$P9),SUMIFS(INDIRECT(ADDRESS(12,3+18*3+(15),,,"J1 B - Butcher Terrace")&amp;":"&amp;ADDRESS(130,3+18*3+(15))),'J1 B - Butcher Terrace'!$A$12:$A$130,"&gt;="&amp;Diagram!$O9,'J1 B - Butcher Terrace'!$A$12:$A$130,"&lt;"&amp;Diagram!$P9)))</f>
        <v>0</v>
      </c>
      <c r="EN9" s="42">
        <f ca="1">IF(OR($I$10="",$O9="",$P9="",$J$42&lt;&gt;"Yes"),0,IF($K$10=0,SUMIFS(INDIRECT(ADDRESS(12,3+18*0+(7),,,"J1 B - Butcher Terrace")&amp;":"&amp;ADDRESS(130,3+18*0+(7))),'J1 B - Butcher Terrace'!$A$12:$A$130,"&gt;="&amp;Diagram!$O9,'J1 B - Butcher Terrace'!$A$12:$A$130,"&lt;"&amp;Diagram!$P9),SUMIFS(INDIRECT(ADDRESS(12,3+18*0+(15),,,"J1 B - Butcher Terrace")&amp;":"&amp;ADDRESS(130,3+18*0+(15))),'J1 B - Butcher Terrace'!$A$12:$A$130,"&gt;="&amp;Diagram!$O9,'J1 B - Butcher Terrace'!$A$12:$A$130,"&lt;"&amp;Diagram!$P9)))</f>
        <v>0</v>
      </c>
      <c r="EO9" s="42">
        <f ca="1">IF(OR($I$10="",$O9="",$P9="",$J$42&lt;&gt;"Yes"),0,IF($K$10=0,SUMIFS(INDIRECT(ADDRESS(12,3+18*1+(7),,,"J1 B - Butcher Terrace")&amp;":"&amp;ADDRESS(130,3+18*1+(7))),'J1 B - Butcher Terrace'!$A$12:$A$130,"&gt;="&amp;Diagram!$O9,'J1 B - Butcher Terrace'!$A$12:$A$130,"&lt;"&amp;Diagram!$P9),SUMIFS(INDIRECT(ADDRESS(12,3+18*1+(15),,,"J1 B - Butcher Terrace")&amp;":"&amp;ADDRESS(130,3+18*1+(15))),'J1 B - Butcher Terrace'!$A$12:$A$130,"&gt;="&amp;Diagram!$O9,'J1 B - Butcher Terrace'!$A$12:$A$130,"&lt;"&amp;Diagram!$P9)))</f>
        <v>0</v>
      </c>
      <c r="EP9" s="42">
        <f ca="1">IF(OR($I$10="",$O9="",$P9="",$J$42&lt;&gt;"Yes"),0,IF($K$10=0,SUMIFS(INDIRECT(ADDRESS(12,3+18*1+(7),,,"J1 C - (South) Bishopthorpe Roa")&amp;":"&amp;ADDRESS(130,3+18*1+(7))),'J1 C - (South) Bishopthorpe Roa'!$A$12:$A$130,"&gt;="&amp;Diagram!$O9,'J1 C - (South) Bishopthorpe Roa'!$A$12:$A$130,"&lt;"&amp;Diagram!$P9),SUMIFS(INDIRECT(ADDRESS(12,3+18*1+(15),,,"J1 C - (South) Bishopthorpe Roa")&amp;":"&amp;ADDRESS(130,3+18*1+(15))),'J1 C - (South) Bishopthorpe Roa'!$A$12:$A$130,"&gt;="&amp;Diagram!$O9,'J1 C - (South) Bishopthorpe Roa'!$A$12:$A$130,"&lt;"&amp;Diagram!$P9)))</f>
        <v>0</v>
      </c>
      <c r="EQ9" s="42">
        <f ca="1">IF(OR($I$10="",$O9="",$P9="",$J$42&lt;&gt;"Yes"),0,IF($K$10=0,SUMIFS(INDIRECT(ADDRESS(12,3+18*2+(7),,,"J1 C - (South) Bishopthorpe Roa")&amp;":"&amp;ADDRESS(130,3+18*2+(7))),'J1 C - (South) Bishopthorpe Roa'!$A$12:$A$130,"&gt;="&amp;Diagram!$O9,'J1 C - (South) Bishopthorpe Roa'!$A$12:$A$130,"&lt;"&amp;Diagram!$P9),SUMIFS(INDIRECT(ADDRESS(12,3+18*2+(15),,,"J1 C - (South) Bishopthorpe Roa")&amp;":"&amp;ADDRESS(130,3+18*2+(15))),'J1 C - (South) Bishopthorpe Roa'!$A$12:$A$130,"&gt;="&amp;Diagram!$O9,'J1 C - (South) Bishopthorpe Roa'!$A$12:$A$130,"&lt;"&amp;Diagram!$P9)))</f>
        <v>0</v>
      </c>
      <c r="ER9" s="42">
        <f ca="1">IF(OR($I$10="",$O9="",$P9="",$J$42&lt;&gt;"Yes"),0,IF($K$10=0,SUMIFS(INDIRECT(ADDRESS(12,3+18*3+(7),,,"J1 C - (South) Bishopthorpe Roa")&amp;":"&amp;ADDRESS(130,3+18*3+(7))),'J1 C - (South) Bishopthorpe Roa'!$A$12:$A$130,"&gt;="&amp;Diagram!$O9,'J1 C - (South) Bishopthorpe Roa'!$A$12:$A$130,"&lt;"&amp;Diagram!$P9),SUMIFS(INDIRECT(ADDRESS(12,3+18*3+(15),,,"J1 C - (South) Bishopthorpe Roa")&amp;":"&amp;ADDRESS(130,3+18*3+(15))),'J1 C - (South) Bishopthorpe Roa'!$A$12:$A$130,"&gt;="&amp;Diagram!$O9,'J1 C - (South) Bishopthorpe Roa'!$A$12:$A$130,"&lt;"&amp;Diagram!$P9)))</f>
        <v>0</v>
      </c>
      <c r="ES9" s="42">
        <f ca="1">IF(OR($I$10="",$O9="",$P9="",$J$42&lt;&gt;"Yes"),0,IF($K$10=0,SUMIFS(INDIRECT(ADDRESS(12,3+18*0+(7),,,"J1 C - (South) Bishopthorpe Roa")&amp;":"&amp;ADDRESS(130,3+18*0+(7))),'J1 C - (South) Bishopthorpe Roa'!$A$12:$A$130,"&gt;="&amp;Diagram!$O9,'J1 C - (South) Bishopthorpe Roa'!$A$12:$A$130,"&lt;"&amp;Diagram!$P9),SUMIFS(INDIRECT(ADDRESS(12,3+18*0+(15),,,"J1 C - (South) Bishopthorpe Roa")&amp;":"&amp;ADDRESS(130,3+18*0+(15))),'J1 C - (South) Bishopthorpe Roa'!$A$12:$A$130,"&gt;="&amp;Diagram!$O9,'J1 C - (South) Bishopthorpe Roa'!$A$12:$A$130,"&lt;"&amp;Diagram!$P9)))</f>
        <v>0</v>
      </c>
      <c r="ET9" s="42">
        <f ca="1">IF(OR($I$10="",$O9="",$P9="",$J$42&lt;&gt;"Yes"),0,IF($K$10=0,SUMIFS(INDIRECT(ADDRESS(12,3+18*0+(7),,,"J1 D - South Bank Avenue")&amp;":"&amp;ADDRESS(130,3+18*0+(7))),'J1 D - South Bank Avenue'!$A$12:$A$130,"&gt;="&amp;Diagram!$O9,'J1 D - South Bank Avenue'!$A$12:$A$130,"&lt;"&amp;Diagram!$P9),SUMIFS(INDIRECT(ADDRESS(12,3+18*0+(15),,,"J1 D - South Bank Avenue")&amp;":"&amp;ADDRESS(130,3+18*0+(15))),'J1 D - South Bank Avenue'!$A$12:$A$130,"&gt;="&amp;Diagram!$O9,'J1 D - South Bank Avenue'!$A$12:$A$130,"&lt;"&amp;Diagram!$P9)))</f>
        <v>0</v>
      </c>
      <c r="EU9" s="42">
        <f ca="1">IF(OR($I$10="",$O9="",$P9="",$J$42&lt;&gt;"Yes"),0,IF($K$10=0,SUMIFS(INDIRECT(ADDRESS(12,3+18*1+(7),,,"J1 D - South Bank Avenue")&amp;":"&amp;ADDRESS(130,3+18*1+(7))),'J1 D - South Bank Avenue'!$A$12:$A$130,"&gt;="&amp;Diagram!$O9,'J1 D - South Bank Avenue'!$A$12:$A$130,"&lt;"&amp;Diagram!$P9),SUMIFS(INDIRECT(ADDRESS(12,3+18*1+(15),,,"J1 D - South Bank Avenue")&amp;":"&amp;ADDRESS(130,3+18*1+(15))),'J1 D - South Bank Avenue'!$A$12:$A$130,"&gt;="&amp;Diagram!$O9,'J1 D - South Bank Avenue'!$A$12:$A$130,"&lt;"&amp;Diagram!$P9)))</f>
        <v>0</v>
      </c>
      <c r="EV9" s="42">
        <f ca="1">IF(OR($I$10="",$O9="",$P9="",$J$42&lt;&gt;"Yes"),0,IF($K$10=0,SUMIFS(INDIRECT(ADDRESS(12,3+18*2+(7),,,"J1 D - South Bank Avenue")&amp;":"&amp;ADDRESS(130,3+18*2+(7))),'J1 D - South Bank Avenue'!$A$12:$A$130,"&gt;="&amp;Diagram!$O9,'J1 D - South Bank Avenue'!$A$12:$A$130,"&lt;"&amp;Diagram!$P9),SUMIFS(INDIRECT(ADDRESS(12,3+18*2+(15),,,"J1 D - South Bank Avenue")&amp;":"&amp;ADDRESS(130,3+18*2+(15))),'J1 D - South Bank Avenue'!$A$12:$A$130,"&gt;="&amp;Diagram!$O9,'J1 D - South Bank Avenue'!$A$12:$A$130,"&lt;"&amp;Diagram!$P9)))</f>
        <v>0</v>
      </c>
      <c r="EW9" s="42">
        <f ca="1">IF(OR($I$10="",$O9="",$P9="",$J$42&lt;&gt;"Yes"),0,IF($K$10=0,SUMIFS(INDIRECT(ADDRESS(12,3+18*3+(7),,,"J1 D - South Bank Avenue")&amp;":"&amp;ADDRESS(130,3+18*3+(7))),'J1 D - South Bank Avenue'!$A$12:$A$130,"&gt;="&amp;Diagram!$O9,'J1 D - South Bank Avenue'!$A$12:$A$130,"&lt;"&amp;Diagram!$P9),SUMIFS(INDIRECT(ADDRESS(12,3+18*3+(15),,,"J1 D - South Bank Avenue")&amp;":"&amp;ADDRESS(130,3+18*3+(15))),'J1 D - South Bank Avenue'!$A$12:$A$130,"&gt;="&amp;Diagram!$O9,'J1 D - South Bank Avenue'!$A$12:$A$130,"&lt;"&amp;Diagram!$P9)))</f>
        <v>0</v>
      </c>
    </row>
    <row r="10" spans="1:153" ht="21" customHeight="1">
      <c r="A10" s="1">
        <v>44395.09375</v>
      </c>
      <c r="B10" s="1">
        <v>44395.104166666701</v>
      </c>
      <c r="H10" s="8" t="s">
        <v>149</v>
      </c>
      <c r="I10" s="103" t="s">
        <v>150</v>
      </c>
      <c r="J10" s="104"/>
      <c r="K10" s="13">
        <f>IF($I$10="Counts",0,1)</f>
        <v>0</v>
      </c>
      <c r="L10" s="13">
        <f>IF($I$12="Yes",MATCH($J$12,Start,1)+0,MATCH($I$15,Start,1)+0)</f>
        <v>1</v>
      </c>
      <c r="M10" s="13">
        <f>IF($I$12="Yes",MATCH($K$12,End,1)+0,MATCH($J$15,End,1)+0)</f>
        <v>96</v>
      </c>
      <c r="O10" s="3">
        <v>44395.09375</v>
      </c>
      <c r="P10" s="3">
        <v>44395.135416666701</v>
      </c>
      <c r="Q10" s="42">
        <f t="shared" ca="1" si="0"/>
        <v>13</v>
      </c>
      <c r="R10" s="42">
        <f t="shared" ca="1" si="1"/>
        <v>13</v>
      </c>
      <c r="S10" s="42">
        <f ca="1">IF(OR($I$10="",$O10="",$P10="",$J$35&lt;&gt;"Yes"),0,IF($K$10=0,SUMIFS(INDIRECT(ADDRESS(12,3+18*3+(0),,,"J1 A - (North) Bishopthorpe Roa")&amp;":"&amp;ADDRESS(130,3+18*3+(0))),'J1 A - (North) Bishopthorpe Roa'!$A$12:$A$130,"&gt;="&amp;Diagram!$O10,'J1 A - (North) Bishopthorpe Roa'!$A$12:$A$130,"&lt;"&amp;Diagram!$P10),SUMIFS(INDIRECT(ADDRESS(12,3+18*3+(8),,,"J1 A - (North) Bishopthorpe Roa")&amp;":"&amp;ADDRESS(130,3+18*3+(8))),'J1 A - (North) Bishopthorpe Roa'!$A$12:$A$130,"&gt;="&amp;Diagram!$O10,'J1 A - (North) Bishopthorpe Roa'!$A$12:$A$130,"&lt;"&amp;Diagram!$P10)))</f>
        <v>0</v>
      </c>
      <c r="T10" s="42">
        <f ca="1">IF(OR($I$10="",$O10="",$P10="",$J$35&lt;&gt;"Yes"),0,IF($K$10=0,SUMIFS(INDIRECT(ADDRESS(12,3+18*0+(0),,,"J1 A - (North) Bishopthorpe Roa")&amp;":"&amp;ADDRESS(130,3+18*0+(0))),'J1 A - (North) Bishopthorpe Roa'!$A$12:$A$130,"&gt;="&amp;Diagram!$O10,'J1 A - (North) Bishopthorpe Roa'!$A$12:$A$130,"&lt;"&amp;Diagram!$P10),SUMIFS(INDIRECT(ADDRESS(12,3+18*0+(8),,,"J1 A - (North) Bishopthorpe Roa")&amp;":"&amp;ADDRESS(130,3+18*0+(8))),'J1 A - (North) Bishopthorpe Roa'!$A$12:$A$130,"&gt;="&amp;Diagram!$O10,'J1 A - (North) Bishopthorpe Roa'!$A$12:$A$130,"&lt;"&amp;Diagram!$P10)))</f>
        <v>1</v>
      </c>
      <c r="U10" s="42">
        <f ca="1">IF(OR($I$10="",$O10="",$P10="",$J$35&lt;&gt;"Yes"),0,IF($K$10=0,SUMIFS(INDIRECT(ADDRESS(12,3+18*1+(0),,,"J1 A - (North) Bishopthorpe Roa")&amp;":"&amp;ADDRESS(130,3+18*1+(0))),'J1 A - (North) Bishopthorpe Roa'!$A$12:$A$130,"&gt;="&amp;Diagram!$O10,'J1 A - (North) Bishopthorpe Roa'!$A$12:$A$130,"&lt;"&amp;Diagram!$P10),SUMIFS(INDIRECT(ADDRESS(12,3+18*1+(8),,,"J1 A - (North) Bishopthorpe Roa")&amp;":"&amp;ADDRESS(130,3+18*1+(8))),'J1 A - (North) Bishopthorpe Roa'!$A$12:$A$130,"&gt;="&amp;Diagram!$O10,'J1 A - (North) Bishopthorpe Roa'!$A$12:$A$130,"&lt;"&amp;Diagram!$P10)))</f>
        <v>6</v>
      </c>
      <c r="V10" s="42">
        <f ca="1">IF(OR($I$10="",$O10="",$P10="",$J$35&lt;&gt;"Yes"),0,IF($K$10=0,SUMIFS(INDIRECT(ADDRESS(12,3+18*2+(0),,,"J1 A - (North) Bishopthorpe Roa")&amp;":"&amp;ADDRESS(130,3+18*2+(0))),'J1 A - (North) Bishopthorpe Roa'!$A$12:$A$130,"&gt;="&amp;Diagram!$O10,'J1 A - (North) Bishopthorpe Roa'!$A$12:$A$130,"&lt;"&amp;Diagram!$P10),SUMIFS(INDIRECT(ADDRESS(12,3+18*2+(8),,,"J1 A - (North) Bishopthorpe Roa")&amp;":"&amp;ADDRESS(130,3+18*2+(8))),'J1 A - (North) Bishopthorpe Roa'!$A$12:$A$130,"&gt;="&amp;Diagram!$O10,'J1 A - (North) Bishopthorpe Roa'!$A$12:$A$130,"&lt;"&amp;Diagram!$P10)))</f>
        <v>1</v>
      </c>
      <c r="W10" s="42">
        <f ca="1">IF(OR($I$10="",$O10="",$P10="",$J$35&lt;&gt;"Yes"),0,IF($K$10=0,SUMIFS(INDIRECT(ADDRESS(12,3+18*2+(0),,,"J1 B - Butcher Terrace")&amp;":"&amp;ADDRESS(130,3+18*2+(0))),'J1 B - Butcher Terrace'!$A$12:$A$130,"&gt;="&amp;Diagram!$O10,'J1 B - Butcher Terrace'!$A$12:$A$130,"&lt;"&amp;Diagram!$P10),SUMIFS(INDIRECT(ADDRESS(12,3+18*2+(8),,,"J1 B - Butcher Terrace")&amp;":"&amp;ADDRESS(130,3+18*2+(8))),'J1 B - Butcher Terrace'!$A$12:$A$130,"&gt;="&amp;Diagram!$O10,'J1 B - Butcher Terrace'!$A$12:$A$130,"&lt;"&amp;Diagram!$P10)))</f>
        <v>1</v>
      </c>
      <c r="X10" s="42">
        <f ca="1">IF(OR($I$10="",$O10="",$P10="",$J$35&lt;&gt;"Yes"),0,IF($K$10=0,SUMIFS(INDIRECT(ADDRESS(12,3+18*3+(0),,,"J1 B - Butcher Terrace")&amp;":"&amp;ADDRESS(130,3+18*3+(0))),'J1 B - Butcher Terrace'!$A$12:$A$130,"&gt;="&amp;Diagram!$O10,'J1 B - Butcher Terrace'!$A$12:$A$130,"&lt;"&amp;Diagram!$P10),SUMIFS(INDIRECT(ADDRESS(12,3+18*3+(8),,,"J1 B - Butcher Terrace")&amp;":"&amp;ADDRESS(130,3+18*3+(8))),'J1 B - Butcher Terrace'!$A$12:$A$130,"&gt;="&amp;Diagram!$O10,'J1 B - Butcher Terrace'!$A$12:$A$130,"&lt;"&amp;Diagram!$P10)))</f>
        <v>0</v>
      </c>
      <c r="Y10" s="42">
        <f ca="1">IF(OR($I$10="",$O10="",$P10="",$J$35&lt;&gt;"Yes"),0,IF($K$10=0,SUMIFS(INDIRECT(ADDRESS(12,3+18*0+(0),,,"J1 B - Butcher Terrace")&amp;":"&amp;ADDRESS(130,3+18*0+(0))),'J1 B - Butcher Terrace'!$A$12:$A$130,"&gt;="&amp;Diagram!$O10,'J1 B - Butcher Terrace'!$A$12:$A$130,"&lt;"&amp;Diagram!$P10),SUMIFS(INDIRECT(ADDRESS(12,3+18*0+(8),,,"J1 B - Butcher Terrace")&amp;":"&amp;ADDRESS(130,3+18*0+(8))),'J1 B - Butcher Terrace'!$A$12:$A$130,"&gt;="&amp;Diagram!$O10,'J1 B - Butcher Terrace'!$A$12:$A$130,"&lt;"&amp;Diagram!$P10)))</f>
        <v>0</v>
      </c>
      <c r="Z10" s="42">
        <f ca="1">IF(OR($I$10="",$O10="",$P10="",$J$35&lt;&gt;"Yes"),0,IF($K$10=0,SUMIFS(INDIRECT(ADDRESS(12,3+18*1+(0),,,"J1 B - Butcher Terrace")&amp;":"&amp;ADDRESS(130,3+18*1+(0))),'J1 B - Butcher Terrace'!$A$12:$A$130,"&gt;="&amp;Diagram!$O10,'J1 B - Butcher Terrace'!$A$12:$A$130,"&lt;"&amp;Diagram!$P10),SUMIFS(INDIRECT(ADDRESS(12,3+18*1+(8),,,"J1 B - Butcher Terrace")&amp;":"&amp;ADDRESS(130,3+18*1+(8))),'J1 B - Butcher Terrace'!$A$12:$A$130,"&gt;="&amp;Diagram!$O10,'J1 B - Butcher Terrace'!$A$12:$A$130,"&lt;"&amp;Diagram!$P10)))</f>
        <v>0</v>
      </c>
      <c r="AA10" s="42">
        <f ca="1">IF(OR($I$10="",$O10="",$P10="",$J$35&lt;&gt;"Yes"),0,IF($K$10=0,SUMIFS(INDIRECT(ADDRESS(12,3+18*1+(0),,,"J1 C - (South) Bishopthorpe Roa")&amp;":"&amp;ADDRESS(130,3+18*1+(0))),'J1 C - (South) Bishopthorpe Roa'!$A$12:$A$130,"&gt;="&amp;Diagram!$O10,'J1 C - (South) Bishopthorpe Roa'!$A$12:$A$130,"&lt;"&amp;Diagram!$P10),SUMIFS(INDIRECT(ADDRESS(12,3+18*1+(8),,,"J1 C - (South) Bishopthorpe Roa")&amp;":"&amp;ADDRESS(130,3+18*1+(8))),'J1 C - (South) Bishopthorpe Roa'!$A$12:$A$130,"&gt;="&amp;Diagram!$O10,'J1 C - (South) Bishopthorpe Roa'!$A$12:$A$130,"&lt;"&amp;Diagram!$P10)))</f>
        <v>2</v>
      </c>
      <c r="AB10" s="42">
        <f ca="1">IF(OR($I$10="",$O10="",$P10="",$J$35&lt;&gt;"Yes"),0,IF($K$10=0,SUMIFS(INDIRECT(ADDRESS(12,3+18*2+(0),,,"J1 C - (South) Bishopthorpe Roa")&amp;":"&amp;ADDRESS(130,3+18*2+(0))),'J1 C - (South) Bishopthorpe Roa'!$A$12:$A$130,"&gt;="&amp;Diagram!$O10,'J1 C - (South) Bishopthorpe Roa'!$A$12:$A$130,"&lt;"&amp;Diagram!$P10),SUMIFS(INDIRECT(ADDRESS(12,3+18*2+(8),,,"J1 C - (South) Bishopthorpe Roa")&amp;":"&amp;ADDRESS(130,3+18*2+(8))),'J1 C - (South) Bishopthorpe Roa'!$A$12:$A$130,"&gt;="&amp;Diagram!$O10,'J1 C - (South) Bishopthorpe Roa'!$A$12:$A$130,"&lt;"&amp;Diagram!$P10)))</f>
        <v>1</v>
      </c>
      <c r="AC10" s="42">
        <f ca="1">IF(OR($I$10="",$O10="",$P10="",$J$35&lt;&gt;"Yes"),0,IF($K$10=0,SUMIFS(INDIRECT(ADDRESS(12,3+18*3+(0),,,"J1 C - (South) Bishopthorpe Roa")&amp;":"&amp;ADDRESS(130,3+18*3+(0))),'J1 C - (South) Bishopthorpe Roa'!$A$12:$A$130,"&gt;="&amp;Diagram!$O10,'J1 C - (South) Bishopthorpe Roa'!$A$12:$A$130,"&lt;"&amp;Diagram!$P10),SUMIFS(INDIRECT(ADDRESS(12,3+18*3+(8),,,"J1 C - (South) Bishopthorpe Roa")&amp;":"&amp;ADDRESS(130,3+18*3+(8))),'J1 C - (South) Bishopthorpe Roa'!$A$12:$A$130,"&gt;="&amp;Diagram!$O10,'J1 C - (South) Bishopthorpe Roa'!$A$12:$A$130,"&lt;"&amp;Diagram!$P10)))</f>
        <v>0</v>
      </c>
      <c r="AD10" s="42">
        <f ca="1">IF(OR($I$10="",$O10="",$P10="",$J$35&lt;&gt;"Yes"),0,IF($K$10=0,SUMIFS(INDIRECT(ADDRESS(12,3+18*0+(0),,,"J1 C - (South) Bishopthorpe Roa")&amp;":"&amp;ADDRESS(130,3+18*0+(0))),'J1 C - (South) Bishopthorpe Roa'!$A$12:$A$130,"&gt;="&amp;Diagram!$O10,'J1 C - (South) Bishopthorpe Roa'!$A$12:$A$130,"&lt;"&amp;Diagram!$P10),SUMIFS(INDIRECT(ADDRESS(12,3+18*0+(8),,,"J1 C - (South) Bishopthorpe Roa")&amp;":"&amp;ADDRESS(130,3+18*0+(8))),'J1 C - (South) Bishopthorpe Roa'!$A$12:$A$130,"&gt;="&amp;Diagram!$O10,'J1 C - (South) Bishopthorpe Roa'!$A$12:$A$130,"&lt;"&amp;Diagram!$P10)))</f>
        <v>1</v>
      </c>
      <c r="AE10" s="42">
        <f ca="1">IF(OR($I$10="",$O10="",$P10="",$J$35&lt;&gt;"Yes"),0,IF($K$10=0,SUMIFS(INDIRECT(ADDRESS(12,3+18*0+(0),,,"J1 D - South Bank Avenue")&amp;":"&amp;ADDRESS(130,3+18*0+(0))),'J1 D - South Bank Avenue'!$A$12:$A$130,"&gt;="&amp;Diagram!$O10,'J1 D - South Bank Avenue'!$A$12:$A$130,"&lt;"&amp;Diagram!$P10),SUMIFS(INDIRECT(ADDRESS(12,3+18*0+(8),,,"J1 D - South Bank Avenue")&amp;":"&amp;ADDRESS(130,3+18*0+(8))),'J1 D - South Bank Avenue'!$A$12:$A$130,"&gt;="&amp;Diagram!$O10,'J1 D - South Bank Avenue'!$A$12:$A$130,"&lt;"&amp;Diagram!$P10)))</f>
        <v>0</v>
      </c>
      <c r="AF10" s="42">
        <f ca="1">IF(OR($I$10="",$O10="",$P10="",$J$35&lt;&gt;"Yes"),0,IF($K$10=0,SUMIFS(INDIRECT(ADDRESS(12,3+18*1+(0),,,"J1 D - South Bank Avenue")&amp;":"&amp;ADDRESS(130,3+18*1+(0))),'J1 D - South Bank Avenue'!$A$12:$A$130,"&gt;="&amp;Diagram!$O10,'J1 D - South Bank Avenue'!$A$12:$A$130,"&lt;"&amp;Diagram!$P10),SUMIFS(INDIRECT(ADDRESS(12,3+18*1+(8),,,"J1 D - South Bank Avenue")&amp;":"&amp;ADDRESS(130,3+18*1+(8))),'J1 D - South Bank Avenue'!$A$12:$A$130,"&gt;="&amp;Diagram!$O10,'J1 D - South Bank Avenue'!$A$12:$A$130,"&lt;"&amp;Diagram!$P10)))</f>
        <v>0</v>
      </c>
      <c r="AG10" s="42">
        <f ca="1">IF(OR($I$10="",$O10="",$P10="",$J$35&lt;&gt;"Yes"),0,IF($K$10=0,SUMIFS(INDIRECT(ADDRESS(12,3+18*2+(0),,,"J1 D - South Bank Avenue")&amp;":"&amp;ADDRESS(130,3+18*2+(0))),'J1 D - South Bank Avenue'!$A$12:$A$130,"&gt;="&amp;Diagram!$O10,'J1 D - South Bank Avenue'!$A$12:$A$130,"&lt;"&amp;Diagram!$P10),SUMIFS(INDIRECT(ADDRESS(12,3+18*2+(8),,,"J1 D - South Bank Avenue")&amp;":"&amp;ADDRESS(130,3+18*2+(8))),'J1 D - South Bank Avenue'!$A$12:$A$130,"&gt;="&amp;Diagram!$O10,'J1 D - South Bank Avenue'!$A$12:$A$130,"&lt;"&amp;Diagram!$P10)))</f>
        <v>0</v>
      </c>
      <c r="AH10" s="42">
        <f ca="1">IF(OR($I$10="",$O10="",$P10="",$J$35&lt;&gt;"Yes"),0,IF($K$10=0,SUMIFS(INDIRECT(ADDRESS(12,3+18*3+(0),,,"J1 D - South Bank Avenue")&amp;":"&amp;ADDRESS(130,3+18*3+(0))),'J1 D - South Bank Avenue'!$A$12:$A$130,"&gt;="&amp;Diagram!$O10,'J1 D - South Bank Avenue'!$A$12:$A$130,"&lt;"&amp;Diagram!$P10),SUMIFS(INDIRECT(ADDRESS(12,3+18*3+(8),,,"J1 D - South Bank Avenue")&amp;":"&amp;ADDRESS(130,3+18*3+(8))),'J1 D - South Bank Avenue'!$A$12:$A$130,"&gt;="&amp;Diagram!$O10,'J1 D - South Bank Avenue'!$A$12:$A$130,"&lt;"&amp;Diagram!$P10)))</f>
        <v>0</v>
      </c>
      <c r="AI10" s="42">
        <f t="shared" ca="1" si="2"/>
        <v>0</v>
      </c>
      <c r="AJ10" s="42">
        <f ca="1">IF(OR($I$10="",$O10="",$P10="",$J$36&lt;&gt;"Yes"),0,IF($K$10=0,SUMIFS(INDIRECT(ADDRESS(12,3+18*3+(1),,,"J1 A - (North) Bishopthorpe Roa")&amp;":"&amp;ADDRESS(130,3+18*3+(1))),'J1 A - (North) Bishopthorpe Roa'!$A$12:$A$130,"&gt;="&amp;Diagram!$O10,'J1 A - (North) Bishopthorpe Roa'!$A$12:$A$130,"&lt;"&amp;Diagram!$P10),SUMIFS(INDIRECT(ADDRESS(12,3+18*3+(9),,,"J1 A - (North) Bishopthorpe Roa")&amp;":"&amp;ADDRESS(130,3+18*3+(9))),'J1 A - (North) Bishopthorpe Roa'!$A$12:$A$130,"&gt;="&amp;Diagram!$O10,'J1 A - (North) Bishopthorpe Roa'!$A$12:$A$130,"&lt;"&amp;Diagram!$P10)))</f>
        <v>0</v>
      </c>
      <c r="AK10" s="42">
        <f ca="1">IF(OR($I$10="",$O10="",$P10="",$J$36&lt;&gt;"Yes"),0,IF($K$10=0,SUMIFS(INDIRECT(ADDRESS(12,3+18*0+(1),,,"J1 A - (North) Bishopthorpe Roa")&amp;":"&amp;ADDRESS(130,3+18*0+(1))),'J1 A - (North) Bishopthorpe Roa'!$A$12:$A$130,"&gt;="&amp;Diagram!$O10,'J1 A - (North) Bishopthorpe Roa'!$A$12:$A$130,"&lt;"&amp;Diagram!$P10),SUMIFS(INDIRECT(ADDRESS(12,3+18*0+(9),,,"J1 A - (North) Bishopthorpe Roa")&amp;":"&amp;ADDRESS(130,3+18*0+(9))),'J1 A - (North) Bishopthorpe Roa'!$A$12:$A$130,"&gt;="&amp;Diagram!$O10,'J1 A - (North) Bishopthorpe Roa'!$A$12:$A$130,"&lt;"&amp;Diagram!$P10)))</f>
        <v>0</v>
      </c>
      <c r="AL10" s="42">
        <f ca="1">IF(OR($I$10="",$O10="",$P10="",$J$36&lt;&gt;"Yes"),0,IF($K$10=0,SUMIFS(INDIRECT(ADDRESS(12,3+18*1+(1),,,"J1 A - (North) Bishopthorpe Roa")&amp;":"&amp;ADDRESS(130,3+18*1+(1))),'J1 A - (North) Bishopthorpe Roa'!$A$12:$A$130,"&gt;="&amp;Diagram!$O10,'J1 A - (North) Bishopthorpe Roa'!$A$12:$A$130,"&lt;"&amp;Diagram!$P10),SUMIFS(INDIRECT(ADDRESS(12,3+18*1+(9),,,"J1 A - (North) Bishopthorpe Roa")&amp;":"&amp;ADDRESS(130,3+18*1+(9))),'J1 A - (North) Bishopthorpe Roa'!$A$12:$A$130,"&gt;="&amp;Diagram!$O10,'J1 A - (North) Bishopthorpe Roa'!$A$12:$A$130,"&lt;"&amp;Diagram!$P10)))</f>
        <v>0</v>
      </c>
      <c r="AM10" s="42">
        <f ca="1">IF(OR($I$10="",$O10="",$P10="",$J$36&lt;&gt;"Yes"),0,IF($K$10=0,SUMIFS(INDIRECT(ADDRESS(12,3+18*2+(1),,,"J1 A - (North) Bishopthorpe Roa")&amp;":"&amp;ADDRESS(130,3+18*2+(1))),'J1 A - (North) Bishopthorpe Roa'!$A$12:$A$130,"&gt;="&amp;Diagram!$O10,'J1 A - (North) Bishopthorpe Roa'!$A$12:$A$130,"&lt;"&amp;Diagram!$P10),SUMIFS(INDIRECT(ADDRESS(12,3+18*2+(9),,,"J1 A - (North) Bishopthorpe Roa")&amp;":"&amp;ADDRESS(130,3+18*2+(9))),'J1 A - (North) Bishopthorpe Roa'!$A$12:$A$130,"&gt;="&amp;Diagram!$O10,'J1 A - (North) Bishopthorpe Roa'!$A$12:$A$130,"&lt;"&amp;Diagram!$P10)))</f>
        <v>0</v>
      </c>
      <c r="AN10" s="42">
        <f ca="1">IF(OR($I$10="",$O10="",$P10="",$J$36&lt;&gt;"Yes"),0,IF($K$10=0,SUMIFS(INDIRECT(ADDRESS(12,3+18*2+(1),,,"J1 B - Butcher Terrace")&amp;":"&amp;ADDRESS(130,3+18*2+(1))),'J1 B - Butcher Terrace'!$A$12:$A$130,"&gt;="&amp;Diagram!$O10,'J1 B - Butcher Terrace'!$A$12:$A$130,"&lt;"&amp;Diagram!$P10),SUMIFS(INDIRECT(ADDRESS(12,3+18*2+(9),,,"J1 B - Butcher Terrace")&amp;":"&amp;ADDRESS(130,3+18*2+(9))),'J1 B - Butcher Terrace'!$A$12:$A$130,"&gt;="&amp;Diagram!$O10,'J1 B - Butcher Terrace'!$A$12:$A$130,"&lt;"&amp;Diagram!$P10)))</f>
        <v>0</v>
      </c>
      <c r="AO10" s="42">
        <f ca="1">IF(OR($I$10="",$O10="",$P10="",$J$36&lt;&gt;"Yes"),0,IF($K$10=0,SUMIFS(INDIRECT(ADDRESS(12,3+18*3+(1),,,"J1 B - Butcher Terrace")&amp;":"&amp;ADDRESS(130,3+18*3+(1))),'J1 B - Butcher Terrace'!$A$12:$A$130,"&gt;="&amp;Diagram!$O10,'J1 B - Butcher Terrace'!$A$12:$A$130,"&lt;"&amp;Diagram!$P10),SUMIFS(INDIRECT(ADDRESS(12,3+18*3+(9),,,"J1 B - Butcher Terrace")&amp;":"&amp;ADDRESS(130,3+18*3+(9))),'J1 B - Butcher Terrace'!$A$12:$A$130,"&gt;="&amp;Diagram!$O10,'J1 B - Butcher Terrace'!$A$12:$A$130,"&lt;"&amp;Diagram!$P10)))</f>
        <v>0</v>
      </c>
      <c r="AP10" s="42">
        <f ca="1">IF(OR($I$10="",$O10="",$P10="",$J$36&lt;&gt;"Yes"),0,IF($K$10=0,SUMIFS(INDIRECT(ADDRESS(12,3+18*0+(1),,,"J1 B - Butcher Terrace")&amp;":"&amp;ADDRESS(130,3+18*0+(1))),'J1 B - Butcher Terrace'!$A$12:$A$130,"&gt;="&amp;Diagram!$O10,'J1 B - Butcher Terrace'!$A$12:$A$130,"&lt;"&amp;Diagram!$P10),SUMIFS(INDIRECT(ADDRESS(12,3+18*0+(9),,,"J1 B - Butcher Terrace")&amp;":"&amp;ADDRESS(130,3+18*0+(9))),'J1 B - Butcher Terrace'!$A$12:$A$130,"&gt;="&amp;Diagram!$O10,'J1 B - Butcher Terrace'!$A$12:$A$130,"&lt;"&amp;Diagram!$P10)))</f>
        <v>0</v>
      </c>
      <c r="AQ10" s="42">
        <f ca="1">IF(OR($I$10="",$O10="",$P10="",$J$36&lt;&gt;"Yes"),0,IF($K$10=0,SUMIFS(INDIRECT(ADDRESS(12,3+18*1+(1),,,"J1 B - Butcher Terrace")&amp;":"&amp;ADDRESS(130,3+18*1+(1))),'J1 B - Butcher Terrace'!$A$12:$A$130,"&gt;="&amp;Diagram!$O10,'J1 B - Butcher Terrace'!$A$12:$A$130,"&lt;"&amp;Diagram!$P10),SUMIFS(INDIRECT(ADDRESS(12,3+18*1+(9),,,"J1 B - Butcher Terrace")&amp;":"&amp;ADDRESS(130,3+18*1+(9))),'J1 B - Butcher Terrace'!$A$12:$A$130,"&gt;="&amp;Diagram!$O10,'J1 B - Butcher Terrace'!$A$12:$A$130,"&lt;"&amp;Diagram!$P10)))</f>
        <v>0</v>
      </c>
      <c r="AR10" s="42">
        <f ca="1">IF(OR($I$10="",$O10="",$P10="",$J$36&lt;&gt;"Yes"),0,IF($K$10=0,SUMIFS(INDIRECT(ADDRESS(12,3+18*1+(1),,,"J1 C - (South) Bishopthorpe Roa")&amp;":"&amp;ADDRESS(130,3+18*1+(1))),'J1 C - (South) Bishopthorpe Roa'!$A$12:$A$130,"&gt;="&amp;Diagram!$O10,'J1 C - (South) Bishopthorpe Roa'!$A$12:$A$130,"&lt;"&amp;Diagram!$P10),SUMIFS(INDIRECT(ADDRESS(12,3+18*1+(9),,,"J1 C - (South) Bishopthorpe Roa")&amp;":"&amp;ADDRESS(130,3+18*1+(9))),'J1 C - (South) Bishopthorpe Roa'!$A$12:$A$130,"&gt;="&amp;Diagram!$O10,'J1 C - (South) Bishopthorpe Roa'!$A$12:$A$130,"&lt;"&amp;Diagram!$P10)))</f>
        <v>0</v>
      </c>
      <c r="AS10" s="42">
        <f ca="1">IF(OR($I$10="",$O10="",$P10="",$J$36&lt;&gt;"Yes"),0,IF($K$10=0,SUMIFS(INDIRECT(ADDRESS(12,3+18*2+(1),,,"J1 C - (South) Bishopthorpe Roa")&amp;":"&amp;ADDRESS(130,3+18*2+(1))),'J1 C - (South) Bishopthorpe Roa'!$A$12:$A$130,"&gt;="&amp;Diagram!$O10,'J1 C - (South) Bishopthorpe Roa'!$A$12:$A$130,"&lt;"&amp;Diagram!$P10),SUMIFS(INDIRECT(ADDRESS(12,3+18*2+(9),,,"J1 C - (South) Bishopthorpe Roa")&amp;":"&amp;ADDRESS(130,3+18*2+(9))),'J1 C - (South) Bishopthorpe Roa'!$A$12:$A$130,"&gt;="&amp;Diagram!$O10,'J1 C - (South) Bishopthorpe Roa'!$A$12:$A$130,"&lt;"&amp;Diagram!$P10)))</f>
        <v>0</v>
      </c>
      <c r="AT10" s="42">
        <f ca="1">IF(OR($I$10="",$O10="",$P10="",$J$36&lt;&gt;"Yes"),0,IF($K$10=0,SUMIFS(INDIRECT(ADDRESS(12,3+18*3+(1),,,"J1 C - (South) Bishopthorpe Roa")&amp;":"&amp;ADDRESS(130,3+18*3+(1))),'J1 C - (South) Bishopthorpe Roa'!$A$12:$A$130,"&gt;="&amp;Diagram!$O10,'J1 C - (South) Bishopthorpe Roa'!$A$12:$A$130,"&lt;"&amp;Diagram!$P10),SUMIFS(INDIRECT(ADDRESS(12,3+18*3+(9),,,"J1 C - (South) Bishopthorpe Roa")&amp;":"&amp;ADDRESS(130,3+18*3+(9))),'J1 C - (South) Bishopthorpe Roa'!$A$12:$A$130,"&gt;="&amp;Diagram!$O10,'J1 C - (South) Bishopthorpe Roa'!$A$12:$A$130,"&lt;"&amp;Diagram!$P10)))</f>
        <v>0</v>
      </c>
      <c r="AU10" s="42">
        <f ca="1">IF(OR($I$10="",$O10="",$P10="",$J$36&lt;&gt;"Yes"),0,IF($K$10=0,SUMIFS(INDIRECT(ADDRESS(12,3+18*0+(1),,,"J1 C - (South) Bishopthorpe Roa")&amp;":"&amp;ADDRESS(130,3+18*0+(1))),'J1 C - (South) Bishopthorpe Roa'!$A$12:$A$130,"&gt;="&amp;Diagram!$O10,'J1 C - (South) Bishopthorpe Roa'!$A$12:$A$130,"&lt;"&amp;Diagram!$P10),SUMIFS(INDIRECT(ADDRESS(12,3+18*0+(9),,,"J1 C - (South) Bishopthorpe Roa")&amp;":"&amp;ADDRESS(130,3+18*0+(9))),'J1 C - (South) Bishopthorpe Roa'!$A$12:$A$130,"&gt;="&amp;Diagram!$O10,'J1 C - (South) Bishopthorpe Roa'!$A$12:$A$130,"&lt;"&amp;Diagram!$P10)))</f>
        <v>0</v>
      </c>
      <c r="AV10" s="42">
        <f ca="1">IF(OR($I$10="",$O10="",$P10="",$J$36&lt;&gt;"Yes"),0,IF($K$10=0,SUMIFS(INDIRECT(ADDRESS(12,3+18*0+(1),,,"J1 D - South Bank Avenue")&amp;":"&amp;ADDRESS(130,3+18*0+(1))),'J1 D - South Bank Avenue'!$A$12:$A$130,"&gt;="&amp;Diagram!$O10,'J1 D - South Bank Avenue'!$A$12:$A$130,"&lt;"&amp;Diagram!$P10),SUMIFS(INDIRECT(ADDRESS(12,3+18*0+(9),,,"J1 D - South Bank Avenue")&amp;":"&amp;ADDRESS(130,3+18*0+(9))),'J1 D - South Bank Avenue'!$A$12:$A$130,"&gt;="&amp;Diagram!$O10,'J1 D - South Bank Avenue'!$A$12:$A$130,"&lt;"&amp;Diagram!$P10)))</f>
        <v>0</v>
      </c>
      <c r="AW10" s="42">
        <f ca="1">IF(OR($I$10="",$O10="",$P10="",$J$36&lt;&gt;"Yes"),0,IF($K$10=0,SUMIFS(INDIRECT(ADDRESS(12,3+18*1+(1),,,"J1 D - South Bank Avenue")&amp;":"&amp;ADDRESS(130,3+18*1+(1))),'J1 D - South Bank Avenue'!$A$12:$A$130,"&gt;="&amp;Diagram!$O10,'J1 D - South Bank Avenue'!$A$12:$A$130,"&lt;"&amp;Diagram!$P10),SUMIFS(INDIRECT(ADDRESS(12,3+18*1+(9),,,"J1 D - South Bank Avenue")&amp;":"&amp;ADDRESS(130,3+18*1+(9))),'J1 D - South Bank Avenue'!$A$12:$A$130,"&gt;="&amp;Diagram!$O10,'J1 D - South Bank Avenue'!$A$12:$A$130,"&lt;"&amp;Diagram!$P10)))</f>
        <v>0</v>
      </c>
      <c r="AX10" s="42">
        <f ca="1">IF(OR($I$10="",$O10="",$P10="",$J$36&lt;&gt;"Yes"),0,IF($K$10=0,SUMIFS(INDIRECT(ADDRESS(12,3+18*2+(1),,,"J1 D - South Bank Avenue")&amp;":"&amp;ADDRESS(130,3+18*2+(1))),'J1 D - South Bank Avenue'!$A$12:$A$130,"&gt;="&amp;Diagram!$O10,'J1 D - South Bank Avenue'!$A$12:$A$130,"&lt;"&amp;Diagram!$P10),SUMIFS(INDIRECT(ADDRESS(12,3+18*2+(9),,,"J1 D - South Bank Avenue")&amp;":"&amp;ADDRESS(130,3+18*2+(9))),'J1 D - South Bank Avenue'!$A$12:$A$130,"&gt;="&amp;Diagram!$O10,'J1 D - South Bank Avenue'!$A$12:$A$130,"&lt;"&amp;Diagram!$P10)))</f>
        <v>0</v>
      </c>
      <c r="AY10" s="42">
        <f ca="1">IF(OR($I$10="",$O10="",$P10="",$J$36&lt;&gt;"Yes"),0,IF($K$10=0,SUMIFS(INDIRECT(ADDRESS(12,3+18*3+(1),,,"J1 D - South Bank Avenue")&amp;":"&amp;ADDRESS(130,3+18*3+(1))),'J1 D - South Bank Avenue'!$A$12:$A$130,"&gt;="&amp;Diagram!$O10,'J1 D - South Bank Avenue'!$A$12:$A$130,"&lt;"&amp;Diagram!$P10),SUMIFS(INDIRECT(ADDRESS(12,3+18*3+(9),,,"J1 D - South Bank Avenue")&amp;":"&amp;ADDRESS(130,3+18*3+(9))),'J1 D - South Bank Avenue'!$A$12:$A$130,"&gt;="&amp;Diagram!$O10,'J1 D - South Bank Avenue'!$A$12:$A$130,"&lt;"&amp;Diagram!$P10)))</f>
        <v>0</v>
      </c>
      <c r="AZ10" s="42">
        <f t="shared" ca="1" si="3"/>
        <v>0</v>
      </c>
      <c r="BA10" s="42">
        <f ca="1">IF(OR($I$10="",$O10="",$P10="",$J$37&lt;&gt;"Yes"),0,IF($K$10=0,SUMIFS(INDIRECT(ADDRESS(12,3+18*3+(2),,,"J1 A - (North) Bishopthorpe Roa")&amp;":"&amp;ADDRESS(130,3+18*3+(2))),'J1 A - (North) Bishopthorpe Roa'!$A$12:$A$130,"&gt;="&amp;Diagram!$O10,'J1 A - (North) Bishopthorpe Roa'!$A$12:$A$130,"&lt;"&amp;Diagram!$P10),SUMIFS(INDIRECT(ADDRESS(12,3+18*3+(10),,,"J1 A - (North) Bishopthorpe Roa")&amp;":"&amp;ADDRESS(130,3+18*3+(10))),'J1 A - (North) Bishopthorpe Roa'!$A$12:$A$130,"&gt;="&amp;Diagram!$O10,'J1 A - (North) Bishopthorpe Roa'!$A$12:$A$130,"&lt;"&amp;Diagram!$P10)))</f>
        <v>0</v>
      </c>
      <c r="BB10" s="42">
        <f ca="1">IF(OR($I$10="",$O10="",$P10="",$J$37&lt;&gt;"Yes"),0,IF($K$10=0,SUMIFS(INDIRECT(ADDRESS(12,3+18*0+(2),,,"J1 A - (North) Bishopthorpe Roa")&amp;":"&amp;ADDRESS(130,3+18*0+(2))),'J1 A - (North) Bishopthorpe Roa'!$A$12:$A$130,"&gt;="&amp;Diagram!$O10,'J1 A - (North) Bishopthorpe Roa'!$A$12:$A$130,"&lt;"&amp;Diagram!$P10),SUMIFS(INDIRECT(ADDRESS(12,3+18*0+(10),,,"J1 A - (North) Bishopthorpe Roa")&amp;":"&amp;ADDRESS(130,3+18*0+(10))),'J1 A - (North) Bishopthorpe Roa'!$A$12:$A$130,"&gt;="&amp;Diagram!$O10,'J1 A - (North) Bishopthorpe Roa'!$A$12:$A$130,"&lt;"&amp;Diagram!$P10)))</f>
        <v>0</v>
      </c>
      <c r="BC10" s="42">
        <f ca="1">IF(OR($I$10="",$O10="",$P10="",$J$37&lt;&gt;"Yes"),0,IF($K$10=0,SUMIFS(INDIRECT(ADDRESS(12,3+18*1+(2),,,"J1 A - (North) Bishopthorpe Roa")&amp;":"&amp;ADDRESS(130,3+18*1+(2))),'J1 A - (North) Bishopthorpe Roa'!$A$12:$A$130,"&gt;="&amp;Diagram!$O10,'J1 A - (North) Bishopthorpe Roa'!$A$12:$A$130,"&lt;"&amp;Diagram!$P10),SUMIFS(INDIRECT(ADDRESS(12,3+18*1+(10),,,"J1 A - (North) Bishopthorpe Roa")&amp;":"&amp;ADDRESS(130,3+18*1+(10))),'J1 A - (North) Bishopthorpe Roa'!$A$12:$A$130,"&gt;="&amp;Diagram!$O10,'J1 A - (North) Bishopthorpe Roa'!$A$12:$A$130,"&lt;"&amp;Diagram!$P10)))</f>
        <v>0</v>
      </c>
      <c r="BD10" s="42">
        <f ca="1">IF(OR($I$10="",$O10="",$P10="",$J$37&lt;&gt;"Yes"),0,IF($K$10=0,SUMIFS(INDIRECT(ADDRESS(12,3+18*2+(2),,,"J1 A - (North) Bishopthorpe Roa")&amp;":"&amp;ADDRESS(130,3+18*2+(2))),'J1 A - (North) Bishopthorpe Roa'!$A$12:$A$130,"&gt;="&amp;Diagram!$O10,'J1 A - (North) Bishopthorpe Roa'!$A$12:$A$130,"&lt;"&amp;Diagram!$P10),SUMIFS(INDIRECT(ADDRESS(12,3+18*2+(10),,,"J1 A - (North) Bishopthorpe Roa")&amp;":"&amp;ADDRESS(130,3+18*2+(10))),'J1 A - (North) Bishopthorpe Roa'!$A$12:$A$130,"&gt;="&amp;Diagram!$O10,'J1 A - (North) Bishopthorpe Roa'!$A$12:$A$130,"&lt;"&amp;Diagram!$P10)))</f>
        <v>0</v>
      </c>
      <c r="BE10" s="42">
        <f ca="1">IF(OR($I$10="",$O10="",$P10="",$J$37&lt;&gt;"Yes"),0,IF($K$10=0,SUMIFS(INDIRECT(ADDRESS(12,3+18*2+(2),,,"J1 B - Butcher Terrace")&amp;":"&amp;ADDRESS(130,3+18*2+(2))),'J1 B - Butcher Terrace'!$A$12:$A$130,"&gt;="&amp;Diagram!$O10,'J1 B - Butcher Terrace'!$A$12:$A$130,"&lt;"&amp;Diagram!$P10),SUMIFS(INDIRECT(ADDRESS(12,3+18*2+(10),,,"J1 B - Butcher Terrace")&amp;":"&amp;ADDRESS(130,3+18*2+(10))),'J1 B - Butcher Terrace'!$A$12:$A$130,"&gt;="&amp;Diagram!$O10,'J1 B - Butcher Terrace'!$A$12:$A$130,"&lt;"&amp;Diagram!$P10)))</f>
        <v>0</v>
      </c>
      <c r="BF10" s="42">
        <f ca="1">IF(OR($I$10="",$O10="",$P10="",$J$37&lt;&gt;"Yes"),0,IF($K$10=0,SUMIFS(INDIRECT(ADDRESS(12,3+18*3+(2),,,"J1 B - Butcher Terrace")&amp;":"&amp;ADDRESS(130,3+18*3+(2))),'J1 B - Butcher Terrace'!$A$12:$A$130,"&gt;="&amp;Diagram!$O10,'J1 B - Butcher Terrace'!$A$12:$A$130,"&lt;"&amp;Diagram!$P10),SUMIFS(INDIRECT(ADDRESS(12,3+18*3+(10),,,"J1 B - Butcher Terrace")&amp;":"&amp;ADDRESS(130,3+18*3+(10))),'J1 B - Butcher Terrace'!$A$12:$A$130,"&gt;="&amp;Diagram!$O10,'J1 B - Butcher Terrace'!$A$12:$A$130,"&lt;"&amp;Diagram!$P10)))</f>
        <v>0</v>
      </c>
      <c r="BG10" s="42">
        <f ca="1">IF(OR($I$10="",$O10="",$P10="",$J$37&lt;&gt;"Yes"),0,IF($K$10=0,SUMIFS(INDIRECT(ADDRESS(12,3+18*0+(2),,,"J1 B - Butcher Terrace")&amp;":"&amp;ADDRESS(130,3+18*0+(2))),'J1 B - Butcher Terrace'!$A$12:$A$130,"&gt;="&amp;Diagram!$O10,'J1 B - Butcher Terrace'!$A$12:$A$130,"&lt;"&amp;Diagram!$P10),SUMIFS(INDIRECT(ADDRESS(12,3+18*0+(10),,,"J1 B - Butcher Terrace")&amp;":"&amp;ADDRESS(130,3+18*0+(10))),'J1 B - Butcher Terrace'!$A$12:$A$130,"&gt;="&amp;Diagram!$O10,'J1 B - Butcher Terrace'!$A$12:$A$130,"&lt;"&amp;Diagram!$P10)))</f>
        <v>0</v>
      </c>
      <c r="BH10" s="42">
        <f ca="1">IF(OR($I$10="",$O10="",$P10="",$J$37&lt;&gt;"Yes"),0,IF($K$10=0,SUMIFS(INDIRECT(ADDRESS(12,3+18*1+(2),,,"J1 B - Butcher Terrace")&amp;":"&amp;ADDRESS(130,3+18*1+(2))),'J1 B - Butcher Terrace'!$A$12:$A$130,"&gt;="&amp;Diagram!$O10,'J1 B - Butcher Terrace'!$A$12:$A$130,"&lt;"&amp;Diagram!$P10),SUMIFS(INDIRECT(ADDRESS(12,3+18*1+(10),,,"J1 B - Butcher Terrace")&amp;":"&amp;ADDRESS(130,3+18*1+(10))),'J1 B - Butcher Terrace'!$A$12:$A$130,"&gt;="&amp;Diagram!$O10,'J1 B - Butcher Terrace'!$A$12:$A$130,"&lt;"&amp;Diagram!$P10)))</f>
        <v>0</v>
      </c>
      <c r="BI10" s="42">
        <f ca="1">IF(OR($I$10="",$O10="",$P10="",$J$37&lt;&gt;"Yes"),0,IF($K$10=0,SUMIFS(INDIRECT(ADDRESS(12,3+18*1+(2),,,"J1 C - (South) Bishopthorpe Roa")&amp;":"&amp;ADDRESS(130,3+18*1+(2))),'J1 C - (South) Bishopthorpe Roa'!$A$12:$A$130,"&gt;="&amp;Diagram!$O10,'J1 C - (South) Bishopthorpe Roa'!$A$12:$A$130,"&lt;"&amp;Diagram!$P10),SUMIFS(INDIRECT(ADDRESS(12,3+18*1+(10),,,"J1 C - (South) Bishopthorpe Roa")&amp;":"&amp;ADDRESS(130,3+18*1+(10))),'J1 C - (South) Bishopthorpe Roa'!$A$12:$A$130,"&gt;="&amp;Diagram!$O10,'J1 C - (South) Bishopthorpe Roa'!$A$12:$A$130,"&lt;"&amp;Diagram!$P10)))</f>
        <v>0</v>
      </c>
      <c r="BJ10" s="42">
        <f ca="1">IF(OR($I$10="",$O10="",$P10="",$J$37&lt;&gt;"Yes"),0,IF($K$10=0,SUMIFS(INDIRECT(ADDRESS(12,3+18*2+(2),,,"J1 C - (South) Bishopthorpe Roa")&amp;":"&amp;ADDRESS(130,3+18*2+(2))),'J1 C - (South) Bishopthorpe Roa'!$A$12:$A$130,"&gt;="&amp;Diagram!$O10,'J1 C - (South) Bishopthorpe Roa'!$A$12:$A$130,"&lt;"&amp;Diagram!$P10),SUMIFS(INDIRECT(ADDRESS(12,3+18*2+(10),,,"J1 C - (South) Bishopthorpe Roa")&amp;":"&amp;ADDRESS(130,3+18*2+(10))),'J1 C - (South) Bishopthorpe Roa'!$A$12:$A$130,"&gt;="&amp;Diagram!$O10,'J1 C - (South) Bishopthorpe Roa'!$A$12:$A$130,"&lt;"&amp;Diagram!$P10)))</f>
        <v>0</v>
      </c>
      <c r="BK10" s="42">
        <f ca="1">IF(OR($I$10="",$O10="",$P10="",$J$37&lt;&gt;"Yes"),0,IF($K$10=0,SUMIFS(INDIRECT(ADDRESS(12,3+18*3+(2),,,"J1 C - (South) Bishopthorpe Roa")&amp;":"&amp;ADDRESS(130,3+18*3+(2))),'J1 C - (South) Bishopthorpe Roa'!$A$12:$A$130,"&gt;="&amp;Diagram!$O10,'J1 C - (South) Bishopthorpe Roa'!$A$12:$A$130,"&lt;"&amp;Diagram!$P10),SUMIFS(INDIRECT(ADDRESS(12,3+18*3+(10),,,"J1 C - (South) Bishopthorpe Roa")&amp;":"&amp;ADDRESS(130,3+18*3+(10))),'J1 C - (South) Bishopthorpe Roa'!$A$12:$A$130,"&gt;="&amp;Diagram!$O10,'J1 C - (South) Bishopthorpe Roa'!$A$12:$A$130,"&lt;"&amp;Diagram!$P10)))</f>
        <v>0</v>
      </c>
      <c r="BL10" s="42">
        <f ca="1">IF(OR($I$10="",$O10="",$P10="",$J$37&lt;&gt;"Yes"),0,IF($K$10=0,SUMIFS(INDIRECT(ADDRESS(12,3+18*0+(2),,,"J1 C - (South) Bishopthorpe Roa")&amp;":"&amp;ADDRESS(130,3+18*0+(2))),'J1 C - (South) Bishopthorpe Roa'!$A$12:$A$130,"&gt;="&amp;Diagram!$O10,'J1 C - (South) Bishopthorpe Roa'!$A$12:$A$130,"&lt;"&amp;Diagram!$P10),SUMIFS(INDIRECT(ADDRESS(12,3+18*0+(10),,,"J1 C - (South) Bishopthorpe Roa")&amp;":"&amp;ADDRESS(130,3+18*0+(10))),'J1 C - (South) Bishopthorpe Roa'!$A$12:$A$130,"&gt;="&amp;Diagram!$O10,'J1 C - (South) Bishopthorpe Roa'!$A$12:$A$130,"&lt;"&amp;Diagram!$P10)))</f>
        <v>0</v>
      </c>
      <c r="BM10" s="42">
        <f ca="1">IF(OR($I$10="",$O10="",$P10="",$J$37&lt;&gt;"Yes"),0,IF($K$10=0,SUMIFS(INDIRECT(ADDRESS(12,3+18*0+(2),,,"J1 D - South Bank Avenue")&amp;":"&amp;ADDRESS(130,3+18*0+(2))),'J1 D - South Bank Avenue'!$A$12:$A$130,"&gt;="&amp;Diagram!$O10,'J1 D - South Bank Avenue'!$A$12:$A$130,"&lt;"&amp;Diagram!$P10),SUMIFS(INDIRECT(ADDRESS(12,3+18*0+(10),,,"J1 D - South Bank Avenue")&amp;":"&amp;ADDRESS(130,3+18*0+(10))),'J1 D - South Bank Avenue'!$A$12:$A$130,"&gt;="&amp;Diagram!$O10,'J1 D - South Bank Avenue'!$A$12:$A$130,"&lt;"&amp;Diagram!$P10)))</f>
        <v>0</v>
      </c>
      <c r="BN10" s="42">
        <f ca="1">IF(OR($I$10="",$O10="",$P10="",$J$37&lt;&gt;"Yes"),0,IF($K$10=0,SUMIFS(INDIRECT(ADDRESS(12,3+18*1+(2),,,"J1 D - South Bank Avenue")&amp;":"&amp;ADDRESS(130,3+18*1+(2))),'J1 D - South Bank Avenue'!$A$12:$A$130,"&gt;="&amp;Diagram!$O10,'J1 D - South Bank Avenue'!$A$12:$A$130,"&lt;"&amp;Diagram!$P10),SUMIFS(INDIRECT(ADDRESS(12,3+18*1+(10),,,"J1 D - South Bank Avenue")&amp;":"&amp;ADDRESS(130,3+18*1+(10))),'J1 D - South Bank Avenue'!$A$12:$A$130,"&gt;="&amp;Diagram!$O10,'J1 D - South Bank Avenue'!$A$12:$A$130,"&lt;"&amp;Diagram!$P10)))</f>
        <v>0</v>
      </c>
      <c r="BO10" s="42">
        <f ca="1">IF(OR($I$10="",$O10="",$P10="",$J$37&lt;&gt;"Yes"),0,IF($K$10=0,SUMIFS(INDIRECT(ADDRESS(12,3+18*2+(2),,,"J1 D - South Bank Avenue")&amp;":"&amp;ADDRESS(130,3+18*2+(2))),'J1 D - South Bank Avenue'!$A$12:$A$130,"&gt;="&amp;Diagram!$O10,'J1 D - South Bank Avenue'!$A$12:$A$130,"&lt;"&amp;Diagram!$P10),SUMIFS(INDIRECT(ADDRESS(12,3+18*2+(10),,,"J1 D - South Bank Avenue")&amp;":"&amp;ADDRESS(130,3+18*2+(10))),'J1 D - South Bank Avenue'!$A$12:$A$130,"&gt;="&amp;Diagram!$O10,'J1 D - South Bank Avenue'!$A$12:$A$130,"&lt;"&amp;Diagram!$P10)))</f>
        <v>0</v>
      </c>
      <c r="BP10" s="42">
        <f ca="1">IF(OR($I$10="",$O10="",$P10="",$J$37&lt;&gt;"Yes"),0,IF($K$10=0,SUMIFS(INDIRECT(ADDRESS(12,3+18*3+(2),,,"J1 D - South Bank Avenue")&amp;":"&amp;ADDRESS(130,3+18*3+(2))),'J1 D - South Bank Avenue'!$A$12:$A$130,"&gt;="&amp;Diagram!$O10,'J1 D - South Bank Avenue'!$A$12:$A$130,"&lt;"&amp;Diagram!$P10),SUMIFS(INDIRECT(ADDRESS(12,3+18*3+(10),,,"J1 D - South Bank Avenue")&amp;":"&amp;ADDRESS(130,3+18*3+(10))),'J1 D - South Bank Avenue'!$A$12:$A$130,"&gt;="&amp;Diagram!$O10,'J1 D - South Bank Avenue'!$A$12:$A$130,"&lt;"&amp;Diagram!$P10)))</f>
        <v>0</v>
      </c>
      <c r="BQ10" s="42">
        <f t="shared" ca="1" si="4"/>
        <v>0</v>
      </c>
      <c r="BR10" s="42">
        <f ca="1">IF(OR($I$10="",$O10="",$P10="",$J$38&lt;&gt;"Yes"),0,IF($K$10=0,SUMIFS(INDIRECT(ADDRESS(12,3+18*3+(3),,,"J1 A - (North) Bishopthorpe Roa")&amp;":"&amp;ADDRESS(130,3+18*3+(3))),'J1 A - (North) Bishopthorpe Roa'!$A$12:$A$130,"&gt;="&amp;Diagram!$O10,'J1 A - (North) Bishopthorpe Roa'!$A$12:$A$130,"&lt;"&amp;Diagram!$P10),SUMIFS(INDIRECT(ADDRESS(12,3+18*3+(11),,,"J1 A - (North) Bishopthorpe Roa")&amp;":"&amp;ADDRESS(130,3+18*3+(11))),'J1 A - (North) Bishopthorpe Roa'!$A$12:$A$130,"&gt;="&amp;Diagram!$O10,'J1 A - (North) Bishopthorpe Roa'!$A$12:$A$130,"&lt;"&amp;Diagram!$P10)))</f>
        <v>0</v>
      </c>
      <c r="BS10" s="42">
        <f ca="1">IF(OR($I$10="",$O10="",$P10="",$J$38&lt;&gt;"Yes"),0,IF($K$10=0,SUMIFS(INDIRECT(ADDRESS(12,3+18*0+(3),,,"J1 A - (North) Bishopthorpe Roa")&amp;":"&amp;ADDRESS(130,3+18*0+(3))),'J1 A - (North) Bishopthorpe Roa'!$A$12:$A$130,"&gt;="&amp;Diagram!$O10,'J1 A - (North) Bishopthorpe Roa'!$A$12:$A$130,"&lt;"&amp;Diagram!$P10),SUMIFS(INDIRECT(ADDRESS(12,3+18*0+(11),,,"J1 A - (North) Bishopthorpe Roa")&amp;":"&amp;ADDRESS(130,3+18*0+(11))),'J1 A - (North) Bishopthorpe Roa'!$A$12:$A$130,"&gt;="&amp;Diagram!$O10,'J1 A - (North) Bishopthorpe Roa'!$A$12:$A$130,"&lt;"&amp;Diagram!$P10)))</f>
        <v>0</v>
      </c>
      <c r="BT10" s="42">
        <f ca="1">IF(OR($I$10="",$O10="",$P10="",$J$38&lt;&gt;"Yes"),0,IF($K$10=0,SUMIFS(INDIRECT(ADDRESS(12,3+18*1+(3),,,"J1 A - (North) Bishopthorpe Roa")&amp;":"&amp;ADDRESS(130,3+18*1+(3))),'J1 A - (North) Bishopthorpe Roa'!$A$12:$A$130,"&gt;="&amp;Diagram!$O10,'J1 A - (North) Bishopthorpe Roa'!$A$12:$A$130,"&lt;"&amp;Diagram!$P10),SUMIFS(INDIRECT(ADDRESS(12,3+18*1+(11),,,"J1 A - (North) Bishopthorpe Roa")&amp;":"&amp;ADDRESS(130,3+18*1+(11))),'J1 A - (North) Bishopthorpe Roa'!$A$12:$A$130,"&gt;="&amp;Diagram!$O10,'J1 A - (North) Bishopthorpe Roa'!$A$12:$A$130,"&lt;"&amp;Diagram!$P10)))</f>
        <v>0</v>
      </c>
      <c r="BU10" s="42">
        <f ca="1">IF(OR($I$10="",$O10="",$P10="",$J$38&lt;&gt;"Yes"),0,IF($K$10=0,SUMIFS(INDIRECT(ADDRESS(12,3+18*2+(3),,,"J1 A - (North) Bishopthorpe Roa")&amp;":"&amp;ADDRESS(130,3+18*2+(3))),'J1 A - (North) Bishopthorpe Roa'!$A$12:$A$130,"&gt;="&amp;Diagram!$O10,'J1 A - (North) Bishopthorpe Roa'!$A$12:$A$130,"&lt;"&amp;Diagram!$P10),SUMIFS(INDIRECT(ADDRESS(12,3+18*2+(11),,,"J1 A - (North) Bishopthorpe Roa")&amp;":"&amp;ADDRESS(130,3+18*2+(11))),'J1 A - (North) Bishopthorpe Roa'!$A$12:$A$130,"&gt;="&amp;Diagram!$O10,'J1 A - (North) Bishopthorpe Roa'!$A$12:$A$130,"&lt;"&amp;Diagram!$P10)))</f>
        <v>0</v>
      </c>
      <c r="BV10" s="42">
        <f ca="1">IF(OR($I$10="",$O10="",$P10="",$J$38&lt;&gt;"Yes"),0,IF($K$10=0,SUMIFS(INDIRECT(ADDRESS(12,3+18*2+(3),,,"J1 B - Butcher Terrace")&amp;":"&amp;ADDRESS(130,3+18*2+(3))),'J1 B - Butcher Terrace'!$A$12:$A$130,"&gt;="&amp;Diagram!$O10,'J1 B - Butcher Terrace'!$A$12:$A$130,"&lt;"&amp;Diagram!$P10),SUMIFS(INDIRECT(ADDRESS(12,3+18*2+(11),,,"J1 B - Butcher Terrace")&amp;":"&amp;ADDRESS(130,3+18*2+(11))),'J1 B - Butcher Terrace'!$A$12:$A$130,"&gt;="&amp;Diagram!$O10,'J1 B - Butcher Terrace'!$A$12:$A$130,"&lt;"&amp;Diagram!$P10)))</f>
        <v>0</v>
      </c>
      <c r="BW10" s="42">
        <f ca="1">IF(OR($I$10="",$O10="",$P10="",$J$38&lt;&gt;"Yes"),0,IF($K$10=0,SUMIFS(INDIRECT(ADDRESS(12,3+18*3+(3),,,"J1 B - Butcher Terrace")&amp;":"&amp;ADDRESS(130,3+18*3+(3))),'J1 B - Butcher Terrace'!$A$12:$A$130,"&gt;="&amp;Diagram!$O10,'J1 B - Butcher Terrace'!$A$12:$A$130,"&lt;"&amp;Diagram!$P10),SUMIFS(INDIRECT(ADDRESS(12,3+18*3+(11),,,"J1 B - Butcher Terrace")&amp;":"&amp;ADDRESS(130,3+18*3+(11))),'J1 B - Butcher Terrace'!$A$12:$A$130,"&gt;="&amp;Diagram!$O10,'J1 B - Butcher Terrace'!$A$12:$A$130,"&lt;"&amp;Diagram!$P10)))</f>
        <v>0</v>
      </c>
      <c r="BX10" s="42">
        <f ca="1">IF(OR($I$10="",$O10="",$P10="",$J$38&lt;&gt;"Yes"),0,IF($K$10=0,SUMIFS(INDIRECT(ADDRESS(12,3+18*0+(3),,,"J1 B - Butcher Terrace")&amp;":"&amp;ADDRESS(130,3+18*0+(3))),'J1 B - Butcher Terrace'!$A$12:$A$130,"&gt;="&amp;Diagram!$O10,'J1 B - Butcher Terrace'!$A$12:$A$130,"&lt;"&amp;Diagram!$P10),SUMIFS(INDIRECT(ADDRESS(12,3+18*0+(11),,,"J1 B - Butcher Terrace")&amp;":"&amp;ADDRESS(130,3+18*0+(11))),'J1 B - Butcher Terrace'!$A$12:$A$130,"&gt;="&amp;Diagram!$O10,'J1 B - Butcher Terrace'!$A$12:$A$130,"&lt;"&amp;Diagram!$P10)))</f>
        <v>0</v>
      </c>
      <c r="BY10" s="42">
        <f ca="1">IF(OR($I$10="",$O10="",$P10="",$J$38&lt;&gt;"Yes"),0,IF($K$10=0,SUMIFS(INDIRECT(ADDRESS(12,3+18*1+(3),,,"J1 B - Butcher Terrace")&amp;":"&amp;ADDRESS(130,3+18*1+(3))),'J1 B - Butcher Terrace'!$A$12:$A$130,"&gt;="&amp;Diagram!$O10,'J1 B - Butcher Terrace'!$A$12:$A$130,"&lt;"&amp;Diagram!$P10),SUMIFS(INDIRECT(ADDRESS(12,3+18*1+(11),,,"J1 B - Butcher Terrace")&amp;":"&amp;ADDRESS(130,3+18*1+(11))),'J1 B - Butcher Terrace'!$A$12:$A$130,"&gt;="&amp;Diagram!$O10,'J1 B - Butcher Terrace'!$A$12:$A$130,"&lt;"&amp;Diagram!$P10)))</f>
        <v>0</v>
      </c>
      <c r="BZ10" s="42">
        <f ca="1">IF(OR($I$10="",$O10="",$P10="",$J$38&lt;&gt;"Yes"),0,IF($K$10=0,SUMIFS(INDIRECT(ADDRESS(12,3+18*1+(3),,,"J1 C - (South) Bishopthorpe Roa")&amp;":"&amp;ADDRESS(130,3+18*1+(3))),'J1 C - (South) Bishopthorpe Roa'!$A$12:$A$130,"&gt;="&amp;Diagram!$O10,'J1 C - (South) Bishopthorpe Roa'!$A$12:$A$130,"&lt;"&amp;Diagram!$P10),SUMIFS(INDIRECT(ADDRESS(12,3+18*1+(11),,,"J1 C - (South) Bishopthorpe Roa")&amp;":"&amp;ADDRESS(130,3+18*1+(11))),'J1 C - (South) Bishopthorpe Roa'!$A$12:$A$130,"&gt;="&amp;Diagram!$O10,'J1 C - (South) Bishopthorpe Roa'!$A$12:$A$130,"&lt;"&amp;Diagram!$P10)))</f>
        <v>0</v>
      </c>
      <c r="CA10" s="42">
        <f ca="1">IF(OR($I$10="",$O10="",$P10="",$J$38&lt;&gt;"Yes"),0,IF($K$10=0,SUMIFS(INDIRECT(ADDRESS(12,3+18*2+(3),,,"J1 C - (South) Bishopthorpe Roa")&amp;":"&amp;ADDRESS(130,3+18*2+(3))),'J1 C - (South) Bishopthorpe Roa'!$A$12:$A$130,"&gt;="&amp;Diagram!$O10,'J1 C - (South) Bishopthorpe Roa'!$A$12:$A$130,"&lt;"&amp;Diagram!$P10),SUMIFS(INDIRECT(ADDRESS(12,3+18*2+(11),,,"J1 C - (South) Bishopthorpe Roa")&amp;":"&amp;ADDRESS(130,3+18*2+(11))),'J1 C - (South) Bishopthorpe Roa'!$A$12:$A$130,"&gt;="&amp;Diagram!$O10,'J1 C - (South) Bishopthorpe Roa'!$A$12:$A$130,"&lt;"&amp;Diagram!$P10)))</f>
        <v>0</v>
      </c>
      <c r="CB10" s="42">
        <f ca="1">IF(OR($I$10="",$O10="",$P10="",$J$38&lt;&gt;"Yes"),0,IF($K$10=0,SUMIFS(INDIRECT(ADDRESS(12,3+18*3+(3),,,"J1 C - (South) Bishopthorpe Roa")&amp;":"&amp;ADDRESS(130,3+18*3+(3))),'J1 C - (South) Bishopthorpe Roa'!$A$12:$A$130,"&gt;="&amp;Diagram!$O10,'J1 C - (South) Bishopthorpe Roa'!$A$12:$A$130,"&lt;"&amp;Diagram!$P10),SUMIFS(INDIRECT(ADDRESS(12,3+18*3+(11),,,"J1 C - (South) Bishopthorpe Roa")&amp;":"&amp;ADDRESS(130,3+18*3+(11))),'J1 C - (South) Bishopthorpe Roa'!$A$12:$A$130,"&gt;="&amp;Diagram!$O10,'J1 C - (South) Bishopthorpe Roa'!$A$12:$A$130,"&lt;"&amp;Diagram!$P10)))</f>
        <v>0</v>
      </c>
      <c r="CC10" s="42">
        <f ca="1">IF(OR($I$10="",$O10="",$P10="",$J$38&lt;&gt;"Yes"),0,IF($K$10=0,SUMIFS(INDIRECT(ADDRESS(12,3+18*0+(3),,,"J1 C - (South) Bishopthorpe Roa")&amp;":"&amp;ADDRESS(130,3+18*0+(3))),'J1 C - (South) Bishopthorpe Roa'!$A$12:$A$130,"&gt;="&amp;Diagram!$O10,'J1 C - (South) Bishopthorpe Roa'!$A$12:$A$130,"&lt;"&amp;Diagram!$P10),SUMIFS(INDIRECT(ADDRESS(12,3+18*0+(11),,,"J1 C - (South) Bishopthorpe Roa")&amp;":"&amp;ADDRESS(130,3+18*0+(11))),'J1 C - (South) Bishopthorpe Roa'!$A$12:$A$130,"&gt;="&amp;Diagram!$O10,'J1 C - (South) Bishopthorpe Roa'!$A$12:$A$130,"&lt;"&amp;Diagram!$P10)))</f>
        <v>0</v>
      </c>
      <c r="CD10" s="42">
        <f ca="1">IF(OR($I$10="",$O10="",$P10="",$J$38&lt;&gt;"Yes"),0,IF($K$10=0,SUMIFS(INDIRECT(ADDRESS(12,3+18*0+(3),,,"J1 D - South Bank Avenue")&amp;":"&amp;ADDRESS(130,3+18*0+(3))),'J1 D - South Bank Avenue'!$A$12:$A$130,"&gt;="&amp;Diagram!$O10,'J1 D - South Bank Avenue'!$A$12:$A$130,"&lt;"&amp;Diagram!$P10),SUMIFS(INDIRECT(ADDRESS(12,3+18*0+(11),,,"J1 D - South Bank Avenue")&amp;":"&amp;ADDRESS(130,3+18*0+(11))),'J1 D - South Bank Avenue'!$A$12:$A$130,"&gt;="&amp;Diagram!$O10,'J1 D - South Bank Avenue'!$A$12:$A$130,"&lt;"&amp;Diagram!$P10)))</f>
        <v>0</v>
      </c>
      <c r="CE10" s="42">
        <f ca="1">IF(OR($I$10="",$O10="",$P10="",$J$38&lt;&gt;"Yes"),0,IF($K$10=0,SUMIFS(INDIRECT(ADDRESS(12,3+18*1+(3),,,"J1 D - South Bank Avenue")&amp;":"&amp;ADDRESS(130,3+18*1+(3))),'J1 D - South Bank Avenue'!$A$12:$A$130,"&gt;="&amp;Diagram!$O10,'J1 D - South Bank Avenue'!$A$12:$A$130,"&lt;"&amp;Diagram!$P10),SUMIFS(INDIRECT(ADDRESS(12,3+18*1+(11),,,"J1 D - South Bank Avenue")&amp;":"&amp;ADDRESS(130,3+18*1+(11))),'J1 D - South Bank Avenue'!$A$12:$A$130,"&gt;="&amp;Diagram!$O10,'J1 D - South Bank Avenue'!$A$12:$A$130,"&lt;"&amp;Diagram!$P10)))</f>
        <v>0</v>
      </c>
      <c r="CF10" s="42">
        <f ca="1">IF(OR($I$10="",$O10="",$P10="",$J$38&lt;&gt;"Yes"),0,IF($K$10=0,SUMIFS(INDIRECT(ADDRESS(12,3+18*2+(3),,,"J1 D - South Bank Avenue")&amp;":"&amp;ADDRESS(130,3+18*2+(3))),'J1 D - South Bank Avenue'!$A$12:$A$130,"&gt;="&amp;Diagram!$O10,'J1 D - South Bank Avenue'!$A$12:$A$130,"&lt;"&amp;Diagram!$P10),SUMIFS(INDIRECT(ADDRESS(12,3+18*2+(11),,,"J1 D - South Bank Avenue")&amp;":"&amp;ADDRESS(130,3+18*2+(11))),'J1 D - South Bank Avenue'!$A$12:$A$130,"&gt;="&amp;Diagram!$O10,'J1 D - South Bank Avenue'!$A$12:$A$130,"&lt;"&amp;Diagram!$P10)))</f>
        <v>0</v>
      </c>
      <c r="CG10" s="42">
        <f ca="1">IF(OR($I$10="",$O10="",$P10="",$J$38&lt;&gt;"Yes"),0,IF($K$10=0,SUMIFS(INDIRECT(ADDRESS(12,3+18*3+(3),,,"J1 D - South Bank Avenue")&amp;":"&amp;ADDRESS(130,3+18*3+(3))),'J1 D - South Bank Avenue'!$A$12:$A$130,"&gt;="&amp;Diagram!$O10,'J1 D - South Bank Avenue'!$A$12:$A$130,"&lt;"&amp;Diagram!$P10),SUMIFS(INDIRECT(ADDRESS(12,3+18*3+(11),,,"J1 D - South Bank Avenue")&amp;":"&amp;ADDRESS(130,3+18*3+(11))),'J1 D - South Bank Avenue'!$A$12:$A$130,"&gt;="&amp;Diagram!$O10,'J1 D - South Bank Avenue'!$A$12:$A$130,"&lt;"&amp;Diagram!$P10)))</f>
        <v>0</v>
      </c>
      <c r="CH10" s="42">
        <f t="shared" ca="1" si="5"/>
        <v>0</v>
      </c>
      <c r="CI10" s="42">
        <f ca="1">IF(OR($I$10="",$O10="",$P10="",$J$39&lt;&gt;"Yes"),0,IF($K$10=0,SUMIFS(INDIRECT(ADDRESS(12,3+18*3+(4),,,"J1 A - (North) Bishopthorpe Roa")&amp;":"&amp;ADDRESS(130,3+18*3+(4))),'J1 A - (North) Bishopthorpe Roa'!$A$12:$A$130,"&gt;="&amp;Diagram!$O10,'J1 A - (North) Bishopthorpe Roa'!$A$12:$A$130,"&lt;"&amp;Diagram!$P10),SUMIFS(INDIRECT(ADDRESS(12,3+18*3+(12),,,"J1 A - (North) Bishopthorpe Roa")&amp;":"&amp;ADDRESS(130,3+18*3+(12))),'J1 A - (North) Bishopthorpe Roa'!$A$12:$A$130,"&gt;="&amp;Diagram!$O10,'J1 A - (North) Bishopthorpe Roa'!$A$12:$A$130,"&lt;"&amp;Diagram!$P10)))</f>
        <v>0</v>
      </c>
      <c r="CJ10" s="42">
        <f ca="1">IF(OR($I$10="",$O10="",$P10="",$J$39&lt;&gt;"Yes"),0,IF($K$10=0,SUMIFS(INDIRECT(ADDRESS(12,3+18*0+(4),,,"J1 A - (North) Bishopthorpe Roa")&amp;":"&amp;ADDRESS(130,3+18*0+(4))),'J1 A - (North) Bishopthorpe Roa'!$A$12:$A$130,"&gt;="&amp;Diagram!$O10,'J1 A - (North) Bishopthorpe Roa'!$A$12:$A$130,"&lt;"&amp;Diagram!$P10),SUMIFS(INDIRECT(ADDRESS(12,3+18*0+(12),,,"J1 A - (North) Bishopthorpe Roa")&amp;":"&amp;ADDRESS(130,3+18*0+(12))),'J1 A - (North) Bishopthorpe Roa'!$A$12:$A$130,"&gt;="&amp;Diagram!$O10,'J1 A - (North) Bishopthorpe Roa'!$A$12:$A$130,"&lt;"&amp;Diagram!$P10)))</f>
        <v>0</v>
      </c>
      <c r="CK10" s="42">
        <f ca="1">IF(OR($I$10="",$O10="",$P10="",$J$39&lt;&gt;"Yes"),0,IF($K$10=0,SUMIFS(INDIRECT(ADDRESS(12,3+18*1+(4),,,"J1 A - (North) Bishopthorpe Roa")&amp;":"&amp;ADDRESS(130,3+18*1+(4))),'J1 A - (North) Bishopthorpe Roa'!$A$12:$A$130,"&gt;="&amp;Diagram!$O10,'J1 A - (North) Bishopthorpe Roa'!$A$12:$A$130,"&lt;"&amp;Diagram!$P10),SUMIFS(INDIRECT(ADDRESS(12,3+18*1+(12),,,"J1 A - (North) Bishopthorpe Roa")&amp;":"&amp;ADDRESS(130,3+18*1+(12))),'J1 A - (North) Bishopthorpe Roa'!$A$12:$A$130,"&gt;="&amp;Diagram!$O10,'J1 A - (North) Bishopthorpe Roa'!$A$12:$A$130,"&lt;"&amp;Diagram!$P10)))</f>
        <v>0</v>
      </c>
      <c r="CL10" s="42">
        <f ca="1">IF(OR($I$10="",$O10="",$P10="",$J$39&lt;&gt;"Yes"),0,IF($K$10=0,SUMIFS(INDIRECT(ADDRESS(12,3+18*2+(4),,,"J1 A - (North) Bishopthorpe Roa")&amp;":"&amp;ADDRESS(130,3+18*2+(4))),'J1 A - (North) Bishopthorpe Roa'!$A$12:$A$130,"&gt;="&amp;Diagram!$O10,'J1 A - (North) Bishopthorpe Roa'!$A$12:$A$130,"&lt;"&amp;Diagram!$P10),SUMIFS(INDIRECT(ADDRESS(12,3+18*2+(12),,,"J1 A - (North) Bishopthorpe Roa")&amp;":"&amp;ADDRESS(130,3+18*2+(12))),'J1 A - (North) Bishopthorpe Roa'!$A$12:$A$130,"&gt;="&amp;Diagram!$O10,'J1 A - (North) Bishopthorpe Roa'!$A$12:$A$130,"&lt;"&amp;Diagram!$P10)))</f>
        <v>0</v>
      </c>
      <c r="CM10" s="42">
        <f ca="1">IF(OR($I$10="",$O10="",$P10="",$J$39&lt;&gt;"Yes"),0,IF($K$10=0,SUMIFS(INDIRECT(ADDRESS(12,3+18*2+(4),,,"J1 B - Butcher Terrace")&amp;":"&amp;ADDRESS(130,3+18*2+(4))),'J1 B - Butcher Terrace'!$A$12:$A$130,"&gt;="&amp;Diagram!$O10,'J1 B - Butcher Terrace'!$A$12:$A$130,"&lt;"&amp;Diagram!$P10),SUMIFS(INDIRECT(ADDRESS(12,3+18*2+(12),,,"J1 B - Butcher Terrace")&amp;":"&amp;ADDRESS(130,3+18*2+(12))),'J1 B - Butcher Terrace'!$A$12:$A$130,"&gt;="&amp;Diagram!$O10,'J1 B - Butcher Terrace'!$A$12:$A$130,"&lt;"&amp;Diagram!$P10)))</f>
        <v>0</v>
      </c>
      <c r="CN10" s="42">
        <f ca="1">IF(OR($I$10="",$O10="",$P10="",$J$39&lt;&gt;"Yes"),0,IF($K$10=0,SUMIFS(INDIRECT(ADDRESS(12,3+18*3+(4),,,"J1 B - Butcher Terrace")&amp;":"&amp;ADDRESS(130,3+18*3+(4))),'J1 B - Butcher Terrace'!$A$12:$A$130,"&gt;="&amp;Diagram!$O10,'J1 B - Butcher Terrace'!$A$12:$A$130,"&lt;"&amp;Diagram!$P10),SUMIFS(INDIRECT(ADDRESS(12,3+18*3+(12),,,"J1 B - Butcher Terrace")&amp;":"&amp;ADDRESS(130,3+18*3+(12))),'J1 B - Butcher Terrace'!$A$12:$A$130,"&gt;="&amp;Diagram!$O10,'J1 B - Butcher Terrace'!$A$12:$A$130,"&lt;"&amp;Diagram!$P10)))</f>
        <v>0</v>
      </c>
      <c r="CO10" s="42">
        <f ca="1">IF(OR($I$10="",$O10="",$P10="",$J$39&lt;&gt;"Yes"),0,IF($K$10=0,SUMIFS(INDIRECT(ADDRESS(12,3+18*0+(4),,,"J1 B - Butcher Terrace")&amp;":"&amp;ADDRESS(130,3+18*0+(4))),'J1 B - Butcher Terrace'!$A$12:$A$130,"&gt;="&amp;Diagram!$O10,'J1 B - Butcher Terrace'!$A$12:$A$130,"&lt;"&amp;Diagram!$P10),SUMIFS(INDIRECT(ADDRESS(12,3+18*0+(12),,,"J1 B - Butcher Terrace")&amp;":"&amp;ADDRESS(130,3+18*0+(12))),'J1 B - Butcher Terrace'!$A$12:$A$130,"&gt;="&amp;Diagram!$O10,'J1 B - Butcher Terrace'!$A$12:$A$130,"&lt;"&amp;Diagram!$P10)))</f>
        <v>0</v>
      </c>
      <c r="CP10" s="42">
        <f ca="1">IF(OR($I$10="",$O10="",$P10="",$J$39&lt;&gt;"Yes"),0,IF($K$10=0,SUMIFS(INDIRECT(ADDRESS(12,3+18*1+(4),,,"J1 B - Butcher Terrace")&amp;":"&amp;ADDRESS(130,3+18*1+(4))),'J1 B - Butcher Terrace'!$A$12:$A$130,"&gt;="&amp;Diagram!$O10,'J1 B - Butcher Terrace'!$A$12:$A$130,"&lt;"&amp;Diagram!$P10),SUMIFS(INDIRECT(ADDRESS(12,3+18*1+(12),,,"J1 B - Butcher Terrace")&amp;":"&amp;ADDRESS(130,3+18*1+(12))),'J1 B - Butcher Terrace'!$A$12:$A$130,"&gt;="&amp;Diagram!$O10,'J1 B - Butcher Terrace'!$A$12:$A$130,"&lt;"&amp;Diagram!$P10)))</f>
        <v>0</v>
      </c>
      <c r="CQ10" s="42">
        <f ca="1">IF(OR($I$10="",$O10="",$P10="",$J$39&lt;&gt;"Yes"),0,IF($K$10=0,SUMIFS(INDIRECT(ADDRESS(12,3+18*1+(4),,,"J1 C - (South) Bishopthorpe Roa")&amp;":"&amp;ADDRESS(130,3+18*1+(4))),'J1 C - (South) Bishopthorpe Roa'!$A$12:$A$130,"&gt;="&amp;Diagram!$O10,'J1 C - (South) Bishopthorpe Roa'!$A$12:$A$130,"&lt;"&amp;Diagram!$P10),SUMIFS(INDIRECT(ADDRESS(12,3+18*1+(12),,,"J1 C - (South) Bishopthorpe Roa")&amp;":"&amp;ADDRESS(130,3+18*1+(12))),'J1 C - (South) Bishopthorpe Roa'!$A$12:$A$130,"&gt;="&amp;Diagram!$O10,'J1 C - (South) Bishopthorpe Roa'!$A$12:$A$130,"&lt;"&amp;Diagram!$P10)))</f>
        <v>0</v>
      </c>
      <c r="CR10" s="42">
        <f ca="1">IF(OR($I$10="",$O10="",$P10="",$J$39&lt;&gt;"Yes"),0,IF($K$10=0,SUMIFS(INDIRECT(ADDRESS(12,3+18*2+(4),,,"J1 C - (South) Bishopthorpe Roa")&amp;":"&amp;ADDRESS(130,3+18*2+(4))),'J1 C - (South) Bishopthorpe Roa'!$A$12:$A$130,"&gt;="&amp;Diagram!$O10,'J1 C - (South) Bishopthorpe Roa'!$A$12:$A$130,"&lt;"&amp;Diagram!$P10),SUMIFS(INDIRECT(ADDRESS(12,3+18*2+(12),,,"J1 C - (South) Bishopthorpe Roa")&amp;":"&amp;ADDRESS(130,3+18*2+(12))),'J1 C - (South) Bishopthorpe Roa'!$A$12:$A$130,"&gt;="&amp;Diagram!$O10,'J1 C - (South) Bishopthorpe Roa'!$A$12:$A$130,"&lt;"&amp;Diagram!$P10)))</f>
        <v>0</v>
      </c>
      <c r="CS10" s="42">
        <f ca="1">IF(OR($I$10="",$O10="",$P10="",$J$39&lt;&gt;"Yes"),0,IF($K$10=0,SUMIFS(INDIRECT(ADDRESS(12,3+18*3+(4),,,"J1 C - (South) Bishopthorpe Roa")&amp;":"&amp;ADDRESS(130,3+18*3+(4))),'J1 C - (South) Bishopthorpe Roa'!$A$12:$A$130,"&gt;="&amp;Diagram!$O10,'J1 C - (South) Bishopthorpe Roa'!$A$12:$A$130,"&lt;"&amp;Diagram!$P10),SUMIFS(INDIRECT(ADDRESS(12,3+18*3+(12),,,"J1 C - (South) Bishopthorpe Roa")&amp;":"&amp;ADDRESS(130,3+18*3+(12))),'J1 C - (South) Bishopthorpe Roa'!$A$12:$A$130,"&gt;="&amp;Diagram!$O10,'J1 C - (South) Bishopthorpe Roa'!$A$12:$A$130,"&lt;"&amp;Diagram!$P10)))</f>
        <v>0</v>
      </c>
      <c r="CT10" s="42">
        <f ca="1">IF(OR($I$10="",$O10="",$P10="",$J$39&lt;&gt;"Yes"),0,IF($K$10=0,SUMIFS(INDIRECT(ADDRESS(12,3+18*0+(4),,,"J1 C - (South) Bishopthorpe Roa")&amp;":"&amp;ADDRESS(130,3+18*0+(4))),'J1 C - (South) Bishopthorpe Roa'!$A$12:$A$130,"&gt;="&amp;Diagram!$O10,'J1 C - (South) Bishopthorpe Roa'!$A$12:$A$130,"&lt;"&amp;Diagram!$P10),SUMIFS(INDIRECT(ADDRESS(12,3+18*0+(12),,,"J1 C - (South) Bishopthorpe Roa")&amp;":"&amp;ADDRESS(130,3+18*0+(12))),'J1 C - (South) Bishopthorpe Roa'!$A$12:$A$130,"&gt;="&amp;Diagram!$O10,'J1 C - (South) Bishopthorpe Roa'!$A$12:$A$130,"&lt;"&amp;Diagram!$P10)))</f>
        <v>0</v>
      </c>
      <c r="CU10" s="42">
        <f ca="1">IF(OR($I$10="",$O10="",$P10="",$J$39&lt;&gt;"Yes"),0,IF($K$10=0,SUMIFS(INDIRECT(ADDRESS(12,3+18*0+(4),,,"J1 D - South Bank Avenue")&amp;":"&amp;ADDRESS(130,3+18*0+(4))),'J1 D - South Bank Avenue'!$A$12:$A$130,"&gt;="&amp;Diagram!$O10,'J1 D - South Bank Avenue'!$A$12:$A$130,"&lt;"&amp;Diagram!$P10),SUMIFS(INDIRECT(ADDRESS(12,3+18*0+(12),,,"J1 D - South Bank Avenue")&amp;":"&amp;ADDRESS(130,3+18*0+(12))),'J1 D - South Bank Avenue'!$A$12:$A$130,"&gt;="&amp;Diagram!$O10,'J1 D - South Bank Avenue'!$A$12:$A$130,"&lt;"&amp;Diagram!$P10)))</f>
        <v>0</v>
      </c>
      <c r="CV10" s="42">
        <f ca="1">IF(OR($I$10="",$O10="",$P10="",$J$39&lt;&gt;"Yes"),0,IF($K$10=0,SUMIFS(INDIRECT(ADDRESS(12,3+18*1+(4),,,"J1 D - South Bank Avenue")&amp;":"&amp;ADDRESS(130,3+18*1+(4))),'J1 D - South Bank Avenue'!$A$12:$A$130,"&gt;="&amp;Diagram!$O10,'J1 D - South Bank Avenue'!$A$12:$A$130,"&lt;"&amp;Diagram!$P10),SUMIFS(INDIRECT(ADDRESS(12,3+18*1+(12),,,"J1 D - South Bank Avenue")&amp;":"&amp;ADDRESS(130,3+18*1+(12))),'J1 D - South Bank Avenue'!$A$12:$A$130,"&gt;="&amp;Diagram!$O10,'J1 D - South Bank Avenue'!$A$12:$A$130,"&lt;"&amp;Diagram!$P10)))</f>
        <v>0</v>
      </c>
      <c r="CW10" s="42">
        <f ca="1">IF(OR($I$10="",$O10="",$P10="",$J$39&lt;&gt;"Yes"),0,IF($K$10=0,SUMIFS(INDIRECT(ADDRESS(12,3+18*2+(4),,,"J1 D - South Bank Avenue")&amp;":"&amp;ADDRESS(130,3+18*2+(4))),'J1 D - South Bank Avenue'!$A$12:$A$130,"&gt;="&amp;Diagram!$O10,'J1 D - South Bank Avenue'!$A$12:$A$130,"&lt;"&amp;Diagram!$P10),SUMIFS(INDIRECT(ADDRESS(12,3+18*2+(12),,,"J1 D - South Bank Avenue")&amp;":"&amp;ADDRESS(130,3+18*2+(12))),'J1 D - South Bank Avenue'!$A$12:$A$130,"&gt;="&amp;Diagram!$O10,'J1 D - South Bank Avenue'!$A$12:$A$130,"&lt;"&amp;Diagram!$P10)))</f>
        <v>0</v>
      </c>
      <c r="CX10" s="42">
        <f ca="1">IF(OR($I$10="",$O10="",$P10="",$J$39&lt;&gt;"Yes"),0,IF($K$10=0,SUMIFS(INDIRECT(ADDRESS(12,3+18*3+(4),,,"J1 D - South Bank Avenue")&amp;":"&amp;ADDRESS(130,3+18*3+(4))),'J1 D - South Bank Avenue'!$A$12:$A$130,"&gt;="&amp;Diagram!$O10,'J1 D - South Bank Avenue'!$A$12:$A$130,"&lt;"&amp;Diagram!$P10),SUMIFS(INDIRECT(ADDRESS(12,3+18*3+(12),,,"J1 D - South Bank Avenue")&amp;":"&amp;ADDRESS(130,3+18*3+(12))),'J1 D - South Bank Avenue'!$A$12:$A$130,"&gt;="&amp;Diagram!$O10,'J1 D - South Bank Avenue'!$A$12:$A$130,"&lt;"&amp;Diagram!$P10)))</f>
        <v>0</v>
      </c>
      <c r="CY10" s="42">
        <f t="shared" ca="1" si="6"/>
        <v>0</v>
      </c>
      <c r="CZ10" s="42">
        <f ca="1">IF(OR($I$10="",$O10="",$P10="",$J$40&lt;&gt;"Yes"),0,IF($K$10=0,SUMIFS(INDIRECT(ADDRESS(12,3+18*3+(5),,,"J1 A - (North) Bishopthorpe Roa")&amp;":"&amp;ADDRESS(130,3+18*3+(5))),'J1 A - (North) Bishopthorpe Roa'!$A$12:$A$130,"&gt;="&amp;Diagram!$O10,'J1 A - (North) Bishopthorpe Roa'!$A$12:$A$130,"&lt;"&amp;Diagram!$P10),SUMIFS(INDIRECT(ADDRESS(12,3+18*3+(13),,,"J1 A - (North) Bishopthorpe Roa")&amp;":"&amp;ADDRESS(130,3+18*3+(13))),'J1 A - (North) Bishopthorpe Roa'!$A$12:$A$130,"&gt;="&amp;Diagram!$O10,'J1 A - (North) Bishopthorpe Roa'!$A$12:$A$130,"&lt;"&amp;Diagram!$P10)))</f>
        <v>0</v>
      </c>
      <c r="DA10" s="42">
        <f ca="1">IF(OR($I$10="",$O10="",$P10="",$J$40&lt;&gt;"Yes"),0,IF($K$10=0,SUMIFS(INDIRECT(ADDRESS(12,3+18*0+(5),,,"J1 A - (North) Bishopthorpe Roa")&amp;":"&amp;ADDRESS(130,3+18*0+(5))),'J1 A - (North) Bishopthorpe Roa'!$A$12:$A$130,"&gt;="&amp;Diagram!$O10,'J1 A - (North) Bishopthorpe Roa'!$A$12:$A$130,"&lt;"&amp;Diagram!$P10),SUMIFS(INDIRECT(ADDRESS(12,3+18*0+(13),,,"J1 A - (North) Bishopthorpe Roa")&amp;":"&amp;ADDRESS(130,3+18*0+(13))),'J1 A - (North) Bishopthorpe Roa'!$A$12:$A$130,"&gt;="&amp;Diagram!$O10,'J1 A - (North) Bishopthorpe Roa'!$A$12:$A$130,"&lt;"&amp;Diagram!$P10)))</f>
        <v>0</v>
      </c>
      <c r="DB10" s="42">
        <f ca="1">IF(OR($I$10="",$O10="",$P10="",$J$40&lt;&gt;"Yes"),0,IF($K$10=0,SUMIFS(INDIRECT(ADDRESS(12,3+18*1+(5),,,"J1 A - (North) Bishopthorpe Roa")&amp;":"&amp;ADDRESS(130,3+18*1+(5))),'J1 A - (North) Bishopthorpe Roa'!$A$12:$A$130,"&gt;="&amp;Diagram!$O10,'J1 A - (North) Bishopthorpe Roa'!$A$12:$A$130,"&lt;"&amp;Diagram!$P10),SUMIFS(INDIRECT(ADDRESS(12,3+18*1+(13),,,"J1 A - (North) Bishopthorpe Roa")&amp;":"&amp;ADDRESS(130,3+18*1+(13))),'J1 A - (North) Bishopthorpe Roa'!$A$12:$A$130,"&gt;="&amp;Diagram!$O10,'J1 A - (North) Bishopthorpe Roa'!$A$12:$A$130,"&lt;"&amp;Diagram!$P10)))</f>
        <v>0</v>
      </c>
      <c r="DC10" s="42">
        <f ca="1">IF(OR($I$10="",$O10="",$P10="",$J$40&lt;&gt;"Yes"),0,IF($K$10=0,SUMIFS(INDIRECT(ADDRESS(12,3+18*2+(5),,,"J1 A - (North) Bishopthorpe Roa")&amp;":"&amp;ADDRESS(130,3+18*2+(5))),'J1 A - (North) Bishopthorpe Roa'!$A$12:$A$130,"&gt;="&amp;Diagram!$O10,'J1 A - (North) Bishopthorpe Roa'!$A$12:$A$130,"&lt;"&amp;Diagram!$P10),SUMIFS(INDIRECT(ADDRESS(12,3+18*2+(13),,,"J1 A - (North) Bishopthorpe Roa")&amp;":"&amp;ADDRESS(130,3+18*2+(13))),'J1 A - (North) Bishopthorpe Roa'!$A$12:$A$130,"&gt;="&amp;Diagram!$O10,'J1 A - (North) Bishopthorpe Roa'!$A$12:$A$130,"&lt;"&amp;Diagram!$P10)))</f>
        <v>0</v>
      </c>
      <c r="DD10" s="42">
        <f ca="1">IF(OR($I$10="",$O10="",$P10="",$J$40&lt;&gt;"Yes"),0,IF($K$10=0,SUMIFS(INDIRECT(ADDRESS(12,3+18*2+(5),,,"J1 B - Butcher Terrace")&amp;":"&amp;ADDRESS(130,3+18*2+(5))),'J1 B - Butcher Terrace'!$A$12:$A$130,"&gt;="&amp;Diagram!$O10,'J1 B - Butcher Terrace'!$A$12:$A$130,"&lt;"&amp;Diagram!$P10),SUMIFS(INDIRECT(ADDRESS(12,3+18*2+(13),,,"J1 B - Butcher Terrace")&amp;":"&amp;ADDRESS(130,3+18*2+(13))),'J1 B - Butcher Terrace'!$A$12:$A$130,"&gt;="&amp;Diagram!$O10,'J1 B - Butcher Terrace'!$A$12:$A$130,"&lt;"&amp;Diagram!$P10)))</f>
        <v>0</v>
      </c>
      <c r="DE10" s="42">
        <f ca="1">IF(OR($I$10="",$O10="",$P10="",$J$40&lt;&gt;"Yes"),0,IF($K$10=0,SUMIFS(INDIRECT(ADDRESS(12,3+18*3+(5),,,"J1 B - Butcher Terrace")&amp;":"&amp;ADDRESS(130,3+18*3+(5))),'J1 B - Butcher Terrace'!$A$12:$A$130,"&gt;="&amp;Diagram!$O10,'J1 B - Butcher Terrace'!$A$12:$A$130,"&lt;"&amp;Diagram!$P10),SUMIFS(INDIRECT(ADDRESS(12,3+18*3+(13),,,"J1 B - Butcher Terrace")&amp;":"&amp;ADDRESS(130,3+18*3+(13))),'J1 B - Butcher Terrace'!$A$12:$A$130,"&gt;="&amp;Diagram!$O10,'J1 B - Butcher Terrace'!$A$12:$A$130,"&lt;"&amp;Diagram!$P10)))</f>
        <v>0</v>
      </c>
      <c r="DF10" s="42">
        <f ca="1">IF(OR($I$10="",$O10="",$P10="",$J$40&lt;&gt;"Yes"),0,IF($K$10=0,SUMIFS(INDIRECT(ADDRESS(12,3+18*0+(5),,,"J1 B - Butcher Terrace")&amp;":"&amp;ADDRESS(130,3+18*0+(5))),'J1 B - Butcher Terrace'!$A$12:$A$130,"&gt;="&amp;Diagram!$O10,'J1 B - Butcher Terrace'!$A$12:$A$130,"&lt;"&amp;Diagram!$P10),SUMIFS(INDIRECT(ADDRESS(12,3+18*0+(13),,,"J1 B - Butcher Terrace")&amp;":"&amp;ADDRESS(130,3+18*0+(13))),'J1 B - Butcher Terrace'!$A$12:$A$130,"&gt;="&amp;Diagram!$O10,'J1 B - Butcher Terrace'!$A$12:$A$130,"&lt;"&amp;Diagram!$P10)))</f>
        <v>0</v>
      </c>
      <c r="DG10" s="42">
        <f ca="1">IF(OR($I$10="",$O10="",$P10="",$J$40&lt;&gt;"Yes"),0,IF($K$10=0,SUMIFS(INDIRECT(ADDRESS(12,3+18*1+(5),,,"J1 B - Butcher Terrace")&amp;":"&amp;ADDRESS(130,3+18*1+(5))),'J1 B - Butcher Terrace'!$A$12:$A$130,"&gt;="&amp;Diagram!$O10,'J1 B - Butcher Terrace'!$A$12:$A$130,"&lt;"&amp;Diagram!$P10),SUMIFS(INDIRECT(ADDRESS(12,3+18*1+(13),,,"J1 B - Butcher Terrace")&amp;":"&amp;ADDRESS(130,3+18*1+(13))),'J1 B - Butcher Terrace'!$A$12:$A$130,"&gt;="&amp;Diagram!$O10,'J1 B - Butcher Terrace'!$A$12:$A$130,"&lt;"&amp;Diagram!$P10)))</f>
        <v>0</v>
      </c>
      <c r="DH10" s="42">
        <f ca="1">IF(OR($I$10="",$O10="",$P10="",$J$40&lt;&gt;"Yes"),0,IF($K$10=0,SUMIFS(INDIRECT(ADDRESS(12,3+18*1+(5),,,"J1 C - (South) Bishopthorpe Roa")&amp;":"&amp;ADDRESS(130,3+18*1+(5))),'J1 C - (South) Bishopthorpe Roa'!$A$12:$A$130,"&gt;="&amp;Diagram!$O10,'J1 C - (South) Bishopthorpe Roa'!$A$12:$A$130,"&lt;"&amp;Diagram!$P10),SUMIFS(INDIRECT(ADDRESS(12,3+18*1+(13),,,"J1 C - (South) Bishopthorpe Roa")&amp;":"&amp;ADDRESS(130,3+18*1+(13))),'J1 C - (South) Bishopthorpe Roa'!$A$12:$A$130,"&gt;="&amp;Diagram!$O10,'J1 C - (South) Bishopthorpe Roa'!$A$12:$A$130,"&lt;"&amp;Diagram!$P10)))</f>
        <v>0</v>
      </c>
      <c r="DI10" s="42">
        <f ca="1">IF(OR($I$10="",$O10="",$P10="",$J$40&lt;&gt;"Yes"),0,IF($K$10=0,SUMIFS(INDIRECT(ADDRESS(12,3+18*2+(5),,,"J1 C - (South) Bishopthorpe Roa")&amp;":"&amp;ADDRESS(130,3+18*2+(5))),'J1 C - (South) Bishopthorpe Roa'!$A$12:$A$130,"&gt;="&amp;Diagram!$O10,'J1 C - (South) Bishopthorpe Roa'!$A$12:$A$130,"&lt;"&amp;Diagram!$P10),SUMIFS(INDIRECT(ADDRESS(12,3+18*2+(13),,,"J1 C - (South) Bishopthorpe Roa")&amp;":"&amp;ADDRESS(130,3+18*2+(13))),'J1 C - (South) Bishopthorpe Roa'!$A$12:$A$130,"&gt;="&amp;Diagram!$O10,'J1 C - (South) Bishopthorpe Roa'!$A$12:$A$130,"&lt;"&amp;Diagram!$P10)))</f>
        <v>0</v>
      </c>
      <c r="DJ10" s="42">
        <f ca="1">IF(OR($I$10="",$O10="",$P10="",$J$40&lt;&gt;"Yes"),0,IF($K$10=0,SUMIFS(INDIRECT(ADDRESS(12,3+18*3+(5),,,"J1 C - (South) Bishopthorpe Roa")&amp;":"&amp;ADDRESS(130,3+18*3+(5))),'J1 C - (South) Bishopthorpe Roa'!$A$12:$A$130,"&gt;="&amp;Diagram!$O10,'J1 C - (South) Bishopthorpe Roa'!$A$12:$A$130,"&lt;"&amp;Diagram!$P10),SUMIFS(INDIRECT(ADDRESS(12,3+18*3+(13),,,"J1 C - (South) Bishopthorpe Roa")&amp;":"&amp;ADDRESS(130,3+18*3+(13))),'J1 C - (South) Bishopthorpe Roa'!$A$12:$A$130,"&gt;="&amp;Diagram!$O10,'J1 C - (South) Bishopthorpe Roa'!$A$12:$A$130,"&lt;"&amp;Diagram!$P10)))</f>
        <v>0</v>
      </c>
      <c r="DK10" s="42">
        <f ca="1">IF(OR($I$10="",$O10="",$P10="",$J$40&lt;&gt;"Yes"),0,IF($K$10=0,SUMIFS(INDIRECT(ADDRESS(12,3+18*0+(5),,,"J1 C - (South) Bishopthorpe Roa")&amp;":"&amp;ADDRESS(130,3+18*0+(5))),'J1 C - (South) Bishopthorpe Roa'!$A$12:$A$130,"&gt;="&amp;Diagram!$O10,'J1 C - (South) Bishopthorpe Roa'!$A$12:$A$130,"&lt;"&amp;Diagram!$P10),SUMIFS(INDIRECT(ADDRESS(12,3+18*0+(13),,,"J1 C - (South) Bishopthorpe Roa")&amp;":"&amp;ADDRESS(130,3+18*0+(13))),'J1 C - (South) Bishopthorpe Roa'!$A$12:$A$130,"&gt;="&amp;Diagram!$O10,'J1 C - (South) Bishopthorpe Roa'!$A$12:$A$130,"&lt;"&amp;Diagram!$P10)))</f>
        <v>0</v>
      </c>
      <c r="DL10" s="42">
        <f ca="1">IF(OR($I$10="",$O10="",$P10="",$J$40&lt;&gt;"Yes"),0,IF($K$10=0,SUMIFS(INDIRECT(ADDRESS(12,3+18*0+(5),,,"J1 D - South Bank Avenue")&amp;":"&amp;ADDRESS(130,3+18*0+(5))),'J1 D - South Bank Avenue'!$A$12:$A$130,"&gt;="&amp;Diagram!$O10,'J1 D - South Bank Avenue'!$A$12:$A$130,"&lt;"&amp;Diagram!$P10),SUMIFS(INDIRECT(ADDRESS(12,3+18*0+(13),,,"J1 D - South Bank Avenue")&amp;":"&amp;ADDRESS(130,3+18*0+(13))),'J1 D - South Bank Avenue'!$A$12:$A$130,"&gt;="&amp;Diagram!$O10,'J1 D - South Bank Avenue'!$A$12:$A$130,"&lt;"&amp;Diagram!$P10)))</f>
        <v>0</v>
      </c>
      <c r="DM10" s="42">
        <f ca="1">IF(OR($I$10="",$O10="",$P10="",$J$40&lt;&gt;"Yes"),0,IF($K$10=0,SUMIFS(INDIRECT(ADDRESS(12,3+18*1+(5),,,"J1 D - South Bank Avenue")&amp;":"&amp;ADDRESS(130,3+18*1+(5))),'J1 D - South Bank Avenue'!$A$12:$A$130,"&gt;="&amp;Diagram!$O10,'J1 D - South Bank Avenue'!$A$12:$A$130,"&lt;"&amp;Diagram!$P10),SUMIFS(INDIRECT(ADDRESS(12,3+18*1+(13),,,"J1 D - South Bank Avenue")&amp;":"&amp;ADDRESS(130,3+18*1+(13))),'J1 D - South Bank Avenue'!$A$12:$A$130,"&gt;="&amp;Diagram!$O10,'J1 D - South Bank Avenue'!$A$12:$A$130,"&lt;"&amp;Diagram!$P10)))</f>
        <v>0</v>
      </c>
      <c r="DN10" s="42">
        <f ca="1">IF(OR($I$10="",$O10="",$P10="",$J$40&lt;&gt;"Yes"),0,IF($K$10=0,SUMIFS(INDIRECT(ADDRESS(12,3+18*2+(5),,,"J1 D - South Bank Avenue")&amp;":"&amp;ADDRESS(130,3+18*2+(5))),'J1 D - South Bank Avenue'!$A$12:$A$130,"&gt;="&amp;Diagram!$O10,'J1 D - South Bank Avenue'!$A$12:$A$130,"&lt;"&amp;Diagram!$P10),SUMIFS(INDIRECT(ADDRESS(12,3+18*2+(13),,,"J1 D - South Bank Avenue")&amp;":"&amp;ADDRESS(130,3+18*2+(13))),'J1 D - South Bank Avenue'!$A$12:$A$130,"&gt;="&amp;Diagram!$O10,'J1 D - South Bank Avenue'!$A$12:$A$130,"&lt;"&amp;Diagram!$P10)))</f>
        <v>0</v>
      </c>
      <c r="DO10" s="42">
        <f ca="1">IF(OR($I$10="",$O10="",$P10="",$J$40&lt;&gt;"Yes"),0,IF($K$10=0,SUMIFS(INDIRECT(ADDRESS(12,3+18*3+(5),,,"J1 D - South Bank Avenue")&amp;":"&amp;ADDRESS(130,3+18*3+(5))),'J1 D - South Bank Avenue'!$A$12:$A$130,"&gt;="&amp;Diagram!$O10,'J1 D - South Bank Avenue'!$A$12:$A$130,"&lt;"&amp;Diagram!$P10),SUMIFS(INDIRECT(ADDRESS(12,3+18*3+(13),,,"J1 D - South Bank Avenue")&amp;":"&amp;ADDRESS(130,3+18*3+(13))),'J1 D - South Bank Avenue'!$A$12:$A$130,"&gt;="&amp;Diagram!$O10,'J1 D - South Bank Avenue'!$A$12:$A$130,"&lt;"&amp;Diagram!$P10)))</f>
        <v>0</v>
      </c>
      <c r="DP10" s="42">
        <f t="shared" ca="1" si="7"/>
        <v>0</v>
      </c>
      <c r="DQ10" s="42">
        <f ca="1">IF(OR($I$10="",$O10="",$P10="",$J$41&lt;&gt;"Yes"),0,IF($K$10=0,SUMIFS(INDIRECT(ADDRESS(12,3+18*3+(6),,,"J1 A - (North) Bishopthorpe Roa")&amp;":"&amp;ADDRESS(130,3+18*3+(6))),'J1 A - (North) Bishopthorpe Roa'!$A$12:$A$130,"&gt;="&amp;Diagram!$O10,'J1 A - (North) Bishopthorpe Roa'!$A$12:$A$130,"&lt;"&amp;Diagram!$P10),SUMIFS(INDIRECT(ADDRESS(12,3+18*3+(14),,,"J1 A - (North) Bishopthorpe Roa")&amp;":"&amp;ADDRESS(130,3+18*3+(14))),'J1 A - (North) Bishopthorpe Roa'!$A$12:$A$130,"&gt;="&amp;Diagram!$O10,'J1 A - (North) Bishopthorpe Roa'!$A$12:$A$130,"&lt;"&amp;Diagram!$P10)))</f>
        <v>0</v>
      </c>
      <c r="DR10" s="42">
        <f ca="1">IF(OR($I$10="",$O10="",$P10="",$J$41&lt;&gt;"Yes"),0,IF($K$10=0,SUMIFS(INDIRECT(ADDRESS(12,3+18*0+(6),,,"J1 A - (North) Bishopthorpe Roa")&amp;":"&amp;ADDRESS(130,3+18*0+(6))),'J1 A - (North) Bishopthorpe Roa'!$A$12:$A$130,"&gt;="&amp;Diagram!$O10,'J1 A - (North) Bishopthorpe Roa'!$A$12:$A$130,"&lt;"&amp;Diagram!$P10),SUMIFS(INDIRECT(ADDRESS(12,3+18*0+(14),,,"J1 A - (North) Bishopthorpe Roa")&amp;":"&amp;ADDRESS(130,3+18*0+(14))),'J1 A - (North) Bishopthorpe Roa'!$A$12:$A$130,"&gt;="&amp;Diagram!$O10,'J1 A - (North) Bishopthorpe Roa'!$A$12:$A$130,"&lt;"&amp;Diagram!$P10)))</f>
        <v>0</v>
      </c>
      <c r="DS10" s="42">
        <f ca="1">IF(OR($I$10="",$O10="",$P10="",$J$41&lt;&gt;"Yes"),0,IF($K$10=0,SUMIFS(INDIRECT(ADDRESS(12,3+18*1+(6),,,"J1 A - (North) Bishopthorpe Roa")&amp;":"&amp;ADDRESS(130,3+18*1+(6))),'J1 A - (North) Bishopthorpe Roa'!$A$12:$A$130,"&gt;="&amp;Diagram!$O10,'J1 A - (North) Bishopthorpe Roa'!$A$12:$A$130,"&lt;"&amp;Diagram!$P10),SUMIFS(INDIRECT(ADDRESS(12,3+18*1+(14),,,"J1 A - (North) Bishopthorpe Roa")&amp;":"&amp;ADDRESS(130,3+18*1+(14))),'J1 A - (North) Bishopthorpe Roa'!$A$12:$A$130,"&gt;="&amp;Diagram!$O10,'J1 A - (North) Bishopthorpe Roa'!$A$12:$A$130,"&lt;"&amp;Diagram!$P10)))</f>
        <v>0</v>
      </c>
      <c r="DT10" s="42">
        <f ca="1">IF(OR($I$10="",$O10="",$P10="",$J$41&lt;&gt;"Yes"),0,IF($K$10=0,SUMIFS(INDIRECT(ADDRESS(12,3+18*2+(6),,,"J1 A - (North) Bishopthorpe Roa")&amp;":"&amp;ADDRESS(130,3+18*2+(6))),'J1 A - (North) Bishopthorpe Roa'!$A$12:$A$130,"&gt;="&amp;Diagram!$O10,'J1 A - (North) Bishopthorpe Roa'!$A$12:$A$130,"&lt;"&amp;Diagram!$P10),SUMIFS(INDIRECT(ADDRESS(12,3+18*2+(14),,,"J1 A - (North) Bishopthorpe Roa")&amp;":"&amp;ADDRESS(130,3+18*2+(14))),'J1 A - (North) Bishopthorpe Roa'!$A$12:$A$130,"&gt;="&amp;Diagram!$O10,'J1 A - (North) Bishopthorpe Roa'!$A$12:$A$130,"&lt;"&amp;Diagram!$P10)))</f>
        <v>0</v>
      </c>
      <c r="DU10" s="42">
        <f ca="1">IF(OR($I$10="",$O10="",$P10="",$J$41&lt;&gt;"Yes"),0,IF($K$10=0,SUMIFS(INDIRECT(ADDRESS(12,3+18*2+(6),,,"J1 B - Butcher Terrace")&amp;":"&amp;ADDRESS(130,3+18*2+(6))),'J1 B - Butcher Terrace'!$A$12:$A$130,"&gt;="&amp;Diagram!$O10,'J1 B - Butcher Terrace'!$A$12:$A$130,"&lt;"&amp;Diagram!$P10),SUMIFS(INDIRECT(ADDRESS(12,3+18*2+(14),,,"J1 B - Butcher Terrace")&amp;":"&amp;ADDRESS(130,3+18*2+(14))),'J1 B - Butcher Terrace'!$A$12:$A$130,"&gt;="&amp;Diagram!$O10,'J1 B - Butcher Terrace'!$A$12:$A$130,"&lt;"&amp;Diagram!$P10)))</f>
        <v>0</v>
      </c>
      <c r="DV10" s="42">
        <f ca="1">IF(OR($I$10="",$O10="",$P10="",$J$41&lt;&gt;"Yes"),0,IF($K$10=0,SUMIFS(INDIRECT(ADDRESS(12,3+18*3+(6),,,"J1 B - Butcher Terrace")&amp;":"&amp;ADDRESS(130,3+18*3+(6))),'J1 B - Butcher Terrace'!$A$12:$A$130,"&gt;="&amp;Diagram!$O10,'J1 B - Butcher Terrace'!$A$12:$A$130,"&lt;"&amp;Diagram!$P10),SUMIFS(INDIRECT(ADDRESS(12,3+18*3+(14),,,"J1 B - Butcher Terrace")&amp;":"&amp;ADDRESS(130,3+18*3+(14))),'J1 B - Butcher Terrace'!$A$12:$A$130,"&gt;="&amp;Diagram!$O10,'J1 B - Butcher Terrace'!$A$12:$A$130,"&lt;"&amp;Diagram!$P10)))</f>
        <v>0</v>
      </c>
      <c r="DW10" s="42">
        <f ca="1">IF(OR($I$10="",$O10="",$P10="",$J$41&lt;&gt;"Yes"),0,IF($K$10=0,SUMIFS(INDIRECT(ADDRESS(12,3+18*0+(6),,,"J1 B - Butcher Terrace")&amp;":"&amp;ADDRESS(130,3+18*0+(6))),'J1 B - Butcher Terrace'!$A$12:$A$130,"&gt;="&amp;Diagram!$O10,'J1 B - Butcher Terrace'!$A$12:$A$130,"&lt;"&amp;Diagram!$P10),SUMIFS(INDIRECT(ADDRESS(12,3+18*0+(14),,,"J1 B - Butcher Terrace")&amp;":"&amp;ADDRESS(130,3+18*0+(14))),'J1 B - Butcher Terrace'!$A$12:$A$130,"&gt;="&amp;Diagram!$O10,'J1 B - Butcher Terrace'!$A$12:$A$130,"&lt;"&amp;Diagram!$P10)))</f>
        <v>0</v>
      </c>
      <c r="DX10" s="42">
        <f ca="1">IF(OR($I$10="",$O10="",$P10="",$J$41&lt;&gt;"Yes"),0,IF($K$10=0,SUMIFS(INDIRECT(ADDRESS(12,3+18*1+(6),,,"J1 B - Butcher Terrace")&amp;":"&amp;ADDRESS(130,3+18*1+(6))),'J1 B - Butcher Terrace'!$A$12:$A$130,"&gt;="&amp;Diagram!$O10,'J1 B - Butcher Terrace'!$A$12:$A$130,"&lt;"&amp;Diagram!$P10),SUMIFS(INDIRECT(ADDRESS(12,3+18*1+(14),,,"J1 B - Butcher Terrace")&amp;":"&amp;ADDRESS(130,3+18*1+(14))),'J1 B - Butcher Terrace'!$A$12:$A$130,"&gt;="&amp;Diagram!$O10,'J1 B - Butcher Terrace'!$A$12:$A$130,"&lt;"&amp;Diagram!$P10)))</f>
        <v>0</v>
      </c>
      <c r="DY10" s="42">
        <f ca="1">IF(OR($I$10="",$O10="",$P10="",$J$41&lt;&gt;"Yes"),0,IF($K$10=0,SUMIFS(INDIRECT(ADDRESS(12,3+18*1+(6),,,"J1 C - (South) Bishopthorpe Roa")&amp;":"&amp;ADDRESS(130,3+18*1+(6))),'J1 C - (South) Bishopthorpe Roa'!$A$12:$A$130,"&gt;="&amp;Diagram!$O10,'J1 C - (South) Bishopthorpe Roa'!$A$12:$A$130,"&lt;"&amp;Diagram!$P10),SUMIFS(INDIRECT(ADDRESS(12,3+18*1+(14),,,"J1 C - (South) Bishopthorpe Roa")&amp;":"&amp;ADDRESS(130,3+18*1+(14))),'J1 C - (South) Bishopthorpe Roa'!$A$12:$A$130,"&gt;="&amp;Diagram!$O10,'J1 C - (South) Bishopthorpe Roa'!$A$12:$A$130,"&lt;"&amp;Diagram!$P10)))</f>
        <v>0</v>
      </c>
      <c r="DZ10" s="42">
        <f ca="1">IF(OR($I$10="",$O10="",$P10="",$J$41&lt;&gt;"Yes"),0,IF($K$10=0,SUMIFS(INDIRECT(ADDRESS(12,3+18*2+(6),,,"J1 C - (South) Bishopthorpe Roa")&amp;":"&amp;ADDRESS(130,3+18*2+(6))),'J1 C - (South) Bishopthorpe Roa'!$A$12:$A$130,"&gt;="&amp;Diagram!$O10,'J1 C - (South) Bishopthorpe Roa'!$A$12:$A$130,"&lt;"&amp;Diagram!$P10),SUMIFS(INDIRECT(ADDRESS(12,3+18*2+(14),,,"J1 C - (South) Bishopthorpe Roa")&amp;":"&amp;ADDRESS(130,3+18*2+(14))),'J1 C - (South) Bishopthorpe Roa'!$A$12:$A$130,"&gt;="&amp;Diagram!$O10,'J1 C - (South) Bishopthorpe Roa'!$A$12:$A$130,"&lt;"&amp;Diagram!$P10)))</f>
        <v>0</v>
      </c>
      <c r="EA10" s="42">
        <f ca="1">IF(OR($I$10="",$O10="",$P10="",$J$41&lt;&gt;"Yes"),0,IF($K$10=0,SUMIFS(INDIRECT(ADDRESS(12,3+18*3+(6),,,"J1 C - (South) Bishopthorpe Roa")&amp;":"&amp;ADDRESS(130,3+18*3+(6))),'J1 C - (South) Bishopthorpe Roa'!$A$12:$A$130,"&gt;="&amp;Diagram!$O10,'J1 C - (South) Bishopthorpe Roa'!$A$12:$A$130,"&lt;"&amp;Diagram!$P10),SUMIFS(INDIRECT(ADDRESS(12,3+18*3+(14),,,"J1 C - (South) Bishopthorpe Roa")&amp;":"&amp;ADDRESS(130,3+18*3+(14))),'J1 C - (South) Bishopthorpe Roa'!$A$12:$A$130,"&gt;="&amp;Diagram!$O10,'J1 C - (South) Bishopthorpe Roa'!$A$12:$A$130,"&lt;"&amp;Diagram!$P10)))</f>
        <v>0</v>
      </c>
      <c r="EB10" s="42">
        <f ca="1">IF(OR($I$10="",$O10="",$P10="",$J$41&lt;&gt;"Yes"),0,IF($K$10=0,SUMIFS(INDIRECT(ADDRESS(12,3+18*0+(6),,,"J1 C - (South) Bishopthorpe Roa")&amp;":"&amp;ADDRESS(130,3+18*0+(6))),'J1 C - (South) Bishopthorpe Roa'!$A$12:$A$130,"&gt;="&amp;Diagram!$O10,'J1 C - (South) Bishopthorpe Roa'!$A$12:$A$130,"&lt;"&amp;Diagram!$P10),SUMIFS(INDIRECT(ADDRESS(12,3+18*0+(14),,,"J1 C - (South) Bishopthorpe Roa")&amp;":"&amp;ADDRESS(130,3+18*0+(14))),'J1 C - (South) Bishopthorpe Roa'!$A$12:$A$130,"&gt;="&amp;Diagram!$O10,'J1 C - (South) Bishopthorpe Roa'!$A$12:$A$130,"&lt;"&amp;Diagram!$P10)))</f>
        <v>0</v>
      </c>
      <c r="EC10" s="42">
        <f ca="1">IF(OR($I$10="",$O10="",$P10="",$J$41&lt;&gt;"Yes"),0,IF($K$10=0,SUMIFS(INDIRECT(ADDRESS(12,3+18*0+(6),,,"J1 D - South Bank Avenue")&amp;":"&amp;ADDRESS(130,3+18*0+(6))),'J1 D - South Bank Avenue'!$A$12:$A$130,"&gt;="&amp;Diagram!$O10,'J1 D - South Bank Avenue'!$A$12:$A$130,"&lt;"&amp;Diagram!$P10),SUMIFS(INDIRECT(ADDRESS(12,3+18*0+(14),,,"J1 D - South Bank Avenue")&amp;":"&amp;ADDRESS(130,3+18*0+(14))),'J1 D - South Bank Avenue'!$A$12:$A$130,"&gt;="&amp;Diagram!$O10,'J1 D - South Bank Avenue'!$A$12:$A$130,"&lt;"&amp;Diagram!$P10)))</f>
        <v>0</v>
      </c>
      <c r="ED10" s="42">
        <f ca="1">IF(OR($I$10="",$O10="",$P10="",$J$41&lt;&gt;"Yes"),0,IF($K$10=0,SUMIFS(INDIRECT(ADDRESS(12,3+18*1+(6),,,"J1 D - South Bank Avenue")&amp;":"&amp;ADDRESS(130,3+18*1+(6))),'J1 D - South Bank Avenue'!$A$12:$A$130,"&gt;="&amp;Diagram!$O10,'J1 D - South Bank Avenue'!$A$12:$A$130,"&lt;"&amp;Diagram!$P10),SUMIFS(INDIRECT(ADDRESS(12,3+18*1+(14),,,"J1 D - South Bank Avenue")&amp;":"&amp;ADDRESS(130,3+18*1+(14))),'J1 D - South Bank Avenue'!$A$12:$A$130,"&gt;="&amp;Diagram!$O10,'J1 D - South Bank Avenue'!$A$12:$A$130,"&lt;"&amp;Diagram!$P10)))</f>
        <v>0</v>
      </c>
      <c r="EE10" s="42">
        <f ca="1">IF(OR($I$10="",$O10="",$P10="",$J$41&lt;&gt;"Yes"),0,IF($K$10=0,SUMIFS(INDIRECT(ADDRESS(12,3+18*2+(6),,,"J1 D - South Bank Avenue")&amp;":"&amp;ADDRESS(130,3+18*2+(6))),'J1 D - South Bank Avenue'!$A$12:$A$130,"&gt;="&amp;Diagram!$O10,'J1 D - South Bank Avenue'!$A$12:$A$130,"&lt;"&amp;Diagram!$P10),SUMIFS(INDIRECT(ADDRESS(12,3+18*2+(14),,,"J1 D - South Bank Avenue")&amp;":"&amp;ADDRESS(130,3+18*2+(14))),'J1 D - South Bank Avenue'!$A$12:$A$130,"&gt;="&amp;Diagram!$O10,'J1 D - South Bank Avenue'!$A$12:$A$130,"&lt;"&amp;Diagram!$P10)))</f>
        <v>0</v>
      </c>
      <c r="EF10" s="42">
        <f ca="1">IF(OR($I$10="",$O10="",$P10="",$J$41&lt;&gt;"Yes"),0,IF($K$10=0,SUMIFS(INDIRECT(ADDRESS(12,3+18*3+(6),,,"J1 D - South Bank Avenue")&amp;":"&amp;ADDRESS(130,3+18*3+(6))),'J1 D - South Bank Avenue'!$A$12:$A$130,"&gt;="&amp;Diagram!$O10,'J1 D - South Bank Avenue'!$A$12:$A$130,"&lt;"&amp;Diagram!$P10),SUMIFS(INDIRECT(ADDRESS(12,3+18*3+(14),,,"J1 D - South Bank Avenue")&amp;":"&amp;ADDRESS(130,3+18*3+(14))),'J1 D - South Bank Avenue'!$A$12:$A$130,"&gt;="&amp;Diagram!$O10,'J1 D - South Bank Avenue'!$A$12:$A$130,"&lt;"&amp;Diagram!$P10)))</f>
        <v>0</v>
      </c>
      <c r="EG10" s="42">
        <f t="shared" ca="1" si="8"/>
        <v>0</v>
      </c>
      <c r="EH10" s="42">
        <f ca="1">IF(OR($I$10="",$O10="",$P10="",$J$42&lt;&gt;"Yes"),0,IF($K$10=0,SUMIFS(INDIRECT(ADDRESS(12,3+18*3+(7),,,"J1 A - (North) Bishopthorpe Roa")&amp;":"&amp;ADDRESS(130,3+18*3+(7))),'J1 A - (North) Bishopthorpe Roa'!$A$12:$A$130,"&gt;="&amp;Diagram!$O10,'J1 A - (North) Bishopthorpe Roa'!$A$12:$A$130,"&lt;"&amp;Diagram!$P10),SUMIFS(INDIRECT(ADDRESS(12,3+18*3+(15),,,"J1 A - (North) Bishopthorpe Roa")&amp;":"&amp;ADDRESS(130,3+18*3+(15))),'J1 A - (North) Bishopthorpe Roa'!$A$12:$A$130,"&gt;="&amp;Diagram!$O10,'J1 A - (North) Bishopthorpe Roa'!$A$12:$A$130,"&lt;"&amp;Diagram!$P10)))</f>
        <v>0</v>
      </c>
      <c r="EI10" s="42">
        <f ca="1">IF(OR($I$10="",$O10="",$P10="",$J$42&lt;&gt;"Yes"),0,IF($K$10=0,SUMIFS(INDIRECT(ADDRESS(12,3+18*0+(7),,,"J1 A - (North) Bishopthorpe Roa")&amp;":"&amp;ADDRESS(130,3+18*0+(7))),'J1 A - (North) Bishopthorpe Roa'!$A$12:$A$130,"&gt;="&amp;Diagram!$O10,'J1 A - (North) Bishopthorpe Roa'!$A$12:$A$130,"&lt;"&amp;Diagram!$P10),SUMIFS(INDIRECT(ADDRESS(12,3+18*0+(15),,,"J1 A - (North) Bishopthorpe Roa")&amp;":"&amp;ADDRESS(130,3+18*0+(15))),'J1 A - (North) Bishopthorpe Roa'!$A$12:$A$130,"&gt;="&amp;Diagram!$O10,'J1 A - (North) Bishopthorpe Roa'!$A$12:$A$130,"&lt;"&amp;Diagram!$P10)))</f>
        <v>0</v>
      </c>
      <c r="EJ10" s="42">
        <f ca="1">IF(OR($I$10="",$O10="",$P10="",$J$42&lt;&gt;"Yes"),0,IF($K$10=0,SUMIFS(INDIRECT(ADDRESS(12,3+18*1+(7),,,"J1 A - (North) Bishopthorpe Roa")&amp;":"&amp;ADDRESS(130,3+18*1+(7))),'J1 A - (North) Bishopthorpe Roa'!$A$12:$A$130,"&gt;="&amp;Diagram!$O10,'J1 A - (North) Bishopthorpe Roa'!$A$12:$A$130,"&lt;"&amp;Diagram!$P10),SUMIFS(INDIRECT(ADDRESS(12,3+18*1+(15),,,"J1 A - (North) Bishopthorpe Roa")&amp;":"&amp;ADDRESS(130,3+18*1+(15))),'J1 A - (North) Bishopthorpe Roa'!$A$12:$A$130,"&gt;="&amp;Diagram!$O10,'J1 A - (North) Bishopthorpe Roa'!$A$12:$A$130,"&lt;"&amp;Diagram!$P10)))</f>
        <v>0</v>
      </c>
      <c r="EK10" s="42">
        <f ca="1">IF(OR($I$10="",$O10="",$P10="",$J$42&lt;&gt;"Yes"),0,IF($K$10=0,SUMIFS(INDIRECT(ADDRESS(12,3+18*2+(7),,,"J1 A - (North) Bishopthorpe Roa")&amp;":"&amp;ADDRESS(130,3+18*2+(7))),'J1 A - (North) Bishopthorpe Roa'!$A$12:$A$130,"&gt;="&amp;Diagram!$O10,'J1 A - (North) Bishopthorpe Roa'!$A$12:$A$130,"&lt;"&amp;Diagram!$P10),SUMIFS(INDIRECT(ADDRESS(12,3+18*2+(15),,,"J1 A - (North) Bishopthorpe Roa")&amp;":"&amp;ADDRESS(130,3+18*2+(15))),'J1 A - (North) Bishopthorpe Roa'!$A$12:$A$130,"&gt;="&amp;Diagram!$O10,'J1 A - (North) Bishopthorpe Roa'!$A$12:$A$130,"&lt;"&amp;Diagram!$P10)))</f>
        <v>0</v>
      </c>
      <c r="EL10" s="42">
        <f ca="1">IF(OR($I$10="",$O10="",$P10="",$J$42&lt;&gt;"Yes"),0,IF($K$10=0,SUMIFS(INDIRECT(ADDRESS(12,3+18*2+(7),,,"J1 B - Butcher Terrace")&amp;":"&amp;ADDRESS(130,3+18*2+(7))),'J1 B - Butcher Terrace'!$A$12:$A$130,"&gt;="&amp;Diagram!$O10,'J1 B - Butcher Terrace'!$A$12:$A$130,"&lt;"&amp;Diagram!$P10),SUMIFS(INDIRECT(ADDRESS(12,3+18*2+(15),,,"J1 B - Butcher Terrace")&amp;":"&amp;ADDRESS(130,3+18*2+(15))),'J1 B - Butcher Terrace'!$A$12:$A$130,"&gt;="&amp;Diagram!$O10,'J1 B - Butcher Terrace'!$A$12:$A$130,"&lt;"&amp;Diagram!$P10)))</f>
        <v>0</v>
      </c>
      <c r="EM10" s="42">
        <f ca="1">IF(OR($I$10="",$O10="",$P10="",$J$42&lt;&gt;"Yes"),0,IF($K$10=0,SUMIFS(INDIRECT(ADDRESS(12,3+18*3+(7),,,"J1 B - Butcher Terrace")&amp;":"&amp;ADDRESS(130,3+18*3+(7))),'J1 B - Butcher Terrace'!$A$12:$A$130,"&gt;="&amp;Diagram!$O10,'J1 B - Butcher Terrace'!$A$12:$A$130,"&lt;"&amp;Diagram!$P10),SUMIFS(INDIRECT(ADDRESS(12,3+18*3+(15),,,"J1 B - Butcher Terrace")&amp;":"&amp;ADDRESS(130,3+18*3+(15))),'J1 B - Butcher Terrace'!$A$12:$A$130,"&gt;="&amp;Diagram!$O10,'J1 B - Butcher Terrace'!$A$12:$A$130,"&lt;"&amp;Diagram!$P10)))</f>
        <v>0</v>
      </c>
      <c r="EN10" s="42">
        <f ca="1">IF(OR($I$10="",$O10="",$P10="",$J$42&lt;&gt;"Yes"),0,IF($K$10=0,SUMIFS(INDIRECT(ADDRESS(12,3+18*0+(7),,,"J1 B - Butcher Terrace")&amp;":"&amp;ADDRESS(130,3+18*0+(7))),'J1 B - Butcher Terrace'!$A$12:$A$130,"&gt;="&amp;Diagram!$O10,'J1 B - Butcher Terrace'!$A$12:$A$130,"&lt;"&amp;Diagram!$P10),SUMIFS(INDIRECT(ADDRESS(12,3+18*0+(15),,,"J1 B - Butcher Terrace")&amp;":"&amp;ADDRESS(130,3+18*0+(15))),'J1 B - Butcher Terrace'!$A$12:$A$130,"&gt;="&amp;Diagram!$O10,'J1 B - Butcher Terrace'!$A$12:$A$130,"&lt;"&amp;Diagram!$P10)))</f>
        <v>0</v>
      </c>
      <c r="EO10" s="42">
        <f ca="1">IF(OR($I$10="",$O10="",$P10="",$J$42&lt;&gt;"Yes"),0,IF($K$10=0,SUMIFS(INDIRECT(ADDRESS(12,3+18*1+(7),,,"J1 B - Butcher Terrace")&amp;":"&amp;ADDRESS(130,3+18*1+(7))),'J1 B - Butcher Terrace'!$A$12:$A$130,"&gt;="&amp;Diagram!$O10,'J1 B - Butcher Terrace'!$A$12:$A$130,"&lt;"&amp;Diagram!$P10),SUMIFS(INDIRECT(ADDRESS(12,3+18*1+(15),,,"J1 B - Butcher Terrace")&amp;":"&amp;ADDRESS(130,3+18*1+(15))),'J1 B - Butcher Terrace'!$A$12:$A$130,"&gt;="&amp;Diagram!$O10,'J1 B - Butcher Terrace'!$A$12:$A$130,"&lt;"&amp;Diagram!$P10)))</f>
        <v>0</v>
      </c>
      <c r="EP10" s="42">
        <f ca="1">IF(OR($I$10="",$O10="",$P10="",$J$42&lt;&gt;"Yes"),0,IF($K$10=0,SUMIFS(INDIRECT(ADDRESS(12,3+18*1+(7),,,"J1 C - (South) Bishopthorpe Roa")&amp;":"&amp;ADDRESS(130,3+18*1+(7))),'J1 C - (South) Bishopthorpe Roa'!$A$12:$A$130,"&gt;="&amp;Diagram!$O10,'J1 C - (South) Bishopthorpe Roa'!$A$12:$A$130,"&lt;"&amp;Diagram!$P10),SUMIFS(INDIRECT(ADDRESS(12,3+18*1+(15),,,"J1 C - (South) Bishopthorpe Roa")&amp;":"&amp;ADDRESS(130,3+18*1+(15))),'J1 C - (South) Bishopthorpe Roa'!$A$12:$A$130,"&gt;="&amp;Diagram!$O10,'J1 C - (South) Bishopthorpe Roa'!$A$12:$A$130,"&lt;"&amp;Diagram!$P10)))</f>
        <v>0</v>
      </c>
      <c r="EQ10" s="42">
        <f ca="1">IF(OR($I$10="",$O10="",$P10="",$J$42&lt;&gt;"Yes"),0,IF($K$10=0,SUMIFS(INDIRECT(ADDRESS(12,3+18*2+(7),,,"J1 C - (South) Bishopthorpe Roa")&amp;":"&amp;ADDRESS(130,3+18*2+(7))),'J1 C - (South) Bishopthorpe Roa'!$A$12:$A$130,"&gt;="&amp;Diagram!$O10,'J1 C - (South) Bishopthorpe Roa'!$A$12:$A$130,"&lt;"&amp;Diagram!$P10),SUMIFS(INDIRECT(ADDRESS(12,3+18*2+(15),,,"J1 C - (South) Bishopthorpe Roa")&amp;":"&amp;ADDRESS(130,3+18*2+(15))),'J1 C - (South) Bishopthorpe Roa'!$A$12:$A$130,"&gt;="&amp;Diagram!$O10,'J1 C - (South) Bishopthorpe Roa'!$A$12:$A$130,"&lt;"&amp;Diagram!$P10)))</f>
        <v>0</v>
      </c>
      <c r="ER10" s="42">
        <f ca="1">IF(OR($I$10="",$O10="",$P10="",$J$42&lt;&gt;"Yes"),0,IF($K$10=0,SUMIFS(INDIRECT(ADDRESS(12,3+18*3+(7),,,"J1 C - (South) Bishopthorpe Roa")&amp;":"&amp;ADDRESS(130,3+18*3+(7))),'J1 C - (South) Bishopthorpe Roa'!$A$12:$A$130,"&gt;="&amp;Diagram!$O10,'J1 C - (South) Bishopthorpe Roa'!$A$12:$A$130,"&lt;"&amp;Diagram!$P10),SUMIFS(INDIRECT(ADDRESS(12,3+18*3+(15),,,"J1 C - (South) Bishopthorpe Roa")&amp;":"&amp;ADDRESS(130,3+18*3+(15))),'J1 C - (South) Bishopthorpe Roa'!$A$12:$A$130,"&gt;="&amp;Diagram!$O10,'J1 C - (South) Bishopthorpe Roa'!$A$12:$A$130,"&lt;"&amp;Diagram!$P10)))</f>
        <v>0</v>
      </c>
      <c r="ES10" s="42">
        <f ca="1">IF(OR($I$10="",$O10="",$P10="",$J$42&lt;&gt;"Yes"),0,IF($K$10=0,SUMIFS(INDIRECT(ADDRESS(12,3+18*0+(7),,,"J1 C - (South) Bishopthorpe Roa")&amp;":"&amp;ADDRESS(130,3+18*0+(7))),'J1 C - (South) Bishopthorpe Roa'!$A$12:$A$130,"&gt;="&amp;Diagram!$O10,'J1 C - (South) Bishopthorpe Roa'!$A$12:$A$130,"&lt;"&amp;Diagram!$P10),SUMIFS(INDIRECT(ADDRESS(12,3+18*0+(15),,,"J1 C - (South) Bishopthorpe Roa")&amp;":"&amp;ADDRESS(130,3+18*0+(15))),'J1 C - (South) Bishopthorpe Roa'!$A$12:$A$130,"&gt;="&amp;Diagram!$O10,'J1 C - (South) Bishopthorpe Roa'!$A$12:$A$130,"&lt;"&amp;Diagram!$P10)))</f>
        <v>0</v>
      </c>
      <c r="ET10" s="42">
        <f ca="1">IF(OR($I$10="",$O10="",$P10="",$J$42&lt;&gt;"Yes"),0,IF($K$10=0,SUMIFS(INDIRECT(ADDRESS(12,3+18*0+(7),,,"J1 D - South Bank Avenue")&amp;":"&amp;ADDRESS(130,3+18*0+(7))),'J1 D - South Bank Avenue'!$A$12:$A$130,"&gt;="&amp;Diagram!$O10,'J1 D - South Bank Avenue'!$A$12:$A$130,"&lt;"&amp;Diagram!$P10),SUMIFS(INDIRECT(ADDRESS(12,3+18*0+(15),,,"J1 D - South Bank Avenue")&amp;":"&amp;ADDRESS(130,3+18*0+(15))),'J1 D - South Bank Avenue'!$A$12:$A$130,"&gt;="&amp;Diagram!$O10,'J1 D - South Bank Avenue'!$A$12:$A$130,"&lt;"&amp;Diagram!$P10)))</f>
        <v>0</v>
      </c>
      <c r="EU10" s="42">
        <f ca="1">IF(OR($I$10="",$O10="",$P10="",$J$42&lt;&gt;"Yes"),0,IF($K$10=0,SUMIFS(INDIRECT(ADDRESS(12,3+18*1+(7),,,"J1 D - South Bank Avenue")&amp;":"&amp;ADDRESS(130,3+18*1+(7))),'J1 D - South Bank Avenue'!$A$12:$A$130,"&gt;="&amp;Diagram!$O10,'J1 D - South Bank Avenue'!$A$12:$A$130,"&lt;"&amp;Diagram!$P10),SUMIFS(INDIRECT(ADDRESS(12,3+18*1+(15),,,"J1 D - South Bank Avenue")&amp;":"&amp;ADDRESS(130,3+18*1+(15))),'J1 D - South Bank Avenue'!$A$12:$A$130,"&gt;="&amp;Diagram!$O10,'J1 D - South Bank Avenue'!$A$12:$A$130,"&lt;"&amp;Diagram!$P10)))</f>
        <v>0</v>
      </c>
      <c r="EV10" s="42">
        <f ca="1">IF(OR($I$10="",$O10="",$P10="",$J$42&lt;&gt;"Yes"),0,IF($K$10=0,SUMIFS(INDIRECT(ADDRESS(12,3+18*2+(7),,,"J1 D - South Bank Avenue")&amp;":"&amp;ADDRESS(130,3+18*2+(7))),'J1 D - South Bank Avenue'!$A$12:$A$130,"&gt;="&amp;Diagram!$O10,'J1 D - South Bank Avenue'!$A$12:$A$130,"&lt;"&amp;Diagram!$P10),SUMIFS(INDIRECT(ADDRESS(12,3+18*2+(15),,,"J1 D - South Bank Avenue")&amp;":"&amp;ADDRESS(130,3+18*2+(15))),'J1 D - South Bank Avenue'!$A$12:$A$130,"&gt;="&amp;Diagram!$O10,'J1 D - South Bank Avenue'!$A$12:$A$130,"&lt;"&amp;Diagram!$P10)))</f>
        <v>0</v>
      </c>
      <c r="EW10" s="42">
        <f ca="1">IF(OR($I$10="",$O10="",$P10="",$J$42&lt;&gt;"Yes"),0,IF($K$10=0,SUMIFS(INDIRECT(ADDRESS(12,3+18*3+(7),,,"J1 D - South Bank Avenue")&amp;":"&amp;ADDRESS(130,3+18*3+(7))),'J1 D - South Bank Avenue'!$A$12:$A$130,"&gt;="&amp;Diagram!$O10,'J1 D - South Bank Avenue'!$A$12:$A$130,"&lt;"&amp;Diagram!$P10),SUMIFS(INDIRECT(ADDRESS(12,3+18*3+(15),,,"J1 D - South Bank Avenue")&amp;":"&amp;ADDRESS(130,3+18*3+(15))),'J1 D - South Bank Avenue'!$A$12:$A$130,"&gt;="&amp;Diagram!$O10,'J1 D - South Bank Avenue'!$A$12:$A$130,"&lt;"&amp;Diagram!$P10)))</f>
        <v>0</v>
      </c>
    </row>
    <row r="11" spans="1:153" ht="5.25" customHeight="1">
      <c r="A11" s="1">
        <v>44395.104166666701</v>
      </c>
      <c r="B11" s="1">
        <v>44395.114583333299</v>
      </c>
      <c r="O11" s="3">
        <v>44395.104166666701</v>
      </c>
      <c r="P11" s="3">
        <v>44395.145833333299</v>
      </c>
      <c r="Q11" s="42">
        <f t="shared" ca="1" si="0"/>
        <v>8</v>
      </c>
      <c r="R11" s="42">
        <f t="shared" ca="1" si="1"/>
        <v>7</v>
      </c>
      <c r="S11" s="42">
        <f ca="1">IF(OR($I$10="",$O11="",$P11="",$J$35&lt;&gt;"Yes"),0,IF($K$10=0,SUMIFS(INDIRECT(ADDRESS(12,3+18*3+(0),,,"J1 A - (North) Bishopthorpe Roa")&amp;":"&amp;ADDRESS(130,3+18*3+(0))),'J1 A - (North) Bishopthorpe Roa'!$A$12:$A$130,"&gt;="&amp;Diagram!$O11,'J1 A - (North) Bishopthorpe Roa'!$A$12:$A$130,"&lt;"&amp;Diagram!$P11),SUMIFS(INDIRECT(ADDRESS(12,3+18*3+(8),,,"J1 A - (North) Bishopthorpe Roa")&amp;":"&amp;ADDRESS(130,3+18*3+(8))),'J1 A - (North) Bishopthorpe Roa'!$A$12:$A$130,"&gt;="&amp;Diagram!$O11,'J1 A - (North) Bishopthorpe Roa'!$A$12:$A$130,"&lt;"&amp;Diagram!$P11)))</f>
        <v>0</v>
      </c>
      <c r="T11" s="42">
        <f ca="1">IF(OR($I$10="",$O11="",$P11="",$J$35&lt;&gt;"Yes"),0,IF($K$10=0,SUMIFS(INDIRECT(ADDRESS(12,3+18*0+(0),,,"J1 A - (North) Bishopthorpe Roa")&amp;":"&amp;ADDRESS(130,3+18*0+(0))),'J1 A - (North) Bishopthorpe Roa'!$A$12:$A$130,"&gt;="&amp;Diagram!$O11,'J1 A - (North) Bishopthorpe Roa'!$A$12:$A$130,"&lt;"&amp;Diagram!$P11),SUMIFS(INDIRECT(ADDRESS(12,3+18*0+(8),,,"J1 A - (North) Bishopthorpe Roa")&amp;":"&amp;ADDRESS(130,3+18*0+(8))),'J1 A - (North) Bishopthorpe Roa'!$A$12:$A$130,"&gt;="&amp;Diagram!$O11,'J1 A - (North) Bishopthorpe Roa'!$A$12:$A$130,"&lt;"&amp;Diagram!$P11)))</f>
        <v>1</v>
      </c>
      <c r="U11" s="42">
        <f ca="1">IF(OR($I$10="",$O11="",$P11="",$J$35&lt;&gt;"Yes"),0,IF($K$10=0,SUMIFS(INDIRECT(ADDRESS(12,3+18*1+(0),,,"J1 A - (North) Bishopthorpe Roa")&amp;":"&amp;ADDRESS(130,3+18*1+(0))),'J1 A - (North) Bishopthorpe Roa'!$A$12:$A$130,"&gt;="&amp;Diagram!$O11,'J1 A - (North) Bishopthorpe Roa'!$A$12:$A$130,"&lt;"&amp;Diagram!$P11),SUMIFS(INDIRECT(ADDRESS(12,3+18*1+(8),,,"J1 A - (North) Bishopthorpe Roa")&amp;":"&amp;ADDRESS(130,3+18*1+(8))),'J1 A - (North) Bishopthorpe Roa'!$A$12:$A$130,"&gt;="&amp;Diagram!$O11,'J1 A - (North) Bishopthorpe Roa'!$A$12:$A$130,"&lt;"&amp;Diagram!$P11)))</f>
        <v>2</v>
      </c>
      <c r="V11" s="42">
        <f ca="1">IF(OR($I$10="",$O11="",$P11="",$J$35&lt;&gt;"Yes"),0,IF($K$10=0,SUMIFS(INDIRECT(ADDRESS(12,3+18*2+(0),,,"J1 A - (North) Bishopthorpe Roa")&amp;":"&amp;ADDRESS(130,3+18*2+(0))),'J1 A - (North) Bishopthorpe Roa'!$A$12:$A$130,"&gt;="&amp;Diagram!$O11,'J1 A - (North) Bishopthorpe Roa'!$A$12:$A$130,"&lt;"&amp;Diagram!$P11),SUMIFS(INDIRECT(ADDRESS(12,3+18*2+(8),,,"J1 A - (North) Bishopthorpe Roa")&amp;":"&amp;ADDRESS(130,3+18*2+(8))),'J1 A - (North) Bishopthorpe Roa'!$A$12:$A$130,"&gt;="&amp;Diagram!$O11,'J1 A - (North) Bishopthorpe Roa'!$A$12:$A$130,"&lt;"&amp;Diagram!$P11)))</f>
        <v>1</v>
      </c>
      <c r="W11" s="42">
        <f ca="1">IF(OR($I$10="",$O11="",$P11="",$J$35&lt;&gt;"Yes"),0,IF($K$10=0,SUMIFS(INDIRECT(ADDRESS(12,3+18*2+(0),,,"J1 B - Butcher Terrace")&amp;":"&amp;ADDRESS(130,3+18*2+(0))),'J1 B - Butcher Terrace'!$A$12:$A$130,"&gt;="&amp;Diagram!$O11,'J1 B - Butcher Terrace'!$A$12:$A$130,"&lt;"&amp;Diagram!$P11),SUMIFS(INDIRECT(ADDRESS(12,3+18*2+(8),,,"J1 B - Butcher Terrace")&amp;":"&amp;ADDRESS(130,3+18*2+(8))),'J1 B - Butcher Terrace'!$A$12:$A$130,"&gt;="&amp;Diagram!$O11,'J1 B - Butcher Terrace'!$A$12:$A$130,"&lt;"&amp;Diagram!$P11)))</f>
        <v>1</v>
      </c>
      <c r="X11" s="42">
        <f ca="1">IF(OR($I$10="",$O11="",$P11="",$J$35&lt;&gt;"Yes"),0,IF($K$10=0,SUMIFS(INDIRECT(ADDRESS(12,3+18*3+(0),,,"J1 B - Butcher Terrace")&amp;":"&amp;ADDRESS(130,3+18*3+(0))),'J1 B - Butcher Terrace'!$A$12:$A$130,"&gt;="&amp;Diagram!$O11,'J1 B - Butcher Terrace'!$A$12:$A$130,"&lt;"&amp;Diagram!$P11),SUMIFS(INDIRECT(ADDRESS(12,3+18*3+(8),,,"J1 B - Butcher Terrace")&amp;":"&amp;ADDRESS(130,3+18*3+(8))),'J1 B - Butcher Terrace'!$A$12:$A$130,"&gt;="&amp;Diagram!$O11,'J1 B - Butcher Terrace'!$A$12:$A$130,"&lt;"&amp;Diagram!$P11)))</f>
        <v>0</v>
      </c>
      <c r="Y11" s="42">
        <f ca="1">IF(OR($I$10="",$O11="",$P11="",$J$35&lt;&gt;"Yes"),0,IF($K$10=0,SUMIFS(INDIRECT(ADDRESS(12,3+18*0+(0),,,"J1 B - Butcher Terrace")&amp;":"&amp;ADDRESS(130,3+18*0+(0))),'J1 B - Butcher Terrace'!$A$12:$A$130,"&gt;="&amp;Diagram!$O11,'J1 B - Butcher Terrace'!$A$12:$A$130,"&lt;"&amp;Diagram!$P11),SUMIFS(INDIRECT(ADDRESS(12,3+18*0+(8),,,"J1 B - Butcher Terrace")&amp;":"&amp;ADDRESS(130,3+18*0+(8))),'J1 B - Butcher Terrace'!$A$12:$A$130,"&gt;="&amp;Diagram!$O11,'J1 B - Butcher Terrace'!$A$12:$A$130,"&lt;"&amp;Diagram!$P11)))</f>
        <v>0</v>
      </c>
      <c r="Z11" s="42">
        <f ca="1">IF(OR($I$10="",$O11="",$P11="",$J$35&lt;&gt;"Yes"),0,IF($K$10=0,SUMIFS(INDIRECT(ADDRESS(12,3+18*1+(0),,,"J1 B - Butcher Terrace")&amp;":"&amp;ADDRESS(130,3+18*1+(0))),'J1 B - Butcher Terrace'!$A$12:$A$130,"&gt;="&amp;Diagram!$O11,'J1 B - Butcher Terrace'!$A$12:$A$130,"&lt;"&amp;Diagram!$P11),SUMIFS(INDIRECT(ADDRESS(12,3+18*1+(8),,,"J1 B - Butcher Terrace")&amp;":"&amp;ADDRESS(130,3+18*1+(8))),'J1 B - Butcher Terrace'!$A$12:$A$130,"&gt;="&amp;Diagram!$O11,'J1 B - Butcher Terrace'!$A$12:$A$130,"&lt;"&amp;Diagram!$P11)))</f>
        <v>0</v>
      </c>
      <c r="AA11" s="42">
        <f ca="1">IF(OR($I$10="",$O11="",$P11="",$J$35&lt;&gt;"Yes"),0,IF($K$10=0,SUMIFS(INDIRECT(ADDRESS(12,3+18*1+(0),,,"J1 C - (South) Bishopthorpe Roa")&amp;":"&amp;ADDRESS(130,3+18*1+(0))),'J1 C - (South) Bishopthorpe Roa'!$A$12:$A$130,"&gt;="&amp;Diagram!$O11,'J1 C - (South) Bishopthorpe Roa'!$A$12:$A$130,"&lt;"&amp;Diagram!$P11),SUMIFS(INDIRECT(ADDRESS(12,3+18*1+(8),,,"J1 C - (South) Bishopthorpe Roa")&amp;":"&amp;ADDRESS(130,3+18*1+(8))),'J1 C - (South) Bishopthorpe Roa'!$A$12:$A$130,"&gt;="&amp;Diagram!$O11,'J1 C - (South) Bishopthorpe Roa'!$A$12:$A$130,"&lt;"&amp;Diagram!$P11)))</f>
        <v>1</v>
      </c>
      <c r="AB11" s="42">
        <f ca="1">IF(OR($I$10="",$O11="",$P11="",$J$35&lt;&gt;"Yes"),0,IF($K$10=0,SUMIFS(INDIRECT(ADDRESS(12,3+18*2+(0),,,"J1 C - (South) Bishopthorpe Roa")&amp;":"&amp;ADDRESS(130,3+18*2+(0))),'J1 C - (South) Bishopthorpe Roa'!$A$12:$A$130,"&gt;="&amp;Diagram!$O11,'J1 C - (South) Bishopthorpe Roa'!$A$12:$A$130,"&lt;"&amp;Diagram!$P11),SUMIFS(INDIRECT(ADDRESS(12,3+18*2+(8),,,"J1 C - (South) Bishopthorpe Roa")&amp;":"&amp;ADDRESS(130,3+18*2+(8))),'J1 C - (South) Bishopthorpe Roa'!$A$12:$A$130,"&gt;="&amp;Diagram!$O11,'J1 C - (South) Bishopthorpe Roa'!$A$12:$A$130,"&lt;"&amp;Diagram!$P11)))</f>
        <v>0</v>
      </c>
      <c r="AC11" s="42">
        <f ca="1">IF(OR($I$10="",$O11="",$P11="",$J$35&lt;&gt;"Yes"),0,IF($K$10=0,SUMIFS(INDIRECT(ADDRESS(12,3+18*3+(0),,,"J1 C - (South) Bishopthorpe Roa")&amp;":"&amp;ADDRESS(130,3+18*3+(0))),'J1 C - (South) Bishopthorpe Roa'!$A$12:$A$130,"&gt;="&amp;Diagram!$O11,'J1 C - (South) Bishopthorpe Roa'!$A$12:$A$130,"&lt;"&amp;Diagram!$P11),SUMIFS(INDIRECT(ADDRESS(12,3+18*3+(8),,,"J1 C - (South) Bishopthorpe Roa")&amp;":"&amp;ADDRESS(130,3+18*3+(8))),'J1 C - (South) Bishopthorpe Roa'!$A$12:$A$130,"&gt;="&amp;Diagram!$O11,'J1 C - (South) Bishopthorpe Roa'!$A$12:$A$130,"&lt;"&amp;Diagram!$P11)))</f>
        <v>0</v>
      </c>
      <c r="AD11" s="42">
        <f ca="1">IF(OR($I$10="",$O11="",$P11="",$J$35&lt;&gt;"Yes"),0,IF($K$10=0,SUMIFS(INDIRECT(ADDRESS(12,3+18*0+(0),,,"J1 C - (South) Bishopthorpe Roa")&amp;":"&amp;ADDRESS(130,3+18*0+(0))),'J1 C - (South) Bishopthorpe Roa'!$A$12:$A$130,"&gt;="&amp;Diagram!$O11,'J1 C - (South) Bishopthorpe Roa'!$A$12:$A$130,"&lt;"&amp;Diagram!$P11),SUMIFS(INDIRECT(ADDRESS(12,3+18*0+(8),,,"J1 C - (South) Bishopthorpe Roa")&amp;":"&amp;ADDRESS(130,3+18*0+(8))),'J1 C - (South) Bishopthorpe Roa'!$A$12:$A$130,"&gt;="&amp;Diagram!$O11,'J1 C - (South) Bishopthorpe Roa'!$A$12:$A$130,"&lt;"&amp;Diagram!$P11)))</f>
        <v>1</v>
      </c>
      <c r="AE11" s="42">
        <f ca="1">IF(OR($I$10="",$O11="",$P11="",$J$35&lt;&gt;"Yes"),0,IF($K$10=0,SUMIFS(INDIRECT(ADDRESS(12,3+18*0+(0),,,"J1 D - South Bank Avenue")&amp;":"&amp;ADDRESS(130,3+18*0+(0))),'J1 D - South Bank Avenue'!$A$12:$A$130,"&gt;="&amp;Diagram!$O11,'J1 D - South Bank Avenue'!$A$12:$A$130,"&lt;"&amp;Diagram!$P11),SUMIFS(INDIRECT(ADDRESS(12,3+18*0+(8),,,"J1 D - South Bank Avenue")&amp;":"&amp;ADDRESS(130,3+18*0+(8))),'J1 D - South Bank Avenue'!$A$12:$A$130,"&gt;="&amp;Diagram!$O11,'J1 D - South Bank Avenue'!$A$12:$A$130,"&lt;"&amp;Diagram!$P11)))</f>
        <v>0</v>
      </c>
      <c r="AF11" s="42">
        <f ca="1">IF(OR($I$10="",$O11="",$P11="",$J$35&lt;&gt;"Yes"),0,IF($K$10=0,SUMIFS(INDIRECT(ADDRESS(12,3+18*1+(0),,,"J1 D - South Bank Avenue")&amp;":"&amp;ADDRESS(130,3+18*1+(0))),'J1 D - South Bank Avenue'!$A$12:$A$130,"&gt;="&amp;Diagram!$O11,'J1 D - South Bank Avenue'!$A$12:$A$130,"&lt;"&amp;Diagram!$P11),SUMIFS(INDIRECT(ADDRESS(12,3+18*1+(8),,,"J1 D - South Bank Avenue")&amp;":"&amp;ADDRESS(130,3+18*1+(8))),'J1 D - South Bank Avenue'!$A$12:$A$130,"&gt;="&amp;Diagram!$O11,'J1 D - South Bank Avenue'!$A$12:$A$130,"&lt;"&amp;Diagram!$P11)))</f>
        <v>0</v>
      </c>
      <c r="AG11" s="42">
        <f ca="1">IF(OR($I$10="",$O11="",$P11="",$J$35&lt;&gt;"Yes"),0,IF($K$10=0,SUMIFS(INDIRECT(ADDRESS(12,3+18*2+(0),,,"J1 D - South Bank Avenue")&amp;":"&amp;ADDRESS(130,3+18*2+(0))),'J1 D - South Bank Avenue'!$A$12:$A$130,"&gt;="&amp;Diagram!$O11,'J1 D - South Bank Avenue'!$A$12:$A$130,"&lt;"&amp;Diagram!$P11),SUMIFS(INDIRECT(ADDRESS(12,3+18*2+(8),,,"J1 D - South Bank Avenue")&amp;":"&amp;ADDRESS(130,3+18*2+(8))),'J1 D - South Bank Avenue'!$A$12:$A$130,"&gt;="&amp;Diagram!$O11,'J1 D - South Bank Avenue'!$A$12:$A$130,"&lt;"&amp;Diagram!$P11)))</f>
        <v>0</v>
      </c>
      <c r="AH11" s="42">
        <f ca="1">IF(OR($I$10="",$O11="",$P11="",$J$35&lt;&gt;"Yes"),0,IF($K$10=0,SUMIFS(INDIRECT(ADDRESS(12,3+18*3+(0),,,"J1 D - South Bank Avenue")&amp;":"&amp;ADDRESS(130,3+18*3+(0))),'J1 D - South Bank Avenue'!$A$12:$A$130,"&gt;="&amp;Diagram!$O11,'J1 D - South Bank Avenue'!$A$12:$A$130,"&lt;"&amp;Diagram!$P11),SUMIFS(INDIRECT(ADDRESS(12,3+18*3+(8),,,"J1 D - South Bank Avenue")&amp;":"&amp;ADDRESS(130,3+18*3+(8))),'J1 D - South Bank Avenue'!$A$12:$A$130,"&gt;="&amp;Diagram!$O11,'J1 D - South Bank Avenue'!$A$12:$A$130,"&lt;"&amp;Diagram!$P11)))</f>
        <v>0</v>
      </c>
      <c r="AI11" s="42">
        <f t="shared" ca="1" si="2"/>
        <v>1</v>
      </c>
      <c r="AJ11" s="42">
        <f ca="1">IF(OR($I$10="",$O11="",$P11="",$J$36&lt;&gt;"Yes"),0,IF($K$10=0,SUMIFS(INDIRECT(ADDRESS(12,3+18*3+(1),,,"J1 A - (North) Bishopthorpe Roa")&amp;":"&amp;ADDRESS(130,3+18*3+(1))),'J1 A - (North) Bishopthorpe Roa'!$A$12:$A$130,"&gt;="&amp;Diagram!$O11,'J1 A - (North) Bishopthorpe Roa'!$A$12:$A$130,"&lt;"&amp;Diagram!$P11),SUMIFS(INDIRECT(ADDRESS(12,3+18*3+(9),,,"J1 A - (North) Bishopthorpe Roa")&amp;":"&amp;ADDRESS(130,3+18*3+(9))),'J1 A - (North) Bishopthorpe Roa'!$A$12:$A$130,"&gt;="&amp;Diagram!$O11,'J1 A - (North) Bishopthorpe Roa'!$A$12:$A$130,"&lt;"&amp;Diagram!$P11)))</f>
        <v>0</v>
      </c>
      <c r="AK11" s="42">
        <f ca="1">IF(OR($I$10="",$O11="",$P11="",$J$36&lt;&gt;"Yes"),0,IF($K$10=0,SUMIFS(INDIRECT(ADDRESS(12,3+18*0+(1),,,"J1 A - (North) Bishopthorpe Roa")&amp;":"&amp;ADDRESS(130,3+18*0+(1))),'J1 A - (North) Bishopthorpe Roa'!$A$12:$A$130,"&gt;="&amp;Diagram!$O11,'J1 A - (North) Bishopthorpe Roa'!$A$12:$A$130,"&lt;"&amp;Diagram!$P11),SUMIFS(INDIRECT(ADDRESS(12,3+18*0+(9),,,"J1 A - (North) Bishopthorpe Roa")&amp;":"&amp;ADDRESS(130,3+18*0+(9))),'J1 A - (North) Bishopthorpe Roa'!$A$12:$A$130,"&gt;="&amp;Diagram!$O11,'J1 A - (North) Bishopthorpe Roa'!$A$12:$A$130,"&lt;"&amp;Diagram!$P11)))</f>
        <v>0</v>
      </c>
      <c r="AL11" s="42">
        <f ca="1">IF(OR($I$10="",$O11="",$P11="",$J$36&lt;&gt;"Yes"),0,IF($K$10=0,SUMIFS(INDIRECT(ADDRESS(12,3+18*1+(1),,,"J1 A - (North) Bishopthorpe Roa")&amp;":"&amp;ADDRESS(130,3+18*1+(1))),'J1 A - (North) Bishopthorpe Roa'!$A$12:$A$130,"&gt;="&amp;Diagram!$O11,'J1 A - (North) Bishopthorpe Roa'!$A$12:$A$130,"&lt;"&amp;Diagram!$P11),SUMIFS(INDIRECT(ADDRESS(12,3+18*1+(9),,,"J1 A - (North) Bishopthorpe Roa")&amp;":"&amp;ADDRESS(130,3+18*1+(9))),'J1 A - (North) Bishopthorpe Roa'!$A$12:$A$130,"&gt;="&amp;Diagram!$O11,'J1 A - (North) Bishopthorpe Roa'!$A$12:$A$130,"&lt;"&amp;Diagram!$P11)))</f>
        <v>1</v>
      </c>
      <c r="AM11" s="42">
        <f ca="1">IF(OR($I$10="",$O11="",$P11="",$J$36&lt;&gt;"Yes"),0,IF($K$10=0,SUMIFS(INDIRECT(ADDRESS(12,3+18*2+(1),,,"J1 A - (North) Bishopthorpe Roa")&amp;":"&amp;ADDRESS(130,3+18*2+(1))),'J1 A - (North) Bishopthorpe Roa'!$A$12:$A$130,"&gt;="&amp;Diagram!$O11,'J1 A - (North) Bishopthorpe Roa'!$A$12:$A$130,"&lt;"&amp;Diagram!$P11),SUMIFS(INDIRECT(ADDRESS(12,3+18*2+(9),,,"J1 A - (North) Bishopthorpe Roa")&amp;":"&amp;ADDRESS(130,3+18*2+(9))),'J1 A - (North) Bishopthorpe Roa'!$A$12:$A$130,"&gt;="&amp;Diagram!$O11,'J1 A - (North) Bishopthorpe Roa'!$A$12:$A$130,"&lt;"&amp;Diagram!$P11)))</f>
        <v>0</v>
      </c>
      <c r="AN11" s="42">
        <f ca="1">IF(OR($I$10="",$O11="",$P11="",$J$36&lt;&gt;"Yes"),0,IF($K$10=0,SUMIFS(INDIRECT(ADDRESS(12,3+18*2+(1),,,"J1 B - Butcher Terrace")&amp;":"&amp;ADDRESS(130,3+18*2+(1))),'J1 B - Butcher Terrace'!$A$12:$A$130,"&gt;="&amp;Diagram!$O11,'J1 B - Butcher Terrace'!$A$12:$A$130,"&lt;"&amp;Diagram!$P11),SUMIFS(INDIRECT(ADDRESS(12,3+18*2+(9),,,"J1 B - Butcher Terrace")&amp;":"&amp;ADDRESS(130,3+18*2+(9))),'J1 B - Butcher Terrace'!$A$12:$A$130,"&gt;="&amp;Diagram!$O11,'J1 B - Butcher Terrace'!$A$12:$A$130,"&lt;"&amp;Diagram!$P11)))</f>
        <v>0</v>
      </c>
      <c r="AO11" s="42">
        <f ca="1">IF(OR($I$10="",$O11="",$P11="",$J$36&lt;&gt;"Yes"),0,IF($K$10=0,SUMIFS(INDIRECT(ADDRESS(12,3+18*3+(1),,,"J1 B - Butcher Terrace")&amp;":"&amp;ADDRESS(130,3+18*3+(1))),'J1 B - Butcher Terrace'!$A$12:$A$130,"&gt;="&amp;Diagram!$O11,'J1 B - Butcher Terrace'!$A$12:$A$130,"&lt;"&amp;Diagram!$P11),SUMIFS(INDIRECT(ADDRESS(12,3+18*3+(9),,,"J1 B - Butcher Terrace")&amp;":"&amp;ADDRESS(130,3+18*3+(9))),'J1 B - Butcher Terrace'!$A$12:$A$130,"&gt;="&amp;Diagram!$O11,'J1 B - Butcher Terrace'!$A$12:$A$130,"&lt;"&amp;Diagram!$P11)))</f>
        <v>0</v>
      </c>
      <c r="AP11" s="42">
        <f ca="1">IF(OR($I$10="",$O11="",$P11="",$J$36&lt;&gt;"Yes"),0,IF($K$10=0,SUMIFS(INDIRECT(ADDRESS(12,3+18*0+(1),,,"J1 B - Butcher Terrace")&amp;":"&amp;ADDRESS(130,3+18*0+(1))),'J1 B - Butcher Terrace'!$A$12:$A$130,"&gt;="&amp;Diagram!$O11,'J1 B - Butcher Terrace'!$A$12:$A$130,"&lt;"&amp;Diagram!$P11),SUMIFS(INDIRECT(ADDRESS(12,3+18*0+(9),,,"J1 B - Butcher Terrace")&amp;":"&amp;ADDRESS(130,3+18*0+(9))),'J1 B - Butcher Terrace'!$A$12:$A$130,"&gt;="&amp;Diagram!$O11,'J1 B - Butcher Terrace'!$A$12:$A$130,"&lt;"&amp;Diagram!$P11)))</f>
        <v>0</v>
      </c>
      <c r="AQ11" s="42">
        <f ca="1">IF(OR($I$10="",$O11="",$P11="",$J$36&lt;&gt;"Yes"),0,IF($K$10=0,SUMIFS(INDIRECT(ADDRESS(12,3+18*1+(1),,,"J1 B - Butcher Terrace")&amp;":"&amp;ADDRESS(130,3+18*1+(1))),'J1 B - Butcher Terrace'!$A$12:$A$130,"&gt;="&amp;Diagram!$O11,'J1 B - Butcher Terrace'!$A$12:$A$130,"&lt;"&amp;Diagram!$P11),SUMIFS(INDIRECT(ADDRESS(12,3+18*1+(9),,,"J1 B - Butcher Terrace")&amp;":"&amp;ADDRESS(130,3+18*1+(9))),'J1 B - Butcher Terrace'!$A$12:$A$130,"&gt;="&amp;Diagram!$O11,'J1 B - Butcher Terrace'!$A$12:$A$130,"&lt;"&amp;Diagram!$P11)))</f>
        <v>0</v>
      </c>
      <c r="AR11" s="42">
        <f ca="1">IF(OR($I$10="",$O11="",$P11="",$J$36&lt;&gt;"Yes"),0,IF($K$10=0,SUMIFS(INDIRECT(ADDRESS(12,3+18*1+(1),,,"J1 C - (South) Bishopthorpe Roa")&amp;":"&amp;ADDRESS(130,3+18*1+(1))),'J1 C - (South) Bishopthorpe Roa'!$A$12:$A$130,"&gt;="&amp;Diagram!$O11,'J1 C - (South) Bishopthorpe Roa'!$A$12:$A$130,"&lt;"&amp;Diagram!$P11),SUMIFS(INDIRECT(ADDRESS(12,3+18*1+(9),,,"J1 C - (South) Bishopthorpe Roa")&amp;":"&amp;ADDRESS(130,3+18*1+(9))),'J1 C - (South) Bishopthorpe Roa'!$A$12:$A$130,"&gt;="&amp;Diagram!$O11,'J1 C - (South) Bishopthorpe Roa'!$A$12:$A$130,"&lt;"&amp;Diagram!$P11)))</f>
        <v>0</v>
      </c>
      <c r="AS11" s="42">
        <f ca="1">IF(OR($I$10="",$O11="",$P11="",$J$36&lt;&gt;"Yes"),0,IF($K$10=0,SUMIFS(INDIRECT(ADDRESS(12,3+18*2+(1),,,"J1 C - (South) Bishopthorpe Roa")&amp;":"&amp;ADDRESS(130,3+18*2+(1))),'J1 C - (South) Bishopthorpe Roa'!$A$12:$A$130,"&gt;="&amp;Diagram!$O11,'J1 C - (South) Bishopthorpe Roa'!$A$12:$A$130,"&lt;"&amp;Diagram!$P11),SUMIFS(INDIRECT(ADDRESS(12,3+18*2+(9),,,"J1 C - (South) Bishopthorpe Roa")&amp;":"&amp;ADDRESS(130,3+18*2+(9))),'J1 C - (South) Bishopthorpe Roa'!$A$12:$A$130,"&gt;="&amp;Diagram!$O11,'J1 C - (South) Bishopthorpe Roa'!$A$12:$A$130,"&lt;"&amp;Diagram!$P11)))</f>
        <v>0</v>
      </c>
      <c r="AT11" s="42">
        <f ca="1">IF(OR($I$10="",$O11="",$P11="",$J$36&lt;&gt;"Yes"),0,IF($K$10=0,SUMIFS(INDIRECT(ADDRESS(12,3+18*3+(1),,,"J1 C - (South) Bishopthorpe Roa")&amp;":"&amp;ADDRESS(130,3+18*3+(1))),'J1 C - (South) Bishopthorpe Roa'!$A$12:$A$130,"&gt;="&amp;Diagram!$O11,'J1 C - (South) Bishopthorpe Roa'!$A$12:$A$130,"&lt;"&amp;Diagram!$P11),SUMIFS(INDIRECT(ADDRESS(12,3+18*3+(9),,,"J1 C - (South) Bishopthorpe Roa")&amp;":"&amp;ADDRESS(130,3+18*3+(9))),'J1 C - (South) Bishopthorpe Roa'!$A$12:$A$130,"&gt;="&amp;Diagram!$O11,'J1 C - (South) Bishopthorpe Roa'!$A$12:$A$130,"&lt;"&amp;Diagram!$P11)))</f>
        <v>0</v>
      </c>
      <c r="AU11" s="42">
        <f ca="1">IF(OR($I$10="",$O11="",$P11="",$J$36&lt;&gt;"Yes"),0,IF($K$10=0,SUMIFS(INDIRECT(ADDRESS(12,3+18*0+(1),,,"J1 C - (South) Bishopthorpe Roa")&amp;":"&amp;ADDRESS(130,3+18*0+(1))),'J1 C - (South) Bishopthorpe Roa'!$A$12:$A$130,"&gt;="&amp;Diagram!$O11,'J1 C - (South) Bishopthorpe Roa'!$A$12:$A$130,"&lt;"&amp;Diagram!$P11),SUMIFS(INDIRECT(ADDRESS(12,3+18*0+(9),,,"J1 C - (South) Bishopthorpe Roa")&amp;":"&amp;ADDRESS(130,3+18*0+(9))),'J1 C - (South) Bishopthorpe Roa'!$A$12:$A$130,"&gt;="&amp;Diagram!$O11,'J1 C - (South) Bishopthorpe Roa'!$A$12:$A$130,"&lt;"&amp;Diagram!$P11)))</f>
        <v>0</v>
      </c>
      <c r="AV11" s="42">
        <f ca="1">IF(OR($I$10="",$O11="",$P11="",$J$36&lt;&gt;"Yes"),0,IF($K$10=0,SUMIFS(INDIRECT(ADDRESS(12,3+18*0+(1),,,"J1 D - South Bank Avenue")&amp;":"&amp;ADDRESS(130,3+18*0+(1))),'J1 D - South Bank Avenue'!$A$12:$A$130,"&gt;="&amp;Diagram!$O11,'J1 D - South Bank Avenue'!$A$12:$A$130,"&lt;"&amp;Diagram!$P11),SUMIFS(INDIRECT(ADDRESS(12,3+18*0+(9),,,"J1 D - South Bank Avenue")&amp;":"&amp;ADDRESS(130,3+18*0+(9))),'J1 D - South Bank Avenue'!$A$12:$A$130,"&gt;="&amp;Diagram!$O11,'J1 D - South Bank Avenue'!$A$12:$A$130,"&lt;"&amp;Diagram!$P11)))</f>
        <v>0</v>
      </c>
      <c r="AW11" s="42">
        <f ca="1">IF(OR($I$10="",$O11="",$P11="",$J$36&lt;&gt;"Yes"),0,IF($K$10=0,SUMIFS(INDIRECT(ADDRESS(12,3+18*1+(1),,,"J1 D - South Bank Avenue")&amp;":"&amp;ADDRESS(130,3+18*1+(1))),'J1 D - South Bank Avenue'!$A$12:$A$130,"&gt;="&amp;Diagram!$O11,'J1 D - South Bank Avenue'!$A$12:$A$130,"&lt;"&amp;Diagram!$P11),SUMIFS(INDIRECT(ADDRESS(12,3+18*1+(9),,,"J1 D - South Bank Avenue")&amp;":"&amp;ADDRESS(130,3+18*1+(9))),'J1 D - South Bank Avenue'!$A$12:$A$130,"&gt;="&amp;Diagram!$O11,'J1 D - South Bank Avenue'!$A$12:$A$130,"&lt;"&amp;Diagram!$P11)))</f>
        <v>0</v>
      </c>
      <c r="AX11" s="42">
        <f ca="1">IF(OR($I$10="",$O11="",$P11="",$J$36&lt;&gt;"Yes"),0,IF($K$10=0,SUMIFS(INDIRECT(ADDRESS(12,3+18*2+(1),,,"J1 D - South Bank Avenue")&amp;":"&amp;ADDRESS(130,3+18*2+(1))),'J1 D - South Bank Avenue'!$A$12:$A$130,"&gt;="&amp;Diagram!$O11,'J1 D - South Bank Avenue'!$A$12:$A$130,"&lt;"&amp;Diagram!$P11),SUMIFS(INDIRECT(ADDRESS(12,3+18*2+(9),,,"J1 D - South Bank Avenue")&amp;":"&amp;ADDRESS(130,3+18*2+(9))),'J1 D - South Bank Avenue'!$A$12:$A$130,"&gt;="&amp;Diagram!$O11,'J1 D - South Bank Avenue'!$A$12:$A$130,"&lt;"&amp;Diagram!$P11)))</f>
        <v>0</v>
      </c>
      <c r="AY11" s="42">
        <f ca="1">IF(OR($I$10="",$O11="",$P11="",$J$36&lt;&gt;"Yes"),0,IF($K$10=0,SUMIFS(INDIRECT(ADDRESS(12,3+18*3+(1),,,"J1 D - South Bank Avenue")&amp;":"&amp;ADDRESS(130,3+18*3+(1))),'J1 D - South Bank Avenue'!$A$12:$A$130,"&gt;="&amp;Diagram!$O11,'J1 D - South Bank Avenue'!$A$12:$A$130,"&lt;"&amp;Diagram!$P11),SUMIFS(INDIRECT(ADDRESS(12,3+18*3+(9),,,"J1 D - South Bank Avenue")&amp;":"&amp;ADDRESS(130,3+18*3+(9))),'J1 D - South Bank Avenue'!$A$12:$A$130,"&gt;="&amp;Diagram!$O11,'J1 D - South Bank Avenue'!$A$12:$A$130,"&lt;"&amp;Diagram!$P11)))</f>
        <v>0</v>
      </c>
      <c r="AZ11" s="42">
        <f t="shared" ca="1" si="3"/>
        <v>0</v>
      </c>
      <c r="BA11" s="42">
        <f ca="1">IF(OR($I$10="",$O11="",$P11="",$J$37&lt;&gt;"Yes"),0,IF($K$10=0,SUMIFS(INDIRECT(ADDRESS(12,3+18*3+(2),,,"J1 A - (North) Bishopthorpe Roa")&amp;":"&amp;ADDRESS(130,3+18*3+(2))),'J1 A - (North) Bishopthorpe Roa'!$A$12:$A$130,"&gt;="&amp;Diagram!$O11,'J1 A - (North) Bishopthorpe Roa'!$A$12:$A$130,"&lt;"&amp;Diagram!$P11),SUMIFS(INDIRECT(ADDRESS(12,3+18*3+(10),,,"J1 A - (North) Bishopthorpe Roa")&amp;":"&amp;ADDRESS(130,3+18*3+(10))),'J1 A - (North) Bishopthorpe Roa'!$A$12:$A$130,"&gt;="&amp;Diagram!$O11,'J1 A - (North) Bishopthorpe Roa'!$A$12:$A$130,"&lt;"&amp;Diagram!$P11)))</f>
        <v>0</v>
      </c>
      <c r="BB11" s="42">
        <f ca="1">IF(OR($I$10="",$O11="",$P11="",$J$37&lt;&gt;"Yes"),0,IF($K$10=0,SUMIFS(INDIRECT(ADDRESS(12,3+18*0+(2),,,"J1 A - (North) Bishopthorpe Roa")&amp;":"&amp;ADDRESS(130,3+18*0+(2))),'J1 A - (North) Bishopthorpe Roa'!$A$12:$A$130,"&gt;="&amp;Diagram!$O11,'J1 A - (North) Bishopthorpe Roa'!$A$12:$A$130,"&lt;"&amp;Diagram!$P11),SUMIFS(INDIRECT(ADDRESS(12,3+18*0+(10),,,"J1 A - (North) Bishopthorpe Roa")&amp;":"&amp;ADDRESS(130,3+18*0+(10))),'J1 A - (North) Bishopthorpe Roa'!$A$12:$A$130,"&gt;="&amp;Diagram!$O11,'J1 A - (North) Bishopthorpe Roa'!$A$12:$A$130,"&lt;"&amp;Diagram!$P11)))</f>
        <v>0</v>
      </c>
      <c r="BC11" s="42">
        <f ca="1">IF(OR($I$10="",$O11="",$P11="",$J$37&lt;&gt;"Yes"),0,IF($K$10=0,SUMIFS(INDIRECT(ADDRESS(12,3+18*1+(2),,,"J1 A - (North) Bishopthorpe Roa")&amp;":"&amp;ADDRESS(130,3+18*1+(2))),'J1 A - (North) Bishopthorpe Roa'!$A$12:$A$130,"&gt;="&amp;Diagram!$O11,'J1 A - (North) Bishopthorpe Roa'!$A$12:$A$130,"&lt;"&amp;Diagram!$P11),SUMIFS(INDIRECT(ADDRESS(12,3+18*1+(10),,,"J1 A - (North) Bishopthorpe Roa")&amp;":"&amp;ADDRESS(130,3+18*1+(10))),'J1 A - (North) Bishopthorpe Roa'!$A$12:$A$130,"&gt;="&amp;Diagram!$O11,'J1 A - (North) Bishopthorpe Roa'!$A$12:$A$130,"&lt;"&amp;Diagram!$P11)))</f>
        <v>0</v>
      </c>
      <c r="BD11" s="42">
        <f ca="1">IF(OR($I$10="",$O11="",$P11="",$J$37&lt;&gt;"Yes"),0,IF($K$10=0,SUMIFS(INDIRECT(ADDRESS(12,3+18*2+(2),,,"J1 A - (North) Bishopthorpe Roa")&amp;":"&amp;ADDRESS(130,3+18*2+(2))),'J1 A - (North) Bishopthorpe Roa'!$A$12:$A$130,"&gt;="&amp;Diagram!$O11,'J1 A - (North) Bishopthorpe Roa'!$A$12:$A$130,"&lt;"&amp;Diagram!$P11),SUMIFS(INDIRECT(ADDRESS(12,3+18*2+(10),,,"J1 A - (North) Bishopthorpe Roa")&amp;":"&amp;ADDRESS(130,3+18*2+(10))),'J1 A - (North) Bishopthorpe Roa'!$A$12:$A$130,"&gt;="&amp;Diagram!$O11,'J1 A - (North) Bishopthorpe Roa'!$A$12:$A$130,"&lt;"&amp;Diagram!$P11)))</f>
        <v>0</v>
      </c>
      <c r="BE11" s="42">
        <f ca="1">IF(OR($I$10="",$O11="",$P11="",$J$37&lt;&gt;"Yes"),0,IF($K$10=0,SUMIFS(INDIRECT(ADDRESS(12,3+18*2+(2),,,"J1 B - Butcher Terrace")&amp;":"&amp;ADDRESS(130,3+18*2+(2))),'J1 B - Butcher Terrace'!$A$12:$A$130,"&gt;="&amp;Diagram!$O11,'J1 B - Butcher Terrace'!$A$12:$A$130,"&lt;"&amp;Diagram!$P11),SUMIFS(INDIRECT(ADDRESS(12,3+18*2+(10),,,"J1 B - Butcher Terrace")&amp;":"&amp;ADDRESS(130,3+18*2+(10))),'J1 B - Butcher Terrace'!$A$12:$A$130,"&gt;="&amp;Diagram!$O11,'J1 B - Butcher Terrace'!$A$12:$A$130,"&lt;"&amp;Diagram!$P11)))</f>
        <v>0</v>
      </c>
      <c r="BF11" s="42">
        <f ca="1">IF(OR($I$10="",$O11="",$P11="",$J$37&lt;&gt;"Yes"),0,IF($K$10=0,SUMIFS(INDIRECT(ADDRESS(12,3+18*3+(2),,,"J1 B - Butcher Terrace")&amp;":"&amp;ADDRESS(130,3+18*3+(2))),'J1 B - Butcher Terrace'!$A$12:$A$130,"&gt;="&amp;Diagram!$O11,'J1 B - Butcher Terrace'!$A$12:$A$130,"&lt;"&amp;Diagram!$P11),SUMIFS(INDIRECT(ADDRESS(12,3+18*3+(10),,,"J1 B - Butcher Terrace")&amp;":"&amp;ADDRESS(130,3+18*3+(10))),'J1 B - Butcher Terrace'!$A$12:$A$130,"&gt;="&amp;Diagram!$O11,'J1 B - Butcher Terrace'!$A$12:$A$130,"&lt;"&amp;Diagram!$P11)))</f>
        <v>0</v>
      </c>
      <c r="BG11" s="42">
        <f ca="1">IF(OR($I$10="",$O11="",$P11="",$J$37&lt;&gt;"Yes"),0,IF($K$10=0,SUMIFS(INDIRECT(ADDRESS(12,3+18*0+(2),,,"J1 B - Butcher Terrace")&amp;":"&amp;ADDRESS(130,3+18*0+(2))),'J1 B - Butcher Terrace'!$A$12:$A$130,"&gt;="&amp;Diagram!$O11,'J1 B - Butcher Terrace'!$A$12:$A$130,"&lt;"&amp;Diagram!$P11),SUMIFS(INDIRECT(ADDRESS(12,3+18*0+(10),,,"J1 B - Butcher Terrace")&amp;":"&amp;ADDRESS(130,3+18*0+(10))),'J1 B - Butcher Terrace'!$A$12:$A$130,"&gt;="&amp;Diagram!$O11,'J1 B - Butcher Terrace'!$A$12:$A$130,"&lt;"&amp;Diagram!$P11)))</f>
        <v>0</v>
      </c>
      <c r="BH11" s="42">
        <f ca="1">IF(OR($I$10="",$O11="",$P11="",$J$37&lt;&gt;"Yes"),0,IF($K$10=0,SUMIFS(INDIRECT(ADDRESS(12,3+18*1+(2),,,"J1 B - Butcher Terrace")&amp;":"&amp;ADDRESS(130,3+18*1+(2))),'J1 B - Butcher Terrace'!$A$12:$A$130,"&gt;="&amp;Diagram!$O11,'J1 B - Butcher Terrace'!$A$12:$A$130,"&lt;"&amp;Diagram!$P11),SUMIFS(INDIRECT(ADDRESS(12,3+18*1+(10),,,"J1 B - Butcher Terrace")&amp;":"&amp;ADDRESS(130,3+18*1+(10))),'J1 B - Butcher Terrace'!$A$12:$A$130,"&gt;="&amp;Diagram!$O11,'J1 B - Butcher Terrace'!$A$12:$A$130,"&lt;"&amp;Diagram!$P11)))</f>
        <v>0</v>
      </c>
      <c r="BI11" s="42">
        <f ca="1">IF(OR($I$10="",$O11="",$P11="",$J$37&lt;&gt;"Yes"),0,IF($K$10=0,SUMIFS(INDIRECT(ADDRESS(12,3+18*1+(2),,,"J1 C - (South) Bishopthorpe Roa")&amp;":"&amp;ADDRESS(130,3+18*1+(2))),'J1 C - (South) Bishopthorpe Roa'!$A$12:$A$130,"&gt;="&amp;Diagram!$O11,'J1 C - (South) Bishopthorpe Roa'!$A$12:$A$130,"&lt;"&amp;Diagram!$P11),SUMIFS(INDIRECT(ADDRESS(12,3+18*1+(10),,,"J1 C - (South) Bishopthorpe Roa")&amp;":"&amp;ADDRESS(130,3+18*1+(10))),'J1 C - (South) Bishopthorpe Roa'!$A$12:$A$130,"&gt;="&amp;Diagram!$O11,'J1 C - (South) Bishopthorpe Roa'!$A$12:$A$130,"&lt;"&amp;Diagram!$P11)))</f>
        <v>0</v>
      </c>
      <c r="BJ11" s="42">
        <f ca="1">IF(OR($I$10="",$O11="",$P11="",$J$37&lt;&gt;"Yes"),0,IF($K$10=0,SUMIFS(INDIRECT(ADDRESS(12,3+18*2+(2),,,"J1 C - (South) Bishopthorpe Roa")&amp;":"&amp;ADDRESS(130,3+18*2+(2))),'J1 C - (South) Bishopthorpe Roa'!$A$12:$A$130,"&gt;="&amp;Diagram!$O11,'J1 C - (South) Bishopthorpe Roa'!$A$12:$A$130,"&lt;"&amp;Diagram!$P11),SUMIFS(INDIRECT(ADDRESS(12,3+18*2+(10),,,"J1 C - (South) Bishopthorpe Roa")&amp;":"&amp;ADDRESS(130,3+18*2+(10))),'J1 C - (South) Bishopthorpe Roa'!$A$12:$A$130,"&gt;="&amp;Diagram!$O11,'J1 C - (South) Bishopthorpe Roa'!$A$12:$A$130,"&lt;"&amp;Diagram!$P11)))</f>
        <v>0</v>
      </c>
      <c r="BK11" s="42">
        <f ca="1">IF(OR($I$10="",$O11="",$P11="",$J$37&lt;&gt;"Yes"),0,IF($K$10=0,SUMIFS(INDIRECT(ADDRESS(12,3+18*3+(2),,,"J1 C - (South) Bishopthorpe Roa")&amp;":"&amp;ADDRESS(130,3+18*3+(2))),'J1 C - (South) Bishopthorpe Roa'!$A$12:$A$130,"&gt;="&amp;Diagram!$O11,'J1 C - (South) Bishopthorpe Roa'!$A$12:$A$130,"&lt;"&amp;Diagram!$P11),SUMIFS(INDIRECT(ADDRESS(12,3+18*3+(10),,,"J1 C - (South) Bishopthorpe Roa")&amp;":"&amp;ADDRESS(130,3+18*3+(10))),'J1 C - (South) Bishopthorpe Roa'!$A$12:$A$130,"&gt;="&amp;Diagram!$O11,'J1 C - (South) Bishopthorpe Roa'!$A$12:$A$130,"&lt;"&amp;Diagram!$P11)))</f>
        <v>0</v>
      </c>
      <c r="BL11" s="42">
        <f ca="1">IF(OR($I$10="",$O11="",$P11="",$J$37&lt;&gt;"Yes"),0,IF($K$10=0,SUMIFS(INDIRECT(ADDRESS(12,3+18*0+(2),,,"J1 C - (South) Bishopthorpe Roa")&amp;":"&amp;ADDRESS(130,3+18*0+(2))),'J1 C - (South) Bishopthorpe Roa'!$A$12:$A$130,"&gt;="&amp;Diagram!$O11,'J1 C - (South) Bishopthorpe Roa'!$A$12:$A$130,"&lt;"&amp;Diagram!$P11),SUMIFS(INDIRECT(ADDRESS(12,3+18*0+(10),,,"J1 C - (South) Bishopthorpe Roa")&amp;":"&amp;ADDRESS(130,3+18*0+(10))),'J1 C - (South) Bishopthorpe Roa'!$A$12:$A$130,"&gt;="&amp;Diagram!$O11,'J1 C - (South) Bishopthorpe Roa'!$A$12:$A$130,"&lt;"&amp;Diagram!$P11)))</f>
        <v>0</v>
      </c>
      <c r="BM11" s="42">
        <f ca="1">IF(OR($I$10="",$O11="",$P11="",$J$37&lt;&gt;"Yes"),0,IF($K$10=0,SUMIFS(INDIRECT(ADDRESS(12,3+18*0+(2),,,"J1 D - South Bank Avenue")&amp;":"&amp;ADDRESS(130,3+18*0+(2))),'J1 D - South Bank Avenue'!$A$12:$A$130,"&gt;="&amp;Diagram!$O11,'J1 D - South Bank Avenue'!$A$12:$A$130,"&lt;"&amp;Diagram!$P11),SUMIFS(INDIRECT(ADDRESS(12,3+18*0+(10),,,"J1 D - South Bank Avenue")&amp;":"&amp;ADDRESS(130,3+18*0+(10))),'J1 D - South Bank Avenue'!$A$12:$A$130,"&gt;="&amp;Diagram!$O11,'J1 D - South Bank Avenue'!$A$12:$A$130,"&lt;"&amp;Diagram!$P11)))</f>
        <v>0</v>
      </c>
      <c r="BN11" s="42">
        <f ca="1">IF(OR($I$10="",$O11="",$P11="",$J$37&lt;&gt;"Yes"),0,IF($K$10=0,SUMIFS(INDIRECT(ADDRESS(12,3+18*1+(2),,,"J1 D - South Bank Avenue")&amp;":"&amp;ADDRESS(130,3+18*1+(2))),'J1 D - South Bank Avenue'!$A$12:$A$130,"&gt;="&amp;Diagram!$O11,'J1 D - South Bank Avenue'!$A$12:$A$130,"&lt;"&amp;Diagram!$P11),SUMIFS(INDIRECT(ADDRESS(12,3+18*1+(10),,,"J1 D - South Bank Avenue")&amp;":"&amp;ADDRESS(130,3+18*1+(10))),'J1 D - South Bank Avenue'!$A$12:$A$130,"&gt;="&amp;Diagram!$O11,'J1 D - South Bank Avenue'!$A$12:$A$130,"&lt;"&amp;Diagram!$P11)))</f>
        <v>0</v>
      </c>
      <c r="BO11" s="42">
        <f ca="1">IF(OR($I$10="",$O11="",$P11="",$J$37&lt;&gt;"Yes"),0,IF($K$10=0,SUMIFS(INDIRECT(ADDRESS(12,3+18*2+(2),,,"J1 D - South Bank Avenue")&amp;":"&amp;ADDRESS(130,3+18*2+(2))),'J1 D - South Bank Avenue'!$A$12:$A$130,"&gt;="&amp;Diagram!$O11,'J1 D - South Bank Avenue'!$A$12:$A$130,"&lt;"&amp;Diagram!$P11),SUMIFS(INDIRECT(ADDRESS(12,3+18*2+(10),,,"J1 D - South Bank Avenue")&amp;":"&amp;ADDRESS(130,3+18*2+(10))),'J1 D - South Bank Avenue'!$A$12:$A$130,"&gt;="&amp;Diagram!$O11,'J1 D - South Bank Avenue'!$A$12:$A$130,"&lt;"&amp;Diagram!$P11)))</f>
        <v>0</v>
      </c>
      <c r="BP11" s="42">
        <f ca="1">IF(OR($I$10="",$O11="",$P11="",$J$37&lt;&gt;"Yes"),0,IF($K$10=0,SUMIFS(INDIRECT(ADDRESS(12,3+18*3+(2),,,"J1 D - South Bank Avenue")&amp;":"&amp;ADDRESS(130,3+18*3+(2))),'J1 D - South Bank Avenue'!$A$12:$A$130,"&gt;="&amp;Diagram!$O11,'J1 D - South Bank Avenue'!$A$12:$A$130,"&lt;"&amp;Diagram!$P11),SUMIFS(INDIRECT(ADDRESS(12,3+18*3+(10),,,"J1 D - South Bank Avenue")&amp;":"&amp;ADDRESS(130,3+18*3+(10))),'J1 D - South Bank Avenue'!$A$12:$A$130,"&gt;="&amp;Diagram!$O11,'J1 D - South Bank Avenue'!$A$12:$A$130,"&lt;"&amp;Diagram!$P11)))</f>
        <v>0</v>
      </c>
      <c r="BQ11" s="42">
        <f t="shared" ca="1" si="4"/>
        <v>0</v>
      </c>
      <c r="BR11" s="42">
        <f ca="1">IF(OR($I$10="",$O11="",$P11="",$J$38&lt;&gt;"Yes"),0,IF($K$10=0,SUMIFS(INDIRECT(ADDRESS(12,3+18*3+(3),,,"J1 A - (North) Bishopthorpe Roa")&amp;":"&amp;ADDRESS(130,3+18*3+(3))),'J1 A - (North) Bishopthorpe Roa'!$A$12:$A$130,"&gt;="&amp;Diagram!$O11,'J1 A - (North) Bishopthorpe Roa'!$A$12:$A$130,"&lt;"&amp;Diagram!$P11),SUMIFS(INDIRECT(ADDRESS(12,3+18*3+(11),,,"J1 A - (North) Bishopthorpe Roa")&amp;":"&amp;ADDRESS(130,3+18*3+(11))),'J1 A - (North) Bishopthorpe Roa'!$A$12:$A$130,"&gt;="&amp;Diagram!$O11,'J1 A - (North) Bishopthorpe Roa'!$A$12:$A$130,"&lt;"&amp;Diagram!$P11)))</f>
        <v>0</v>
      </c>
      <c r="BS11" s="42">
        <f ca="1">IF(OR($I$10="",$O11="",$P11="",$J$38&lt;&gt;"Yes"),0,IF($K$10=0,SUMIFS(INDIRECT(ADDRESS(12,3+18*0+(3),,,"J1 A - (North) Bishopthorpe Roa")&amp;":"&amp;ADDRESS(130,3+18*0+(3))),'J1 A - (North) Bishopthorpe Roa'!$A$12:$A$130,"&gt;="&amp;Diagram!$O11,'J1 A - (North) Bishopthorpe Roa'!$A$12:$A$130,"&lt;"&amp;Diagram!$P11),SUMIFS(INDIRECT(ADDRESS(12,3+18*0+(11),,,"J1 A - (North) Bishopthorpe Roa")&amp;":"&amp;ADDRESS(130,3+18*0+(11))),'J1 A - (North) Bishopthorpe Roa'!$A$12:$A$130,"&gt;="&amp;Diagram!$O11,'J1 A - (North) Bishopthorpe Roa'!$A$12:$A$130,"&lt;"&amp;Diagram!$P11)))</f>
        <v>0</v>
      </c>
      <c r="BT11" s="42">
        <f ca="1">IF(OR($I$10="",$O11="",$P11="",$J$38&lt;&gt;"Yes"),0,IF($K$10=0,SUMIFS(INDIRECT(ADDRESS(12,3+18*1+(3),,,"J1 A - (North) Bishopthorpe Roa")&amp;":"&amp;ADDRESS(130,3+18*1+(3))),'J1 A - (North) Bishopthorpe Roa'!$A$12:$A$130,"&gt;="&amp;Diagram!$O11,'J1 A - (North) Bishopthorpe Roa'!$A$12:$A$130,"&lt;"&amp;Diagram!$P11),SUMIFS(INDIRECT(ADDRESS(12,3+18*1+(11),,,"J1 A - (North) Bishopthorpe Roa")&amp;":"&amp;ADDRESS(130,3+18*1+(11))),'J1 A - (North) Bishopthorpe Roa'!$A$12:$A$130,"&gt;="&amp;Diagram!$O11,'J1 A - (North) Bishopthorpe Roa'!$A$12:$A$130,"&lt;"&amp;Diagram!$P11)))</f>
        <v>0</v>
      </c>
      <c r="BU11" s="42">
        <f ca="1">IF(OR($I$10="",$O11="",$P11="",$J$38&lt;&gt;"Yes"),0,IF($K$10=0,SUMIFS(INDIRECT(ADDRESS(12,3+18*2+(3),,,"J1 A - (North) Bishopthorpe Roa")&amp;":"&amp;ADDRESS(130,3+18*2+(3))),'J1 A - (North) Bishopthorpe Roa'!$A$12:$A$130,"&gt;="&amp;Diagram!$O11,'J1 A - (North) Bishopthorpe Roa'!$A$12:$A$130,"&lt;"&amp;Diagram!$P11),SUMIFS(INDIRECT(ADDRESS(12,3+18*2+(11),,,"J1 A - (North) Bishopthorpe Roa")&amp;":"&amp;ADDRESS(130,3+18*2+(11))),'J1 A - (North) Bishopthorpe Roa'!$A$12:$A$130,"&gt;="&amp;Diagram!$O11,'J1 A - (North) Bishopthorpe Roa'!$A$12:$A$130,"&lt;"&amp;Diagram!$P11)))</f>
        <v>0</v>
      </c>
      <c r="BV11" s="42">
        <f ca="1">IF(OR($I$10="",$O11="",$P11="",$J$38&lt;&gt;"Yes"),0,IF($K$10=0,SUMIFS(INDIRECT(ADDRESS(12,3+18*2+(3),,,"J1 B - Butcher Terrace")&amp;":"&amp;ADDRESS(130,3+18*2+(3))),'J1 B - Butcher Terrace'!$A$12:$A$130,"&gt;="&amp;Diagram!$O11,'J1 B - Butcher Terrace'!$A$12:$A$130,"&lt;"&amp;Diagram!$P11),SUMIFS(INDIRECT(ADDRESS(12,3+18*2+(11),,,"J1 B - Butcher Terrace")&amp;":"&amp;ADDRESS(130,3+18*2+(11))),'J1 B - Butcher Terrace'!$A$12:$A$130,"&gt;="&amp;Diagram!$O11,'J1 B - Butcher Terrace'!$A$12:$A$130,"&lt;"&amp;Diagram!$P11)))</f>
        <v>0</v>
      </c>
      <c r="BW11" s="42">
        <f ca="1">IF(OR($I$10="",$O11="",$P11="",$J$38&lt;&gt;"Yes"),0,IF($K$10=0,SUMIFS(INDIRECT(ADDRESS(12,3+18*3+(3),,,"J1 B - Butcher Terrace")&amp;":"&amp;ADDRESS(130,3+18*3+(3))),'J1 B - Butcher Terrace'!$A$12:$A$130,"&gt;="&amp;Diagram!$O11,'J1 B - Butcher Terrace'!$A$12:$A$130,"&lt;"&amp;Diagram!$P11),SUMIFS(INDIRECT(ADDRESS(12,3+18*3+(11),,,"J1 B - Butcher Terrace")&amp;":"&amp;ADDRESS(130,3+18*3+(11))),'J1 B - Butcher Terrace'!$A$12:$A$130,"&gt;="&amp;Diagram!$O11,'J1 B - Butcher Terrace'!$A$12:$A$130,"&lt;"&amp;Diagram!$P11)))</f>
        <v>0</v>
      </c>
      <c r="BX11" s="42">
        <f ca="1">IF(OR($I$10="",$O11="",$P11="",$J$38&lt;&gt;"Yes"),0,IF($K$10=0,SUMIFS(INDIRECT(ADDRESS(12,3+18*0+(3),,,"J1 B - Butcher Terrace")&amp;":"&amp;ADDRESS(130,3+18*0+(3))),'J1 B - Butcher Terrace'!$A$12:$A$130,"&gt;="&amp;Diagram!$O11,'J1 B - Butcher Terrace'!$A$12:$A$130,"&lt;"&amp;Diagram!$P11),SUMIFS(INDIRECT(ADDRESS(12,3+18*0+(11),,,"J1 B - Butcher Terrace")&amp;":"&amp;ADDRESS(130,3+18*0+(11))),'J1 B - Butcher Terrace'!$A$12:$A$130,"&gt;="&amp;Diagram!$O11,'J1 B - Butcher Terrace'!$A$12:$A$130,"&lt;"&amp;Diagram!$P11)))</f>
        <v>0</v>
      </c>
      <c r="BY11" s="42">
        <f ca="1">IF(OR($I$10="",$O11="",$P11="",$J$38&lt;&gt;"Yes"),0,IF($K$10=0,SUMIFS(INDIRECT(ADDRESS(12,3+18*1+(3),,,"J1 B - Butcher Terrace")&amp;":"&amp;ADDRESS(130,3+18*1+(3))),'J1 B - Butcher Terrace'!$A$12:$A$130,"&gt;="&amp;Diagram!$O11,'J1 B - Butcher Terrace'!$A$12:$A$130,"&lt;"&amp;Diagram!$P11),SUMIFS(INDIRECT(ADDRESS(12,3+18*1+(11),,,"J1 B - Butcher Terrace")&amp;":"&amp;ADDRESS(130,3+18*1+(11))),'J1 B - Butcher Terrace'!$A$12:$A$130,"&gt;="&amp;Diagram!$O11,'J1 B - Butcher Terrace'!$A$12:$A$130,"&lt;"&amp;Diagram!$P11)))</f>
        <v>0</v>
      </c>
      <c r="BZ11" s="42">
        <f ca="1">IF(OR($I$10="",$O11="",$P11="",$J$38&lt;&gt;"Yes"),0,IF($K$10=0,SUMIFS(INDIRECT(ADDRESS(12,3+18*1+(3),,,"J1 C - (South) Bishopthorpe Roa")&amp;":"&amp;ADDRESS(130,3+18*1+(3))),'J1 C - (South) Bishopthorpe Roa'!$A$12:$A$130,"&gt;="&amp;Diagram!$O11,'J1 C - (South) Bishopthorpe Roa'!$A$12:$A$130,"&lt;"&amp;Diagram!$P11),SUMIFS(INDIRECT(ADDRESS(12,3+18*1+(11),,,"J1 C - (South) Bishopthorpe Roa")&amp;":"&amp;ADDRESS(130,3+18*1+(11))),'J1 C - (South) Bishopthorpe Roa'!$A$12:$A$130,"&gt;="&amp;Diagram!$O11,'J1 C - (South) Bishopthorpe Roa'!$A$12:$A$130,"&lt;"&amp;Diagram!$P11)))</f>
        <v>0</v>
      </c>
      <c r="CA11" s="42">
        <f ca="1">IF(OR($I$10="",$O11="",$P11="",$J$38&lt;&gt;"Yes"),0,IF($K$10=0,SUMIFS(INDIRECT(ADDRESS(12,3+18*2+(3),,,"J1 C - (South) Bishopthorpe Roa")&amp;":"&amp;ADDRESS(130,3+18*2+(3))),'J1 C - (South) Bishopthorpe Roa'!$A$12:$A$130,"&gt;="&amp;Diagram!$O11,'J1 C - (South) Bishopthorpe Roa'!$A$12:$A$130,"&lt;"&amp;Diagram!$P11),SUMIFS(INDIRECT(ADDRESS(12,3+18*2+(11),,,"J1 C - (South) Bishopthorpe Roa")&amp;":"&amp;ADDRESS(130,3+18*2+(11))),'J1 C - (South) Bishopthorpe Roa'!$A$12:$A$130,"&gt;="&amp;Diagram!$O11,'J1 C - (South) Bishopthorpe Roa'!$A$12:$A$130,"&lt;"&amp;Diagram!$P11)))</f>
        <v>0</v>
      </c>
      <c r="CB11" s="42">
        <f ca="1">IF(OR($I$10="",$O11="",$P11="",$J$38&lt;&gt;"Yes"),0,IF($K$10=0,SUMIFS(INDIRECT(ADDRESS(12,3+18*3+(3),,,"J1 C - (South) Bishopthorpe Roa")&amp;":"&amp;ADDRESS(130,3+18*3+(3))),'J1 C - (South) Bishopthorpe Roa'!$A$12:$A$130,"&gt;="&amp;Diagram!$O11,'J1 C - (South) Bishopthorpe Roa'!$A$12:$A$130,"&lt;"&amp;Diagram!$P11),SUMIFS(INDIRECT(ADDRESS(12,3+18*3+(11),,,"J1 C - (South) Bishopthorpe Roa")&amp;":"&amp;ADDRESS(130,3+18*3+(11))),'J1 C - (South) Bishopthorpe Roa'!$A$12:$A$130,"&gt;="&amp;Diagram!$O11,'J1 C - (South) Bishopthorpe Roa'!$A$12:$A$130,"&lt;"&amp;Diagram!$P11)))</f>
        <v>0</v>
      </c>
      <c r="CC11" s="42">
        <f ca="1">IF(OR($I$10="",$O11="",$P11="",$J$38&lt;&gt;"Yes"),0,IF($K$10=0,SUMIFS(INDIRECT(ADDRESS(12,3+18*0+(3),,,"J1 C - (South) Bishopthorpe Roa")&amp;":"&amp;ADDRESS(130,3+18*0+(3))),'J1 C - (South) Bishopthorpe Roa'!$A$12:$A$130,"&gt;="&amp;Diagram!$O11,'J1 C - (South) Bishopthorpe Roa'!$A$12:$A$130,"&lt;"&amp;Diagram!$P11),SUMIFS(INDIRECT(ADDRESS(12,3+18*0+(11),,,"J1 C - (South) Bishopthorpe Roa")&amp;":"&amp;ADDRESS(130,3+18*0+(11))),'J1 C - (South) Bishopthorpe Roa'!$A$12:$A$130,"&gt;="&amp;Diagram!$O11,'J1 C - (South) Bishopthorpe Roa'!$A$12:$A$130,"&lt;"&amp;Diagram!$P11)))</f>
        <v>0</v>
      </c>
      <c r="CD11" s="42">
        <f ca="1">IF(OR($I$10="",$O11="",$P11="",$J$38&lt;&gt;"Yes"),0,IF($K$10=0,SUMIFS(INDIRECT(ADDRESS(12,3+18*0+(3),,,"J1 D - South Bank Avenue")&amp;":"&amp;ADDRESS(130,3+18*0+(3))),'J1 D - South Bank Avenue'!$A$12:$A$130,"&gt;="&amp;Diagram!$O11,'J1 D - South Bank Avenue'!$A$12:$A$130,"&lt;"&amp;Diagram!$P11),SUMIFS(INDIRECT(ADDRESS(12,3+18*0+(11),,,"J1 D - South Bank Avenue")&amp;":"&amp;ADDRESS(130,3+18*0+(11))),'J1 D - South Bank Avenue'!$A$12:$A$130,"&gt;="&amp;Diagram!$O11,'J1 D - South Bank Avenue'!$A$12:$A$130,"&lt;"&amp;Diagram!$P11)))</f>
        <v>0</v>
      </c>
      <c r="CE11" s="42">
        <f ca="1">IF(OR($I$10="",$O11="",$P11="",$J$38&lt;&gt;"Yes"),0,IF($K$10=0,SUMIFS(INDIRECT(ADDRESS(12,3+18*1+(3),,,"J1 D - South Bank Avenue")&amp;":"&amp;ADDRESS(130,3+18*1+(3))),'J1 D - South Bank Avenue'!$A$12:$A$130,"&gt;="&amp;Diagram!$O11,'J1 D - South Bank Avenue'!$A$12:$A$130,"&lt;"&amp;Diagram!$P11),SUMIFS(INDIRECT(ADDRESS(12,3+18*1+(11),,,"J1 D - South Bank Avenue")&amp;":"&amp;ADDRESS(130,3+18*1+(11))),'J1 D - South Bank Avenue'!$A$12:$A$130,"&gt;="&amp;Diagram!$O11,'J1 D - South Bank Avenue'!$A$12:$A$130,"&lt;"&amp;Diagram!$P11)))</f>
        <v>0</v>
      </c>
      <c r="CF11" s="42">
        <f ca="1">IF(OR($I$10="",$O11="",$P11="",$J$38&lt;&gt;"Yes"),0,IF($K$10=0,SUMIFS(INDIRECT(ADDRESS(12,3+18*2+(3),,,"J1 D - South Bank Avenue")&amp;":"&amp;ADDRESS(130,3+18*2+(3))),'J1 D - South Bank Avenue'!$A$12:$A$130,"&gt;="&amp;Diagram!$O11,'J1 D - South Bank Avenue'!$A$12:$A$130,"&lt;"&amp;Diagram!$P11),SUMIFS(INDIRECT(ADDRESS(12,3+18*2+(11),,,"J1 D - South Bank Avenue")&amp;":"&amp;ADDRESS(130,3+18*2+(11))),'J1 D - South Bank Avenue'!$A$12:$A$130,"&gt;="&amp;Diagram!$O11,'J1 D - South Bank Avenue'!$A$12:$A$130,"&lt;"&amp;Diagram!$P11)))</f>
        <v>0</v>
      </c>
      <c r="CG11" s="42">
        <f ca="1">IF(OR($I$10="",$O11="",$P11="",$J$38&lt;&gt;"Yes"),0,IF($K$10=0,SUMIFS(INDIRECT(ADDRESS(12,3+18*3+(3),,,"J1 D - South Bank Avenue")&amp;":"&amp;ADDRESS(130,3+18*3+(3))),'J1 D - South Bank Avenue'!$A$12:$A$130,"&gt;="&amp;Diagram!$O11,'J1 D - South Bank Avenue'!$A$12:$A$130,"&lt;"&amp;Diagram!$P11),SUMIFS(INDIRECT(ADDRESS(12,3+18*3+(11),,,"J1 D - South Bank Avenue")&amp;":"&amp;ADDRESS(130,3+18*3+(11))),'J1 D - South Bank Avenue'!$A$12:$A$130,"&gt;="&amp;Diagram!$O11,'J1 D - South Bank Avenue'!$A$12:$A$130,"&lt;"&amp;Diagram!$P11)))</f>
        <v>0</v>
      </c>
      <c r="CH11" s="42">
        <f t="shared" ca="1" si="5"/>
        <v>0</v>
      </c>
      <c r="CI11" s="42">
        <f ca="1">IF(OR($I$10="",$O11="",$P11="",$J$39&lt;&gt;"Yes"),0,IF($K$10=0,SUMIFS(INDIRECT(ADDRESS(12,3+18*3+(4),,,"J1 A - (North) Bishopthorpe Roa")&amp;":"&amp;ADDRESS(130,3+18*3+(4))),'J1 A - (North) Bishopthorpe Roa'!$A$12:$A$130,"&gt;="&amp;Diagram!$O11,'J1 A - (North) Bishopthorpe Roa'!$A$12:$A$130,"&lt;"&amp;Diagram!$P11),SUMIFS(INDIRECT(ADDRESS(12,3+18*3+(12),,,"J1 A - (North) Bishopthorpe Roa")&amp;":"&amp;ADDRESS(130,3+18*3+(12))),'J1 A - (North) Bishopthorpe Roa'!$A$12:$A$130,"&gt;="&amp;Diagram!$O11,'J1 A - (North) Bishopthorpe Roa'!$A$12:$A$130,"&lt;"&amp;Diagram!$P11)))</f>
        <v>0</v>
      </c>
      <c r="CJ11" s="42">
        <f ca="1">IF(OR($I$10="",$O11="",$P11="",$J$39&lt;&gt;"Yes"),0,IF($K$10=0,SUMIFS(INDIRECT(ADDRESS(12,3+18*0+(4),,,"J1 A - (North) Bishopthorpe Roa")&amp;":"&amp;ADDRESS(130,3+18*0+(4))),'J1 A - (North) Bishopthorpe Roa'!$A$12:$A$130,"&gt;="&amp;Diagram!$O11,'J1 A - (North) Bishopthorpe Roa'!$A$12:$A$130,"&lt;"&amp;Diagram!$P11),SUMIFS(INDIRECT(ADDRESS(12,3+18*0+(12),,,"J1 A - (North) Bishopthorpe Roa")&amp;":"&amp;ADDRESS(130,3+18*0+(12))),'J1 A - (North) Bishopthorpe Roa'!$A$12:$A$130,"&gt;="&amp;Diagram!$O11,'J1 A - (North) Bishopthorpe Roa'!$A$12:$A$130,"&lt;"&amp;Diagram!$P11)))</f>
        <v>0</v>
      </c>
      <c r="CK11" s="42">
        <f ca="1">IF(OR($I$10="",$O11="",$P11="",$J$39&lt;&gt;"Yes"),0,IF($K$10=0,SUMIFS(INDIRECT(ADDRESS(12,3+18*1+(4),,,"J1 A - (North) Bishopthorpe Roa")&amp;":"&amp;ADDRESS(130,3+18*1+(4))),'J1 A - (North) Bishopthorpe Roa'!$A$12:$A$130,"&gt;="&amp;Diagram!$O11,'J1 A - (North) Bishopthorpe Roa'!$A$12:$A$130,"&lt;"&amp;Diagram!$P11),SUMIFS(INDIRECT(ADDRESS(12,3+18*1+(12),,,"J1 A - (North) Bishopthorpe Roa")&amp;":"&amp;ADDRESS(130,3+18*1+(12))),'J1 A - (North) Bishopthorpe Roa'!$A$12:$A$130,"&gt;="&amp;Diagram!$O11,'J1 A - (North) Bishopthorpe Roa'!$A$12:$A$130,"&lt;"&amp;Diagram!$P11)))</f>
        <v>0</v>
      </c>
      <c r="CL11" s="42">
        <f ca="1">IF(OR($I$10="",$O11="",$P11="",$J$39&lt;&gt;"Yes"),0,IF($K$10=0,SUMIFS(INDIRECT(ADDRESS(12,3+18*2+(4),,,"J1 A - (North) Bishopthorpe Roa")&amp;":"&amp;ADDRESS(130,3+18*2+(4))),'J1 A - (North) Bishopthorpe Roa'!$A$12:$A$130,"&gt;="&amp;Diagram!$O11,'J1 A - (North) Bishopthorpe Roa'!$A$12:$A$130,"&lt;"&amp;Diagram!$P11),SUMIFS(INDIRECT(ADDRESS(12,3+18*2+(12),,,"J1 A - (North) Bishopthorpe Roa")&amp;":"&amp;ADDRESS(130,3+18*2+(12))),'J1 A - (North) Bishopthorpe Roa'!$A$12:$A$130,"&gt;="&amp;Diagram!$O11,'J1 A - (North) Bishopthorpe Roa'!$A$12:$A$130,"&lt;"&amp;Diagram!$P11)))</f>
        <v>0</v>
      </c>
      <c r="CM11" s="42">
        <f ca="1">IF(OR($I$10="",$O11="",$P11="",$J$39&lt;&gt;"Yes"),0,IF($K$10=0,SUMIFS(INDIRECT(ADDRESS(12,3+18*2+(4),,,"J1 B - Butcher Terrace")&amp;":"&amp;ADDRESS(130,3+18*2+(4))),'J1 B - Butcher Terrace'!$A$12:$A$130,"&gt;="&amp;Diagram!$O11,'J1 B - Butcher Terrace'!$A$12:$A$130,"&lt;"&amp;Diagram!$P11),SUMIFS(INDIRECT(ADDRESS(12,3+18*2+(12),,,"J1 B - Butcher Terrace")&amp;":"&amp;ADDRESS(130,3+18*2+(12))),'J1 B - Butcher Terrace'!$A$12:$A$130,"&gt;="&amp;Diagram!$O11,'J1 B - Butcher Terrace'!$A$12:$A$130,"&lt;"&amp;Diagram!$P11)))</f>
        <v>0</v>
      </c>
      <c r="CN11" s="42">
        <f ca="1">IF(OR($I$10="",$O11="",$P11="",$J$39&lt;&gt;"Yes"),0,IF($K$10=0,SUMIFS(INDIRECT(ADDRESS(12,3+18*3+(4),,,"J1 B - Butcher Terrace")&amp;":"&amp;ADDRESS(130,3+18*3+(4))),'J1 B - Butcher Terrace'!$A$12:$A$130,"&gt;="&amp;Diagram!$O11,'J1 B - Butcher Terrace'!$A$12:$A$130,"&lt;"&amp;Diagram!$P11),SUMIFS(INDIRECT(ADDRESS(12,3+18*3+(12),,,"J1 B - Butcher Terrace")&amp;":"&amp;ADDRESS(130,3+18*3+(12))),'J1 B - Butcher Terrace'!$A$12:$A$130,"&gt;="&amp;Diagram!$O11,'J1 B - Butcher Terrace'!$A$12:$A$130,"&lt;"&amp;Diagram!$P11)))</f>
        <v>0</v>
      </c>
      <c r="CO11" s="42">
        <f ca="1">IF(OR($I$10="",$O11="",$P11="",$J$39&lt;&gt;"Yes"),0,IF($K$10=0,SUMIFS(INDIRECT(ADDRESS(12,3+18*0+(4),,,"J1 B - Butcher Terrace")&amp;":"&amp;ADDRESS(130,3+18*0+(4))),'J1 B - Butcher Terrace'!$A$12:$A$130,"&gt;="&amp;Diagram!$O11,'J1 B - Butcher Terrace'!$A$12:$A$130,"&lt;"&amp;Diagram!$P11),SUMIFS(INDIRECT(ADDRESS(12,3+18*0+(12),,,"J1 B - Butcher Terrace")&amp;":"&amp;ADDRESS(130,3+18*0+(12))),'J1 B - Butcher Terrace'!$A$12:$A$130,"&gt;="&amp;Diagram!$O11,'J1 B - Butcher Terrace'!$A$12:$A$130,"&lt;"&amp;Diagram!$P11)))</f>
        <v>0</v>
      </c>
      <c r="CP11" s="42">
        <f ca="1">IF(OR($I$10="",$O11="",$P11="",$J$39&lt;&gt;"Yes"),0,IF($K$10=0,SUMIFS(INDIRECT(ADDRESS(12,3+18*1+(4),,,"J1 B - Butcher Terrace")&amp;":"&amp;ADDRESS(130,3+18*1+(4))),'J1 B - Butcher Terrace'!$A$12:$A$130,"&gt;="&amp;Diagram!$O11,'J1 B - Butcher Terrace'!$A$12:$A$130,"&lt;"&amp;Diagram!$P11),SUMIFS(INDIRECT(ADDRESS(12,3+18*1+(12),,,"J1 B - Butcher Terrace")&amp;":"&amp;ADDRESS(130,3+18*1+(12))),'J1 B - Butcher Terrace'!$A$12:$A$130,"&gt;="&amp;Diagram!$O11,'J1 B - Butcher Terrace'!$A$12:$A$130,"&lt;"&amp;Diagram!$P11)))</f>
        <v>0</v>
      </c>
      <c r="CQ11" s="42">
        <f ca="1">IF(OR($I$10="",$O11="",$P11="",$J$39&lt;&gt;"Yes"),0,IF($K$10=0,SUMIFS(INDIRECT(ADDRESS(12,3+18*1+(4),,,"J1 C - (South) Bishopthorpe Roa")&amp;":"&amp;ADDRESS(130,3+18*1+(4))),'J1 C - (South) Bishopthorpe Roa'!$A$12:$A$130,"&gt;="&amp;Diagram!$O11,'J1 C - (South) Bishopthorpe Roa'!$A$12:$A$130,"&lt;"&amp;Diagram!$P11),SUMIFS(INDIRECT(ADDRESS(12,3+18*1+(12),,,"J1 C - (South) Bishopthorpe Roa")&amp;":"&amp;ADDRESS(130,3+18*1+(12))),'J1 C - (South) Bishopthorpe Roa'!$A$12:$A$130,"&gt;="&amp;Diagram!$O11,'J1 C - (South) Bishopthorpe Roa'!$A$12:$A$130,"&lt;"&amp;Diagram!$P11)))</f>
        <v>0</v>
      </c>
      <c r="CR11" s="42">
        <f ca="1">IF(OR($I$10="",$O11="",$P11="",$J$39&lt;&gt;"Yes"),0,IF($K$10=0,SUMIFS(INDIRECT(ADDRESS(12,3+18*2+(4),,,"J1 C - (South) Bishopthorpe Roa")&amp;":"&amp;ADDRESS(130,3+18*2+(4))),'J1 C - (South) Bishopthorpe Roa'!$A$12:$A$130,"&gt;="&amp;Diagram!$O11,'J1 C - (South) Bishopthorpe Roa'!$A$12:$A$130,"&lt;"&amp;Diagram!$P11),SUMIFS(INDIRECT(ADDRESS(12,3+18*2+(12),,,"J1 C - (South) Bishopthorpe Roa")&amp;":"&amp;ADDRESS(130,3+18*2+(12))),'J1 C - (South) Bishopthorpe Roa'!$A$12:$A$130,"&gt;="&amp;Diagram!$O11,'J1 C - (South) Bishopthorpe Roa'!$A$12:$A$130,"&lt;"&amp;Diagram!$P11)))</f>
        <v>0</v>
      </c>
      <c r="CS11" s="42">
        <f ca="1">IF(OR($I$10="",$O11="",$P11="",$J$39&lt;&gt;"Yes"),0,IF($K$10=0,SUMIFS(INDIRECT(ADDRESS(12,3+18*3+(4),,,"J1 C - (South) Bishopthorpe Roa")&amp;":"&amp;ADDRESS(130,3+18*3+(4))),'J1 C - (South) Bishopthorpe Roa'!$A$12:$A$130,"&gt;="&amp;Diagram!$O11,'J1 C - (South) Bishopthorpe Roa'!$A$12:$A$130,"&lt;"&amp;Diagram!$P11),SUMIFS(INDIRECT(ADDRESS(12,3+18*3+(12),,,"J1 C - (South) Bishopthorpe Roa")&amp;":"&amp;ADDRESS(130,3+18*3+(12))),'J1 C - (South) Bishopthorpe Roa'!$A$12:$A$130,"&gt;="&amp;Diagram!$O11,'J1 C - (South) Bishopthorpe Roa'!$A$12:$A$130,"&lt;"&amp;Diagram!$P11)))</f>
        <v>0</v>
      </c>
      <c r="CT11" s="42">
        <f ca="1">IF(OR($I$10="",$O11="",$P11="",$J$39&lt;&gt;"Yes"),0,IF($K$10=0,SUMIFS(INDIRECT(ADDRESS(12,3+18*0+(4),,,"J1 C - (South) Bishopthorpe Roa")&amp;":"&amp;ADDRESS(130,3+18*0+(4))),'J1 C - (South) Bishopthorpe Roa'!$A$12:$A$130,"&gt;="&amp;Diagram!$O11,'J1 C - (South) Bishopthorpe Roa'!$A$12:$A$130,"&lt;"&amp;Diagram!$P11),SUMIFS(INDIRECT(ADDRESS(12,3+18*0+(12),,,"J1 C - (South) Bishopthorpe Roa")&amp;":"&amp;ADDRESS(130,3+18*0+(12))),'J1 C - (South) Bishopthorpe Roa'!$A$12:$A$130,"&gt;="&amp;Diagram!$O11,'J1 C - (South) Bishopthorpe Roa'!$A$12:$A$130,"&lt;"&amp;Diagram!$P11)))</f>
        <v>0</v>
      </c>
      <c r="CU11" s="42">
        <f ca="1">IF(OR($I$10="",$O11="",$P11="",$J$39&lt;&gt;"Yes"),0,IF($K$10=0,SUMIFS(INDIRECT(ADDRESS(12,3+18*0+(4),,,"J1 D - South Bank Avenue")&amp;":"&amp;ADDRESS(130,3+18*0+(4))),'J1 D - South Bank Avenue'!$A$12:$A$130,"&gt;="&amp;Diagram!$O11,'J1 D - South Bank Avenue'!$A$12:$A$130,"&lt;"&amp;Diagram!$P11),SUMIFS(INDIRECT(ADDRESS(12,3+18*0+(12),,,"J1 D - South Bank Avenue")&amp;":"&amp;ADDRESS(130,3+18*0+(12))),'J1 D - South Bank Avenue'!$A$12:$A$130,"&gt;="&amp;Diagram!$O11,'J1 D - South Bank Avenue'!$A$12:$A$130,"&lt;"&amp;Diagram!$P11)))</f>
        <v>0</v>
      </c>
      <c r="CV11" s="42">
        <f ca="1">IF(OR($I$10="",$O11="",$P11="",$J$39&lt;&gt;"Yes"),0,IF($K$10=0,SUMIFS(INDIRECT(ADDRESS(12,3+18*1+(4),,,"J1 D - South Bank Avenue")&amp;":"&amp;ADDRESS(130,3+18*1+(4))),'J1 D - South Bank Avenue'!$A$12:$A$130,"&gt;="&amp;Diagram!$O11,'J1 D - South Bank Avenue'!$A$12:$A$130,"&lt;"&amp;Diagram!$P11),SUMIFS(INDIRECT(ADDRESS(12,3+18*1+(12),,,"J1 D - South Bank Avenue")&amp;":"&amp;ADDRESS(130,3+18*1+(12))),'J1 D - South Bank Avenue'!$A$12:$A$130,"&gt;="&amp;Diagram!$O11,'J1 D - South Bank Avenue'!$A$12:$A$130,"&lt;"&amp;Diagram!$P11)))</f>
        <v>0</v>
      </c>
      <c r="CW11" s="42">
        <f ca="1">IF(OR($I$10="",$O11="",$P11="",$J$39&lt;&gt;"Yes"),0,IF($K$10=0,SUMIFS(INDIRECT(ADDRESS(12,3+18*2+(4),,,"J1 D - South Bank Avenue")&amp;":"&amp;ADDRESS(130,3+18*2+(4))),'J1 D - South Bank Avenue'!$A$12:$A$130,"&gt;="&amp;Diagram!$O11,'J1 D - South Bank Avenue'!$A$12:$A$130,"&lt;"&amp;Diagram!$P11),SUMIFS(INDIRECT(ADDRESS(12,3+18*2+(12),,,"J1 D - South Bank Avenue")&amp;":"&amp;ADDRESS(130,3+18*2+(12))),'J1 D - South Bank Avenue'!$A$12:$A$130,"&gt;="&amp;Diagram!$O11,'J1 D - South Bank Avenue'!$A$12:$A$130,"&lt;"&amp;Diagram!$P11)))</f>
        <v>0</v>
      </c>
      <c r="CX11" s="42">
        <f ca="1">IF(OR($I$10="",$O11="",$P11="",$J$39&lt;&gt;"Yes"),0,IF($K$10=0,SUMIFS(INDIRECT(ADDRESS(12,3+18*3+(4),,,"J1 D - South Bank Avenue")&amp;":"&amp;ADDRESS(130,3+18*3+(4))),'J1 D - South Bank Avenue'!$A$12:$A$130,"&gt;="&amp;Diagram!$O11,'J1 D - South Bank Avenue'!$A$12:$A$130,"&lt;"&amp;Diagram!$P11),SUMIFS(INDIRECT(ADDRESS(12,3+18*3+(12),,,"J1 D - South Bank Avenue")&amp;":"&amp;ADDRESS(130,3+18*3+(12))),'J1 D - South Bank Avenue'!$A$12:$A$130,"&gt;="&amp;Diagram!$O11,'J1 D - South Bank Avenue'!$A$12:$A$130,"&lt;"&amp;Diagram!$P11)))</f>
        <v>0</v>
      </c>
      <c r="CY11" s="42">
        <f t="shared" ca="1" si="6"/>
        <v>0</v>
      </c>
      <c r="CZ11" s="42">
        <f ca="1">IF(OR($I$10="",$O11="",$P11="",$J$40&lt;&gt;"Yes"),0,IF($K$10=0,SUMIFS(INDIRECT(ADDRESS(12,3+18*3+(5),,,"J1 A - (North) Bishopthorpe Roa")&amp;":"&amp;ADDRESS(130,3+18*3+(5))),'J1 A - (North) Bishopthorpe Roa'!$A$12:$A$130,"&gt;="&amp;Diagram!$O11,'J1 A - (North) Bishopthorpe Roa'!$A$12:$A$130,"&lt;"&amp;Diagram!$P11),SUMIFS(INDIRECT(ADDRESS(12,3+18*3+(13),,,"J1 A - (North) Bishopthorpe Roa")&amp;":"&amp;ADDRESS(130,3+18*3+(13))),'J1 A - (North) Bishopthorpe Roa'!$A$12:$A$130,"&gt;="&amp;Diagram!$O11,'J1 A - (North) Bishopthorpe Roa'!$A$12:$A$130,"&lt;"&amp;Diagram!$P11)))</f>
        <v>0</v>
      </c>
      <c r="DA11" s="42">
        <f ca="1">IF(OR($I$10="",$O11="",$P11="",$J$40&lt;&gt;"Yes"),0,IF($K$10=0,SUMIFS(INDIRECT(ADDRESS(12,3+18*0+(5),,,"J1 A - (North) Bishopthorpe Roa")&amp;":"&amp;ADDRESS(130,3+18*0+(5))),'J1 A - (North) Bishopthorpe Roa'!$A$12:$A$130,"&gt;="&amp;Diagram!$O11,'J1 A - (North) Bishopthorpe Roa'!$A$12:$A$130,"&lt;"&amp;Diagram!$P11),SUMIFS(INDIRECT(ADDRESS(12,3+18*0+(13),,,"J1 A - (North) Bishopthorpe Roa")&amp;":"&amp;ADDRESS(130,3+18*0+(13))),'J1 A - (North) Bishopthorpe Roa'!$A$12:$A$130,"&gt;="&amp;Diagram!$O11,'J1 A - (North) Bishopthorpe Roa'!$A$12:$A$130,"&lt;"&amp;Diagram!$P11)))</f>
        <v>0</v>
      </c>
      <c r="DB11" s="42">
        <f ca="1">IF(OR($I$10="",$O11="",$P11="",$J$40&lt;&gt;"Yes"),0,IF($K$10=0,SUMIFS(INDIRECT(ADDRESS(12,3+18*1+(5),,,"J1 A - (North) Bishopthorpe Roa")&amp;":"&amp;ADDRESS(130,3+18*1+(5))),'J1 A - (North) Bishopthorpe Roa'!$A$12:$A$130,"&gt;="&amp;Diagram!$O11,'J1 A - (North) Bishopthorpe Roa'!$A$12:$A$130,"&lt;"&amp;Diagram!$P11),SUMIFS(INDIRECT(ADDRESS(12,3+18*1+(13),,,"J1 A - (North) Bishopthorpe Roa")&amp;":"&amp;ADDRESS(130,3+18*1+(13))),'J1 A - (North) Bishopthorpe Roa'!$A$12:$A$130,"&gt;="&amp;Diagram!$O11,'J1 A - (North) Bishopthorpe Roa'!$A$12:$A$130,"&lt;"&amp;Diagram!$P11)))</f>
        <v>0</v>
      </c>
      <c r="DC11" s="42">
        <f ca="1">IF(OR($I$10="",$O11="",$P11="",$J$40&lt;&gt;"Yes"),0,IF($K$10=0,SUMIFS(INDIRECT(ADDRESS(12,3+18*2+(5),,,"J1 A - (North) Bishopthorpe Roa")&amp;":"&amp;ADDRESS(130,3+18*2+(5))),'J1 A - (North) Bishopthorpe Roa'!$A$12:$A$130,"&gt;="&amp;Diagram!$O11,'J1 A - (North) Bishopthorpe Roa'!$A$12:$A$130,"&lt;"&amp;Diagram!$P11),SUMIFS(INDIRECT(ADDRESS(12,3+18*2+(13),,,"J1 A - (North) Bishopthorpe Roa")&amp;":"&amp;ADDRESS(130,3+18*2+(13))),'J1 A - (North) Bishopthorpe Roa'!$A$12:$A$130,"&gt;="&amp;Diagram!$O11,'J1 A - (North) Bishopthorpe Roa'!$A$12:$A$130,"&lt;"&amp;Diagram!$P11)))</f>
        <v>0</v>
      </c>
      <c r="DD11" s="42">
        <f ca="1">IF(OR($I$10="",$O11="",$P11="",$J$40&lt;&gt;"Yes"),0,IF($K$10=0,SUMIFS(INDIRECT(ADDRESS(12,3+18*2+(5),,,"J1 B - Butcher Terrace")&amp;":"&amp;ADDRESS(130,3+18*2+(5))),'J1 B - Butcher Terrace'!$A$12:$A$130,"&gt;="&amp;Diagram!$O11,'J1 B - Butcher Terrace'!$A$12:$A$130,"&lt;"&amp;Diagram!$P11),SUMIFS(INDIRECT(ADDRESS(12,3+18*2+(13),,,"J1 B - Butcher Terrace")&amp;":"&amp;ADDRESS(130,3+18*2+(13))),'J1 B - Butcher Terrace'!$A$12:$A$130,"&gt;="&amp;Diagram!$O11,'J1 B - Butcher Terrace'!$A$12:$A$130,"&lt;"&amp;Diagram!$P11)))</f>
        <v>0</v>
      </c>
      <c r="DE11" s="42">
        <f ca="1">IF(OR($I$10="",$O11="",$P11="",$J$40&lt;&gt;"Yes"),0,IF($K$10=0,SUMIFS(INDIRECT(ADDRESS(12,3+18*3+(5),,,"J1 B - Butcher Terrace")&amp;":"&amp;ADDRESS(130,3+18*3+(5))),'J1 B - Butcher Terrace'!$A$12:$A$130,"&gt;="&amp;Diagram!$O11,'J1 B - Butcher Terrace'!$A$12:$A$130,"&lt;"&amp;Diagram!$P11),SUMIFS(INDIRECT(ADDRESS(12,3+18*3+(13),,,"J1 B - Butcher Terrace")&amp;":"&amp;ADDRESS(130,3+18*3+(13))),'J1 B - Butcher Terrace'!$A$12:$A$130,"&gt;="&amp;Diagram!$O11,'J1 B - Butcher Terrace'!$A$12:$A$130,"&lt;"&amp;Diagram!$P11)))</f>
        <v>0</v>
      </c>
      <c r="DF11" s="42">
        <f ca="1">IF(OR($I$10="",$O11="",$P11="",$J$40&lt;&gt;"Yes"),0,IF($K$10=0,SUMIFS(INDIRECT(ADDRESS(12,3+18*0+(5),,,"J1 B - Butcher Terrace")&amp;":"&amp;ADDRESS(130,3+18*0+(5))),'J1 B - Butcher Terrace'!$A$12:$A$130,"&gt;="&amp;Diagram!$O11,'J1 B - Butcher Terrace'!$A$12:$A$130,"&lt;"&amp;Diagram!$P11),SUMIFS(INDIRECT(ADDRESS(12,3+18*0+(13),,,"J1 B - Butcher Terrace")&amp;":"&amp;ADDRESS(130,3+18*0+(13))),'J1 B - Butcher Terrace'!$A$12:$A$130,"&gt;="&amp;Diagram!$O11,'J1 B - Butcher Terrace'!$A$12:$A$130,"&lt;"&amp;Diagram!$P11)))</f>
        <v>0</v>
      </c>
      <c r="DG11" s="42">
        <f ca="1">IF(OR($I$10="",$O11="",$P11="",$J$40&lt;&gt;"Yes"),0,IF($K$10=0,SUMIFS(INDIRECT(ADDRESS(12,3+18*1+(5),,,"J1 B - Butcher Terrace")&amp;":"&amp;ADDRESS(130,3+18*1+(5))),'J1 B - Butcher Terrace'!$A$12:$A$130,"&gt;="&amp;Diagram!$O11,'J1 B - Butcher Terrace'!$A$12:$A$130,"&lt;"&amp;Diagram!$P11),SUMIFS(INDIRECT(ADDRESS(12,3+18*1+(13),,,"J1 B - Butcher Terrace")&amp;":"&amp;ADDRESS(130,3+18*1+(13))),'J1 B - Butcher Terrace'!$A$12:$A$130,"&gt;="&amp;Diagram!$O11,'J1 B - Butcher Terrace'!$A$12:$A$130,"&lt;"&amp;Diagram!$P11)))</f>
        <v>0</v>
      </c>
      <c r="DH11" s="42">
        <f ca="1">IF(OR($I$10="",$O11="",$P11="",$J$40&lt;&gt;"Yes"),0,IF($K$10=0,SUMIFS(INDIRECT(ADDRESS(12,3+18*1+(5),,,"J1 C - (South) Bishopthorpe Roa")&amp;":"&amp;ADDRESS(130,3+18*1+(5))),'J1 C - (South) Bishopthorpe Roa'!$A$12:$A$130,"&gt;="&amp;Diagram!$O11,'J1 C - (South) Bishopthorpe Roa'!$A$12:$A$130,"&lt;"&amp;Diagram!$P11),SUMIFS(INDIRECT(ADDRESS(12,3+18*1+(13),,,"J1 C - (South) Bishopthorpe Roa")&amp;":"&amp;ADDRESS(130,3+18*1+(13))),'J1 C - (South) Bishopthorpe Roa'!$A$12:$A$130,"&gt;="&amp;Diagram!$O11,'J1 C - (South) Bishopthorpe Roa'!$A$12:$A$130,"&lt;"&amp;Diagram!$P11)))</f>
        <v>0</v>
      </c>
      <c r="DI11" s="42">
        <f ca="1">IF(OR($I$10="",$O11="",$P11="",$J$40&lt;&gt;"Yes"),0,IF($K$10=0,SUMIFS(INDIRECT(ADDRESS(12,3+18*2+(5),,,"J1 C - (South) Bishopthorpe Roa")&amp;":"&amp;ADDRESS(130,3+18*2+(5))),'J1 C - (South) Bishopthorpe Roa'!$A$12:$A$130,"&gt;="&amp;Diagram!$O11,'J1 C - (South) Bishopthorpe Roa'!$A$12:$A$130,"&lt;"&amp;Diagram!$P11),SUMIFS(INDIRECT(ADDRESS(12,3+18*2+(13),,,"J1 C - (South) Bishopthorpe Roa")&amp;":"&amp;ADDRESS(130,3+18*2+(13))),'J1 C - (South) Bishopthorpe Roa'!$A$12:$A$130,"&gt;="&amp;Diagram!$O11,'J1 C - (South) Bishopthorpe Roa'!$A$12:$A$130,"&lt;"&amp;Diagram!$P11)))</f>
        <v>0</v>
      </c>
      <c r="DJ11" s="42">
        <f ca="1">IF(OR($I$10="",$O11="",$P11="",$J$40&lt;&gt;"Yes"),0,IF($K$10=0,SUMIFS(INDIRECT(ADDRESS(12,3+18*3+(5),,,"J1 C - (South) Bishopthorpe Roa")&amp;":"&amp;ADDRESS(130,3+18*3+(5))),'J1 C - (South) Bishopthorpe Roa'!$A$12:$A$130,"&gt;="&amp;Diagram!$O11,'J1 C - (South) Bishopthorpe Roa'!$A$12:$A$130,"&lt;"&amp;Diagram!$P11),SUMIFS(INDIRECT(ADDRESS(12,3+18*3+(13),,,"J1 C - (South) Bishopthorpe Roa")&amp;":"&amp;ADDRESS(130,3+18*3+(13))),'J1 C - (South) Bishopthorpe Roa'!$A$12:$A$130,"&gt;="&amp;Diagram!$O11,'J1 C - (South) Bishopthorpe Roa'!$A$12:$A$130,"&lt;"&amp;Diagram!$P11)))</f>
        <v>0</v>
      </c>
      <c r="DK11" s="42">
        <f ca="1">IF(OR($I$10="",$O11="",$P11="",$J$40&lt;&gt;"Yes"),0,IF($K$10=0,SUMIFS(INDIRECT(ADDRESS(12,3+18*0+(5),,,"J1 C - (South) Bishopthorpe Roa")&amp;":"&amp;ADDRESS(130,3+18*0+(5))),'J1 C - (South) Bishopthorpe Roa'!$A$12:$A$130,"&gt;="&amp;Diagram!$O11,'J1 C - (South) Bishopthorpe Roa'!$A$12:$A$130,"&lt;"&amp;Diagram!$P11),SUMIFS(INDIRECT(ADDRESS(12,3+18*0+(13),,,"J1 C - (South) Bishopthorpe Roa")&amp;":"&amp;ADDRESS(130,3+18*0+(13))),'J1 C - (South) Bishopthorpe Roa'!$A$12:$A$130,"&gt;="&amp;Diagram!$O11,'J1 C - (South) Bishopthorpe Roa'!$A$12:$A$130,"&lt;"&amp;Diagram!$P11)))</f>
        <v>0</v>
      </c>
      <c r="DL11" s="42">
        <f ca="1">IF(OR($I$10="",$O11="",$P11="",$J$40&lt;&gt;"Yes"),0,IF($K$10=0,SUMIFS(INDIRECT(ADDRESS(12,3+18*0+(5),,,"J1 D - South Bank Avenue")&amp;":"&amp;ADDRESS(130,3+18*0+(5))),'J1 D - South Bank Avenue'!$A$12:$A$130,"&gt;="&amp;Diagram!$O11,'J1 D - South Bank Avenue'!$A$12:$A$130,"&lt;"&amp;Diagram!$P11),SUMIFS(INDIRECT(ADDRESS(12,3+18*0+(13),,,"J1 D - South Bank Avenue")&amp;":"&amp;ADDRESS(130,3+18*0+(13))),'J1 D - South Bank Avenue'!$A$12:$A$130,"&gt;="&amp;Diagram!$O11,'J1 D - South Bank Avenue'!$A$12:$A$130,"&lt;"&amp;Diagram!$P11)))</f>
        <v>0</v>
      </c>
      <c r="DM11" s="42">
        <f ca="1">IF(OR($I$10="",$O11="",$P11="",$J$40&lt;&gt;"Yes"),0,IF($K$10=0,SUMIFS(INDIRECT(ADDRESS(12,3+18*1+(5),,,"J1 D - South Bank Avenue")&amp;":"&amp;ADDRESS(130,3+18*1+(5))),'J1 D - South Bank Avenue'!$A$12:$A$130,"&gt;="&amp;Diagram!$O11,'J1 D - South Bank Avenue'!$A$12:$A$130,"&lt;"&amp;Diagram!$P11),SUMIFS(INDIRECT(ADDRESS(12,3+18*1+(13),,,"J1 D - South Bank Avenue")&amp;":"&amp;ADDRESS(130,3+18*1+(13))),'J1 D - South Bank Avenue'!$A$12:$A$130,"&gt;="&amp;Diagram!$O11,'J1 D - South Bank Avenue'!$A$12:$A$130,"&lt;"&amp;Diagram!$P11)))</f>
        <v>0</v>
      </c>
      <c r="DN11" s="42">
        <f ca="1">IF(OR($I$10="",$O11="",$P11="",$J$40&lt;&gt;"Yes"),0,IF($K$10=0,SUMIFS(INDIRECT(ADDRESS(12,3+18*2+(5),,,"J1 D - South Bank Avenue")&amp;":"&amp;ADDRESS(130,3+18*2+(5))),'J1 D - South Bank Avenue'!$A$12:$A$130,"&gt;="&amp;Diagram!$O11,'J1 D - South Bank Avenue'!$A$12:$A$130,"&lt;"&amp;Diagram!$P11),SUMIFS(INDIRECT(ADDRESS(12,3+18*2+(13),,,"J1 D - South Bank Avenue")&amp;":"&amp;ADDRESS(130,3+18*2+(13))),'J1 D - South Bank Avenue'!$A$12:$A$130,"&gt;="&amp;Diagram!$O11,'J1 D - South Bank Avenue'!$A$12:$A$130,"&lt;"&amp;Diagram!$P11)))</f>
        <v>0</v>
      </c>
      <c r="DO11" s="42">
        <f ca="1">IF(OR($I$10="",$O11="",$P11="",$J$40&lt;&gt;"Yes"),0,IF($K$10=0,SUMIFS(INDIRECT(ADDRESS(12,3+18*3+(5),,,"J1 D - South Bank Avenue")&amp;":"&amp;ADDRESS(130,3+18*3+(5))),'J1 D - South Bank Avenue'!$A$12:$A$130,"&gt;="&amp;Diagram!$O11,'J1 D - South Bank Avenue'!$A$12:$A$130,"&lt;"&amp;Diagram!$P11),SUMIFS(INDIRECT(ADDRESS(12,3+18*3+(13),,,"J1 D - South Bank Avenue")&amp;":"&amp;ADDRESS(130,3+18*3+(13))),'J1 D - South Bank Avenue'!$A$12:$A$130,"&gt;="&amp;Diagram!$O11,'J1 D - South Bank Avenue'!$A$12:$A$130,"&lt;"&amp;Diagram!$P11)))</f>
        <v>0</v>
      </c>
      <c r="DP11" s="42">
        <f t="shared" ca="1" si="7"/>
        <v>0</v>
      </c>
      <c r="DQ11" s="42">
        <f ca="1">IF(OR($I$10="",$O11="",$P11="",$J$41&lt;&gt;"Yes"),0,IF($K$10=0,SUMIFS(INDIRECT(ADDRESS(12,3+18*3+(6),,,"J1 A - (North) Bishopthorpe Roa")&amp;":"&amp;ADDRESS(130,3+18*3+(6))),'J1 A - (North) Bishopthorpe Roa'!$A$12:$A$130,"&gt;="&amp;Diagram!$O11,'J1 A - (North) Bishopthorpe Roa'!$A$12:$A$130,"&lt;"&amp;Diagram!$P11),SUMIFS(INDIRECT(ADDRESS(12,3+18*3+(14),,,"J1 A - (North) Bishopthorpe Roa")&amp;":"&amp;ADDRESS(130,3+18*3+(14))),'J1 A - (North) Bishopthorpe Roa'!$A$12:$A$130,"&gt;="&amp;Diagram!$O11,'J1 A - (North) Bishopthorpe Roa'!$A$12:$A$130,"&lt;"&amp;Diagram!$P11)))</f>
        <v>0</v>
      </c>
      <c r="DR11" s="42">
        <f ca="1">IF(OR($I$10="",$O11="",$P11="",$J$41&lt;&gt;"Yes"),0,IF($K$10=0,SUMIFS(INDIRECT(ADDRESS(12,3+18*0+(6),,,"J1 A - (North) Bishopthorpe Roa")&amp;":"&amp;ADDRESS(130,3+18*0+(6))),'J1 A - (North) Bishopthorpe Roa'!$A$12:$A$130,"&gt;="&amp;Diagram!$O11,'J1 A - (North) Bishopthorpe Roa'!$A$12:$A$130,"&lt;"&amp;Diagram!$P11),SUMIFS(INDIRECT(ADDRESS(12,3+18*0+(14),,,"J1 A - (North) Bishopthorpe Roa")&amp;":"&amp;ADDRESS(130,3+18*0+(14))),'J1 A - (North) Bishopthorpe Roa'!$A$12:$A$130,"&gt;="&amp;Diagram!$O11,'J1 A - (North) Bishopthorpe Roa'!$A$12:$A$130,"&lt;"&amp;Diagram!$P11)))</f>
        <v>0</v>
      </c>
      <c r="DS11" s="42">
        <f ca="1">IF(OR($I$10="",$O11="",$P11="",$J$41&lt;&gt;"Yes"),0,IF($K$10=0,SUMIFS(INDIRECT(ADDRESS(12,3+18*1+(6),,,"J1 A - (North) Bishopthorpe Roa")&amp;":"&amp;ADDRESS(130,3+18*1+(6))),'J1 A - (North) Bishopthorpe Roa'!$A$12:$A$130,"&gt;="&amp;Diagram!$O11,'J1 A - (North) Bishopthorpe Roa'!$A$12:$A$130,"&lt;"&amp;Diagram!$P11),SUMIFS(INDIRECT(ADDRESS(12,3+18*1+(14),,,"J1 A - (North) Bishopthorpe Roa")&amp;":"&amp;ADDRESS(130,3+18*1+(14))),'J1 A - (North) Bishopthorpe Roa'!$A$12:$A$130,"&gt;="&amp;Diagram!$O11,'J1 A - (North) Bishopthorpe Roa'!$A$12:$A$130,"&lt;"&amp;Diagram!$P11)))</f>
        <v>0</v>
      </c>
      <c r="DT11" s="42">
        <f ca="1">IF(OR($I$10="",$O11="",$P11="",$J$41&lt;&gt;"Yes"),0,IF($K$10=0,SUMIFS(INDIRECT(ADDRESS(12,3+18*2+(6),,,"J1 A - (North) Bishopthorpe Roa")&amp;":"&amp;ADDRESS(130,3+18*2+(6))),'J1 A - (North) Bishopthorpe Roa'!$A$12:$A$130,"&gt;="&amp;Diagram!$O11,'J1 A - (North) Bishopthorpe Roa'!$A$12:$A$130,"&lt;"&amp;Diagram!$P11),SUMIFS(INDIRECT(ADDRESS(12,3+18*2+(14),,,"J1 A - (North) Bishopthorpe Roa")&amp;":"&amp;ADDRESS(130,3+18*2+(14))),'J1 A - (North) Bishopthorpe Roa'!$A$12:$A$130,"&gt;="&amp;Diagram!$O11,'J1 A - (North) Bishopthorpe Roa'!$A$12:$A$130,"&lt;"&amp;Diagram!$P11)))</f>
        <v>0</v>
      </c>
      <c r="DU11" s="42">
        <f ca="1">IF(OR($I$10="",$O11="",$P11="",$J$41&lt;&gt;"Yes"),0,IF($K$10=0,SUMIFS(INDIRECT(ADDRESS(12,3+18*2+(6),,,"J1 B - Butcher Terrace")&amp;":"&amp;ADDRESS(130,3+18*2+(6))),'J1 B - Butcher Terrace'!$A$12:$A$130,"&gt;="&amp;Diagram!$O11,'J1 B - Butcher Terrace'!$A$12:$A$130,"&lt;"&amp;Diagram!$P11),SUMIFS(INDIRECT(ADDRESS(12,3+18*2+(14),,,"J1 B - Butcher Terrace")&amp;":"&amp;ADDRESS(130,3+18*2+(14))),'J1 B - Butcher Terrace'!$A$12:$A$130,"&gt;="&amp;Diagram!$O11,'J1 B - Butcher Terrace'!$A$12:$A$130,"&lt;"&amp;Diagram!$P11)))</f>
        <v>0</v>
      </c>
      <c r="DV11" s="42">
        <f ca="1">IF(OR($I$10="",$O11="",$P11="",$J$41&lt;&gt;"Yes"),0,IF($K$10=0,SUMIFS(INDIRECT(ADDRESS(12,3+18*3+(6),,,"J1 B - Butcher Terrace")&amp;":"&amp;ADDRESS(130,3+18*3+(6))),'J1 B - Butcher Terrace'!$A$12:$A$130,"&gt;="&amp;Diagram!$O11,'J1 B - Butcher Terrace'!$A$12:$A$130,"&lt;"&amp;Diagram!$P11),SUMIFS(INDIRECT(ADDRESS(12,3+18*3+(14),,,"J1 B - Butcher Terrace")&amp;":"&amp;ADDRESS(130,3+18*3+(14))),'J1 B - Butcher Terrace'!$A$12:$A$130,"&gt;="&amp;Diagram!$O11,'J1 B - Butcher Terrace'!$A$12:$A$130,"&lt;"&amp;Diagram!$P11)))</f>
        <v>0</v>
      </c>
      <c r="DW11" s="42">
        <f ca="1">IF(OR($I$10="",$O11="",$P11="",$J$41&lt;&gt;"Yes"),0,IF($K$10=0,SUMIFS(INDIRECT(ADDRESS(12,3+18*0+(6),,,"J1 B - Butcher Terrace")&amp;":"&amp;ADDRESS(130,3+18*0+(6))),'J1 B - Butcher Terrace'!$A$12:$A$130,"&gt;="&amp;Diagram!$O11,'J1 B - Butcher Terrace'!$A$12:$A$130,"&lt;"&amp;Diagram!$P11),SUMIFS(INDIRECT(ADDRESS(12,3+18*0+(14),,,"J1 B - Butcher Terrace")&amp;":"&amp;ADDRESS(130,3+18*0+(14))),'J1 B - Butcher Terrace'!$A$12:$A$130,"&gt;="&amp;Diagram!$O11,'J1 B - Butcher Terrace'!$A$12:$A$130,"&lt;"&amp;Diagram!$P11)))</f>
        <v>0</v>
      </c>
      <c r="DX11" s="42">
        <f ca="1">IF(OR($I$10="",$O11="",$P11="",$J$41&lt;&gt;"Yes"),0,IF($K$10=0,SUMIFS(INDIRECT(ADDRESS(12,3+18*1+(6),,,"J1 B - Butcher Terrace")&amp;":"&amp;ADDRESS(130,3+18*1+(6))),'J1 B - Butcher Terrace'!$A$12:$A$130,"&gt;="&amp;Diagram!$O11,'J1 B - Butcher Terrace'!$A$12:$A$130,"&lt;"&amp;Diagram!$P11),SUMIFS(INDIRECT(ADDRESS(12,3+18*1+(14),,,"J1 B - Butcher Terrace")&amp;":"&amp;ADDRESS(130,3+18*1+(14))),'J1 B - Butcher Terrace'!$A$12:$A$130,"&gt;="&amp;Diagram!$O11,'J1 B - Butcher Terrace'!$A$12:$A$130,"&lt;"&amp;Diagram!$P11)))</f>
        <v>0</v>
      </c>
      <c r="DY11" s="42">
        <f ca="1">IF(OR($I$10="",$O11="",$P11="",$J$41&lt;&gt;"Yes"),0,IF($K$10=0,SUMIFS(INDIRECT(ADDRESS(12,3+18*1+(6),,,"J1 C - (South) Bishopthorpe Roa")&amp;":"&amp;ADDRESS(130,3+18*1+(6))),'J1 C - (South) Bishopthorpe Roa'!$A$12:$A$130,"&gt;="&amp;Diagram!$O11,'J1 C - (South) Bishopthorpe Roa'!$A$12:$A$130,"&lt;"&amp;Diagram!$P11),SUMIFS(INDIRECT(ADDRESS(12,3+18*1+(14),,,"J1 C - (South) Bishopthorpe Roa")&amp;":"&amp;ADDRESS(130,3+18*1+(14))),'J1 C - (South) Bishopthorpe Roa'!$A$12:$A$130,"&gt;="&amp;Diagram!$O11,'J1 C - (South) Bishopthorpe Roa'!$A$12:$A$130,"&lt;"&amp;Diagram!$P11)))</f>
        <v>0</v>
      </c>
      <c r="DZ11" s="42">
        <f ca="1">IF(OR($I$10="",$O11="",$P11="",$J$41&lt;&gt;"Yes"),0,IF($K$10=0,SUMIFS(INDIRECT(ADDRESS(12,3+18*2+(6),,,"J1 C - (South) Bishopthorpe Roa")&amp;":"&amp;ADDRESS(130,3+18*2+(6))),'J1 C - (South) Bishopthorpe Roa'!$A$12:$A$130,"&gt;="&amp;Diagram!$O11,'J1 C - (South) Bishopthorpe Roa'!$A$12:$A$130,"&lt;"&amp;Diagram!$P11),SUMIFS(INDIRECT(ADDRESS(12,3+18*2+(14),,,"J1 C - (South) Bishopthorpe Roa")&amp;":"&amp;ADDRESS(130,3+18*2+(14))),'J1 C - (South) Bishopthorpe Roa'!$A$12:$A$130,"&gt;="&amp;Diagram!$O11,'J1 C - (South) Bishopthorpe Roa'!$A$12:$A$130,"&lt;"&amp;Diagram!$P11)))</f>
        <v>0</v>
      </c>
      <c r="EA11" s="42">
        <f ca="1">IF(OR($I$10="",$O11="",$P11="",$J$41&lt;&gt;"Yes"),0,IF($K$10=0,SUMIFS(INDIRECT(ADDRESS(12,3+18*3+(6),,,"J1 C - (South) Bishopthorpe Roa")&amp;":"&amp;ADDRESS(130,3+18*3+(6))),'J1 C - (South) Bishopthorpe Roa'!$A$12:$A$130,"&gt;="&amp;Diagram!$O11,'J1 C - (South) Bishopthorpe Roa'!$A$12:$A$130,"&lt;"&amp;Diagram!$P11),SUMIFS(INDIRECT(ADDRESS(12,3+18*3+(14),,,"J1 C - (South) Bishopthorpe Roa")&amp;":"&amp;ADDRESS(130,3+18*3+(14))),'J1 C - (South) Bishopthorpe Roa'!$A$12:$A$130,"&gt;="&amp;Diagram!$O11,'J1 C - (South) Bishopthorpe Roa'!$A$12:$A$130,"&lt;"&amp;Diagram!$P11)))</f>
        <v>0</v>
      </c>
      <c r="EB11" s="42">
        <f ca="1">IF(OR($I$10="",$O11="",$P11="",$J$41&lt;&gt;"Yes"),0,IF($K$10=0,SUMIFS(INDIRECT(ADDRESS(12,3+18*0+(6),,,"J1 C - (South) Bishopthorpe Roa")&amp;":"&amp;ADDRESS(130,3+18*0+(6))),'J1 C - (South) Bishopthorpe Roa'!$A$12:$A$130,"&gt;="&amp;Diagram!$O11,'J1 C - (South) Bishopthorpe Roa'!$A$12:$A$130,"&lt;"&amp;Diagram!$P11),SUMIFS(INDIRECT(ADDRESS(12,3+18*0+(14),,,"J1 C - (South) Bishopthorpe Roa")&amp;":"&amp;ADDRESS(130,3+18*0+(14))),'J1 C - (South) Bishopthorpe Roa'!$A$12:$A$130,"&gt;="&amp;Diagram!$O11,'J1 C - (South) Bishopthorpe Roa'!$A$12:$A$130,"&lt;"&amp;Diagram!$P11)))</f>
        <v>0</v>
      </c>
      <c r="EC11" s="42">
        <f ca="1">IF(OR($I$10="",$O11="",$P11="",$J$41&lt;&gt;"Yes"),0,IF($K$10=0,SUMIFS(INDIRECT(ADDRESS(12,3+18*0+(6),,,"J1 D - South Bank Avenue")&amp;":"&amp;ADDRESS(130,3+18*0+(6))),'J1 D - South Bank Avenue'!$A$12:$A$130,"&gt;="&amp;Diagram!$O11,'J1 D - South Bank Avenue'!$A$12:$A$130,"&lt;"&amp;Diagram!$P11),SUMIFS(INDIRECT(ADDRESS(12,3+18*0+(14),,,"J1 D - South Bank Avenue")&amp;":"&amp;ADDRESS(130,3+18*0+(14))),'J1 D - South Bank Avenue'!$A$12:$A$130,"&gt;="&amp;Diagram!$O11,'J1 D - South Bank Avenue'!$A$12:$A$130,"&lt;"&amp;Diagram!$P11)))</f>
        <v>0</v>
      </c>
      <c r="ED11" s="42">
        <f ca="1">IF(OR($I$10="",$O11="",$P11="",$J$41&lt;&gt;"Yes"),0,IF($K$10=0,SUMIFS(INDIRECT(ADDRESS(12,3+18*1+(6),,,"J1 D - South Bank Avenue")&amp;":"&amp;ADDRESS(130,3+18*1+(6))),'J1 D - South Bank Avenue'!$A$12:$A$130,"&gt;="&amp;Diagram!$O11,'J1 D - South Bank Avenue'!$A$12:$A$130,"&lt;"&amp;Diagram!$P11),SUMIFS(INDIRECT(ADDRESS(12,3+18*1+(14),,,"J1 D - South Bank Avenue")&amp;":"&amp;ADDRESS(130,3+18*1+(14))),'J1 D - South Bank Avenue'!$A$12:$A$130,"&gt;="&amp;Diagram!$O11,'J1 D - South Bank Avenue'!$A$12:$A$130,"&lt;"&amp;Diagram!$P11)))</f>
        <v>0</v>
      </c>
      <c r="EE11" s="42">
        <f ca="1">IF(OR($I$10="",$O11="",$P11="",$J$41&lt;&gt;"Yes"),0,IF($K$10=0,SUMIFS(INDIRECT(ADDRESS(12,3+18*2+(6),,,"J1 D - South Bank Avenue")&amp;":"&amp;ADDRESS(130,3+18*2+(6))),'J1 D - South Bank Avenue'!$A$12:$A$130,"&gt;="&amp;Diagram!$O11,'J1 D - South Bank Avenue'!$A$12:$A$130,"&lt;"&amp;Diagram!$P11),SUMIFS(INDIRECT(ADDRESS(12,3+18*2+(14),,,"J1 D - South Bank Avenue")&amp;":"&amp;ADDRESS(130,3+18*2+(14))),'J1 D - South Bank Avenue'!$A$12:$A$130,"&gt;="&amp;Diagram!$O11,'J1 D - South Bank Avenue'!$A$12:$A$130,"&lt;"&amp;Diagram!$P11)))</f>
        <v>0</v>
      </c>
      <c r="EF11" s="42">
        <f ca="1">IF(OR($I$10="",$O11="",$P11="",$J$41&lt;&gt;"Yes"),0,IF($K$10=0,SUMIFS(INDIRECT(ADDRESS(12,3+18*3+(6),,,"J1 D - South Bank Avenue")&amp;":"&amp;ADDRESS(130,3+18*3+(6))),'J1 D - South Bank Avenue'!$A$12:$A$130,"&gt;="&amp;Diagram!$O11,'J1 D - South Bank Avenue'!$A$12:$A$130,"&lt;"&amp;Diagram!$P11),SUMIFS(INDIRECT(ADDRESS(12,3+18*3+(14),,,"J1 D - South Bank Avenue")&amp;":"&amp;ADDRESS(130,3+18*3+(14))),'J1 D - South Bank Avenue'!$A$12:$A$130,"&gt;="&amp;Diagram!$O11,'J1 D - South Bank Avenue'!$A$12:$A$130,"&lt;"&amp;Diagram!$P11)))</f>
        <v>0</v>
      </c>
      <c r="EG11" s="42">
        <f t="shared" ca="1" si="8"/>
        <v>0</v>
      </c>
      <c r="EH11" s="42">
        <f ca="1">IF(OR($I$10="",$O11="",$P11="",$J$42&lt;&gt;"Yes"),0,IF($K$10=0,SUMIFS(INDIRECT(ADDRESS(12,3+18*3+(7),,,"J1 A - (North) Bishopthorpe Roa")&amp;":"&amp;ADDRESS(130,3+18*3+(7))),'J1 A - (North) Bishopthorpe Roa'!$A$12:$A$130,"&gt;="&amp;Diagram!$O11,'J1 A - (North) Bishopthorpe Roa'!$A$12:$A$130,"&lt;"&amp;Diagram!$P11),SUMIFS(INDIRECT(ADDRESS(12,3+18*3+(15),,,"J1 A - (North) Bishopthorpe Roa")&amp;":"&amp;ADDRESS(130,3+18*3+(15))),'J1 A - (North) Bishopthorpe Roa'!$A$12:$A$130,"&gt;="&amp;Diagram!$O11,'J1 A - (North) Bishopthorpe Roa'!$A$12:$A$130,"&lt;"&amp;Diagram!$P11)))</f>
        <v>0</v>
      </c>
      <c r="EI11" s="42">
        <f ca="1">IF(OR($I$10="",$O11="",$P11="",$J$42&lt;&gt;"Yes"),0,IF($K$10=0,SUMIFS(INDIRECT(ADDRESS(12,3+18*0+(7),,,"J1 A - (North) Bishopthorpe Roa")&amp;":"&amp;ADDRESS(130,3+18*0+(7))),'J1 A - (North) Bishopthorpe Roa'!$A$12:$A$130,"&gt;="&amp;Diagram!$O11,'J1 A - (North) Bishopthorpe Roa'!$A$12:$A$130,"&lt;"&amp;Diagram!$P11),SUMIFS(INDIRECT(ADDRESS(12,3+18*0+(15),,,"J1 A - (North) Bishopthorpe Roa")&amp;":"&amp;ADDRESS(130,3+18*0+(15))),'J1 A - (North) Bishopthorpe Roa'!$A$12:$A$130,"&gt;="&amp;Diagram!$O11,'J1 A - (North) Bishopthorpe Roa'!$A$12:$A$130,"&lt;"&amp;Diagram!$P11)))</f>
        <v>0</v>
      </c>
      <c r="EJ11" s="42">
        <f ca="1">IF(OR($I$10="",$O11="",$P11="",$J$42&lt;&gt;"Yes"),0,IF($K$10=0,SUMIFS(INDIRECT(ADDRESS(12,3+18*1+(7),,,"J1 A - (North) Bishopthorpe Roa")&amp;":"&amp;ADDRESS(130,3+18*1+(7))),'J1 A - (North) Bishopthorpe Roa'!$A$12:$A$130,"&gt;="&amp;Diagram!$O11,'J1 A - (North) Bishopthorpe Roa'!$A$12:$A$130,"&lt;"&amp;Diagram!$P11),SUMIFS(INDIRECT(ADDRESS(12,3+18*1+(15),,,"J1 A - (North) Bishopthorpe Roa")&amp;":"&amp;ADDRESS(130,3+18*1+(15))),'J1 A - (North) Bishopthorpe Roa'!$A$12:$A$130,"&gt;="&amp;Diagram!$O11,'J1 A - (North) Bishopthorpe Roa'!$A$12:$A$130,"&lt;"&amp;Diagram!$P11)))</f>
        <v>0</v>
      </c>
      <c r="EK11" s="42">
        <f ca="1">IF(OR($I$10="",$O11="",$P11="",$J$42&lt;&gt;"Yes"),0,IF($K$10=0,SUMIFS(INDIRECT(ADDRESS(12,3+18*2+(7),,,"J1 A - (North) Bishopthorpe Roa")&amp;":"&amp;ADDRESS(130,3+18*2+(7))),'J1 A - (North) Bishopthorpe Roa'!$A$12:$A$130,"&gt;="&amp;Diagram!$O11,'J1 A - (North) Bishopthorpe Roa'!$A$12:$A$130,"&lt;"&amp;Diagram!$P11),SUMIFS(INDIRECT(ADDRESS(12,3+18*2+(15),,,"J1 A - (North) Bishopthorpe Roa")&amp;":"&amp;ADDRESS(130,3+18*2+(15))),'J1 A - (North) Bishopthorpe Roa'!$A$12:$A$130,"&gt;="&amp;Diagram!$O11,'J1 A - (North) Bishopthorpe Roa'!$A$12:$A$130,"&lt;"&amp;Diagram!$P11)))</f>
        <v>0</v>
      </c>
      <c r="EL11" s="42">
        <f ca="1">IF(OR($I$10="",$O11="",$P11="",$J$42&lt;&gt;"Yes"),0,IF($K$10=0,SUMIFS(INDIRECT(ADDRESS(12,3+18*2+(7),,,"J1 B - Butcher Terrace")&amp;":"&amp;ADDRESS(130,3+18*2+(7))),'J1 B - Butcher Terrace'!$A$12:$A$130,"&gt;="&amp;Diagram!$O11,'J1 B - Butcher Terrace'!$A$12:$A$130,"&lt;"&amp;Diagram!$P11),SUMIFS(INDIRECT(ADDRESS(12,3+18*2+(15),,,"J1 B - Butcher Terrace")&amp;":"&amp;ADDRESS(130,3+18*2+(15))),'J1 B - Butcher Terrace'!$A$12:$A$130,"&gt;="&amp;Diagram!$O11,'J1 B - Butcher Terrace'!$A$12:$A$130,"&lt;"&amp;Diagram!$P11)))</f>
        <v>0</v>
      </c>
      <c r="EM11" s="42">
        <f ca="1">IF(OR($I$10="",$O11="",$P11="",$J$42&lt;&gt;"Yes"),0,IF($K$10=0,SUMIFS(INDIRECT(ADDRESS(12,3+18*3+(7),,,"J1 B - Butcher Terrace")&amp;":"&amp;ADDRESS(130,3+18*3+(7))),'J1 B - Butcher Terrace'!$A$12:$A$130,"&gt;="&amp;Diagram!$O11,'J1 B - Butcher Terrace'!$A$12:$A$130,"&lt;"&amp;Diagram!$P11),SUMIFS(INDIRECT(ADDRESS(12,3+18*3+(15),,,"J1 B - Butcher Terrace")&amp;":"&amp;ADDRESS(130,3+18*3+(15))),'J1 B - Butcher Terrace'!$A$12:$A$130,"&gt;="&amp;Diagram!$O11,'J1 B - Butcher Terrace'!$A$12:$A$130,"&lt;"&amp;Diagram!$P11)))</f>
        <v>0</v>
      </c>
      <c r="EN11" s="42">
        <f ca="1">IF(OR($I$10="",$O11="",$P11="",$J$42&lt;&gt;"Yes"),0,IF($K$10=0,SUMIFS(INDIRECT(ADDRESS(12,3+18*0+(7),,,"J1 B - Butcher Terrace")&amp;":"&amp;ADDRESS(130,3+18*0+(7))),'J1 B - Butcher Terrace'!$A$12:$A$130,"&gt;="&amp;Diagram!$O11,'J1 B - Butcher Terrace'!$A$12:$A$130,"&lt;"&amp;Diagram!$P11),SUMIFS(INDIRECT(ADDRESS(12,3+18*0+(15),,,"J1 B - Butcher Terrace")&amp;":"&amp;ADDRESS(130,3+18*0+(15))),'J1 B - Butcher Terrace'!$A$12:$A$130,"&gt;="&amp;Diagram!$O11,'J1 B - Butcher Terrace'!$A$12:$A$130,"&lt;"&amp;Diagram!$P11)))</f>
        <v>0</v>
      </c>
      <c r="EO11" s="42">
        <f ca="1">IF(OR($I$10="",$O11="",$P11="",$J$42&lt;&gt;"Yes"),0,IF($K$10=0,SUMIFS(INDIRECT(ADDRESS(12,3+18*1+(7),,,"J1 B - Butcher Terrace")&amp;":"&amp;ADDRESS(130,3+18*1+(7))),'J1 B - Butcher Terrace'!$A$12:$A$130,"&gt;="&amp;Diagram!$O11,'J1 B - Butcher Terrace'!$A$12:$A$130,"&lt;"&amp;Diagram!$P11),SUMIFS(INDIRECT(ADDRESS(12,3+18*1+(15),,,"J1 B - Butcher Terrace")&amp;":"&amp;ADDRESS(130,3+18*1+(15))),'J1 B - Butcher Terrace'!$A$12:$A$130,"&gt;="&amp;Diagram!$O11,'J1 B - Butcher Terrace'!$A$12:$A$130,"&lt;"&amp;Diagram!$P11)))</f>
        <v>0</v>
      </c>
      <c r="EP11" s="42">
        <f ca="1">IF(OR($I$10="",$O11="",$P11="",$J$42&lt;&gt;"Yes"),0,IF($K$10=0,SUMIFS(INDIRECT(ADDRESS(12,3+18*1+(7),,,"J1 C - (South) Bishopthorpe Roa")&amp;":"&amp;ADDRESS(130,3+18*1+(7))),'J1 C - (South) Bishopthorpe Roa'!$A$12:$A$130,"&gt;="&amp;Diagram!$O11,'J1 C - (South) Bishopthorpe Roa'!$A$12:$A$130,"&lt;"&amp;Diagram!$P11),SUMIFS(INDIRECT(ADDRESS(12,3+18*1+(15),,,"J1 C - (South) Bishopthorpe Roa")&amp;":"&amp;ADDRESS(130,3+18*1+(15))),'J1 C - (South) Bishopthorpe Roa'!$A$12:$A$130,"&gt;="&amp;Diagram!$O11,'J1 C - (South) Bishopthorpe Roa'!$A$12:$A$130,"&lt;"&amp;Diagram!$P11)))</f>
        <v>0</v>
      </c>
      <c r="EQ11" s="42">
        <f ca="1">IF(OR($I$10="",$O11="",$P11="",$J$42&lt;&gt;"Yes"),0,IF($K$10=0,SUMIFS(INDIRECT(ADDRESS(12,3+18*2+(7),,,"J1 C - (South) Bishopthorpe Roa")&amp;":"&amp;ADDRESS(130,3+18*2+(7))),'J1 C - (South) Bishopthorpe Roa'!$A$12:$A$130,"&gt;="&amp;Diagram!$O11,'J1 C - (South) Bishopthorpe Roa'!$A$12:$A$130,"&lt;"&amp;Diagram!$P11),SUMIFS(INDIRECT(ADDRESS(12,3+18*2+(15),,,"J1 C - (South) Bishopthorpe Roa")&amp;":"&amp;ADDRESS(130,3+18*2+(15))),'J1 C - (South) Bishopthorpe Roa'!$A$12:$A$130,"&gt;="&amp;Diagram!$O11,'J1 C - (South) Bishopthorpe Roa'!$A$12:$A$130,"&lt;"&amp;Diagram!$P11)))</f>
        <v>0</v>
      </c>
      <c r="ER11" s="42">
        <f ca="1">IF(OR($I$10="",$O11="",$P11="",$J$42&lt;&gt;"Yes"),0,IF($K$10=0,SUMIFS(INDIRECT(ADDRESS(12,3+18*3+(7),,,"J1 C - (South) Bishopthorpe Roa")&amp;":"&amp;ADDRESS(130,3+18*3+(7))),'J1 C - (South) Bishopthorpe Roa'!$A$12:$A$130,"&gt;="&amp;Diagram!$O11,'J1 C - (South) Bishopthorpe Roa'!$A$12:$A$130,"&lt;"&amp;Diagram!$P11),SUMIFS(INDIRECT(ADDRESS(12,3+18*3+(15),,,"J1 C - (South) Bishopthorpe Roa")&amp;":"&amp;ADDRESS(130,3+18*3+(15))),'J1 C - (South) Bishopthorpe Roa'!$A$12:$A$130,"&gt;="&amp;Diagram!$O11,'J1 C - (South) Bishopthorpe Roa'!$A$12:$A$130,"&lt;"&amp;Diagram!$P11)))</f>
        <v>0</v>
      </c>
      <c r="ES11" s="42">
        <f ca="1">IF(OR($I$10="",$O11="",$P11="",$J$42&lt;&gt;"Yes"),0,IF($K$10=0,SUMIFS(INDIRECT(ADDRESS(12,3+18*0+(7),,,"J1 C - (South) Bishopthorpe Roa")&amp;":"&amp;ADDRESS(130,3+18*0+(7))),'J1 C - (South) Bishopthorpe Roa'!$A$12:$A$130,"&gt;="&amp;Diagram!$O11,'J1 C - (South) Bishopthorpe Roa'!$A$12:$A$130,"&lt;"&amp;Diagram!$P11),SUMIFS(INDIRECT(ADDRESS(12,3+18*0+(15),,,"J1 C - (South) Bishopthorpe Roa")&amp;":"&amp;ADDRESS(130,3+18*0+(15))),'J1 C - (South) Bishopthorpe Roa'!$A$12:$A$130,"&gt;="&amp;Diagram!$O11,'J1 C - (South) Bishopthorpe Roa'!$A$12:$A$130,"&lt;"&amp;Diagram!$P11)))</f>
        <v>0</v>
      </c>
      <c r="ET11" s="42">
        <f ca="1">IF(OR($I$10="",$O11="",$P11="",$J$42&lt;&gt;"Yes"),0,IF($K$10=0,SUMIFS(INDIRECT(ADDRESS(12,3+18*0+(7),,,"J1 D - South Bank Avenue")&amp;":"&amp;ADDRESS(130,3+18*0+(7))),'J1 D - South Bank Avenue'!$A$12:$A$130,"&gt;="&amp;Diagram!$O11,'J1 D - South Bank Avenue'!$A$12:$A$130,"&lt;"&amp;Diagram!$P11),SUMIFS(INDIRECT(ADDRESS(12,3+18*0+(15),,,"J1 D - South Bank Avenue")&amp;":"&amp;ADDRESS(130,3+18*0+(15))),'J1 D - South Bank Avenue'!$A$12:$A$130,"&gt;="&amp;Diagram!$O11,'J1 D - South Bank Avenue'!$A$12:$A$130,"&lt;"&amp;Diagram!$P11)))</f>
        <v>0</v>
      </c>
      <c r="EU11" s="42">
        <f ca="1">IF(OR($I$10="",$O11="",$P11="",$J$42&lt;&gt;"Yes"),0,IF($K$10=0,SUMIFS(INDIRECT(ADDRESS(12,3+18*1+(7),,,"J1 D - South Bank Avenue")&amp;":"&amp;ADDRESS(130,3+18*1+(7))),'J1 D - South Bank Avenue'!$A$12:$A$130,"&gt;="&amp;Diagram!$O11,'J1 D - South Bank Avenue'!$A$12:$A$130,"&lt;"&amp;Diagram!$P11),SUMIFS(INDIRECT(ADDRESS(12,3+18*1+(15),,,"J1 D - South Bank Avenue")&amp;":"&amp;ADDRESS(130,3+18*1+(15))),'J1 D - South Bank Avenue'!$A$12:$A$130,"&gt;="&amp;Diagram!$O11,'J1 D - South Bank Avenue'!$A$12:$A$130,"&lt;"&amp;Diagram!$P11)))</f>
        <v>0</v>
      </c>
      <c r="EV11" s="42">
        <f ca="1">IF(OR($I$10="",$O11="",$P11="",$J$42&lt;&gt;"Yes"),0,IF($K$10=0,SUMIFS(INDIRECT(ADDRESS(12,3+18*2+(7),,,"J1 D - South Bank Avenue")&amp;":"&amp;ADDRESS(130,3+18*2+(7))),'J1 D - South Bank Avenue'!$A$12:$A$130,"&gt;="&amp;Diagram!$O11,'J1 D - South Bank Avenue'!$A$12:$A$130,"&lt;"&amp;Diagram!$P11),SUMIFS(INDIRECT(ADDRESS(12,3+18*2+(15),,,"J1 D - South Bank Avenue")&amp;":"&amp;ADDRESS(130,3+18*2+(15))),'J1 D - South Bank Avenue'!$A$12:$A$130,"&gt;="&amp;Diagram!$O11,'J1 D - South Bank Avenue'!$A$12:$A$130,"&lt;"&amp;Diagram!$P11)))</f>
        <v>0</v>
      </c>
      <c r="EW11" s="42">
        <f ca="1">IF(OR($I$10="",$O11="",$P11="",$J$42&lt;&gt;"Yes"),0,IF($K$10=0,SUMIFS(INDIRECT(ADDRESS(12,3+18*3+(7),,,"J1 D - South Bank Avenue")&amp;":"&amp;ADDRESS(130,3+18*3+(7))),'J1 D - South Bank Avenue'!$A$12:$A$130,"&gt;="&amp;Diagram!$O11,'J1 D - South Bank Avenue'!$A$12:$A$130,"&lt;"&amp;Diagram!$P11),SUMIFS(INDIRECT(ADDRESS(12,3+18*3+(15),,,"J1 D - South Bank Avenue")&amp;":"&amp;ADDRESS(130,3+18*3+(15))),'J1 D - South Bank Avenue'!$A$12:$A$130,"&gt;="&amp;Diagram!$O11,'J1 D - South Bank Avenue'!$A$12:$A$130,"&lt;"&amp;Diagram!$P11)))</f>
        <v>0</v>
      </c>
    </row>
    <row r="12" spans="1:153" ht="21" customHeight="1">
      <c r="A12" s="1">
        <v>44395.114583333299</v>
      </c>
      <c r="B12" s="1">
        <v>44395.125</v>
      </c>
      <c r="H12" s="8" t="s">
        <v>151</v>
      </c>
      <c r="I12" s="14" t="s">
        <v>152</v>
      </c>
      <c r="J12" s="13">
        <f ca="1">INDIRECT(ADDRESS(MATCH($I$13,$D$1,0),5))</f>
        <v>44395</v>
      </c>
      <c r="K12" s="13">
        <f ca="1">INDIRECT(ADDRESS(MATCH($I$13,$D$1,0),6))</f>
        <v>44395.999305555502</v>
      </c>
      <c r="L12" s="13" t="str">
        <f>"$Q$"&amp;$L$10&amp;":$Q$"&amp;$M$10</f>
        <v>$Q$1:$Q$96</v>
      </c>
      <c r="O12" s="3">
        <v>44395.114583333299</v>
      </c>
      <c r="P12" s="3">
        <v>44395.15625</v>
      </c>
      <c r="Q12" s="42">
        <f t="shared" ca="1" si="0"/>
        <v>9</v>
      </c>
      <c r="R12" s="42">
        <f t="shared" ca="1" si="1"/>
        <v>8</v>
      </c>
      <c r="S12" s="42">
        <f ca="1">IF(OR($I$10="",$O12="",$P12="",$J$35&lt;&gt;"Yes"),0,IF($K$10=0,SUMIFS(INDIRECT(ADDRESS(12,3+18*3+(0),,,"J1 A - (North) Bishopthorpe Roa")&amp;":"&amp;ADDRESS(130,3+18*3+(0))),'J1 A - (North) Bishopthorpe Roa'!$A$12:$A$130,"&gt;="&amp;Diagram!$O12,'J1 A - (North) Bishopthorpe Roa'!$A$12:$A$130,"&lt;"&amp;Diagram!$P12),SUMIFS(INDIRECT(ADDRESS(12,3+18*3+(8),,,"J1 A - (North) Bishopthorpe Roa")&amp;":"&amp;ADDRESS(130,3+18*3+(8))),'J1 A - (North) Bishopthorpe Roa'!$A$12:$A$130,"&gt;="&amp;Diagram!$O12,'J1 A - (North) Bishopthorpe Roa'!$A$12:$A$130,"&lt;"&amp;Diagram!$P12)))</f>
        <v>0</v>
      </c>
      <c r="T12" s="42">
        <f ca="1">IF(OR($I$10="",$O12="",$P12="",$J$35&lt;&gt;"Yes"),0,IF($K$10=0,SUMIFS(INDIRECT(ADDRESS(12,3+18*0+(0),,,"J1 A - (North) Bishopthorpe Roa")&amp;":"&amp;ADDRESS(130,3+18*0+(0))),'J1 A - (North) Bishopthorpe Roa'!$A$12:$A$130,"&gt;="&amp;Diagram!$O12,'J1 A - (North) Bishopthorpe Roa'!$A$12:$A$130,"&lt;"&amp;Diagram!$P12),SUMIFS(INDIRECT(ADDRESS(12,3+18*0+(8),,,"J1 A - (North) Bishopthorpe Roa")&amp;":"&amp;ADDRESS(130,3+18*0+(8))),'J1 A - (North) Bishopthorpe Roa'!$A$12:$A$130,"&gt;="&amp;Diagram!$O12,'J1 A - (North) Bishopthorpe Roa'!$A$12:$A$130,"&lt;"&amp;Diagram!$P12)))</f>
        <v>1</v>
      </c>
      <c r="U12" s="42">
        <f ca="1">IF(OR($I$10="",$O12="",$P12="",$J$35&lt;&gt;"Yes"),0,IF($K$10=0,SUMIFS(INDIRECT(ADDRESS(12,3+18*1+(0),,,"J1 A - (North) Bishopthorpe Roa")&amp;":"&amp;ADDRESS(130,3+18*1+(0))),'J1 A - (North) Bishopthorpe Roa'!$A$12:$A$130,"&gt;="&amp;Diagram!$O12,'J1 A - (North) Bishopthorpe Roa'!$A$12:$A$130,"&lt;"&amp;Diagram!$P12),SUMIFS(INDIRECT(ADDRESS(12,3+18*1+(8),,,"J1 A - (North) Bishopthorpe Roa")&amp;":"&amp;ADDRESS(130,3+18*1+(8))),'J1 A - (North) Bishopthorpe Roa'!$A$12:$A$130,"&gt;="&amp;Diagram!$O12,'J1 A - (North) Bishopthorpe Roa'!$A$12:$A$130,"&lt;"&amp;Diagram!$P12)))</f>
        <v>3</v>
      </c>
      <c r="V12" s="42">
        <f ca="1">IF(OR($I$10="",$O12="",$P12="",$J$35&lt;&gt;"Yes"),0,IF($K$10=0,SUMIFS(INDIRECT(ADDRESS(12,3+18*2+(0),,,"J1 A - (North) Bishopthorpe Roa")&amp;":"&amp;ADDRESS(130,3+18*2+(0))),'J1 A - (North) Bishopthorpe Roa'!$A$12:$A$130,"&gt;="&amp;Diagram!$O12,'J1 A - (North) Bishopthorpe Roa'!$A$12:$A$130,"&lt;"&amp;Diagram!$P12),SUMIFS(INDIRECT(ADDRESS(12,3+18*2+(8),,,"J1 A - (North) Bishopthorpe Roa")&amp;":"&amp;ADDRESS(130,3+18*2+(8))),'J1 A - (North) Bishopthorpe Roa'!$A$12:$A$130,"&gt;="&amp;Diagram!$O12,'J1 A - (North) Bishopthorpe Roa'!$A$12:$A$130,"&lt;"&amp;Diagram!$P12)))</f>
        <v>1</v>
      </c>
      <c r="W12" s="42">
        <f ca="1">IF(OR($I$10="",$O12="",$P12="",$J$35&lt;&gt;"Yes"),0,IF($K$10=0,SUMIFS(INDIRECT(ADDRESS(12,3+18*2+(0),,,"J1 B - Butcher Terrace")&amp;":"&amp;ADDRESS(130,3+18*2+(0))),'J1 B - Butcher Terrace'!$A$12:$A$130,"&gt;="&amp;Diagram!$O12,'J1 B - Butcher Terrace'!$A$12:$A$130,"&lt;"&amp;Diagram!$P12),SUMIFS(INDIRECT(ADDRESS(12,3+18*2+(8),,,"J1 B - Butcher Terrace")&amp;":"&amp;ADDRESS(130,3+18*2+(8))),'J1 B - Butcher Terrace'!$A$12:$A$130,"&gt;="&amp;Diagram!$O12,'J1 B - Butcher Terrace'!$A$12:$A$130,"&lt;"&amp;Diagram!$P12)))</f>
        <v>1</v>
      </c>
      <c r="X12" s="42">
        <f ca="1">IF(OR($I$10="",$O12="",$P12="",$J$35&lt;&gt;"Yes"),0,IF($K$10=0,SUMIFS(INDIRECT(ADDRESS(12,3+18*3+(0),,,"J1 B - Butcher Terrace")&amp;":"&amp;ADDRESS(130,3+18*3+(0))),'J1 B - Butcher Terrace'!$A$12:$A$130,"&gt;="&amp;Diagram!$O12,'J1 B - Butcher Terrace'!$A$12:$A$130,"&lt;"&amp;Diagram!$P12),SUMIFS(INDIRECT(ADDRESS(12,3+18*3+(8),,,"J1 B - Butcher Terrace")&amp;":"&amp;ADDRESS(130,3+18*3+(8))),'J1 B - Butcher Terrace'!$A$12:$A$130,"&gt;="&amp;Diagram!$O12,'J1 B - Butcher Terrace'!$A$12:$A$130,"&lt;"&amp;Diagram!$P12)))</f>
        <v>0</v>
      </c>
      <c r="Y12" s="42">
        <f ca="1">IF(OR($I$10="",$O12="",$P12="",$J$35&lt;&gt;"Yes"),0,IF($K$10=0,SUMIFS(INDIRECT(ADDRESS(12,3+18*0+(0),,,"J1 B - Butcher Terrace")&amp;":"&amp;ADDRESS(130,3+18*0+(0))),'J1 B - Butcher Terrace'!$A$12:$A$130,"&gt;="&amp;Diagram!$O12,'J1 B - Butcher Terrace'!$A$12:$A$130,"&lt;"&amp;Diagram!$P12),SUMIFS(INDIRECT(ADDRESS(12,3+18*0+(8),,,"J1 B - Butcher Terrace")&amp;":"&amp;ADDRESS(130,3+18*0+(8))),'J1 B - Butcher Terrace'!$A$12:$A$130,"&gt;="&amp;Diagram!$O12,'J1 B - Butcher Terrace'!$A$12:$A$130,"&lt;"&amp;Diagram!$P12)))</f>
        <v>0</v>
      </c>
      <c r="Z12" s="42">
        <f ca="1">IF(OR($I$10="",$O12="",$P12="",$J$35&lt;&gt;"Yes"),0,IF($K$10=0,SUMIFS(INDIRECT(ADDRESS(12,3+18*1+(0),,,"J1 B - Butcher Terrace")&amp;":"&amp;ADDRESS(130,3+18*1+(0))),'J1 B - Butcher Terrace'!$A$12:$A$130,"&gt;="&amp;Diagram!$O12,'J1 B - Butcher Terrace'!$A$12:$A$130,"&lt;"&amp;Diagram!$P12),SUMIFS(INDIRECT(ADDRESS(12,3+18*1+(8),,,"J1 B - Butcher Terrace")&amp;":"&amp;ADDRESS(130,3+18*1+(8))),'J1 B - Butcher Terrace'!$A$12:$A$130,"&gt;="&amp;Diagram!$O12,'J1 B - Butcher Terrace'!$A$12:$A$130,"&lt;"&amp;Diagram!$P12)))</f>
        <v>0</v>
      </c>
      <c r="AA12" s="42">
        <f ca="1">IF(OR($I$10="",$O12="",$P12="",$J$35&lt;&gt;"Yes"),0,IF($K$10=0,SUMIFS(INDIRECT(ADDRESS(12,3+18*1+(0),,,"J1 C - (South) Bishopthorpe Roa")&amp;":"&amp;ADDRESS(130,3+18*1+(0))),'J1 C - (South) Bishopthorpe Roa'!$A$12:$A$130,"&gt;="&amp;Diagram!$O12,'J1 C - (South) Bishopthorpe Roa'!$A$12:$A$130,"&lt;"&amp;Diagram!$P12),SUMIFS(INDIRECT(ADDRESS(12,3+18*1+(8),,,"J1 C - (South) Bishopthorpe Roa")&amp;":"&amp;ADDRESS(130,3+18*1+(8))),'J1 C - (South) Bishopthorpe Roa'!$A$12:$A$130,"&gt;="&amp;Diagram!$O12,'J1 C - (South) Bishopthorpe Roa'!$A$12:$A$130,"&lt;"&amp;Diagram!$P12)))</f>
        <v>1</v>
      </c>
      <c r="AB12" s="42">
        <f ca="1">IF(OR($I$10="",$O12="",$P12="",$J$35&lt;&gt;"Yes"),0,IF($K$10=0,SUMIFS(INDIRECT(ADDRESS(12,3+18*2+(0),,,"J1 C - (South) Bishopthorpe Roa")&amp;":"&amp;ADDRESS(130,3+18*2+(0))),'J1 C - (South) Bishopthorpe Roa'!$A$12:$A$130,"&gt;="&amp;Diagram!$O12,'J1 C - (South) Bishopthorpe Roa'!$A$12:$A$130,"&lt;"&amp;Diagram!$P12),SUMIFS(INDIRECT(ADDRESS(12,3+18*2+(8),,,"J1 C - (South) Bishopthorpe Roa")&amp;":"&amp;ADDRESS(130,3+18*2+(8))),'J1 C - (South) Bishopthorpe Roa'!$A$12:$A$130,"&gt;="&amp;Diagram!$O12,'J1 C - (South) Bishopthorpe Roa'!$A$12:$A$130,"&lt;"&amp;Diagram!$P12)))</f>
        <v>0</v>
      </c>
      <c r="AC12" s="42">
        <f ca="1">IF(OR($I$10="",$O12="",$P12="",$J$35&lt;&gt;"Yes"),0,IF($K$10=0,SUMIFS(INDIRECT(ADDRESS(12,3+18*3+(0),,,"J1 C - (South) Bishopthorpe Roa")&amp;":"&amp;ADDRESS(130,3+18*3+(0))),'J1 C - (South) Bishopthorpe Roa'!$A$12:$A$130,"&gt;="&amp;Diagram!$O12,'J1 C - (South) Bishopthorpe Roa'!$A$12:$A$130,"&lt;"&amp;Diagram!$P12),SUMIFS(INDIRECT(ADDRESS(12,3+18*3+(8),,,"J1 C - (South) Bishopthorpe Roa")&amp;":"&amp;ADDRESS(130,3+18*3+(8))),'J1 C - (South) Bishopthorpe Roa'!$A$12:$A$130,"&gt;="&amp;Diagram!$O12,'J1 C - (South) Bishopthorpe Roa'!$A$12:$A$130,"&lt;"&amp;Diagram!$P12)))</f>
        <v>0</v>
      </c>
      <c r="AD12" s="42">
        <f ca="1">IF(OR($I$10="",$O12="",$P12="",$J$35&lt;&gt;"Yes"),0,IF($K$10=0,SUMIFS(INDIRECT(ADDRESS(12,3+18*0+(0),,,"J1 C - (South) Bishopthorpe Roa")&amp;":"&amp;ADDRESS(130,3+18*0+(0))),'J1 C - (South) Bishopthorpe Roa'!$A$12:$A$130,"&gt;="&amp;Diagram!$O12,'J1 C - (South) Bishopthorpe Roa'!$A$12:$A$130,"&lt;"&amp;Diagram!$P12),SUMIFS(INDIRECT(ADDRESS(12,3+18*0+(8),,,"J1 C - (South) Bishopthorpe Roa")&amp;":"&amp;ADDRESS(130,3+18*0+(8))),'J1 C - (South) Bishopthorpe Roa'!$A$12:$A$130,"&gt;="&amp;Diagram!$O12,'J1 C - (South) Bishopthorpe Roa'!$A$12:$A$130,"&lt;"&amp;Diagram!$P12)))</f>
        <v>1</v>
      </c>
      <c r="AE12" s="42">
        <f ca="1">IF(OR($I$10="",$O12="",$P12="",$J$35&lt;&gt;"Yes"),0,IF($K$10=0,SUMIFS(INDIRECT(ADDRESS(12,3+18*0+(0),,,"J1 D - South Bank Avenue")&amp;":"&amp;ADDRESS(130,3+18*0+(0))),'J1 D - South Bank Avenue'!$A$12:$A$130,"&gt;="&amp;Diagram!$O12,'J1 D - South Bank Avenue'!$A$12:$A$130,"&lt;"&amp;Diagram!$P12),SUMIFS(INDIRECT(ADDRESS(12,3+18*0+(8),,,"J1 D - South Bank Avenue")&amp;":"&amp;ADDRESS(130,3+18*0+(8))),'J1 D - South Bank Avenue'!$A$12:$A$130,"&gt;="&amp;Diagram!$O12,'J1 D - South Bank Avenue'!$A$12:$A$130,"&lt;"&amp;Diagram!$P12)))</f>
        <v>0</v>
      </c>
      <c r="AF12" s="42">
        <f ca="1">IF(OR($I$10="",$O12="",$P12="",$J$35&lt;&gt;"Yes"),0,IF($K$10=0,SUMIFS(INDIRECT(ADDRESS(12,3+18*1+(0),,,"J1 D - South Bank Avenue")&amp;":"&amp;ADDRESS(130,3+18*1+(0))),'J1 D - South Bank Avenue'!$A$12:$A$130,"&gt;="&amp;Diagram!$O12,'J1 D - South Bank Avenue'!$A$12:$A$130,"&lt;"&amp;Diagram!$P12),SUMIFS(INDIRECT(ADDRESS(12,3+18*1+(8),,,"J1 D - South Bank Avenue")&amp;":"&amp;ADDRESS(130,3+18*1+(8))),'J1 D - South Bank Avenue'!$A$12:$A$130,"&gt;="&amp;Diagram!$O12,'J1 D - South Bank Avenue'!$A$12:$A$130,"&lt;"&amp;Diagram!$P12)))</f>
        <v>0</v>
      </c>
      <c r="AG12" s="42">
        <f ca="1">IF(OR($I$10="",$O12="",$P12="",$J$35&lt;&gt;"Yes"),0,IF($K$10=0,SUMIFS(INDIRECT(ADDRESS(12,3+18*2+(0),,,"J1 D - South Bank Avenue")&amp;":"&amp;ADDRESS(130,3+18*2+(0))),'J1 D - South Bank Avenue'!$A$12:$A$130,"&gt;="&amp;Diagram!$O12,'J1 D - South Bank Avenue'!$A$12:$A$130,"&lt;"&amp;Diagram!$P12),SUMIFS(INDIRECT(ADDRESS(12,3+18*2+(8),,,"J1 D - South Bank Avenue")&amp;":"&amp;ADDRESS(130,3+18*2+(8))),'J1 D - South Bank Avenue'!$A$12:$A$130,"&gt;="&amp;Diagram!$O12,'J1 D - South Bank Avenue'!$A$12:$A$130,"&lt;"&amp;Diagram!$P12)))</f>
        <v>0</v>
      </c>
      <c r="AH12" s="42">
        <f ca="1">IF(OR($I$10="",$O12="",$P12="",$J$35&lt;&gt;"Yes"),0,IF($K$10=0,SUMIFS(INDIRECT(ADDRESS(12,3+18*3+(0),,,"J1 D - South Bank Avenue")&amp;":"&amp;ADDRESS(130,3+18*3+(0))),'J1 D - South Bank Avenue'!$A$12:$A$130,"&gt;="&amp;Diagram!$O12,'J1 D - South Bank Avenue'!$A$12:$A$130,"&lt;"&amp;Diagram!$P12),SUMIFS(INDIRECT(ADDRESS(12,3+18*3+(8),,,"J1 D - South Bank Avenue")&amp;":"&amp;ADDRESS(130,3+18*3+(8))),'J1 D - South Bank Avenue'!$A$12:$A$130,"&gt;="&amp;Diagram!$O12,'J1 D - South Bank Avenue'!$A$12:$A$130,"&lt;"&amp;Diagram!$P12)))</f>
        <v>0</v>
      </c>
      <c r="AI12" s="42">
        <f t="shared" ca="1" si="2"/>
        <v>1</v>
      </c>
      <c r="AJ12" s="42">
        <f ca="1">IF(OR($I$10="",$O12="",$P12="",$J$36&lt;&gt;"Yes"),0,IF($K$10=0,SUMIFS(INDIRECT(ADDRESS(12,3+18*3+(1),,,"J1 A - (North) Bishopthorpe Roa")&amp;":"&amp;ADDRESS(130,3+18*3+(1))),'J1 A - (North) Bishopthorpe Roa'!$A$12:$A$130,"&gt;="&amp;Diagram!$O12,'J1 A - (North) Bishopthorpe Roa'!$A$12:$A$130,"&lt;"&amp;Diagram!$P12),SUMIFS(INDIRECT(ADDRESS(12,3+18*3+(9),,,"J1 A - (North) Bishopthorpe Roa")&amp;":"&amp;ADDRESS(130,3+18*3+(9))),'J1 A - (North) Bishopthorpe Roa'!$A$12:$A$130,"&gt;="&amp;Diagram!$O12,'J1 A - (North) Bishopthorpe Roa'!$A$12:$A$130,"&lt;"&amp;Diagram!$P12)))</f>
        <v>0</v>
      </c>
      <c r="AK12" s="42">
        <f ca="1">IF(OR($I$10="",$O12="",$P12="",$J$36&lt;&gt;"Yes"),0,IF($K$10=0,SUMIFS(INDIRECT(ADDRESS(12,3+18*0+(1),,,"J1 A - (North) Bishopthorpe Roa")&amp;":"&amp;ADDRESS(130,3+18*0+(1))),'J1 A - (North) Bishopthorpe Roa'!$A$12:$A$130,"&gt;="&amp;Diagram!$O12,'J1 A - (North) Bishopthorpe Roa'!$A$12:$A$130,"&lt;"&amp;Diagram!$P12),SUMIFS(INDIRECT(ADDRESS(12,3+18*0+(9),,,"J1 A - (North) Bishopthorpe Roa")&amp;":"&amp;ADDRESS(130,3+18*0+(9))),'J1 A - (North) Bishopthorpe Roa'!$A$12:$A$130,"&gt;="&amp;Diagram!$O12,'J1 A - (North) Bishopthorpe Roa'!$A$12:$A$130,"&lt;"&amp;Diagram!$P12)))</f>
        <v>0</v>
      </c>
      <c r="AL12" s="42">
        <f ca="1">IF(OR($I$10="",$O12="",$P12="",$J$36&lt;&gt;"Yes"),0,IF($K$10=0,SUMIFS(INDIRECT(ADDRESS(12,3+18*1+(1),,,"J1 A - (North) Bishopthorpe Roa")&amp;":"&amp;ADDRESS(130,3+18*1+(1))),'J1 A - (North) Bishopthorpe Roa'!$A$12:$A$130,"&gt;="&amp;Diagram!$O12,'J1 A - (North) Bishopthorpe Roa'!$A$12:$A$130,"&lt;"&amp;Diagram!$P12),SUMIFS(INDIRECT(ADDRESS(12,3+18*1+(9),,,"J1 A - (North) Bishopthorpe Roa")&amp;":"&amp;ADDRESS(130,3+18*1+(9))),'J1 A - (North) Bishopthorpe Roa'!$A$12:$A$130,"&gt;="&amp;Diagram!$O12,'J1 A - (North) Bishopthorpe Roa'!$A$12:$A$130,"&lt;"&amp;Diagram!$P12)))</f>
        <v>1</v>
      </c>
      <c r="AM12" s="42">
        <f ca="1">IF(OR($I$10="",$O12="",$P12="",$J$36&lt;&gt;"Yes"),0,IF($K$10=0,SUMIFS(INDIRECT(ADDRESS(12,3+18*2+(1),,,"J1 A - (North) Bishopthorpe Roa")&amp;":"&amp;ADDRESS(130,3+18*2+(1))),'J1 A - (North) Bishopthorpe Roa'!$A$12:$A$130,"&gt;="&amp;Diagram!$O12,'J1 A - (North) Bishopthorpe Roa'!$A$12:$A$130,"&lt;"&amp;Diagram!$P12),SUMIFS(INDIRECT(ADDRESS(12,3+18*2+(9),,,"J1 A - (North) Bishopthorpe Roa")&amp;":"&amp;ADDRESS(130,3+18*2+(9))),'J1 A - (North) Bishopthorpe Roa'!$A$12:$A$130,"&gt;="&amp;Diagram!$O12,'J1 A - (North) Bishopthorpe Roa'!$A$12:$A$130,"&lt;"&amp;Diagram!$P12)))</f>
        <v>0</v>
      </c>
      <c r="AN12" s="42">
        <f ca="1">IF(OR($I$10="",$O12="",$P12="",$J$36&lt;&gt;"Yes"),0,IF($K$10=0,SUMIFS(INDIRECT(ADDRESS(12,3+18*2+(1),,,"J1 B - Butcher Terrace")&amp;":"&amp;ADDRESS(130,3+18*2+(1))),'J1 B - Butcher Terrace'!$A$12:$A$130,"&gt;="&amp;Diagram!$O12,'J1 B - Butcher Terrace'!$A$12:$A$130,"&lt;"&amp;Diagram!$P12),SUMIFS(INDIRECT(ADDRESS(12,3+18*2+(9),,,"J1 B - Butcher Terrace")&amp;":"&amp;ADDRESS(130,3+18*2+(9))),'J1 B - Butcher Terrace'!$A$12:$A$130,"&gt;="&amp;Diagram!$O12,'J1 B - Butcher Terrace'!$A$12:$A$130,"&lt;"&amp;Diagram!$P12)))</f>
        <v>0</v>
      </c>
      <c r="AO12" s="42">
        <f ca="1">IF(OR($I$10="",$O12="",$P12="",$J$36&lt;&gt;"Yes"),0,IF($K$10=0,SUMIFS(INDIRECT(ADDRESS(12,3+18*3+(1),,,"J1 B - Butcher Terrace")&amp;":"&amp;ADDRESS(130,3+18*3+(1))),'J1 B - Butcher Terrace'!$A$12:$A$130,"&gt;="&amp;Diagram!$O12,'J1 B - Butcher Terrace'!$A$12:$A$130,"&lt;"&amp;Diagram!$P12),SUMIFS(INDIRECT(ADDRESS(12,3+18*3+(9),,,"J1 B - Butcher Terrace")&amp;":"&amp;ADDRESS(130,3+18*3+(9))),'J1 B - Butcher Terrace'!$A$12:$A$130,"&gt;="&amp;Diagram!$O12,'J1 B - Butcher Terrace'!$A$12:$A$130,"&lt;"&amp;Diagram!$P12)))</f>
        <v>0</v>
      </c>
      <c r="AP12" s="42">
        <f ca="1">IF(OR($I$10="",$O12="",$P12="",$J$36&lt;&gt;"Yes"),0,IF($K$10=0,SUMIFS(INDIRECT(ADDRESS(12,3+18*0+(1),,,"J1 B - Butcher Terrace")&amp;":"&amp;ADDRESS(130,3+18*0+(1))),'J1 B - Butcher Terrace'!$A$12:$A$130,"&gt;="&amp;Diagram!$O12,'J1 B - Butcher Terrace'!$A$12:$A$130,"&lt;"&amp;Diagram!$P12),SUMIFS(INDIRECT(ADDRESS(12,3+18*0+(9),,,"J1 B - Butcher Terrace")&amp;":"&amp;ADDRESS(130,3+18*0+(9))),'J1 B - Butcher Terrace'!$A$12:$A$130,"&gt;="&amp;Diagram!$O12,'J1 B - Butcher Terrace'!$A$12:$A$130,"&lt;"&amp;Diagram!$P12)))</f>
        <v>0</v>
      </c>
      <c r="AQ12" s="42">
        <f ca="1">IF(OR($I$10="",$O12="",$P12="",$J$36&lt;&gt;"Yes"),0,IF($K$10=0,SUMIFS(INDIRECT(ADDRESS(12,3+18*1+(1),,,"J1 B - Butcher Terrace")&amp;":"&amp;ADDRESS(130,3+18*1+(1))),'J1 B - Butcher Terrace'!$A$12:$A$130,"&gt;="&amp;Diagram!$O12,'J1 B - Butcher Terrace'!$A$12:$A$130,"&lt;"&amp;Diagram!$P12),SUMIFS(INDIRECT(ADDRESS(12,3+18*1+(9),,,"J1 B - Butcher Terrace")&amp;":"&amp;ADDRESS(130,3+18*1+(9))),'J1 B - Butcher Terrace'!$A$12:$A$130,"&gt;="&amp;Diagram!$O12,'J1 B - Butcher Terrace'!$A$12:$A$130,"&lt;"&amp;Diagram!$P12)))</f>
        <v>0</v>
      </c>
      <c r="AR12" s="42">
        <f ca="1">IF(OR($I$10="",$O12="",$P12="",$J$36&lt;&gt;"Yes"),0,IF($K$10=0,SUMIFS(INDIRECT(ADDRESS(12,3+18*1+(1),,,"J1 C - (South) Bishopthorpe Roa")&amp;":"&amp;ADDRESS(130,3+18*1+(1))),'J1 C - (South) Bishopthorpe Roa'!$A$12:$A$130,"&gt;="&amp;Diagram!$O12,'J1 C - (South) Bishopthorpe Roa'!$A$12:$A$130,"&lt;"&amp;Diagram!$P12),SUMIFS(INDIRECT(ADDRESS(12,3+18*1+(9),,,"J1 C - (South) Bishopthorpe Roa")&amp;":"&amp;ADDRESS(130,3+18*1+(9))),'J1 C - (South) Bishopthorpe Roa'!$A$12:$A$130,"&gt;="&amp;Diagram!$O12,'J1 C - (South) Bishopthorpe Roa'!$A$12:$A$130,"&lt;"&amp;Diagram!$P12)))</f>
        <v>0</v>
      </c>
      <c r="AS12" s="42">
        <f ca="1">IF(OR($I$10="",$O12="",$P12="",$J$36&lt;&gt;"Yes"),0,IF($K$10=0,SUMIFS(INDIRECT(ADDRESS(12,3+18*2+(1),,,"J1 C - (South) Bishopthorpe Roa")&amp;":"&amp;ADDRESS(130,3+18*2+(1))),'J1 C - (South) Bishopthorpe Roa'!$A$12:$A$130,"&gt;="&amp;Diagram!$O12,'J1 C - (South) Bishopthorpe Roa'!$A$12:$A$130,"&lt;"&amp;Diagram!$P12),SUMIFS(INDIRECT(ADDRESS(12,3+18*2+(9),,,"J1 C - (South) Bishopthorpe Roa")&amp;":"&amp;ADDRESS(130,3+18*2+(9))),'J1 C - (South) Bishopthorpe Roa'!$A$12:$A$130,"&gt;="&amp;Diagram!$O12,'J1 C - (South) Bishopthorpe Roa'!$A$12:$A$130,"&lt;"&amp;Diagram!$P12)))</f>
        <v>0</v>
      </c>
      <c r="AT12" s="42">
        <f ca="1">IF(OR($I$10="",$O12="",$P12="",$J$36&lt;&gt;"Yes"),0,IF($K$10=0,SUMIFS(INDIRECT(ADDRESS(12,3+18*3+(1),,,"J1 C - (South) Bishopthorpe Roa")&amp;":"&amp;ADDRESS(130,3+18*3+(1))),'J1 C - (South) Bishopthorpe Roa'!$A$12:$A$130,"&gt;="&amp;Diagram!$O12,'J1 C - (South) Bishopthorpe Roa'!$A$12:$A$130,"&lt;"&amp;Diagram!$P12),SUMIFS(INDIRECT(ADDRESS(12,3+18*3+(9),,,"J1 C - (South) Bishopthorpe Roa")&amp;":"&amp;ADDRESS(130,3+18*3+(9))),'J1 C - (South) Bishopthorpe Roa'!$A$12:$A$130,"&gt;="&amp;Diagram!$O12,'J1 C - (South) Bishopthorpe Roa'!$A$12:$A$130,"&lt;"&amp;Diagram!$P12)))</f>
        <v>0</v>
      </c>
      <c r="AU12" s="42">
        <f ca="1">IF(OR($I$10="",$O12="",$P12="",$J$36&lt;&gt;"Yes"),0,IF($K$10=0,SUMIFS(INDIRECT(ADDRESS(12,3+18*0+(1),,,"J1 C - (South) Bishopthorpe Roa")&amp;":"&amp;ADDRESS(130,3+18*0+(1))),'J1 C - (South) Bishopthorpe Roa'!$A$12:$A$130,"&gt;="&amp;Diagram!$O12,'J1 C - (South) Bishopthorpe Roa'!$A$12:$A$130,"&lt;"&amp;Diagram!$P12),SUMIFS(INDIRECT(ADDRESS(12,3+18*0+(9),,,"J1 C - (South) Bishopthorpe Roa")&amp;":"&amp;ADDRESS(130,3+18*0+(9))),'J1 C - (South) Bishopthorpe Roa'!$A$12:$A$130,"&gt;="&amp;Diagram!$O12,'J1 C - (South) Bishopthorpe Roa'!$A$12:$A$130,"&lt;"&amp;Diagram!$P12)))</f>
        <v>0</v>
      </c>
      <c r="AV12" s="42">
        <f ca="1">IF(OR($I$10="",$O12="",$P12="",$J$36&lt;&gt;"Yes"),0,IF($K$10=0,SUMIFS(INDIRECT(ADDRESS(12,3+18*0+(1),,,"J1 D - South Bank Avenue")&amp;":"&amp;ADDRESS(130,3+18*0+(1))),'J1 D - South Bank Avenue'!$A$12:$A$130,"&gt;="&amp;Diagram!$O12,'J1 D - South Bank Avenue'!$A$12:$A$130,"&lt;"&amp;Diagram!$P12),SUMIFS(INDIRECT(ADDRESS(12,3+18*0+(9),,,"J1 D - South Bank Avenue")&amp;":"&amp;ADDRESS(130,3+18*0+(9))),'J1 D - South Bank Avenue'!$A$12:$A$130,"&gt;="&amp;Diagram!$O12,'J1 D - South Bank Avenue'!$A$12:$A$130,"&lt;"&amp;Diagram!$P12)))</f>
        <v>0</v>
      </c>
      <c r="AW12" s="42">
        <f ca="1">IF(OR($I$10="",$O12="",$P12="",$J$36&lt;&gt;"Yes"),0,IF($K$10=0,SUMIFS(INDIRECT(ADDRESS(12,3+18*1+(1),,,"J1 D - South Bank Avenue")&amp;":"&amp;ADDRESS(130,3+18*1+(1))),'J1 D - South Bank Avenue'!$A$12:$A$130,"&gt;="&amp;Diagram!$O12,'J1 D - South Bank Avenue'!$A$12:$A$130,"&lt;"&amp;Diagram!$P12),SUMIFS(INDIRECT(ADDRESS(12,3+18*1+(9),,,"J1 D - South Bank Avenue")&amp;":"&amp;ADDRESS(130,3+18*1+(9))),'J1 D - South Bank Avenue'!$A$12:$A$130,"&gt;="&amp;Diagram!$O12,'J1 D - South Bank Avenue'!$A$12:$A$130,"&lt;"&amp;Diagram!$P12)))</f>
        <v>0</v>
      </c>
      <c r="AX12" s="42">
        <f ca="1">IF(OR($I$10="",$O12="",$P12="",$J$36&lt;&gt;"Yes"),0,IF($K$10=0,SUMIFS(INDIRECT(ADDRESS(12,3+18*2+(1),,,"J1 D - South Bank Avenue")&amp;":"&amp;ADDRESS(130,3+18*2+(1))),'J1 D - South Bank Avenue'!$A$12:$A$130,"&gt;="&amp;Diagram!$O12,'J1 D - South Bank Avenue'!$A$12:$A$130,"&lt;"&amp;Diagram!$P12),SUMIFS(INDIRECT(ADDRESS(12,3+18*2+(9),,,"J1 D - South Bank Avenue")&amp;":"&amp;ADDRESS(130,3+18*2+(9))),'J1 D - South Bank Avenue'!$A$12:$A$130,"&gt;="&amp;Diagram!$O12,'J1 D - South Bank Avenue'!$A$12:$A$130,"&lt;"&amp;Diagram!$P12)))</f>
        <v>0</v>
      </c>
      <c r="AY12" s="42">
        <f ca="1">IF(OR($I$10="",$O12="",$P12="",$J$36&lt;&gt;"Yes"),0,IF($K$10=0,SUMIFS(INDIRECT(ADDRESS(12,3+18*3+(1),,,"J1 D - South Bank Avenue")&amp;":"&amp;ADDRESS(130,3+18*3+(1))),'J1 D - South Bank Avenue'!$A$12:$A$130,"&gt;="&amp;Diagram!$O12,'J1 D - South Bank Avenue'!$A$12:$A$130,"&lt;"&amp;Diagram!$P12),SUMIFS(INDIRECT(ADDRESS(12,3+18*3+(9),,,"J1 D - South Bank Avenue")&amp;":"&amp;ADDRESS(130,3+18*3+(9))),'J1 D - South Bank Avenue'!$A$12:$A$130,"&gt;="&amp;Diagram!$O12,'J1 D - South Bank Avenue'!$A$12:$A$130,"&lt;"&amp;Diagram!$P12)))</f>
        <v>0</v>
      </c>
      <c r="AZ12" s="42">
        <f t="shared" ca="1" si="3"/>
        <v>0</v>
      </c>
      <c r="BA12" s="42">
        <f ca="1">IF(OR($I$10="",$O12="",$P12="",$J$37&lt;&gt;"Yes"),0,IF($K$10=0,SUMIFS(INDIRECT(ADDRESS(12,3+18*3+(2),,,"J1 A - (North) Bishopthorpe Roa")&amp;":"&amp;ADDRESS(130,3+18*3+(2))),'J1 A - (North) Bishopthorpe Roa'!$A$12:$A$130,"&gt;="&amp;Diagram!$O12,'J1 A - (North) Bishopthorpe Roa'!$A$12:$A$130,"&lt;"&amp;Diagram!$P12),SUMIFS(INDIRECT(ADDRESS(12,3+18*3+(10),,,"J1 A - (North) Bishopthorpe Roa")&amp;":"&amp;ADDRESS(130,3+18*3+(10))),'J1 A - (North) Bishopthorpe Roa'!$A$12:$A$130,"&gt;="&amp;Diagram!$O12,'J1 A - (North) Bishopthorpe Roa'!$A$12:$A$130,"&lt;"&amp;Diagram!$P12)))</f>
        <v>0</v>
      </c>
      <c r="BB12" s="42">
        <f ca="1">IF(OR($I$10="",$O12="",$P12="",$J$37&lt;&gt;"Yes"),0,IF($K$10=0,SUMIFS(INDIRECT(ADDRESS(12,3+18*0+(2),,,"J1 A - (North) Bishopthorpe Roa")&amp;":"&amp;ADDRESS(130,3+18*0+(2))),'J1 A - (North) Bishopthorpe Roa'!$A$12:$A$130,"&gt;="&amp;Diagram!$O12,'J1 A - (North) Bishopthorpe Roa'!$A$12:$A$130,"&lt;"&amp;Diagram!$P12),SUMIFS(INDIRECT(ADDRESS(12,3+18*0+(10),,,"J1 A - (North) Bishopthorpe Roa")&amp;":"&amp;ADDRESS(130,3+18*0+(10))),'J1 A - (North) Bishopthorpe Roa'!$A$12:$A$130,"&gt;="&amp;Diagram!$O12,'J1 A - (North) Bishopthorpe Roa'!$A$12:$A$130,"&lt;"&amp;Diagram!$P12)))</f>
        <v>0</v>
      </c>
      <c r="BC12" s="42">
        <f ca="1">IF(OR($I$10="",$O12="",$P12="",$J$37&lt;&gt;"Yes"),0,IF($K$10=0,SUMIFS(INDIRECT(ADDRESS(12,3+18*1+(2),,,"J1 A - (North) Bishopthorpe Roa")&amp;":"&amp;ADDRESS(130,3+18*1+(2))),'J1 A - (North) Bishopthorpe Roa'!$A$12:$A$130,"&gt;="&amp;Diagram!$O12,'J1 A - (North) Bishopthorpe Roa'!$A$12:$A$130,"&lt;"&amp;Diagram!$P12),SUMIFS(INDIRECT(ADDRESS(12,3+18*1+(10),,,"J1 A - (North) Bishopthorpe Roa")&amp;":"&amp;ADDRESS(130,3+18*1+(10))),'J1 A - (North) Bishopthorpe Roa'!$A$12:$A$130,"&gt;="&amp;Diagram!$O12,'J1 A - (North) Bishopthorpe Roa'!$A$12:$A$130,"&lt;"&amp;Diagram!$P12)))</f>
        <v>0</v>
      </c>
      <c r="BD12" s="42">
        <f ca="1">IF(OR($I$10="",$O12="",$P12="",$J$37&lt;&gt;"Yes"),0,IF($K$10=0,SUMIFS(INDIRECT(ADDRESS(12,3+18*2+(2),,,"J1 A - (North) Bishopthorpe Roa")&amp;":"&amp;ADDRESS(130,3+18*2+(2))),'J1 A - (North) Bishopthorpe Roa'!$A$12:$A$130,"&gt;="&amp;Diagram!$O12,'J1 A - (North) Bishopthorpe Roa'!$A$12:$A$130,"&lt;"&amp;Diagram!$P12),SUMIFS(INDIRECT(ADDRESS(12,3+18*2+(10),,,"J1 A - (North) Bishopthorpe Roa")&amp;":"&amp;ADDRESS(130,3+18*2+(10))),'J1 A - (North) Bishopthorpe Roa'!$A$12:$A$130,"&gt;="&amp;Diagram!$O12,'J1 A - (North) Bishopthorpe Roa'!$A$12:$A$130,"&lt;"&amp;Diagram!$P12)))</f>
        <v>0</v>
      </c>
      <c r="BE12" s="42">
        <f ca="1">IF(OR($I$10="",$O12="",$P12="",$J$37&lt;&gt;"Yes"),0,IF($K$10=0,SUMIFS(INDIRECT(ADDRESS(12,3+18*2+(2),,,"J1 B - Butcher Terrace")&amp;":"&amp;ADDRESS(130,3+18*2+(2))),'J1 B - Butcher Terrace'!$A$12:$A$130,"&gt;="&amp;Diagram!$O12,'J1 B - Butcher Terrace'!$A$12:$A$130,"&lt;"&amp;Diagram!$P12),SUMIFS(INDIRECT(ADDRESS(12,3+18*2+(10),,,"J1 B - Butcher Terrace")&amp;":"&amp;ADDRESS(130,3+18*2+(10))),'J1 B - Butcher Terrace'!$A$12:$A$130,"&gt;="&amp;Diagram!$O12,'J1 B - Butcher Terrace'!$A$12:$A$130,"&lt;"&amp;Diagram!$P12)))</f>
        <v>0</v>
      </c>
      <c r="BF12" s="42">
        <f ca="1">IF(OR($I$10="",$O12="",$P12="",$J$37&lt;&gt;"Yes"),0,IF($K$10=0,SUMIFS(INDIRECT(ADDRESS(12,3+18*3+(2),,,"J1 B - Butcher Terrace")&amp;":"&amp;ADDRESS(130,3+18*3+(2))),'J1 B - Butcher Terrace'!$A$12:$A$130,"&gt;="&amp;Diagram!$O12,'J1 B - Butcher Terrace'!$A$12:$A$130,"&lt;"&amp;Diagram!$P12),SUMIFS(INDIRECT(ADDRESS(12,3+18*3+(10),,,"J1 B - Butcher Terrace")&amp;":"&amp;ADDRESS(130,3+18*3+(10))),'J1 B - Butcher Terrace'!$A$12:$A$130,"&gt;="&amp;Diagram!$O12,'J1 B - Butcher Terrace'!$A$12:$A$130,"&lt;"&amp;Diagram!$P12)))</f>
        <v>0</v>
      </c>
      <c r="BG12" s="42">
        <f ca="1">IF(OR($I$10="",$O12="",$P12="",$J$37&lt;&gt;"Yes"),0,IF($K$10=0,SUMIFS(INDIRECT(ADDRESS(12,3+18*0+(2),,,"J1 B - Butcher Terrace")&amp;":"&amp;ADDRESS(130,3+18*0+(2))),'J1 B - Butcher Terrace'!$A$12:$A$130,"&gt;="&amp;Diagram!$O12,'J1 B - Butcher Terrace'!$A$12:$A$130,"&lt;"&amp;Diagram!$P12),SUMIFS(INDIRECT(ADDRESS(12,3+18*0+(10),,,"J1 B - Butcher Terrace")&amp;":"&amp;ADDRESS(130,3+18*0+(10))),'J1 B - Butcher Terrace'!$A$12:$A$130,"&gt;="&amp;Diagram!$O12,'J1 B - Butcher Terrace'!$A$12:$A$130,"&lt;"&amp;Diagram!$P12)))</f>
        <v>0</v>
      </c>
      <c r="BH12" s="42">
        <f ca="1">IF(OR($I$10="",$O12="",$P12="",$J$37&lt;&gt;"Yes"),0,IF($K$10=0,SUMIFS(INDIRECT(ADDRESS(12,3+18*1+(2),,,"J1 B - Butcher Terrace")&amp;":"&amp;ADDRESS(130,3+18*1+(2))),'J1 B - Butcher Terrace'!$A$12:$A$130,"&gt;="&amp;Diagram!$O12,'J1 B - Butcher Terrace'!$A$12:$A$130,"&lt;"&amp;Diagram!$P12),SUMIFS(INDIRECT(ADDRESS(12,3+18*1+(10),,,"J1 B - Butcher Terrace")&amp;":"&amp;ADDRESS(130,3+18*1+(10))),'J1 B - Butcher Terrace'!$A$12:$A$130,"&gt;="&amp;Diagram!$O12,'J1 B - Butcher Terrace'!$A$12:$A$130,"&lt;"&amp;Diagram!$P12)))</f>
        <v>0</v>
      </c>
      <c r="BI12" s="42">
        <f ca="1">IF(OR($I$10="",$O12="",$P12="",$J$37&lt;&gt;"Yes"),0,IF($K$10=0,SUMIFS(INDIRECT(ADDRESS(12,3+18*1+(2),,,"J1 C - (South) Bishopthorpe Roa")&amp;":"&amp;ADDRESS(130,3+18*1+(2))),'J1 C - (South) Bishopthorpe Roa'!$A$12:$A$130,"&gt;="&amp;Diagram!$O12,'J1 C - (South) Bishopthorpe Roa'!$A$12:$A$130,"&lt;"&amp;Diagram!$P12),SUMIFS(INDIRECT(ADDRESS(12,3+18*1+(10),,,"J1 C - (South) Bishopthorpe Roa")&amp;":"&amp;ADDRESS(130,3+18*1+(10))),'J1 C - (South) Bishopthorpe Roa'!$A$12:$A$130,"&gt;="&amp;Diagram!$O12,'J1 C - (South) Bishopthorpe Roa'!$A$12:$A$130,"&lt;"&amp;Diagram!$P12)))</f>
        <v>0</v>
      </c>
      <c r="BJ12" s="42">
        <f ca="1">IF(OR($I$10="",$O12="",$P12="",$J$37&lt;&gt;"Yes"),0,IF($K$10=0,SUMIFS(INDIRECT(ADDRESS(12,3+18*2+(2),,,"J1 C - (South) Bishopthorpe Roa")&amp;":"&amp;ADDRESS(130,3+18*2+(2))),'J1 C - (South) Bishopthorpe Roa'!$A$12:$A$130,"&gt;="&amp;Diagram!$O12,'J1 C - (South) Bishopthorpe Roa'!$A$12:$A$130,"&lt;"&amp;Diagram!$P12),SUMIFS(INDIRECT(ADDRESS(12,3+18*2+(10),,,"J1 C - (South) Bishopthorpe Roa")&amp;":"&amp;ADDRESS(130,3+18*2+(10))),'J1 C - (South) Bishopthorpe Roa'!$A$12:$A$130,"&gt;="&amp;Diagram!$O12,'J1 C - (South) Bishopthorpe Roa'!$A$12:$A$130,"&lt;"&amp;Diagram!$P12)))</f>
        <v>0</v>
      </c>
      <c r="BK12" s="42">
        <f ca="1">IF(OR($I$10="",$O12="",$P12="",$J$37&lt;&gt;"Yes"),0,IF($K$10=0,SUMIFS(INDIRECT(ADDRESS(12,3+18*3+(2),,,"J1 C - (South) Bishopthorpe Roa")&amp;":"&amp;ADDRESS(130,3+18*3+(2))),'J1 C - (South) Bishopthorpe Roa'!$A$12:$A$130,"&gt;="&amp;Diagram!$O12,'J1 C - (South) Bishopthorpe Roa'!$A$12:$A$130,"&lt;"&amp;Diagram!$P12),SUMIFS(INDIRECT(ADDRESS(12,3+18*3+(10),,,"J1 C - (South) Bishopthorpe Roa")&amp;":"&amp;ADDRESS(130,3+18*3+(10))),'J1 C - (South) Bishopthorpe Roa'!$A$12:$A$130,"&gt;="&amp;Diagram!$O12,'J1 C - (South) Bishopthorpe Roa'!$A$12:$A$130,"&lt;"&amp;Diagram!$P12)))</f>
        <v>0</v>
      </c>
      <c r="BL12" s="42">
        <f ca="1">IF(OR($I$10="",$O12="",$P12="",$J$37&lt;&gt;"Yes"),0,IF($K$10=0,SUMIFS(INDIRECT(ADDRESS(12,3+18*0+(2),,,"J1 C - (South) Bishopthorpe Roa")&amp;":"&amp;ADDRESS(130,3+18*0+(2))),'J1 C - (South) Bishopthorpe Roa'!$A$12:$A$130,"&gt;="&amp;Diagram!$O12,'J1 C - (South) Bishopthorpe Roa'!$A$12:$A$130,"&lt;"&amp;Diagram!$P12),SUMIFS(INDIRECT(ADDRESS(12,3+18*0+(10),,,"J1 C - (South) Bishopthorpe Roa")&amp;":"&amp;ADDRESS(130,3+18*0+(10))),'J1 C - (South) Bishopthorpe Roa'!$A$12:$A$130,"&gt;="&amp;Diagram!$O12,'J1 C - (South) Bishopthorpe Roa'!$A$12:$A$130,"&lt;"&amp;Diagram!$P12)))</f>
        <v>0</v>
      </c>
      <c r="BM12" s="42">
        <f ca="1">IF(OR($I$10="",$O12="",$P12="",$J$37&lt;&gt;"Yes"),0,IF($K$10=0,SUMIFS(INDIRECT(ADDRESS(12,3+18*0+(2),,,"J1 D - South Bank Avenue")&amp;":"&amp;ADDRESS(130,3+18*0+(2))),'J1 D - South Bank Avenue'!$A$12:$A$130,"&gt;="&amp;Diagram!$O12,'J1 D - South Bank Avenue'!$A$12:$A$130,"&lt;"&amp;Diagram!$P12),SUMIFS(INDIRECT(ADDRESS(12,3+18*0+(10),,,"J1 D - South Bank Avenue")&amp;":"&amp;ADDRESS(130,3+18*0+(10))),'J1 D - South Bank Avenue'!$A$12:$A$130,"&gt;="&amp;Diagram!$O12,'J1 D - South Bank Avenue'!$A$12:$A$130,"&lt;"&amp;Diagram!$P12)))</f>
        <v>0</v>
      </c>
      <c r="BN12" s="42">
        <f ca="1">IF(OR($I$10="",$O12="",$P12="",$J$37&lt;&gt;"Yes"),0,IF($K$10=0,SUMIFS(INDIRECT(ADDRESS(12,3+18*1+(2),,,"J1 D - South Bank Avenue")&amp;":"&amp;ADDRESS(130,3+18*1+(2))),'J1 D - South Bank Avenue'!$A$12:$A$130,"&gt;="&amp;Diagram!$O12,'J1 D - South Bank Avenue'!$A$12:$A$130,"&lt;"&amp;Diagram!$P12),SUMIFS(INDIRECT(ADDRESS(12,3+18*1+(10),,,"J1 D - South Bank Avenue")&amp;":"&amp;ADDRESS(130,3+18*1+(10))),'J1 D - South Bank Avenue'!$A$12:$A$130,"&gt;="&amp;Diagram!$O12,'J1 D - South Bank Avenue'!$A$12:$A$130,"&lt;"&amp;Diagram!$P12)))</f>
        <v>0</v>
      </c>
      <c r="BO12" s="42">
        <f ca="1">IF(OR($I$10="",$O12="",$P12="",$J$37&lt;&gt;"Yes"),0,IF($K$10=0,SUMIFS(INDIRECT(ADDRESS(12,3+18*2+(2),,,"J1 D - South Bank Avenue")&amp;":"&amp;ADDRESS(130,3+18*2+(2))),'J1 D - South Bank Avenue'!$A$12:$A$130,"&gt;="&amp;Diagram!$O12,'J1 D - South Bank Avenue'!$A$12:$A$130,"&lt;"&amp;Diagram!$P12),SUMIFS(INDIRECT(ADDRESS(12,3+18*2+(10),,,"J1 D - South Bank Avenue")&amp;":"&amp;ADDRESS(130,3+18*2+(10))),'J1 D - South Bank Avenue'!$A$12:$A$130,"&gt;="&amp;Diagram!$O12,'J1 D - South Bank Avenue'!$A$12:$A$130,"&lt;"&amp;Diagram!$P12)))</f>
        <v>0</v>
      </c>
      <c r="BP12" s="42">
        <f ca="1">IF(OR($I$10="",$O12="",$P12="",$J$37&lt;&gt;"Yes"),0,IF($K$10=0,SUMIFS(INDIRECT(ADDRESS(12,3+18*3+(2),,,"J1 D - South Bank Avenue")&amp;":"&amp;ADDRESS(130,3+18*3+(2))),'J1 D - South Bank Avenue'!$A$12:$A$130,"&gt;="&amp;Diagram!$O12,'J1 D - South Bank Avenue'!$A$12:$A$130,"&lt;"&amp;Diagram!$P12),SUMIFS(INDIRECT(ADDRESS(12,3+18*3+(10),,,"J1 D - South Bank Avenue")&amp;":"&amp;ADDRESS(130,3+18*3+(10))),'J1 D - South Bank Avenue'!$A$12:$A$130,"&gt;="&amp;Diagram!$O12,'J1 D - South Bank Avenue'!$A$12:$A$130,"&lt;"&amp;Diagram!$P12)))</f>
        <v>0</v>
      </c>
      <c r="BQ12" s="42">
        <f t="shared" ca="1" si="4"/>
        <v>0</v>
      </c>
      <c r="BR12" s="42">
        <f ca="1">IF(OR($I$10="",$O12="",$P12="",$J$38&lt;&gt;"Yes"),0,IF($K$10=0,SUMIFS(INDIRECT(ADDRESS(12,3+18*3+(3),,,"J1 A - (North) Bishopthorpe Roa")&amp;":"&amp;ADDRESS(130,3+18*3+(3))),'J1 A - (North) Bishopthorpe Roa'!$A$12:$A$130,"&gt;="&amp;Diagram!$O12,'J1 A - (North) Bishopthorpe Roa'!$A$12:$A$130,"&lt;"&amp;Diagram!$P12),SUMIFS(INDIRECT(ADDRESS(12,3+18*3+(11),,,"J1 A - (North) Bishopthorpe Roa")&amp;":"&amp;ADDRESS(130,3+18*3+(11))),'J1 A - (North) Bishopthorpe Roa'!$A$12:$A$130,"&gt;="&amp;Diagram!$O12,'J1 A - (North) Bishopthorpe Roa'!$A$12:$A$130,"&lt;"&amp;Diagram!$P12)))</f>
        <v>0</v>
      </c>
      <c r="BS12" s="42">
        <f ca="1">IF(OR($I$10="",$O12="",$P12="",$J$38&lt;&gt;"Yes"),0,IF($K$10=0,SUMIFS(INDIRECT(ADDRESS(12,3+18*0+(3),,,"J1 A - (North) Bishopthorpe Roa")&amp;":"&amp;ADDRESS(130,3+18*0+(3))),'J1 A - (North) Bishopthorpe Roa'!$A$12:$A$130,"&gt;="&amp;Diagram!$O12,'J1 A - (North) Bishopthorpe Roa'!$A$12:$A$130,"&lt;"&amp;Diagram!$P12),SUMIFS(INDIRECT(ADDRESS(12,3+18*0+(11),,,"J1 A - (North) Bishopthorpe Roa")&amp;":"&amp;ADDRESS(130,3+18*0+(11))),'J1 A - (North) Bishopthorpe Roa'!$A$12:$A$130,"&gt;="&amp;Diagram!$O12,'J1 A - (North) Bishopthorpe Roa'!$A$12:$A$130,"&lt;"&amp;Diagram!$P12)))</f>
        <v>0</v>
      </c>
      <c r="BT12" s="42">
        <f ca="1">IF(OR($I$10="",$O12="",$P12="",$J$38&lt;&gt;"Yes"),0,IF($K$10=0,SUMIFS(INDIRECT(ADDRESS(12,3+18*1+(3),,,"J1 A - (North) Bishopthorpe Roa")&amp;":"&amp;ADDRESS(130,3+18*1+(3))),'J1 A - (North) Bishopthorpe Roa'!$A$12:$A$130,"&gt;="&amp;Diagram!$O12,'J1 A - (North) Bishopthorpe Roa'!$A$12:$A$130,"&lt;"&amp;Diagram!$P12),SUMIFS(INDIRECT(ADDRESS(12,3+18*1+(11),,,"J1 A - (North) Bishopthorpe Roa")&amp;":"&amp;ADDRESS(130,3+18*1+(11))),'J1 A - (North) Bishopthorpe Roa'!$A$12:$A$130,"&gt;="&amp;Diagram!$O12,'J1 A - (North) Bishopthorpe Roa'!$A$12:$A$130,"&lt;"&amp;Diagram!$P12)))</f>
        <v>0</v>
      </c>
      <c r="BU12" s="42">
        <f ca="1">IF(OR($I$10="",$O12="",$P12="",$J$38&lt;&gt;"Yes"),0,IF($K$10=0,SUMIFS(INDIRECT(ADDRESS(12,3+18*2+(3),,,"J1 A - (North) Bishopthorpe Roa")&amp;":"&amp;ADDRESS(130,3+18*2+(3))),'J1 A - (North) Bishopthorpe Roa'!$A$12:$A$130,"&gt;="&amp;Diagram!$O12,'J1 A - (North) Bishopthorpe Roa'!$A$12:$A$130,"&lt;"&amp;Diagram!$P12),SUMIFS(INDIRECT(ADDRESS(12,3+18*2+(11),,,"J1 A - (North) Bishopthorpe Roa")&amp;":"&amp;ADDRESS(130,3+18*2+(11))),'J1 A - (North) Bishopthorpe Roa'!$A$12:$A$130,"&gt;="&amp;Diagram!$O12,'J1 A - (North) Bishopthorpe Roa'!$A$12:$A$130,"&lt;"&amp;Diagram!$P12)))</f>
        <v>0</v>
      </c>
      <c r="BV12" s="42">
        <f ca="1">IF(OR($I$10="",$O12="",$P12="",$J$38&lt;&gt;"Yes"),0,IF($K$10=0,SUMIFS(INDIRECT(ADDRESS(12,3+18*2+(3),,,"J1 B - Butcher Terrace")&amp;":"&amp;ADDRESS(130,3+18*2+(3))),'J1 B - Butcher Terrace'!$A$12:$A$130,"&gt;="&amp;Diagram!$O12,'J1 B - Butcher Terrace'!$A$12:$A$130,"&lt;"&amp;Diagram!$P12),SUMIFS(INDIRECT(ADDRESS(12,3+18*2+(11),,,"J1 B - Butcher Terrace")&amp;":"&amp;ADDRESS(130,3+18*2+(11))),'J1 B - Butcher Terrace'!$A$12:$A$130,"&gt;="&amp;Diagram!$O12,'J1 B - Butcher Terrace'!$A$12:$A$130,"&lt;"&amp;Diagram!$P12)))</f>
        <v>0</v>
      </c>
      <c r="BW12" s="42">
        <f ca="1">IF(OR($I$10="",$O12="",$P12="",$J$38&lt;&gt;"Yes"),0,IF($K$10=0,SUMIFS(INDIRECT(ADDRESS(12,3+18*3+(3),,,"J1 B - Butcher Terrace")&amp;":"&amp;ADDRESS(130,3+18*3+(3))),'J1 B - Butcher Terrace'!$A$12:$A$130,"&gt;="&amp;Diagram!$O12,'J1 B - Butcher Terrace'!$A$12:$A$130,"&lt;"&amp;Diagram!$P12),SUMIFS(INDIRECT(ADDRESS(12,3+18*3+(11),,,"J1 B - Butcher Terrace")&amp;":"&amp;ADDRESS(130,3+18*3+(11))),'J1 B - Butcher Terrace'!$A$12:$A$130,"&gt;="&amp;Diagram!$O12,'J1 B - Butcher Terrace'!$A$12:$A$130,"&lt;"&amp;Diagram!$P12)))</f>
        <v>0</v>
      </c>
      <c r="BX12" s="42">
        <f ca="1">IF(OR($I$10="",$O12="",$P12="",$J$38&lt;&gt;"Yes"),0,IF($K$10=0,SUMIFS(INDIRECT(ADDRESS(12,3+18*0+(3),,,"J1 B - Butcher Terrace")&amp;":"&amp;ADDRESS(130,3+18*0+(3))),'J1 B - Butcher Terrace'!$A$12:$A$130,"&gt;="&amp;Diagram!$O12,'J1 B - Butcher Terrace'!$A$12:$A$130,"&lt;"&amp;Diagram!$P12),SUMIFS(INDIRECT(ADDRESS(12,3+18*0+(11),,,"J1 B - Butcher Terrace")&amp;":"&amp;ADDRESS(130,3+18*0+(11))),'J1 B - Butcher Terrace'!$A$12:$A$130,"&gt;="&amp;Diagram!$O12,'J1 B - Butcher Terrace'!$A$12:$A$130,"&lt;"&amp;Diagram!$P12)))</f>
        <v>0</v>
      </c>
      <c r="BY12" s="42">
        <f ca="1">IF(OR($I$10="",$O12="",$P12="",$J$38&lt;&gt;"Yes"),0,IF($K$10=0,SUMIFS(INDIRECT(ADDRESS(12,3+18*1+(3),,,"J1 B - Butcher Terrace")&amp;":"&amp;ADDRESS(130,3+18*1+(3))),'J1 B - Butcher Terrace'!$A$12:$A$130,"&gt;="&amp;Diagram!$O12,'J1 B - Butcher Terrace'!$A$12:$A$130,"&lt;"&amp;Diagram!$P12),SUMIFS(INDIRECT(ADDRESS(12,3+18*1+(11),,,"J1 B - Butcher Terrace")&amp;":"&amp;ADDRESS(130,3+18*1+(11))),'J1 B - Butcher Terrace'!$A$12:$A$130,"&gt;="&amp;Diagram!$O12,'J1 B - Butcher Terrace'!$A$12:$A$130,"&lt;"&amp;Diagram!$P12)))</f>
        <v>0</v>
      </c>
      <c r="BZ12" s="42">
        <f ca="1">IF(OR($I$10="",$O12="",$P12="",$J$38&lt;&gt;"Yes"),0,IF($K$10=0,SUMIFS(INDIRECT(ADDRESS(12,3+18*1+(3),,,"J1 C - (South) Bishopthorpe Roa")&amp;":"&amp;ADDRESS(130,3+18*1+(3))),'J1 C - (South) Bishopthorpe Roa'!$A$12:$A$130,"&gt;="&amp;Diagram!$O12,'J1 C - (South) Bishopthorpe Roa'!$A$12:$A$130,"&lt;"&amp;Diagram!$P12),SUMIFS(INDIRECT(ADDRESS(12,3+18*1+(11),,,"J1 C - (South) Bishopthorpe Roa")&amp;":"&amp;ADDRESS(130,3+18*1+(11))),'J1 C - (South) Bishopthorpe Roa'!$A$12:$A$130,"&gt;="&amp;Diagram!$O12,'J1 C - (South) Bishopthorpe Roa'!$A$12:$A$130,"&lt;"&amp;Diagram!$P12)))</f>
        <v>0</v>
      </c>
      <c r="CA12" s="42">
        <f ca="1">IF(OR($I$10="",$O12="",$P12="",$J$38&lt;&gt;"Yes"),0,IF($K$10=0,SUMIFS(INDIRECT(ADDRESS(12,3+18*2+(3),,,"J1 C - (South) Bishopthorpe Roa")&amp;":"&amp;ADDRESS(130,3+18*2+(3))),'J1 C - (South) Bishopthorpe Roa'!$A$12:$A$130,"&gt;="&amp;Diagram!$O12,'J1 C - (South) Bishopthorpe Roa'!$A$12:$A$130,"&lt;"&amp;Diagram!$P12),SUMIFS(INDIRECT(ADDRESS(12,3+18*2+(11),,,"J1 C - (South) Bishopthorpe Roa")&amp;":"&amp;ADDRESS(130,3+18*2+(11))),'J1 C - (South) Bishopthorpe Roa'!$A$12:$A$130,"&gt;="&amp;Diagram!$O12,'J1 C - (South) Bishopthorpe Roa'!$A$12:$A$130,"&lt;"&amp;Diagram!$P12)))</f>
        <v>0</v>
      </c>
      <c r="CB12" s="42">
        <f ca="1">IF(OR($I$10="",$O12="",$P12="",$J$38&lt;&gt;"Yes"),0,IF($K$10=0,SUMIFS(INDIRECT(ADDRESS(12,3+18*3+(3),,,"J1 C - (South) Bishopthorpe Roa")&amp;":"&amp;ADDRESS(130,3+18*3+(3))),'J1 C - (South) Bishopthorpe Roa'!$A$12:$A$130,"&gt;="&amp;Diagram!$O12,'J1 C - (South) Bishopthorpe Roa'!$A$12:$A$130,"&lt;"&amp;Diagram!$P12),SUMIFS(INDIRECT(ADDRESS(12,3+18*3+(11),,,"J1 C - (South) Bishopthorpe Roa")&amp;":"&amp;ADDRESS(130,3+18*3+(11))),'J1 C - (South) Bishopthorpe Roa'!$A$12:$A$130,"&gt;="&amp;Diagram!$O12,'J1 C - (South) Bishopthorpe Roa'!$A$12:$A$130,"&lt;"&amp;Diagram!$P12)))</f>
        <v>0</v>
      </c>
      <c r="CC12" s="42">
        <f ca="1">IF(OR($I$10="",$O12="",$P12="",$J$38&lt;&gt;"Yes"),0,IF($K$10=0,SUMIFS(INDIRECT(ADDRESS(12,3+18*0+(3),,,"J1 C - (South) Bishopthorpe Roa")&amp;":"&amp;ADDRESS(130,3+18*0+(3))),'J1 C - (South) Bishopthorpe Roa'!$A$12:$A$130,"&gt;="&amp;Diagram!$O12,'J1 C - (South) Bishopthorpe Roa'!$A$12:$A$130,"&lt;"&amp;Diagram!$P12),SUMIFS(INDIRECT(ADDRESS(12,3+18*0+(11),,,"J1 C - (South) Bishopthorpe Roa")&amp;":"&amp;ADDRESS(130,3+18*0+(11))),'J1 C - (South) Bishopthorpe Roa'!$A$12:$A$130,"&gt;="&amp;Diagram!$O12,'J1 C - (South) Bishopthorpe Roa'!$A$12:$A$130,"&lt;"&amp;Diagram!$P12)))</f>
        <v>0</v>
      </c>
      <c r="CD12" s="42">
        <f ca="1">IF(OR($I$10="",$O12="",$P12="",$J$38&lt;&gt;"Yes"),0,IF($K$10=0,SUMIFS(INDIRECT(ADDRESS(12,3+18*0+(3),,,"J1 D - South Bank Avenue")&amp;":"&amp;ADDRESS(130,3+18*0+(3))),'J1 D - South Bank Avenue'!$A$12:$A$130,"&gt;="&amp;Diagram!$O12,'J1 D - South Bank Avenue'!$A$12:$A$130,"&lt;"&amp;Diagram!$P12),SUMIFS(INDIRECT(ADDRESS(12,3+18*0+(11),,,"J1 D - South Bank Avenue")&amp;":"&amp;ADDRESS(130,3+18*0+(11))),'J1 D - South Bank Avenue'!$A$12:$A$130,"&gt;="&amp;Diagram!$O12,'J1 D - South Bank Avenue'!$A$12:$A$130,"&lt;"&amp;Diagram!$P12)))</f>
        <v>0</v>
      </c>
      <c r="CE12" s="42">
        <f ca="1">IF(OR($I$10="",$O12="",$P12="",$J$38&lt;&gt;"Yes"),0,IF($K$10=0,SUMIFS(INDIRECT(ADDRESS(12,3+18*1+(3),,,"J1 D - South Bank Avenue")&amp;":"&amp;ADDRESS(130,3+18*1+(3))),'J1 D - South Bank Avenue'!$A$12:$A$130,"&gt;="&amp;Diagram!$O12,'J1 D - South Bank Avenue'!$A$12:$A$130,"&lt;"&amp;Diagram!$P12),SUMIFS(INDIRECT(ADDRESS(12,3+18*1+(11),,,"J1 D - South Bank Avenue")&amp;":"&amp;ADDRESS(130,3+18*1+(11))),'J1 D - South Bank Avenue'!$A$12:$A$130,"&gt;="&amp;Diagram!$O12,'J1 D - South Bank Avenue'!$A$12:$A$130,"&lt;"&amp;Diagram!$P12)))</f>
        <v>0</v>
      </c>
      <c r="CF12" s="42">
        <f ca="1">IF(OR($I$10="",$O12="",$P12="",$J$38&lt;&gt;"Yes"),0,IF($K$10=0,SUMIFS(INDIRECT(ADDRESS(12,3+18*2+(3),,,"J1 D - South Bank Avenue")&amp;":"&amp;ADDRESS(130,3+18*2+(3))),'J1 D - South Bank Avenue'!$A$12:$A$130,"&gt;="&amp;Diagram!$O12,'J1 D - South Bank Avenue'!$A$12:$A$130,"&lt;"&amp;Diagram!$P12),SUMIFS(INDIRECT(ADDRESS(12,3+18*2+(11),,,"J1 D - South Bank Avenue")&amp;":"&amp;ADDRESS(130,3+18*2+(11))),'J1 D - South Bank Avenue'!$A$12:$A$130,"&gt;="&amp;Diagram!$O12,'J1 D - South Bank Avenue'!$A$12:$A$130,"&lt;"&amp;Diagram!$P12)))</f>
        <v>0</v>
      </c>
      <c r="CG12" s="42">
        <f ca="1">IF(OR($I$10="",$O12="",$P12="",$J$38&lt;&gt;"Yes"),0,IF($K$10=0,SUMIFS(INDIRECT(ADDRESS(12,3+18*3+(3),,,"J1 D - South Bank Avenue")&amp;":"&amp;ADDRESS(130,3+18*3+(3))),'J1 D - South Bank Avenue'!$A$12:$A$130,"&gt;="&amp;Diagram!$O12,'J1 D - South Bank Avenue'!$A$12:$A$130,"&lt;"&amp;Diagram!$P12),SUMIFS(INDIRECT(ADDRESS(12,3+18*3+(11),,,"J1 D - South Bank Avenue")&amp;":"&amp;ADDRESS(130,3+18*3+(11))),'J1 D - South Bank Avenue'!$A$12:$A$130,"&gt;="&amp;Diagram!$O12,'J1 D - South Bank Avenue'!$A$12:$A$130,"&lt;"&amp;Diagram!$P12)))</f>
        <v>0</v>
      </c>
      <c r="CH12" s="42">
        <f t="shared" ca="1" si="5"/>
        <v>0</v>
      </c>
      <c r="CI12" s="42">
        <f ca="1">IF(OR($I$10="",$O12="",$P12="",$J$39&lt;&gt;"Yes"),0,IF($K$10=0,SUMIFS(INDIRECT(ADDRESS(12,3+18*3+(4),,,"J1 A - (North) Bishopthorpe Roa")&amp;":"&amp;ADDRESS(130,3+18*3+(4))),'J1 A - (North) Bishopthorpe Roa'!$A$12:$A$130,"&gt;="&amp;Diagram!$O12,'J1 A - (North) Bishopthorpe Roa'!$A$12:$A$130,"&lt;"&amp;Diagram!$P12),SUMIFS(INDIRECT(ADDRESS(12,3+18*3+(12),,,"J1 A - (North) Bishopthorpe Roa")&amp;":"&amp;ADDRESS(130,3+18*3+(12))),'J1 A - (North) Bishopthorpe Roa'!$A$12:$A$130,"&gt;="&amp;Diagram!$O12,'J1 A - (North) Bishopthorpe Roa'!$A$12:$A$130,"&lt;"&amp;Diagram!$P12)))</f>
        <v>0</v>
      </c>
      <c r="CJ12" s="42">
        <f ca="1">IF(OR($I$10="",$O12="",$P12="",$J$39&lt;&gt;"Yes"),0,IF($K$10=0,SUMIFS(INDIRECT(ADDRESS(12,3+18*0+(4),,,"J1 A - (North) Bishopthorpe Roa")&amp;":"&amp;ADDRESS(130,3+18*0+(4))),'J1 A - (North) Bishopthorpe Roa'!$A$12:$A$130,"&gt;="&amp;Diagram!$O12,'J1 A - (North) Bishopthorpe Roa'!$A$12:$A$130,"&lt;"&amp;Diagram!$P12),SUMIFS(INDIRECT(ADDRESS(12,3+18*0+(12),,,"J1 A - (North) Bishopthorpe Roa")&amp;":"&amp;ADDRESS(130,3+18*0+(12))),'J1 A - (North) Bishopthorpe Roa'!$A$12:$A$130,"&gt;="&amp;Diagram!$O12,'J1 A - (North) Bishopthorpe Roa'!$A$12:$A$130,"&lt;"&amp;Diagram!$P12)))</f>
        <v>0</v>
      </c>
      <c r="CK12" s="42">
        <f ca="1">IF(OR($I$10="",$O12="",$P12="",$J$39&lt;&gt;"Yes"),0,IF($K$10=0,SUMIFS(INDIRECT(ADDRESS(12,3+18*1+(4),,,"J1 A - (North) Bishopthorpe Roa")&amp;":"&amp;ADDRESS(130,3+18*1+(4))),'J1 A - (North) Bishopthorpe Roa'!$A$12:$A$130,"&gt;="&amp;Diagram!$O12,'J1 A - (North) Bishopthorpe Roa'!$A$12:$A$130,"&lt;"&amp;Diagram!$P12),SUMIFS(INDIRECT(ADDRESS(12,3+18*1+(12),,,"J1 A - (North) Bishopthorpe Roa")&amp;":"&amp;ADDRESS(130,3+18*1+(12))),'J1 A - (North) Bishopthorpe Roa'!$A$12:$A$130,"&gt;="&amp;Diagram!$O12,'J1 A - (North) Bishopthorpe Roa'!$A$12:$A$130,"&lt;"&amp;Diagram!$P12)))</f>
        <v>0</v>
      </c>
      <c r="CL12" s="42">
        <f ca="1">IF(OR($I$10="",$O12="",$P12="",$J$39&lt;&gt;"Yes"),0,IF($K$10=0,SUMIFS(INDIRECT(ADDRESS(12,3+18*2+(4),,,"J1 A - (North) Bishopthorpe Roa")&amp;":"&amp;ADDRESS(130,3+18*2+(4))),'J1 A - (North) Bishopthorpe Roa'!$A$12:$A$130,"&gt;="&amp;Diagram!$O12,'J1 A - (North) Bishopthorpe Roa'!$A$12:$A$130,"&lt;"&amp;Diagram!$P12),SUMIFS(INDIRECT(ADDRESS(12,3+18*2+(12),,,"J1 A - (North) Bishopthorpe Roa")&amp;":"&amp;ADDRESS(130,3+18*2+(12))),'J1 A - (North) Bishopthorpe Roa'!$A$12:$A$130,"&gt;="&amp;Diagram!$O12,'J1 A - (North) Bishopthorpe Roa'!$A$12:$A$130,"&lt;"&amp;Diagram!$P12)))</f>
        <v>0</v>
      </c>
      <c r="CM12" s="42">
        <f ca="1">IF(OR($I$10="",$O12="",$P12="",$J$39&lt;&gt;"Yes"),0,IF($K$10=0,SUMIFS(INDIRECT(ADDRESS(12,3+18*2+(4),,,"J1 B - Butcher Terrace")&amp;":"&amp;ADDRESS(130,3+18*2+(4))),'J1 B - Butcher Terrace'!$A$12:$A$130,"&gt;="&amp;Diagram!$O12,'J1 B - Butcher Terrace'!$A$12:$A$130,"&lt;"&amp;Diagram!$P12),SUMIFS(INDIRECT(ADDRESS(12,3+18*2+(12),,,"J1 B - Butcher Terrace")&amp;":"&amp;ADDRESS(130,3+18*2+(12))),'J1 B - Butcher Terrace'!$A$12:$A$130,"&gt;="&amp;Diagram!$O12,'J1 B - Butcher Terrace'!$A$12:$A$130,"&lt;"&amp;Diagram!$P12)))</f>
        <v>0</v>
      </c>
      <c r="CN12" s="42">
        <f ca="1">IF(OR($I$10="",$O12="",$P12="",$J$39&lt;&gt;"Yes"),0,IF($K$10=0,SUMIFS(INDIRECT(ADDRESS(12,3+18*3+(4),,,"J1 B - Butcher Terrace")&amp;":"&amp;ADDRESS(130,3+18*3+(4))),'J1 B - Butcher Terrace'!$A$12:$A$130,"&gt;="&amp;Diagram!$O12,'J1 B - Butcher Terrace'!$A$12:$A$130,"&lt;"&amp;Diagram!$P12),SUMIFS(INDIRECT(ADDRESS(12,3+18*3+(12),,,"J1 B - Butcher Terrace")&amp;":"&amp;ADDRESS(130,3+18*3+(12))),'J1 B - Butcher Terrace'!$A$12:$A$130,"&gt;="&amp;Diagram!$O12,'J1 B - Butcher Terrace'!$A$12:$A$130,"&lt;"&amp;Diagram!$P12)))</f>
        <v>0</v>
      </c>
      <c r="CO12" s="42">
        <f ca="1">IF(OR($I$10="",$O12="",$P12="",$J$39&lt;&gt;"Yes"),0,IF($K$10=0,SUMIFS(INDIRECT(ADDRESS(12,3+18*0+(4),,,"J1 B - Butcher Terrace")&amp;":"&amp;ADDRESS(130,3+18*0+(4))),'J1 B - Butcher Terrace'!$A$12:$A$130,"&gt;="&amp;Diagram!$O12,'J1 B - Butcher Terrace'!$A$12:$A$130,"&lt;"&amp;Diagram!$P12),SUMIFS(INDIRECT(ADDRESS(12,3+18*0+(12),,,"J1 B - Butcher Terrace")&amp;":"&amp;ADDRESS(130,3+18*0+(12))),'J1 B - Butcher Terrace'!$A$12:$A$130,"&gt;="&amp;Diagram!$O12,'J1 B - Butcher Terrace'!$A$12:$A$130,"&lt;"&amp;Diagram!$P12)))</f>
        <v>0</v>
      </c>
      <c r="CP12" s="42">
        <f ca="1">IF(OR($I$10="",$O12="",$P12="",$J$39&lt;&gt;"Yes"),0,IF($K$10=0,SUMIFS(INDIRECT(ADDRESS(12,3+18*1+(4),,,"J1 B - Butcher Terrace")&amp;":"&amp;ADDRESS(130,3+18*1+(4))),'J1 B - Butcher Terrace'!$A$12:$A$130,"&gt;="&amp;Diagram!$O12,'J1 B - Butcher Terrace'!$A$12:$A$130,"&lt;"&amp;Diagram!$P12),SUMIFS(INDIRECT(ADDRESS(12,3+18*1+(12),,,"J1 B - Butcher Terrace")&amp;":"&amp;ADDRESS(130,3+18*1+(12))),'J1 B - Butcher Terrace'!$A$12:$A$130,"&gt;="&amp;Diagram!$O12,'J1 B - Butcher Terrace'!$A$12:$A$130,"&lt;"&amp;Diagram!$P12)))</f>
        <v>0</v>
      </c>
      <c r="CQ12" s="42">
        <f ca="1">IF(OR($I$10="",$O12="",$P12="",$J$39&lt;&gt;"Yes"),0,IF($K$10=0,SUMIFS(INDIRECT(ADDRESS(12,3+18*1+(4),,,"J1 C - (South) Bishopthorpe Roa")&amp;":"&amp;ADDRESS(130,3+18*1+(4))),'J1 C - (South) Bishopthorpe Roa'!$A$12:$A$130,"&gt;="&amp;Diagram!$O12,'J1 C - (South) Bishopthorpe Roa'!$A$12:$A$130,"&lt;"&amp;Diagram!$P12),SUMIFS(INDIRECT(ADDRESS(12,3+18*1+(12),,,"J1 C - (South) Bishopthorpe Roa")&amp;":"&amp;ADDRESS(130,3+18*1+(12))),'J1 C - (South) Bishopthorpe Roa'!$A$12:$A$130,"&gt;="&amp;Diagram!$O12,'J1 C - (South) Bishopthorpe Roa'!$A$12:$A$130,"&lt;"&amp;Diagram!$P12)))</f>
        <v>0</v>
      </c>
      <c r="CR12" s="42">
        <f ca="1">IF(OR($I$10="",$O12="",$P12="",$J$39&lt;&gt;"Yes"),0,IF($K$10=0,SUMIFS(INDIRECT(ADDRESS(12,3+18*2+(4),,,"J1 C - (South) Bishopthorpe Roa")&amp;":"&amp;ADDRESS(130,3+18*2+(4))),'J1 C - (South) Bishopthorpe Roa'!$A$12:$A$130,"&gt;="&amp;Diagram!$O12,'J1 C - (South) Bishopthorpe Roa'!$A$12:$A$130,"&lt;"&amp;Diagram!$P12),SUMIFS(INDIRECT(ADDRESS(12,3+18*2+(12),,,"J1 C - (South) Bishopthorpe Roa")&amp;":"&amp;ADDRESS(130,3+18*2+(12))),'J1 C - (South) Bishopthorpe Roa'!$A$12:$A$130,"&gt;="&amp;Diagram!$O12,'J1 C - (South) Bishopthorpe Roa'!$A$12:$A$130,"&lt;"&amp;Diagram!$P12)))</f>
        <v>0</v>
      </c>
      <c r="CS12" s="42">
        <f ca="1">IF(OR($I$10="",$O12="",$P12="",$J$39&lt;&gt;"Yes"),0,IF($K$10=0,SUMIFS(INDIRECT(ADDRESS(12,3+18*3+(4),,,"J1 C - (South) Bishopthorpe Roa")&amp;":"&amp;ADDRESS(130,3+18*3+(4))),'J1 C - (South) Bishopthorpe Roa'!$A$12:$A$130,"&gt;="&amp;Diagram!$O12,'J1 C - (South) Bishopthorpe Roa'!$A$12:$A$130,"&lt;"&amp;Diagram!$P12),SUMIFS(INDIRECT(ADDRESS(12,3+18*3+(12),,,"J1 C - (South) Bishopthorpe Roa")&amp;":"&amp;ADDRESS(130,3+18*3+(12))),'J1 C - (South) Bishopthorpe Roa'!$A$12:$A$130,"&gt;="&amp;Diagram!$O12,'J1 C - (South) Bishopthorpe Roa'!$A$12:$A$130,"&lt;"&amp;Diagram!$P12)))</f>
        <v>0</v>
      </c>
      <c r="CT12" s="42">
        <f ca="1">IF(OR($I$10="",$O12="",$P12="",$J$39&lt;&gt;"Yes"),0,IF($K$10=0,SUMIFS(INDIRECT(ADDRESS(12,3+18*0+(4),,,"J1 C - (South) Bishopthorpe Roa")&amp;":"&amp;ADDRESS(130,3+18*0+(4))),'J1 C - (South) Bishopthorpe Roa'!$A$12:$A$130,"&gt;="&amp;Diagram!$O12,'J1 C - (South) Bishopthorpe Roa'!$A$12:$A$130,"&lt;"&amp;Diagram!$P12),SUMIFS(INDIRECT(ADDRESS(12,3+18*0+(12),,,"J1 C - (South) Bishopthorpe Roa")&amp;":"&amp;ADDRESS(130,3+18*0+(12))),'J1 C - (South) Bishopthorpe Roa'!$A$12:$A$130,"&gt;="&amp;Diagram!$O12,'J1 C - (South) Bishopthorpe Roa'!$A$12:$A$130,"&lt;"&amp;Diagram!$P12)))</f>
        <v>0</v>
      </c>
      <c r="CU12" s="42">
        <f ca="1">IF(OR($I$10="",$O12="",$P12="",$J$39&lt;&gt;"Yes"),0,IF($K$10=0,SUMIFS(INDIRECT(ADDRESS(12,3+18*0+(4),,,"J1 D - South Bank Avenue")&amp;":"&amp;ADDRESS(130,3+18*0+(4))),'J1 D - South Bank Avenue'!$A$12:$A$130,"&gt;="&amp;Diagram!$O12,'J1 D - South Bank Avenue'!$A$12:$A$130,"&lt;"&amp;Diagram!$P12),SUMIFS(INDIRECT(ADDRESS(12,3+18*0+(12),,,"J1 D - South Bank Avenue")&amp;":"&amp;ADDRESS(130,3+18*0+(12))),'J1 D - South Bank Avenue'!$A$12:$A$130,"&gt;="&amp;Diagram!$O12,'J1 D - South Bank Avenue'!$A$12:$A$130,"&lt;"&amp;Diagram!$P12)))</f>
        <v>0</v>
      </c>
      <c r="CV12" s="42">
        <f ca="1">IF(OR($I$10="",$O12="",$P12="",$J$39&lt;&gt;"Yes"),0,IF($K$10=0,SUMIFS(INDIRECT(ADDRESS(12,3+18*1+(4),,,"J1 D - South Bank Avenue")&amp;":"&amp;ADDRESS(130,3+18*1+(4))),'J1 D - South Bank Avenue'!$A$12:$A$130,"&gt;="&amp;Diagram!$O12,'J1 D - South Bank Avenue'!$A$12:$A$130,"&lt;"&amp;Diagram!$P12),SUMIFS(INDIRECT(ADDRESS(12,3+18*1+(12),,,"J1 D - South Bank Avenue")&amp;":"&amp;ADDRESS(130,3+18*1+(12))),'J1 D - South Bank Avenue'!$A$12:$A$130,"&gt;="&amp;Diagram!$O12,'J1 D - South Bank Avenue'!$A$12:$A$130,"&lt;"&amp;Diagram!$P12)))</f>
        <v>0</v>
      </c>
      <c r="CW12" s="42">
        <f ca="1">IF(OR($I$10="",$O12="",$P12="",$J$39&lt;&gt;"Yes"),0,IF($K$10=0,SUMIFS(INDIRECT(ADDRESS(12,3+18*2+(4),,,"J1 D - South Bank Avenue")&amp;":"&amp;ADDRESS(130,3+18*2+(4))),'J1 D - South Bank Avenue'!$A$12:$A$130,"&gt;="&amp;Diagram!$O12,'J1 D - South Bank Avenue'!$A$12:$A$130,"&lt;"&amp;Diagram!$P12),SUMIFS(INDIRECT(ADDRESS(12,3+18*2+(12),,,"J1 D - South Bank Avenue")&amp;":"&amp;ADDRESS(130,3+18*2+(12))),'J1 D - South Bank Avenue'!$A$12:$A$130,"&gt;="&amp;Diagram!$O12,'J1 D - South Bank Avenue'!$A$12:$A$130,"&lt;"&amp;Diagram!$P12)))</f>
        <v>0</v>
      </c>
      <c r="CX12" s="42">
        <f ca="1">IF(OR($I$10="",$O12="",$P12="",$J$39&lt;&gt;"Yes"),0,IF($K$10=0,SUMIFS(INDIRECT(ADDRESS(12,3+18*3+(4),,,"J1 D - South Bank Avenue")&amp;":"&amp;ADDRESS(130,3+18*3+(4))),'J1 D - South Bank Avenue'!$A$12:$A$130,"&gt;="&amp;Diagram!$O12,'J1 D - South Bank Avenue'!$A$12:$A$130,"&lt;"&amp;Diagram!$P12),SUMIFS(INDIRECT(ADDRESS(12,3+18*3+(12),,,"J1 D - South Bank Avenue")&amp;":"&amp;ADDRESS(130,3+18*3+(12))),'J1 D - South Bank Avenue'!$A$12:$A$130,"&gt;="&amp;Diagram!$O12,'J1 D - South Bank Avenue'!$A$12:$A$130,"&lt;"&amp;Diagram!$P12)))</f>
        <v>0</v>
      </c>
      <c r="CY12" s="42">
        <f t="shared" ca="1" si="6"/>
        <v>0</v>
      </c>
      <c r="CZ12" s="42">
        <f ca="1">IF(OR($I$10="",$O12="",$P12="",$J$40&lt;&gt;"Yes"),0,IF($K$10=0,SUMIFS(INDIRECT(ADDRESS(12,3+18*3+(5),,,"J1 A - (North) Bishopthorpe Roa")&amp;":"&amp;ADDRESS(130,3+18*3+(5))),'J1 A - (North) Bishopthorpe Roa'!$A$12:$A$130,"&gt;="&amp;Diagram!$O12,'J1 A - (North) Bishopthorpe Roa'!$A$12:$A$130,"&lt;"&amp;Diagram!$P12),SUMIFS(INDIRECT(ADDRESS(12,3+18*3+(13),,,"J1 A - (North) Bishopthorpe Roa")&amp;":"&amp;ADDRESS(130,3+18*3+(13))),'J1 A - (North) Bishopthorpe Roa'!$A$12:$A$130,"&gt;="&amp;Diagram!$O12,'J1 A - (North) Bishopthorpe Roa'!$A$12:$A$130,"&lt;"&amp;Diagram!$P12)))</f>
        <v>0</v>
      </c>
      <c r="DA12" s="42">
        <f ca="1">IF(OR($I$10="",$O12="",$P12="",$J$40&lt;&gt;"Yes"),0,IF($K$10=0,SUMIFS(INDIRECT(ADDRESS(12,3+18*0+(5),,,"J1 A - (North) Bishopthorpe Roa")&amp;":"&amp;ADDRESS(130,3+18*0+(5))),'J1 A - (North) Bishopthorpe Roa'!$A$12:$A$130,"&gt;="&amp;Diagram!$O12,'J1 A - (North) Bishopthorpe Roa'!$A$12:$A$130,"&lt;"&amp;Diagram!$P12),SUMIFS(INDIRECT(ADDRESS(12,3+18*0+(13),,,"J1 A - (North) Bishopthorpe Roa")&amp;":"&amp;ADDRESS(130,3+18*0+(13))),'J1 A - (North) Bishopthorpe Roa'!$A$12:$A$130,"&gt;="&amp;Diagram!$O12,'J1 A - (North) Bishopthorpe Roa'!$A$12:$A$130,"&lt;"&amp;Diagram!$P12)))</f>
        <v>0</v>
      </c>
      <c r="DB12" s="42">
        <f ca="1">IF(OR($I$10="",$O12="",$P12="",$J$40&lt;&gt;"Yes"),0,IF($K$10=0,SUMIFS(INDIRECT(ADDRESS(12,3+18*1+(5),,,"J1 A - (North) Bishopthorpe Roa")&amp;":"&amp;ADDRESS(130,3+18*1+(5))),'J1 A - (North) Bishopthorpe Roa'!$A$12:$A$130,"&gt;="&amp;Diagram!$O12,'J1 A - (North) Bishopthorpe Roa'!$A$12:$A$130,"&lt;"&amp;Diagram!$P12),SUMIFS(INDIRECT(ADDRESS(12,3+18*1+(13),,,"J1 A - (North) Bishopthorpe Roa")&amp;":"&amp;ADDRESS(130,3+18*1+(13))),'J1 A - (North) Bishopthorpe Roa'!$A$12:$A$130,"&gt;="&amp;Diagram!$O12,'J1 A - (North) Bishopthorpe Roa'!$A$12:$A$130,"&lt;"&amp;Diagram!$P12)))</f>
        <v>0</v>
      </c>
      <c r="DC12" s="42">
        <f ca="1">IF(OR($I$10="",$O12="",$P12="",$J$40&lt;&gt;"Yes"),0,IF($K$10=0,SUMIFS(INDIRECT(ADDRESS(12,3+18*2+(5),,,"J1 A - (North) Bishopthorpe Roa")&amp;":"&amp;ADDRESS(130,3+18*2+(5))),'J1 A - (North) Bishopthorpe Roa'!$A$12:$A$130,"&gt;="&amp;Diagram!$O12,'J1 A - (North) Bishopthorpe Roa'!$A$12:$A$130,"&lt;"&amp;Diagram!$P12),SUMIFS(INDIRECT(ADDRESS(12,3+18*2+(13),,,"J1 A - (North) Bishopthorpe Roa")&amp;":"&amp;ADDRESS(130,3+18*2+(13))),'J1 A - (North) Bishopthorpe Roa'!$A$12:$A$130,"&gt;="&amp;Diagram!$O12,'J1 A - (North) Bishopthorpe Roa'!$A$12:$A$130,"&lt;"&amp;Diagram!$P12)))</f>
        <v>0</v>
      </c>
      <c r="DD12" s="42">
        <f ca="1">IF(OR($I$10="",$O12="",$P12="",$J$40&lt;&gt;"Yes"),0,IF($K$10=0,SUMIFS(INDIRECT(ADDRESS(12,3+18*2+(5),,,"J1 B - Butcher Terrace")&amp;":"&amp;ADDRESS(130,3+18*2+(5))),'J1 B - Butcher Terrace'!$A$12:$A$130,"&gt;="&amp;Diagram!$O12,'J1 B - Butcher Terrace'!$A$12:$A$130,"&lt;"&amp;Diagram!$P12),SUMIFS(INDIRECT(ADDRESS(12,3+18*2+(13),,,"J1 B - Butcher Terrace")&amp;":"&amp;ADDRESS(130,3+18*2+(13))),'J1 B - Butcher Terrace'!$A$12:$A$130,"&gt;="&amp;Diagram!$O12,'J1 B - Butcher Terrace'!$A$12:$A$130,"&lt;"&amp;Diagram!$P12)))</f>
        <v>0</v>
      </c>
      <c r="DE12" s="42">
        <f ca="1">IF(OR($I$10="",$O12="",$P12="",$J$40&lt;&gt;"Yes"),0,IF($K$10=0,SUMIFS(INDIRECT(ADDRESS(12,3+18*3+(5),,,"J1 B - Butcher Terrace")&amp;":"&amp;ADDRESS(130,3+18*3+(5))),'J1 B - Butcher Terrace'!$A$12:$A$130,"&gt;="&amp;Diagram!$O12,'J1 B - Butcher Terrace'!$A$12:$A$130,"&lt;"&amp;Diagram!$P12),SUMIFS(INDIRECT(ADDRESS(12,3+18*3+(13),,,"J1 B - Butcher Terrace")&amp;":"&amp;ADDRESS(130,3+18*3+(13))),'J1 B - Butcher Terrace'!$A$12:$A$130,"&gt;="&amp;Diagram!$O12,'J1 B - Butcher Terrace'!$A$12:$A$130,"&lt;"&amp;Diagram!$P12)))</f>
        <v>0</v>
      </c>
      <c r="DF12" s="42">
        <f ca="1">IF(OR($I$10="",$O12="",$P12="",$J$40&lt;&gt;"Yes"),0,IF($K$10=0,SUMIFS(INDIRECT(ADDRESS(12,3+18*0+(5),,,"J1 B - Butcher Terrace")&amp;":"&amp;ADDRESS(130,3+18*0+(5))),'J1 B - Butcher Terrace'!$A$12:$A$130,"&gt;="&amp;Diagram!$O12,'J1 B - Butcher Terrace'!$A$12:$A$130,"&lt;"&amp;Diagram!$P12),SUMIFS(INDIRECT(ADDRESS(12,3+18*0+(13),,,"J1 B - Butcher Terrace")&amp;":"&amp;ADDRESS(130,3+18*0+(13))),'J1 B - Butcher Terrace'!$A$12:$A$130,"&gt;="&amp;Diagram!$O12,'J1 B - Butcher Terrace'!$A$12:$A$130,"&lt;"&amp;Diagram!$P12)))</f>
        <v>0</v>
      </c>
      <c r="DG12" s="42">
        <f ca="1">IF(OR($I$10="",$O12="",$P12="",$J$40&lt;&gt;"Yes"),0,IF($K$10=0,SUMIFS(INDIRECT(ADDRESS(12,3+18*1+(5),,,"J1 B - Butcher Terrace")&amp;":"&amp;ADDRESS(130,3+18*1+(5))),'J1 B - Butcher Terrace'!$A$12:$A$130,"&gt;="&amp;Diagram!$O12,'J1 B - Butcher Terrace'!$A$12:$A$130,"&lt;"&amp;Diagram!$P12),SUMIFS(INDIRECT(ADDRESS(12,3+18*1+(13),,,"J1 B - Butcher Terrace")&amp;":"&amp;ADDRESS(130,3+18*1+(13))),'J1 B - Butcher Terrace'!$A$12:$A$130,"&gt;="&amp;Diagram!$O12,'J1 B - Butcher Terrace'!$A$12:$A$130,"&lt;"&amp;Diagram!$P12)))</f>
        <v>0</v>
      </c>
      <c r="DH12" s="42">
        <f ca="1">IF(OR($I$10="",$O12="",$P12="",$J$40&lt;&gt;"Yes"),0,IF($K$10=0,SUMIFS(INDIRECT(ADDRESS(12,3+18*1+(5),,,"J1 C - (South) Bishopthorpe Roa")&amp;":"&amp;ADDRESS(130,3+18*1+(5))),'J1 C - (South) Bishopthorpe Roa'!$A$12:$A$130,"&gt;="&amp;Diagram!$O12,'J1 C - (South) Bishopthorpe Roa'!$A$12:$A$130,"&lt;"&amp;Diagram!$P12),SUMIFS(INDIRECT(ADDRESS(12,3+18*1+(13),,,"J1 C - (South) Bishopthorpe Roa")&amp;":"&amp;ADDRESS(130,3+18*1+(13))),'J1 C - (South) Bishopthorpe Roa'!$A$12:$A$130,"&gt;="&amp;Diagram!$O12,'J1 C - (South) Bishopthorpe Roa'!$A$12:$A$130,"&lt;"&amp;Diagram!$P12)))</f>
        <v>0</v>
      </c>
      <c r="DI12" s="42">
        <f ca="1">IF(OR($I$10="",$O12="",$P12="",$J$40&lt;&gt;"Yes"),0,IF($K$10=0,SUMIFS(INDIRECT(ADDRESS(12,3+18*2+(5),,,"J1 C - (South) Bishopthorpe Roa")&amp;":"&amp;ADDRESS(130,3+18*2+(5))),'J1 C - (South) Bishopthorpe Roa'!$A$12:$A$130,"&gt;="&amp;Diagram!$O12,'J1 C - (South) Bishopthorpe Roa'!$A$12:$A$130,"&lt;"&amp;Diagram!$P12),SUMIFS(INDIRECT(ADDRESS(12,3+18*2+(13),,,"J1 C - (South) Bishopthorpe Roa")&amp;":"&amp;ADDRESS(130,3+18*2+(13))),'J1 C - (South) Bishopthorpe Roa'!$A$12:$A$130,"&gt;="&amp;Diagram!$O12,'J1 C - (South) Bishopthorpe Roa'!$A$12:$A$130,"&lt;"&amp;Diagram!$P12)))</f>
        <v>0</v>
      </c>
      <c r="DJ12" s="42">
        <f ca="1">IF(OR($I$10="",$O12="",$P12="",$J$40&lt;&gt;"Yes"),0,IF($K$10=0,SUMIFS(INDIRECT(ADDRESS(12,3+18*3+(5),,,"J1 C - (South) Bishopthorpe Roa")&amp;":"&amp;ADDRESS(130,3+18*3+(5))),'J1 C - (South) Bishopthorpe Roa'!$A$12:$A$130,"&gt;="&amp;Diagram!$O12,'J1 C - (South) Bishopthorpe Roa'!$A$12:$A$130,"&lt;"&amp;Diagram!$P12),SUMIFS(INDIRECT(ADDRESS(12,3+18*3+(13),,,"J1 C - (South) Bishopthorpe Roa")&amp;":"&amp;ADDRESS(130,3+18*3+(13))),'J1 C - (South) Bishopthorpe Roa'!$A$12:$A$130,"&gt;="&amp;Diagram!$O12,'J1 C - (South) Bishopthorpe Roa'!$A$12:$A$130,"&lt;"&amp;Diagram!$P12)))</f>
        <v>0</v>
      </c>
      <c r="DK12" s="42">
        <f ca="1">IF(OR($I$10="",$O12="",$P12="",$J$40&lt;&gt;"Yes"),0,IF($K$10=0,SUMIFS(INDIRECT(ADDRESS(12,3+18*0+(5),,,"J1 C - (South) Bishopthorpe Roa")&amp;":"&amp;ADDRESS(130,3+18*0+(5))),'J1 C - (South) Bishopthorpe Roa'!$A$12:$A$130,"&gt;="&amp;Diagram!$O12,'J1 C - (South) Bishopthorpe Roa'!$A$12:$A$130,"&lt;"&amp;Diagram!$P12),SUMIFS(INDIRECT(ADDRESS(12,3+18*0+(13),,,"J1 C - (South) Bishopthorpe Roa")&amp;":"&amp;ADDRESS(130,3+18*0+(13))),'J1 C - (South) Bishopthorpe Roa'!$A$12:$A$130,"&gt;="&amp;Diagram!$O12,'J1 C - (South) Bishopthorpe Roa'!$A$12:$A$130,"&lt;"&amp;Diagram!$P12)))</f>
        <v>0</v>
      </c>
      <c r="DL12" s="42">
        <f ca="1">IF(OR($I$10="",$O12="",$P12="",$J$40&lt;&gt;"Yes"),0,IF($K$10=0,SUMIFS(INDIRECT(ADDRESS(12,3+18*0+(5),,,"J1 D - South Bank Avenue")&amp;":"&amp;ADDRESS(130,3+18*0+(5))),'J1 D - South Bank Avenue'!$A$12:$A$130,"&gt;="&amp;Diagram!$O12,'J1 D - South Bank Avenue'!$A$12:$A$130,"&lt;"&amp;Diagram!$P12),SUMIFS(INDIRECT(ADDRESS(12,3+18*0+(13),,,"J1 D - South Bank Avenue")&amp;":"&amp;ADDRESS(130,3+18*0+(13))),'J1 D - South Bank Avenue'!$A$12:$A$130,"&gt;="&amp;Diagram!$O12,'J1 D - South Bank Avenue'!$A$12:$A$130,"&lt;"&amp;Diagram!$P12)))</f>
        <v>0</v>
      </c>
      <c r="DM12" s="42">
        <f ca="1">IF(OR($I$10="",$O12="",$P12="",$J$40&lt;&gt;"Yes"),0,IF($K$10=0,SUMIFS(INDIRECT(ADDRESS(12,3+18*1+(5),,,"J1 D - South Bank Avenue")&amp;":"&amp;ADDRESS(130,3+18*1+(5))),'J1 D - South Bank Avenue'!$A$12:$A$130,"&gt;="&amp;Diagram!$O12,'J1 D - South Bank Avenue'!$A$12:$A$130,"&lt;"&amp;Diagram!$P12),SUMIFS(INDIRECT(ADDRESS(12,3+18*1+(13),,,"J1 D - South Bank Avenue")&amp;":"&amp;ADDRESS(130,3+18*1+(13))),'J1 D - South Bank Avenue'!$A$12:$A$130,"&gt;="&amp;Diagram!$O12,'J1 D - South Bank Avenue'!$A$12:$A$130,"&lt;"&amp;Diagram!$P12)))</f>
        <v>0</v>
      </c>
      <c r="DN12" s="42">
        <f ca="1">IF(OR($I$10="",$O12="",$P12="",$J$40&lt;&gt;"Yes"),0,IF($K$10=0,SUMIFS(INDIRECT(ADDRESS(12,3+18*2+(5),,,"J1 D - South Bank Avenue")&amp;":"&amp;ADDRESS(130,3+18*2+(5))),'J1 D - South Bank Avenue'!$A$12:$A$130,"&gt;="&amp;Diagram!$O12,'J1 D - South Bank Avenue'!$A$12:$A$130,"&lt;"&amp;Diagram!$P12),SUMIFS(INDIRECT(ADDRESS(12,3+18*2+(13),,,"J1 D - South Bank Avenue")&amp;":"&amp;ADDRESS(130,3+18*2+(13))),'J1 D - South Bank Avenue'!$A$12:$A$130,"&gt;="&amp;Diagram!$O12,'J1 D - South Bank Avenue'!$A$12:$A$130,"&lt;"&amp;Diagram!$P12)))</f>
        <v>0</v>
      </c>
      <c r="DO12" s="42">
        <f ca="1">IF(OR($I$10="",$O12="",$P12="",$J$40&lt;&gt;"Yes"),0,IF($K$10=0,SUMIFS(INDIRECT(ADDRESS(12,3+18*3+(5),,,"J1 D - South Bank Avenue")&amp;":"&amp;ADDRESS(130,3+18*3+(5))),'J1 D - South Bank Avenue'!$A$12:$A$130,"&gt;="&amp;Diagram!$O12,'J1 D - South Bank Avenue'!$A$12:$A$130,"&lt;"&amp;Diagram!$P12),SUMIFS(INDIRECT(ADDRESS(12,3+18*3+(13),,,"J1 D - South Bank Avenue")&amp;":"&amp;ADDRESS(130,3+18*3+(13))),'J1 D - South Bank Avenue'!$A$12:$A$130,"&gt;="&amp;Diagram!$O12,'J1 D - South Bank Avenue'!$A$12:$A$130,"&lt;"&amp;Diagram!$P12)))</f>
        <v>0</v>
      </c>
      <c r="DP12" s="42">
        <f t="shared" ca="1" si="7"/>
        <v>0</v>
      </c>
      <c r="DQ12" s="42">
        <f ca="1">IF(OR($I$10="",$O12="",$P12="",$J$41&lt;&gt;"Yes"),0,IF($K$10=0,SUMIFS(INDIRECT(ADDRESS(12,3+18*3+(6),,,"J1 A - (North) Bishopthorpe Roa")&amp;":"&amp;ADDRESS(130,3+18*3+(6))),'J1 A - (North) Bishopthorpe Roa'!$A$12:$A$130,"&gt;="&amp;Diagram!$O12,'J1 A - (North) Bishopthorpe Roa'!$A$12:$A$130,"&lt;"&amp;Diagram!$P12),SUMIFS(INDIRECT(ADDRESS(12,3+18*3+(14),,,"J1 A - (North) Bishopthorpe Roa")&amp;":"&amp;ADDRESS(130,3+18*3+(14))),'J1 A - (North) Bishopthorpe Roa'!$A$12:$A$130,"&gt;="&amp;Diagram!$O12,'J1 A - (North) Bishopthorpe Roa'!$A$12:$A$130,"&lt;"&amp;Diagram!$P12)))</f>
        <v>0</v>
      </c>
      <c r="DR12" s="42">
        <f ca="1">IF(OR($I$10="",$O12="",$P12="",$J$41&lt;&gt;"Yes"),0,IF($K$10=0,SUMIFS(INDIRECT(ADDRESS(12,3+18*0+(6),,,"J1 A - (North) Bishopthorpe Roa")&amp;":"&amp;ADDRESS(130,3+18*0+(6))),'J1 A - (North) Bishopthorpe Roa'!$A$12:$A$130,"&gt;="&amp;Diagram!$O12,'J1 A - (North) Bishopthorpe Roa'!$A$12:$A$130,"&lt;"&amp;Diagram!$P12),SUMIFS(INDIRECT(ADDRESS(12,3+18*0+(14),,,"J1 A - (North) Bishopthorpe Roa")&amp;":"&amp;ADDRESS(130,3+18*0+(14))),'J1 A - (North) Bishopthorpe Roa'!$A$12:$A$130,"&gt;="&amp;Diagram!$O12,'J1 A - (North) Bishopthorpe Roa'!$A$12:$A$130,"&lt;"&amp;Diagram!$P12)))</f>
        <v>0</v>
      </c>
      <c r="DS12" s="42">
        <f ca="1">IF(OR($I$10="",$O12="",$P12="",$J$41&lt;&gt;"Yes"),0,IF($K$10=0,SUMIFS(INDIRECT(ADDRESS(12,3+18*1+(6),,,"J1 A - (North) Bishopthorpe Roa")&amp;":"&amp;ADDRESS(130,3+18*1+(6))),'J1 A - (North) Bishopthorpe Roa'!$A$12:$A$130,"&gt;="&amp;Diagram!$O12,'J1 A - (North) Bishopthorpe Roa'!$A$12:$A$130,"&lt;"&amp;Diagram!$P12),SUMIFS(INDIRECT(ADDRESS(12,3+18*1+(14),,,"J1 A - (North) Bishopthorpe Roa")&amp;":"&amp;ADDRESS(130,3+18*1+(14))),'J1 A - (North) Bishopthorpe Roa'!$A$12:$A$130,"&gt;="&amp;Diagram!$O12,'J1 A - (North) Bishopthorpe Roa'!$A$12:$A$130,"&lt;"&amp;Diagram!$P12)))</f>
        <v>0</v>
      </c>
      <c r="DT12" s="42">
        <f ca="1">IF(OR($I$10="",$O12="",$P12="",$J$41&lt;&gt;"Yes"),0,IF($K$10=0,SUMIFS(INDIRECT(ADDRESS(12,3+18*2+(6),,,"J1 A - (North) Bishopthorpe Roa")&amp;":"&amp;ADDRESS(130,3+18*2+(6))),'J1 A - (North) Bishopthorpe Roa'!$A$12:$A$130,"&gt;="&amp;Diagram!$O12,'J1 A - (North) Bishopthorpe Roa'!$A$12:$A$130,"&lt;"&amp;Diagram!$P12),SUMIFS(INDIRECT(ADDRESS(12,3+18*2+(14),,,"J1 A - (North) Bishopthorpe Roa")&amp;":"&amp;ADDRESS(130,3+18*2+(14))),'J1 A - (North) Bishopthorpe Roa'!$A$12:$A$130,"&gt;="&amp;Diagram!$O12,'J1 A - (North) Bishopthorpe Roa'!$A$12:$A$130,"&lt;"&amp;Diagram!$P12)))</f>
        <v>0</v>
      </c>
      <c r="DU12" s="42">
        <f ca="1">IF(OR($I$10="",$O12="",$P12="",$J$41&lt;&gt;"Yes"),0,IF($K$10=0,SUMIFS(INDIRECT(ADDRESS(12,3+18*2+(6),,,"J1 B - Butcher Terrace")&amp;":"&amp;ADDRESS(130,3+18*2+(6))),'J1 B - Butcher Terrace'!$A$12:$A$130,"&gt;="&amp;Diagram!$O12,'J1 B - Butcher Terrace'!$A$12:$A$130,"&lt;"&amp;Diagram!$P12),SUMIFS(INDIRECT(ADDRESS(12,3+18*2+(14),,,"J1 B - Butcher Terrace")&amp;":"&amp;ADDRESS(130,3+18*2+(14))),'J1 B - Butcher Terrace'!$A$12:$A$130,"&gt;="&amp;Diagram!$O12,'J1 B - Butcher Terrace'!$A$12:$A$130,"&lt;"&amp;Diagram!$P12)))</f>
        <v>0</v>
      </c>
      <c r="DV12" s="42">
        <f ca="1">IF(OR($I$10="",$O12="",$P12="",$J$41&lt;&gt;"Yes"),0,IF($K$10=0,SUMIFS(INDIRECT(ADDRESS(12,3+18*3+(6),,,"J1 B - Butcher Terrace")&amp;":"&amp;ADDRESS(130,3+18*3+(6))),'J1 B - Butcher Terrace'!$A$12:$A$130,"&gt;="&amp;Diagram!$O12,'J1 B - Butcher Terrace'!$A$12:$A$130,"&lt;"&amp;Diagram!$P12),SUMIFS(INDIRECT(ADDRESS(12,3+18*3+(14),,,"J1 B - Butcher Terrace")&amp;":"&amp;ADDRESS(130,3+18*3+(14))),'J1 B - Butcher Terrace'!$A$12:$A$130,"&gt;="&amp;Diagram!$O12,'J1 B - Butcher Terrace'!$A$12:$A$130,"&lt;"&amp;Diagram!$P12)))</f>
        <v>0</v>
      </c>
      <c r="DW12" s="42">
        <f ca="1">IF(OR($I$10="",$O12="",$P12="",$J$41&lt;&gt;"Yes"),0,IF($K$10=0,SUMIFS(INDIRECT(ADDRESS(12,3+18*0+(6),,,"J1 B - Butcher Terrace")&amp;":"&amp;ADDRESS(130,3+18*0+(6))),'J1 B - Butcher Terrace'!$A$12:$A$130,"&gt;="&amp;Diagram!$O12,'J1 B - Butcher Terrace'!$A$12:$A$130,"&lt;"&amp;Diagram!$P12),SUMIFS(INDIRECT(ADDRESS(12,3+18*0+(14),,,"J1 B - Butcher Terrace")&amp;":"&amp;ADDRESS(130,3+18*0+(14))),'J1 B - Butcher Terrace'!$A$12:$A$130,"&gt;="&amp;Diagram!$O12,'J1 B - Butcher Terrace'!$A$12:$A$130,"&lt;"&amp;Diagram!$P12)))</f>
        <v>0</v>
      </c>
      <c r="DX12" s="42">
        <f ca="1">IF(OR($I$10="",$O12="",$P12="",$J$41&lt;&gt;"Yes"),0,IF($K$10=0,SUMIFS(INDIRECT(ADDRESS(12,3+18*1+(6),,,"J1 B - Butcher Terrace")&amp;":"&amp;ADDRESS(130,3+18*1+(6))),'J1 B - Butcher Terrace'!$A$12:$A$130,"&gt;="&amp;Diagram!$O12,'J1 B - Butcher Terrace'!$A$12:$A$130,"&lt;"&amp;Diagram!$P12),SUMIFS(INDIRECT(ADDRESS(12,3+18*1+(14),,,"J1 B - Butcher Terrace")&amp;":"&amp;ADDRESS(130,3+18*1+(14))),'J1 B - Butcher Terrace'!$A$12:$A$130,"&gt;="&amp;Diagram!$O12,'J1 B - Butcher Terrace'!$A$12:$A$130,"&lt;"&amp;Diagram!$P12)))</f>
        <v>0</v>
      </c>
      <c r="DY12" s="42">
        <f ca="1">IF(OR($I$10="",$O12="",$P12="",$J$41&lt;&gt;"Yes"),0,IF($K$10=0,SUMIFS(INDIRECT(ADDRESS(12,3+18*1+(6),,,"J1 C - (South) Bishopthorpe Roa")&amp;":"&amp;ADDRESS(130,3+18*1+(6))),'J1 C - (South) Bishopthorpe Roa'!$A$12:$A$130,"&gt;="&amp;Diagram!$O12,'J1 C - (South) Bishopthorpe Roa'!$A$12:$A$130,"&lt;"&amp;Diagram!$P12),SUMIFS(INDIRECT(ADDRESS(12,3+18*1+(14),,,"J1 C - (South) Bishopthorpe Roa")&amp;":"&amp;ADDRESS(130,3+18*1+(14))),'J1 C - (South) Bishopthorpe Roa'!$A$12:$A$130,"&gt;="&amp;Diagram!$O12,'J1 C - (South) Bishopthorpe Roa'!$A$12:$A$130,"&lt;"&amp;Diagram!$P12)))</f>
        <v>0</v>
      </c>
      <c r="DZ12" s="42">
        <f ca="1">IF(OR($I$10="",$O12="",$P12="",$J$41&lt;&gt;"Yes"),0,IF($K$10=0,SUMIFS(INDIRECT(ADDRESS(12,3+18*2+(6),,,"J1 C - (South) Bishopthorpe Roa")&amp;":"&amp;ADDRESS(130,3+18*2+(6))),'J1 C - (South) Bishopthorpe Roa'!$A$12:$A$130,"&gt;="&amp;Diagram!$O12,'J1 C - (South) Bishopthorpe Roa'!$A$12:$A$130,"&lt;"&amp;Diagram!$P12),SUMIFS(INDIRECT(ADDRESS(12,3+18*2+(14),,,"J1 C - (South) Bishopthorpe Roa")&amp;":"&amp;ADDRESS(130,3+18*2+(14))),'J1 C - (South) Bishopthorpe Roa'!$A$12:$A$130,"&gt;="&amp;Diagram!$O12,'J1 C - (South) Bishopthorpe Roa'!$A$12:$A$130,"&lt;"&amp;Diagram!$P12)))</f>
        <v>0</v>
      </c>
      <c r="EA12" s="42">
        <f ca="1">IF(OR($I$10="",$O12="",$P12="",$J$41&lt;&gt;"Yes"),0,IF($K$10=0,SUMIFS(INDIRECT(ADDRESS(12,3+18*3+(6),,,"J1 C - (South) Bishopthorpe Roa")&amp;":"&amp;ADDRESS(130,3+18*3+(6))),'J1 C - (South) Bishopthorpe Roa'!$A$12:$A$130,"&gt;="&amp;Diagram!$O12,'J1 C - (South) Bishopthorpe Roa'!$A$12:$A$130,"&lt;"&amp;Diagram!$P12),SUMIFS(INDIRECT(ADDRESS(12,3+18*3+(14),,,"J1 C - (South) Bishopthorpe Roa")&amp;":"&amp;ADDRESS(130,3+18*3+(14))),'J1 C - (South) Bishopthorpe Roa'!$A$12:$A$130,"&gt;="&amp;Diagram!$O12,'J1 C - (South) Bishopthorpe Roa'!$A$12:$A$130,"&lt;"&amp;Diagram!$P12)))</f>
        <v>0</v>
      </c>
      <c r="EB12" s="42">
        <f ca="1">IF(OR($I$10="",$O12="",$P12="",$J$41&lt;&gt;"Yes"),0,IF($K$10=0,SUMIFS(INDIRECT(ADDRESS(12,3+18*0+(6),,,"J1 C - (South) Bishopthorpe Roa")&amp;":"&amp;ADDRESS(130,3+18*0+(6))),'J1 C - (South) Bishopthorpe Roa'!$A$12:$A$130,"&gt;="&amp;Diagram!$O12,'J1 C - (South) Bishopthorpe Roa'!$A$12:$A$130,"&lt;"&amp;Diagram!$P12),SUMIFS(INDIRECT(ADDRESS(12,3+18*0+(14),,,"J1 C - (South) Bishopthorpe Roa")&amp;":"&amp;ADDRESS(130,3+18*0+(14))),'J1 C - (South) Bishopthorpe Roa'!$A$12:$A$130,"&gt;="&amp;Diagram!$O12,'J1 C - (South) Bishopthorpe Roa'!$A$12:$A$130,"&lt;"&amp;Diagram!$P12)))</f>
        <v>0</v>
      </c>
      <c r="EC12" s="42">
        <f ca="1">IF(OR($I$10="",$O12="",$P12="",$J$41&lt;&gt;"Yes"),0,IF($K$10=0,SUMIFS(INDIRECT(ADDRESS(12,3+18*0+(6),,,"J1 D - South Bank Avenue")&amp;":"&amp;ADDRESS(130,3+18*0+(6))),'J1 D - South Bank Avenue'!$A$12:$A$130,"&gt;="&amp;Diagram!$O12,'J1 D - South Bank Avenue'!$A$12:$A$130,"&lt;"&amp;Diagram!$P12),SUMIFS(INDIRECT(ADDRESS(12,3+18*0+(14),,,"J1 D - South Bank Avenue")&amp;":"&amp;ADDRESS(130,3+18*0+(14))),'J1 D - South Bank Avenue'!$A$12:$A$130,"&gt;="&amp;Diagram!$O12,'J1 D - South Bank Avenue'!$A$12:$A$130,"&lt;"&amp;Diagram!$P12)))</f>
        <v>0</v>
      </c>
      <c r="ED12" s="42">
        <f ca="1">IF(OR($I$10="",$O12="",$P12="",$J$41&lt;&gt;"Yes"),0,IF($K$10=0,SUMIFS(INDIRECT(ADDRESS(12,3+18*1+(6),,,"J1 D - South Bank Avenue")&amp;":"&amp;ADDRESS(130,3+18*1+(6))),'J1 D - South Bank Avenue'!$A$12:$A$130,"&gt;="&amp;Diagram!$O12,'J1 D - South Bank Avenue'!$A$12:$A$130,"&lt;"&amp;Diagram!$P12),SUMIFS(INDIRECT(ADDRESS(12,3+18*1+(14),,,"J1 D - South Bank Avenue")&amp;":"&amp;ADDRESS(130,3+18*1+(14))),'J1 D - South Bank Avenue'!$A$12:$A$130,"&gt;="&amp;Diagram!$O12,'J1 D - South Bank Avenue'!$A$12:$A$130,"&lt;"&amp;Diagram!$P12)))</f>
        <v>0</v>
      </c>
      <c r="EE12" s="42">
        <f ca="1">IF(OR($I$10="",$O12="",$P12="",$J$41&lt;&gt;"Yes"),0,IF($K$10=0,SUMIFS(INDIRECT(ADDRESS(12,3+18*2+(6),,,"J1 D - South Bank Avenue")&amp;":"&amp;ADDRESS(130,3+18*2+(6))),'J1 D - South Bank Avenue'!$A$12:$A$130,"&gt;="&amp;Diagram!$O12,'J1 D - South Bank Avenue'!$A$12:$A$130,"&lt;"&amp;Diagram!$P12),SUMIFS(INDIRECT(ADDRESS(12,3+18*2+(14),,,"J1 D - South Bank Avenue")&amp;":"&amp;ADDRESS(130,3+18*2+(14))),'J1 D - South Bank Avenue'!$A$12:$A$130,"&gt;="&amp;Diagram!$O12,'J1 D - South Bank Avenue'!$A$12:$A$130,"&lt;"&amp;Diagram!$P12)))</f>
        <v>0</v>
      </c>
      <c r="EF12" s="42">
        <f ca="1">IF(OR($I$10="",$O12="",$P12="",$J$41&lt;&gt;"Yes"),0,IF($K$10=0,SUMIFS(INDIRECT(ADDRESS(12,3+18*3+(6),,,"J1 D - South Bank Avenue")&amp;":"&amp;ADDRESS(130,3+18*3+(6))),'J1 D - South Bank Avenue'!$A$12:$A$130,"&gt;="&amp;Diagram!$O12,'J1 D - South Bank Avenue'!$A$12:$A$130,"&lt;"&amp;Diagram!$P12),SUMIFS(INDIRECT(ADDRESS(12,3+18*3+(14),,,"J1 D - South Bank Avenue")&amp;":"&amp;ADDRESS(130,3+18*3+(14))),'J1 D - South Bank Avenue'!$A$12:$A$130,"&gt;="&amp;Diagram!$O12,'J1 D - South Bank Avenue'!$A$12:$A$130,"&lt;"&amp;Diagram!$P12)))</f>
        <v>0</v>
      </c>
      <c r="EG12" s="42">
        <f t="shared" ca="1" si="8"/>
        <v>0</v>
      </c>
      <c r="EH12" s="42">
        <f ca="1">IF(OR($I$10="",$O12="",$P12="",$J$42&lt;&gt;"Yes"),0,IF($K$10=0,SUMIFS(INDIRECT(ADDRESS(12,3+18*3+(7),,,"J1 A - (North) Bishopthorpe Roa")&amp;":"&amp;ADDRESS(130,3+18*3+(7))),'J1 A - (North) Bishopthorpe Roa'!$A$12:$A$130,"&gt;="&amp;Diagram!$O12,'J1 A - (North) Bishopthorpe Roa'!$A$12:$A$130,"&lt;"&amp;Diagram!$P12),SUMIFS(INDIRECT(ADDRESS(12,3+18*3+(15),,,"J1 A - (North) Bishopthorpe Roa")&amp;":"&amp;ADDRESS(130,3+18*3+(15))),'J1 A - (North) Bishopthorpe Roa'!$A$12:$A$130,"&gt;="&amp;Diagram!$O12,'J1 A - (North) Bishopthorpe Roa'!$A$12:$A$130,"&lt;"&amp;Diagram!$P12)))</f>
        <v>0</v>
      </c>
      <c r="EI12" s="42">
        <f ca="1">IF(OR($I$10="",$O12="",$P12="",$J$42&lt;&gt;"Yes"),0,IF($K$10=0,SUMIFS(INDIRECT(ADDRESS(12,3+18*0+(7),,,"J1 A - (North) Bishopthorpe Roa")&amp;":"&amp;ADDRESS(130,3+18*0+(7))),'J1 A - (North) Bishopthorpe Roa'!$A$12:$A$130,"&gt;="&amp;Diagram!$O12,'J1 A - (North) Bishopthorpe Roa'!$A$12:$A$130,"&lt;"&amp;Diagram!$P12),SUMIFS(INDIRECT(ADDRESS(12,3+18*0+(15),,,"J1 A - (North) Bishopthorpe Roa")&amp;":"&amp;ADDRESS(130,3+18*0+(15))),'J1 A - (North) Bishopthorpe Roa'!$A$12:$A$130,"&gt;="&amp;Diagram!$O12,'J1 A - (North) Bishopthorpe Roa'!$A$12:$A$130,"&lt;"&amp;Diagram!$P12)))</f>
        <v>0</v>
      </c>
      <c r="EJ12" s="42">
        <f ca="1">IF(OR($I$10="",$O12="",$P12="",$J$42&lt;&gt;"Yes"),0,IF($K$10=0,SUMIFS(INDIRECT(ADDRESS(12,3+18*1+(7),,,"J1 A - (North) Bishopthorpe Roa")&amp;":"&amp;ADDRESS(130,3+18*1+(7))),'J1 A - (North) Bishopthorpe Roa'!$A$12:$A$130,"&gt;="&amp;Diagram!$O12,'J1 A - (North) Bishopthorpe Roa'!$A$12:$A$130,"&lt;"&amp;Diagram!$P12),SUMIFS(INDIRECT(ADDRESS(12,3+18*1+(15),,,"J1 A - (North) Bishopthorpe Roa")&amp;":"&amp;ADDRESS(130,3+18*1+(15))),'J1 A - (North) Bishopthorpe Roa'!$A$12:$A$130,"&gt;="&amp;Diagram!$O12,'J1 A - (North) Bishopthorpe Roa'!$A$12:$A$130,"&lt;"&amp;Diagram!$P12)))</f>
        <v>0</v>
      </c>
      <c r="EK12" s="42">
        <f ca="1">IF(OR($I$10="",$O12="",$P12="",$J$42&lt;&gt;"Yes"),0,IF($K$10=0,SUMIFS(INDIRECT(ADDRESS(12,3+18*2+(7),,,"J1 A - (North) Bishopthorpe Roa")&amp;":"&amp;ADDRESS(130,3+18*2+(7))),'J1 A - (North) Bishopthorpe Roa'!$A$12:$A$130,"&gt;="&amp;Diagram!$O12,'J1 A - (North) Bishopthorpe Roa'!$A$12:$A$130,"&lt;"&amp;Diagram!$P12),SUMIFS(INDIRECT(ADDRESS(12,3+18*2+(15),,,"J1 A - (North) Bishopthorpe Roa")&amp;":"&amp;ADDRESS(130,3+18*2+(15))),'J1 A - (North) Bishopthorpe Roa'!$A$12:$A$130,"&gt;="&amp;Diagram!$O12,'J1 A - (North) Bishopthorpe Roa'!$A$12:$A$130,"&lt;"&amp;Diagram!$P12)))</f>
        <v>0</v>
      </c>
      <c r="EL12" s="42">
        <f ca="1">IF(OR($I$10="",$O12="",$P12="",$J$42&lt;&gt;"Yes"),0,IF($K$10=0,SUMIFS(INDIRECT(ADDRESS(12,3+18*2+(7),,,"J1 B - Butcher Terrace")&amp;":"&amp;ADDRESS(130,3+18*2+(7))),'J1 B - Butcher Terrace'!$A$12:$A$130,"&gt;="&amp;Diagram!$O12,'J1 B - Butcher Terrace'!$A$12:$A$130,"&lt;"&amp;Diagram!$P12),SUMIFS(INDIRECT(ADDRESS(12,3+18*2+(15),,,"J1 B - Butcher Terrace")&amp;":"&amp;ADDRESS(130,3+18*2+(15))),'J1 B - Butcher Terrace'!$A$12:$A$130,"&gt;="&amp;Diagram!$O12,'J1 B - Butcher Terrace'!$A$12:$A$130,"&lt;"&amp;Diagram!$P12)))</f>
        <v>0</v>
      </c>
      <c r="EM12" s="42">
        <f ca="1">IF(OR($I$10="",$O12="",$P12="",$J$42&lt;&gt;"Yes"),0,IF($K$10=0,SUMIFS(INDIRECT(ADDRESS(12,3+18*3+(7),,,"J1 B - Butcher Terrace")&amp;":"&amp;ADDRESS(130,3+18*3+(7))),'J1 B - Butcher Terrace'!$A$12:$A$130,"&gt;="&amp;Diagram!$O12,'J1 B - Butcher Terrace'!$A$12:$A$130,"&lt;"&amp;Diagram!$P12),SUMIFS(INDIRECT(ADDRESS(12,3+18*3+(15),,,"J1 B - Butcher Terrace")&amp;":"&amp;ADDRESS(130,3+18*3+(15))),'J1 B - Butcher Terrace'!$A$12:$A$130,"&gt;="&amp;Diagram!$O12,'J1 B - Butcher Terrace'!$A$12:$A$130,"&lt;"&amp;Diagram!$P12)))</f>
        <v>0</v>
      </c>
      <c r="EN12" s="42">
        <f ca="1">IF(OR($I$10="",$O12="",$P12="",$J$42&lt;&gt;"Yes"),0,IF($K$10=0,SUMIFS(INDIRECT(ADDRESS(12,3+18*0+(7),,,"J1 B - Butcher Terrace")&amp;":"&amp;ADDRESS(130,3+18*0+(7))),'J1 B - Butcher Terrace'!$A$12:$A$130,"&gt;="&amp;Diagram!$O12,'J1 B - Butcher Terrace'!$A$12:$A$130,"&lt;"&amp;Diagram!$P12),SUMIFS(INDIRECT(ADDRESS(12,3+18*0+(15),,,"J1 B - Butcher Terrace")&amp;":"&amp;ADDRESS(130,3+18*0+(15))),'J1 B - Butcher Terrace'!$A$12:$A$130,"&gt;="&amp;Diagram!$O12,'J1 B - Butcher Terrace'!$A$12:$A$130,"&lt;"&amp;Diagram!$P12)))</f>
        <v>0</v>
      </c>
      <c r="EO12" s="42">
        <f ca="1">IF(OR($I$10="",$O12="",$P12="",$J$42&lt;&gt;"Yes"),0,IF($K$10=0,SUMIFS(INDIRECT(ADDRESS(12,3+18*1+(7),,,"J1 B - Butcher Terrace")&amp;":"&amp;ADDRESS(130,3+18*1+(7))),'J1 B - Butcher Terrace'!$A$12:$A$130,"&gt;="&amp;Diagram!$O12,'J1 B - Butcher Terrace'!$A$12:$A$130,"&lt;"&amp;Diagram!$P12),SUMIFS(INDIRECT(ADDRESS(12,3+18*1+(15),,,"J1 B - Butcher Terrace")&amp;":"&amp;ADDRESS(130,3+18*1+(15))),'J1 B - Butcher Terrace'!$A$12:$A$130,"&gt;="&amp;Diagram!$O12,'J1 B - Butcher Terrace'!$A$12:$A$130,"&lt;"&amp;Diagram!$P12)))</f>
        <v>0</v>
      </c>
      <c r="EP12" s="42">
        <f ca="1">IF(OR($I$10="",$O12="",$P12="",$J$42&lt;&gt;"Yes"),0,IF($K$10=0,SUMIFS(INDIRECT(ADDRESS(12,3+18*1+(7),,,"J1 C - (South) Bishopthorpe Roa")&amp;":"&amp;ADDRESS(130,3+18*1+(7))),'J1 C - (South) Bishopthorpe Roa'!$A$12:$A$130,"&gt;="&amp;Diagram!$O12,'J1 C - (South) Bishopthorpe Roa'!$A$12:$A$130,"&lt;"&amp;Diagram!$P12),SUMIFS(INDIRECT(ADDRESS(12,3+18*1+(15),,,"J1 C - (South) Bishopthorpe Roa")&amp;":"&amp;ADDRESS(130,3+18*1+(15))),'J1 C - (South) Bishopthorpe Roa'!$A$12:$A$130,"&gt;="&amp;Diagram!$O12,'J1 C - (South) Bishopthorpe Roa'!$A$12:$A$130,"&lt;"&amp;Diagram!$P12)))</f>
        <v>0</v>
      </c>
      <c r="EQ12" s="42">
        <f ca="1">IF(OR($I$10="",$O12="",$P12="",$J$42&lt;&gt;"Yes"),0,IF($K$10=0,SUMIFS(INDIRECT(ADDRESS(12,3+18*2+(7),,,"J1 C - (South) Bishopthorpe Roa")&amp;":"&amp;ADDRESS(130,3+18*2+(7))),'J1 C - (South) Bishopthorpe Roa'!$A$12:$A$130,"&gt;="&amp;Diagram!$O12,'J1 C - (South) Bishopthorpe Roa'!$A$12:$A$130,"&lt;"&amp;Diagram!$P12),SUMIFS(INDIRECT(ADDRESS(12,3+18*2+(15),,,"J1 C - (South) Bishopthorpe Roa")&amp;":"&amp;ADDRESS(130,3+18*2+(15))),'J1 C - (South) Bishopthorpe Roa'!$A$12:$A$130,"&gt;="&amp;Diagram!$O12,'J1 C - (South) Bishopthorpe Roa'!$A$12:$A$130,"&lt;"&amp;Diagram!$P12)))</f>
        <v>0</v>
      </c>
      <c r="ER12" s="42">
        <f ca="1">IF(OR($I$10="",$O12="",$P12="",$J$42&lt;&gt;"Yes"),0,IF($K$10=0,SUMIFS(INDIRECT(ADDRESS(12,3+18*3+(7),,,"J1 C - (South) Bishopthorpe Roa")&amp;":"&amp;ADDRESS(130,3+18*3+(7))),'J1 C - (South) Bishopthorpe Roa'!$A$12:$A$130,"&gt;="&amp;Diagram!$O12,'J1 C - (South) Bishopthorpe Roa'!$A$12:$A$130,"&lt;"&amp;Diagram!$P12),SUMIFS(INDIRECT(ADDRESS(12,3+18*3+(15),,,"J1 C - (South) Bishopthorpe Roa")&amp;":"&amp;ADDRESS(130,3+18*3+(15))),'J1 C - (South) Bishopthorpe Roa'!$A$12:$A$130,"&gt;="&amp;Diagram!$O12,'J1 C - (South) Bishopthorpe Roa'!$A$12:$A$130,"&lt;"&amp;Diagram!$P12)))</f>
        <v>0</v>
      </c>
      <c r="ES12" s="42">
        <f ca="1">IF(OR($I$10="",$O12="",$P12="",$J$42&lt;&gt;"Yes"),0,IF($K$10=0,SUMIFS(INDIRECT(ADDRESS(12,3+18*0+(7),,,"J1 C - (South) Bishopthorpe Roa")&amp;":"&amp;ADDRESS(130,3+18*0+(7))),'J1 C - (South) Bishopthorpe Roa'!$A$12:$A$130,"&gt;="&amp;Diagram!$O12,'J1 C - (South) Bishopthorpe Roa'!$A$12:$A$130,"&lt;"&amp;Diagram!$P12),SUMIFS(INDIRECT(ADDRESS(12,3+18*0+(15),,,"J1 C - (South) Bishopthorpe Roa")&amp;":"&amp;ADDRESS(130,3+18*0+(15))),'J1 C - (South) Bishopthorpe Roa'!$A$12:$A$130,"&gt;="&amp;Diagram!$O12,'J1 C - (South) Bishopthorpe Roa'!$A$12:$A$130,"&lt;"&amp;Diagram!$P12)))</f>
        <v>0</v>
      </c>
      <c r="ET12" s="42">
        <f ca="1">IF(OR($I$10="",$O12="",$P12="",$J$42&lt;&gt;"Yes"),0,IF($K$10=0,SUMIFS(INDIRECT(ADDRESS(12,3+18*0+(7),,,"J1 D - South Bank Avenue")&amp;":"&amp;ADDRESS(130,3+18*0+(7))),'J1 D - South Bank Avenue'!$A$12:$A$130,"&gt;="&amp;Diagram!$O12,'J1 D - South Bank Avenue'!$A$12:$A$130,"&lt;"&amp;Diagram!$P12),SUMIFS(INDIRECT(ADDRESS(12,3+18*0+(15),,,"J1 D - South Bank Avenue")&amp;":"&amp;ADDRESS(130,3+18*0+(15))),'J1 D - South Bank Avenue'!$A$12:$A$130,"&gt;="&amp;Diagram!$O12,'J1 D - South Bank Avenue'!$A$12:$A$130,"&lt;"&amp;Diagram!$P12)))</f>
        <v>0</v>
      </c>
      <c r="EU12" s="42">
        <f ca="1">IF(OR($I$10="",$O12="",$P12="",$J$42&lt;&gt;"Yes"),0,IF($K$10=0,SUMIFS(INDIRECT(ADDRESS(12,3+18*1+(7),,,"J1 D - South Bank Avenue")&amp;":"&amp;ADDRESS(130,3+18*1+(7))),'J1 D - South Bank Avenue'!$A$12:$A$130,"&gt;="&amp;Diagram!$O12,'J1 D - South Bank Avenue'!$A$12:$A$130,"&lt;"&amp;Diagram!$P12),SUMIFS(INDIRECT(ADDRESS(12,3+18*1+(15),,,"J1 D - South Bank Avenue")&amp;":"&amp;ADDRESS(130,3+18*1+(15))),'J1 D - South Bank Avenue'!$A$12:$A$130,"&gt;="&amp;Diagram!$O12,'J1 D - South Bank Avenue'!$A$12:$A$130,"&lt;"&amp;Diagram!$P12)))</f>
        <v>0</v>
      </c>
      <c r="EV12" s="42">
        <f ca="1">IF(OR($I$10="",$O12="",$P12="",$J$42&lt;&gt;"Yes"),0,IF($K$10=0,SUMIFS(INDIRECT(ADDRESS(12,3+18*2+(7),,,"J1 D - South Bank Avenue")&amp;":"&amp;ADDRESS(130,3+18*2+(7))),'J1 D - South Bank Avenue'!$A$12:$A$130,"&gt;="&amp;Diagram!$O12,'J1 D - South Bank Avenue'!$A$12:$A$130,"&lt;"&amp;Diagram!$P12),SUMIFS(INDIRECT(ADDRESS(12,3+18*2+(15),,,"J1 D - South Bank Avenue")&amp;":"&amp;ADDRESS(130,3+18*2+(15))),'J1 D - South Bank Avenue'!$A$12:$A$130,"&gt;="&amp;Diagram!$O12,'J1 D - South Bank Avenue'!$A$12:$A$130,"&lt;"&amp;Diagram!$P12)))</f>
        <v>0</v>
      </c>
      <c r="EW12" s="42">
        <f ca="1">IF(OR($I$10="",$O12="",$P12="",$J$42&lt;&gt;"Yes"),0,IF($K$10=0,SUMIFS(INDIRECT(ADDRESS(12,3+18*3+(7),,,"J1 D - South Bank Avenue")&amp;":"&amp;ADDRESS(130,3+18*3+(7))),'J1 D - South Bank Avenue'!$A$12:$A$130,"&gt;="&amp;Diagram!$O12,'J1 D - South Bank Avenue'!$A$12:$A$130,"&lt;"&amp;Diagram!$P12),SUMIFS(INDIRECT(ADDRESS(12,3+18*3+(15),,,"J1 D - South Bank Avenue")&amp;":"&amp;ADDRESS(130,3+18*3+(15))),'J1 D - South Bank Avenue'!$A$12:$A$130,"&gt;="&amp;Diagram!$O12,'J1 D - South Bank Avenue'!$A$12:$A$130,"&lt;"&amp;Diagram!$P12)))</f>
        <v>0</v>
      </c>
    </row>
    <row r="13" spans="1:153" ht="21" customHeight="1">
      <c r="A13" s="1">
        <v>44395.125</v>
      </c>
      <c r="B13" s="1">
        <v>44395.135416666701</v>
      </c>
      <c r="I13" s="105" t="s">
        <v>153</v>
      </c>
      <c r="J13" s="106"/>
      <c r="O13" s="3">
        <v>44395.125</v>
      </c>
      <c r="P13" s="3">
        <v>44395.166666666701</v>
      </c>
      <c r="Q13" s="42">
        <f t="shared" ca="1" si="0"/>
        <v>12</v>
      </c>
      <c r="R13" s="42">
        <f t="shared" ca="1" si="1"/>
        <v>11</v>
      </c>
      <c r="S13" s="42">
        <f ca="1">IF(OR($I$10="",$O13="",$P13="",$J$35&lt;&gt;"Yes"),0,IF($K$10=0,SUMIFS(INDIRECT(ADDRESS(12,3+18*3+(0),,,"J1 A - (North) Bishopthorpe Roa")&amp;":"&amp;ADDRESS(130,3+18*3+(0))),'J1 A - (North) Bishopthorpe Roa'!$A$12:$A$130,"&gt;="&amp;Diagram!$O13,'J1 A - (North) Bishopthorpe Roa'!$A$12:$A$130,"&lt;"&amp;Diagram!$P13),SUMIFS(INDIRECT(ADDRESS(12,3+18*3+(8),,,"J1 A - (North) Bishopthorpe Roa")&amp;":"&amp;ADDRESS(130,3+18*3+(8))),'J1 A - (North) Bishopthorpe Roa'!$A$12:$A$130,"&gt;="&amp;Diagram!$O13,'J1 A - (North) Bishopthorpe Roa'!$A$12:$A$130,"&lt;"&amp;Diagram!$P13)))</f>
        <v>0</v>
      </c>
      <c r="T13" s="42">
        <f ca="1">IF(OR($I$10="",$O13="",$P13="",$J$35&lt;&gt;"Yes"),0,IF($K$10=0,SUMIFS(INDIRECT(ADDRESS(12,3+18*0+(0),,,"J1 A - (North) Bishopthorpe Roa")&amp;":"&amp;ADDRESS(130,3+18*0+(0))),'J1 A - (North) Bishopthorpe Roa'!$A$12:$A$130,"&gt;="&amp;Diagram!$O13,'J1 A - (North) Bishopthorpe Roa'!$A$12:$A$130,"&lt;"&amp;Diagram!$P13),SUMIFS(INDIRECT(ADDRESS(12,3+18*0+(8),,,"J1 A - (North) Bishopthorpe Roa")&amp;":"&amp;ADDRESS(130,3+18*0+(8))),'J1 A - (North) Bishopthorpe Roa'!$A$12:$A$130,"&gt;="&amp;Diagram!$O13,'J1 A - (North) Bishopthorpe Roa'!$A$12:$A$130,"&lt;"&amp;Diagram!$P13)))</f>
        <v>1</v>
      </c>
      <c r="U13" s="42">
        <f ca="1">IF(OR($I$10="",$O13="",$P13="",$J$35&lt;&gt;"Yes"),0,IF($K$10=0,SUMIFS(INDIRECT(ADDRESS(12,3+18*1+(0),,,"J1 A - (North) Bishopthorpe Roa")&amp;":"&amp;ADDRESS(130,3+18*1+(0))),'J1 A - (North) Bishopthorpe Roa'!$A$12:$A$130,"&gt;="&amp;Diagram!$O13,'J1 A - (North) Bishopthorpe Roa'!$A$12:$A$130,"&lt;"&amp;Diagram!$P13),SUMIFS(INDIRECT(ADDRESS(12,3+18*1+(8),,,"J1 A - (North) Bishopthorpe Roa")&amp;":"&amp;ADDRESS(130,3+18*1+(8))),'J1 A - (North) Bishopthorpe Roa'!$A$12:$A$130,"&gt;="&amp;Diagram!$O13,'J1 A - (North) Bishopthorpe Roa'!$A$12:$A$130,"&lt;"&amp;Diagram!$P13)))</f>
        <v>4</v>
      </c>
      <c r="V13" s="42">
        <f ca="1">IF(OR($I$10="",$O13="",$P13="",$J$35&lt;&gt;"Yes"),0,IF($K$10=0,SUMIFS(INDIRECT(ADDRESS(12,3+18*2+(0),,,"J1 A - (North) Bishopthorpe Roa")&amp;":"&amp;ADDRESS(130,3+18*2+(0))),'J1 A - (North) Bishopthorpe Roa'!$A$12:$A$130,"&gt;="&amp;Diagram!$O13,'J1 A - (North) Bishopthorpe Roa'!$A$12:$A$130,"&lt;"&amp;Diagram!$P13),SUMIFS(INDIRECT(ADDRESS(12,3+18*2+(8),,,"J1 A - (North) Bishopthorpe Roa")&amp;":"&amp;ADDRESS(130,3+18*2+(8))),'J1 A - (North) Bishopthorpe Roa'!$A$12:$A$130,"&gt;="&amp;Diagram!$O13,'J1 A - (North) Bishopthorpe Roa'!$A$12:$A$130,"&lt;"&amp;Diagram!$P13)))</f>
        <v>1</v>
      </c>
      <c r="W13" s="42">
        <f ca="1">IF(OR($I$10="",$O13="",$P13="",$J$35&lt;&gt;"Yes"),0,IF($K$10=0,SUMIFS(INDIRECT(ADDRESS(12,3+18*2+(0),,,"J1 B - Butcher Terrace")&amp;":"&amp;ADDRESS(130,3+18*2+(0))),'J1 B - Butcher Terrace'!$A$12:$A$130,"&gt;="&amp;Diagram!$O13,'J1 B - Butcher Terrace'!$A$12:$A$130,"&lt;"&amp;Diagram!$P13),SUMIFS(INDIRECT(ADDRESS(12,3+18*2+(8),,,"J1 B - Butcher Terrace")&amp;":"&amp;ADDRESS(130,3+18*2+(8))),'J1 B - Butcher Terrace'!$A$12:$A$130,"&gt;="&amp;Diagram!$O13,'J1 B - Butcher Terrace'!$A$12:$A$130,"&lt;"&amp;Diagram!$P13)))</f>
        <v>1</v>
      </c>
      <c r="X13" s="42">
        <f ca="1">IF(OR($I$10="",$O13="",$P13="",$J$35&lt;&gt;"Yes"),0,IF($K$10=0,SUMIFS(INDIRECT(ADDRESS(12,3+18*3+(0),,,"J1 B - Butcher Terrace")&amp;":"&amp;ADDRESS(130,3+18*3+(0))),'J1 B - Butcher Terrace'!$A$12:$A$130,"&gt;="&amp;Diagram!$O13,'J1 B - Butcher Terrace'!$A$12:$A$130,"&lt;"&amp;Diagram!$P13),SUMIFS(INDIRECT(ADDRESS(12,3+18*3+(8),,,"J1 B - Butcher Terrace")&amp;":"&amp;ADDRESS(130,3+18*3+(8))),'J1 B - Butcher Terrace'!$A$12:$A$130,"&gt;="&amp;Diagram!$O13,'J1 B - Butcher Terrace'!$A$12:$A$130,"&lt;"&amp;Diagram!$P13)))</f>
        <v>0</v>
      </c>
      <c r="Y13" s="42">
        <f ca="1">IF(OR($I$10="",$O13="",$P13="",$J$35&lt;&gt;"Yes"),0,IF($K$10=0,SUMIFS(INDIRECT(ADDRESS(12,3+18*0+(0),,,"J1 B - Butcher Terrace")&amp;":"&amp;ADDRESS(130,3+18*0+(0))),'J1 B - Butcher Terrace'!$A$12:$A$130,"&gt;="&amp;Diagram!$O13,'J1 B - Butcher Terrace'!$A$12:$A$130,"&lt;"&amp;Diagram!$P13),SUMIFS(INDIRECT(ADDRESS(12,3+18*0+(8),,,"J1 B - Butcher Terrace")&amp;":"&amp;ADDRESS(130,3+18*0+(8))),'J1 B - Butcher Terrace'!$A$12:$A$130,"&gt;="&amp;Diagram!$O13,'J1 B - Butcher Terrace'!$A$12:$A$130,"&lt;"&amp;Diagram!$P13)))</f>
        <v>0</v>
      </c>
      <c r="Z13" s="42">
        <f ca="1">IF(OR($I$10="",$O13="",$P13="",$J$35&lt;&gt;"Yes"),0,IF($K$10=0,SUMIFS(INDIRECT(ADDRESS(12,3+18*1+(0),,,"J1 B - Butcher Terrace")&amp;":"&amp;ADDRESS(130,3+18*1+(0))),'J1 B - Butcher Terrace'!$A$12:$A$130,"&gt;="&amp;Diagram!$O13,'J1 B - Butcher Terrace'!$A$12:$A$130,"&lt;"&amp;Diagram!$P13),SUMIFS(INDIRECT(ADDRESS(12,3+18*1+(8),,,"J1 B - Butcher Terrace")&amp;":"&amp;ADDRESS(130,3+18*1+(8))),'J1 B - Butcher Terrace'!$A$12:$A$130,"&gt;="&amp;Diagram!$O13,'J1 B - Butcher Terrace'!$A$12:$A$130,"&lt;"&amp;Diagram!$P13)))</f>
        <v>0</v>
      </c>
      <c r="AA13" s="42">
        <f ca="1">IF(OR($I$10="",$O13="",$P13="",$J$35&lt;&gt;"Yes"),0,IF($K$10=0,SUMIFS(INDIRECT(ADDRESS(12,3+18*1+(0),,,"J1 C - (South) Bishopthorpe Roa")&amp;":"&amp;ADDRESS(130,3+18*1+(0))),'J1 C - (South) Bishopthorpe Roa'!$A$12:$A$130,"&gt;="&amp;Diagram!$O13,'J1 C - (South) Bishopthorpe Roa'!$A$12:$A$130,"&lt;"&amp;Diagram!$P13),SUMIFS(INDIRECT(ADDRESS(12,3+18*1+(8),,,"J1 C - (South) Bishopthorpe Roa")&amp;":"&amp;ADDRESS(130,3+18*1+(8))),'J1 C - (South) Bishopthorpe Roa'!$A$12:$A$130,"&gt;="&amp;Diagram!$O13,'J1 C - (South) Bishopthorpe Roa'!$A$12:$A$130,"&lt;"&amp;Diagram!$P13)))</f>
        <v>3</v>
      </c>
      <c r="AB13" s="42">
        <f ca="1">IF(OR($I$10="",$O13="",$P13="",$J$35&lt;&gt;"Yes"),0,IF($K$10=0,SUMIFS(INDIRECT(ADDRESS(12,3+18*2+(0),,,"J1 C - (South) Bishopthorpe Roa")&amp;":"&amp;ADDRESS(130,3+18*2+(0))),'J1 C - (South) Bishopthorpe Roa'!$A$12:$A$130,"&gt;="&amp;Diagram!$O13,'J1 C - (South) Bishopthorpe Roa'!$A$12:$A$130,"&lt;"&amp;Diagram!$P13),SUMIFS(INDIRECT(ADDRESS(12,3+18*2+(8),,,"J1 C - (South) Bishopthorpe Roa")&amp;":"&amp;ADDRESS(130,3+18*2+(8))),'J1 C - (South) Bishopthorpe Roa'!$A$12:$A$130,"&gt;="&amp;Diagram!$O13,'J1 C - (South) Bishopthorpe Roa'!$A$12:$A$130,"&lt;"&amp;Diagram!$P13)))</f>
        <v>0</v>
      </c>
      <c r="AC13" s="42">
        <f ca="1">IF(OR($I$10="",$O13="",$P13="",$J$35&lt;&gt;"Yes"),0,IF($K$10=0,SUMIFS(INDIRECT(ADDRESS(12,3+18*3+(0),,,"J1 C - (South) Bishopthorpe Roa")&amp;":"&amp;ADDRESS(130,3+18*3+(0))),'J1 C - (South) Bishopthorpe Roa'!$A$12:$A$130,"&gt;="&amp;Diagram!$O13,'J1 C - (South) Bishopthorpe Roa'!$A$12:$A$130,"&lt;"&amp;Diagram!$P13),SUMIFS(INDIRECT(ADDRESS(12,3+18*3+(8),,,"J1 C - (South) Bishopthorpe Roa")&amp;":"&amp;ADDRESS(130,3+18*3+(8))),'J1 C - (South) Bishopthorpe Roa'!$A$12:$A$130,"&gt;="&amp;Diagram!$O13,'J1 C - (South) Bishopthorpe Roa'!$A$12:$A$130,"&lt;"&amp;Diagram!$P13)))</f>
        <v>0</v>
      </c>
      <c r="AD13" s="42">
        <f ca="1">IF(OR($I$10="",$O13="",$P13="",$J$35&lt;&gt;"Yes"),0,IF($K$10=0,SUMIFS(INDIRECT(ADDRESS(12,3+18*0+(0),,,"J1 C - (South) Bishopthorpe Roa")&amp;":"&amp;ADDRESS(130,3+18*0+(0))),'J1 C - (South) Bishopthorpe Roa'!$A$12:$A$130,"&gt;="&amp;Diagram!$O13,'J1 C - (South) Bishopthorpe Roa'!$A$12:$A$130,"&lt;"&amp;Diagram!$P13),SUMIFS(INDIRECT(ADDRESS(12,3+18*0+(8),,,"J1 C - (South) Bishopthorpe Roa")&amp;":"&amp;ADDRESS(130,3+18*0+(8))),'J1 C - (South) Bishopthorpe Roa'!$A$12:$A$130,"&gt;="&amp;Diagram!$O13,'J1 C - (South) Bishopthorpe Roa'!$A$12:$A$130,"&lt;"&amp;Diagram!$P13)))</f>
        <v>1</v>
      </c>
      <c r="AE13" s="42">
        <f ca="1">IF(OR($I$10="",$O13="",$P13="",$J$35&lt;&gt;"Yes"),0,IF($K$10=0,SUMIFS(INDIRECT(ADDRESS(12,3+18*0+(0),,,"J1 D - South Bank Avenue")&amp;":"&amp;ADDRESS(130,3+18*0+(0))),'J1 D - South Bank Avenue'!$A$12:$A$130,"&gt;="&amp;Diagram!$O13,'J1 D - South Bank Avenue'!$A$12:$A$130,"&lt;"&amp;Diagram!$P13),SUMIFS(INDIRECT(ADDRESS(12,3+18*0+(8),,,"J1 D - South Bank Avenue")&amp;":"&amp;ADDRESS(130,3+18*0+(8))),'J1 D - South Bank Avenue'!$A$12:$A$130,"&gt;="&amp;Diagram!$O13,'J1 D - South Bank Avenue'!$A$12:$A$130,"&lt;"&amp;Diagram!$P13)))</f>
        <v>0</v>
      </c>
      <c r="AF13" s="42">
        <f ca="1">IF(OR($I$10="",$O13="",$P13="",$J$35&lt;&gt;"Yes"),0,IF($K$10=0,SUMIFS(INDIRECT(ADDRESS(12,3+18*1+(0),,,"J1 D - South Bank Avenue")&amp;":"&amp;ADDRESS(130,3+18*1+(0))),'J1 D - South Bank Avenue'!$A$12:$A$130,"&gt;="&amp;Diagram!$O13,'J1 D - South Bank Avenue'!$A$12:$A$130,"&lt;"&amp;Diagram!$P13),SUMIFS(INDIRECT(ADDRESS(12,3+18*1+(8),,,"J1 D - South Bank Avenue")&amp;":"&amp;ADDRESS(130,3+18*1+(8))),'J1 D - South Bank Avenue'!$A$12:$A$130,"&gt;="&amp;Diagram!$O13,'J1 D - South Bank Avenue'!$A$12:$A$130,"&lt;"&amp;Diagram!$P13)))</f>
        <v>0</v>
      </c>
      <c r="AG13" s="42">
        <f ca="1">IF(OR($I$10="",$O13="",$P13="",$J$35&lt;&gt;"Yes"),0,IF($K$10=0,SUMIFS(INDIRECT(ADDRESS(12,3+18*2+(0),,,"J1 D - South Bank Avenue")&amp;":"&amp;ADDRESS(130,3+18*2+(0))),'J1 D - South Bank Avenue'!$A$12:$A$130,"&gt;="&amp;Diagram!$O13,'J1 D - South Bank Avenue'!$A$12:$A$130,"&lt;"&amp;Diagram!$P13),SUMIFS(INDIRECT(ADDRESS(12,3+18*2+(8),,,"J1 D - South Bank Avenue")&amp;":"&amp;ADDRESS(130,3+18*2+(8))),'J1 D - South Bank Avenue'!$A$12:$A$130,"&gt;="&amp;Diagram!$O13,'J1 D - South Bank Avenue'!$A$12:$A$130,"&lt;"&amp;Diagram!$P13)))</f>
        <v>0</v>
      </c>
      <c r="AH13" s="42">
        <f ca="1">IF(OR($I$10="",$O13="",$P13="",$J$35&lt;&gt;"Yes"),0,IF($K$10=0,SUMIFS(INDIRECT(ADDRESS(12,3+18*3+(0),,,"J1 D - South Bank Avenue")&amp;":"&amp;ADDRESS(130,3+18*3+(0))),'J1 D - South Bank Avenue'!$A$12:$A$130,"&gt;="&amp;Diagram!$O13,'J1 D - South Bank Avenue'!$A$12:$A$130,"&lt;"&amp;Diagram!$P13),SUMIFS(INDIRECT(ADDRESS(12,3+18*3+(8),,,"J1 D - South Bank Avenue")&amp;":"&amp;ADDRESS(130,3+18*3+(8))),'J1 D - South Bank Avenue'!$A$12:$A$130,"&gt;="&amp;Diagram!$O13,'J1 D - South Bank Avenue'!$A$12:$A$130,"&lt;"&amp;Diagram!$P13)))</f>
        <v>0</v>
      </c>
      <c r="AI13" s="42">
        <f t="shared" ca="1" si="2"/>
        <v>1</v>
      </c>
      <c r="AJ13" s="42">
        <f ca="1">IF(OR($I$10="",$O13="",$P13="",$J$36&lt;&gt;"Yes"),0,IF($K$10=0,SUMIFS(INDIRECT(ADDRESS(12,3+18*3+(1),,,"J1 A - (North) Bishopthorpe Roa")&amp;":"&amp;ADDRESS(130,3+18*3+(1))),'J1 A - (North) Bishopthorpe Roa'!$A$12:$A$130,"&gt;="&amp;Diagram!$O13,'J1 A - (North) Bishopthorpe Roa'!$A$12:$A$130,"&lt;"&amp;Diagram!$P13),SUMIFS(INDIRECT(ADDRESS(12,3+18*3+(9),,,"J1 A - (North) Bishopthorpe Roa")&amp;":"&amp;ADDRESS(130,3+18*3+(9))),'J1 A - (North) Bishopthorpe Roa'!$A$12:$A$130,"&gt;="&amp;Diagram!$O13,'J1 A - (North) Bishopthorpe Roa'!$A$12:$A$130,"&lt;"&amp;Diagram!$P13)))</f>
        <v>0</v>
      </c>
      <c r="AK13" s="42">
        <f ca="1">IF(OR($I$10="",$O13="",$P13="",$J$36&lt;&gt;"Yes"),0,IF($K$10=0,SUMIFS(INDIRECT(ADDRESS(12,3+18*0+(1),,,"J1 A - (North) Bishopthorpe Roa")&amp;":"&amp;ADDRESS(130,3+18*0+(1))),'J1 A - (North) Bishopthorpe Roa'!$A$12:$A$130,"&gt;="&amp;Diagram!$O13,'J1 A - (North) Bishopthorpe Roa'!$A$12:$A$130,"&lt;"&amp;Diagram!$P13),SUMIFS(INDIRECT(ADDRESS(12,3+18*0+(9),,,"J1 A - (North) Bishopthorpe Roa")&amp;":"&amp;ADDRESS(130,3+18*0+(9))),'J1 A - (North) Bishopthorpe Roa'!$A$12:$A$130,"&gt;="&amp;Diagram!$O13,'J1 A - (North) Bishopthorpe Roa'!$A$12:$A$130,"&lt;"&amp;Diagram!$P13)))</f>
        <v>0</v>
      </c>
      <c r="AL13" s="42">
        <f ca="1">IF(OR($I$10="",$O13="",$P13="",$J$36&lt;&gt;"Yes"),0,IF($K$10=0,SUMIFS(INDIRECT(ADDRESS(12,3+18*1+(1),,,"J1 A - (North) Bishopthorpe Roa")&amp;":"&amp;ADDRESS(130,3+18*1+(1))),'J1 A - (North) Bishopthorpe Roa'!$A$12:$A$130,"&gt;="&amp;Diagram!$O13,'J1 A - (North) Bishopthorpe Roa'!$A$12:$A$130,"&lt;"&amp;Diagram!$P13),SUMIFS(INDIRECT(ADDRESS(12,3+18*1+(9),,,"J1 A - (North) Bishopthorpe Roa")&amp;":"&amp;ADDRESS(130,3+18*1+(9))),'J1 A - (North) Bishopthorpe Roa'!$A$12:$A$130,"&gt;="&amp;Diagram!$O13,'J1 A - (North) Bishopthorpe Roa'!$A$12:$A$130,"&lt;"&amp;Diagram!$P13)))</f>
        <v>1</v>
      </c>
      <c r="AM13" s="42">
        <f ca="1">IF(OR($I$10="",$O13="",$P13="",$J$36&lt;&gt;"Yes"),0,IF($K$10=0,SUMIFS(INDIRECT(ADDRESS(12,3+18*2+(1),,,"J1 A - (North) Bishopthorpe Roa")&amp;":"&amp;ADDRESS(130,3+18*2+(1))),'J1 A - (North) Bishopthorpe Roa'!$A$12:$A$130,"&gt;="&amp;Diagram!$O13,'J1 A - (North) Bishopthorpe Roa'!$A$12:$A$130,"&lt;"&amp;Diagram!$P13),SUMIFS(INDIRECT(ADDRESS(12,3+18*2+(9),,,"J1 A - (North) Bishopthorpe Roa")&amp;":"&amp;ADDRESS(130,3+18*2+(9))),'J1 A - (North) Bishopthorpe Roa'!$A$12:$A$130,"&gt;="&amp;Diagram!$O13,'J1 A - (North) Bishopthorpe Roa'!$A$12:$A$130,"&lt;"&amp;Diagram!$P13)))</f>
        <v>0</v>
      </c>
      <c r="AN13" s="42">
        <f ca="1">IF(OR($I$10="",$O13="",$P13="",$J$36&lt;&gt;"Yes"),0,IF($K$10=0,SUMIFS(INDIRECT(ADDRESS(12,3+18*2+(1),,,"J1 B - Butcher Terrace")&amp;":"&amp;ADDRESS(130,3+18*2+(1))),'J1 B - Butcher Terrace'!$A$12:$A$130,"&gt;="&amp;Diagram!$O13,'J1 B - Butcher Terrace'!$A$12:$A$130,"&lt;"&amp;Diagram!$P13),SUMIFS(INDIRECT(ADDRESS(12,3+18*2+(9),,,"J1 B - Butcher Terrace")&amp;":"&amp;ADDRESS(130,3+18*2+(9))),'J1 B - Butcher Terrace'!$A$12:$A$130,"&gt;="&amp;Diagram!$O13,'J1 B - Butcher Terrace'!$A$12:$A$130,"&lt;"&amp;Diagram!$P13)))</f>
        <v>0</v>
      </c>
      <c r="AO13" s="42">
        <f ca="1">IF(OR($I$10="",$O13="",$P13="",$J$36&lt;&gt;"Yes"),0,IF($K$10=0,SUMIFS(INDIRECT(ADDRESS(12,3+18*3+(1),,,"J1 B - Butcher Terrace")&amp;":"&amp;ADDRESS(130,3+18*3+(1))),'J1 B - Butcher Terrace'!$A$12:$A$130,"&gt;="&amp;Diagram!$O13,'J1 B - Butcher Terrace'!$A$12:$A$130,"&lt;"&amp;Diagram!$P13),SUMIFS(INDIRECT(ADDRESS(12,3+18*3+(9),,,"J1 B - Butcher Terrace")&amp;":"&amp;ADDRESS(130,3+18*3+(9))),'J1 B - Butcher Terrace'!$A$12:$A$130,"&gt;="&amp;Diagram!$O13,'J1 B - Butcher Terrace'!$A$12:$A$130,"&lt;"&amp;Diagram!$P13)))</f>
        <v>0</v>
      </c>
      <c r="AP13" s="42">
        <f ca="1">IF(OR($I$10="",$O13="",$P13="",$J$36&lt;&gt;"Yes"),0,IF($K$10=0,SUMIFS(INDIRECT(ADDRESS(12,3+18*0+(1),,,"J1 B - Butcher Terrace")&amp;":"&amp;ADDRESS(130,3+18*0+(1))),'J1 B - Butcher Terrace'!$A$12:$A$130,"&gt;="&amp;Diagram!$O13,'J1 B - Butcher Terrace'!$A$12:$A$130,"&lt;"&amp;Diagram!$P13),SUMIFS(INDIRECT(ADDRESS(12,3+18*0+(9),,,"J1 B - Butcher Terrace")&amp;":"&amp;ADDRESS(130,3+18*0+(9))),'J1 B - Butcher Terrace'!$A$12:$A$130,"&gt;="&amp;Diagram!$O13,'J1 B - Butcher Terrace'!$A$12:$A$130,"&lt;"&amp;Diagram!$P13)))</f>
        <v>0</v>
      </c>
      <c r="AQ13" s="42">
        <f ca="1">IF(OR($I$10="",$O13="",$P13="",$J$36&lt;&gt;"Yes"),0,IF($K$10=0,SUMIFS(INDIRECT(ADDRESS(12,3+18*1+(1),,,"J1 B - Butcher Terrace")&amp;":"&amp;ADDRESS(130,3+18*1+(1))),'J1 B - Butcher Terrace'!$A$12:$A$130,"&gt;="&amp;Diagram!$O13,'J1 B - Butcher Terrace'!$A$12:$A$130,"&lt;"&amp;Diagram!$P13),SUMIFS(INDIRECT(ADDRESS(12,3+18*1+(9),,,"J1 B - Butcher Terrace")&amp;":"&amp;ADDRESS(130,3+18*1+(9))),'J1 B - Butcher Terrace'!$A$12:$A$130,"&gt;="&amp;Diagram!$O13,'J1 B - Butcher Terrace'!$A$12:$A$130,"&lt;"&amp;Diagram!$P13)))</f>
        <v>0</v>
      </c>
      <c r="AR13" s="42">
        <f ca="1">IF(OR($I$10="",$O13="",$P13="",$J$36&lt;&gt;"Yes"),0,IF($K$10=0,SUMIFS(INDIRECT(ADDRESS(12,3+18*1+(1),,,"J1 C - (South) Bishopthorpe Roa")&amp;":"&amp;ADDRESS(130,3+18*1+(1))),'J1 C - (South) Bishopthorpe Roa'!$A$12:$A$130,"&gt;="&amp;Diagram!$O13,'J1 C - (South) Bishopthorpe Roa'!$A$12:$A$130,"&lt;"&amp;Diagram!$P13),SUMIFS(INDIRECT(ADDRESS(12,3+18*1+(9),,,"J1 C - (South) Bishopthorpe Roa")&amp;":"&amp;ADDRESS(130,3+18*1+(9))),'J1 C - (South) Bishopthorpe Roa'!$A$12:$A$130,"&gt;="&amp;Diagram!$O13,'J1 C - (South) Bishopthorpe Roa'!$A$12:$A$130,"&lt;"&amp;Diagram!$P13)))</f>
        <v>0</v>
      </c>
      <c r="AS13" s="42">
        <f ca="1">IF(OR($I$10="",$O13="",$P13="",$J$36&lt;&gt;"Yes"),0,IF($K$10=0,SUMIFS(INDIRECT(ADDRESS(12,3+18*2+(1),,,"J1 C - (South) Bishopthorpe Roa")&amp;":"&amp;ADDRESS(130,3+18*2+(1))),'J1 C - (South) Bishopthorpe Roa'!$A$12:$A$130,"&gt;="&amp;Diagram!$O13,'J1 C - (South) Bishopthorpe Roa'!$A$12:$A$130,"&lt;"&amp;Diagram!$P13),SUMIFS(INDIRECT(ADDRESS(12,3+18*2+(9),,,"J1 C - (South) Bishopthorpe Roa")&amp;":"&amp;ADDRESS(130,3+18*2+(9))),'J1 C - (South) Bishopthorpe Roa'!$A$12:$A$130,"&gt;="&amp;Diagram!$O13,'J1 C - (South) Bishopthorpe Roa'!$A$12:$A$130,"&lt;"&amp;Diagram!$P13)))</f>
        <v>0</v>
      </c>
      <c r="AT13" s="42">
        <f ca="1">IF(OR($I$10="",$O13="",$P13="",$J$36&lt;&gt;"Yes"),0,IF($K$10=0,SUMIFS(INDIRECT(ADDRESS(12,3+18*3+(1),,,"J1 C - (South) Bishopthorpe Roa")&amp;":"&amp;ADDRESS(130,3+18*3+(1))),'J1 C - (South) Bishopthorpe Roa'!$A$12:$A$130,"&gt;="&amp;Diagram!$O13,'J1 C - (South) Bishopthorpe Roa'!$A$12:$A$130,"&lt;"&amp;Diagram!$P13),SUMIFS(INDIRECT(ADDRESS(12,3+18*3+(9),,,"J1 C - (South) Bishopthorpe Roa")&amp;":"&amp;ADDRESS(130,3+18*3+(9))),'J1 C - (South) Bishopthorpe Roa'!$A$12:$A$130,"&gt;="&amp;Diagram!$O13,'J1 C - (South) Bishopthorpe Roa'!$A$12:$A$130,"&lt;"&amp;Diagram!$P13)))</f>
        <v>0</v>
      </c>
      <c r="AU13" s="42">
        <f ca="1">IF(OR($I$10="",$O13="",$P13="",$J$36&lt;&gt;"Yes"),0,IF($K$10=0,SUMIFS(INDIRECT(ADDRESS(12,3+18*0+(1),,,"J1 C - (South) Bishopthorpe Roa")&amp;":"&amp;ADDRESS(130,3+18*0+(1))),'J1 C - (South) Bishopthorpe Roa'!$A$12:$A$130,"&gt;="&amp;Diagram!$O13,'J1 C - (South) Bishopthorpe Roa'!$A$12:$A$130,"&lt;"&amp;Diagram!$P13),SUMIFS(INDIRECT(ADDRESS(12,3+18*0+(9),,,"J1 C - (South) Bishopthorpe Roa")&amp;":"&amp;ADDRESS(130,3+18*0+(9))),'J1 C - (South) Bishopthorpe Roa'!$A$12:$A$130,"&gt;="&amp;Diagram!$O13,'J1 C - (South) Bishopthorpe Roa'!$A$12:$A$130,"&lt;"&amp;Diagram!$P13)))</f>
        <v>0</v>
      </c>
      <c r="AV13" s="42">
        <f ca="1">IF(OR($I$10="",$O13="",$P13="",$J$36&lt;&gt;"Yes"),0,IF($K$10=0,SUMIFS(INDIRECT(ADDRESS(12,3+18*0+(1),,,"J1 D - South Bank Avenue")&amp;":"&amp;ADDRESS(130,3+18*0+(1))),'J1 D - South Bank Avenue'!$A$12:$A$130,"&gt;="&amp;Diagram!$O13,'J1 D - South Bank Avenue'!$A$12:$A$130,"&lt;"&amp;Diagram!$P13),SUMIFS(INDIRECT(ADDRESS(12,3+18*0+(9),,,"J1 D - South Bank Avenue")&amp;":"&amp;ADDRESS(130,3+18*0+(9))),'J1 D - South Bank Avenue'!$A$12:$A$130,"&gt;="&amp;Diagram!$O13,'J1 D - South Bank Avenue'!$A$12:$A$130,"&lt;"&amp;Diagram!$P13)))</f>
        <v>0</v>
      </c>
      <c r="AW13" s="42">
        <f ca="1">IF(OR($I$10="",$O13="",$P13="",$J$36&lt;&gt;"Yes"),0,IF($K$10=0,SUMIFS(INDIRECT(ADDRESS(12,3+18*1+(1),,,"J1 D - South Bank Avenue")&amp;":"&amp;ADDRESS(130,3+18*1+(1))),'J1 D - South Bank Avenue'!$A$12:$A$130,"&gt;="&amp;Diagram!$O13,'J1 D - South Bank Avenue'!$A$12:$A$130,"&lt;"&amp;Diagram!$P13),SUMIFS(INDIRECT(ADDRESS(12,3+18*1+(9),,,"J1 D - South Bank Avenue")&amp;":"&amp;ADDRESS(130,3+18*1+(9))),'J1 D - South Bank Avenue'!$A$12:$A$130,"&gt;="&amp;Diagram!$O13,'J1 D - South Bank Avenue'!$A$12:$A$130,"&lt;"&amp;Diagram!$P13)))</f>
        <v>0</v>
      </c>
      <c r="AX13" s="42">
        <f ca="1">IF(OR($I$10="",$O13="",$P13="",$J$36&lt;&gt;"Yes"),0,IF($K$10=0,SUMIFS(INDIRECT(ADDRESS(12,3+18*2+(1),,,"J1 D - South Bank Avenue")&amp;":"&amp;ADDRESS(130,3+18*2+(1))),'J1 D - South Bank Avenue'!$A$12:$A$130,"&gt;="&amp;Diagram!$O13,'J1 D - South Bank Avenue'!$A$12:$A$130,"&lt;"&amp;Diagram!$P13),SUMIFS(INDIRECT(ADDRESS(12,3+18*2+(9),,,"J1 D - South Bank Avenue")&amp;":"&amp;ADDRESS(130,3+18*2+(9))),'J1 D - South Bank Avenue'!$A$12:$A$130,"&gt;="&amp;Diagram!$O13,'J1 D - South Bank Avenue'!$A$12:$A$130,"&lt;"&amp;Diagram!$P13)))</f>
        <v>0</v>
      </c>
      <c r="AY13" s="42">
        <f ca="1">IF(OR($I$10="",$O13="",$P13="",$J$36&lt;&gt;"Yes"),0,IF($K$10=0,SUMIFS(INDIRECT(ADDRESS(12,3+18*3+(1),,,"J1 D - South Bank Avenue")&amp;":"&amp;ADDRESS(130,3+18*3+(1))),'J1 D - South Bank Avenue'!$A$12:$A$130,"&gt;="&amp;Diagram!$O13,'J1 D - South Bank Avenue'!$A$12:$A$130,"&lt;"&amp;Diagram!$P13),SUMIFS(INDIRECT(ADDRESS(12,3+18*3+(9),,,"J1 D - South Bank Avenue")&amp;":"&amp;ADDRESS(130,3+18*3+(9))),'J1 D - South Bank Avenue'!$A$12:$A$130,"&gt;="&amp;Diagram!$O13,'J1 D - South Bank Avenue'!$A$12:$A$130,"&lt;"&amp;Diagram!$P13)))</f>
        <v>0</v>
      </c>
      <c r="AZ13" s="42">
        <f t="shared" ca="1" si="3"/>
        <v>0</v>
      </c>
      <c r="BA13" s="42">
        <f ca="1">IF(OR($I$10="",$O13="",$P13="",$J$37&lt;&gt;"Yes"),0,IF($K$10=0,SUMIFS(INDIRECT(ADDRESS(12,3+18*3+(2),,,"J1 A - (North) Bishopthorpe Roa")&amp;":"&amp;ADDRESS(130,3+18*3+(2))),'J1 A - (North) Bishopthorpe Roa'!$A$12:$A$130,"&gt;="&amp;Diagram!$O13,'J1 A - (North) Bishopthorpe Roa'!$A$12:$A$130,"&lt;"&amp;Diagram!$P13),SUMIFS(INDIRECT(ADDRESS(12,3+18*3+(10),,,"J1 A - (North) Bishopthorpe Roa")&amp;":"&amp;ADDRESS(130,3+18*3+(10))),'J1 A - (North) Bishopthorpe Roa'!$A$12:$A$130,"&gt;="&amp;Diagram!$O13,'J1 A - (North) Bishopthorpe Roa'!$A$12:$A$130,"&lt;"&amp;Diagram!$P13)))</f>
        <v>0</v>
      </c>
      <c r="BB13" s="42">
        <f ca="1">IF(OR($I$10="",$O13="",$P13="",$J$37&lt;&gt;"Yes"),0,IF($K$10=0,SUMIFS(INDIRECT(ADDRESS(12,3+18*0+(2),,,"J1 A - (North) Bishopthorpe Roa")&amp;":"&amp;ADDRESS(130,3+18*0+(2))),'J1 A - (North) Bishopthorpe Roa'!$A$12:$A$130,"&gt;="&amp;Diagram!$O13,'J1 A - (North) Bishopthorpe Roa'!$A$12:$A$130,"&lt;"&amp;Diagram!$P13),SUMIFS(INDIRECT(ADDRESS(12,3+18*0+(10),,,"J1 A - (North) Bishopthorpe Roa")&amp;":"&amp;ADDRESS(130,3+18*0+(10))),'J1 A - (North) Bishopthorpe Roa'!$A$12:$A$130,"&gt;="&amp;Diagram!$O13,'J1 A - (North) Bishopthorpe Roa'!$A$12:$A$130,"&lt;"&amp;Diagram!$P13)))</f>
        <v>0</v>
      </c>
      <c r="BC13" s="42">
        <f ca="1">IF(OR($I$10="",$O13="",$P13="",$J$37&lt;&gt;"Yes"),0,IF($K$10=0,SUMIFS(INDIRECT(ADDRESS(12,3+18*1+(2),,,"J1 A - (North) Bishopthorpe Roa")&amp;":"&amp;ADDRESS(130,3+18*1+(2))),'J1 A - (North) Bishopthorpe Roa'!$A$12:$A$130,"&gt;="&amp;Diagram!$O13,'J1 A - (North) Bishopthorpe Roa'!$A$12:$A$130,"&lt;"&amp;Diagram!$P13),SUMIFS(INDIRECT(ADDRESS(12,3+18*1+(10),,,"J1 A - (North) Bishopthorpe Roa")&amp;":"&amp;ADDRESS(130,3+18*1+(10))),'J1 A - (North) Bishopthorpe Roa'!$A$12:$A$130,"&gt;="&amp;Diagram!$O13,'J1 A - (North) Bishopthorpe Roa'!$A$12:$A$130,"&lt;"&amp;Diagram!$P13)))</f>
        <v>0</v>
      </c>
      <c r="BD13" s="42">
        <f ca="1">IF(OR($I$10="",$O13="",$P13="",$J$37&lt;&gt;"Yes"),0,IF($K$10=0,SUMIFS(INDIRECT(ADDRESS(12,3+18*2+(2),,,"J1 A - (North) Bishopthorpe Roa")&amp;":"&amp;ADDRESS(130,3+18*2+(2))),'J1 A - (North) Bishopthorpe Roa'!$A$12:$A$130,"&gt;="&amp;Diagram!$O13,'J1 A - (North) Bishopthorpe Roa'!$A$12:$A$130,"&lt;"&amp;Diagram!$P13),SUMIFS(INDIRECT(ADDRESS(12,3+18*2+(10),,,"J1 A - (North) Bishopthorpe Roa")&amp;":"&amp;ADDRESS(130,3+18*2+(10))),'J1 A - (North) Bishopthorpe Roa'!$A$12:$A$130,"&gt;="&amp;Diagram!$O13,'J1 A - (North) Bishopthorpe Roa'!$A$12:$A$130,"&lt;"&amp;Diagram!$P13)))</f>
        <v>0</v>
      </c>
      <c r="BE13" s="42">
        <f ca="1">IF(OR($I$10="",$O13="",$P13="",$J$37&lt;&gt;"Yes"),0,IF($K$10=0,SUMIFS(INDIRECT(ADDRESS(12,3+18*2+(2),,,"J1 B - Butcher Terrace")&amp;":"&amp;ADDRESS(130,3+18*2+(2))),'J1 B - Butcher Terrace'!$A$12:$A$130,"&gt;="&amp;Diagram!$O13,'J1 B - Butcher Terrace'!$A$12:$A$130,"&lt;"&amp;Diagram!$P13),SUMIFS(INDIRECT(ADDRESS(12,3+18*2+(10),,,"J1 B - Butcher Terrace")&amp;":"&amp;ADDRESS(130,3+18*2+(10))),'J1 B - Butcher Terrace'!$A$12:$A$130,"&gt;="&amp;Diagram!$O13,'J1 B - Butcher Terrace'!$A$12:$A$130,"&lt;"&amp;Diagram!$P13)))</f>
        <v>0</v>
      </c>
      <c r="BF13" s="42">
        <f ca="1">IF(OR($I$10="",$O13="",$P13="",$J$37&lt;&gt;"Yes"),0,IF($K$10=0,SUMIFS(INDIRECT(ADDRESS(12,3+18*3+(2),,,"J1 B - Butcher Terrace")&amp;":"&amp;ADDRESS(130,3+18*3+(2))),'J1 B - Butcher Terrace'!$A$12:$A$130,"&gt;="&amp;Diagram!$O13,'J1 B - Butcher Terrace'!$A$12:$A$130,"&lt;"&amp;Diagram!$P13),SUMIFS(INDIRECT(ADDRESS(12,3+18*3+(10),,,"J1 B - Butcher Terrace")&amp;":"&amp;ADDRESS(130,3+18*3+(10))),'J1 B - Butcher Terrace'!$A$12:$A$130,"&gt;="&amp;Diagram!$O13,'J1 B - Butcher Terrace'!$A$12:$A$130,"&lt;"&amp;Diagram!$P13)))</f>
        <v>0</v>
      </c>
      <c r="BG13" s="42">
        <f ca="1">IF(OR($I$10="",$O13="",$P13="",$J$37&lt;&gt;"Yes"),0,IF($K$10=0,SUMIFS(INDIRECT(ADDRESS(12,3+18*0+(2),,,"J1 B - Butcher Terrace")&amp;":"&amp;ADDRESS(130,3+18*0+(2))),'J1 B - Butcher Terrace'!$A$12:$A$130,"&gt;="&amp;Diagram!$O13,'J1 B - Butcher Terrace'!$A$12:$A$130,"&lt;"&amp;Diagram!$P13),SUMIFS(INDIRECT(ADDRESS(12,3+18*0+(10),,,"J1 B - Butcher Terrace")&amp;":"&amp;ADDRESS(130,3+18*0+(10))),'J1 B - Butcher Terrace'!$A$12:$A$130,"&gt;="&amp;Diagram!$O13,'J1 B - Butcher Terrace'!$A$12:$A$130,"&lt;"&amp;Diagram!$P13)))</f>
        <v>0</v>
      </c>
      <c r="BH13" s="42">
        <f ca="1">IF(OR($I$10="",$O13="",$P13="",$J$37&lt;&gt;"Yes"),0,IF($K$10=0,SUMIFS(INDIRECT(ADDRESS(12,3+18*1+(2),,,"J1 B - Butcher Terrace")&amp;":"&amp;ADDRESS(130,3+18*1+(2))),'J1 B - Butcher Terrace'!$A$12:$A$130,"&gt;="&amp;Diagram!$O13,'J1 B - Butcher Terrace'!$A$12:$A$130,"&lt;"&amp;Diagram!$P13),SUMIFS(INDIRECT(ADDRESS(12,3+18*1+(10),,,"J1 B - Butcher Terrace")&amp;":"&amp;ADDRESS(130,3+18*1+(10))),'J1 B - Butcher Terrace'!$A$12:$A$130,"&gt;="&amp;Diagram!$O13,'J1 B - Butcher Terrace'!$A$12:$A$130,"&lt;"&amp;Diagram!$P13)))</f>
        <v>0</v>
      </c>
      <c r="BI13" s="42">
        <f ca="1">IF(OR($I$10="",$O13="",$P13="",$J$37&lt;&gt;"Yes"),0,IF($K$10=0,SUMIFS(INDIRECT(ADDRESS(12,3+18*1+(2),,,"J1 C - (South) Bishopthorpe Roa")&amp;":"&amp;ADDRESS(130,3+18*1+(2))),'J1 C - (South) Bishopthorpe Roa'!$A$12:$A$130,"&gt;="&amp;Diagram!$O13,'J1 C - (South) Bishopthorpe Roa'!$A$12:$A$130,"&lt;"&amp;Diagram!$P13),SUMIFS(INDIRECT(ADDRESS(12,3+18*1+(10),,,"J1 C - (South) Bishopthorpe Roa")&amp;":"&amp;ADDRESS(130,3+18*1+(10))),'J1 C - (South) Bishopthorpe Roa'!$A$12:$A$130,"&gt;="&amp;Diagram!$O13,'J1 C - (South) Bishopthorpe Roa'!$A$12:$A$130,"&lt;"&amp;Diagram!$P13)))</f>
        <v>0</v>
      </c>
      <c r="BJ13" s="42">
        <f ca="1">IF(OR($I$10="",$O13="",$P13="",$J$37&lt;&gt;"Yes"),0,IF($K$10=0,SUMIFS(INDIRECT(ADDRESS(12,3+18*2+(2),,,"J1 C - (South) Bishopthorpe Roa")&amp;":"&amp;ADDRESS(130,3+18*2+(2))),'J1 C - (South) Bishopthorpe Roa'!$A$12:$A$130,"&gt;="&amp;Diagram!$O13,'J1 C - (South) Bishopthorpe Roa'!$A$12:$A$130,"&lt;"&amp;Diagram!$P13),SUMIFS(INDIRECT(ADDRESS(12,3+18*2+(10),,,"J1 C - (South) Bishopthorpe Roa")&amp;":"&amp;ADDRESS(130,3+18*2+(10))),'J1 C - (South) Bishopthorpe Roa'!$A$12:$A$130,"&gt;="&amp;Diagram!$O13,'J1 C - (South) Bishopthorpe Roa'!$A$12:$A$130,"&lt;"&amp;Diagram!$P13)))</f>
        <v>0</v>
      </c>
      <c r="BK13" s="42">
        <f ca="1">IF(OR($I$10="",$O13="",$P13="",$J$37&lt;&gt;"Yes"),0,IF($K$10=0,SUMIFS(INDIRECT(ADDRESS(12,3+18*3+(2),,,"J1 C - (South) Bishopthorpe Roa")&amp;":"&amp;ADDRESS(130,3+18*3+(2))),'J1 C - (South) Bishopthorpe Roa'!$A$12:$A$130,"&gt;="&amp;Diagram!$O13,'J1 C - (South) Bishopthorpe Roa'!$A$12:$A$130,"&lt;"&amp;Diagram!$P13),SUMIFS(INDIRECT(ADDRESS(12,3+18*3+(10),,,"J1 C - (South) Bishopthorpe Roa")&amp;":"&amp;ADDRESS(130,3+18*3+(10))),'J1 C - (South) Bishopthorpe Roa'!$A$12:$A$130,"&gt;="&amp;Diagram!$O13,'J1 C - (South) Bishopthorpe Roa'!$A$12:$A$130,"&lt;"&amp;Diagram!$P13)))</f>
        <v>0</v>
      </c>
      <c r="BL13" s="42">
        <f ca="1">IF(OR($I$10="",$O13="",$P13="",$J$37&lt;&gt;"Yes"),0,IF($K$10=0,SUMIFS(INDIRECT(ADDRESS(12,3+18*0+(2),,,"J1 C - (South) Bishopthorpe Roa")&amp;":"&amp;ADDRESS(130,3+18*0+(2))),'J1 C - (South) Bishopthorpe Roa'!$A$12:$A$130,"&gt;="&amp;Diagram!$O13,'J1 C - (South) Bishopthorpe Roa'!$A$12:$A$130,"&lt;"&amp;Diagram!$P13),SUMIFS(INDIRECT(ADDRESS(12,3+18*0+(10),,,"J1 C - (South) Bishopthorpe Roa")&amp;":"&amp;ADDRESS(130,3+18*0+(10))),'J1 C - (South) Bishopthorpe Roa'!$A$12:$A$130,"&gt;="&amp;Diagram!$O13,'J1 C - (South) Bishopthorpe Roa'!$A$12:$A$130,"&lt;"&amp;Diagram!$P13)))</f>
        <v>0</v>
      </c>
      <c r="BM13" s="42">
        <f ca="1">IF(OR($I$10="",$O13="",$P13="",$J$37&lt;&gt;"Yes"),0,IF($K$10=0,SUMIFS(INDIRECT(ADDRESS(12,3+18*0+(2),,,"J1 D - South Bank Avenue")&amp;":"&amp;ADDRESS(130,3+18*0+(2))),'J1 D - South Bank Avenue'!$A$12:$A$130,"&gt;="&amp;Diagram!$O13,'J1 D - South Bank Avenue'!$A$12:$A$130,"&lt;"&amp;Diagram!$P13),SUMIFS(INDIRECT(ADDRESS(12,3+18*0+(10),,,"J1 D - South Bank Avenue")&amp;":"&amp;ADDRESS(130,3+18*0+(10))),'J1 D - South Bank Avenue'!$A$12:$A$130,"&gt;="&amp;Diagram!$O13,'J1 D - South Bank Avenue'!$A$12:$A$130,"&lt;"&amp;Diagram!$P13)))</f>
        <v>0</v>
      </c>
      <c r="BN13" s="42">
        <f ca="1">IF(OR($I$10="",$O13="",$P13="",$J$37&lt;&gt;"Yes"),0,IF($K$10=0,SUMIFS(INDIRECT(ADDRESS(12,3+18*1+(2),,,"J1 D - South Bank Avenue")&amp;":"&amp;ADDRESS(130,3+18*1+(2))),'J1 D - South Bank Avenue'!$A$12:$A$130,"&gt;="&amp;Diagram!$O13,'J1 D - South Bank Avenue'!$A$12:$A$130,"&lt;"&amp;Diagram!$P13),SUMIFS(INDIRECT(ADDRESS(12,3+18*1+(10),,,"J1 D - South Bank Avenue")&amp;":"&amp;ADDRESS(130,3+18*1+(10))),'J1 D - South Bank Avenue'!$A$12:$A$130,"&gt;="&amp;Diagram!$O13,'J1 D - South Bank Avenue'!$A$12:$A$130,"&lt;"&amp;Diagram!$P13)))</f>
        <v>0</v>
      </c>
      <c r="BO13" s="42">
        <f ca="1">IF(OR($I$10="",$O13="",$P13="",$J$37&lt;&gt;"Yes"),0,IF($K$10=0,SUMIFS(INDIRECT(ADDRESS(12,3+18*2+(2),,,"J1 D - South Bank Avenue")&amp;":"&amp;ADDRESS(130,3+18*2+(2))),'J1 D - South Bank Avenue'!$A$12:$A$130,"&gt;="&amp;Diagram!$O13,'J1 D - South Bank Avenue'!$A$12:$A$130,"&lt;"&amp;Diagram!$P13),SUMIFS(INDIRECT(ADDRESS(12,3+18*2+(10),,,"J1 D - South Bank Avenue")&amp;":"&amp;ADDRESS(130,3+18*2+(10))),'J1 D - South Bank Avenue'!$A$12:$A$130,"&gt;="&amp;Diagram!$O13,'J1 D - South Bank Avenue'!$A$12:$A$130,"&lt;"&amp;Diagram!$P13)))</f>
        <v>0</v>
      </c>
      <c r="BP13" s="42">
        <f ca="1">IF(OR($I$10="",$O13="",$P13="",$J$37&lt;&gt;"Yes"),0,IF($K$10=0,SUMIFS(INDIRECT(ADDRESS(12,3+18*3+(2),,,"J1 D - South Bank Avenue")&amp;":"&amp;ADDRESS(130,3+18*3+(2))),'J1 D - South Bank Avenue'!$A$12:$A$130,"&gt;="&amp;Diagram!$O13,'J1 D - South Bank Avenue'!$A$12:$A$130,"&lt;"&amp;Diagram!$P13),SUMIFS(INDIRECT(ADDRESS(12,3+18*3+(10),,,"J1 D - South Bank Avenue")&amp;":"&amp;ADDRESS(130,3+18*3+(10))),'J1 D - South Bank Avenue'!$A$12:$A$130,"&gt;="&amp;Diagram!$O13,'J1 D - South Bank Avenue'!$A$12:$A$130,"&lt;"&amp;Diagram!$P13)))</f>
        <v>0</v>
      </c>
      <c r="BQ13" s="42">
        <f t="shared" ca="1" si="4"/>
        <v>0</v>
      </c>
      <c r="BR13" s="42">
        <f ca="1">IF(OR($I$10="",$O13="",$P13="",$J$38&lt;&gt;"Yes"),0,IF($K$10=0,SUMIFS(INDIRECT(ADDRESS(12,3+18*3+(3),,,"J1 A - (North) Bishopthorpe Roa")&amp;":"&amp;ADDRESS(130,3+18*3+(3))),'J1 A - (North) Bishopthorpe Roa'!$A$12:$A$130,"&gt;="&amp;Diagram!$O13,'J1 A - (North) Bishopthorpe Roa'!$A$12:$A$130,"&lt;"&amp;Diagram!$P13),SUMIFS(INDIRECT(ADDRESS(12,3+18*3+(11),,,"J1 A - (North) Bishopthorpe Roa")&amp;":"&amp;ADDRESS(130,3+18*3+(11))),'J1 A - (North) Bishopthorpe Roa'!$A$12:$A$130,"&gt;="&amp;Diagram!$O13,'J1 A - (North) Bishopthorpe Roa'!$A$12:$A$130,"&lt;"&amp;Diagram!$P13)))</f>
        <v>0</v>
      </c>
      <c r="BS13" s="42">
        <f ca="1">IF(OR($I$10="",$O13="",$P13="",$J$38&lt;&gt;"Yes"),0,IF($K$10=0,SUMIFS(INDIRECT(ADDRESS(12,3+18*0+(3),,,"J1 A - (North) Bishopthorpe Roa")&amp;":"&amp;ADDRESS(130,3+18*0+(3))),'J1 A - (North) Bishopthorpe Roa'!$A$12:$A$130,"&gt;="&amp;Diagram!$O13,'J1 A - (North) Bishopthorpe Roa'!$A$12:$A$130,"&lt;"&amp;Diagram!$P13),SUMIFS(INDIRECT(ADDRESS(12,3+18*0+(11),,,"J1 A - (North) Bishopthorpe Roa")&amp;":"&amp;ADDRESS(130,3+18*0+(11))),'J1 A - (North) Bishopthorpe Roa'!$A$12:$A$130,"&gt;="&amp;Diagram!$O13,'J1 A - (North) Bishopthorpe Roa'!$A$12:$A$130,"&lt;"&amp;Diagram!$P13)))</f>
        <v>0</v>
      </c>
      <c r="BT13" s="42">
        <f ca="1">IF(OR($I$10="",$O13="",$P13="",$J$38&lt;&gt;"Yes"),0,IF($K$10=0,SUMIFS(INDIRECT(ADDRESS(12,3+18*1+(3),,,"J1 A - (North) Bishopthorpe Roa")&amp;":"&amp;ADDRESS(130,3+18*1+(3))),'J1 A - (North) Bishopthorpe Roa'!$A$12:$A$130,"&gt;="&amp;Diagram!$O13,'J1 A - (North) Bishopthorpe Roa'!$A$12:$A$130,"&lt;"&amp;Diagram!$P13),SUMIFS(INDIRECT(ADDRESS(12,3+18*1+(11),,,"J1 A - (North) Bishopthorpe Roa")&amp;":"&amp;ADDRESS(130,3+18*1+(11))),'J1 A - (North) Bishopthorpe Roa'!$A$12:$A$130,"&gt;="&amp;Diagram!$O13,'J1 A - (North) Bishopthorpe Roa'!$A$12:$A$130,"&lt;"&amp;Diagram!$P13)))</f>
        <v>0</v>
      </c>
      <c r="BU13" s="42">
        <f ca="1">IF(OR($I$10="",$O13="",$P13="",$J$38&lt;&gt;"Yes"),0,IF($K$10=0,SUMIFS(INDIRECT(ADDRESS(12,3+18*2+(3),,,"J1 A - (North) Bishopthorpe Roa")&amp;":"&amp;ADDRESS(130,3+18*2+(3))),'J1 A - (North) Bishopthorpe Roa'!$A$12:$A$130,"&gt;="&amp;Diagram!$O13,'J1 A - (North) Bishopthorpe Roa'!$A$12:$A$130,"&lt;"&amp;Diagram!$P13),SUMIFS(INDIRECT(ADDRESS(12,3+18*2+(11),,,"J1 A - (North) Bishopthorpe Roa")&amp;":"&amp;ADDRESS(130,3+18*2+(11))),'J1 A - (North) Bishopthorpe Roa'!$A$12:$A$130,"&gt;="&amp;Diagram!$O13,'J1 A - (North) Bishopthorpe Roa'!$A$12:$A$130,"&lt;"&amp;Diagram!$P13)))</f>
        <v>0</v>
      </c>
      <c r="BV13" s="42">
        <f ca="1">IF(OR($I$10="",$O13="",$P13="",$J$38&lt;&gt;"Yes"),0,IF($K$10=0,SUMIFS(INDIRECT(ADDRESS(12,3+18*2+(3),,,"J1 B - Butcher Terrace")&amp;":"&amp;ADDRESS(130,3+18*2+(3))),'J1 B - Butcher Terrace'!$A$12:$A$130,"&gt;="&amp;Diagram!$O13,'J1 B - Butcher Terrace'!$A$12:$A$130,"&lt;"&amp;Diagram!$P13),SUMIFS(INDIRECT(ADDRESS(12,3+18*2+(11),,,"J1 B - Butcher Terrace")&amp;":"&amp;ADDRESS(130,3+18*2+(11))),'J1 B - Butcher Terrace'!$A$12:$A$130,"&gt;="&amp;Diagram!$O13,'J1 B - Butcher Terrace'!$A$12:$A$130,"&lt;"&amp;Diagram!$P13)))</f>
        <v>0</v>
      </c>
      <c r="BW13" s="42">
        <f ca="1">IF(OR($I$10="",$O13="",$P13="",$J$38&lt;&gt;"Yes"),0,IF($K$10=0,SUMIFS(INDIRECT(ADDRESS(12,3+18*3+(3),,,"J1 B - Butcher Terrace")&amp;":"&amp;ADDRESS(130,3+18*3+(3))),'J1 B - Butcher Terrace'!$A$12:$A$130,"&gt;="&amp;Diagram!$O13,'J1 B - Butcher Terrace'!$A$12:$A$130,"&lt;"&amp;Diagram!$P13),SUMIFS(INDIRECT(ADDRESS(12,3+18*3+(11),,,"J1 B - Butcher Terrace")&amp;":"&amp;ADDRESS(130,3+18*3+(11))),'J1 B - Butcher Terrace'!$A$12:$A$130,"&gt;="&amp;Diagram!$O13,'J1 B - Butcher Terrace'!$A$12:$A$130,"&lt;"&amp;Diagram!$P13)))</f>
        <v>0</v>
      </c>
      <c r="BX13" s="42">
        <f ca="1">IF(OR($I$10="",$O13="",$P13="",$J$38&lt;&gt;"Yes"),0,IF($K$10=0,SUMIFS(INDIRECT(ADDRESS(12,3+18*0+(3),,,"J1 B - Butcher Terrace")&amp;":"&amp;ADDRESS(130,3+18*0+(3))),'J1 B - Butcher Terrace'!$A$12:$A$130,"&gt;="&amp;Diagram!$O13,'J1 B - Butcher Terrace'!$A$12:$A$130,"&lt;"&amp;Diagram!$P13),SUMIFS(INDIRECT(ADDRESS(12,3+18*0+(11),,,"J1 B - Butcher Terrace")&amp;":"&amp;ADDRESS(130,3+18*0+(11))),'J1 B - Butcher Terrace'!$A$12:$A$130,"&gt;="&amp;Diagram!$O13,'J1 B - Butcher Terrace'!$A$12:$A$130,"&lt;"&amp;Diagram!$P13)))</f>
        <v>0</v>
      </c>
      <c r="BY13" s="42">
        <f ca="1">IF(OR($I$10="",$O13="",$P13="",$J$38&lt;&gt;"Yes"),0,IF($K$10=0,SUMIFS(INDIRECT(ADDRESS(12,3+18*1+(3),,,"J1 B - Butcher Terrace")&amp;":"&amp;ADDRESS(130,3+18*1+(3))),'J1 B - Butcher Terrace'!$A$12:$A$130,"&gt;="&amp;Diagram!$O13,'J1 B - Butcher Terrace'!$A$12:$A$130,"&lt;"&amp;Diagram!$P13),SUMIFS(INDIRECT(ADDRESS(12,3+18*1+(11),,,"J1 B - Butcher Terrace")&amp;":"&amp;ADDRESS(130,3+18*1+(11))),'J1 B - Butcher Terrace'!$A$12:$A$130,"&gt;="&amp;Diagram!$O13,'J1 B - Butcher Terrace'!$A$12:$A$130,"&lt;"&amp;Diagram!$P13)))</f>
        <v>0</v>
      </c>
      <c r="BZ13" s="42">
        <f ca="1">IF(OR($I$10="",$O13="",$P13="",$J$38&lt;&gt;"Yes"),0,IF($K$10=0,SUMIFS(INDIRECT(ADDRESS(12,3+18*1+(3),,,"J1 C - (South) Bishopthorpe Roa")&amp;":"&amp;ADDRESS(130,3+18*1+(3))),'J1 C - (South) Bishopthorpe Roa'!$A$12:$A$130,"&gt;="&amp;Diagram!$O13,'J1 C - (South) Bishopthorpe Roa'!$A$12:$A$130,"&lt;"&amp;Diagram!$P13),SUMIFS(INDIRECT(ADDRESS(12,3+18*1+(11),,,"J1 C - (South) Bishopthorpe Roa")&amp;":"&amp;ADDRESS(130,3+18*1+(11))),'J1 C - (South) Bishopthorpe Roa'!$A$12:$A$130,"&gt;="&amp;Diagram!$O13,'J1 C - (South) Bishopthorpe Roa'!$A$12:$A$130,"&lt;"&amp;Diagram!$P13)))</f>
        <v>0</v>
      </c>
      <c r="CA13" s="42">
        <f ca="1">IF(OR($I$10="",$O13="",$P13="",$J$38&lt;&gt;"Yes"),0,IF($K$10=0,SUMIFS(INDIRECT(ADDRESS(12,3+18*2+(3),,,"J1 C - (South) Bishopthorpe Roa")&amp;":"&amp;ADDRESS(130,3+18*2+(3))),'J1 C - (South) Bishopthorpe Roa'!$A$12:$A$130,"&gt;="&amp;Diagram!$O13,'J1 C - (South) Bishopthorpe Roa'!$A$12:$A$130,"&lt;"&amp;Diagram!$P13),SUMIFS(INDIRECT(ADDRESS(12,3+18*2+(11),,,"J1 C - (South) Bishopthorpe Roa")&amp;":"&amp;ADDRESS(130,3+18*2+(11))),'J1 C - (South) Bishopthorpe Roa'!$A$12:$A$130,"&gt;="&amp;Diagram!$O13,'J1 C - (South) Bishopthorpe Roa'!$A$12:$A$130,"&lt;"&amp;Diagram!$P13)))</f>
        <v>0</v>
      </c>
      <c r="CB13" s="42">
        <f ca="1">IF(OR($I$10="",$O13="",$P13="",$J$38&lt;&gt;"Yes"),0,IF($K$10=0,SUMIFS(INDIRECT(ADDRESS(12,3+18*3+(3),,,"J1 C - (South) Bishopthorpe Roa")&amp;":"&amp;ADDRESS(130,3+18*3+(3))),'J1 C - (South) Bishopthorpe Roa'!$A$12:$A$130,"&gt;="&amp;Diagram!$O13,'J1 C - (South) Bishopthorpe Roa'!$A$12:$A$130,"&lt;"&amp;Diagram!$P13),SUMIFS(INDIRECT(ADDRESS(12,3+18*3+(11),,,"J1 C - (South) Bishopthorpe Roa")&amp;":"&amp;ADDRESS(130,3+18*3+(11))),'J1 C - (South) Bishopthorpe Roa'!$A$12:$A$130,"&gt;="&amp;Diagram!$O13,'J1 C - (South) Bishopthorpe Roa'!$A$12:$A$130,"&lt;"&amp;Diagram!$P13)))</f>
        <v>0</v>
      </c>
      <c r="CC13" s="42">
        <f ca="1">IF(OR($I$10="",$O13="",$P13="",$J$38&lt;&gt;"Yes"),0,IF($K$10=0,SUMIFS(INDIRECT(ADDRESS(12,3+18*0+(3),,,"J1 C - (South) Bishopthorpe Roa")&amp;":"&amp;ADDRESS(130,3+18*0+(3))),'J1 C - (South) Bishopthorpe Roa'!$A$12:$A$130,"&gt;="&amp;Diagram!$O13,'J1 C - (South) Bishopthorpe Roa'!$A$12:$A$130,"&lt;"&amp;Diagram!$P13),SUMIFS(INDIRECT(ADDRESS(12,3+18*0+(11),,,"J1 C - (South) Bishopthorpe Roa")&amp;":"&amp;ADDRESS(130,3+18*0+(11))),'J1 C - (South) Bishopthorpe Roa'!$A$12:$A$130,"&gt;="&amp;Diagram!$O13,'J1 C - (South) Bishopthorpe Roa'!$A$12:$A$130,"&lt;"&amp;Diagram!$P13)))</f>
        <v>0</v>
      </c>
      <c r="CD13" s="42">
        <f ca="1">IF(OR($I$10="",$O13="",$P13="",$J$38&lt;&gt;"Yes"),0,IF($K$10=0,SUMIFS(INDIRECT(ADDRESS(12,3+18*0+(3),,,"J1 D - South Bank Avenue")&amp;":"&amp;ADDRESS(130,3+18*0+(3))),'J1 D - South Bank Avenue'!$A$12:$A$130,"&gt;="&amp;Diagram!$O13,'J1 D - South Bank Avenue'!$A$12:$A$130,"&lt;"&amp;Diagram!$P13),SUMIFS(INDIRECT(ADDRESS(12,3+18*0+(11),,,"J1 D - South Bank Avenue")&amp;":"&amp;ADDRESS(130,3+18*0+(11))),'J1 D - South Bank Avenue'!$A$12:$A$130,"&gt;="&amp;Diagram!$O13,'J1 D - South Bank Avenue'!$A$12:$A$130,"&lt;"&amp;Diagram!$P13)))</f>
        <v>0</v>
      </c>
      <c r="CE13" s="42">
        <f ca="1">IF(OR($I$10="",$O13="",$P13="",$J$38&lt;&gt;"Yes"),0,IF($K$10=0,SUMIFS(INDIRECT(ADDRESS(12,3+18*1+(3),,,"J1 D - South Bank Avenue")&amp;":"&amp;ADDRESS(130,3+18*1+(3))),'J1 D - South Bank Avenue'!$A$12:$A$130,"&gt;="&amp;Diagram!$O13,'J1 D - South Bank Avenue'!$A$12:$A$130,"&lt;"&amp;Diagram!$P13),SUMIFS(INDIRECT(ADDRESS(12,3+18*1+(11),,,"J1 D - South Bank Avenue")&amp;":"&amp;ADDRESS(130,3+18*1+(11))),'J1 D - South Bank Avenue'!$A$12:$A$130,"&gt;="&amp;Diagram!$O13,'J1 D - South Bank Avenue'!$A$12:$A$130,"&lt;"&amp;Diagram!$P13)))</f>
        <v>0</v>
      </c>
      <c r="CF13" s="42">
        <f ca="1">IF(OR($I$10="",$O13="",$P13="",$J$38&lt;&gt;"Yes"),0,IF($K$10=0,SUMIFS(INDIRECT(ADDRESS(12,3+18*2+(3),,,"J1 D - South Bank Avenue")&amp;":"&amp;ADDRESS(130,3+18*2+(3))),'J1 D - South Bank Avenue'!$A$12:$A$130,"&gt;="&amp;Diagram!$O13,'J1 D - South Bank Avenue'!$A$12:$A$130,"&lt;"&amp;Diagram!$P13),SUMIFS(INDIRECT(ADDRESS(12,3+18*2+(11),,,"J1 D - South Bank Avenue")&amp;":"&amp;ADDRESS(130,3+18*2+(11))),'J1 D - South Bank Avenue'!$A$12:$A$130,"&gt;="&amp;Diagram!$O13,'J1 D - South Bank Avenue'!$A$12:$A$130,"&lt;"&amp;Diagram!$P13)))</f>
        <v>0</v>
      </c>
      <c r="CG13" s="42">
        <f ca="1">IF(OR($I$10="",$O13="",$P13="",$J$38&lt;&gt;"Yes"),0,IF($K$10=0,SUMIFS(INDIRECT(ADDRESS(12,3+18*3+(3),,,"J1 D - South Bank Avenue")&amp;":"&amp;ADDRESS(130,3+18*3+(3))),'J1 D - South Bank Avenue'!$A$12:$A$130,"&gt;="&amp;Diagram!$O13,'J1 D - South Bank Avenue'!$A$12:$A$130,"&lt;"&amp;Diagram!$P13),SUMIFS(INDIRECT(ADDRESS(12,3+18*3+(11),,,"J1 D - South Bank Avenue")&amp;":"&amp;ADDRESS(130,3+18*3+(11))),'J1 D - South Bank Avenue'!$A$12:$A$130,"&gt;="&amp;Diagram!$O13,'J1 D - South Bank Avenue'!$A$12:$A$130,"&lt;"&amp;Diagram!$P13)))</f>
        <v>0</v>
      </c>
      <c r="CH13" s="42">
        <f t="shared" ca="1" si="5"/>
        <v>0</v>
      </c>
      <c r="CI13" s="42">
        <f ca="1">IF(OR($I$10="",$O13="",$P13="",$J$39&lt;&gt;"Yes"),0,IF($K$10=0,SUMIFS(INDIRECT(ADDRESS(12,3+18*3+(4),,,"J1 A - (North) Bishopthorpe Roa")&amp;":"&amp;ADDRESS(130,3+18*3+(4))),'J1 A - (North) Bishopthorpe Roa'!$A$12:$A$130,"&gt;="&amp;Diagram!$O13,'J1 A - (North) Bishopthorpe Roa'!$A$12:$A$130,"&lt;"&amp;Diagram!$P13),SUMIFS(INDIRECT(ADDRESS(12,3+18*3+(12),,,"J1 A - (North) Bishopthorpe Roa")&amp;":"&amp;ADDRESS(130,3+18*3+(12))),'J1 A - (North) Bishopthorpe Roa'!$A$12:$A$130,"&gt;="&amp;Diagram!$O13,'J1 A - (North) Bishopthorpe Roa'!$A$12:$A$130,"&lt;"&amp;Diagram!$P13)))</f>
        <v>0</v>
      </c>
      <c r="CJ13" s="42">
        <f ca="1">IF(OR($I$10="",$O13="",$P13="",$J$39&lt;&gt;"Yes"),0,IF($K$10=0,SUMIFS(INDIRECT(ADDRESS(12,3+18*0+(4),,,"J1 A - (North) Bishopthorpe Roa")&amp;":"&amp;ADDRESS(130,3+18*0+(4))),'J1 A - (North) Bishopthorpe Roa'!$A$12:$A$130,"&gt;="&amp;Diagram!$O13,'J1 A - (North) Bishopthorpe Roa'!$A$12:$A$130,"&lt;"&amp;Diagram!$P13),SUMIFS(INDIRECT(ADDRESS(12,3+18*0+(12),,,"J1 A - (North) Bishopthorpe Roa")&amp;":"&amp;ADDRESS(130,3+18*0+(12))),'J1 A - (North) Bishopthorpe Roa'!$A$12:$A$130,"&gt;="&amp;Diagram!$O13,'J1 A - (North) Bishopthorpe Roa'!$A$12:$A$130,"&lt;"&amp;Diagram!$P13)))</f>
        <v>0</v>
      </c>
      <c r="CK13" s="42">
        <f ca="1">IF(OR($I$10="",$O13="",$P13="",$J$39&lt;&gt;"Yes"),0,IF($K$10=0,SUMIFS(INDIRECT(ADDRESS(12,3+18*1+(4),,,"J1 A - (North) Bishopthorpe Roa")&amp;":"&amp;ADDRESS(130,3+18*1+(4))),'J1 A - (North) Bishopthorpe Roa'!$A$12:$A$130,"&gt;="&amp;Diagram!$O13,'J1 A - (North) Bishopthorpe Roa'!$A$12:$A$130,"&lt;"&amp;Diagram!$P13),SUMIFS(INDIRECT(ADDRESS(12,3+18*1+(12),,,"J1 A - (North) Bishopthorpe Roa")&amp;":"&amp;ADDRESS(130,3+18*1+(12))),'J1 A - (North) Bishopthorpe Roa'!$A$12:$A$130,"&gt;="&amp;Diagram!$O13,'J1 A - (North) Bishopthorpe Roa'!$A$12:$A$130,"&lt;"&amp;Diagram!$P13)))</f>
        <v>0</v>
      </c>
      <c r="CL13" s="42">
        <f ca="1">IF(OR($I$10="",$O13="",$P13="",$J$39&lt;&gt;"Yes"),0,IF($K$10=0,SUMIFS(INDIRECT(ADDRESS(12,3+18*2+(4),,,"J1 A - (North) Bishopthorpe Roa")&amp;":"&amp;ADDRESS(130,3+18*2+(4))),'J1 A - (North) Bishopthorpe Roa'!$A$12:$A$130,"&gt;="&amp;Diagram!$O13,'J1 A - (North) Bishopthorpe Roa'!$A$12:$A$130,"&lt;"&amp;Diagram!$P13),SUMIFS(INDIRECT(ADDRESS(12,3+18*2+(12),,,"J1 A - (North) Bishopthorpe Roa")&amp;":"&amp;ADDRESS(130,3+18*2+(12))),'J1 A - (North) Bishopthorpe Roa'!$A$12:$A$130,"&gt;="&amp;Diagram!$O13,'J1 A - (North) Bishopthorpe Roa'!$A$12:$A$130,"&lt;"&amp;Diagram!$P13)))</f>
        <v>0</v>
      </c>
      <c r="CM13" s="42">
        <f ca="1">IF(OR($I$10="",$O13="",$P13="",$J$39&lt;&gt;"Yes"),0,IF($K$10=0,SUMIFS(INDIRECT(ADDRESS(12,3+18*2+(4),,,"J1 B - Butcher Terrace")&amp;":"&amp;ADDRESS(130,3+18*2+(4))),'J1 B - Butcher Terrace'!$A$12:$A$130,"&gt;="&amp;Diagram!$O13,'J1 B - Butcher Terrace'!$A$12:$A$130,"&lt;"&amp;Diagram!$P13),SUMIFS(INDIRECT(ADDRESS(12,3+18*2+(12),,,"J1 B - Butcher Terrace")&amp;":"&amp;ADDRESS(130,3+18*2+(12))),'J1 B - Butcher Terrace'!$A$12:$A$130,"&gt;="&amp;Diagram!$O13,'J1 B - Butcher Terrace'!$A$12:$A$130,"&lt;"&amp;Diagram!$P13)))</f>
        <v>0</v>
      </c>
      <c r="CN13" s="42">
        <f ca="1">IF(OR($I$10="",$O13="",$P13="",$J$39&lt;&gt;"Yes"),0,IF($K$10=0,SUMIFS(INDIRECT(ADDRESS(12,3+18*3+(4),,,"J1 B - Butcher Terrace")&amp;":"&amp;ADDRESS(130,3+18*3+(4))),'J1 B - Butcher Terrace'!$A$12:$A$130,"&gt;="&amp;Diagram!$O13,'J1 B - Butcher Terrace'!$A$12:$A$130,"&lt;"&amp;Diagram!$P13),SUMIFS(INDIRECT(ADDRESS(12,3+18*3+(12),,,"J1 B - Butcher Terrace")&amp;":"&amp;ADDRESS(130,3+18*3+(12))),'J1 B - Butcher Terrace'!$A$12:$A$130,"&gt;="&amp;Diagram!$O13,'J1 B - Butcher Terrace'!$A$12:$A$130,"&lt;"&amp;Diagram!$P13)))</f>
        <v>0</v>
      </c>
      <c r="CO13" s="42">
        <f ca="1">IF(OR($I$10="",$O13="",$P13="",$J$39&lt;&gt;"Yes"),0,IF($K$10=0,SUMIFS(INDIRECT(ADDRESS(12,3+18*0+(4),,,"J1 B - Butcher Terrace")&amp;":"&amp;ADDRESS(130,3+18*0+(4))),'J1 B - Butcher Terrace'!$A$12:$A$130,"&gt;="&amp;Diagram!$O13,'J1 B - Butcher Terrace'!$A$12:$A$130,"&lt;"&amp;Diagram!$P13),SUMIFS(INDIRECT(ADDRESS(12,3+18*0+(12),,,"J1 B - Butcher Terrace")&amp;":"&amp;ADDRESS(130,3+18*0+(12))),'J1 B - Butcher Terrace'!$A$12:$A$130,"&gt;="&amp;Diagram!$O13,'J1 B - Butcher Terrace'!$A$12:$A$130,"&lt;"&amp;Diagram!$P13)))</f>
        <v>0</v>
      </c>
      <c r="CP13" s="42">
        <f ca="1">IF(OR($I$10="",$O13="",$P13="",$J$39&lt;&gt;"Yes"),0,IF($K$10=0,SUMIFS(INDIRECT(ADDRESS(12,3+18*1+(4),,,"J1 B - Butcher Terrace")&amp;":"&amp;ADDRESS(130,3+18*1+(4))),'J1 B - Butcher Terrace'!$A$12:$A$130,"&gt;="&amp;Diagram!$O13,'J1 B - Butcher Terrace'!$A$12:$A$130,"&lt;"&amp;Diagram!$P13),SUMIFS(INDIRECT(ADDRESS(12,3+18*1+(12),,,"J1 B - Butcher Terrace")&amp;":"&amp;ADDRESS(130,3+18*1+(12))),'J1 B - Butcher Terrace'!$A$12:$A$130,"&gt;="&amp;Diagram!$O13,'J1 B - Butcher Terrace'!$A$12:$A$130,"&lt;"&amp;Diagram!$P13)))</f>
        <v>0</v>
      </c>
      <c r="CQ13" s="42">
        <f ca="1">IF(OR($I$10="",$O13="",$P13="",$J$39&lt;&gt;"Yes"),0,IF($K$10=0,SUMIFS(INDIRECT(ADDRESS(12,3+18*1+(4),,,"J1 C - (South) Bishopthorpe Roa")&amp;":"&amp;ADDRESS(130,3+18*1+(4))),'J1 C - (South) Bishopthorpe Roa'!$A$12:$A$130,"&gt;="&amp;Diagram!$O13,'J1 C - (South) Bishopthorpe Roa'!$A$12:$A$130,"&lt;"&amp;Diagram!$P13),SUMIFS(INDIRECT(ADDRESS(12,3+18*1+(12),,,"J1 C - (South) Bishopthorpe Roa")&amp;":"&amp;ADDRESS(130,3+18*1+(12))),'J1 C - (South) Bishopthorpe Roa'!$A$12:$A$130,"&gt;="&amp;Diagram!$O13,'J1 C - (South) Bishopthorpe Roa'!$A$12:$A$130,"&lt;"&amp;Diagram!$P13)))</f>
        <v>0</v>
      </c>
      <c r="CR13" s="42">
        <f ca="1">IF(OR($I$10="",$O13="",$P13="",$J$39&lt;&gt;"Yes"),0,IF($K$10=0,SUMIFS(INDIRECT(ADDRESS(12,3+18*2+(4),,,"J1 C - (South) Bishopthorpe Roa")&amp;":"&amp;ADDRESS(130,3+18*2+(4))),'J1 C - (South) Bishopthorpe Roa'!$A$12:$A$130,"&gt;="&amp;Diagram!$O13,'J1 C - (South) Bishopthorpe Roa'!$A$12:$A$130,"&lt;"&amp;Diagram!$P13),SUMIFS(INDIRECT(ADDRESS(12,3+18*2+(12),,,"J1 C - (South) Bishopthorpe Roa")&amp;":"&amp;ADDRESS(130,3+18*2+(12))),'J1 C - (South) Bishopthorpe Roa'!$A$12:$A$130,"&gt;="&amp;Diagram!$O13,'J1 C - (South) Bishopthorpe Roa'!$A$12:$A$130,"&lt;"&amp;Diagram!$P13)))</f>
        <v>0</v>
      </c>
      <c r="CS13" s="42">
        <f ca="1">IF(OR($I$10="",$O13="",$P13="",$J$39&lt;&gt;"Yes"),0,IF($K$10=0,SUMIFS(INDIRECT(ADDRESS(12,3+18*3+(4),,,"J1 C - (South) Bishopthorpe Roa")&amp;":"&amp;ADDRESS(130,3+18*3+(4))),'J1 C - (South) Bishopthorpe Roa'!$A$12:$A$130,"&gt;="&amp;Diagram!$O13,'J1 C - (South) Bishopthorpe Roa'!$A$12:$A$130,"&lt;"&amp;Diagram!$P13),SUMIFS(INDIRECT(ADDRESS(12,3+18*3+(12),,,"J1 C - (South) Bishopthorpe Roa")&amp;":"&amp;ADDRESS(130,3+18*3+(12))),'J1 C - (South) Bishopthorpe Roa'!$A$12:$A$130,"&gt;="&amp;Diagram!$O13,'J1 C - (South) Bishopthorpe Roa'!$A$12:$A$130,"&lt;"&amp;Diagram!$P13)))</f>
        <v>0</v>
      </c>
      <c r="CT13" s="42">
        <f ca="1">IF(OR($I$10="",$O13="",$P13="",$J$39&lt;&gt;"Yes"),0,IF($K$10=0,SUMIFS(INDIRECT(ADDRESS(12,3+18*0+(4),,,"J1 C - (South) Bishopthorpe Roa")&amp;":"&amp;ADDRESS(130,3+18*0+(4))),'J1 C - (South) Bishopthorpe Roa'!$A$12:$A$130,"&gt;="&amp;Diagram!$O13,'J1 C - (South) Bishopthorpe Roa'!$A$12:$A$130,"&lt;"&amp;Diagram!$P13),SUMIFS(INDIRECT(ADDRESS(12,3+18*0+(12),,,"J1 C - (South) Bishopthorpe Roa")&amp;":"&amp;ADDRESS(130,3+18*0+(12))),'J1 C - (South) Bishopthorpe Roa'!$A$12:$A$130,"&gt;="&amp;Diagram!$O13,'J1 C - (South) Bishopthorpe Roa'!$A$12:$A$130,"&lt;"&amp;Diagram!$P13)))</f>
        <v>0</v>
      </c>
      <c r="CU13" s="42">
        <f ca="1">IF(OR($I$10="",$O13="",$P13="",$J$39&lt;&gt;"Yes"),0,IF($K$10=0,SUMIFS(INDIRECT(ADDRESS(12,3+18*0+(4),,,"J1 D - South Bank Avenue")&amp;":"&amp;ADDRESS(130,3+18*0+(4))),'J1 D - South Bank Avenue'!$A$12:$A$130,"&gt;="&amp;Diagram!$O13,'J1 D - South Bank Avenue'!$A$12:$A$130,"&lt;"&amp;Diagram!$P13),SUMIFS(INDIRECT(ADDRESS(12,3+18*0+(12),,,"J1 D - South Bank Avenue")&amp;":"&amp;ADDRESS(130,3+18*0+(12))),'J1 D - South Bank Avenue'!$A$12:$A$130,"&gt;="&amp;Diagram!$O13,'J1 D - South Bank Avenue'!$A$12:$A$130,"&lt;"&amp;Diagram!$P13)))</f>
        <v>0</v>
      </c>
      <c r="CV13" s="42">
        <f ca="1">IF(OR($I$10="",$O13="",$P13="",$J$39&lt;&gt;"Yes"),0,IF($K$10=0,SUMIFS(INDIRECT(ADDRESS(12,3+18*1+(4),,,"J1 D - South Bank Avenue")&amp;":"&amp;ADDRESS(130,3+18*1+(4))),'J1 D - South Bank Avenue'!$A$12:$A$130,"&gt;="&amp;Diagram!$O13,'J1 D - South Bank Avenue'!$A$12:$A$130,"&lt;"&amp;Diagram!$P13),SUMIFS(INDIRECT(ADDRESS(12,3+18*1+(12),,,"J1 D - South Bank Avenue")&amp;":"&amp;ADDRESS(130,3+18*1+(12))),'J1 D - South Bank Avenue'!$A$12:$A$130,"&gt;="&amp;Diagram!$O13,'J1 D - South Bank Avenue'!$A$12:$A$130,"&lt;"&amp;Diagram!$P13)))</f>
        <v>0</v>
      </c>
      <c r="CW13" s="42">
        <f ca="1">IF(OR($I$10="",$O13="",$P13="",$J$39&lt;&gt;"Yes"),0,IF($K$10=0,SUMIFS(INDIRECT(ADDRESS(12,3+18*2+(4),,,"J1 D - South Bank Avenue")&amp;":"&amp;ADDRESS(130,3+18*2+(4))),'J1 D - South Bank Avenue'!$A$12:$A$130,"&gt;="&amp;Diagram!$O13,'J1 D - South Bank Avenue'!$A$12:$A$130,"&lt;"&amp;Diagram!$P13),SUMIFS(INDIRECT(ADDRESS(12,3+18*2+(12),,,"J1 D - South Bank Avenue")&amp;":"&amp;ADDRESS(130,3+18*2+(12))),'J1 D - South Bank Avenue'!$A$12:$A$130,"&gt;="&amp;Diagram!$O13,'J1 D - South Bank Avenue'!$A$12:$A$130,"&lt;"&amp;Diagram!$P13)))</f>
        <v>0</v>
      </c>
      <c r="CX13" s="42">
        <f ca="1">IF(OR($I$10="",$O13="",$P13="",$J$39&lt;&gt;"Yes"),0,IF($K$10=0,SUMIFS(INDIRECT(ADDRESS(12,3+18*3+(4),,,"J1 D - South Bank Avenue")&amp;":"&amp;ADDRESS(130,3+18*3+(4))),'J1 D - South Bank Avenue'!$A$12:$A$130,"&gt;="&amp;Diagram!$O13,'J1 D - South Bank Avenue'!$A$12:$A$130,"&lt;"&amp;Diagram!$P13),SUMIFS(INDIRECT(ADDRESS(12,3+18*3+(12),,,"J1 D - South Bank Avenue")&amp;":"&amp;ADDRESS(130,3+18*3+(12))),'J1 D - South Bank Avenue'!$A$12:$A$130,"&gt;="&amp;Diagram!$O13,'J1 D - South Bank Avenue'!$A$12:$A$130,"&lt;"&amp;Diagram!$P13)))</f>
        <v>0</v>
      </c>
      <c r="CY13" s="42">
        <f t="shared" ca="1" si="6"/>
        <v>0</v>
      </c>
      <c r="CZ13" s="42">
        <f ca="1">IF(OR($I$10="",$O13="",$P13="",$J$40&lt;&gt;"Yes"),0,IF($K$10=0,SUMIFS(INDIRECT(ADDRESS(12,3+18*3+(5),,,"J1 A - (North) Bishopthorpe Roa")&amp;":"&amp;ADDRESS(130,3+18*3+(5))),'J1 A - (North) Bishopthorpe Roa'!$A$12:$A$130,"&gt;="&amp;Diagram!$O13,'J1 A - (North) Bishopthorpe Roa'!$A$12:$A$130,"&lt;"&amp;Diagram!$P13),SUMIFS(INDIRECT(ADDRESS(12,3+18*3+(13),,,"J1 A - (North) Bishopthorpe Roa")&amp;":"&amp;ADDRESS(130,3+18*3+(13))),'J1 A - (North) Bishopthorpe Roa'!$A$12:$A$130,"&gt;="&amp;Diagram!$O13,'J1 A - (North) Bishopthorpe Roa'!$A$12:$A$130,"&lt;"&amp;Diagram!$P13)))</f>
        <v>0</v>
      </c>
      <c r="DA13" s="42">
        <f ca="1">IF(OR($I$10="",$O13="",$P13="",$J$40&lt;&gt;"Yes"),0,IF($K$10=0,SUMIFS(INDIRECT(ADDRESS(12,3+18*0+(5),,,"J1 A - (North) Bishopthorpe Roa")&amp;":"&amp;ADDRESS(130,3+18*0+(5))),'J1 A - (North) Bishopthorpe Roa'!$A$12:$A$130,"&gt;="&amp;Diagram!$O13,'J1 A - (North) Bishopthorpe Roa'!$A$12:$A$130,"&lt;"&amp;Diagram!$P13),SUMIFS(INDIRECT(ADDRESS(12,3+18*0+(13),,,"J1 A - (North) Bishopthorpe Roa")&amp;":"&amp;ADDRESS(130,3+18*0+(13))),'J1 A - (North) Bishopthorpe Roa'!$A$12:$A$130,"&gt;="&amp;Diagram!$O13,'J1 A - (North) Bishopthorpe Roa'!$A$12:$A$130,"&lt;"&amp;Diagram!$P13)))</f>
        <v>0</v>
      </c>
      <c r="DB13" s="42">
        <f ca="1">IF(OR($I$10="",$O13="",$P13="",$J$40&lt;&gt;"Yes"),0,IF($K$10=0,SUMIFS(INDIRECT(ADDRESS(12,3+18*1+(5),,,"J1 A - (North) Bishopthorpe Roa")&amp;":"&amp;ADDRESS(130,3+18*1+(5))),'J1 A - (North) Bishopthorpe Roa'!$A$12:$A$130,"&gt;="&amp;Diagram!$O13,'J1 A - (North) Bishopthorpe Roa'!$A$12:$A$130,"&lt;"&amp;Diagram!$P13),SUMIFS(INDIRECT(ADDRESS(12,3+18*1+(13),,,"J1 A - (North) Bishopthorpe Roa")&amp;":"&amp;ADDRESS(130,3+18*1+(13))),'J1 A - (North) Bishopthorpe Roa'!$A$12:$A$130,"&gt;="&amp;Diagram!$O13,'J1 A - (North) Bishopthorpe Roa'!$A$12:$A$130,"&lt;"&amp;Diagram!$P13)))</f>
        <v>0</v>
      </c>
      <c r="DC13" s="42">
        <f ca="1">IF(OR($I$10="",$O13="",$P13="",$J$40&lt;&gt;"Yes"),0,IF($K$10=0,SUMIFS(INDIRECT(ADDRESS(12,3+18*2+(5),,,"J1 A - (North) Bishopthorpe Roa")&amp;":"&amp;ADDRESS(130,3+18*2+(5))),'J1 A - (North) Bishopthorpe Roa'!$A$12:$A$130,"&gt;="&amp;Diagram!$O13,'J1 A - (North) Bishopthorpe Roa'!$A$12:$A$130,"&lt;"&amp;Diagram!$P13),SUMIFS(INDIRECT(ADDRESS(12,3+18*2+(13),,,"J1 A - (North) Bishopthorpe Roa")&amp;":"&amp;ADDRESS(130,3+18*2+(13))),'J1 A - (North) Bishopthorpe Roa'!$A$12:$A$130,"&gt;="&amp;Diagram!$O13,'J1 A - (North) Bishopthorpe Roa'!$A$12:$A$130,"&lt;"&amp;Diagram!$P13)))</f>
        <v>0</v>
      </c>
      <c r="DD13" s="42">
        <f ca="1">IF(OR($I$10="",$O13="",$P13="",$J$40&lt;&gt;"Yes"),0,IF($K$10=0,SUMIFS(INDIRECT(ADDRESS(12,3+18*2+(5),,,"J1 B - Butcher Terrace")&amp;":"&amp;ADDRESS(130,3+18*2+(5))),'J1 B - Butcher Terrace'!$A$12:$A$130,"&gt;="&amp;Diagram!$O13,'J1 B - Butcher Terrace'!$A$12:$A$130,"&lt;"&amp;Diagram!$P13),SUMIFS(INDIRECT(ADDRESS(12,3+18*2+(13),,,"J1 B - Butcher Terrace")&amp;":"&amp;ADDRESS(130,3+18*2+(13))),'J1 B - Butcher Terrace'!$A$12:$A$130,"&gt;="&amp;Diagram!$O13,'J1 B - Butcher Terrace'!$A$12:$A$130,"&lt;"&amp;Diagram!$P13)))</f>
        <v>0</v>
      </c>
      <c r="DE13" s="42">
        <f ca="1">IF(OR($I$10="",$O13="",$P13="",$J$40&lt;&gt;"Yes"),0,IF($K$10=0,SUMIFS(INDIRECT(ADDRESS(12,3+18*3+(5),,,"J1 B - Butcher Terrace")&amp;":"&amp;ADDRESS(130,3+18*3+(5))),'J1 B - Butcher Terrace'!$A$12:$A$130,"&gt;="&amp;Diagram!$O13,'J1 B - Butcher Terrace'!$A$12:$A$130,"&lt;"&amp;Diagram!$P13),SUMIFS(INDIRECT(ADDRESS(12,3+18*3+(13),,,"J1 B - Butcher Terrace")&amp;":"&amp;ADDRESS(130,3+18*3+(13))),'J1 B - Butcher Terrace'!$A$12:$A$130,"&gt;="&amp;Diagram!$O13,'J1 B - Butcher Terrace'!$A$12:$A$130,"&lt;"&amp;Diagram!$P13)))</f>
        <v>0</v>
      </c>
      <c r="DF13" s="42">
        <f ca="1">IF(OR($I$10="",$O13="",$P13="",$J$40&lt;&gt;"Yes"),0,IF($K$10=0,SUMIFS(INDIRECT(ADDRESS(12,3+18*0+(5),,,"J1 B - Butcher Terrace")&amp;":"&amp;ADDRESS(130,3+18*0+(5))),'J1 B - Butcher Terrace'!$A$12:$A$130,"&gt;="&amp;Diagram!$O13,'J1 B - Butcher Terrace'!$A$12:$A$130,"&lt;"&amp;Diagram!$P13),SUMIFS(INDIRECT(ADDRESS(12,3+18*0+(13),,,"J1 B - Butcher Terrace")&amp;":"&amp;ADDRESS(130,3+18*0+(13))),'J1 B - Butcher Terrace'!$A$12:$A$130,"&gt;="&amp;Diagram!$O13,'J1 B - Butcher Terrace'!$A$12:$A$130,"&lt;"&amp;Diagram!$P13)))</f>
        <v>0</v>
      </c>
      <c r="DG13" s="42">
        <f ca="1">IF(OR($I$10="",$O13="",$P13="",$J$40&lt;&gt;"Yes"),0,IF($K$10=0,SUMIFS(INDIRECT(ADDRESS(12,3+18*1+(5),,,"J1 B - Butcher Terrace")&amp;":"&amp;ADDRESS(130,3+18*1+(5))),'J1 B - Butcher Terrace'!$A$12:$A$130,"&gt;="&amp;Diagram!$O13,'J1 B - Butcher Terrace'!$A$12:$A$130,"&lt;"&amp;Diagram!$P13),SUMIFS(INDIRECT(ADDRESS(12,3+18*1+(13),,,"J1 B - Butcher Terrace")&amp;":"&amp;ADDRESS(130,3+18*1+(13))),'J1 B - Butcher Terrace'!$A$12:$A$130,"&gt;="&amp;Diagram!$O13,'J1 B - Butcher Terrace'!$A$12:$A$130,"&lt;"&amp;Diagram!$P13)))</f>
        <v>0</v>
      </c>
      <c r="DH13" s="42">
        <f ca="1">IF(OR($I$10="",$O13="",$P13="",$J$40&lt;&gt;"Yes"),0,IF($K$10=0,SUMIFS(INDIRECT(ADDRESS(12,3+18*1+(5),,,"J1 C - (South) Bishopthorpe Roa")&amp;":"&amp;ADDRESS(130,3+18*1+(5))),'J1 C - (South) Bishopthorpe Roa'!$A$12:$A$130,"&gt;="&amp;Diagram!$O13,'J1 C - (South) Bishopthorpe Roa'!$A$12:$A$130,"&lt;"&amp;Diagram!$P13),SUMIFS(INDIRECT(ADDRESS(12,3+18*1+(13),,,"J1 C - (South) Bishopthorpe Roa")&amp;":"&amp;ADDRESS(130,3+18*1+(13))),'J1 C - (South) Bishopthorpe Roa'!$A$12:$A$130,"&gt;="&amp;Diagram!$O13,'J1 C - (South) Bishopthorpe Roa'!$A$12:$A$130,"&lt;"&amp;Diagram!$P13)))</f>
        <v>0</v>
      </c>
      <c r="DI13" s="42">
        <f ca="1">IF(OR($I$10="",$O13="",$P13="",$J$40&lt;&gt;"Yes"),0,IF($K$10=0,SUMIFS(INDIRECT(ADDRESS(12,3+18*2+(5),,,"J1 C - (South) Bishopthorpe Roa")&amp;":"&amp;ADDRESS(130,3+18*2+(5))),'J1 C - (South) Bishopthorpe Roa'!$A$12:$A$130,"&gt;="&amp;Diagram!$O13,'J1 C - (South) Bishopthorpe Roa'!$A$12:$A$130,"&lt;"&amp;Diagram!$P13),SUMIFS(INDIRECT(ADDRESS(12,3+18*2+(13),,,"J1 C - (South) Bishopthorpe Roa")&amp;":"&amp;ADDRESS(130,3+18*2+(13))),'J1 C - (South) Bishopthorpe Roa'!$A$12:$A$130,"&gt;="&amp;Diagram!$O13,'J1 C - (South) Bishopthorpe Roa'!$A$12:$A$130,"&lt;"&amp;Diagram!$P13)))</f>
        <v>0</v>
      </c>
      <c r="DJ13" s="42">
        <f ca="1">IF(OR($I$10="",$O13="",$P13="",$J$40&lt;&gt;"Yes"),0,IF($K$10=0,SUMIFS(INDIRECT(ADDRESS(12,3+18*3+(5),,,"J1 C - (South) Bishopthorpe Roa")&amp;":"&amp;ADDRESS(130,3+18*3+(5))),'J1 C - (South) Bishopthorpe Roa'!$A$12:$A$130,"&gt;="&amp;Diagram!$O13,'J1 C - (South) Bishopthorpe Roa'!$A$12:$A$130,"&lt;"&amp;Diagram!$P13),SUMIFS(INDIRECT(ADDRESS(12,3+18*3+(13),,,"J1 C - (South) Bishopthorpe Roa")&amp;":"&amp;ADDRESS(130,3+18*3+(13))),'J1 C - (South) Bishopthorpe Roa'!$A$12:$A$130,"&gt;="&amp;Diagram!$O13,'J1 C - (South) Bishopthorpe Roa'!$A$12:$A$130,"&lt;"&amp;Diagram!$P13)))</f>
        <v>0</v>
      </c>
      <c r="DK13" s="42">
        <f ca="1">IF(OR($I$10="",$O13="",$P13="",$J$40&lt;&gt;"Yes"),0,IF($K$10=0,SUMIFS(INDIRECT(ADDRESS(12,3+18*0+(5),,,"J1 C - (South) Bishopthorpe Roa")&amp;":"&amp;ADDRESS(130,3+18*0+(5))),'J1 C - (South) Bishopthorpe Roa'!$A$12:$A$130,"&gt;="&amp;Diagram!$O13,'J1 C - (South) Bishopthorpe Roa'!$A$12:$A$130,"&lt;"&amp;Diagram!$P13),SUMIFS(INDIRECT(ADDRESS(12,3+18*0+(13),,,"J1 C - (South) Bishopthorpe Roa")&amp;":"&amp;ADDRESS(130,3+18*0+(13))),'J1 C - (South) Bishopthorpe Roa'!$A$12:$A$130,"&gt;="&amp;Diagram!$O13,'J1 C - (South) Bishopthorpe Roa'!$A$12:$A$130,"&lt;"&amp;Diagram!$P13)))</f>
        <v>0</v>
      </c>
      <c r="DL13" s="42">
        <f ca="1">IF(OR($I$10="",$O13="",$P13="",$J$40&lt;&gt;"Yes"),0,IF($K$10=0,SUMIFS(INDIRECT(ADDRESS(12,3+18*0+(5),,,"J1 D - South Bank Avenue")&amp;":"&amp;ADDRESS(130,3+18*0+(5))),'J1 D - South Bank Avenue'!$A$12:$A$130,"&gt;="&amp;Diagram!$O13,'J1 D - South Bank Avenue'!$A$12:$A$130,"&lt;"&amp;Diagram!$P13),SUMIFS(INDIRECT(ADDRESS(12,3+18*0+(13),,,"J1 D - South Bank Avenue")&amp;":"&amp;ADDRESS(130,3+18*0+(13))),'J1 D - South Bank Avenue'!$A$12:$A$130,"&gt;="&amp;Diagram!$O13,'J1 D - South Bank Avenue'!$A$12:$A$130,"&lt;"&amp;Diagram!$P13)))</f>
        <v>0</v>
      </c>
      <c r="DM13" s="42">
        <f ca="1">IF(OR($I$10="",$O13="",$P13="",$J$40&lt;&gt;"Yes"),0,IF($K$10=0,SUMIFS(INDIRECT(ADDRESS(12,3+18*1+(5),,,"J1 D - South Bank Avenue")&amp;":"&amp;ADDRESS(130,3+18*1+(5))),'J1 D - South Bank Avenue'!$A$12:$A$130,"&gt;="&amp;Diagram!$O13,'J1 D - South Bank Avenue'!$A$12:$A$130,"&lt;"&amp;Diagram!$P13),SUMIFS(INDIRECT(ADDRESS(12,3+18*1+(13),,,"J1 D - South Bank Avenue")&amp;":"&amp;ADDRESS(130,3+18*1+(13))),'J1 D - South Bank Avenue'!$A$12:$A$130,"&gt;="&amp;Diagram!$O13,'J1 D - South Bank Avenue'!$A$12:$A$130,"&lt;"&amp;Diagram!$P13)))</f>
        <v>0</v>
      </c>
      <c r="DN13" s="42">
        <f ca="1">IF(OR($I$10="",$O13="",$P13="",$J$40&lt;&gt;"Yes"),0,IF($K$10=0,SUMIFS(INDIRECT(ADDRESS(12,3+18*2+(5),,,"J1 D - South Bank Avenue")&amp;":"&amp;ADDRESS(130,3+18*2+(5))),'J1 D - South Bank Avenue'!$A$12:$A$130,"&gt;="&amp;Diagram!$O13,'J1 D - South Bank Avenue'!$A$12:$A$130,"&lt;"&amp;Diagram!$P13),SUMIFS(INDIRECT(ADDRESS(12,3+18*2+(13),,,"J1 D - South Bank Avenue")&amp;":"&amp;ADDRESS(130,3+18*2+(13))),'J1 D - South Bank Avenue'!$A$12:$A$130,"&gt;="&amp;Diagram!$O13,'J1 D - South Bank Avenue'!$A$12:$A$130,"&lt;"&amp;Diagram!$P13)))</f>
        <v>0</v>
      </c>
      <c r="DO13" s="42">
        <f ca="1">IF(OR($I$10="",$O13="",$P13="",$J$40&lt;&gt;"Yes"),0,IF($K$10=0,SUMIFS(INDIRECT(ADDRESS(12,3+18*3+(5),,,"J1 D - South Bank Avenue")&amp;":"&amp;ADDRESS(130,3+18*3+(5))),'J1 D - South Bank Avenue'!$A$12:$A$130,"&gt;="&amp;Diagram!$O13,'J1 D - South Bank Avenue'!$A$12:$A$130,"&lt;"&amp;Diagram!$P13),SUMIFS(INDIRECT(ADDRESS(12,3+18*3+(13),,,"J1 D - South Bank Avenue")&amp;":"&amp;ADDRESS(130,3+18*3+(13))),'J1 D - South Bank Avenue'!$A$12:$A$130,"&gt;="&amp;Diagram!$O13,'J1 D - South Bank Avenue'!$A$12:$A$130,"&lt;"&amp;Diagram!$P13)))</f>
        <v>0</v>
      </c>
      <c r="DP13" s="42">
        <f t="shared" ca="1" si="7"/>
        <v>0</v>
      </c>
      <c r="DQ13" s="42">
        <f ca="1">IF(OR($I$10="",$O13="",$P13="",$J$41&lt;&gt;"Yes"),0,IF($K$10=0,SUMIFS(INDIRECT(ADDRESS(12,3+18*3+(6),,,"J1 A - (North) Bishopthorpe Roa")&amp;":"&amp;ADDRESS(130,3+18*3+(6))),'J1 A - (North) Bishopthorpe Roa'!$A$12:$A$130,"&gt;="&amp;Diagram!$O13,'J1 A - (North) Bishopthorpe Roa'!$A$12:$A$130,"&lt;"&amp;Diagram!$P13),SUMIFS(INDIRECT(ADDRESS(12,3+18*3+(14),,,"J1 A - (North) Bishopthorpe Roa")&amp;":"&amp;ADDRESS(130,3+18*3+(14))),'J1 A - (North) Bishopthorpe Roa'!$A$12:$A$130,"&gt;="&amp;Diagram!$O13,'J1 A - (North) Bishopthorpe Roa'!$A$12:$A$130,"&lt;"&amp;Diagram!$P13)))</f>
        <v>0</v>
      </c>
      <c r="DR13" s="42">
        <f ca="1">IF(OR($I$10="",$O13="",$P13="",$J$41&lt;&gt;"Yes"),0,IF($K$10=0,SUMIFS(INDIRECT(ADDRESS(12,3+18*0+(6),,,"J1 A - (North) Bishopthorpe Roa")&amp;":"&amp;ADDRESS(130,3+18*0+(6))),'J1 A - (North) Bishopthorpe Roa'!$A$12:$A$130,"&gt;="&amp;Diagram!$O13,'J1 A - (North) Bishopthorpe Roa'!$A$12:$A$130,"&lt;"&amp;Diagram!$P13),SUMIFS(INDIRECT(ADDRESS(12,3+18*0+(14),,,"J1 A - (North) Bishopthorpe Roa")&amp;":"&amp;ADDRESS(130,3+18*0+(14))),'J1 A - (North) Bishopthorpe Roa'!$A$12:$A$130,"&gt;="&amp;Diagram!$O13,'J1 A - (North) Bishopthorpe Roa'!$A$12:$A$130,"&lt;"&amp;Diagram!$P13)))</f>
        <v>0</v>
      </c>
      <c r="DS13" s="42">
        <f ca="1">IF(OR($I$10="",$O13="",$P13="",$J$41&lt;&gt;"Yes"),0,IF($K$10=0,SUMIFS(INDIRECT(ADDRESS(12,3+18*1+(6),,,"J1 A - (North) Bishopthorpe Roa")&amp;":"&amp;ADDRESS(130,3+18*1+(6))),'J1 A - (North) Bishopthorpe Roa'!$A$12:$A$130,"&gt;="&amp;Diagram!$O13,'J1 A - (North) Bishopthorpe Roa'!$A$12:$A$130,"&lt;"&amp;Diagram!$P13),SUMIFS(INDIRECT(ADDRESS(12,3+18*1+(14),,,"J1 A - (North) Bishopthorpe Roa")&amp;":"&amp;ADDRESS(130,3+18*1+(14))),'J1 A - (North) Bishopthorpe Roa'!$A$12:$A$130,"&gt;="&amp;Diagram!$O13,'J1 A - (North) Bishopthorpe Roa'!$A$12:$A$130,"&lt;"&amp;Diagram!$P13)))</f>
        <v>0</v>
      </c>
      <c r="DT13" s="42">
        <f ca="1">IF(OR($I$10="",$O13="",$P13="",$J$41&lt;&gt;"Yes"),0,IF($K$10=0,SUMIFS(INDIRECT(ADDRESS(12,3+18*2+(6),,,"J1 A - (North) Bishopthorpe Roa")&amp;":"&amp;ADDRESS(130,3+18*2+(6))),'J1 A - (North) Bishopthorpe Roa'!$A$12:$A$130,"&gt;="&amp;Diagram!$O13,'J1 A - (North) Bishopthorpe Roa'!$A$12:$A$130,"&lt;"&amp;Diagram!$P13),SUMIFS(INDIRECT(ADDRESS(12,3+18*2+(14),,,"J1 A - (North) Bishopthorpe Roa")&amp;":"&amp;ADDRESS(130,3+18*2+(14))),'J1 A - (North) Bishopthorpe Roa'!$A$12:$A$130,"&gt;="&amp;Diagram!$O13,'J1 A - (North) Bishopthorpe Roa'!$A$12:$A$130,"&lt;"&amp;Diagram!$P13)))</f>
        <v>0</v>
      </c>
      <c r="DU13" s="42">
        <f ca="1">IF(OR($I$10="",$O13="",$P13="",$J$41&lt;&gt;"Yes"),0,IF($K$10=0,SUMIFS(INDIRECT(ADDRESS(12,3+18*2+(6),,,"J1 B - Butcher Terrace")&amp;":"&amp;ADDRESS(130,3+18*2+(6))),'J1 B - Butcher Terrace'!$A$12:$A$130,"&gt;="&amp;Diagram!$O13,'J1 B - Butcher Terrace'!$A$12:$A$130,"&lt;"&amp;Diagram!$P13),SUMIFS(INDIRECT(ADDRESS(12,3+18*2+(14),,,"J1 B - Butcher Terrace")&amp;":"&amp;ADDRESS(130,3+18*2+(14))),'J1 B - Butcher Terrace'!$A$12:$A$130,"&gt;="&amp;Diagram!$O13,'J1 B - Butcher Terrace'!$A$12:$A$130,"&lt;"&amp;Diagram!$P13)))</f>
        <v>0</v>
      </c>
      <c r="DV13" s="42">
        <f ca="1">IF(OR($I$10="",$O13="",$P13="",$J$41&lt;&gt;"Yes"),0,IF($K$10=0,SUMIFS(INDIRECT(ADDRESS(12,3+18*3+(6),,,"J1 B - Butcher Terrace")&amp;":"&amp;ADDRESS(130,3+18*3+(6))),'J1 B - Butcher Terrace'!$A$12:$A$130,"&gt;="&amp;Diagram!$O13,'J1 B - Butcher Terrace'!$A$12:$A$130,"&lt;"&amp;Diagram!$P13),SUMIFS(INDIRECT(ADDRESS(12,3+18*3+(14),,,"J1 B - Butcher Terrace")&amp;":"&amp;ADDRESS(130,3+18*3+(14))),'J1 B - Butcher Terrace'!$A$12:$A$130,"&gt;="&amp;Diagram!$O13,'J1 B - Butcher Terrace'!$A$12:$A$130,"&lt;"&amp;Diagram!$P13)))</f>
        <v>0</v>
      </c>
      <c r="DW13" s="42">
        <f ca="1">IF(OR($I$10="",$O13="",$P13="",$J$41&lt;&gt;"Yes"),0,IF($K$10=0,SUMIFS(INDIRECT(ADDRESS(12,3+18*0+(6),,,"J1 B - Butcher Terrace")&amp;":"&amp;ADDRESS(130,3+18*0+(6))),'J1 B - Butcher Terrace'!$A$12:$A$130,"&gt;="&amp;Diagram!$O13,'J1 B - Butcher Terrace'!$A$12:$A$130,"&lt;"&amp;Diagram!$P13),SUMIFS(INDIRECT(ADDRESS(12,3+18*0+(14),,,"J1 B - Butcher Terrace")&amp;":"&amp;ADDRESS(130,3+18*0+(14))),'J1 B - Butcher Terrace'!$A$12:$A$130,"&gt;="&amp;Diagram!$O13,'J1 B - Butcher Terrace'!$A$12:$A$130,"&lt;"&amp;Diagram!$P13)))</f>
        <v>0</v>
      </c>
      <c r="DX13" s="42">
        <f ca="1">IF(OR($I$10="",$O13="",$P13="",$J$41&lt;&gt;"Yes"),0,IF($K$10=0,SUMIFS(INDIRECT(ADDRESS(12,3+18*1+(6),,,"J1 B - Butcher Terrace")&amp;":"&amp;ADDRESS(130,3+18*1+(6))),'J1 B - Butcher Terrace'!$A$12:$A$130,"&gt;="&amp;Diagram!$O13,'J1 B - Butcher Terrace'!$A$12:$A$130,"&lt;"&amp;Diagram!$P13),SUMIFS(INDIRECT(ADDRESS(12,3+18*1+(14),,,"J1 B - Butcher Terrace")&amp;":"&amp;ADDRESS(130,3+18*1+(14))),'J1 B - Butcher Terrace'!$A$12:$A$130,"&gt;="&amp;Diagram!$O13,'J1 B - Butcher Terrace'!$A$12:$A$130,"&lt;"&amp;Diagram!$P13)))</f>
        <v>0</v>
      </c>
      <c r="DY13" s="42">
        <f ca="1">IF(OR($I$10="",$O13="",$P13="",$J$41&lt;&gt;"Yes"),0,IF($K$10=0,SUMIFS(INDIRECT(ADDRESS(12,3+18*1+(6),,,"J1 C - (South) Bishopthorpe Roa")&amp;":"&amp;ADDRESS(130,3+18*1+(6))),'J1 C - (South) Bishopthorpe Roa'!$A$12:$A$130,"&gt;="&amp;Diagram!$O13,'J1 C - (South) Bishopthorpe Roa'!$A$12:$A$130,"&lt;"&amp;Diagram!$P13),SUMIFS(INDIRECT(ADDRESS(12,3+18*1+(14),,,"J1 C - (South) Bishopthorpe Roa")&amp;":"&amp;ADDRESS(130,3+18*1+(14))),'J1 C - (South) Bishopthorpe Roa'!$A$12:$A$130,"&gt;="&amp;Diagram!$O13,'J1 C - (South) Bishopthorpe Roa'!$A$12:$A$130,"&lt;"&amp;Diagram!$P13)))</f>
        <v>0</v>
      </c>
      <c r="DZ13" s="42">
        <f ca="1">IF(OR($I$10="",$O13="",$P13="",$J$41&lt;&gt;"Yes"),0,IF($K$10=0,SUMIFS(INDIRECT(ADDRESS(12,3+18*2+(6),,,"J1 C - (South) Bishopthorpe Roa")&amp;":"&amp;ADDRESS(130,3+18*2+(6))),'J1 C - (South) Bishopthorpe Roa'!$A$12:$A$130,"&gt;="&amp;Diagram!$O13,'J1 C - (South) Bishopthorpe Roa'!$A$12:$A$130,"&lt;"&amp;Diagram!$P13),SUMIFS(INDIRECT(ADDRESS(12,3+18*2+(14),,,"J1 C - (South) Bishopthorpe Roa")&amp;":"&amp;ADDRESS(130,3+18*2+(14))),'J1 C - (South) Bishopthorpe Roa'!$A$12:$A$130,"&gt;="&amp;Diagram!$O13,'J1 C - (South) Bishopthorpe Roa'!$A$12:$A$130,"&lt;"&amp;Diagram!$P13)))</f>
        <v>0</v>
      </c>
      <c r="EA13" s="42">
        <f ca="1">IF(OR($I$10="",$O13="",$P13="",$J$41&lt;&gt;"Yes"),0,IF($K$10=0,SUMIFS(INDIRECT(ADDRESS(12,3+18*3+(6),,,"J1 C - (South) Bishopthorpe Roa")&amp;":"&amp;ADDRESS(130,3+18*3+(6))),'J1 C - (South) Bishopthorpe Roa'!$A$12:$A$130,"&gt;="&amp;Diagram!$O13,'J1 C - (South) Bishopthorpe Roa'!$A$12:$A$130,"&lt;"&amp;Diagram!$P13),SUMIFS(INDIRECT(ADDRESS(12,3+18*3+(14),,,"J1 C - (South) Bishopthorpe Roa")&amp;":"&amp;ADDRESS(130,3+18*3+(14))),'J1 C - (South) Bishopthorpe Roa'!$A$12:$A$130,"&gt;="&amp;Diagram!$O13,'J1 C - (South) Bishopthorpe Roa'!$A$12:$A$130,"&lt;"&amp;Diagram!$P13)))</f>
        <v>0</v>
      </c>
      <c r="EB13" s="42">
        <f ca="1">IF(OR($I$10="",$O13="",$P13="",$J$41&lt;&gt;"Yes"),0,IF($K$10=0,SUMIFS(INDIRECT(ADDRESS(12,3+18*0+(6),,,"J1 C - (South) Bishopthorpe Roa")&amp;":"&amp;ADDRESS(130,3+18*0+(6))),'J1 C - (South) Bishopthorpe Roa'!$A$12:$A$130,"&gt;="&amp;Diagram!$O13,'J1 C - (South) Bishopthorpe Roa'!$A$12:$A$130,"&lt;"&amp;Diagram!$P13),SUMIFS(INDIRECT(ADDRESS(12,3+18*0+(14),,,"J1 C - (South) Bishopthorpe Roa")&amp;":"&amp;ADDRESS(130,3+18*0+(14))),'J1 C - (South) Bishopthorpe Roa'!$A$12:$A$130,"&gt;="&amp;Diagram!$O13,'J1 C - (South) Bishopthorpe Roa'!$A$12:$A$130,"&lt;"&amp;Diagram!$P13)))</f>
        <v>0</v>
      </c>
      <c r="EC13" s="42">
        <f ca="1">IF(OR($I$10="",$O13="",$P13="",$J$41&lt;&gt;"Yes"),0,IF($K$10=0,SUMIFS(INDIRECT(ADDRESS(12,3+18*0+(6),,,"J1 D - South Bank Avenue")&amp;":"&amp;ADDRESS(130,3+18*0+(6))),'J1 D - South Bank Avenue'!$A$12:$A$130,"&gt;="&amp;Diagram!$O13,'J1 D - South Bank Avenue'!$A$12:$A$130,"&lt;"&amp;Diagram!$P13),SUMIFS(INDIRECT(ADDRESS(12,3+18*0+(14),,,"J1 D - South Bank Avenue")&amp;":"&amp;ADDRESS(130,3+18*0+(14))),'J1 D - South Bank Avenue'!$A$12:$A$130,"&gt;="&amp;Diagram!$O13,'J1 D - South Bank Avenue'!$A$12:$A$130,"&lt;"&amp;Diagram!$P13)))</f>
        <v>0</v>
      </c>
      <c r="ED13" s="42">
        <f ca="1">IF(OR($I$10="",$O13="",$P13="",$J$41&lt;&gt;"Yes"),0,IF($K$10=0,SUMIFS(INDIRECT(ADDRESS(12,3+18*1+(6),,,"J1 D - South Bank Avenue")&amp;":"&amp;ADDRESS(130,3+18*1+(6))),'J1 D - South Bank Avenue'!$A$12:$A$130,"&gt;="&amp;Diagram!$O13,'J1 D - South Bank Avenue'!$A$12:$A$130,"&lt;"&amp;Diagram!$P13),SUMIFS(INDIRECT(ADDRESS(12,3+18*1+(14),,,"J1 D - South Bank Avenue")&amp;":"&amp;ADDRESS(130,3+18*1+(14))),'J1 D - South Bank Avenue'!$A$12:$A$130,"&gt;="&amp;Diagram!$O13,'J1 D - South Bank Avenue'!$A$12:$A$130,"&lt;"&amp;Diagram!$P13)))</f>
        <v>0</v>
      </c>
      <c r="EE13" s="42">
        <f ca="1">IF(OR($I$10="",$O13="",$P13="",$J$41&lt;&gt;"Yes"),0,IF($K$10=0,SUMIFS(INDIRECT(ADDRESS(12,3+18*2+(6),,,"J1 D - South Bank Avenue")&amp;":"&amp;ADDRESS(130,3+18*2+(6))),'J1 D - South Bank Avenue'!$A$12:$A$130,"&gt;="&amp;Diagram!$O13,'J1 D - South Bank Avenue'!$A$12:$A$130,"&lt;"&amp;Diagram!$P13),SUMIFS(INDIRECT(ADDRESS(12,3+18*2+(14),,,"J1 D - South Bank Avenue")&amp;":"&amp;ADDRESS(130,3+18*2+(14))),'J1 D - South Bank Avenue'!$A$12:$A$130,"&gt;="&amp;Diagram!$O13,'J1 D - South Bank Avenue'!$A$12:$A$130,"&lt;"&amp;Diagram!$P13)))</f>
        <v>0</v>
      </c>
      <c r="EF13" s="42">
        <f ca="1">IF(OR($I$10="",$O13="",$P13="",$J$41&lt;&gt;"Yes"),0,IF($K$10=0,SUMIFS(INDIRECT(ADDRESS(12,3+18*3+(6),,,"J1 D - South Bank Avenue")&amp;":"&amp;ADDRESS(130,3+18*3+(6))),'J1 D - South Bank Avenue'!$A$12:$A$130,"&gt;="&amp;Diagram!$O13,'J1 D - South Bank Avenue'!$A$12:$A$130,"&lt;"&amp;Diagram!$P13),SUMIFS(INDIRECT(ADDRESS(12,3+18*3+(14),,,"J1 D - South Bank Avenue")&amp;":"&amp;ADDRESS(130,3+18*3+(14))),'J1 D - South Bank Avenue'!$A$12:$A$130,"&gt;="&amp;Diagram!$O13,'J1 D - South Bank Avenue'!$A$12:$A$130,"&lt;"&amp;Diagram!$P13)))</f>
        <v>0</v>
      </c>
      <c r="EG13" s="42">
        <f t="shared" ca="1" si="8"/>
        <v>0</v>
      </c>
      <c r="EH13" s="42">
        <f ca="1">IF(OR($I$10="",$O13="",$P13="",$J$42&lt;&gt;"Yes"),0,IF($K$10=0,SUMIFS(INDIRECT(ADDRESS(12,3+18*3+(7),,,"J1 A - (North) Bishopthorpe Roa")&amp;":"&amp;ADDRESS(130,3+18*3+(7))),'J1 A - (North) Bishopthorpe Roa'!$A$12:$A$130,"&gt;="&amp;Diagram!$O13,'J1 A - (North) Bishopthorpe Roa'!$A$12:$A$130,"&lt;"&amp;Diagram!$P13),SUMIFS(INDIRECT(ADDRESS(12,3+18*3+(15),,,"J1 A - (North) Bishopthorpe Roa")&amp;":"&amp;ADDRESS(130,3+18*3+(15))),'J1 A - (North) Bishopthorpe Roa'!$A$12:$A$130,"&gt;="&amp;Diagram!$O13,'J1 A - (North) Bishopthorpe Roa'!$A$12:$A$130,"&lt;"&amp;Diagram!$P13)))</f>
        <v>0</v>
      </c>
      <c r="EI13" s="42">
        <f ca="1">IF(OR($I$10="",$O13="",$P13="",$J$42&lt;&gt;"Yes"),0,IF($K$10=0,SUMIFS(INDIRECT(ADDRESS(12,3+18*0+(7),,,"J1 A - (North) Bishopthorpe Roa")&amp;":"&amp;ADDRESS(130,3+18*0+(7))),'J1 A - (North) Bishopthorpe Roa'!$A$12:$A$130,"&gt;="&amp;Diagram!$O13,'J1 A - (North) Bishopthorpe Roa'!$A$12:$A$130,"&lt;"&amp;Diagram!$P13),SUMIFS(INDIRECT(ADDRESS(12,3+18*0+(15),,,"J1 A - (North) Bishopthorpe Roa")&amp;":"&amp;ADDRESS(130,3+18*0+(15))),'J1 A - (North) Bishopthorpe Roa'!$A$12:$A$130,"&gt;="&amp;Diagram!$O13,'J1 A - (North) Bishopthorpe Roa'!$A$12:$A$130,"&lt;"&amp;Diagram!$P13)))</f>
        <v>0</v>
      </c>
      <c r="EJ13" s="42">
        <f ca="1">IF(OR($I$10="",$O13="",$P13="",$J$42&lt;&gt;"Yes"),0,IF($K$10=0,SUMIFS(INDIRECT(ADDRESS(12,3+18*1+(7),,,"J1 A - (North) Bishopthorpe Roa")&amp;":"&amp;ADDRESS(130,3+18*1+(7))),'J1 A - (North) Bishopthorpe Roa'!$A$12:$A$130,"&gt;="&amp;Diagram!$O13,'J1 A - (North) Bishopthorpe Roa'!$A$12:$A$130,"&lt;"&amp;Diagram!$P13),SUMIFS(INDIRECT(ADDRESS(12,3+18*1+(15),,,"J1 A - (North) Bishopthorpe Roa")&amp;":"&amp;ADDRESS(130,3+18*1+(15))),'J1 A - (North) Bishopthorpe Roa'!$A$12:$A$130,"&gt;="&amp;Diagram!$O13,'J1 A - (North) Bishopthorpe Roa'!$A$12:$A$130,"&lt;"&amp;Diagram!$P13)))</f>
        <v>0</v>
      </c>
      <c r="EK13" s="42">
        <f ca="1">IF(OR($I$10="",$O13="",$P13="",$J$42&lt;&gt;"Yes"),0,IF($K$10=0,SUMIFS(INDIRECT(ADDRESS(12,3+18*2+(7),,,"J1 A - (North) Bishopthorpe Roa")&amp;":"&amp;ADDRESS(130,3+18*2+(7))),'J1 A - (North) Bishopthorpe Roa'!$A$12:$A$130,"&gt;="&amp;Diagram!$O13,'J1 A - (North) Bishopthorpe Roa'!$A$12:$A$130,"&lt;"&amp;Diagram!$P13),SUMIFS(INDIRECT(ADDRESS(12,3+18*2+(15),,,"J1 A - (North) Bishopthorpe Roa")&amp;":"&amp;ADDRESS(130,3+18*2+(15))),'J1 A - (North) Bishopthorpe Roa'!$A$12:$A$130,"&gt;="&amp;Diagram!$O13,'J1 A - (North) Bishopthorpe Roa'!$A$12:$A$130,"&lt;"&amp;Diagram!$P13)))</f>
        <v>0</v>
      </c>
      <c r="EL13" s="42">
        <f ca="1">IF(OR($I$10="",$O13="",$P13="",$J$42&lt;&gt;"Yes"),0,IF($K$10=0,SUMIFS(INDIRECT(ADDRESS(12,3+18*2+(7),,,"J1 B - Butcher Terrace")&amp;":"&amp;ADDRESS(130,3+18*2+(7))),'J1 B - Butcher Terrace'!$A$12:$A$130,"&gt;="&amp;Diagram!$O13,'J1 B - Butcher Terrace'!$A$12:$A$130,"&lt;"&amp;Diagram!$P13),SUMIFS(INDIRECT(ADDRESS(12,3+18*2+(15),,,"J1 B - Butcher Terrace")&amp;":"&amp;ADDRESS(130,3+18*2+(15))),'J1 B - Butcher Terrace'!$A$12:$A$130,"&gt;="&amp;Diagram!$O13,'J1 B - Butcher Terrace'!$A$12:$A$130,"&lt;"&amp;Diagram!$P13)))</f>
        <v>0</v>
      </c>
      <c r="EM13" s="42">
        <f ca="1">IF(OR($I$10="",$O13="",$P13="",$J$42&lt;&gt;"Yes"),0,IF($K$10=0,SUMIFS(INDIRECT(ADDRESS(12,3+18*3+(7),,,"J1 B - Butcher Terrace")&amp;":"&amp;ADDRESS(130,3+18*3+(7))),'J1 B - Butcher Terrace'!$A$12:$A$130,"&gt;="&amp;Diagram!$O13,'J1 B - Butcher Terrace'!$A$12:$A$130,"&lt;"&amp;Diagram!$P13),SUMIFS(INDIRECT(ADDRESS(12,3+18*3+(15),,,"J1 B - Butcher Terrace")&amp;":"&amp;ADDRESS(130,3+18*3+(15))),'J1 B - Butcher Terrace'!$A$12:$A$130,"&gt;="&amp;Diagram!$O13,'J1 B - Butcher Terrace'!$A$12:$A$130,"&lt;"&amp;Diagram!$P13)))</f>
        <v>0</v>
      </c>
      <c r="EN13" s="42">
        <f ca="1">IF(OR($I$10="",$O13="",$P13="",$J$42&lt;&gt;"Yes"),0,IF($K$10=0,SUMIFS(INDIRECT(ADDRESS(12,3+18*0+(7),,,"J1 B - Butcher Terrace")&amp;":"&amp;ADDRESS(130,3+18*0+(7))),'J1 B - Butcher Terrace'!$A$12:$A$130,"&gt;="&amp;Diagram!$O13,'J1 B - Butcher Terrace'!$A$12:$A$130,"&lt;"&amp;Diagram!$P13),SUMIFS(INDIRECT(ADDRESS(12,3+18*0+(15),,,"J1 B - Butcher Terrace")&amp;":"&amp;ADDRESS(130,3+18*0+(15))),'J1 B - Butcher Terrace'!$A$12:$A$130,"&gt;="&amp;Diagram!$O13,'J1 B - Butcher Terrace'!$A$12:$A$130,"&lt;"&amp;Diagram!$P13)))</f>
        <v>0</v>
      </c>
      <c r="EO13" s="42">
        <f ca="1">IF(OR($I$10="",$O13="",$P13="",$J$42&lt;&gt;"Yes"),0,IF($K$10=0,SUMIFS(INDIRECT(ADDRESS(12,3+18*1+(7),,,"J1 B - Butcher Terrace")&amp;":"&amp;ADDRESS(130,3+18*1+(7))),'J1 B - Butcher Terrace'!$A$12:$A$130,"&gt;="&amp;Diagram!$O13,'J1 B - Butcher Terrace'!$A$12:$A$130,"&lt;"&amp;Diagram!$P13),SUMIFS(INDIRECT(ADDRESS(12,3+18*1+(15),,,"J1 B - Butcher Terrace")&amp;":"&amp;ADDRESS(130,3+18*1+(15))),'J1 B - Butcher Terrace'!$A$12:$A$130,"&gt;="&amp;Diagram!$O13,'J1 B - Butcher Terrace'!$A$12:$A$130,"&lt;"&amp;Diagram!$P13)))</f>
        <v>0</v>
      </c>
      <c r="EP13" s="42">
        <f ca="1">IF(OR($I$10="",$O13="",$P13="",$J$42&lt;&gt;"Yes"),0,IF($K$10=0,SUMIFS(INDIRECT(ADDRESS(12,3+18*1+(7),,,"J1 C - (South) Bishopthorpe Roa")&amp;":"&amp;ADDRESS(130,3+18*1+(7))),'J1 C - (South) Bishopthorpe Roa'!$A$12:$A$130,"&gt;="&amp;Diagram!$O13,'J1 C - (South) Bishopthorpe Roa'!$A$12:$A$130,"&lt;"&amp;Diagram!$P13),SUMIFS(INDIRECT(ADDRESS(12,3+18*1+(15),,,"J1 C - (South) Bishopthorpe Roa")&amp;":"&amp;ADDRESS(130,3+18*1+(15))),'J1 C - (South) Bishopthorpe Roa'!$A$12:$A$130,"&gt;="&amp;Diagram!$O13,'J1 C - (South) Bishopthorpe Roa'!$A$12:$A$130,"&lt;"&amp;Diagram!$P13)))</f>
        <v>0</v>
      </c>
      <c r="EQ13" s="42">
        <f ca="1">IF(OR($I$10="",$O13="",$P13="",$J$42&lt;&gt;"Yes"),0,IF($K$10=0,SUMIFS(INDIRECT(ADDRESS(12,3+18*2+(7),,,"J1 C - (South) Bishopthorpe Roa")&amp;":"&amp;ADDRESS(130,3+18*2+(7))),'J1 C - (South) Bishopthorpe Roa'!$A$12:$A$130,"&gt;="&amp;Diagram!$O13,'J1 C - (South) Bishopthorpe Roa'!$A$12:$A$130,"&lt;"&amp;Diagram!$P13),SUMIFS(INDIRECT(ADDRESS(12,3+18*2+(15),,,"J1 C - (South) Bishopthorpe Roa")&amp;":"&amp;ADDRESS(130,3+18*2+(15))),'J1 C - (South) Bishopthorpe Roa'!$A$12:$A$130,"&gt;="&amp;Diagram!$O13,'J1 C - (South) Bishopthorpe Roa'!$A$12:$A$130,"&lt;"&amp;Diagram!$P13)))</f>
        <v>0</v>
      </c>
      <c r="ER13" s="42">
        <f ca="1">IF(OR($I$10="",$O13="",$P13="",$J$42&lt;&gt;"Yes"),0,IF($K$10=0,SUMIFS(INDIRECT(ADDRESS(12,3+18*3+(7),,,"J1 C - (South) Bishopthorpe Roa")&amp;":"&amp;ADDRESS(130,3+18*3+(7))),'J1 C - (South) Bishopthorpe Roa'!$A$12:$A$130,"&gt;="&amp;Diagram!$O13,'J1 C - (South) Bishopthorpe Roa'!$A$12:$A$130,"&lt;"&amp;Diagram!$P13),SUMIFS(INDIRECT(ADDRESS(12,3+18*3+(15),,,"J1 C - (South) Bishopthorpe Roa")&amp;":"&amp;ADDRESS(130,3+18*3+(15))),'J1 C - (South) Bishopthorpe Roa'!$A$12:$A$130,"&gt;="&amp;Diagram!$O13,'J1 C - (South) Bishopthorpe Roa'!$A$12:$A$130,"&lt;"&amp;Diagram!$P13)))</f>
        <v>0</v>
      </c>
      <c r="ES13" s="42">
        <f ca="1">IF(OR($I$10="",$O13="",$P13="",$J$42&lt;&gt;"Yes"),0,IF($K$10=0,SUMIFS(INDIRECT(ADDRESS(12,3+18*0+(7),,,"J1 C - (South) Bishopthorpe Roa")&amp;":"&amp;ADDRESS(130,3+18*0+(7))),'J1 C - (South) Bishopthorpe Roa'!$A$12:$A$130,"&gt;="&amp;Diagram!$O13,'J1 C - (South) Bishopthorpe Roa'!$A$12:$A$130,"&lt;"&amp;Diagram!$P13),SUMIFS(INDIRECT(ADDRESS(12,3+18*0+(15),,,"J1 C - (South) Bishopthorpe Roa")&amp;":"&amp;ADDRESS(130,3+18*0+(15))),'J1 C - (South) Bishopthorpe Roa'!$A$12:$A$130,"&gt;="&amp;Diagram!$O13,'J1 C - (South) Bishopthorpe Roa'!$A$12:$A$130,"&lt;"&amp;Diagram!$P13)))</f>
        <v>0</v>
      </c>
      <c r="ET13" s="42">
        <f ca="1">IF(OR($I$10="",$O13="",$P13="",$J$42&lt;&gt;"Yes"),0,IF($K$10=0,SUMIFS(INDIRECT(ADDRESS(12,3+18*0+(7),,,"J1 D - South Bank Avenue")&amp;":"&amp;ADDRESS(130,3+18*0+(7))),'J1 D - South Bank Avenue'!$A$12:$A$130,"&gt;="&amp;Diagram!$O13,'J1 D - South Bank Avenue'!$A$12:$A$130,"&lt;"&amp;Diagram!$P13),SUMIFS(INDIRECT(ADDRESS(12,3+18*0+(15),,,"J1 D - South Bank Avenue")&amp;":"&amp;ADDRESS(130,3+18*0+(15))),'J1 D - South Bank Avenue'!$A$12:$A$130,"&gt;="&amp;Diagram!$O13,'J1 D - South Bank Avenue'!$A$12:$A$130,"&lt;"&amp;Diagram!$P13)))</f>
        <v>0</v>
      </c>
      <c r="EU13" s="42">
        <f ca="1">IF(OR($I$10="",$O13="",$P13="",$J$42&lt;&gt;"Yes"),0,IF($K$10=0,SUMIFS(INDIRECT(ADDRESS(12,3+18*1+(7),,,"J1 D - South Bank Avenue")&amp;":"&amp;ADDRESS(130,3+18*1+(7))),'J1 D - South Bank Avenue'!$A$12:$A$130,"&gt;="&amp;Diagram!$O13,'J1 D - South Bank Avenue'!$A$12:$A$130,"&lt;"&amp;Diagram!$P13),SUMIFS(INDIRECT(ADDRESS(12,3+18*1+(15),,,"J1 D - South Bank Avenue")&amp;":"&amp;ADDRESS(130,3+18*1+(15))),'J1 D - South Bank Avenue'!$A$12:$A$130,"&gt;="&amp;Diagram!$O13,'J1 D - South Bank Avenue'!$A$12:$A$130,"&lt;"&amp;Diagram!$P13)))</f>
        <v>0</v>
      </c>
      <c r="EV13" s="42">
        <f ca="1">IF(OR($I$10="",$O13="",$P13="",$J$42&lt;&gt;"Yes"),0,IF($K$10=0,SUMIFS(INDIRECT(ADDRESS(12,3+18*2+(7),,,"J1 D - South Bank Avenue")&amp;":"&amp;ADDRESS(130,3+18*2+(7))),'J1 D - South Bank Avenue'!$A$12:$A$130,"&gt;="&amp;Diagram!$O13,'J1 D - South Bank Avenue'!$A$12:$A$130,"&lt;"&amp;Diagram!$P13),SUMIFS(INDIRECT(ADDRESS(12,3+18*2+(15),,,"J1 D - South Bank Avenue")&amp;":"&amp;ADDRESS(130,3+18*2+(15))),'J1 D - South Bank Avenue'!$A$12:$A$130,"&gt;="&amp;Diagram!$O13,'J1 D - South Bank Avenue'!$A$12:$A$130,"&lt;"&amp;Diagram!$P13)))</f>
        <v>0</v>
      </c>
      <c r="EW13" s="42">
        <f ca="1">IF(OR($I$10="",$O13="",$P13="",$J$42&lt;&gt;"Yes"),0,IF($K$10=0,SUMIFS(INDIRECT(ADDRESS(12,3+18*3+(7),,,"J1 D - South Bank Avenue")&amp;":"&amp;ADDRESS(130,3+18*3+(7))),'J1 D - South Bank Avenue'!$A$12:$A$130,"&gt;="&amp;Diagram!$O13,'J1 D - South Bank Avenue'!$A$12:$A$130,"&lt;"&amp;Diagram!$P13),SUMIFS(INDIRECT(ADDRESS(12,3+18*3+(15),,,"J1 D - South Bank Avenue")&amp;":"&amp;ADDRESS(130,3+18*3+(15))),'J1 D - South Bank Avenue'!$A$12:$A$130,"&gt;="&amp;Diagram!$O13,'J1 D - South Bank Avenue'!$A$12:$A$130,"&lt;"&amp;Diagram!$P13)))</f>
        <v>0</v>
      </c>
    </row>
    <row r="14" spans="1:153" ht="5.25" customHeight="1">
      <c r="A14" s="1">
        <v>44395.135416666701</v>
      </c>
      <c r="B14" s="1">
        <v>44395.145833333299</v>
      </c>
      <c r="O14" s="3">
        <v>44395.135416666701</v>
      </c>
      <c r="P14" s="3">
        <v>44395.177083333299</v>
      </c>
      <c r="Q14" s="42">
        <f t="shared" ca="1" si="0"/>
        <v>8</v>
      </c>
      <c r="R14" s="42">
        <f t="shared" ca="1" si="1"/>
        <v>7</v>
      </c>
      <c r="S14" s="42">
        <f ca="1">IF(OR($I$10="",$O14="",$P14="",$J$35&lt;&gt;"Yes"),0,IF($K$10=0,SUMIFS(INDIRECT(ADDRESS(12,3+18*3+(0),,,"J1 A - (North) Bishopthorpe Roa")&amp;":"&amp;ADDRESS(130,3+18*3+(0))),'J1 A - (North) Bishopthorpe Roa'!$A$12:$A$130,"&gt;="&amp;Diagram!$O14,'J1 A - (North) Bishopthorpe Roa'!$A$12:$A$130,"&lt;"&amp;Diagram!$P14),SUMIFS(INDIRECT(ADDRESS(12,3+18*3+(8),,,"J1 A - (North) Bishopthorpe Roa")&amp;":"&amp;ADDRESS(130,3+18*3+(8))),'J1 A - (North) Bishopthorpe Roa'!$A$12:$A$130,"&gt;="&amp;Diagram!$O14,'J1 A - (North) Bishopthorpe Roa'!$A$12:$A$130,"&lt;"&amp;Diagram!$P14)))</f>
        <v>0</v>
      </c>
      <c r="T14" s="42">
        <f ca="1">IF(OR($I$10="",$O14="",$P14="",$J$35&lt;&gt;"Yes"),0,IF($K$10=0,SUMIFS(INDIRECT(ADDRESS(12,3+18*0+(0),,,"J1 A - (North) Bishopthorpe Roa")&amp;":"&amp;ADDRESS(130,3+18*0+(0))),'J1 A - (North) Bishopthorpe Roa'!$A$12:$A$130,"&gt;="&amp;Diagram!$O14,'J1 A - (North) Bishopthorpe Roa'!$A$12:$A$130,"&lt;"&amp;Diagram!$P14),SUMIFS(INDIRECT(ADDRESS(12,3+18*0+(8),,,"J1 A - (North) Bishopthorpe Roa")&amp;":"&amp;ADDRESS(130,3+18*0+(8))),'J1 A - (North) Bishopthorpe Roa'!$A$12:$A$130,"&gt;="&amp;Diagram!$O14,'J1 A - (North) Bishopthorpe Roa'!$A$12:$A$130,"&lt;"&amp;Diagram!$P14)))</f>
        <v>0</v>
      </c>
      <c r="U14" s="42">
        <f ca="1">IF(OR($I$10="",$O14="",$P14="",$J$35&lt;&gt;"Yes"),0,IF($K$10=0,SUMIFS(INDIRECT(ADDRESS(12,3+18*1+(0),,,"J1 A - (North) Bishopthorpe Roa")&amp;":"&amp;ADDRESS(130,3+18*1+(0))),'J1 A - (North) Bishopthorpe Roa'!$A$12:$A$130,"&gt;="&amp;Diagram!$O14,'J1 A - (North) Bishopthorpe Roa'!$A$12:$A$130,"&lt;"&amp;Diagram!$P14),SUMIFS(INDIRECT(ADDRESS(12,3+18*1+(8),,,"J1 A - (North) Bishopthorpe Roa")&amp;":"&amp;ADDRESS(130,3+18*1+(8))),'J1 A - (North) Bishopthorpe Roa'!$A$12:$A$130,"&gt;="&amp;Diagram!$O14,'J1 A - (North) Bishopthorpe Roa'!$A$12:$A$130,"&lt;"&amp;Diagram!$P14)))</f>
        <v>4</v>
      </c>
      <c r="V14" s="42">
        <f ca="1">IF(OR($I$10="",$O14="",$P14="",$J$35&lt;&gt;"Yes"),0,IF($K$10=0,SUMIFS(INDIRECT(ADDRESS(12,3+18*2+(0),,,"J1 A - (North) Bishopthorpe Roa")&amp;":"&amp;ADDRESS(130,3+18*2+(0))),'J1 A - (North) Bishopthorpe Roa'!$A$12:$A$130,"&gt;="&amp;Diagram!$O14,'J1 A - (North) Bishopthorpe Roa'!$A$12:$A$130,"&lt;"&amp;Diagram!$P14),SUMIFS(INDIRECT(ADDRESS(12,3+18*2+(8),,,"J1 A - (North) Bishopthorpe Roa")&amp;":"&amp;ADDRESS(130,3+18*2+(8))),'J1 A - (North) Bishopthorpe Roa'!$A$12:$A$130,"&gt;="&amp;Diagram!$O14,'J1 A - (North) Bishopthorpe Roa'!$A$12:$A$130,"&lt;"&amp;Diagram!$P14)))</f>
        <v>0</v>
      </c>
      <c r="W14" s="42">
        <f ca="1">IF(OR($I$10="",$O14="",$P14="",$J$35&lt;&gt;"Yes"),0,IF($K$10=0,SUMIFS(INDIRECT(ADDRESS(12,3+18*2+(0),,,"J1 B - Butcher Terrace")&amp;":"&amp;ADDRESS(130,3+18*2+(0))),'J1 B - Butcher Terrace'!$A$12:$A$130,"&gt;="&amp;Diagram!$O14,'J1 B - Butcher Terrace'!$A$12:$A$130,"&lt;"&amp;Diagram!$P14),SUMIFS(INDIRECT(ADDRESS(12,3+18*2+(8),,,"J1 B - Butcher Terrace")&amp;":"&amp;ADDRESS(130,3+18*2+(8))),'J1 B - Butcher Terrace'!$A$12:$A$130,"&gt;="&amp;Diagram!$O14,'J1 B - Butcher Terrace'!$A$12:$A$130,"&lt;"&amp;Diagram!$P14)))</f>
        <v>0</v>
      </c>
      <c r="X14" s="42">
        <f ca="1">IF(OR($I$10="",$O14="",$P14="",$J$35&lt;&gt;"Yes"),0,IF($K$10=0,SUMIFS(INDIRECT(ADDRESS(12,3+18*3+(0),,,"J1 B - Butcher Terrace")&amp;":"&amp;ADDRESS(130,3+18*3+(0))),'J1 B - Butcher Terrace'!$A$12:$A$130,"&gt;="&amp;Diagram!$O14,'J1 B - Butcher Terrace'!$A$12:$A$130,"&lt;"&amp;Diagram!$P14),SUMIFS(INDIRECT(ADDRESS(12,3+18*3+(8),,,"J1 B - Butcher Terrace")&amp;":"&amp;ADDRESS(130,3+18*3+(8))),'J1 B - Butcher Terrace'!$A$12:$A$130,"&gt;="&amp;Diagram!$O14,'J1 B - Butcher Terrace'!$A$12:$A$130,"&lt;"&amp;Diagram!$P14)))</f>
        <v>0</v>
      </c>
      <c r="Y14" s="42">
        <f ca="1">IF(OR($I$10="",$O14="",$P14="",$J$35&lt;&gt;"Yes"),0,IF($K$10=0,SUMIFS(INDIRECT(ADDRESS(12,3+18*0+(0),,,"J1 B - Butcher Terrace")&amp;":"&amp;ADDRESS(130,3+18*0+(0))),'J1 B - Butcher Terrace'!$A$12:$A$130,"&gt;="&amp;Diagram!$O14,'J1 B - Butcher Terrace'!$A$12:$A$130,"&lt;"&amp;Diagram!$P14),SUMIFS(INDIRECT(ADDRESS(12,3+18*0+(8),,,"J1 B - Butcher Terrace")&amp;":"&amp;ADDRESS(130,3+18*0+(8))),'J1 B - Butcher Terrace'!$A$12:$A$130,"&gt;="&amp;Diagram!$O14,'J1 B - Butcher Terrace'!$A$12:$A$130,"&lt;"&amp;Diagram!$P14)))</f>
        <v>0</v>
      </c>
      <c r="Z14" s="42">
        <f ca="1">IF(OR($I$10="",$O14="",$P14="",$J$35&lt;&gt;"Yes"),0,IF($K$10=0,SUMIFS(INDIRECT(ADDRESS(12,3+18*1+(0),,,"J1 B - Butcher Terrace")&amp;":"&amp;ADDRESS(130,3+18*1+(0))),'J1 B - Butcher Terrace'!$A$12:$A$130,"&gt;="&amp;Diagram!$O14,'J1 B - Butcher Terrace'!$A$12:$A$130,"&lt;"&amp;Diagram!$P14),SUMIFS(INDIRECT(ADDRESS(12,3+18*1+(8),,,"J1 B - Butcher Terrace")&amp;":"&amp;ADDRESS(130,3+18*1+(8))),'J1 B - Butcher Terrace'!$A$12:$A$130,"&gt;="&amp;Diagram!$O14,'J1 B - Butcher Terrace'!$A$12:$A$130,"&lt;"&amp;Diagram!$P14)))</f>
        <v>0</v>
      </c>
      <c r="AA14" s="42">
        <f ca="1">IF(OR($I$10="",$O14="",$P14="",$J$35&lt;&gt;"Yes"),0,IF($K$10=0,SUMIFS(INDIRECT(ADDRESS(12,3+18*1+(0),,,"J1 C - (South) Bishopthorpe Roa")&amp;":"&amp;ADDRESS(130,3+18*1+(0))),'J1 C - (South) Bishopthorpe Roa'!$A$12:$A$130,"&gt;="&amp;Diagram!$O14,'J1 C - (South) Bishopthorpe Roa'!$A$12:$A$130,"&lt;"&amp;Diagram!$P14),SUMIFS(INDIRECT(ADDRESS(12,3+18*1+(8),,,"J1 C - (South) Bishopthorpe Roa")&amp;":"&amp;ADDRESS(130,3+18*1+(8))),'J1 C - (South) Bishopthorpe Roa'!$A$12:$A$130,"&gt;="&amp;Diagram!$O14,'J1 C - (South) Bishopthorpe Roa'!$A$12:$A$130,"&lt;"&amp;Diagram!$P14)))</f>
        <v>3</v>
      </c>
      <c r="AB14" s="42">
        <f ca="1">IF(OR($I$10="",$O14="",$P14="",$J$35&lt;&gt;"Yes"),0,IF($K$10=0,SUMIFS(INDIRECT(ADDRESS(12,3+18*2+(0),,,"J1 C - (South) Bishopthorpe Roa")&amp;":"&amp;ADDRESS(130,3+18*2+(0))),'J1 C - (South) Bishopthorpe Roa'!$A$12:$A$130,"&gt;="&amp;Diagram!$O14,'J1 C - (South) Bishopthorpe Roa'!$A$12:$A$130,"&lt;"&amp;Diagram!$P14),SUMIFS(INDIRECT(ADDRESS(12,3+18*2+(8),,,"J1 C - (South) Bishopthorpe Roa")&amp;":"&amp;ADDRESS(130,3+18*2+(8))),'J1 C - (South) Bishopthorpe Roa'!$A$12:$A$130,"&gt;="&amp;Diagram!$O14,'J1 C - (South) Bishopthorpe Roa'!$A$12:$A$130,"&lt;"&amp;Diagram!$P14)))</f>
        <v>0</v>
      </c>
      <c r="AC14" s="42">
        <f ca="1">IF(OR($I$10="",$O14="",$P14="",$J$35&lt;&gt;"Yes"),0,IF($K$10=0,SUMIFS(INDIRECT(ADDRESS(12,3+18*3+(0),,,"J1 C - (South) Bishopthorpe Roa")&amp;":"&amp;ADDRESS(130,3+18*3+(0))),'J1 C - (South) Bishopthorpe Roa'!$A$12:$A$130,"&gt;="&amp;Diagram!$O14,'J1 C - (South) Bishopthorpe Roa'!$A$12:$A$130,"&lt;"&amp;Diagram!$P14),SUMIFS(INDIRECT(ADDRESS(12,3+18*3+(8),,,"J1 C - (South) Bishopthorpe Roa")&amp;":"&amp;ADDRESS(130,3+18*3+(8))),'J1 C - (South) Bishopthorpe Roa'!$A$12:$A$130,"&gt;="&amp;Diagram!$O14,'J1 C - (South) Bishopthorpe Roa'!$A$12:$A$130,"&lt;"&amp;Diagram!$P14)))</f>
        <v>0</v>
      </c>
      <c r="AD14" s="42">
        <f ca="1">IF(OR($I$10="",$O14="",$P14="",$J$35&lt;&gt;"Yes"),0,IF($K$10=0,SUMIFS(INDIRECT(ADDRESS(12,3+18*0+(0),,,"J1 C - (South) Bishopthorpe Roa")&amp;":"&amp;ADDRESS(130,3+18*0+(0))),'J1 C - (South) Bishopthorpe Roa'!$A$12:$A$130,"&gt;="&amp;Diagram!$O14,'J1 C - (South) Bishopthorpe Roa'!$A$12:$A$130,"&lt;"&amp;Diagram!$P14),SUMIFS(INDIRECT(ADDRESS(12,3+18*0+(8),,,"J1 C - (South) Bishopthorpe Roa")&amp;":"&amp;ADDRESS(130,3+18*0+(8))),'J1 C - (South) Bishopthorpe Roa'!$A$12:$A$130,"&gt;="&amp;Diagram!$O14,'J1 C - (South) Bishopthorpe Roa'!$A$12:$A$130,"&lt;"&amp;Diagram!$P14)))</f>
        <v>0</v>
      </c>
      <c r="AE14" s="42">
        <f ca="1">IF(OR($I$10="",$O14="",$P14="",$J$35&lt;&gt;"Yes"),0,IF($K$10=0,SUMIFS(INDIRECT(ADDRESS(12,3+18*0+(0),,,"J1 D - South Bank Avenue")&amp;":"&amp;ADDRESS(130,3+18*0+(0))),'J1 D - South Bank Avenue'!$A$12:$A$130,"&gt;="&amp;Diagram!$O14,'J1 D - South Bank Avenue'!$A$12:$A$130,"&lt;"&amp;Diagram!$P14),SUMIFS(INDIRECT(ADDRESS(12,3+18*0+(8),,,"J1 D - South Bank Avenue")&amp;":"&amp;ADDRESS(130,3+18*0+(8))),'J1 D - South Bank Avenue'!$A$12:$A$130,"&gt;="&amp;Diagram!$O14,'J1 D - South Bank Avenue'!$A$12:$A$130,"&lt;"&amp;Diagram!$P14)))</f>
        <v>0</v>
      </c>
      <c r="AF14" s="42">
        <f ca="1">IF(OR($I$10="",$O14="",$P14="",$J$35&lt;&gt;"Yes"),0,IF($K$10=0,SUMIFS(INDIRECT(ADDRESS(12,3+18*1+(0),,,"J1 D - South Bank Avenue")&amp;":"&amp;ADDRESS(130,3+18*1+(0))),'J1 D - South Bank Avenue'!$A$12:$A$130,"&gt;="&amp;Diagram!$O14,'J1 D - South Bank Avenue'!$A$12:$A$130,"&lt;"&amp;Diagram!$P14),SUMIFS(INDIRECT(ADDRESS(12,3+18*1+(8),,,"J1 D - South Bank Avenue")&amp;":"&amp;ADDRESS(130,3+18*1+(8))),'J1 D - South Bank Avenue'!$A$12:$A$130,"&gt;="&amp;Diagram!$O14,'J1 D - South Bank Avenue'!$A$12:$A$130,"&lt;"&amp;Diagram!$P14)))</f>
        <v>0</v>
      </c>
      <c r="AG14" s="42">
        <f ca="1">IF(OR($I$10="",$O14="",$P14="",$J$35&lt;&gt;"Yes"),0,IF($K$10=0,SUMIFS(INDIRECT(ADDRESS(12,3+18*2+(0),,,"J1 D - South Bank Avenue")&amp;":"&amp;ADDRESS(130,3+18*2+(0))),'J1 D - South Bank Avenue'!$A$12:$A$130,"&gt;="&amp;Diagram!$O14,'J1 D - South Bank Avenue'!$A$12:$A$130,"&lt;"&amp;Diagram!$P14),SUMIFS(INDIRECT(ADDRESS(12,3+18*2+(8),,,"J1 D - South Bank Avenue")&amp;":"&amp;ADDRESS(130,3+18*2+(8))),'J1 D - South Bank Avenue'!$A$12:$A$130,"&gt;="&amp;Diagram!$O14,'J1 D - South Bank Avenue'!$A$12:$A$130,"&lt;"&amp;Diagram!$P14)))</f>
        <v>0</v>
      </c>
      <c r="AH14" s="42">
        <f ca="1">IF(OR($I$10="",$O14="",$P14="",$J$35&lt;&gt;"Yes"),0,IF($K$10=0,SUMIFS(INDIRECT(ADDRESS(12,3+18*3+(0),,,"J1 D - South Bank Avenue")&amp;":"&amp;ADDRESS(130,3+18*3+(0))),'J1 D - South Bank Avenue'!$A$12:$A$130,"&gt;="&amp;Diagram!$O14,'J1 D - South Bank Avenue'!$A$12:$A$130,"&lt;"&amp;Diagram!$P14),SUMIFS(INDIRECT(ADDRESS(12,3+18*3+(8),,,"J1 D - South Bank Avenue")&amp;":"&amp;ADDRESS(130,3+18*3+(8))),'J1 D - South Bank Avenue'!$A$12:$A$130,"&gt;="&amp;Diagram!$O14,'J1 D - South Bank Avenue'!$A$12:$A$130,"&lt;"&amp;Diagram!$P14)))</f>
        <v>0</v>
      </c>
      <c r="AI14" s="42">
        <f t="shared" ca="1" si="2"/>
        <v>1</v>
      </c>
      <c r="AJ14" s="42">
        <f ca="1">IF(OR($I$10="",$O14="",$P14="",$J$36&lt;&gt;"Yes"),0,IF($K$10=0,SUMIFS(INDIRECT(ADDRESS(12,3+18*3+(1),,,"J1 A - (North) Bishopthorpe Roa")&amp;":"&amp;ADDRESS(130,3+18*3+(1))),'J1 A - (North) Bishopthorpe Roa'!$A$12:$A$130,"&gt;="&amp;Diagram!$O14,'J1 A - (North) Bishopthorpe Roa'!$A$12:$A$130,"&lt;"&amp;Diagram!$P14),SUMIFS(INDIRECT(ADDRESS(12,3+18*3+(9),,,"J1 A - (North) Bishopthorpe Roa")&amp;":"&amp;ADDRESS(130,3+18*3+(9))),'J1 A - (North) Bishopthorpe Roa'!$A$12:$A$130,"&gt;="&amp;Diagram!$O14,'J1 A - (North) Bishopthorpe Roa'!$A$12:$A$130,"&lt;"&amp;Diagram!$P14)))</f>
        <v>0</v>
      </c>
      <c r="AK14" s="42">
        <f ca="1">IF(OR($I$10="",$O14="",$P14="",$J$36&lt;&gt;"Yes"),0,IF($K$10=0,SUMIFS(INDIRECT(ADDRESS(12,3+18*0+(1),,,"J1 A - (North) Bishopthorpe Roa")&amp;":"&amp;ADDRESS(130,3+18*0+(1))),'J1 A - (North) Bishopthorpe Roa'!$A$12:$A$130,"&gt;="&amp;Diagram!$O14,'J1 A - (North) Bishopthorpe Roa'!$A$12:$A$130,"&lt;"&amp;Diagram!$P14),SUMIFS(INDIRECT(ADDRESS(12,3+18*0+(9),,,"J1 A - (North) Bishopthorpe Roa")&amp;":"&amp;ADDRESS(130,3+18*0+(9))),'J1 A - (North) Bishopthorpe Roa'!$A$12:$A$130,"&gt;="&amp;Diagram!$O14,'J1 A - (North) Bishopthorpe Roa'!$A$12:$A$130,"&lt;"&amp;Diagram!$P14)))</f>
        <v>0</v>
      </c>
      <c r="AL14" s="42">
        <f ca="1">IF(OR($I$10="",$O14="",$P14="",$J$36&lt;&gt;"Yes"),0,IF($K$10=0,SUMIFS(INDIRECT(ADDRESS(12,3+18*1+(1),,,"J1 A - (North) Bishopthorpe Roa")&amp;":"&amp;ADDRESS(130,3+18*1+(1))),'J1 A - (North) Bishopthorpe Roa'!$A$12:$A$130,"&gt;="&amp;Diagram!$O14,'J1 A - (North) Bishopthorpe Roa'!$A$12:$A$130,"&lt;"&amp;Diagram!$P14),SUMIFS(INDIRECT(ADDRESS(12,3+18*1+(9),,,"J1 A - (North) Bishopthorpe Roa")&amp;":"&amp;ADDRESS(130,3+18*1+(9))),'J1 A - (North) Bishopthorpe Roa'!$A$12:$A$130,"&gt;="&amp;Diagram!$O14,'J1 A - (North) Bishopthorpe Roa'!$A$12:$A$130,"&lt;"&amp;Diagram!$P14)))</f>
        <v>1</v>
      </c>
      <c r="AM14" s="42">
        <f ca="1">IF(OR($I$10="",$O14="",$P14="",$J$36&lt;&gt;"Yes"),0,IF($K$10=0,SUMIFS(INDIRECT(ADDRESS(12,3+18*2+(1),,,"J1 A - (North) Bishopthorpe Roa")&amp;":"&amp;ADDRESS(130,3+18*2+(1))),'J1 A - (North) Bishopthorpe Roa'!$A$12:$A$130,"&gt;="&amp;Diagram!$O14,'J1 A - (North) Bishopthorpe Roa'!$A$12:$A$130,"&lt;"&amp;Diagram!$P14),SUMIFS(INDIRECT(ADDRESS(12,3+18*2+(9),,,"J1 A - (North) Bishopthorpe Roa")&amp;":"&amp;ADDRESS(130,3+18*2+(9))),'J1 A - (North) Bishopthorpe Roa'!$A$12:$A$130,"&gt;="&amp;Diagram!$O14,'J1 A - (North) Bishopthorpe Roa'!$A$12:$A$130,"&lt;"&amp;Diagram!$P14)))</f>
        <v>0</v>
      </c>
      <c r="AN14" s="42">
        <f ca="1">IF(OR($I$10="",$O14="",$P14="",$J$36&lt;&gt;"Yes"),0,IF($K$10=0,SUMIFS(INDIRECT(ADDRESS(12,3+18*2+(1),,,"J1 B - Butcher Terrace")&amp;":"&amp;ADDRESS(130,3+18*2+(1))),'J1 B - Butcher Terrace'!$A$12:$A$130,"&gt;="&amp;Diagram!$O14,'J1 B - Butcher Terrace'!$A$12:$A$130,"&lt;"&amp;Diagram!$P14),SUMIFS(INDIRECT(ADDRESS(12,3+18*2+(9),,,"J1 B - Butcher Terrace")&amp;":"&amp;ADDRESS(130,3+18*2+(9))),'J1 B - Butcher Terrace'!$A$12:$A$130,"&gt;="&amp;Diagram!$O14,'J1 B - Butcher Terrace'!$A$12:$A$130,"&lt;"&amp;Diagram!$P14)))</f>
        <v>0</v>
      </c>
      <c r="AO14" s="42">
        <f ca="1">IF(OR($I$10="",$O14="",$P14="",$J$36&lt;&gt;"Yes"),0,IF($K$10=0,SUMIFS(INDIRECT(ADDRESS(12,3+18*3+(1),,,"J1 B - Butcher Terrace")&amp;":"&amp;ADDRESS(130,3+18*3+(1))),'J1 B - Butcher Terrace'!$A$12:$A$130,"&gt;="&amp;Diagram!$O14,'J1 B - Butcher Terrace'!$A$12:$A$130,"&lt;"&amp;Diagram!$P14),SUMIFS(INDIRECT(ADDRESS(12,3+18*3+(9),,,"J1 B - Butcher Terrace")&amp;":"&amp;ADDRESS(130,3+18*3+(9))),'J1 B - Butcher Terrace'!$A$12:$A$130,"&gt;="&amp;Diagram!$O14,'J1 B - Butcher Terrace'!$A$12:$A$130,"&lt;"&amp;Diagram!$P14)))</f>
        <v>0</v>
      </c>
      <c r="AP14" s="42">
        <f ca="1">IF(OR($I$10="",$O14="",$P14="",$J$36&lt;&gt;"Yes"),0,IF($K$10=0,SUMIFS(INDIRECT(ADDRESS(12,3+18*0+(1),,,"J1 B - Butcher Terrace")&amp;":"&amp;ADDRESS(130,3+18*0+(1))),'J1 B - Butcher Terrace'!$A$12:$A$130,"&gt;="&amp;Diagram!$O14,'J1 B - Butcher Terrace'!$A$12:$A$130,"&lt;"&amp;Diagram!$P14),SUMIFS(INDIRECT(ADDRESS(12,3+18*0+(9),,,"J1 B - Butcher Terrace")&amp;":"&amp;ADDRESS(130,3+18*0+(9))),'J1 B - Butcher Terrace'!$A$12:$A$130,"&gt;="&amp;Diagram!$O14,'J1 B - Butcher Terrace'!$A$12:$A$130,"&lt;"&amp;Diagram!$P14)))</f>
        <v>0</v>
      </c>
      <c r="AQ14" s="42">
        <f ca="1">IF(OR($I$10="",$O14="",$P14="",$J$36&lt;&gt;"Yes"),0,IF($K$10=0,SUMIFS(INDIRECT(ADDRESS(12,3+18*1+(1),,,"J1 B - Butcher Terrace")&amp;":"&amp;ADDRESS(130,3+18*1+(1))),'J1 B - Butcher Terrace'!$A$12:$A$130,"&gt;="&amp;Diagram!$O14,'J1 B - Butcher Terrace'!$A$12:$A$130,"&lt;"&amp;Diagram!$P14),SUMIFS(INDIRECT(ADDRESS(12,3+18*1+(9),,,"J1 B - Butcher Terrace")&amp;":"&amp;ADDRESS(130,3+18*1+(9))),'J1 B - Butcher Terrace'!$A$12:$A$130,"&gt;="&amp;Diagram!$O14,'J1 B - Butcher Terrace'!$A$12:$A$130,"&lt;"&amp;Diagram!$P14)))</f>
        <v>0</v>
      </c>
      <c r="AR14" s="42">
        <f ca="1">IF(OR($I$10="",$O14="",$P14="",$J$36&lt;&gt;"Yes"),0,IF($K$10=0,SUMIFS(INDIRECT(ADDRESS(12,3+18*1+(1),,,"J1 C - (South) Bishopthorpe Roa")&amp;":"&amp;ADDRESS(130,3+18*1+(1))),'J1 C - (South) Bishopthorpe Roa'!$A$12:$A$130,"&gt;="&amp;Diagram!$O14,'J1 C - (South) Bishopthorpe Roa'!$A$12:$A$130,"&lt;"&amp;Diagram!$P14),SUMIFS(INDIRECT(ADDRESS(12,3+18*1+(9),,,"J1 C - (South) Bishopthorpe Roa")&amp;":"&amp;ADDRESS(130,3+18*1+(9))),'J1 C - (South) Bishopthorpe Roa'!$A$12:$A$130,"&gt;="&amp;Diagram!$O14,'J1 C - (South) Bishopthorpe Roa'!$A$12:$A$130,"&lt;"&amp;Diagram!$P14)))</f>
        <v>0</v>
      </c>
      <c r="AS14" s="42">
        <f ca="1">IF(OR($I$10="",$O14="",$P14="",$J$36&lt;&gt;"Yes"),0,IF($K$10=0,SUMIFS(INDIRECT(ADDRESS(12,3+18*2+(1),,,"J1 C - (South) Bishopthorpe Roa")&amp;":"&amp;ADDRESS(130,3+18*2+(1))),'J1 C - (South) Bishopthorpe Roa'!$A$12:$A$130,"&gt;="&amp;Diagram!$O14,'J1 C - (South) Bishopthorpe Roa'!$A$12:$A$130,"&lt;"&amp;Diagram!$P14),SUMIFS(INDIRECT(ADDRESS(12,3+18*2+(9),,,"J1 C - (South) Bishopthorpe Roa")&amp;":"&amp;ADDRESS(130,3+18*2+(9))),'J1 C - (South) Bishopthorpe Roa'!$A$12:$A$130,"&gt;="&amp;Diagram!$O14,'J1 C - (South) Bishopthorpe Roa'!$A$12:$A$130,"&lt;"&amp;Diagram!$P14)))</f>
        <v>0</v>
      </c>
      <c r="AT14" s="42">
        <f ca="1">IF(OR($I$10="",$O14="",$P14="",$J$36&lt;&gt;"Yes"),0,IF($K$10=0,SUMIFS(INDIRECT(ADDRESS(12,3+18*3+(1),,,"J1 C - (South) Bishopthorpe Roa")&amp;":"&amp;ADDRESS(130,3+18*3+(1))),'J1 C - (South) Bishopthorpe Roa'!$A$12:$A$130,"&gt;="&amp;Diagram!$O14,'J1 C - (South) Bishopthorpe Roa'!$A$12:$A$130,"&lt;"&amp;Diagram!$P14),SUMIFS(INDIRECT(ADDRESS(12,3+18*3+(9),,,"J1 C - (South) Bishopthorpe Roa")&amp;":"&amp;ADDRESS(130,3+18*3+(9))),'J1 C - (South) Bishopthorpe Roa'!$A$12:$A$130,"&gt;="&amp;Diagram!$O14,'J1 C - (South) Bishopthorpe Roa'!$A$12:$A$130,"&lt;"&amp;Diagram!$P14)))</f>
        <v>0</v>
      </c>
      <c r="AU14" s="42">
        <f ca="1">IF(OR($I$10="",$O14="",$P14="",$J$36&lt;&gt;"Yes"),0,IF($K$10=0,SUMIFS(INDIRECT(ADDRESS(12,3+18*0+(1),,,"J1 C - (South) Bishopthorpe Roa")&amp;":"&amp;ADDRESS(130,3+18*0+(1))),'J1 C - (South) Bishopthorpe Roa'!$A$12:$A$130,"&gt;="&amp;Diagram!$O14,'J1 C - (South) Bishopthorpe Roa'!$A$12:$A$130,"&lt;"&amp;Diagram!$P14),SUMIFS(INDIRECT(ADDRESS(12,3+18*0+(9),,,"J1 C - (South) Bishopthorpe Roa")&amp;":"&amp;ADDRESS(130,3+18*0+(9))),'J1 C - (South) Bishopthorpe Roa'!$A$12:$A$130,"&gt;="&amp;Diagram!$O14,'J1 C - (South) Bishopthorpe Roa'!$A$12:$A$130,"&lt;"&amp;Diagram!$P14)))</f>
        <v>0</v>
      </c>
      <c r="AV14" s="42">
        <f ca="1">IF(OR($I$10="",$O14="",$P14="",$J$36&lt;&gt;"Yes"),0,IF($K$10=0,SUMIFS(INDIRECT(ADDRESS(12,3+18*0+(1),,,"J1 D - South Bank Avenue")&amp;":"&amp;ADDRESS(130,3+18*0+(1))),'J1 D - South Bank Avenue'!$A$12:$A$130,"&gt;="&amp;Diagram!$O14,'J1 D - South Bank Avenue'!$A$12:$A$130,"&lt;"&amp;Diagram!$P14),SUMIFS(INDIRECT(ADDRESS(12,3+18*0+(9),,,"J1 D - South Bank Avenue")&amp;":"&amp;ADDRESS(130,3+18*0+(9))),'J1 D - South Bank Avenue'!$A$12:$A$130,"&gt;="&amp;Diagram!$O14,'J1 D - South Bank Avenue'!$A$12:$A$130,"&lt;"&amp;Diagram!$P14)))</f>
        <v>0</v>
      </c>
      <c r="AW14" s="42">
        <f ca="1">IF(OR($I$10="",$O14="",$P14="",$J$36&lt;&gt;"Yes"),0,IF($K$10=0,SUMIFS(INDIRECT(ADDRESS(12,3+18*1+(1),,,"J1 D - South Bank Avenue")&amp;":"&amp;ADDRESS(130,3+18*1+(1))),'J1 D - South Bank Avenue'!$A$12:$A$130,"&gt;="&amp;Diagram!$O14,'J1 D - South Bank Avenue'!$A$12:$A$130,"&lt;"&amp;Diagram!$P14),SUMIFS(INDIRECT(ADDRESS(12,3+18*1+(9),,,"J1 D - South Bank Avenue")&amp;":"&amp;ADDRESS(130,3+18*1+(9))),'J1 D - South Bank Avenue'!$A$12:$A$130,"&gt;="&amp;Diagram!$O14,'J1 D - South Bank Avenue'!$A$12:$A$130,"&lt;"&amp;Diagram!$P14)))</f>
        <v>0</v>
      </c>
      <c r="AX14" s="42">
        <f ca="1">IF(OR($I$10="",$O14="",$P14="",$J$36&lt;&gt;"Yes"),0,IF($K$10=0,SUMIFS(INDIRECT(ADDRESS(12,3+18*2+(1),,,"J1 D - South Bank Avenue")&amp;":"&amp;ADDRESS(130,3+18*2+(1))),'J1 D - South Bank Avenue'!$A$12:$A$130,"&gt;="&amp;Diagram!$O14,'J1 D - South Bank Avenue'!$A$12:$A$130,"&lt;"&amp;Diagram!$P14),SUMIFS(INDIRECT(ADDRESS(12,3+18*2+(9),,,"J1 D - South Bank Avenue")&amp;":"&amp;ADDRESS(130,3+18*2+(9))),'J1 D - South Bank Avenue'!$A$12:$A$130,"&gt;="&amp;Diagram!$O14,'J1 D - South Bank Avenue'!$A$12:$A$130,"&lt;"&amp;Diagram!$P14)))</f>
        <v>0</v>
      </c>
      <c r="AY14" s="42">
        <f ca="1">IF(OR($I$10="",$O14="",$P14="",$J$36&lt;&gt;"Yes"),0,IF($K$10=0,SUMIFS(INDIRECT(ADDRESS(12,3+18*3+(1),,,"J1 D - South Bank Avenue")&amp;":"&amp;ADDRESS(130,3+18*3+(1))),'J1 D - South Bank Avenue'!$A$12:$A$130,"&gt;="&amp;Diagram!$O14,'J1 D - South Bank Avenue'!$A$12:$A$130,"&lt;"&amp;Diagram!$P14),SUMIFS(INDIRECT(ADDRESS(12,3+18*3+(9),,,"J1 D - South Bank Avenue")&amp;":"&amp;ADDRESS(130,3+18*3+(9))),'J1 D - South Bank Avenue'!$A$12:$A$130,"&gt;="&amp;Diagram!$O14,'J1 D - South Bank Avenue'!$A$12:$A$130,"&lt;"&amp;Diagram!$P14)))</f>
        <v>0</v>
      </c>
      <c r="AZ14" s="42">
        <f t="shared" ca="1" si="3"/>
        <v>0</v>
      </c>
      <c r="BA14" s="42">
        <f ca="1">IF(OR($I$10="",$O14="",$P14="",$J$37&lt;&gt;"Yes"),0,IF($K$10=0,SUMIFS(INDIRECT(ADDRESS(12,3+18*3+(2),,,"J1 A - (North) Bishopthorpe Roa")&amp;":"&amp;ADDRESS(130,3+18*3+(2))),'J1 A - (North) Bishopthorpe Roa'!$A$12:$A$130,"&gt;="&amp;Diagram!$O14,'J1 A - (North) Bishopthorpe Roa'!$A$12:$A$130,"&lt;"&amp;Diagram!$P14),SUMIFS(INDIRECT(ADDRESS(12,3+18*3+(10),,,"J1 A - (North) Bishopthorpe Roa")&amp;":"&amp;ADDRESS(130,3+18*3+(10))),'J1 A - (North) Bishopthorpe Roa'!$A$12:$A$130,"&gt;="&amp;Diagram!$O14,'J1 A - (North) Bishopthorpe Roa'!$A$12:$A$130,"&lt;"&amp;Diagram!$P14)))</f>
        <v>0</v>
      </c>
      <c r="BB14" s="42">
        <f ca="1">IF(OR($I$10="",$O14="",$P14="",$J$37&lt;&gt;"Yes"),0,IF($K$10=0,SUMIFS(INDIRECT(ADDRESS(12,3+18*0+(2),,,"J1 A - (North) Bishopthorpe Roa")&amp;":"&amp;ADDRESS(130,3+18*0+(2))),'J1 A - (North) Bishopthorpe Roa'!$A$12:$A$130,"&gt;="&amp;Diagram!$O14,'J1 A - (North) Bishopthorpe Roa'!$A$12:$A$130,"&lt;"&amp;Diagram!$P14),SUMIFS(INDIRECT(ADDRESS(12,3+18*0+(10),,,"J1 A - (North) Bishopthorpe Roa")&amp;":"&amp;ADDRESS(130,3+18*0+(10))),'J1 A - (North) Bishopthorpe Roa'!$A$12:$A$130,"&gt;="&amp;Diagram!$O14,'J1 A - (North) Bishopthorpe Roa'!$A$12:$A$130,"&lt;"&amp;Diagram!$P14)))</f>
        <v>0</v>
      </c>
      <c r="BC14" s="42">
        <f ca="1">IF(OR($I$10="",$O14="",$P14="",$J$37&lt;&gt;"Yes"),0,IF($K$10=0,SUMIFS(INDIRECT(ADDRESS(12,3+18*1+(2),,,"J1 A - (North) Bishopthorpe Roa")&amp;":"&amp;ADDRESS(130,3+18*1+(2))),'J1 A - (North) Bishopthorpe Roa'!$A$12:$A$130,"&gt;="&amp;Diagram!$O14,'J1 A - (North) Bishopthorpe Roa'!$A$12:$A$130,"&lt;"&amp;Diagram!$P14),SUMIFS(INDIRECT(ADDRESS(12,3+18*1+(10),,,"J1 A - (North) Bishopthorpe Roa")&amp;":"&amp;ADDRESS(130,3+18*1+(10))),'J1 A - (North) Bishopthorpe Roa'!$A$12:$A$130,"&gt;="&amp;Diagram!$O14,'J1 A - (North) Bishopthorpe Roa'!$A$12:$A$130,"&lt;"&amp;Diagram!$P14)))</f>
        <v>0</v>
      </c>
      <c r="BD14" s="42">
        <f ca="1">IF(OR($I$10="",$O14="",$P14="",$J$37&lt;&gt;"Yes"),0,IF($K$10=0,SUMIFS(INDIRECT(ADDRESS(12,3+18*2+(2),,,"J1 A - (North) Bishopthorpe Roa")&amp;":"&amp;ADDRESS(130,3+18*2+(2))),'J1 A - (North) Bishopthorpe Roa'!$A$12:$A$130,"&gt;="&amp;Diagram!$O14,'J1 A - (North) Bishopthorpe Roa'!$A$12:$A$130,"&lt;"&amp;Diagram!$P14),SUMIFS(INDIRECT(ADDRESS(12,3+18*2+(10),,,"J1 A - (North) Bishopthorpe Roa")&amp;":"&amp;ADDRESS(130,3+18*2+(10))),'J1 A - (North) Bishopthorpe Roa'!$A$12:$A$130,"&gt;="&amp;Diagram!$O14,'J1 A - (North) Bishopthorpe Roa'!$A$12:$A$130,"&lt;"&amp;Diagram!$P14)))</f>
        <v>0</v>
      </c>
      <c r="BE14" s="42">
        <f ca="1">IF(OR($I$10="",$O14="",$P14="",$J$37&lt;&gt;"Yes"),0,IF($K$10=0,SUMIFS(INDIRECT(ADDRESS(12,3+18*2+(2),,,"J1 B - Butcher Terrace")&amp;":"&amp;ADDRESS(130,3+18*2+(2))),'J1 B - Butcher Terrace'!$A$12:$A$130,"&gt;="&amp;Diagram!$O14,'J1 B - Butcher Terrace'!$A$12:$A$130,"&lt;"&amp;Diagram!$P14),SUMIFS(INDIRECT(ADDRESS(12,3+18*2+(10),,,"J1 B - Butcher Terrace")&amp;":"&amp;ADDRESS(130,3+18*2+(10))),'J1 B - Butcher Terrace'!$A$12:$A$130,"&gt;="&amp;Diagram!$O14,'J1 B - Butcher Terrace'!$A$12:$A$130,"&lt;"&amp;Diagram!$P14)))</f>
        <v>0</v>
      </c>
      <c r="BF14" s="42">
        <f ca="1">IF(OR($I$10="",$O14="",$P14="",$J$37&lt;&gt;"Yes"),0,IF($K$10=0,SUMIFS(INDIRECT(ADDRESS(12,3+18*3+(2),,,"J1 B - Butcher Terrace")&amp;":"&amp;ADDRESS(130,3+18*3+(2))),'J1 B - Butcher Terrace'!$A$12:$A$130,"&gt;="&amp;Diagram!$O14,'J1 B - Butcher Terrace'!$A$12:$A$130,"&lt;"&amp;Diagram!$P14),SUMIFS(INDIRECT(ADDRESS(12,3+18*3+(10),,,"J1 B - Butcher Terrace")&amp;":"&amp;ADDRESS(130,3+18*3+(10))),'J1 B - Butcher Terrace'!$A$12:$A$130,"&gt;="&amp;Diagram!$O14,'J1 B - Butcher Terrace'!$A$12:$A$130,"&lt;"&amp;Diagram!$P14)))</f>
        <v>0</v>
      </c>
      <c r="BG14" s="42">
        <f ca="1">IF(OR($I$10="",$O14="",$P14="",$J$37&lt;&gt;"Yes"),0,IF($K$10=0,SUMIFS(INDIRECT(ADDRESS(12,3+18*0+(2),,,"J1 B - Butcher Terrace")&amp;":"&amp;ADDRESS(130,3+18*0+(2))),'J1 B - Butcher Terrace'!$A$12:$A$130,"&gt;="&amp;Diagram!$O14,'J1 B - Butcher Terrace'!$A$12:$A$130,"&lt;"&amp;Diagram!$P14),SUMIFS(INDIRECT(ADDRESS(12,3+18*0+(10),,,"J1 B - Butcher Terrace")&amp;":"&amp;ADDRESS(130,3+18*0+(10))),'J1 B - Butcher Terrace'!$A$12:$A$130,"&gt;="&amp;Diagram!$O14,'J1 B - Butcher Terrace'!$A$12:$A$130,"&lt;"&amp;Diagram!$P14)))</f>
        <v>0</v>
      </c>
      <c r="BH14" s="42">
        <f ca="1">IF(OR($I$10="",$O14="",$P14="",$J$37&lt;&gt;"Yes"),0,IF($K$10=0,SUMIFS(INDIRECT(ADDRESS(12,3+18*1+(2),,,"J1 B - Butcher Terrace")&amp;":"&amp;ADDRESS(130,3+18*1+(2))),'J1 B - Butcher Terrace'!$A$12:$A$130,"&gt;="&amp;Diagram!$O14,'J1 B - Butcher Terrace'!$A$12:$A$130,"&lt;"&amp;Diagram!$P14),SUMIFS(INDIRECT(ADDRESS(12,3+18*1+(10),,,"J1 B - Butcher Terrace")&amp;":"&amp;ADDRESS(130,3+18*1+(10))),'J1 B - Butcher Terrace'!$A$12:$A$130,"&gt;="&amp;Diagram!$O14,'J1 B - Butcher Terrace'!$A$12:$A$130,"&lt;"&amp;Diagram!$P14)))</f>
        <v>0</v>
      </c>
      <c r="BI14" s="42">
        <f ca="1">IF(OR($I$10="",$O14="",$P14="",$J$37&lt;&gt;"Yes"),0,IF($K$10=0,SUMIFS(INDIRECT(ADDRESS(12,3+18*1+(2),,,"J1 C - (South) Bishopthorpe Roa")&amp;":"&amp;ADDRESS(130,3+18*1+(2))),'J1 C - (South) Bishopthorpe Roa'!$A$12:$A$130,"&gt;="&amp;Diagram!$O14,'J1 C - (South) Bishopthorpe Roa'!$A$12:$A$130,"&lt;"&amp;Diagram!$P14),SUMIFS(INDIRECT(ADDRESS(12,3+18*1+(10),,,"J1 C - (South) Bishopthorpe Roa")&amp;":"&amp;ADDRESS(130,3+18*1+(10))),'J1 C - (South) Bishopthorpe Roa'!$A$12:$A$130,"&gt;="&amp;Diagram!$O14,'J1 C - (South) Bishopthorpe Roa'!$A$12:$A$130,"&lt;"&amp;Diagram!$P14)))</f>
        <v>0</v>
      </c>
      <c r="BJ14" s="42">
        <f ca="1">IF(OR($I$10="",$O14="",$P14="",$J$37&lt;&gt;"Yes"),0,IF($K$10=0,SUMIFS(INDIRECT(ADDRESS(12,3+18*2+(2),,,"J1 C - (South) Bishopthorpe Roa")&amp;":"&amp;ADDRESS(130,3+18*2+(2))),'J1 C - (South) Bishopthorpe Roa'!$A$12:$A$130,"&gt;="&amp;Diagram!$O14,'J1 C - (South) Bishopthorpe Roa'!$A$12:$A$130,"&lt;"&amp;Diagram!$P14),SUMIFS(INDIRECT(ADDRESS(12,3+18*2+(10),,,"J1 C - (South) Bishopthorpe Roa")&amp;":"&amp;ADDRESS(130,3+18*2+(10))),'J1 C - (South) Bishopthorpe Roa'!$A$12:$A$130,"&gt;="&amp;Diagram!$O14,'J1 C - (South) Bishopthorpe Roa'!$A$12:$A$130,"&lt;"&amp;Diagram!$P14)))</f>
        <v>0</v>
      </c>
      <c r="BK14" s="42">
        <f ca="1">IF(OR($I$10="",$O14="",$P14="",$J$37&lt;&gt;"Yes"),0,IF($K$10=0,SUMIFS(INDIRECT(ADDRESS(12,3+18*3+(2),,,"J1 C - (South) Bishopthorpe Roa")&amp;":"&amp;ADDRESS(130,3+18*3+(2))),'J1 C - (South) Bishopthorpe Roa'!$A$12:$A$130,"&gt;="&amp;Diagram!$O14,'J1 C - (South) Bishopthorpe Roa'!$A$12:$A$130,"&lt;"&amp;Diagram!$P14),SUMIFS(INDIRECT(ADDRESS(12,3+18*3+(10),,,"J1 C - (South) Bishopthorpe Roa")&amp;":"&amp;ADDRESS(130,3+18*3+(10))),'J1 C - (South) Bishopthorpe Roa'!$A$12:$A$130,"&gt;="&amp;Diagram!$O14,'J1 C - (South) Bishopthorpe Roa'!$A$12:$A$130,"&lt;"&amp;Diagram!$P14)))</f>
        <v>0</v>
      </c>
      <c r="BL14" s="42">
        <f ca="1">IF(OR($I$10="",$O14="",$P14="",$J$37&lt;&gt;"Yes"),0,IF($K$10=0,SUMIFS(INDIRECT(ADDRESS(12,3+18*0+(2),,,"J1 C - (South) Bishopthorpe Roa")&amp;":"&amp;ADDRESS(130,3+18*0+(2))),'J1 C - (South) Bishopthorpe Roa'!$A$12:$A$130,"&gt;="&amp;Diagram!$O14,'J1 C - (South) Bishopthorpe Roa'!$A$12:$A$130,"&lt;"&amp;Diagram!$P14),SUMIFS(INDIRECT(ADDRESS(12,3+18*0+(10),,,"J1 C - (South) Bishopthorpe Roa")&amp;":"&amp;ADDRESS(130,3+18*0+(10))),'J1 C - (South) Bishopthorpe Roa'!$A$12:$A$130,"&gt;="&amp;Diagram!$O14,'J1 C - (South) Bishopthorpe Roa'!$A$12:$A$130,"&lt;"&amp;Diagram!$P14)))</f>
        <v>0</v>
      </c>
      <c r="BM14" s="42">
        <f ca="1">IF(OR($I$10="",$O14="",$P14="",$J$37&lt;&gt;"Yes"),0,IF($K$10=0,SUMIFS(INDIRECT(ADDRESS(12,3+18*0+(2),,,"J1 D - South Bank Avenue")&amp;":"&amp;ADDRESS(130,3+18*0+(2))),'J1 D - South Bank Avenue'!$A$12:$A$130,"&gt;="&amp;Diagram!$O14,'J1 D - South Bank Avenue'!$A$12:$A$130,"&lt;"&amp;Diagram!$P14),SUMIFS(INDIRECT(ADDRESS(12,3+18*0+(10),,,"J1 D - South Bank Avenue")&amp;":"&amp;ADDRESS(130,3+18*0+(10))),'J1 D - South Bank Avenue'!$A$12:$A$130,"&gt;="&amp;Diagram!$O14,'J1 D - South Bank Avenue'!$A$12:$A$130,"&lt;"&amp;Diagram!$P14)))</f>
        <v>0</v>
      </c>
      <c r="BN14" s="42">
        <f ca="1">IF(OR($I$10="",$O14="",$P14="",$J$37&lt;&gt;"Yes"),0,IF($K$10=0,SUMIFS(INDIRECT(ADDRESS(12,3+18*1+(2),,,"J1 D - South Bank Avenue")&amp;":"&amp;ADDRESS(130,3+18*1+(2))),'J1 D - South Bank Avenue'!$A$12:$A$130,"&gt;="&amp;Diagram!$O14,'J1 D - South Bank Avenue'!$A$12:$A$130,"&lt;"&amp;Diagram!$P14),SUMIFS(INDIRECT(ADDRESS(12,3+18*1+(10),,,"J1 D - South Bank Avenue")&amp;":"&amp;ADDRESS(130,3+18*1+(10))),'J1 D - South Bank Avenue'!$A$12:$A$130,"&gt;="&amp;Diagram!$O14,'J1 D - South Bank Avenue'!$A$12:$A$130,"&lt;"&amp;Diagram!$P14)))</f>
        <v>0</v>
      </c>
      <c r="BO14" s="42">
        <f ca="1">IF(OR($I$10="",$O14="",$P14="",$J$37&lt;&gt;"Yes"),0,IF($K$10=0,SUMIFS(INDIRECT(ADDRESS(12,3+18*2+(2),,,"J1 D - South Bank Avenue")&amp;":"&amp;ADDRESS(130,3+18*2+(2))),'J1 D - South Bank Avenue'!$A$12:$A$130,"&gt;="&amp;Diagram!$O14,'J1 D - South Bank Avenue'!$A$12:$A$130,"&lt;"&amp;Diagram!$P14),SUMIFS(INDIRECT(ADDRESS(12,3+18*2+(10),,,"J1 D - South Bank Avenue")&amp;":"&amp;ADDRESS(130,3+18*2+(10))),'J1 D - South Bank Avenue'!$A$12:$A$130,"&gt;="&amp;Diagram!$O14,'J1 D - South Bank Avenue'!$A$12:$A$130,"&lt;"&amp;Diagram!$P14)))</f>
        <v>0</v>
      </c>
      <c r="BP14" s="42">
        <f ca="1">IF(OR($I$10="",$O14="",$P14="",$J$37&lt;&gt;"Yes"),0,IF($K$10=0,SUMIFS(INDIRECT(ADDRESS(12,3+18*3+(2),,,"J1 D - South Bank Avenue")&amp;":"&amp;ADDRESS(130,3+18*3+(2))),'J1 D - South Bank Avenue'!$A$12:$A$130,"&gt;="&amp;Diagram!$O14,'J1 D - South Bank Avenue'!$A$12:$A$130,"&lt;"&amp;Diagram!$P14),SUMIFS(INDIRECT(ADDRESS(12,3+18*3+(10),,,"J1 D - South Bank Avenue")&amp;":"&amp;ADDRESS(130,3+18*3+(10))),'J1 D - South Bank Avenue'!$A$12:$A$130,"&gt;="&amp;Diagram!$O14,'J1 D - South Bank Avenue'!$A$12:$A$130,"&lt;"&amp;Diagram!$P14)))</f>
        <v>0</v>
      </c>
      <c r="BQ14" s="42">
        <f t="shared" ca="1" si="4"/>
        <v>0</v>
      </c>
      <c r="BR14" s="42">
        <f ca="1">IF(OR($I$10="",$O14="",$P14="",$J$38&lt;&gt;"Yes"),0,IF($K$10=0,SUMIFS(INDIRECT(ADDRESS(12,3+18*3+(3),,,"J1 A - (North) Bishopthorpe Roa")&amp;":"&amp;ADDRESS(130,3+18*3+(3))),'J1 A - (North) Bishopthorpe Roa'!$A$12:$A$130,"&gt;="&amp;Diagram!$O14,'J1 A - (North) Bishopthorpe Roa'!$A$12:$A$130,"&lt;"&amp;Diagram!$P14),SUMIFS(INDIRECT(ADDRESS(12,3+18*3+(11),,,"J1 A - (North) Bishopthorpe Roa")&amp;":"&amp;ADDRESS(130,3+18*3+(11))),'J1 A - (North) Bishopthorpe Roa'!$A$12:$A$130,"&gt;="&amp;Diagram!$O14,'J1 A - (North) Bishopthorpe Roa'!$A$12:$A$130,"&lt;"&amp;Diagram!$P14)))</f>
        <v>0</v>
      </c>
      <c r="BS14" s="42">
        <f ca="1">IF(OR($I$10="",$O14="",$P14="",$J$38&lt;&gt;"Yes"),0,IF($K$10=0,SUMIFS(INDIRECT(ADDRESS(12,3+18*0+(3),,,"J1 A - (North) Bishopthorpe Roa")&amp;":"&amp;ADDRESS(130,3+18*0+(3))),'J1 A - (North) Bishopthorpe Roa'!$A$12:$A$130,"&gt;="&amp;Diagram!$O14,'J1 A - (North) Bishopthorpe Roa'!$A$12:$A$130,"&lt;"&amp;Diagram!$P14),SUMIFS(INDIRECT(ADDRESS(12,3+18*0+(11),,,"J1 A - (North) Bishopthorpe Roa")&amp;":"&amp;ADDRESS(130,3+18*0+(11))),'J1 A - (North) Bishopthorpe Roa'!$A$12:$A$130,"&gt;="&amp;Diagram!$O14,'J1 A - (North) Bishopthorpe Roa'!$A$12:$A$130,"&lt;"&amp;Diagram!$P14)))</f>
        <v>0</v>
      </c>
      <c r="BT14" s="42">
        <f ca="1">IF(OR($I$10="",$O14="",$P14="",$J$38&lt;&gt;"Yes"),0,IF($K$10=0,SUMIFS(INDIRECT(ADDRESS(12,3+18*1+(3),,,"J1 A - (North) Bishopthorpe Roa")&amp;":"&amp;ADDRESS(130,3+18*1+(3))),'J1 A - (North) Bishopthorpe Roa'!$A$12:$A$130,"&gt;="&amp;Diagram!$O14,'J1 A - (North) Bishopthorpe Roa'!$A$12:$A$130,"&lt;"&amp;Diagram!$P14),SUMIFS(INDIRECT(ADDRESS(12,3+18*1+(11),,,"J1 A - (North) Bishopthorpe Roa")&amp;":"&amp;ADDRESS(130,3+18*1+(11))),'J1 A - (North) Bishopthorpe Roa'!$A$12:$A$130,"&gt;="&amp;Diagram!$O14,'J1 A - (North) Bishopthorpe Roa'!$A$12:$A$130,"&lt;"&amp;Diagram!$P14)))</f>
        <v>0</v>
      </c>
      <c r="BU14" s="42">
        <f ca="1">IF(OR($I$10="",$O14="",$P14="",$J$38&lt;&gt;"Yes"),0,IF($K$10=0,SUMIFS(INDIRECT(ADDRESS(12,3+18*2+(3),,,"J1 A - (North) Bishopthorpe Roa")&amp;":"&amp;ADDRESS(130,3+18*2+(3))),'J1 A - (North) Bishopthorpe Roa'!$A$12:$A$130,"&gt;="&amp;Diagram!$O14,'J1 A - (North) Bishopthorpe Roa'!$A$12:$A$130,"&lt;"&amp;Diagram!$P14),SUMIFS(INDIRECT(ADDRESS(12,3+18*2+(11),,,"J1 A - (North) Bishopthorpe Roa")&amp;":"&amp;ADDRESS(130,3+18*2+(11))),'J1 A - (North) Bishopthorpe Roa'!$A$12:$A$130,"&gt;="&amp;Diagram!$O14,'J1 A - (North) Bishopthorpe Roa'!$A$12:$A$130,"&lt;"&amp;Diagram!$P14)))</f>
        <v>0</v>
      </c>
      <c r="BV14" s="42">
        <f ca="1">IF(OR($I$10="",$O14="",$P14="",$J$38&lt;&gt;"Yes"),0,IF($K$10=0,SUMIFS(INDIRECT(ADDRESS(12,3+18*2+(3),,,"J1 B - Butcher Terrace")&amp;":"&amp;ADDRESS(130,3+18*2+(3))),'J1 B - Butcher Terrace'!$A$12:$A$130,"&gt;="&amp;Diagram!$O14,'J1 B - Butcher Terrace'!$A$12:$A$130,"&lt;"&amp;Diagram!$P14),SUMIFS(INDIRECT(ADDRESS(12,3+18*2+(11),,,"J1 B - Butcher Terrace")&amp;":"&amp;ADDRESS(130,3+18*2+(11))),'J1 B - Butcher Terrace'!$A$12:$A$130,"&gt;="&amp;Diagram!$O14,'J1 B - Butcher Terrace'!$A$12:$A$130,"&lt;"&amp;Diagram!$P14)))</f>
        <v>0</v>
      </c>
      <c r="BW14" s="42">
        <f ca="1">IF(OR($I$10="",$O14="",$P14="",$J$38&lt;&gt;"Yes"),0,IF($K$10=0,SUMIFS(INDIRECT(ADDRESS(12,3+18*3+(3),,,"J1 B - Butcher Terrace")&amp;":"&amp;ADDRESS(130,3+18*3+(3))),'J1 B - Butcher Terrace'!$A$12:$A$130,"&gt;="&amp;Diagram!$O14,'J1 B - Butcher Terrace'!$A$12:$A$130,"&lt;"&amp;Diagram!$P14),SUMIFS(INDIRECT(ADDRESS(12,3+18*3+(11),,,"J1 B - Butcher Terrace")&amp;":"&amp;ADDRESS(130,3+18*3+(11))),'J1 B - Butcher Terrace'!$A$12:$A$130,"&gt;="&amp;Diagram!$O14,'J1 B - Butcher Terrace'!$A$12:$A$130,"&lt;"&amp;Diagram!$P14)))</f>
        <v>0</v>
      </c>
      <c r="BX14" s="42">
        <f ca="1">IF(OR($I$10="",$O14="",$P14="",$J$38&lt;&gt;"Yes"),0,IF($K$10=0,SUMIFS(INDIRECT(ADDRESS(12,3+18*0+(3),,,"J1 B - Butcher Terrace")&amp;":"&amp;ADDRESS(130,3+18*0+(3))),'J1 B - Butcher Terrace'!$A$12:$A$130,"&gt;="&amp;Diagram!$O14,'J1 B - Butcher Terrace'!$A$12:$A$130,"&lt;"&amp;Diagram!$P14),SUMIFS(INDIRECT(ADDRESS(12,3+18*0+(11),,,"J1 B - Butcher Terrace")&amp;":"&amp;ADDRESS(130,3+18*0+(11))),'J1 B - Butcher Terrace'!$A$12:$A$130,"&gt;="&amp;Diagram!$O14,'J1 B - Butcher Terrace'!$A$12:$A$130,"&lt;"&amp;Diagram!$P14)))</f>
        <v>0</v>
      </c>
      <c r="BY14" s="42">
        <f ca="1">IF(OR($I$10="",$O14="",$P14="",$J$38&lt;&gt;"Yes"),0,IF($K$10=0,SUMIFS(INDIRECT(ADDRESS(12,3+18*1+(3),,,"J1 B - Butcher Terrace")&amp;":"&amp;ADDRESS(130,3+18*1+(3))),'J1 B - Butcher Terrace'!$A$12:$A$130,"&gt;="&amp;Diagram!$O14,'J1 B - Butcher Terrace'!$A$12:$A$130,"&lt;"&amp;Diagram!$P14),SUMIFS(INDIRECT(ADDRESS(12,3+18*1+(11),,,"J1 B - Butcher Terrace")&amp;":"&amp;ADDRESS(130,3+18*1+(11))),'J1 B - Butcher Terrace'!$A$12:$A$130,"&gt;="&amp;Diagram!$O14,'J1 B - Butcher Terrace'!$A$12:$A$130,"&lt;"&amp;Diagram!$P14)))</f>
        <v>0</v>
      </c>
      <c r="BZ14" s="42">
        <f ca="1">IF(OR($I$10="",$O14="",$P14="",$J$38&lt;&gt;"Yes"),0,IF($K$10=0,SUMIFS(INDIRECT(ADDRESS(12,3+18*1+(3),,,"J1 C - (South) Bishopthorpe Roa")&amp;":"&amp;ADDRESS(130,3+18*1+(3))),'J1 C - (South) Bishopthorpe Roa'!$A$12:$A$130,"&gt;="&amp;Diagram!$O14,'J1 C - (South) Bishopthorpe Roa'!$A$12:$A$130,"&lt;"&amp;Diagram!$P14),SUMIFS(INDIRECT(ADDRESS(12,3+18*1+(11),,,"J1 C - (South) Bishopthorpe Roa")&amp;":"&amp;ADDRESS(130,3+18*1+(11))),'J1 C - (South) Bishopthorpe Roa'!$A$12:$A$130,"&gt;="&amp;Diagram!$O14,'J1 C - (South) Bishopthorpe Roa'!$A$12:$A$130,"&lt;"&amp;Diagram!$P14)))</f>
        <v>0</v>
      </c>
      <c r="CA14" s="42">
        <f ca="1">IF(OR($I$10="",$O14="",$P14="",$J$38&lt;&gt;"Yes"),0,IF($K$10=0,SUMIFS(INDIRECT(ADDRESS(12,3+18*2+(3),,,"J1 C - (South) Bishopthorpe Roa")&amp;":"&amp;ADDRESS(130,3+18*2+(3))),'J1 C - (South) Bishopthorpe Roa'!$A$12:$A$130,"&gt;="&amp;Diagram!$O14,'J1 C - (South) Bishopthorpe Roa'!$A$12:$A$130,"&lt;"&amp;Diagram!$P14),SUMIFS(INDIRECT(ADDRESS(12,3+18*2+(11),,,"J1 C - (South) Bishopthorpe Roa")&amp;":"&amp;ADDRESS(130,3+18*2+(11))),'J1 C - (South) Bishopthorpe Roa'!$A$12:$A$130,"&gt;="&amp;Diagram!$O14,'J1 C - (South) Bishopthorpe Roa'!$A$12:$A$130,"&lt;"&amp;Diagram!$P14)))</f>
        <v>0</v>
      </c>
      <c r="CB14" s="42">
        <f ca="1">IF(OR($I$10="",$O14="",$P14="",$J$38&lt;&gt;"Yes"),0,IF($K$10=0,SUMIFS(INDIRECT(ADDRESS(12,3+18*3+(3),,,"J1 C - (South) Bishopthorpe Roa")&amp;":"&amp;ADDRESS(130,3+18*3+(3))),'J1 C - (South) Bishopthorpe Roa'!$A$12:$A$130,"&gt;="&amp;Diagram!$O14,'J1 C - (South) Bishopthorpe Roa'!$A$12:$A$130,"&lt;"&amp;Diagram!$P14),SUMIFS(INDIRECT(ADDRESS(12,3+18*3+(11),,,"J1 C - (South) Bishopthorpe Roa")&amp;":"&amp;ADDRESS(130,3+18*3+(11))),'J1 C - (South) Bishopthorpe Roa'!$A$12:$A$130,"&gt;="&amp;Diagram!$O14,'J1 C - (South) Bishopthorpe Roa'!$A$12:$A$130,"&lt;"&amp;Diagram!$P14)))</f>
        <v>0</v>
      </c>
      <c r="CC14" s="42">
        <f ca="1">IF(OR($I$10="",$O14="",$P14="",$J$38&lt;&gt;"Yes"),0,IF($K$10=0,SUMIFS(INDIRECT(ADDRESS(12,3+18*0+(3),,,"J1 C - (South) Bishopthorpe Roa")&amp;":"&amp;ADDRESS(130,3+18*0+(3))),'J1 C - (South) Bishopthorpe Roa'!$A$12:$A$130,"&gt;="&amp;Diagram!$O14,'J1 C - (South) Bishopthorpe Roa'!$A$12:$A$130,"&lt;"&amp;Diagram!$P14),SUMIFS(INDIRECT(ADDRESS(12,3+18*0+(11),,,"J1 C - (South) Bishopthorpe Roa")&amp;":"&amp;ADDRESS(130,3+18*0+(11))),'J1 C - (South) Bishopthorpe Roa'!$A$12:$A$130,"&gt;="&amp;Diagram!$O14,'J1 C - (South) Bishopthorpe Roa'!$A$12:$A$130,"&lt;"&amp;Diagram!$P14)))</f>
        <v>0</v>
      </c>
      <c r="CD14" s="42">
        <f ca="1">IF(OR($I$10="",$O14="",$P14="",$J$38&lt;&gt;"Yes"),0,IF($K$10=0,SUMIFS(INDIRECT(ADDRESS(12,3+18*0+(3),,,"J1 D - South Bank Avenue")&amp;":"&amp;ADDRESS(130,3+18*0+(3))),'J1 D - South Bank Avenue'!$A$12:$A$130,"&gt;="&amp;Diagram!$O14,'J1 D - South Bank Avenue'!$A$12:$A$130,"&lt;"&amp;Diagram!$P14),SUMIFS(INDIRECT(ADDRESS(12,3+18*0+(11),,,"J1 D - South Bank Avenue")&amp;":"&amp;ADDRESS(130,3+18*0+(11))),'J1 D - South Bank Avenue'!$A$12:$A$130,"&gt;="&amp;Diagram!$O14,'J1 D - South Bank Avenue'!$A$12:$A$130,"&lt;"&amp;Diagram!$P14)))</f>
        <v>0</v>
      </c>
      <c r="CE14" s="42">
        <f ca="1">IF(OR($I$10="",$O14="",$P14="",$J$38&lt;&gt;"Yes"),0,IF($K$10=0,SUMIFS(INDIRECT(ADDRESS(12,3+18*1+(3),,,"J1 D - South Bank Avenue")&amp;":"&amp;ADDRESS(130,3+18*1+(3))),'J1 D - South Bank Avenue'!$A$12:$A$130,"&gt;="&amp;Diagram!$O14,'J1 D - South Bank Avenue'!$A$12:$A$130,"&lt;"&amp;Diagram!$P14),SUMIFS(INDIRECT(ADDRESS(12,3+18*1+(11),,,"J1 D - South Bank Avenue")&amp;":"&amp;ADDRESS(130,3+18*1+(11))),'J1 D - South Bank Avenue'!$A$12:$A$130,"&gt;="&amp;Diagram!$O14,'J1 D - South Bank Avenue'!$A$12:$A$130,"&lt;"&amp;Diagram!$P14)))</f>
        <v>0</v>
      </c>
      <c r="CF14" s="42">
        <f ca="1">IF(OR($I$10="",$O14="",$P14="",$J$38&lt;&gt;"Yes"),0,IF($K$10=0,SUMIFS(INDIRECT(ADDRESS(12,3+18*2+(3),,,"J1 D - South Bank Avenue")&amp;":"&amp;ADDRESS(130,3+18*2+(3))),'J1 D - South Bank Avenue'!$A$12:$A$130,"&gt;="&amp;Diagram!$O14,'J1 D - South Bank Avenue'!$A$12:$A$130,"&lt;"&amp;Diagram!$P14),SUMIFS(INDIRECT(ADDRESS(12,3+18*2+(11),,,"J1 D - South Bank Avenue")&amp;":"&amp;ADDRESS(130,3+18*2+(11))),'J1 D - South Bank Avenue'!$A$12:$A$130,"&gt;="&amp;Diagram!$O14,'J1 D - South Bank Avenue'!$A$12:$A$130,"&lt;"&amp;Diagram!$P14)))</f>
        <v>0</v>
      </c>
      <c r="CG14" s="42">
        <f ca="1">IF(OR($I$10="",$O14="",$P14="",$J$38&lt;&gt;"Yes"),0,IF($K$10=0,SUMIFS(INDIRECT(ADDRESS(12,3+18*3+(3),,,"J1 D - South Bank Avenue")&amp;":"&amp;ADDRESS(130,3+18*3+(3))),'J1 D - South Bank Avenue'!$A$12:$A$130,"&gt;="&amp;Diagram!$O14,'J1 D - South Bank Avenue'!$A$12:$A$130,"&lt;"&amp;Diagram!$P14),SUMIFS(INDIRECT(ADDRESS(12,3+18*3+(11),,,"J1 D - South Bank Avenue")&amp;":"&amp;ADDRESS(130,3+18*3+(11))),'J1 D - South Bank Avenue'!$A$12:$A$130,"&gt;="&amp;Diagram!$O14,'J1 D - South Bank Avenue'!$A$12:$A$130,"&lt;"&amp;Diagram!$P14)))</f>
        <v>0</v>
      </c>
      <c r="CH14" s="42">
        <f t="shared" ca="1" si="5"/>
        <v>0</v>
      </c>
      <c r="CI14" s="42">
        <f ca="1">IF(OR($I$10="",$O14="",$P14="",$J$39&lt;&gt;"Yes"),0,IF($K$10=0,SUMIFS(INDIRECT(ADDRESS(12,3+18*3+(4),,,"J1 A - (North) Bishopthorpe Roa")&amp;":"&amp;ADDRESS(130,3+18*3+(4))),'J1 A - (North) Bishopthorpe Roa'!$A$12:$A$130,"&gt;="&amp;Diagram!$O14,'J1 A - (North) Bishopthorpe Roa'!$A$12:$A$130,"&lt;"&amp;Diagram!$P14),SUMIFS(INDIRECT(ADDRESS(12,3+18*3+(12),,,"J1 A - (North) Bishopthorpe Roa")&amp;":"&amp;ADDRESS(130,3+18*3+(12))),'J1 A - (North) Bishopthorpe Roa'!$A$12:$A$130,"&gt;="&amp;Diagram!$O14,'J1 A - (North) Bishopthorpe Roa'!$A$12:$A$130,"&lt;"&amp;Diagram!$P14)))</f>
        <v>0</v>
      </c>
      <c r="CJ14" s="42">
        <f ca="1">IF(OR($I$10="",$O14="",$P14="",$J$39&lt;&gt;"Yes"),0,IF($K$10=0,SUMIFS(INDIRECT(ADDRESS(12,3+18*0+(4),,,"J1 A - (North) Bishopthorpe Roa")&amp;":"&amp;ADDRESS(130,3+18*0+(4))),'J1 A - (North) Bishopthorpe Roa'!$A$12:$A$130,"&gt;="&amp;Diagram!$O14,'J1 A - (North) Bishopthorpe Roa'!$A$12:$A$130,"&lt;"&amp;Diagram!$P14),SUMIFS(INDIRECT(ADDRESS(12,3+18*0+(12),,,"J1 A - (North) Bishopthorpe Roa")&amp;":"&amp;ADDRESS(130,3+18*0+(12))),'J1 A - (North) Bishopthorpe Roa'!$A$12:$A$130,"&gt;="&amp;Diagram!$O14,'J1 A - (North) Bishopthorpe Roa'!$A$12:$A$130,"&lt;"&amp;Diagram!$P14)))</f>
        <v>0</v>
      </c>
      <c r="CK14" s="42">
        <f ca="1">IF(OR($I$10="",$O14="",$P14="",$J$39&lt;&gt;"Yes"),0,IF($K$10=0,SUMIFS(INDIRECT(ADDRESS(12,3+18*1+(4),,,"J1 A - (North) Bishopthorpe Roa")&amp;":"&amp;ADDRESS(130,3+18*1+(4))),'J1 A - (North) Bishopthorpe Roa'!$A$12:$A$130,"&gt;="&amp;Diagram!$O14,'J1 A - (North) Bishopthorpe Roa'!$A$12:$A$130,"&lt;"&amp;Diagram!$P14),SUMIFS(INDIRECT(ADDRESS(12,3+18*1+(12),,,"J1 A - (North) Bishopthorpe Roa")&amp;":"&amp;ADDRESS(130,3+18*1+(12))),'J1 A - (North) Bishopthorpe Roa'!$A$12:$A$130,"&gt;="&amp;Diagram!$O14,'J1 A - (North) Bishopthorpe Roa'!$A$12:$A$130,"&lt;"&amp;Diagram!$P14)))</f>
        <v>0</v>
      </c>
      <c r="CL14" s="42">
        <f ca="1">IF(OR($I$10="",$O14="",$P14="",$J$39&lt;&gt;"Yes"),0,IF($K$10=0,SUMIFS(INDIRECT(ADDRESS(12,3+18*2+(4),,,"J1 A - (North) Bishopthorpe Roa")&amp;":"&amp;ADDRESS(130,3+18*2+(4))),'J1 A - (North) Bishopthorpe Roa'!$A$12:$A$130,"&gt;="&amp;Diagram!$O14,'J1 A - (North) Bishopthorpe Roa'!$A$12:$A$130,"&lt;"&amp;Diagram!$P14),SUMIFS(INDIRECT(ADDRESS(12,3+18*2+(12),,,"J1 A - (North) Bishopthorpe Roa")&amp;":"&amp;ADDRESS(130,3+18*2+(12))),'J1 A - (North) Bishopthorpe Roa'!$A$12:$A$130,"&gt;="&amp;Diagram!$O14,'J1 A - (North) Bishopthorpe Roa'!$A$12:$A$130,"&lt;"&amp;Diagram!$P14)))</f>
        <v>0</v>
      </c>
      <c r="CM14" s="42">
        <f ca="1">IF(OR($I$10="",$O14="",$P14="",$J$39&lt;&gt;"Yes"),0,IF($K$10=0,SUMIFS(INDIRECT(ADDRESS(12,3+18*2+(4),,,"J1 B - Butcher Terrace")&amp;":"&amp;ADDRESS(130,3+18*2+(4))),'J1 B - Butcher Terrace'!$A$12:$A$130,"&gt;="&amp;Diagram!$O14,'J1 B - Butcher Terrace'!$A$12:$A$130,"&lt;"&amp;Diagram!$P14),SUMIFS(INDIRECT(ADDRESS(12,3+18*2+(12),,,"J1 B - Butcher Terrace")&amp;":"&amp;ADDRESS(130,3+18*2+(12))),'J1 B - Butcher Terrace'!$A$12:$A$130,"&gt;="&amp;Diagram!$O14,'J1 B - Butcher Terrace'!$A$12:$A$130,"&lt;"&amp;Diagram!$P14)))</f>
        <v>0</v>
      </c>
      <c r="CN14" s="42">
        <f ca="1">IF(OR($I$10="",$O14="",$P14="",$J$39&lt;&gt;"Yes"),0,IF($K$10=0,SUMIFS(INDIRECT(ADDRESS(12,3+18*3+(4),,,"J1 B - Butcher Terrace")&amp;":"&amp;ADDRESS(130,3+18*3+(4))),'J1 B - Butcher Terrace'!$A$12:$A$130,"&gt;="&amp;Diagram!$O14,'J1 B - Butcher Terrace'!$A$12:$A$130,"&lt;"&amp;Diagram!$P14),SUMIFS(INDIRECT(ADDRESS(12,3+18*3+(12),,,"J1 B - Butcher Terrace")&amp;":"&amp;ADDRESS(130,3+18*3+(12))),'J1 B - Butcher Terrace'!$A$12:$A$130,"&gt;="&amp;Diagram!$O14,'J1 B - Butcher Terrace'!$A$12:$A$130,"&lt;"&amp;Diagram!$P14)))</f>
        <v>0</v>
      </c>
      <c r="CO14" s="42">
        <f ca="1">IF(OR($I$10="",$O14="",$P14="",$J$39&lt;&gt;"Yes"),0,IF($K$10=0,SUMIFS(INDIRECT(ADDRESS(12,3+18*0+(4),,,"J1 B - Butcher Terrace")&amp;":"&amp;ADDRESS(130,3+18*0+(4))),'J1 B - Butcher Terrace'!$A$12:$A$130,"&gt;="&amp;Diagram!$O14,'J1 B - Butcher Terrace'!$A$12:$A$130,"&lt;"&amp;Diagram!$P14),SUMIFS(INDIRECT(ADDRESS(12,3+18*0+(12),,,"J1 B - Butcher Terrace")&amp;":"&amp;ADDRESS(130,3+18*0+(12))),'J1 B - Butcher Terrace'!$A$12:$A$130,"&gt;="&amp;Diagram!$O14,'J1 B - Butcher Terrace'!$A$12:$A$130,"&lt;"&amp;Diagram!$P14)))</f>
        <v>0</v>
      </c>
      <c r="CP14" s="42">
        <f ca="1">IF(OR($I$10="",$O14="",$P14="",$J$39&lt;&gt;"Yes"),0,IF($K$10=0,SUMIFS(INDIRECT(ADDRESS(12,3+18*1+(4),,,"J1 B - Butcher Terrace")&amp;":"&amp;ADDRESS(130,3+18*1+(4))),'J1 B - Butcher Terrace'!$A$12:$A$130,"&gt;="&amp;Diagram!$O14,'J1 B - Butcher Terrace'!$A$12:$A$130,"&lt;"&amp;Diagram!$P14),SUMIFS(INDIRECT(ADDRESS(12,3+18*1+(12),,,"J1 B - Butcher Terrace")&amp;":"&amp;ADDRESS(130,3+18*1+(12))),'J1 B - Butcher Terrace'!$A$12:$A$130,"&gt;="&amp;Diagram!$O14,'J1 B - Butcher Terrace'!$A$12:$A$130,"&lt;"&amp;Diagram!$P14)))</f>
        <v>0</v>
      </c>
      <c r="CQ14" s="42">
        <f ca="1">IF(OR($I$10="",$O14="",$P14="",$J$39&lt;&gt;"Yes"),0,IF($K$10=0,SUMIFS(INDIRECT(ADDRESS(12,3+18*1+(4),,,"J1 C - (South) Bishopthorpe Roa")&amp;":"&amp;ADDRESS(130,3+18*1+(4))),'J1 C - (South) Bishopthorpe Roa'!$A$12:$A$130,"&gt;="&amp;Diagram!$O14,'J1 C - (South) Bishopthorpe Roa'!$A$12:$A$130,"&lt;"&amp;Diagram!$P14),SUMIFS(INDIRECT(ADDRESS(12,3+18*1+(12),,,"J1 C - (South) Bishopthorpe Roa")&amp;":"&amp;ADDRESS(130,3+18*1+(12))),'J1 C - (South) Bishopthorpe Roa'!$A$12:$A$130,"&gt;="&amp;Diagram!$O14,'J1 C - (South) Bishopthorpe Roa'!$A$12:$A$130,"&lt;"&amp;Diagram!$P14)))</f>
        <v>0</v>
      </c>
      <c r="CR14" s="42">
        <f ca="1">IF(OR($I$10="",$O14="",$P14="",$J$39&lt;&gt;"Yes"),0,IF($K$10=0,SUMIFS(INDIRECT(ADDRESS(12,3+18*2+(4),,,"J1 C - (South) Bishopthorpe Roa")&amp;":"&amp;ADDRESS(130,3+18*2+(4))),'J1 C - (South) Bishopthorpe Roa'!$A$12:$A$130,"&gt;="&amp;Diagram!$O14,'J1 C - (South) Bishopthorpe Roa'!$A$12:$A$130,"&lt;"&amp;Diagram!$P14),SUMIFS(INDIRECT(ADDRESS(12,3+18*2+(12),,,"J1 C - (South) Bishopthorpe Roa")&amp;":"&amp;ADDRESS(130,3+18*2+(12))),'J1 C - (South) Bishopthorpe Roa'!$A$12:$A$130,"&gt;="&amp;Diagram!$O14,'J1 C - (South) Bishopthorpe Roa'!$A$12:$A$130,"&lt;"&amp;Diagram!$P14)))</f>
        <v>0</v>
      </c>
      <c r="CS14" s="42">
        <f ca="1">IF(OR($I$10="",$O14="",$P14="",$J$39&lt;&gt;"Yes"),0,IF($K$10=0,SUMIFS(INDIRECT(ADDRESS(12,3+18*3+(4),,,"J1 C - (South) Bishopthorpe Roa")&amp;":"&amp;ADDRESS(130,3+18*3+(4))),'J1 C - (South) Bishopthorpe Roa'!$A$12:$A$130,"&gt;="&amp;Diagram!$O14,'J1 C - (South) Bishopthorpe Roa'!$A$12:$A$130,"&lt;"&amp;Diagram!$P14),SUMIFS(INDIRECT(ADDRESS(12,3+18*3+(12),,,"J1 C - (South) Bishopthorpe Roa")&amp;":"&amp;ADDRESS(130,3+18*3+(12))),'J1 C - (South) Bishopthorpe Roa'!$A$12:$A$130,"&gt;="&amp;Diagram!$O14,'J1 C - (South) Bishopthorpe Roa'!$A$12:$A$130,"&lt;"&amp;Diagram!$P14)))</f>
        <v>0</v>
      </c>
      <c r="CT14" s="42">
        <f ca="1">IF(OR($I$10="",$O14="",$P14="",$J$39&lt;&gt;"Yes"),0,IF($K$10=0,SUMIFS(INDIRECT(ADDRESS(12,3+18*0+(4),,,"J1 C - (South) Bishopthorpe Roa")&amp;":"&amp;ADDRESS(130,3+18*0+(4))),'J1 C - (South) Bishopthorpe Roa'!$A$12:$A$130,"&gt;="&amp;Diagram!$O14,'J1 C - (South) Bishopthorpe Roa'!$A$12:$A$130,"&lt;"&amp;Diagram!$P14),SUMIFS(INDIRECT(ADDRESS(12,3+18*0+(12),,,"J1 C - (South) Bishopthorpe Roa")&amp;":"&amp;ADDRESS(130,3+18*0+(12))),'J1 C - (South) Bishopthorpe Roa'!$A$12:$A$130,"&gt;="&amp;Diagram!$O14,'J1 C - (South) Bishopthorpe Roa'!$A$12:$A$130,"&lt;"&amp;Diagram!$P14)))</f>
        <v>0</v>
      </c>
      <c r="CU14" s="42">
        <f ca="1">IF(OR($I$10="",$O14="",$P14="",$J$39&lt;&gt;"Yes"),0,IF($K$10=0,SUMIFS(INDIRECT(ADDRESS(12,3+18*0+(4),,,"J1 D - South Bank Avenue")&amp;":"&amp;ADDRESS(130,3+18*0+(4))),'J1 D - South Bank Avenue'!$A$12:$A$130,"&gt;="&amp;Diagram!$O14,'J1 D - South Bank Avenue'!$A$12:$A$130,"&lt;"&amp;Diagram!$P14),SUMIFS(INDIRECT(ADDRESS(12,3+18*0+(12),,,"J1 D - South Bank Avenue")&amp;":"&amp;ADDRESS(130,3+18*0+(12))),'J1 D - South Bank Avenue'!$A$12:$A$130,"&gt;="&amp;Diagram!$O14,'J1 D - South Bank Avenue'!$A$12:$A$130,"&lt;"&amp;Diagram!$P14)))</f>
        <v>0</v>
      </c>
      <c r="CV14" s="42">
        <f ca="1">IF(OR($I$10="",$O14="",$P14="",$J$39&lt;&gt;"Yes"),0,IF($K$10=0,SUMIFS(INDIRECT(ADDRESS(12,3+18*1+(4),,,"J1 D - South Bank Avenue")&amp;":"&amp;ADDRESS(130,3+18*1+(4))),'J1 D - South Bank Avenue'!$A$12:$A$130,"&gt;="&amp;Diagram!$O14,'J1 D - South Bank Avenue'!$A$12:$A$130,"&lt;"&amp;Diagram!$P14),SUMIFS(INDIRECT(ADDRESS(12,3+18*1+(12),,,"J1 D - South Bank Avenue")&amp;":"&amp;ADDRESS(130,3+18*1+(12))),'J1 D - South Bank Avenue'!$A$12:$A$130,"&gt;="&amp;Diagram!$O14,'J1 D - South Bank Avenue'!$A$12:$A$130,"&lt;"&amp;Diagram!$P14)))</f>
        <v>0</v>
      </c>
      <c r="CW14" s="42">
        <f ca="1">IF(OR($I$10="",$O14="",$P14="",$J$39&lt;&gt;"Yes"),0,IF($K$10=0,SUMIFS(INDIRECT(ADDRESS(12,3+18*2+(4),,,"J1 D - South Bank Avenue")&amp;":"&amp;ADDRESS(130,3+18*2+(4))),'J1 D - South Bank Avenue'!$A$12:$A$130,"&gt;="&amp;Diagram!$O14,'J1 D - South Bank Avenue'!$A$12:$A$130,"&lt;"&amp;Diagram!$P14),SUMIFS(INDIRECT(ADDRESS(12,3+18*2+(12),,,"J1 D - South Bank Avenue")&amp;":"&amp;ADDRESS(130,3+18*2+(12))),'J1 D - South Bank Avenue'!$A$12:$A$130,"&gt;="&amp;Diagram!$O14,'J1 D - South Bank Avenue'!$A$12:$A$130,"&lt;"&amp;Diagram!$P14)))</f>
        <v>0</v>
      </c>
      <c r="CX14" s="42">
        <f ca="1">IF(OR($I$10="",$O14="",$P14="",$J$39&lt;&gt;"Yes"),0,IF($K$10=0,SUMIFS(INDIRECT(ADDRESS(12,3+18*3+(4),,,"J1 D - South Bank Avenue")&amp;":"&amp;ADDRESS(130,3+18*3+(4))),'J1 D - South Bank Avenue'!$A$12:$A$130,"&gt;="&amp;Diagram!$O14,'J1 D - South Bank Avenue'!$A$12:$A$130,"&lt;"&amp;Diagram!$P14),SUMIFS(INDIRECT(ADDRESS(12,3+18*3+(12),,,"J1 D - South Bank Avenue")&amp;":"&amp;ADDRESS(130,3+18*3+(12))),'J1 D - South Bank Avenue'!$A$12:$A$130,"&gt;="&amp;Diagram!$O14,'J1 D - South Bank Avenue'!$A$12:$A$130,"&lt;"&amp;Diagram!$P14)))</f>
        <v>0</v>
      </c>
      <c r="CY14" s="42">
        <f t="shared" ca="1" si="6"/>
        <v>0</v>
      </c>
      <c r="CZ14" s="42">
        <f ca="1">IF(OR($I$10="",$O14="",$P14="",$J$40&lt;&gt;"Yes"),0,IF($K$10=0,SUMIFS(INDIRECT(ADDRESS(12,3+18*3+(5),,,"J1 A - (North) Bishopthorpe Roa")&amp;":"&amp;ADDRESS(130,3+18*3+(5))),'J1 A - (North) Bishopthorpe Roa'!$A$12:$A$130,"&gt;="&amp;Diagram!$O14,'J1 A - (North) Bishopthorpe Roa'!$A$12:$A$130,"&lt;"&amp;Diagram!$P14),SUMIFS(INDIRECT(ADDRESS(12,3+18*3+(13),,,"J1 A - (North) Bishopthorpe Roa")&amp;":"&amp;ADDRESS(130,3+18*3+(13))),'J1 A - (North) Bishopthorpe Roa'!$A$12:$A$130,"&gt;="&amp;Diagram!$O14,'J1 A - (North) Bishopthorpe Roa'!$A$12:$A$130,"&lt;"&amp;Diagram!$P14)))</f>
        <v>0</v>
      </c>
      <c r="DA14" s="42">
        <f ca="1">IF(OR($I$10="",$O14="",$P14="",$J$40&lt;&gt;"Yes"),0,IF($K$10=0,SUMIFS(INDIRECT(ADDRESS(12,3+18*0+(5),,,"J1 A - (North) Bishopthorpe Roa")&amp;":"&amp;ADDRESS(130,3+18*0+(5))),'J1 A - (North) Bishopthorpe Roa'!$A$12:$A$130,"&gt;="&amp;Diagram!$O14,'J1 A - (North) Bishopthorpe Roa'!$A$12:$A$130,"&lt;"&amp;Diagram!$P14),SUMIFS(INDIRECT(ADDRESS(12,3+18*0+(13),,,"J1 A - (North) Bishopthorpe Roa")&amp;":"&amp;ADDRESS(130,3+18*0+(13))),'J1 A - (North) Bishopthorpe Roa'!$A$12:$A$130,"&gt;="&amp;Diagram!$O14,'J1 A - (North) Bishopthorpe Roa'!$A$12:$A$130,"&lt;"&amp;Diagram!$P14)))</f>
        <v>0</v>
      </c>
      <c r="DB14" s="42">
        <f ca="1">IF(OR($I$10="",$O14="",$P14="",$J$40&lt;&gt;"Yes"),0,IF($K$10=0,SUMIFS(INDIRECT(ADDRESS(12,3+18*1+(5),,,"J1 A - (North) Bishopthorpe Roa")&amp;":"&amp;ADDRESS(130,3+18*1+(5))),'J1 A - (North) Bishopthorpe Roa'!$A$12:$A$130,"&gt;="&amp;Diagram!$O14,'J1 A - (North) Bishopthorpe Roa'!$A$12:$A$130,"&lt;"&amp;Diagram!$P14),SUMIFS(INDIRECT(ADDRESS(12,3+18*1+(13),,,"J1 A - (North) Bishopthorpe Roa")&amp;":"&amp;ADDRESS(130,3+18*1+(13))),'J1 A - (North) Bishopthorpe Roa'!$A$12:$A$130,"&gt;="&amp;Diagram!$O14,'J1 A - (North) Bishopthorpe Roa'!$A$12:$A$130,"&lt;"&amp;Diagram!$P14)))</f>
        <v>0</v>
      </c>
      <c r="DC14" s="42">
        <f ca="1">IF(OR($I$10="",$O14="",$P14="",$J$40&lt;&gt;"Yes"),0,IF($K$10=0,SUMIFS(INDIRECT(ADDRESS(12,3+18*2+(5),,,"J1 A - (North) Bishopthorpe Roa")&amp;":"&amp;ADDRESS(130,3+18*2+(5))),'J1 A - (North) Bishopthorpe Roa'!$A$12:$A$130,"&gt;="&amp;Diagram!$O14,'J1 A - (North) Bishopthorpe Roa'!$A$12:$A$130,"&lt;"&amp;Diagram!$P14),SUMIFS(INDIRECT(ADDRESS(12,3+18*2+(13),,,"J1 A - (North) Bishopthorpe Roa")&amp;":"&amp;ADDRESS(130,3+18*2+(13))),'J1 A - (North) Bishopthorpe Roa'!$A$12:$A$130,"&gt;="&amp;Diagram!$O14,'J1 A - (North) Bishopthorpe Roa'!$A$12:$A$130,"&lt;"&amp;Diagram!$P14)))</f>
        <v>0</v>
      </c>
      <c r="DD14" s="42">
        <f ca="1">IF(OR($I$10="",$O14="",$P14="",$J$40&lt;&gt;"Yes"),0,IF($K$10=0,SUMIFS(INDIRECT(ADDRESS(12,3+18*2+(5),,,"J1 B - Butcher Terrace")&amp;":"&amp;ADDRESS(130,3+18*2+(5))),'J1 B - Butcher Terrace'!$A$12:$A$130,"&gt;="&amp;Diagram!$O14,'J1 B - Butcher Terrace'!$A$12:$A$130,"&lt;"&amp;Diagram!$P14),SUMIFS(INDIRECT(ADDRESS(12,3+18*2+(13),,,"J1 B - Butcher Terrace")&amp;":"&amp;ADDRESS(130,3+18*2+(13))),'J1 B - Butcher Terrace'!$A$12:$A$130,"&gt;="&amp;Diagram!$O14,'J1 B - Butcher Terrace'!$A$12:$A$130,"&lt;"&amp;Diagram!$P14)))</f>
        <v>0</v>
      </c>
      <c r="DE14" s="42">
        <f ca="1">IF(OR($I$10="",$O14="",$P14="",$J$40&lt;&gt;"Yes"),0,IF($K$10=0,SUMIFS(INDIRECT(ADDRESS(12,3+18*3+(5),,,"J1 B - Butcher Terrace")&amp;":"&amp;ADDRESS(130,3+18*3+(5))),'J1 B - Butcher Terrace'!$A$12:$A$130,"&gt;="&amp;Diagram!$O14,'J1 B - Butcher Terrace'!$A$12:$A$130,"&lt;"&amp;Diagram!$P14),SUMIFS(INDIRECT(ADDRESS(12,3+18*3+(13),,,"J1 B - Butcher Terrace")&amp;":"&amp;ADDRESS(130,3+18*3+(13))),'J1 B - Butcher Terrace'!$A$12:$A$130,"&gt;="&amp;Diagram!$O14,'J1 B - Butcher Terrace'!$A$12:$A$130,"&lt;"&amp;Diagram!$P14)))</f>
        <v>0</v>
      </c>
      <c r="DF14" s="42">
        <f ca="1">IF(OR($I$10="",$O14="",$P14="",$J$40&lt;&gt;"Yes"),0,IF($K$10=0,SUMIFS(INDIRECT(ADDRESS(12,3+18*0+(5),,,"J1 B - Butcher Terrace")&amp;":"&amp;ADDRESS(130,3+18*0+(5))),'J1 B - Butcher Terrace'!$A$12:$A$130,"&gt;="&amp;Diagram!$O14,'J1 B - Butcher Terrace'!$A$12:$A$130,"&lt;"&amp;Diagram!$P14),SUMIFS(INDIRECT(ADDRESS(12,3+18*0+(13),,,"J1 B - Butcher Terrace")&amp;":"&amp;ADDRESS(130,3+18*0+(13))),'J1 B - Butcher Terrace'!$A$12:$A$130,"&gt;="&amp;Diagram!$O14,'J1 B - Butcher Terrace'!$A$12:$A$130,"&lt;"&amp;Diagram!$P14)))</f>
        <v>0</v>
      </c>
      <c r="DG14" s="42">
        <f ca="1">IF(OR($I$10="",$O14="",$P14="",$J$40&lt;&gt;"Yes"),0,IF($K$10=0,SUMIFS(INDIRECT(ADDRESS(12,3+18*1+(5),,,"J1 B - Butcher Terrace")&amp;":"&amp;ADDRESS(130,3+18*1+(5))),'J1 B - Butcher Terrace'!$A$12:$A$130,"&gt;="&amp;Diagram!$O14,'J1 B - Butcher Terrace'!$A$12:$A$130,"&lt;"&amp;Diagram!$P14),SUMIFS(INDIRECT(ADDRESS(12,3+18*1+(13),,,"J1 B - Butcher Terrace")&amp;":"&amp;ADDRESS(130,3+18*1+(13))),'J1 B - Butcher Terrace'!$A$12:$A$130,"&gt;="&amp;Diagram!$O14,'J1 B - Butcher Terrace'!$A$12:$A$130,"&lt;"&amp;Diagram!$P14)))</f>
        <v>0</v>
      </c>
      <c r="DH14" s="42">
        <f ca="1">IF(OR($I$10="",$O14="",$P14="",$J$40&lt;&gt;"Yes"),0,IF($K$10=0,SUMIFS(INDIRECT(ADDRESS(12,3+18*1+(5),,,"J1 C - (South) Bishopthorpe Roa")&amp;":"&amp;ADDRESS(130,3+18*1+(5))),'J1 C - (South) Bishopthorpe Roa'!$A$12:$A$130,"&gt;="&amp;Diagram!$O14,'J1 C - (South) Bishopthorpe Roa'!$A$12:$A$130,"&lt;"&amp;Diagram!$P14),SUMIFS(INDIRECT(ADDRESS(12,3+18*1+(13),,,"J1 C - (South) Bishopthorpe Roa")&amp;":"&amp;ADDRESS(130,3+18*1+(13))),'J1 C - (South) Bishopthorpe Roa'!$A$12:$A$130,"&gt;="&amp;Diagram!$O14,'J1 C - (South) Bishopthorpe Roa'!$A$12:$A$130,"&lt;"&amp;Diagram!$P14)))</f>
        <v>0</v>
      </c>
      <c r="DI14" s="42">
        <f ca="1">IF(OR($I$10="",$O14="",$P14="",$J$40&lt;&gt;"Yes"),0,IF($K$10=0,SUMIFS(INDIRECT(ADDRESS(12,3+18*2+(5),,,"J1 C - (South) Bishopthorpe Roa")&amp;":"&amp;ADDRESS(130,3+18*2+(5))),'J1 C - (South) Bishopthorpe Roa'!$A$12:$A$130,"&gt;="&amp;Diagram!$O14,'J1 C - (South) Bishopthorpe Roa'!$A$12:$A$130,"&lt;"&amp;Diagram!$P14),SUMIFS(INDIRECT(ADDRESS(12,3+18*2+(13),,,"J1 C - (South) Bishopthorpe Roa")&amp;":"&amp;ADDRESS(130,3+18*2+(13))),'J1 C - (South) Bishopthorpe Roa'!$A$12:$A$130,"&gt;="&amp;Diagram!$O14,'J1 C - (South) Bishopthorpe Roa'!$A$12:$A$130,"&lt;"&amp;Diagram!$P14)))</f>
        <v>0</v>
      </c>
      <c r="DJ14" s="42">
        <f ca="1">IF(OR($I$10="",$O14="",$P14="",$J$40&lt;&gt;"Yes"),0,IF($K$10=0,SUMIFS(INDIRECT(ADDRESS(12,3+18*3+(5),,,"J1 C - (South) Bishopthorpe Roa")&amp;":"&amp;ADDRESS(130,3+18*3+(5))),'J1 C - (South) Bishopthorpe Roa'!$A$12:$A$130,"&gt;="&amp;Diagram!$O14,'J1 C - (South) Bishopthorpe Roa'!$A$12:$A$130,"&lt;"&amp;Diagram!$P14),SUMIFS(INDIRECT(ADDRESS(12,3+18*3+(13),,,"J1 C - (South) Bishopthorpe Roa")&amp;":"&amp;ADDRESS(130,3+18*3+(13))),'J1 C - (South) Bishopthorpe Roa'!$A$12:$A$130,"&gt;="&amp;Diagram!$O14,'J1 C - (South) Bishopthorpe Roa'!$A$12:$A$130,"&lt;"&amp;Diagram!$P14)))</f>
        <v>0</v>
      </c>
      <c r="DK14" s="42">
        <f ca="1">IF(OR($I$10="",$O14="",$P14="",$J$40&lt;&gt;"Yes"),0,IF($K$10=0,SUMIFS(INDIRECT(ADDRESS(12,3+18*0+(5),,,"J1 C - (South) Bishopthorpe Roa")&amp;":"&amp;ADDRESS(130,3+18*0+(5))),'J1 C - (South) Bishopthorpe Roa'!$A$12:$A$130,"&gt;="&amp;Diagram!$O14,'J1 C - (South) Bishopthorpe Roa'!$A$12:$A$130,"&lt;"&amp;Diagram!$P14),SUMIFS(INDIRECT(ADDRESS(12,3+18*0+(13),,,"J1 C - (South) Bishopthorpe Roa")&amp;":"&amp;ADDRESS(130,3+18*0+(13))),'J1 C - (South) Bishopthorpe Roa'!$A$12:$A$130,"&gt;="&amp;Diagram!$O14,'J1 C - (South) Bishopthorpe Roa'!$A$12:$A$130,"&lt;"&amp;Diagram!$P14)))</f>
        <v>0</v>
      </c>
      <c r="DL14" s="42">
        <f ca="1">IF(OR($I$10="",$O14="",$P14="",$J$40&lt;&gt;"Yes"),0,IF($K$10=0,SUMIFS(INDIRECT(ADDRESS(12,3+18*0+(5),,,"J1 D - South Bank Avenue")&amp;":"&amp;ADDRESS(130,3+18*0+(5))),'J1 D - South Bank Avenue'!$A$12:$A$130,"&gt;="&amp;Diagram!$O14,'J1 D - South Bank Avenue'!$A$12:$A$130,"&lt;"&amp;Diagram!$P14),SUMIFS(INDIRECT(ADDRESS(12,3+18*0+(13),,,"J1 D - South Bank Avenue")&amp;":"&amp;ADDRESS(130,3+18*0+(13))),'J1 D - South Bank Avenue'!$A$12:$A$130,"&gt;="&amp;Diagram!$O14,'J1 D - South Bank Avenue'!$A$12:$A$130,"&lt;"&amp;Diagram!$P14)))</f>
        <v>0</v>
      </c>
      <c r="DM14" s="42">
        <f ca="1">IF(OR($I$10="",$O14="",$P14="",$J$40&lt;&gt;"Yes"),0,IF($K$10=0,SUMIFS(INDIRECT(ADDRESS(12,3+18*1+(5),,,"J1 D - South Bank Avenue")&amp;":"&amp;ADDRESS(130,3+18*1+(5))),'J1 D - South Bank Avenue'!$A$12:$A$130,"&gt;="&amp;Diagram!$O14,'J1 D - South Bank Avenue'!$A$12:$A$130,"&lt;"&amp;Diagram!$P14),SUMIFS(INDIRECT(ADDRESS(12,3+18*1+(13),,,"J1 D - South Bank Avenue")&amp;":"&amp;ADDRESS(130,3+18*1+(13))),'J1 D - South Bank Avenue'!$A$12:$A$130,"&gt;="&amp;Diagram!$O14,'J1 D - South Bank Avenue'!$A$12:$A$130,"&lt;"&amp;Diagram!$P14)))</f>
        <v>0</v>
      </c>
      <c r="DN14" s="42">
        <f ca="1">IF(OR($I$10="",$O14="",$P14="",$J$40&lt;&gt;"Yes"),0,IF($K$10=0,SUMIFS(INDIRECT(ADDRESS(12,3+18*2+(5),,,"J1 D - South Bank Avenue")&amp;":"&amp;ADDRESS(130,3+18*2+(5))),'J1 D - South Bank Avenue'!$A$12:$A$130,"&gt;="&amp;Diagram!$O14,'J1 D - South Bank Avenue'!$A$12:$A$130,"&lt;"&amp;Diagram!$P14),SUMIFS(INDIRECT(ADDRESS(12,3+18*2+(13),,,"J1 D - South Bank Avenue")&amp;":"&amp;ADDRESS(130,3+18*2+(13))),'J1 D - South Bank Avenue'!$A$12:$A$130,"&gt;="&amp;Diagram!$O14,'J1 D - South Bank Avenue'!$A$12:$A$130,"&lt;"&amp;Diagram!$P14)))</f>
        <v>0</v>
      </c>
      <c r="DO14" s="42">
        <f ca="1">IF(OR($I$10="",$O14="",$P14="",$J$40&lt;&gt;"Yes"),0,IF($K$10=0,SUMIFS(INDIRECT(ADDRESS(12,3+18*3+(5),,,"J1 D - South Bank Avenue")&amp;":"&amp;ADDRESS(130,3+18*3+(5))),'J1 D - South Bank Avenue'!$A$12:$A$130,"&gt;="&amp;Diagram!$O14,'J1 D - South Bank Avenue'!$A$12:$A$130,"&lt;"&amp;Diagram!$P14),SUMIFS(INDIRECT(ADDRESS(12,3+18*3+(13),,,"J1 D - South Bank Avenue")&amp;":"&amp;ADDRESS(130,3+18*3+(13))),'J1 D - South Bank Avenue'!$A$12:$A$130,"&gt;="&amp;Diagram!$O14,'J1 D - South Bank Avenue'!$A$12:$A$130,"&lt;"&amp;Diagram!$P14)))</f>
        <v>0</v>
      </c>
      <c r="DP14" s="42">
        <f t="shared" ca="1" si="7"/>
        <v>0</v>
      </c>
      <c r="DQ14" s="42">
        <f ca="1">IF(OR($I$10="",$O14="",$P14="",$J$41&lt;&gt;"Yes"),0,IF($K$10=0,SUMIFS(INDIRECT(ADDRESS(12,3+18*3+(6),,,"J1 A - (North) Bishopthorpe Roa")&amp;":"&amp;ADDRESS(130,3+18*3+(6))),'J1 A - (North) Bishopthorpe Roa'!$A$12:$A$130,"&gt;="&amp;Diagram!$O14,'J1 A - (North) Bishopthorpe Roa'!$A$12:$A$130,"&lt;"&amp;Diagram!$P14),SUMIFS(INDIRECT(ADDRESS(12,3+18*3+(14),,,"J1 A - (North) Bishopthorpe Roa")&amp;":"&amp;ADDRESS(130,3+18*3+(14))),'J1 A - (North) Bishopthorpe Roa'!$A$12:$A$130,"&gt;="&amp;Diagram!$O14,'J1 A - (North) Bishopthorpe Roa'!$A$12:$A$130,"&lt;"&amp;Diagram!$P14)))</f>
        <v>0</v>
      </c>
      <c r="DR14" s="42">
        <f ca="1">IF(OR($I$10="",$O14="",$P14="",$J$41&lt;&gt;"Yes"),0,IF($K$10=0,SUMIFS(INDIRECT(ADDRESS(12,3+18*0+(6),,,"J1 A - (North) Bishopthorpe Roa")&amp;":"&amp;ADDRESS(130,3+18*0+(6))),'J1 A - (North) Bishopthorpe Roa'!$A$12:$A$130,"&gt;="&amp;Diagram!$O14,'J1 A - (North) Bishopthorpe Roa'!$A$12:$A$130,"&lt;"&amp;Diagram!$P14),SUMIFS(INDIRECT(ADDRESS(12,3+18*0+(14),,,"J1 A - (North) Bishopthorpe Roa")&amp;":"&amp;ADDRESS(130,3+18*0+(14))),'J1 A - (North) Bishopthorpe Roa'!$A$12:$A$130,"&gt;="&amp;Diagram!$O14,'J1 A - (North) Bishopthorpe Roa'!$A$12:$A$130,"&lt;"&amp;Diagram!$P14)))</f>
        <v>0</v>
      </c>
      <c r="DS14" s="42">
        <f ca="1">IF(OR($I$10="",$O14="",$P14="",$J$41&lt;&gt;"Yes"),0,IF($K$10=0,SUMIFS(INDIRECT(ADDRESS(12,3+18*1+(6),,,"J1 A - (North) Bishopthorpe Roa")&amp;":"&amp;ADDRESS(130,3+18*1+(6))),'J1 A - (North) Bishopthorpe Roa'!$A$12:$A$130,"&gt;="&amp;Diagram!$O14,'J1 A - (North) Bishopthorpe Roa'!$A$12:$A$130,"&lt;"&amp;Diagram!$P14),SUMIFS(INDIRECT(ADDRESS(12,3+18*1+(14),,,"J1 A - (North) Bishopthorpe Roa")&amp;":"&amp;ADDRESS(130,3+18*1+(14))),'J1 A - (North) Bishopthorpe Roa'!$A$12:$A$130,"&gt;="&amp;Diagram!$O14,'J1 A - (North) Bishopthorpe Roa'!$A$12:$A$130,"&lt;"&amp;Diagram!$P14)))</f>
        <v>0</v>
      </c>
      <c r="DT14" s="42">
        <f ca="1">IF(OR($I$10="",$O14="",$P14="",$J$41&lt;&gt;"Yes"),0,IF($K$10=0,SUMIFS(INDIRECT(ADDRESS(12,3+18*2+(6),,,"J1 A - (North) Bishopthorpe Roa")&amp;":"&amp;ADDRESS(130,3+18*2+(6))),'J1 A - (North) Bishopthorpe Roa'!$A$12:$A$130,"&gt;="&amp;Diagram!$O14,'J1 A - (North) Bishopthorpe Roa'!$A$12:$A$130,"&lt;"&amp;Diagram!$P14),SUMIFS(INDIRECT(ADDRESS(12,3+18*2+(14),,,"J1 A - (North) Bishopthorpe Roa")&amp;":"&amp;ADDRESS(130,3+18*2+(14))),'J1 A - (North) Bishopthorpe Roa'!$A$12:$A$130,"&gt;="&amp;Diagram!$O14,'J1 A - (North) Bishopthorpe Roa'!$A$12:$A$130,"&lt;"&amp;Diagram!$P14)))</f>
        <v>0</v>
      </c>
      <c r="DU14" s="42">
        <f ca="1">IF(OR($I$10="",$O14="",$P14="",$J$41&lt;&gt;"Yes"),0,IF($K$10=0,SUMIFS(INDIRECT(ADDRESS(12,3+18*2+(6),,,"J1 B - Butcher Terrace")&amp;":"&amp;ADDRESS(130,3+18*2+(6))),'J1 B - Butcher Terrace'!$A$12:$A$130,"&gt;="&amp;Diagram!$O14,'J1 B - Butcher Terrace'!$A$12:$A$130,"&lt;"&amp;Diagram!$P14),SUMIFS(INDIRECT(ADDRESS(12,3+18*2+(14),,,"J1 B - Butcher Terrace")&amp;":"&amp;ADDRESS(130,3+18*2+(14))),'J1 B - Butcher Terrace'!$A$12:$A$130,"&gt;="&amp;Diagram!$O14,'J1 B - Butcher Terrace'!$A$12:$A$130,"&lt;"&amp;Diagram!$P14)))</f>
        <v>0</v>
      </c>
      <c r="DV14" s="42">
        <f ca="1">IF(OR($I$10="",$O14="",$P14="",$J$41&lt;&gt;"Yes"),0,IF($K$10=0,SUMIFS(INDIRECT(ADDRESS(12,3+18*3+(6),,,"J1 B - Butcher Terrace")&amp;":"&amp;ADDRESS(130,3+18*3+(6))),'J1 B - Butcher Terrace'!$A$12:$A$130,"&gt;="&amp;Diagram!$O14,'J1 B - Butcher Terrace'!$A$12:$A$130,"&lt;"&amp;Diagram!$P14),SUMIFS(INDIRECT(ADDRESS(12,3+18*3+(14),,,"J1 B - Butcher Terrace")&amp;":"&amp;ADDRESS(130,3+18*3+(14))),'J1 B - Butcher Terrace'!$A$12:$A$130,"&gt;="&amp;Diagram!$O14,'J1 B - Butcher Terrace'!$A$12:$A$130,"&lt;"&amp;Diagram!$P14)))</f>
        <v>0</v>
      </c>
      <c r="DW14" s="42">
        <f ca="1">IF(OR($I$10="",$O14="",$P14="",$J$41&lt;&gt;"Yes"),0,IF($K$10=0,SUMIFS(INDIRECT(ADDRESS(12,3+18*0+(6),,,"J1 B - Butcher Terrace")&amp;":"&amp;ADDRESS(130,3+18*0+(6))),'J1 B - Butcher Terrace'!$A$12:$A$130,"&gt;="&amp;Diagram!$O14,'J1 B - Butcher Terrace'!$A$12:$A$130,"&lt;"&amp;Diagram!$P14),SUMIFS(INDIRECT(ADDRESS(12,3+18*0+(14),,,"J1 B - Butcher Terrace")&amp;":"&amp;ADDRESS(130,3+18*0+(14))),'J1 B - Butcher Terrace'!$A$12:$A$130,"&gt;="&amp;Diagram!$O14,'J1 B - Butcher Terrace'!$A$12:$A$130,"&lt;"&amp;Diagram!$P14)))</f>
        <v>0</v>
      </c>
      <c r="DX14" s="42">
        <f ca="1">IF(OR($I$10="",$O14="",$P14="",$J$41&lt;&gt;"Yes"),0,IF($K$10=0,SUMIFS(INDIRECT(ADDRESS(12,3+18*1+(6),,,"J1 B - Butcher Terrace")&amp;":"&amp;ADDRESS(130,3+18*1+(6))),'J1 B - Butcher Terrace'!$A$12:$A$130,"&gt;="&amp;Diagram!$O14,'J1 B - Butcher Terrace'!$A$12:$A$130,"&lt;"&amp;Diagram!$P14),SUMIFS(INDIRECT(ADDRESS(12,3+18*1+(14),,,"J1 B - Butcher Terrace")&amp;":"&amp;ADDRESS(130,3+18*1+(14))),'J1 B - Butcher Terrace'!$A$12:$A$130,"&gt;="&amp;Diagram!$O14,'J1 B - Butcher Terrace'!$A$12:$A$130,"&lt;"&amp;Diagram!$P14)))</f>
        <v>0</v>
      </c>
      <c r="DY14" s="42">
        <f ca="1">IF(OR($I$10="",$O14="",$P14="",$J$41&lt;&gt;"Yes"),0,IF($K$10=0,SUMIFS(INDIRECT(ADDRESS(12,3+18*1+(6),,,"J1 C - (South) Bishopthorpe Roa")&amp;":"&amp;ADDRESS(130,3+18*1+(6))),'J1 C - (South) Bishopthorpe Roa'!$A$12:$A$130,"&gt;="&amp;Diagram!$O14,'J1 C - (South) Bishopthorpe Roa'!$A$12:$A$130,"&lt;"&amp;Diagram!$P14),SUMIFS(INDIRECT(ADDRESS(12,3+18*1+(14),,,"J1 C - (South) Bishopthorpe Roa")&amp;":"&amp;ADDRESS(130,3+18*1+(14))),'J1 C - (South) Bishopthorpe Roa'!$A$12:$A$130,"&gt;="&amp;Diagram!$O14,'J1 C - (South) Bishopthorpe Roa'!$A$12:$A$130,"&lt;"&amp;Diagram!$P14)))</f>
        <v>0</v>
      </c>
      <c r="DZ14" s="42">
        <f ca="1">IF(OR($I$10="",$O14="",$P14="",$J$41&lt;&gt;"Yes"),0,IF($K$10=0,SUMIFS(INDIRECT(ADDRESS(12,3+18*2+(6),,,"J1 C - (South) Bishopthorpe Roa")&amp;":"&amp;ADDRESS(130,3+18*2+(6))),'J1 C - (South) Bishopthorpe Roa'!$A$12:$A$130,"&gt;="&amp;Diagram!$O14,'J1 C - (South) Bishopthorpe Roa'!$A$12:$A$130,"&lt;"&amp;Diagram!$P14),SUMIFS(INDIRECT(ADDRESS(12,3+18*2+(14),,,"J1 C - (South) Bishopthorpe Roa")&amp;":"&amp;ADDRESS(130,3+18*2+(14))),'J1 C - (South) Bishopthorpe Roa'!$A$12:$A$130,"&gt;="&amp;Diagram!$O14,'J1 C - (South) Bishopthorpe Roa'!$A$12:$A$130,"&lt;"&amp;Diagram!$P14)))</f>
        <v>0</v>
      </c>
      <c r="EA14" s="42">
        <f ca="1">IF(OR($I$10="",$O14="",$P14="",$J$41&lt;&gt;"Yes"),0,IF($K$10=0,SUMIFS(INDIRECT(ADDRESS(12,3+18*3+(6),,,"J1 C - (South) Bishopthorpe Roa")&amp;":"&amp;ADDRESS(130,3+18*3+(6))),'J1 C - (South) Bishopthorpe Roa'!$A$12:$A$130,"&gt;="&amp;Diagram!$O14,'J1 C - (South) Bishopthorpe Roa'!$A$12:$A$130,"&lt;"&amp;Diagram!$P14),SUMIFS(INDIRECT(ADDRESS(12,3+18*3+(14),,,"J1 C - (South) Bishopthorpe Roa")&amp;":"&amp;ADDRESS(130,3+18*3+(14))),'J1 C - (South) Bishopthorpe Roa'!$A$12:$A$130,"&gt;="&amp;Diagram!$O14,'J1 C - (South) Bishopthorpe Roa'!$A$12:$A$130,"&lt;"&amp;Diagram!$P14)))</f>
        <v>0</v>
      </c>
      <c r="EB14" s="42">
        <f ca="1">IF(OR($I$10="",$O14="",$P14="",$J$41&lt;&gt;"Yes"),0,IF($K$10=0,SUMIFS(INDIRECT(ADDRESS(12,3+18*0+(6),,,"J1 C - (South) Bishopthorpe Roa")&amp;":"&amp;ADDRESS(130,3+18*0+(6))),'J1 C - (South) Bishopthorpe Roa'!$A$12:$A$130,"&gt;="&amp;Diagram!$O14,'J1 C - (South) Bishopthorpe Roa'!$A$12:$A$130,"&lt;"&amp;Diagram!$P14),SUMIFS(INDIRECT(ADDRESS(12,3+18*0+(14),,,"J1 C - (South) Bishopthorpe Roa")&amp;":"&amp;ADDRESS(130,3+18*0+(14))),'J1 C - (South) Bishopthorpe Roa'!$A$12:$A$130,"&gt;="&amp;Diagram!$O14,'J1 C - (South) Bishopthorpe Roa'!$A$12:$A$130,"&lt;"&amp;Diagram!$P14)))</f>
        <v>0</v>
      </c>
      <c r="EC14" s="42">
        <f ca="1">IF(OR($I$10="",$O14="",$P14="",$J$41&lt;&gt;"Yes"),0,IF($K$10=0,SUMIFS(INDIRECT(ADDRESS(12,3+18*0+(6),,,"J1 D - South Bank Avenue")&amp;":"&amp;ADDRESS(130,3+18*0+(6))),'J1 D - South Bank Avenue'!$A$12:$A$130,"&gt;="&amp;Diagram!$O14,'J1 D - South Bank Avenue'!$A$12:$A$130,"&lt;"&amp;Diagram!$P14),SUMIFS(INDIRECT(ADDRESS(12,3+18*0+(14),,,"J1 D - South Bank Avenue")&amp;":"&amp;ADDRESS(130,3+18*0+(14))),'J1 D - South Bank Avenue'!$A$12:$A$130,"&gt;="&amp;Diagram!$O14,'J1 D - South Bank Avenue'!$A$12:$A$130,"&lt;"&amp;Diagram!$P14)))</f>
        <v>0</v>
      </c>
      <c r="ED14" s="42">
        <f ca="1">IF(OR($I$10="",$O14="",$P14="",$J$41&lt;&gt;"Yes"),0,IF($K$10=0,SUMIFS(INDIRECT(ADDRESS(12,3+18*1+(6),,,"J1 D - South Bank Avenue")&amp;":"&amp;ADDRESS(130,3+18*1+(6))),'J1 D - South Bank Avenue'!$A$12:$A$130,"&gt;="&amp;Diagram!$O14,'J1 D - South Bank Avenue'!$A$12:$A$130,"&lt;"&amp;Diagram!$P14),SUMIFS(INDIRECT(ADDRESS(12,3+18*1+(14),,,"J1 D - South Bank Avenue")&amp;":"&amp;ADDRESS(130,3+18*1+(14))),'J1 D - South Bank Avenue'!$A$12:$A$130,"&gt;="&amp;Diagram!$O14,'J1 D - South Bank Avenue'!$A$12:$A$130,"&lt;"&amp;Diagram!$P14)))</f>
        <v>0</v>
      </c>
      <c r="EE14" s="42">
        <f ca="1">IF(OR($I$10="",$O14="",$P14="",$J$41&lt;&gt;"Yes"),0,IF($K$10=0,SUMIFS(INDIRECT(ADDRESS(12,3+18*2+(6),,,"J1 D - South Bank Avenue")&amp;":"&amp;ADDRESS(130,3+18*2+(6))),'J1 D - South Bank Avenue'!$A$12:$A$130,"&gt;="&amp;Diagram!$O14,'J1 D - South Bank Avenue'!$A$12:$A$130,"&lt;"&amp;Diagram!$P14),SUMIFS(INDIRECT(ADDRESS(12,3+18*2+(14),,,"J1 D - South Bank Avenue")&amp;":"&amp;ADDRESS(130,3+18*2+(14))),'J1 D - South Bank Avenue'!$A$12:$A$130,"&gt;="&amp;Diagram!$O14,'J1 D - South Bank Avenue'!$A$12:$A$130,"&lt;"&amp;Diagram!$P14)))</f>
        <v>0</v>
      </c>
      <c r="EF14" s="42">
        <f ca="1">IF(OR($I$10="",$O14="",$P14="",$J$41&lt;&gt;"Yes"),0,IF($K$10=0,SUMIFS(INDIRECT(ADDRESS(12,3+18*3+(6),,,"J1 D - South Bank Avenue")&amp;":"&amp;ADDRESS(130,3+18*3+(6))),'J1 D - South Bank Avenue'!$A$12:$A$130,"&gt;="&amp;Diagram!$O14,'J1 D - South Bank Avenue'!$A$12:$A$130,"&lt;"&amp;Diagram!$P14),SUMIFS(INDIRECT(ADDRESS(12,3+18*3+(14),,,"J1 D - South Bank Avenue")&amp;":"&amp;ADDRESS(130,3+18*3+(14))),'J1 D - South Bank Avenue'!$A$12:$A$130,"&gt;="&amp;Diagram!$O14,'J1 D - South Bank Avenue'!$A$12:$A$130,"&lt;"&amp;Diagram!$P14)))</f>
        <v>0</v>
      </c>
      <c r="EG14" s="42">
        <f t="shared" ca="1" si="8"/>
        <v>0</v>
      </c>
      <c r="EH14" s="42">
        <f ca="1">IF(OR($I$10="",$O14="",$P14="",$J$42&lt;&gt;"Yes"),0,IF($K$10=0,SUMIFS(INDIRECT(ADDRESS(12,3+18*3+(7),,,"J1 A - (North) Bishopthorpe Roa")&amp;":"&amp;ADDRESS(130,3+18*3+(7))),'J1 A - (North) Bishopthorpe Roa'!$A$12:$A$130,"&gt;="&amp;Diagram!$O14,'J1 A - (North) Bishopthorpe Roa'!$A$12:$A$130,"&lt;"&amp;Diagram!$P14),SUMIFS(INDIRECT(ADDRESS(12,3+18*3+(15),,,"J1 A - (North) Bishopthorpe Roa")&amp;":"&amp;ADDRESS(130,3+18*3+(15))),'J1 A - (North) Bishopthorpe Roa'!$A$12:$A$130,"&gt;="&amp;Diagram!$O14,'J1 A - (North) Bishopthorpe Roa'!$A$12:$A$130,"&lt;"&amp;Diagram!$P14)))</f>
        <v>0</v>
      </c>
      <c r="EI14" s="42">
        <f ca="1">IF(OR($I$10="",$O14="",$P14="",$J$42&lt;&gt;"Yes"),0,IF($K$10=0,SUMIFS(INDIRECT(ADDRESS(12,3+18*0+(7),,,"J1 A - (North) Bishopthorpe Roa")&amp;":"&amp;ADDRESS(130,3+18*0+(7))),'J1 A - (North) Bishopthorpe Roa'!$A$12:$A$130,"&gt;="&amp;Diagram!$O14,'J1 A - (North) Bishopthorpe Roa'!$A$12:$A$130,"&lt;"&amp;Diagram!$P14),SUMIFS(INDIRECT(ADDRESS(12,3+18*0+(15),,,"J1 A - (North) Bishopthorpe Roa")&amp;":"&amp;ADDRESS(130,3+18*0+(15))),'J1 A - (North) Bishopthorpe Roa'!$A$12:$A$130,"&gt;="&amp;Diagram!$O14,'J1 A - (North) Bishopthorpe Roa'!$A$12:$A$130,"&lt;"&amp;Diagram!$P14)))</f>
        <v>0</v>
      </c>
      <c r="EJ14" s="42">
        <f ca="1">IF(OR($I$10="",$O14="",$P14="",$J$42&lt;&gt;"Yes"),0,IF($K$10=0,SUMIFS(INDIRECT(ADDRESS(12,3+18*1+(7),,,"J1 A - (North) Bishopthorpe Roa")&amp;":"&amp;ADDRESS(130,3+18*1+(7))),'J1 A - (North) Bishopthorpe Roa'!$A$12:$A$130,"&gt;="&amp;Diagram!$O14,'J1 A - (North) Bishopthorpe Roa'!$A$12:$A$130,"&lt;"&amp;Diagram!$P14),SUMIFS(INDIRECT(ADDRESS(12,3+18*1+(15),,,"J1 A - (North) Bishopthorpe Roa")&amp;":"&amp;ADDRESS(130,3+18*1+(15))),'J1 A - (North) Bishopthorpe Roa'!$A$12:$A$130,"&gt;="&amp;Diagram!$O14,'J1 A - (North) Bishopthorpe Roa'!$A$12:$A$130,"&lt;"&amp;Diagram!$P14)))</f>
        <v>0</v>
      </c>
      <c r="EK14" s="42">
        <f ca="1">IF(OR($I$10="",$O14="",$P14="",$J$42&lt;&gt;"Yes"),0,IF($K$10=0,SUMIFS(INDIRECT(ADDRESS(12,3+18*2+(7),,,"J1 A - (North) Bishopthorpe Roa")&amp;":"&amp;ADDRESS(130,3+18*2+(7))),'J1 A - (North) Bishopthorpe Roa'!$A$12:$A$130,"&gt;="&amp;Diagram!$O14,'J1 A - (North) Bishopthorpe Roa'!$A$12:$A$130,"&lt;"&amp;Diagram!$P14),SUMIFS(INDIRECT(ADDRESS(12,3+18*2+(15),,,"J1 A - (North) Bishopthorpe Roa")&amp;":"&amp;ADDRESS(130,3+18*2+(15))),'J1 A - (North) Bishopthorpe Roa'!$A$12:$A$130,"&gt;="&amp;Diagram!$O14,'J1 A - (North) Bishopthorpe Roa'!$A$12:$A$130,"&lt;"&amp;Diagram!$P14)))</f>
        <v>0</v>
      </c>
      <c r="EL14" s="42">
        <f ca="1">IF(OR($I$10="",$O14="",$P14="",$J$42&lt;&gt;"Yes"),0,IF($K$10=0,SUMIFS(INDIRECT(ADDRESS(12,3+18*2+(7),,,"J1 B - Butcher Terrace")&amp;":"&amp;ADDRESS(130,3+18*2+(7))),'J1 B - Butcher Terrace'!$A$12:$A$130,"&gt;="&amp;Diagram!$O14,'J1 B - Butcher Terrace'!$A$12:$A$130,"&lt;"&amp;Diagram!$P14),SUMIFS(INDIRECT(ADDRESS(12,3+18*2+(15),,,"J1 B - Butcher Terrace")&amp;":"&amp;ADDRESS(130,3+18*2+(15))),'J1 B - Butcher Terrace'!$A$12:$A$130,"&gt;="&amp;Diagram!$O14,'J1 B - Butcher Terrace'!$A$12:$A$130,"&lt;"&amp;Diagram!$P14)))</f>
        <v>0</v>
      </c>
      <c r="EM14" s="42">
        <f ca="1">IF(OR($I$10="",$O14="",$P14="",$J$42&lt;&gt;"Yes"),0,IF($K$10=0,SUMIFS(INDIRECT(ADDRESS(12,3+18*3+(7),,,"J1 B - Butcher Terrace")&amp;":"&amp;ADDRESS(130,3+18*3+(7))),'J1 B - Butcher Terrace'!$A$12:$A$130,"&gt;="&amp;Diagram!$O14,'J1 B - Butcher Terrace'!$A$12:$A$130,"&lt;"&amp;Diagram!$P14),SUMIFS(INDIRECT(ADDRESS(12,3+18*3+(15),,,"J1 B - Butcher Terrace")&amp;":"&amp;ADDRESS(130,3+18*3+(15))),'J1 B - Butcher Terrace'!$A$12:$A$130,"&gt;="&amp;Diagram!$O14,'J1 B - Butcher Terrace'!$A$12:$A$130,"&lt;"&amp;Diagram!$P14)))</f>
        <v>0</v>
      </c>
      <c r="EN14" s="42">
        <f ca="1">IF(OR($I$10="",$O14="",$P14="",$J$42&lt;&gt;"Yes"),0,IF($K$10=0,SUMIFS(INDIRECT(ADDRESS(12,3+18*0+(7),,,"J1 B - Butcher Terrace")&amp;":"&amp;ADDRESS(130,3+18*0+(7))),'J1 B - Butcher Terrace'!$A$12:$A$130,"&gt;="&amp;Diagram!$O14,'J1 B - Butcher Terrace'!$A$12:$A$130,"&lt;"&amp;Diagram!$P14),SUMIFS(INDIRECT(ADDRESS(12,3+18*0+(15),,,"J1 B - Butcher Terrace")&amp;":"&amp;ADDRESS(130,3+18*0+(15))),'J1 B - Butcher Terrace'!$A$12:$A$130,"&gt;="&amp;Diagram!$O14,'J1 B - Butcher Terrace'!$A$12:$A$130,"&lt;"&amp;Diagram!$P14)))</f>
        <v>0</v>
      </c>
      <c r="EO14" s="42">
        <f ca="1">IF(OR($I$10="",$O14="",$P14="",$J$42&lt;&gt;"Yes"),0,IF($K$10=0,SUMIFS(INDIRECT(ADDRESS(12,3+18*1+(7),,,"J1 B - Butcher Terrace")&amp;":"&amp;ADDRESS(130,3+18*1+(7))),'J1 B - Butcher Terrace'!$A$12:$A$130,"&gt;="&amp;Diagram!$O14,'J1 B - Butcher Terrace'!$A$12:$A$130,"&lt;"&amp;Diagram!$P14),SUMIFS(INDIRECT(ADDRESS(12,3+18*1+(15),,,"J1 B - Butcher Terrace")&amp;":"&amp;ADDRESS(130,3+18*1+(15))),'J1 B - Butcher Terrace'!$A$12:$A$130,"&gt;="&amp;Diagram!$O14,'J1 B - Butcher Terrace'!$A$12:$A$130,"&lt;"&amp;Diagram!$P14)))</f>
        <v>0</v>
      </c>
      <c r="EP14" s="42">
        <f ca="1">IF(OR($I$10="",$O14="",$P14="",$J$42&lt;&gt;"Yes"),0,IF($K$10=0,SUMIFS(INDIRECT(ADDRESS(12,3+18*1+(7),,,"J1 C - (South) Bishopthorpe Roa")&amp;":"&amp;ADDRESS(130,3+18*1+(7))),'J1 C - (South) Bishopthorpe Roa'!$A$12:$A$130,"&gt;="&amp;Diagram!$O14,'J1 C - (South) Bishopthorpe Roa'!$A$12:$A$130,"&lt;"&amp;Diagram!$P14),SUMIFS(INDIRECT(ADDRESS(12,3+18*1+(15),,,"J1 C - (South) Bishopthorpe Roa")&amp;":"&amp;ADDRESS(130,3+18*1+(15))),'J1 C - (South) Bishopthorpe Roa'!$A$12:$A$130,"&gt;="&amp;Diagram!$O14,'J1 C - (South) Bishopthorpe Roa'!$A$12:$A$130,"&lt;"&amp;Diagram!$P14)))</f>
        <v>0</v>
      </c>
      <c r="EQ14" s="42">
        <f ca="1">IF(OR($I$10="",$O14="",$P14="",$J$42&lt;&gt;"Yes"),0,IF($K$10=0,SUMIFS(INDIRECT(ADDRESS(12,3+18*2+(7),,,"J1 C - (South) Bishopthorpe Roa")&amp;":"&amp;ADDRESS(130,3+18*2+(7))),'J1 C - (South) Bishopthorpe Roa'!$A$12:$A$130,"&gt;="&amp;Diagram!$O14,'J1 C - (South) Bishopthorpe Roa'!$A$12:$A$130,"&lt;"&amp;Diagram!$P14),SUMIFS(INDIRECT(ADDRESS(12,3+18*2+(15),,,"J1 C - (South) Bishopthorpe Roa")&amp;":"&amp;ADDRESS(130,3+18*2+(15))),'J1 C - (South) Bishopthorpe Roa'!$A$12:$A$130,"&gt;="&amp;Diagram!$O14,'J1 C - (South) Bishopthorpe Roa'!$A$12:$A$130,"&lt;"&amp;Diagram!$P14)))</f>
        <v>0</v>
      </c>
      <c r="ER14" s="42">
        <f ca="1">IF(OR($I$10="",$O14="",$P14="",$J$42&lt;&gt;"Yes"),0,IF($K$10=0,SUMIFS(INDIRECT(ADDRESS(12,3+18*3+(7),,,"J1 C - (South) Bishopthorpe Roa")&amp;":"&amp;ADDRESS(130,3+18*3+(7))),'J1 C - (South) Bishopthorpe Roa'!$A$12:$A$130,"&gt;="&amp;Diagram!$O14,'J1 C - (South) Bishopthorpe Roa'!$A$12:$A$130,"&lt;"&amp;Diagram!$P14),SUMIFS(INDIRECT(ADDRESS(12,3+18*3+(15),,,"J1 C - (South) Bishopthorpe Roa")&amp;":"&amp;ADDRESS(130,3+18*3+(15))),'J1 C - (South) Bishopthorpe Roa'!$A$12:$A$130,"&gt;="&amp;Diagram!$O14,'J1 C - (South) Bishopthorpe Roa'!$A$12:$A$130,"&lt;"&amp;Diagram!$P14)))</f>
        <v>0</v>
      </c>
      <c r="ES14" s="42">
        <f ca="1">IF(OR($I$10="",$O14="",$P14="",$J$42&lt;&gt;"Yes"),0,IF($K$10=0,SUMIFS(INDIRECT(ADDRESS(12,3+18*0+(7),,,"J1 C - (South) Bishopthorpe Roa")&amp;":"&amp;ADDRESS(130,3+18*0+(7))),'J1 C - (South) Bishopthorpe Roa'!$A$12:$A$130,"&gt;="&amp;Diagram!$O14,'J1 C - (South) Bishopthorpe Roa'!$A$12:$A$130,"&lt;"&amp;Diagram!$P14),SUMIFS(INDIRECT(ADDRESS(12,3+18*0+(15),,,"J1 C - (South) Bishopthorpe Roa")&amp;":"&amp;ADDRESS(130,3+18*0+(15))),'J1 C - (South) Bishopthorpe Roa'!$A$12:$A$130,"&gt;="&amp;Diagram!$O14,'J1 C - (South) Bishopthorpe Roa'!$A$12:$A$130,"&lt;"&amp;Diagram!$P14)))</f>
        <v>0</v>
      </c>
      <c r="ET14" s="42">
        <f ca="1">IF(OR($I$10="",$O14="",$P14="",$J$42&lt;&gt;"Yes"),0,IF($K$10=0,SUMIFS(INDIRECT(ADDRESS(12,3+18*0+(7),,,"J1 D - South Bank Avenue")&amp;":"&amp;ADDRESS(130,3+18*0+(7))),'J1 D - South Bank Avenue'!$A$12:$A$130,"&gt;="&amp;Diagram!$O14,'J1 D - South Bank Avenue'!$A$12:$A$130,"&lt;"&amp;Diagram!$P14),SUMIFS(INDIRECT(ADDRESS(12,3+18*0+(15),,,"J1 D - South Bank Avenue")&amp;":"&amp;ADDRESS(130,3+18*0+(15))),'J1 D - South Bank Avenue'!$A$12:$A$130,"&gt;="&amp;Diagram!$O14,'J1 D - South Bank Avenue'!$A$12:$A$130,"&lt;"&amp;Diagram!$P14)))</f>
        <v>0</v>
      </c>
      <c r="EU14" s="42">
        <f ca="1">IF(OR($I$10="",$O14="",$P14="",$J$42&lt;&gt;"Yes"),0,IF($K$10=0,SUMIFS(INDIRECT(ADDRESS(12,3+18*1+(7),,,"J1 D - South Bank Avenue")&amp;":"&amp;ADDRESS(130,3+18*1+(7))),'J1 D - South Bank Avenue'!$A$12:$A$130,"&gt;="&amp;Diagram!$O14,'J1 D - South Bank Avenue'!$A$12:$A$130,"&lt;"&amp;Diagram!$P14),SUMIFS(INDIRECT(ADDRESS(12,3+18*1+(15),,,"J1 D - South Bank Avenue")&amp;":"&amp;ADDRESS(130,3+18*1+(15))),'J1 D - South Bank Avenue'!$A$12:$A$130,"&gt;="&amp;Diagram!$O14,'J1 D - South Bank Avenue'!$A$12:$A$130,"&lt;"&amp;Diagram!$P14)))</f>
        <v>0</v>
      </c>
      <c r="EV14" s="42">
        <f ca="1">IF(OR($I$10="",$O14="",$P14="",$J$42&lt;&gt;"Yes"),0,IF($K$10=0,SUMIFS(INDIRECT(ADDRESS(12,3+18*2+(7),,,"J1 D - South Bank Avenue")&amp;":"&amp;ADDRESS(130,3+18*2+(7))),'J1 D - South Bank Avenue'!$A$12:$A$130,"&gt;="&amp;Diagram!$O14,'J1 D - South Bank Avenue'!$A$12:$A$130,"&lt;"&amp;Diagram!$P14),SUMIFS(INDIRECT(ADDRESS(12,3+18*2+(15),,,"J1 D - South Bank Avenue")&amp;":"&amp;ADDRESS(130,3+18*2+(15))),'J1 D - South Bank Avenue'!$A$12:$A$130,"&gt;="&amp;Diagram!$O14,'J1 D - South Bank Avenue'!$A$12:$A$130,"&lt;"&amp;Diagram!$P14)))</f>
        <v>0</v>
      </c>
      <c r="EW14" s="42">
        <f ca="1">IF(OR($I$10="",$O14="",$P14="",$J$42&lt;&gt;"Yes"),0,IF($K$10=0,SUMIFS(INDIRECT(ADDRESS(12,3+18*3+(7),,,"J1 D - South Bank Avenue")&amp;":"&amp;ADDRESS(130,3+18*3+(7))),'J1 D - South Bank Avenue'!$A$12:$A$130,"&gt;="&amp;Diagram!$O14,'J1 D - South Bank Avenue'!$A$12:$A$130,"&lt;"&amp;Diagram!$P14),SUMIFS(INDIRECT(ADDRESS(12,3+18*3+(15),,,"J1 D - South Bank Avenue")&amp;":"&amp;ADDRESS(130,3+18*3+(15))),'J1 D - South Bank Avenue'!$A$12:$A$130,"&gt;="&amp;Diagram!$O14,'J1 D - South Bank Avenue'!$A$12:$A$130,"&lt;"&amp;Diagram!$P14)))</f>
        <v>0</v>
      </c>
    </row>
    <row r="15" spans="1:153" ht="21" customHeight="1">
      <c r="A15" s="1">
        <v>44395.145833333299</v>
      </c>
      <c r="B15" s="1">
        <v>44395.15625</v>
      </c>
      <c r="H15" s="8" t="s">
        <v>154</v>
      </c>
      <c r="I15" s="15">
        <v>44395</v>
      </c>
      <c r="J15" s="16">
        <v>44396</v>
      </c>
      <c r="K15" s="13">
        <f>IF($I$17="Yes",$J$17,IF($I$12="Yes",$J$12,$I$15))</f>
        <v>44395</v>
      </c>
      <c r="L15" s="13">
        <f>IF($I$17="Yes",$K$17-"00:00:01",IF($I$12="Yes",IF($K$12="","",$K$12-"00:00:01"),IF($J$15="","",$J$15-"00:00:01")))</f>
        <v>44395.999988425901</v>
      </c>
      <c r="O15" s="3">
        <v>44395.145833333299</v>
      </c>
      <c r="P15" s="3">
        <v>44395.1875</v>
      </c>
      <c r="Q15" s="42">
        <f t="shared" ca="1" si="0"/>
        <v>7</v>
      </c>
      <c r="R15" s="42">
        <f t="shared" ca="1" si="1"/>
        <v>6</v>
      </c>
      <c r="S15" s="42">
        <f ca="1">IF(OR($I$10="",$O15="",$P15="",$J$35&lt;&gt;"Yes"),0,IF($K$10=0,SUMIFS(INDIRECT(ADDRESS(12,3+18*3+(0),,,"J1 A - (North) Bishopthorpe Roa")&amp;":"&amp;ADDRESS(130,3+18*3+(0))),'J1 A - (North) Bishopthorpe Roa'!$A$12:$A$130,"&gt;="&amp;Diagram!$O15,'J1 A - (North) Bishopthorpe Roa'!$A$12:$A$130,"&lt;"&amp;Diagram!$P15),SUMIFS(INDIRECT(ADDRESS(12,3+18*3+(8),,,"J1 A - (North) Bishopthorpe Roa")&amp;":"&amp;ADDRESS(130,3+18*3+(8))),'J1 A - (North) Bishopthorpe Roa'!$A$12:$A$130,"&gt;="&amp;Diagram!$O15,'J1 A - (North) Bishopthorpe Roa'!$A$12:$A$130,"&lt;"&amp;Diagram!$P15)))</f>
        <v>0</v>
      </c>
      <c r="T15" s="42">
        <f ca="1">IF(OR($I$10="",$O15="",$P15="",$J$35&lt;&gt;"Yes"),0,IF($K$10=0,SUMIFS(INDIRECT(ADDRESS(12,3+18*0+(0),,,"J1 A - (North) Bishopthorpe Roa")&amp;":"&amp;ADDRESS(130,3+18*0+(0))),'J1 A - (North) Bishopthorpe Roa'!$A$12:$A$130,"&gt;="&amp;Diagram!$O15,'J1 A - (North) Bishopthorpe Roa'!$A$12:$A$130,"&lt;"&amp;Diagram!$P15),SUMIFS(INDIRECT(ADDRESS(12,3+18*0+(8),,,"J1 A - (North) Bishopthorpe Roa")&amp;":"&amp;ADDRESS(130,3+18*0+(8))),'J1 A - (North) Bishopthorpe Roa'!$A$12:$A$130,"&gt;="&amp;Diagram!$O15,'J1 A - (North) Bishopthorpe Roa'!$A$12:$A$130,"&lt;"&amp;Diagram!$P15)))</f>
        <v>0</v>
      </c>
      <c r="U15" s="42">
        <f ca="1">IF(OR($I$10="",$O15="",$P15="",$J$35&lt;&gt;"Yes"),0,IF($K$10=0,SUMIFS(INDIRECT(ADDRESS(12,3+18*1+(0),,,"J1 A - (North) Bishopthorpe Roa")&amp;":"&amp;ADDRESS(130,3+18*1+(0))),'J1 A - (North) Bishopthorpe Roa'!$A$12:$A$130,"&gt;="&amp;Diagram!$O15,'J1 A - (North) Bishopthorpe Roa'!$A$12:$A$130,"&lt;"&amp;Diagram!$P15),SUMIFS(INDIRECT(ADDRESS(12,3+18*1+(8),,,"J1 A - (North) Bishopthorpe Roa")&amp;":"&amp;ADDRESS(130,3+18*1+(8))),'J1 A - (North) Bishopthorpe Roa'!$A$12:$A$130,"&gt;="&amp;Diagram!$O15,'J1 A - (North) Bishopthorpe Roa'!$A$12:$A$130,"&lt;"&amp;Diagram!$P15)))</f>
        <v>4</v>
      </c>
      <c r="V15" s="42">
        <f ca="1">IF(OR($I$10="",$O15="",$P15="",$J$35&lt;&gt;"Yes"),0,IF($K$10=0,SUMIFS(INDIRECT(ADDRESS(12,3+18*2+(0),,,"J1 A - (North) Bishopthorpe Roa")&amp;":"&amp;ADDRESS(130,3+18*2+(0))),'J1 A - (North) Bishopthorpe Roa'!$A$12:$A$130,"&gt;="&amp;Diagram!$O15,'J1 A - (North) Bishopthorpe Roa'!$A$12:$A$130,"&lt;"&amp;Diagram!$P15),SUMIFS(INDIRECT(ADDRESS(12,3+18*2+(8),,,"J1 A - (North) Bishopthorpe Roa")&amp;":"&amp;ADDRESS(130,3+18*2+(8))),'J1 A - (North) Bishopthorpe Roa'!$A$12:$A$130,"&gt;="&amp;Diagram!$O15,'J1 A - (North) Bishopthorpe Roa'!$A$12:$A$130,"&lt;"&amp;Diagram!$P15)))</f>
        <v>0</v>
      </c>
      <c r="W15" s="42">
        <f ca="1">IF(OR($I$10="",$O15="",$P15="",$J$35&lt;&gt;"Yes"),0,IF($K$10=0,SUMIFS(INDIRECT(ADDRESS(12,3+18*2+(0),,,"J1 B - Butcher Terrace")&amp;":"&amp;ADDRESS(130,3+18*2+(0))),'J1 B - Butcher Terrace'!$A$12:$A$130,"&gt;="&amp;Diagram!$O15,'J1 B - Butcher Terrace'!$A$12:$A$130,"&lt;"&amp;Diagram!$P15),SUMIFS(INDIRECT(ADDRESS(12,3+18*2+(8),,,"J1 B - Butcher Terrace")&amp;":"&amp;ADDRESS(130,3+18*2+(8))),'J1 B - Butcher Terrace'!$A$12:$A$130,"&gt;="&amp;Diagram!$O15,'J1 B - Butcher Terrace'!$A$12:$A$130,"&lt;"&amp;Diagram!$P15)))</f>
        <v>0</v>
      </c>
      <c r="X15" s="42">
        <f ca="1">IF(OR($I$10="",$O15="",$P15="",$J$35&lt;&gt;"Yes"),0,IF($K$10=0,SUMIFS(INDIRECT(ADDRESS(12,3+18*3+(0),,,"J1 B - Butcher Terrace")&amp;":"&amp;ADDRESS(130,3+18*3+(0))),'J1 B - Butcher Terrace'!$A$12:$A$130,"&gt;="&amp;Diagram!$O15,'J1 B - Butcher Terrace'!$A$12:$A$130,"&lt;"&amp;Diagram!$P15),SUMIFS(INDIRECT(ADDRESS(12,3+18*3+(8),,,"J1 B - Butcher Terrace")&amp;":"&amp;ADDRESS(130,3+18*3+(8))),'J1 B - Butcher Terrace'!$A$12:$A$130,"&gt;="&amp;Diagram!$O15,'J1 B - Butcher Terrace'!$A$12:$A$130,"&lt;"&amp;Diagram!$P15)))</f>
        <v>0</v>
      </c>
      <c r="Y15" s="42">
        <f ca="1">IF(OR($I$10="",$O15="",$P15="",$J$35&lt;&gt;"Yes"),0,IF($K$10=0,SUMIFS(INDIRECT(ADDRESS(12,3+18*0+(0),,,"J1 B - Butcher Terrace")&amp;":"&amp;ADDRESS(130,3+18*0+(0))),'J1 B - Butcher Terrace'!$A$12:$A$130,"&gt;="&amp;Diagram!$O15,'J1 B - Butcher Terrace'!$A$12:$A$130,"&lt;"&amp;Diagram!$P15),SUMIFS(INDIRECT(ADDRESS(12,3+18*0+(8),,,"J1 B - Butcher Terrace")&amp;":"&amp;ADDRESS(130,3+18*0+(8))),'J1 B - Butcher Terrace'!$A$12:$A$130,"&gt;="&amp;Diagram!$O15,'J1 B - Butcher Terrace'!$A$12:$A$130,"&lt;"&amp;Diagram!$P15)))</f>
        <v>0</v>
      </c>
      <c r="Z15" s="42">
        <f ca="1">IF(OR($I$10="",$O15="",$P15="",$J$35&lt;&gt;"Yes"),0,IF($K$10=0,SUMIFS(INDIRECT(ADDRESS(12,3+18*1+(0),,,"J1 B - Butcher Terrace")&amp;":"&amp;ADDRESS(130,3+18*1+(0))),'J1 B - Butcher Terrace'!$A$12:$A$130,"&gt;="&amp;Diagram!$O15,'J1 B - Butcher Terrace'!$A$12:$A$130,"&lt;"&amp;Diagram!$P15),SUMIFS(INDIRECT(ADDRESS(12,3+18*1+(8),,,"J1 B - Butcher Terrace")&amp;":"&amp;ADDRESS(130,3+18*1+(8))),'J1 B - Butcher Terrace'!$A$12:$A$130,"&gt;="&amp;Diagram!$O15,'J1 B - Butcher Terrace'!$A$12:$A$130,"&lt;"&amp;Diagram!$P15)))</f>
        <v>0</v>
      </c>
      <c r="AA15" s="42">
        <f ca="1">IF(OR($I$10="",$O15="",$P15="",$J$35&lt;&gt;"Yes"),0,IF($K$10=0,SUMIFS(INDIRECT(ADDRESS(12,3+18*1+(0),,,"J1 C - (South) Bishopthorpe Roa")&amp;":"&amp;ADDRESS(130,3+18*1+(0))),'J1 C - (South) Bishopthorpe Roa'!$A$12:$A$130,"&gt;="&amp;Diagram!$O15,'J1 C - (South) Bishopthorpe Roa'!$A$12:$A$130,"&lt;"&amp;Diagram!$P15),SUMIFS(INDIRECT(ADDRESS(12,3+18*1+(8),,,"J1 C - (South) Bishopthorpe Roa")&amp;":"&amp;ADDRESS(130,3+18*1+(8))),'J1 C - (South) Bishopthorpe Roa'!$A$12:$A$130,"&gt;="&amp;Diagram!$O15,'J1 C - (South) Bishopthorpe Roa'!$A$12:$A$130,"&lt;"&amp;Diagram!$P15)))</f>
        <v>2</v>
      </c>
      <c r="AB15" s="42">
        <f ca="1">IF(OR($I$10="",$O15="",$P15="",$J$35&lt;&gt;"Yes"),0,IF($K$10=0,SUMIFS(INDIRECT(ADDRESS(12,3+18*2+(0),,,"J1 C - (South) Bishopthorpe Roa")&amp;":"&amp;ADDRESS(130,3+18*2+(0))),'J1 C - (South) Bishopthorpe Roa'!$A$12:$A$130,"&gt;="&amp;Diagram!$O15,'J1 C - (South) Bishopthorpe Roa'!$A$12:$A$130,"&lt;"&amp;Diagram!$P15),SUMIFS(INDIRECT(ADDRESS(12,3+18*2+(8),,,"J1 C - (South) Bishopthorpe Roa")&amp;":"&amp;ADDRESS(130,3+18*2+(8))),'J1 C - (South) Bishopthorpe Roa'!$A$12:$A$130,"&gt;="&amp;Diagram!$O15,'J1 C - (South) Bishopthorpe Roa'!$A$12:$A$130,"&lt;"&amp;Diagram!$P15)))</f>
        <v>0</v>
      </c>
      <c r="AC15" s="42">
        <f ca="1">IF(OR($I$10="",$O15="",$P15="",$J$35&lt;&gt;"Yes"),0,IF($K$10=0,SUMIFS(INDIRECT(ADDRESS(12,3+18*3+(0),,,"J1 C - (South) Bishopthorpe Roa")&amp;":"&amp;ADDRESS(130,3+18*3+(0))),'J1 C - (South) Bishopthorpe Roa'!$A$12:$A$130,"&gt;="&amp;Diagram!$O15,'J1 C - (South) Bishopthorpe Roa'!$A$12:$A$130,"&lt;"&amp;Diagram!$P15),SUMIFS(INDIRECT(ADDRESS(12,3+18*3+(8),,,"J1 C - (South) Bishopthorpe Roa")&amp;":"&amp;ADDRESS(130,3+18*3+(8))),'J1 C - (South) Bishopthorpe Roa'!$A$12:$A$130,"&gt;="&amp;Diagram!$O15,'J1 C - (South) Bishopthorpe Roa'!$A$12:$A$130,"&lt;"&amp;Diagram!$P15)))</f>
        <v>0</v>
      </c>
      <c r="AD15" s="42">
        <f ca="1">IF(OR($I$10="",$O15="",$P15="",$J$35&lt;&gt;"Yes"),0,IF($K$10=0,SUMIFS(INDIRECT(ADDRESS(12,3+18*0+(0),,,"J1 C - (South) Bishopthorpe Roa")&amp;":"&amp;ADDRESS(130,3+18*0+(0))),'J1 C - (South) Bishopthorpe Roa'!$A$12:$A$130,"&gt;="&amp;Diagram!$O15,'J1 C - (South) Bishopthorpe Roa'!$A$12:$A$130,"&lt;"&amp;Diagram!$P15),SUMIFS(INDIRECT(ADDRESS(12,3+18*0+(8),,,"J1 C - (South) Bishopthorpe Roa")&amp;":"&amp;ADDRESS(130,3+18*0+(8))),'J1 C - (South) Bishopthorpe Roa'!$A$12:$A$130,"&gt;="&amp;Diagram!$O15,'J1 C - (South) Bishopthorpe Roa'!$A$12:$A$130,"&lt;"&amp;Diagram!$P15)))</f>
        <v>0</v>
      </c>
      <c r="AE15" s="42">
        <f ca="1">IF(OR($I$10="",$O15="",$P15="",$J$35&lt;&gt;"Yes"),0,IF($K$10=0,SUMIFS(INDIRECT(ADDRESS(12,3+18*0+(0),,,"J1 D - South Bank Avenue")&amp;":"&amp;ADDRESS(130,3+18*0+(0))),'J1 D - South Bank Avenue'!$A$12:$A$130,"&gt;="&amp;Diagram!$O15,'J1 D - South Bank Avenue'!$A$12:$A$130,"&lt;"&amp;Diagram!$P15),SUMIFS(INDIRECT(ADDRESS(12,3+18*0+(8),,,"J1 D - South Bank Avenue")&amp;":"&amp;ADDRESS(130,3+18*0+(8))),'J1 D - South Bank Avenue'!$A$12:$A$130,"&gt;="&amp;Diagram!$O15,'J1 D - South Bank Avenue'!$A$12:$A$130,"&lt;"&amp;Diagram!$P15)))</f>
        <v>0</v>
      </c>
      <c r="AF15" s="42">
        <f ca="1">IF(OR($I$10="",$O15="",$P15="",$J$35&lt;&gt;"Yes"),0,IF($K$10=0,SUMIFS(INDIRECT(ADDRESS(12,3+18*1+(0),,,"J1 D - South Bank Avenue")&amp;":"&amp;ADDRESS(130,3+18*1+(0))),'J1 D - South Bank Avenue'!$A$12:$A$130,"&gt;="&amp;Diagram!$O15,'J1 D - South Bank Avenue'!$A$12:$A$130,"&lt;"&amp;Diagram!$P15),SUMIFS(INDIRECT(ADDRESS(12,3+18*1+(8),,,"J1 D - South Bank Avenue")&amp;":"&amp;ADDRESS(130,3+18*1+(8))),'J1 D - South Bank Avenue'!$A$12:$A$130,"&gt;="&amp;Diagram!$O15,'J1 D - South Bank Avenue'!$A$12:$A$130,"&lt;"&amp;Diagram!$P15)))</f>
        <v>0</v>
      </c>
      <c r="AG15" s="42">
        <f ca="1">IF(OR($I$10="",$O15="",$P15="",$J$35&lt;&gt;"Yes"),0,IF($K$10=0,SUMIFS(INDIRECT(ADDRESS(12,3+18*2+(0),,,"J1 D - South Bank Avenue")&amp;":"&amp;ADDRESS(130,3+18*2+(0))),'J1 D - South Bank Avenue'!$A$12:$A$130,"&gt;="&amp;Diagram!$O15,'J1 D - South Bank Avenue'!$A$12:$A$130,"&lt;"&amp;Diagram!$P15),SUMIFS(INDIRECT(ADDRESS(12,3+18*2+(8),,,"J1 D - South Bank Avenue")&amp;":"&amp;ADDRESS(130,3+18*2+(8))),'J1 D - South Bank Avenue'!$A$12:$A$130,"&gt;="&amp;Diagram!$O15,'J1 D - South Bank Avenue'!$A$12:$A$130,"&lt;"&amp;Diagram!$P15)))</f>
        <v>0</v>
      </c>
      <c r="AH15" s="42">
        <f ca="1">IF(OR($I$10="",$O15="",$P15="",$J$35&lt;&gt;"Yes"),0,IF($K$10=0,SUMIFS(INDIRECT(ADDRESS(12,3+18*3+(0),,,"J1 D - South Bank Avenue")&amp;":"&amp;ADDRESS(130,3+18*3+(0))),'J1 D - South Bank Avenue'!$A$12:$A$130,"&gt;="&amp;Diagram!$O15,'J1 D - South Bank Avenue'!$A$12:$A$130,"&lt;"&amp;Diagram!$P15),SUMIFS(INDIRECT(ADDRESS(12,3+18*3+(8),,,"J1 D - South Bank Avenue")&amp;":"&amp;ADDRESS(130,3+18*3+(8))),'J1 D - South Bank Avenue'!$A$12:$A$130,"&gt;="&amp;Diagram!$O15,'J1 D - South Bank Avenue'!$A$12:$A$130,"&lt;"&amp;Diagram!$P15)))</f>
        <v>0</v>
      </c>
      <c r="AI15" s="42">
        <f t="shared" ca="1" si="2"/>
        <v>0</v>
      </c>
      <c r="AJ15" s="42">
        <f ca="1">IF(OR($I$10="",$O15="",$P15="",$J$36&lt;&gt;"Yes"),0,IF($K$10=0,SUMIFS(INDIRECT(ADDRESS(12,3+18*3+(1),,,"J1 A - (North) Bishopthorpe Roa")&amp;":"&amp;ADDRESS(130,3+18*3+(1))),'J1 A - (North) Bishopthorpe Roa'!$A$12:$A$130,"&gt;="&amp;Diagram!$O15,'J1 A - (North) Bishopthorpe Roa'!$A$12:$A$130,"&lt;"&amp;Diagram!$P15),SUMIFS(INDIRECT(ADDRESS(12,3+18*3+(9),,,"J1 A - (North) Bishopthorpe Roa")&amp;":"&amp;ADDRESS(130,3+18*3+(9))),'J1 A - (North) Bishopthorpe Roa'!$A$12:$A$130,"&gt;="&amp;Diagram!$O15,'J1 A - (North) Bishopthorpe Roa'!$A$12:$A$130,"&lt;"&amp;Diagram!$P15)))</f>
        <v>0</v>
      </c>
      <c r="AK15" s="42">
        <f ca="1">IF(OR($I$10="",$O15="",$P15="",$J$36&lt;&gt;"Yes"),0,IF($K$10=0,SUMIFS(INDIRECT(ADDRESS(12,3+18*0+(1),,,"J1 A - (North) Bishopthorpe Roa")&amp;":"&amp;ADDRESS(130,3+18*0+(1))),'J1 A - (North) Bishopthorpe Roa'!$A$12:$A$130,"&gt;="&amp;Diagram!$O15,'J1 A - (North) Bishopthorpe Roa'!$A$12:$A$130,"&lt;"&amp;Diagram!$P15),SUMIFS(INDIRECT(ADDRESS(12,3+18*0+(9),,,"J1 A - (North) Bishopthorpe Roa")&amp;":"&amp;ADDRESS(130,3+18*0+(9))),'J1 A - (North) Bishopthorpe Roa'!$A$12:$A$130,"&gt;="&amp;Diagram!$O15,'J1 A - (North) Bishopthorpe Roa'!$A$12:$A$130,"&lt;"&amp;Diagram!$P15)))</f>
        <v>0</v>
      </c>
      <c r="AL15" s="42">
        <f ca="1">IF(OR($I$10="",$O15="",$P15="",$J$36&lt;&gt;"Yes"),0,IF($K$10=0,SUMIFS(INDIRECT(ADDRESS(12,3+18*1+(1),,,"J1 A - (North) Bishopthorpe Roa")&amp;":"&amp;ADDRESS(130,3+18*1+(1))),'J1 A - (North) Bishopthorpe Roa'!$A$12:$A$130,"&gt;="&amp;Diagram!$O15,'J1 A - (North) Bishopthorpe Roa'!$A$12:$A$130,"&lt;"&amp;Diagram!$P15),SUMIFS(INDIRECT(ADDRESS(12,3+18*1+(9),,,"J1 A - (North) Bishopthorpe Roa")&amp;":"&amp;ADDRESS(130,3+18*1+(9))),'J1 A - (North) Bishopthorpe Roa'!$A$12:$A$130,"&gt;="&amp;Diagram!$O15,'J1 A - (North) Bishopthorpe Roa'!$A$12:$A$130,"&lt;"&amp;Diagram!$P15)))</f>
        <v>0</v>
      </c>
      <c r="AM15" s="42">
        <f ca="1">IF(OR($I$10="",$O15="",$P15="",$J$36&lt;&gt;"Yes"),0,IF($K$10=0,SUMIFS(INDIRECT(ADDRESS(12,3+18*2+(1),,,"J1 A - (North) Bishopthorpe Roa")&amp;":"&amp;ADDRESS(130,3+18*2+(1))),'J1 A - (North) Bishopthorpe Roa'!$A$12:$A$130,"&gt;="&amp;Diagram!$O15,'J1 A - (North) Bishopthorpe Roa'!$A$12:$A$130,"&lt;"&amp;Diagram!$P15),SUMIFS(INDIRECT(ADDRESS(12,3+18*2+(9),,,"J1 A - (North) Bishopthorpe Roa")&amp;":"&amp;ADDRESS(130,3+18*2+(9))),'J1 A - (North) Bishopthorpe Roa'!$A$12:$A$130,"&gt;="&amp;Diagram!$O15,'J1 A - (North) Bishopthorpe Roa'!$A$12:$A$130,"&lt;"&amp;Diagram!$P15)))</f>
        <v>0</v>
      </c>
      <c r="AN15" s="42">
        <f ca="1">IF(OR($I$10="",$O15="",$P15="",$J$36&lt;&gt;"Yes"),0,IF($K$10=0,SUMIFS(INDIRECT(ADDRESS(12,3+18*2+(1),,,"J1 B - Butcher Terrace")&amp;":"&amp;ADDRESS(130,3+18*2+(1))),'J1 B - Butcher Terrace'!$A$12:$A$130,"&gt;="&amp;Diagram!$O15,'J1 B - Butcher Terrace'!$A$12:$A$130,"&lt;"&amp;Diagram!$P15),SUMIFS(INDIRECT(ADDRESS(12,3+18*2+(9),,,"J1 B - Butcher Terrace")&amp;":"&amp;ADDRESS(130,3+18*2+(9))),'J1 B - Butcher Terrace'!$A$12:$A$130,"&gt;="&amp;Diagram!$O15,'J1 B - Butcher Terrace'!$A$12:$A$130,"&lt;"&amp;Diagram!$P15)))</f>
        <v>0</v>
      </c>
      <c r="AO15" s="42">
        <f ca="1">IF(OR($I$10="",$O15="",$P15="",$J$36&lt;&gt;"Yes"),0,IF($K$10=0,SUMIFS(INDIRECT(ADDRESS(12,3+18*3+(1),,,"J1 B - Butcher Terrace")&amp;":"&amp;ADDRESS(130,3+18*3+(1))),'J1 B - Butcher Terrace'!$A$12:$A$130,"&gt;="&amp;Diagram!$O15,'J1 B - Butcher Terrace'!$A$12:$A$130,"&lt;"&amp;Diagram!$P15),SUMIFS(INDIRECT(ADDRESS(12,3+18*3+(9),,,"J1 B - Butcher Terrace")&amp;":"&amp;ADDRESS(130,3+18*3+(9))),'J1 B - Butcher Terrace'!$A$12:$A$130,"&gt;="&amp;Diagram!$O15,'J1 B - Butcher Terrace'!$A$12:$A$130,"&lt;"&amp;Diagram!$P15)))</f>
        <v>0</v>
      </c>
      <c r="AP15" s="42">
        <f ca="1">IF(OR($I$10="",$O15="",$P15="",$J$36&lt;&gt;"Yes"),0,IF($K$10=0,SUMIFS(INDIRECT(ADDRESS(12,3+18*0+(1),,,"J1 B - Butcher Terrace")&amp;":"&amp;ADDRESS(130,3+18*0+(1))),'J1 B - Butcher Terrace'!$A$12:$A$130,"&gt;="&amp;Diagram!$O15,'J1 B - Butcher Terrace'!$A$12:$A$130,"&lt;"&amp;Diagram!$P15),SUMIFS(INDIRECT(ADDRESS(12,3+18*0+(9),,,"J1 B - Butcher Terrace")&amp;":"&amp;ADDRESS(130,3+18*0+(9))),'J1 B - Butcher Terrace'!$A$12:$A$130,"&gt;="&amp;Diagram!$O15,'J1 B - Butcher Terrace'!$A$12:$A$130,"&lt;"&amp;Diagram!$P15)))</f>
        <v>0</v>
      </c>
      <c r="AQ15" s="42">
        <f ca="1">IF(OR($I$10="",$O15="",$P15="",$J$36&lt;&gt;"Yes"),0,IF($K$10=0,SUMIFS(INDIRECT(ADDRESS(12,3+18*1+(1),,,"J1 B - Butcher Terrace")&amp;":"&amp;ADDRESS(130,3+18*1+(1))),'J1 B - Butcher Terrace'!$A$12:$A$130,"&gt;="&amp;Diagram!$O15,'J1 B - Butcher Terrace'!$A$12:$A$130,"&lt;"&amp;Diagram!$P15),SUMIFS(INDIRECT(ADDRESS(12,3+18*1+(9),,,"J1 B - Butcher Terrace")&amp;":"&amp;ADDRESS(130,3+18*1+(9))),'J1 B - Butcher Terrace'!$A$12:$A$130,"&gt;="&amp;Diagram!$O15,'J1 B - Butcher Terrace'!$A$12:$A$130,"&lt;"&amp;Diagram!$P15)))</f>
        <v>0</v>
      </c>
      <c r="AR15" s="42">
        <f ca="1">IF(OR($I$10="",$O15="",$P15="",$J$36&lt;&gt;"Yes"),0,IF($K$10=0,SUMIFS(INDIRECT(ADDRESS(12,3+18*1+(1),,,"J1 C - (South) Bishopthorpe Roa")&amp;":"&amp;ADDRESS(130,3+18*1+(1))),'J1 C - (South) Bishopthorpe Roa'!$A$12:$A$130,"&gt;="&amp;Diagram!$O15,'J1 C - (South) Bishopthorpe Roa'!$A$12:$A$130,"&lt;"&amp;Diagram!$P15),SUMIFS(INDIRECT(ADDRESS(12,3+18*1+(9),,,"J1 C - (South) Bishopthorpe Roa")&amp;":"&amp;ADDRESS(130,3+18*1+(9))),'J1 C - (South) Bishopthorpe Roa'!$A$12:$A$130,"&gt;="&amp;Diagram!$O15,'J1 C - (South) Bishopthorpe Roa'!$A$12:$A$130,"&lt;"&amp;Diagram!$P15)))</f>
        <v>0</v>
      </c>
      <c r="AS15" s="42">
        <f ca="1">IF(OR($I$10="",$O15="",$P15="",$J$36&lt;&gt;"Yes"),0,IF($K$10=0,SUMIFS(INDIRECT(ADDRESS(12,3+18*2+(1),,,"J1 C - (South) Bishopthorpe Roa")&amp;":"&amp;ADDRESS(130,3+18*2+(1))),'J1 C - (South) Bishopthorpe Roa'!$A$12:$A$130,"&gt;="&amp;Diagram!$O15,'J1 C - (South) Bishopthorpe Roa'!$A$12:$A$130,"&lt;"&amp;Diagram!$P15),SUMIFS(INDIRECT(ADDRESS(12,3+18*2+(9),,,"J1 C - (South) Bishopthorpe Roa")&amp;":"&amp;ADDRESS(130,3+18*2+(9))),'J1 C - (South) Bishopthorpe Roa'!$A$12:$A$130,"&gt;="&amp;Diagram!$O15,'J1 C - (South) Bishopthorpe Roa'!$A$12:$A$130,"&lt;"&amp;Diagram!$P15)))</f>
        <v>0</v>
      </c>
      <c r="AT15" s="42">
        <f ca="1">IF(OR($I$10="",$O15="",$P15="",$J$36&lt;&gt;"Yes"),0,IF($K$10=0,SUMIFS(INDIRECT(ADDRESS(12,3+18*3+(1),,,"J1 C - (South) Bishopthorpe Roa")&amp;":"&amp;ADDRESS(130,3+18*3+(1))),'J1 C - (South) Bishopthorpe Roa'!$A$12:$A$130,"&gt;="&amp;Diagram!$O15,'J1 C - (South) Bishopthorpe Roa'!$A$12:$A$130,"&lt;"&amp;Diagram!$P15),SUMIFS(INDIRECT(ADDRESS(12,3+18*3+(9),,,"J1 C - (South) Bishopthorpe Roa")&amp;":"&amp;ADDRESS(130,3+18*3+(9))),'J1 C - (South) Bishopthorpe Roa'!$A$12:$A$130,"&gt;="&amp;Diagram!$O15,'J1 C - (South) Bishopthorpe Roa'!$A$12:$A$130,"&lt;"&amp;Diagram!$P15)))</f>
        <v>0</v>
      </c>
      <c r="AU15" s="42">
        <f ca="1">IF(OR($I$10="",$O15="",$P15="",$J$36&lt;&gt;"Yes"),0,IF($K$10=0,SUMIFS(INDIRECT(ADDRESS(12,3+18*0+(1),,,"J1 C - (South) Bishopthorpe Roa")&amp;":"&amp;ADDRESS(130,3+18*0+(1))),'J1 C - (South) Bishopthorpe Roa'!$A$12:$A$130,"&gt;="&amp;Diagram!$O15,'J1 C - (South) Bishopthorpe Roa'!$A$12:$A$130,"&lt;"&amp;Diagram!$P15),SUMIFS(INDIRECT(ADDRESS(12,3+18*0+(9),,,"J1 C - (South) Bishopthorpe Roa")&amp;":"&amp;ADDRESS(130,3+18*0+(9))),'J1 C - (South) Bishopthorpe Roa'!$A$12:$A$130,"&gt;="&amp;Diagram!$O15,'J1 C - (South) Bishopthorpe Roa'!$A$12:$A$130,"&lt;"&amp;Diagram!$P15)))</f>
        <v>0</v>
      </c>
      <c r="AV15" s="42">
        <f ca="1">IF(OR($I$10="",$O15="",$P15="",$J$36&lt;&gt;"Yes"),0,IF($K$10=0,SUMIFS(INDIRECT(ADDRESS(12,3+18*0+(1),,,"J1 D - South Bank Avenue")&amp;":"&amp;ADDRESS(130,3+18*0+(1))),'J1 D - South Bank Avenue'!$A$12:$A$130,"&gt;="&amp;Diagram!$O15,'J1 D - South Bank Avenue'!$A$12:$A$130,"&lt;"&amp;Diagram!$P15),SUMIFS(INDIRECT(ADDRESS(12,3+18*0+(9),,,"J1 D - South Bank Avenue")&amp;":"&amp;ADDRESS(130,3+18*0+(9))),'J1 D - South Bank Avenue'!$A$12:$A$130,"&gt;="&amp;Diagram!$O15,'J1 D - South Bank Avenue'!$A$12:$A$130,"&lt;"&amp;Diagram!$P15)))</f>
        <v>0</v>
      </c>
      <c r="AW15" s="42">
        <f ca="1">IF(OR($I$10="",$O15="",$P15="",$J$36&lt;&gt;"Yes"),0,IF($K$10=0,SUMIFS(INDIRECT(ADDRESS(12,3+18*1+(1),,,"J1 D - South Bank Avenue")&amp;":"&amp;ADDRESS(130,3+18*1+(1))),'J1 D - South Bank Avenue'!$A$12:$A$130,"&gt;="&amp;Diagram!$O15,'J1 D - South Bank Avenue'!$A$12:$A$130,"&lt;"&amp;Diagram!$P15),SUMIFS(INDIRECT(ADDRESS(12,3+18*1+(9),,,"J1 D - South Bank Avenue")&amp;":"&amp;ADDRESS(130,3+18*1+(9))),'J1 D - South Bank Avenue'!$A$12:$A$130,"&gt;="&amp;Diagram!$O15,'J1 D - South Bank Avenue'!$A$12:$A$130,"&lt;"&amp;Diagram!$P15)))</f>
        <v>0</v>
      </c>
      <c r="AX15" s="42">
        <f ca="1">IF(OR($I$10="",$O15="",$P15="",$J$36&lt;&gt;"Yes"),0,IF($K$10=0,SUMIFS(INDIRECT(ADDRESS(12,3+18*2+(1),,,"J1 D - South Bank Avenue")&amp;":"&amp;ADDRESS(130,3+18*2+(1))),'J1 D - South Bank Avenue'!$A$12:$A$130,"&gt;="&amp;Diagram!$O15,'J1 D - South Bank Avenue'!$A$12:$A$130,"&lt;"&amp;Diagram!$P15),SUMIFS(INDIRECT(ADDRESS(12,3+18*2+(9),,,"J1 D - South Bank Avenue")&amp;":"&amp;ADDRESS(130,3+18*2+(9))),'J1 D - South Bank Avenue'!$A$12:$A$130,"&gt;="&amp;Diagram!$O15,'J1 D - South Bank Avenue'!$A$12:$A$130,"&lt;"&amp;Diagram!$P15)))</f>
        <v>0</v>
      </c>
      <c r="AY15" s="42">
        <f ca="1">IF(OR($I$10="",$O15="",$P15="",$J$36&lt;&gt;"Yes"),0,IF($K$10=0,SUMIFS(INDIRECT(ADDRESS(12,3+18*3+(1),,,"J1 D - South Bank Avenue")&amp;":"&amp;ADDRESS(130,3+18*3+(1))),'J1 D - South Bank Avenue'!$A$12:$A$130,"&gt;="&amp;Diagram!$O15,'J1 D - South Bank Avenue'!$A$12:$A$130,"&lt;"&amp;Diagram!$P15),SUMIFS(INDIRECT(ADDRESS(12,3+18*3+(9),,,"J1 D - South Bank Avenue")&amp;":"&amp;ADDRESS(130,3+18*3+(9))),'J1 D - South Bank Avenue'!$A$12:$A$130,"&gt;="&amp;Diagram!$O15,'J1 D - South Bank Avenue'!$A$12:$A$130,"&lt;"&amp;Diagram!$P15)))</f>
        <v>0</v>
      </c>
      <c r="AZ15" s="42">
        <f t="shared" ca="1" si="3"/>
        <v>1</v>
      </c>
      <c r="BA15" s="42">
        <f ca="1">IF(OR($I$10="",$O15="",$P15="",$J$37&lt;&gt;"Yes"),0,IF($K$10=0,SUMIFS(INDIRECT(ADDRESS(12,3+18*3+(2),,,"J1 A - (North) Bishopthorpe Roa")&amp;":"&amp;ADDRESS(130,3+18*3+(2))),'J1 A - (North) Bishopthorpe Roa'!$A$12:$A$130,"&gt;="&amp;Diagram!$O15,'J1 A - (North) Bishopthorpe Roa'!$A$12:$A$130,"&lt;"&amp;Diagram!$P15),SUMIFS(INDIRECT(ADDRESS(12,3+18*3+(10),,,"J1 A - (North) Bishopthorpe Roa")&amp;":"&amp;ADDRESS(130,3+18*3+(10))),'J1 A - (North) Bishopthorpe Roa'!$A$12:$A$130,"&gt;="&amp;Diagram!$O15,'J1 A - (North) Bishopthorpe Roa'!$A$12:$A$130,"&lt;"&amp;Diagram!$P15)))</f>
        <v>0</v>
      </c>
      <c r="BB15" s="42">
        <f ca="1">IF(OR($I$10="",$O15="",$P15="",$J$37&lt;&gt;"Yes"),0,IF($K$10=0,SUMIFS(INDIRECT(ADDRESS(12,3+18*0+(2),,,"J1 A - (North) Bishopthorpe Roa")&amp;":"&amp;ADDRESS(130,3+18*0+(2))),'J1 A - (North) Bishopthorpe Roa'!$A$12:$A$130,"&gt;="&amp;Diagram!$O15,'J1 A - (North) Bishopthorpe Roa'!$A$12:$A$130,"&lt;"&amp;Diagram!$P15),SUMIFS(INDIRECT(ADDRESS(12,3+18*0+(10),,,"J1 A - (North) Bishopthorpe Roa")&amp;":"&amp;ADDRESS(130,3+18*0+(10))),'J1 A - (North) Bishopthorpe Roa'!$A$12:$A$130,"&gt;="&amp;Diagram!$O15,'J1 A - (North) Bishopthorpe Roa'!$A$12:$A$130,"&lt;"&amp;Diagram!$P15)))</f>
        <v>0</v>
      </c>
      <c r="BC15" s="42">
        <f ca="1">IF(OR($I$10="",$O15="",$P15="",$J$37&lt;&gt;"Yes"),0,IF($K$10=0,SUMIFS(INDIRECT(ADDRESS(12,3+18*1+(2),,,"J1 A - (North) Bishopthorpe Roa")&amp;":"&amp;ADDRESS(130,3+18*1+(2))),'J1 A - (North) Bishopthorpe Roa'!$A$12:$A$130,"&gt;="&amp;Diagram!$O15,'J1 A - (North) Bishopthorpe Roa'!$A$12:$A$130,"&lt;"&amp;Diagram!$P15),SUMIFS(INDIRECT(ADDRESS(12,3+18*1+(10),,,"J1 A - (North) Bishopthorpe Roa")&amp;":"&amp;ADDRESS(130,3+18*1+(10))),'J1 A - (North) Bishopthorpe Roa'!$A$12:$A$130,"&gt;="&amp;Diagram!$O15,'J1 A - (North) Bishopthorpe Roa'!$A$12:$A$130,"&lt;"&amp;Diagram!$P15)))</f>
        <v>1</v>
      </c>
      <c r="BD15" s="42">
        <f ca="1">IF(OR($I$10="",$O15="",$P15="",$J$37&lt;&gt;"Yes"),0,IF($K$10=0,SUMIFS(INDIRECT(ADDRESS(12,3+18*2+(2),,,"J1 A - (North) Bishopthorpe Roa")&amp;":"&amp;ADDRESS(130,3+18*2+(2))),'J1 A - (North) Bishopthorpe Roa'!$A$12:$A$130,"&gt;="&amp;Diagram!$O15,'J1 A - (North) Bishopthorpe Roa'!$A$12:$A$130,"&lt;"&amp;Diagram!$P15),SUMIFS(INDIRECT(ADDRESS(12,3+18*2+(10),,,"J1 A - (North) Bishopthorpe Roa")&amp;":"&amp;ADDRESS(130,3+18*2+(10))),'J1 A - (North) Bishopthorpe Roa'!$A$12:$A$130,"&gt;="&amp;Diagram!$O15,'J1 A - (North) Bishopthorpe Roa'!$A$12:$A$130,"&lt;"&amp;Diagram!$P15)))</f>
        <v>0</v>
      </c>
      <c r="BE15" s="42">
        <f ca="1">IF(OR($I$10="",$O15="",$P15="",$J$37&lt;&gt;"Yes"),0,IF($K$10=0,SUMIFS(INDIRECT(ADDRESS(12,3+18*2+(2),,,"J1 B - Butcher Terrace")&amp;":"&amp;ADDRESS(130,3+18*2+(2))),'J1 B - Butcher Terrace'!$A$12:$A$130,"&gt;="&amp;Diagram!$O15,'J1 B - Butcher Terrace'!$A$12:$A$130,"&lt;"&amp;Diagram!$P15),SUMIFS(INDIRECT(ADDRESS(12,3+18*2+(10),,,"J1 B - Butcher Terrace")&amp;":"&amp;ADDRESS(130,3+18*2+(10))),'J1 B - Butcher Terrace'!$A$12:$A$130,"&gt;="&amp;Diagram!$O15,'J1 B - Butcher Terrace'!$A$12:$A$130,"&lt;"&amp;Diagram!$P15)))</f>
        <v>0</v>
      </c>
      <c r="BF15" s="42">
        <f ca="1">IF(OR($I$10="",$O15="",$P15="",$J$37&lt;&gt;"Yes"),0,IF($K$10=0,SUMIFS(INDIRECT(ADDRESS(12,3+18*3+(2),,,"J1 B - Butcher Terrace")&amp;":"&amp;ADDRESS(130,3+18*3+(2))),'J1 B - Butcher Terrace'!$A$12:$A$130,"&gt;="&amp;Diagram!$O15,'J1 B - Butcher Terrace'!$A$12:$A$130,"&lt;"&amp;Diagram!$P15),SUMIFS(INDIRECT(ADDRESS(12,3+18*3+(10),,,"J1 B - Butcher Terrace")&amp;":"&amp;ADDRESS(130,3+18*3+(10))),'J1 B - Butcher Terrace'!$A$12:$A$130,"&gt;="&amp;Diagram!$O15,'J1 B - Butcher Terrace'!$A$12:$A$130,"&lt;"&amp;Diagram!$P15)))</f>
        <v>0</v>
      </c>
      <c r="BG15" s="42">
        <f ca="1">IF(OR($I$10="",$O15="",$P15="",$J$37&lt;&gt;"Yes"),0,IF($K$10=0,SUMIFS(INDIRECT(ADDRESS(12,3+18*0+(2),,,"J1 B - Butcher Terrace")&amp;":"&amp;ADDRESS(130,3+18*0+(2))),'J1 B - Butcher Terrace'!$A$12:$A$130,"&gt;="&amp;Diagram!$O15,'J1 B - Butcher Terrace'!$A$12:$A$130,"&lt;"&amp;Diagram!$P15),SUMIFS(INDIRECT(ADDRESS(12,3+18*0+(10),,,"J1 B - Butcher Terrace")&amp;":"&amp;ADDRESS(130,3+18*0+(10))),'J1 B - Butcher Terrace'!$A$12:$A$130,"&gt;="&amp;Diagram!$O15,'J1 B - Butcher Terrace'!$A$12:$A$130,"&lt;"&amp;Diagram!$P15)))</f>
        <v>0</v>
      </c>
      <c r="BH15" s="42">
        <f ca="1">IF(OR($I$10="",$O15="",$P15="",$J$37&lt;&gt;"Yes"),0,IF($K$10=0,SUMIFS(INDIRECT(ADDRESS(12,3+18*1+(2),,,"J1 B - Butcher Terrace")&amp;":"&amp;ADDRESS(130,3+18*1+(2))),'J1 B - Butcher Terrace'!$A$12:$A$130,"&gt;="&amp;Diagram!$O15,'J1 B - Butcher Terrace'!$A$12:$A$130,"&lt;"&amp;Diagram!$P15),SUMIFS(INDIRECT(ADDRESS(12,3+18*1+(10),,,"J1 B - Butcher Terrace")&amp;":"&amp;ADDRESS(130,3+18*1+(10))),'J1 B - Butcher Terrace'!$A$12:$A$130,"&gt;="&amp;Diagram!$O15,'J1 B - Butcher Terrace'!$A$12:$A$130,"&lt;"&amp;Diagram!$P15)))</f>
        <v>0</v>
      </c>
      <c r="BI15" s="42">
        <f ca="1">IF(OR($I$10="",$O15="",$P15="",$J$37&lt;&gt;"Yes"),0,IF($K$10=0,SUMIFS(INDIRECT(ADDRESS(12,3+18*1+(2),,,"J1 C - (South) Bishopthorpe Roa")&amp;":"&amp;ADDRESS(130,3+18*1+(2))),'J1 C - (South) Bishopthorpe Roa'!$A$12:$A$130,"&gt;="&amp;Diagram!$O15,'J1 C - (South) Bishopthorpe Roa'!$A$12:$A$130,"&lt;"&amp;Diagram!$P15),SUMIFS(INDIRECT(ADDRESS(12,3+18*1+(10),,,"J1 C - (South) Bishopthorpe Roa")&amp;":"&amp;ADDRESS(130,3+18*1+(10))),'J1 C - (South) Bishopthorpe Roa'!$A$12:$A$130,"&gt;="&amp;Diagram!$O15,'J1 C - (South) Bishopthorpe Roa'!$A$12:$A$130,"&lt;"&amp;Diagram!$P15)))</f>
        <v>0</v>
      </c>
      <c r="BJ15" s="42">
        <f ca="1">IF(OR($I$10="",$O15="",$P15="",$J$37&lt;&gt;"Yes"),0,IF($K$10=0,SUMIFS(INDIRECT(ADDRESS(12,3+18*2+(2),,,"J1 C - (South) Bishopthorpe Roa")&amp;":"&amp;ADDRESS(130,3+18*2+(2))),'J1 C - (South) Bishopthorpe Roa'!$A$12:$A$130,"&gt;="&amp;Diagram!$O15,'J1 C - (South) Bishopthorpe Roa'!$A$12:$A$130,"&lt;"&amp;Diagram!$P15),SUMIFS(INDIRECT(ADDRESS(12,3+18*2+(10),,,"J1 C - (South) Bishopthorpe Roa")&amp;":"&amp;ADDRESS(130,3+18*2+(10))),'J1 C - (South) Bishopthorpe Roa'!$A$12:$A$130,"&gt;="&amp;Diagram!$O15,'J1 C - (South) Bishopthorpe Roa'!$A$12:$A$130,"&lt;"&amp;Diagram!$P15)))</f>
        <v>0</v>
      </c>
      <c r="BK15" s="42">
        <f ca="1">IF(OR($I$10="",$O15="",$P15="",$J$37&lt;&gt;"Yes"),0,IF($K$10=0,SUMIFS(INDIRECT(ADDRESS(12,3+18*3+(2),,,"J1 C - (South) Bishopthorpe Roa")&amp;":"&amp;ADDRESS(130,3+18*3+(2))),'J1 C - (South) Bishopthorpe Roa'!$A$12:$A$130,"&gt;="&amp;Diagram!$O15,'J1 C - (South) Bishopthorpe Roa'!$A$12:$A$130,"&lt;"&amp;Diagram!$P15),SUMIFS(INDIRECT(ADDRESS(12,3+18*3+(10),,,"J1 C - (South) Bishopthorpe Roa")&amp;":"&amp;ADDRESS(130,3+18*3+(10))),'J1 C - (South) Bishopthorpe Roa'!$A$12:$A$130,"&gt;="&amp;Diagram!$O15,'J1 C - (South) Bishopthorpe Roa'!$A$12:$A$130,"&lt;"&amp;Diagram!$P15)))</f>
        <v>0</v>
      </c>
      <c r="BL15" s="42">
        <f ca="1">IF(OR($I$10="",$O15="",$P15="",$J$37&lt;&gt;"Yes"),0,IF($K$10=0,SUMIFS(INDIRECT(ADDRESS(12,3+18*0+(2),,,"J1 C - (South) Bishopthorpe Roa")&amp;":"&amp;ADDRESS(130,3+18*0+(2))),'J1 C - (South) Bishopthorpe Roa'!$A$12:$A$130,"&gt;="&amp;Diagram!$O15,'J1 C - (South) Bishopthorpe Roa'!$A$12:$A$130,"&lt;"&amp;Diagram!$P15),SUMIFS(INDIRECT(ADDRESS(12,3+18*0+(10),,,"J1 C - (South) Bishopthorpe Roa")&amp;":"&amp;ADDRESS(130,3+18*0+(10))),'J1 C - (South) Bishopthorpe Roa'!$A$12:$A$130,"&gt;="&amp;Diagram!$O15,'J1 C - (South) Bishopthorpe Roa'!$A$12:$A$130,"&lt;"&amp;Diagram!$P15)))</f>
        <v>0</v>
      </c>
      <c r="BM15" s="42">
        <f ca="1">IF(OR($I$10="",$O15="",$P15="",$J$37&lt;&gt;"Yes"),0,IF($K$10=0,SUMIFS(INDIRECT(ADDRESS(12,3+18*0+(2),,,"J1 D - South Bank Avenue")&amp;":"&amp;ADDRESS(130,3+18*0+(2))),'J1 D - South Bank Avenue'!$A$12:$A$130,"&gt;="&amp;Diagram!$O15,'J1 D - South Bank Avenue'!$A$12:$A$130,"&lt;"&amp;Diagram!$P15),SUMIFS(INDIRECT(ADDRESS(12,3+18*0+(10),,,"J1 D - South Bank Avenue")&amp;":"&amp;ADDRESS(130,3+18*0+(10))),'J1 D - South Bank Avenue'!$A$12:$A$130,"&gt;="&amp;Diagram!$O15,'J1 D - South Bank Avenue'!$A$12:$A$130,"&lt;"&amp;Diagram!$P15)))</f>
        <v>0</v>
      </c>
      <c r="BN15" s="42">
        <f ca="1">IF(OR($I$10="",$O15="",$P15="",$J$37&lt;&gt;"Yes"),0,IF($K$10=0,SUMIFS(INDIRECT(ADDRESS(12,3+18*1+(2),,,"J1 D - South Bank Avenue")&amp;":"&amp;ADDRESS(130,3+18*1+(2))),'J1 D - South Bank Avenue'!$A$12:$A$130,"&gt;="&amp;Diagram!$O15,'J1 D - South Bank Avenue'!$A$12:$A$130,"&lt;"&amp;Diagram!$P15),SUMIFS(INDIRECT(ADDRESS(12,3+18*1+(10),,,"J1 D - South Bank Avenue")&amp;":"&amp;ADDRESS(130,3+18*1+(10))),'J1 D - South Bank Avenue'!$A$12:$A$130,"&gt;="&amp;Diagram!$O15,'J1 D - South Bank Avenue'!$A$12:$A$130,"&lt;"&amp;Diagram!$P15)))</f>
        <v>0</v>
      </c>
      <c r="BO15" s="42">
        <f ca="1">IF(OR($I$10="",$O15="",$P15="",$J$37&lt;&gt;"Yes"),0,IF($K$10=0,SUMIFS(INDIRECT(ADDRESS(12,3+18*2+(2),,,"J1 D - South Bank Avenue")&amp;":"&amp;ADDRESS(130,3+18*2+(2))),'J1 D - South Bank Avenue'!$A$12:$A$130,"&gt;="&amp;Diagram!$O15,'J1 D - South Bank Avenue'!$A$12:$A$130,"&lt;"&amp;Diagram!$P15),SUMIFS(INDIRECT(ADDRESS(12,3+18*2+(10),,,"J1 D - South Bank Avenue")&amp;":"&amp;ADDRESS(130,3+18*2+(10))),'J1 D - South Bank Avenue'!$A$12:$A$130,"&gt;="&amp;Diagram!$O15,'J1 D - South Bank Avenue'!$A$12:$A$130,"&lt;"&amp;Diagram!$P15)))</f>
        <v>0</v>
      </c>
      <c r="BP15" s="42">
        <f ca="1">IF(OR($I$10="",$O15="",$P15="",$J$37&lt;&gt;"Yes"),0,IF($K$10=0,SUMIFS(INDIRECT(ADDRESS(12,3+18*3+(2),,,"J1 D - South Bank Avenue")&amp;":"&amp;ADDRESS(130,3+18*3+(2))),'J1 D - South Bank Avenue'!$A$12:$A$130,"&gt;="&amp;Diagram!$O15,'J1 D - South Bank Avenue'!$A$12:$A$130,"&lt;"&amp;Diagram!$P15),SUMIFS(INDIRECT(ADDRESS(12,3+18*3+(10),,,"J1 D - South Bank Avenue")&amp;":"&amp;ADDRESS(130,3+18*3+(10))),'J1 D - South Bank Avenue'!$A$12:$A$130,"&gt;="&amp;Diagram!$O15,'J1 D - South Bank Avenue'!$A$12:$A$130,"&lt;"&amp;Diagram!$P15)))</f>
        <v>0</v>
      </c>
      <c r="BQ15" s="42">
        <f t="shared" ca="1" si="4"/>
        <v>0</v>
      </c>
      <c r="BR15" s="42">
        <f ca="1">IF(OR($I$10="",$O15="",$P15="",$J$38&lt;&gt;"Yes"),0,IF($K$10=0,SUMIFS(INDIRECT(ADDRESS(12,3+18*3+(3),,,"J1 A - (North) Bishopthorpe Roa")&amp;":"&amp;ADDRESS(130,3+18*3+(3))),'J1 A - (North) Bishopthorpe Roa'!$A$12:$A$130,"&gt;="&amp;Diagram!$O15,'J1 A - (North) Bishopthorpe Roa'!$A$12:$A$130,"&lt;"&amp;Diagram!$P15),SUMIFS(INDIRECT(ADDRESS(12,3+18*3+(11),,,"J1 A - (North) Bishopthorpe Roa")&amp;":"&amp;ADDRESS(130,3+18*3+(11))),'J1 A - (North) Bishopthorpe Roa'!$A$12:$A$130,"&gt;="&amp;Diagram!$O15,'J1 A - (North) Bishopthorpe Roa'!$A$12:$A$130,"&lt;"&amp;Diagram!$P15)))</f>
        <v>0</v>
      </c>
      <c r="BS15" s="42">
        <f ca="1">IF(OR($I$10="",$O15="",$P15="",$J$38&lt;&gt;"Yes"),0,IF($K$10=0,SUMIFS(INDIRECT(ADDRESS(12,3+18*0+(3),,,"J1 A - (North) Bishopthorpe Roa")&amp;":"&amp;ADDRESS(130,3+18*0+(3))),'J1 A - (North) Bishopthorpe Roa'!$A$12:$A$130,"&gt;="&amp;Diagram!$O15,'J1 A - (North) Bishopthorpe Roa'!$A$12:$A$130,"&lt;"&amp;Diagram!$P15),SUMIFS(INDIRECT(ADDRESS(12,3+18*0+(11),,,"J1 A - (North) Bishopthorpe Roa")&amp;":"&amp;ADDRESS(130,3+18*0+(11))),'J1 A - (North) Bishopthorpe Roa'!$A$12:$A$130,"&gt;="&amp;Diagram!$O15,'J1 A - (North) Bishopthorpe Roa'!$A$12:$A$130,"&lt;"&amp;Diagram!$P15)))</f>
        <v>0</v>
      </c>
      <c r="BT15" s="42">
        <f ca="1">IF(OR($I$10="",$O15="",$P15="",$J$38&lt;&gt;"Yes"),0,IF($K$10=0,SUMIFS(INDIRECT(ADDRESS(12,3+18*1+(3),,,"J1 A - (North) Bishopthorpe Roa")&amp;":"&amp;ADDRESS(130,3+18*1+(3))),'J1 A - (North) Bishopthorpe Roa'!$A$12:$A$130,"&gt;="&amp;Diagram!$O15,'J1 A - (North) Bishopthorpe Roa'!$A$12:$A$130,"&lt;"&amp;Diagram!$P15),SUMIFS(INDIRECT(ADDRESS(12,3+18*1+(11),,,"J1 A - (North) Bishopthorpe Roa")&amp;":"&amp;ADDRESS(130,3+18*1+(11))),'J1 A - (North) Bishopthorpe Roa'!$A$12:$A$130,"&gt;="&amp;Diagram!$O15,'J1 A - (North) Bishopthorpe Roa'!$A$12:$A$130,"&lt;"&amp;Diagram!$P15)))</f>
        <v>0</v>
      </c>
      <c r="BU15" s="42">
        <f ca="1">IF(OR($I$10="",$O15="",$P15="",$J$38&lt;&gt;"Yes"),0,IF($K$10=0,SUMIFS(INDIRECT(ADDRESS(12,3+18*2+(3),,,"J1 A - (North) Bishopthorpe Roa")&amp;":"&amp;ADDRESS(130,3+18*2+(3))),'J1 A - (North) Bishopthorpe Roa'!$A$12:$A$130,"&gt;="&amp;Diagram!$O15,'J1 A - (North) Bishopthorpe Roa'!$A$12:$A$130,"&lt;"&amp;Diagram!$P15),SUMIFS(INDIRECT(ADDRESS(12,3+18*2+(11),,,"J1 A - (North) Bishopthorpe Roa")&amp;":"&amp;ADDRESS(130,3+18*2+(11))),'J1 A - (North) Bishopthorpe Roa'!$A$12:$A$130,"&gt;="&amp;Diagram!$O15,'J1 A - (North) Bishopthorpe Roa'!$A$12:$A$130,"&lt;"&amp;Diagram!$P15)))</f>
        <v>0</v>
      </c>
      <c r="BV15" s="42">
        <f ca="1">IF(OR($I$10="",$O15="",$P15="",$J$38&lt;&gt;"Yes"),0,IF($K$10=0,SUMIFS(INDIRECT(ADDRESS(12,3+18*2+(3),,,"J1 B - Butcher Terrace")&amp;":"&amp;ADDRESS(130,3+18*2+(3))),'J1 B - Butcher Terrace'!$A$12:$A$130,"&gt;="&amp;Diagram!$O15,'J1 B - Butcher Terrace'!$A$12:$A$130,"&lt;"&amp;Diagram!$P15),SUMIFS(INDIRECT(ADDRESS(12,3+18*2+(11),,,"J1 B - Butcher Terrace")&amp;":"&amp;ADDRESS(130,3+18*2+(11))),'J1 B - Butcher Terrace'!$A$12:$A$130,"&gt;="&amp;Diagram!$O15,'J1 B - Butcher Terrace'!$A$12:$A$130,"&lt;"&amp;Diagram!$P15)))</f>
        <v>0</v>
      </c>
      <c r="BW15" s="42">
        <f ca="1">IF(OR($I$10="",$O15="",$P15="",$J$38&lt;&gt;"Yes"),0,IF($K$10=0,SUMIFS(INDIRECT(ADDRESS(12,3+18*3+(3),,,"J1 B - Butcher Terrace")&amp;":"&amp;ADDRESS(130,3+18*3+(3))),'J1 B - Butcher Terrace'!$A$12:$A$130,"&gt;="&amp;Diagram!$O15,'J1 B - Butcher Terrace'!$A$12:$A$130,"&lt;"&amp;Diagram!$P15),SUMIFS(INDIRECT(ADDRESS(12,3+18*3+(11),,,"J1 B - Butcher Terrace")&amp;":"&amp;ADDRESS(130,3+18*3+(11))),'J1 B - Butcher Terrace'!$A$12:$A$130,"&gt;="&amp;Diagram!$O15,'J1 B - Butcher Terrace'!$A$12:$A$130,"&lt;"&amp;Diagram!$P15)))</f>
        <v>0</v>
      </c>
      <c r="BX15" s="42">
        <f ca="1">IF(OR($I$10="",$O15="",$P15="",$J$38&lt;&gt;"Yes"),0,IF($K$10=0,SUMIFS(INDIRECT(ADDRESS(12,3+18*0+(3),,,"J1 B - Butcher Terrace")&amp;":"&amp;ADDRESS(130,3+18*0+(3))),'J1 B - Butcher Terrace'!$A$12:$A$130,"&gt;="&amp;Diagram!$O15,'J1 B - Butcher Terrace'!$A$12:$A$130,"&lt;"&amp;Diagram!$P15),SUMIFS(INDIRECT(ADDRESS(12,3+18*0+(11),,,"J1 B - Butcher Terrace")&amp;":"&amp;ADDRESS(130,3+18*0+(11))),'J1 B - Butcher Terrace'!$A$12:$A$130,"&gt;="&amp;Diagram!$O15,'J1 B - Butcher Terrace'!$A$12:$A$130,"&lt;"&amp;Diagram!$P15)))</f>
        <v>0</v>
      </c>
      <c r="BY15" s="42">
        <f ca="1">IF(OR($I$10="",$O15="",$P15="",$J$38&lt;&gt;"Yes"),0,IF($K$10=0,SUMIFS(INDIRECT(ADDRESS(12,3+18*1+(3),,,"J1 B - Butcher Terrace")&amp;":"&amp;ADDRESS(130,3+18*1+(3))),'J1 B - Butcher Terrace'!$A$12:$A$130,"&gt;="&amp;Diagram!$O15,'J1 B - Butcher Terrace'!$A$12:$A$130,"&lt;"&amp;Diagram!$P15),SUMIFS(INDIRECT(ADDRESS(12,3+18*1+(11),,,"J1 B - Butcher Terrace")&amp;":"&amp;ADDRESS(130,3+18*1+(11))),'J1 B - Butcher Terrace'!$A$12:$A$130,"&gt;="&amp;Diagram!$O15,'J1 B - Butcher Terrace'!$A$12:$A$130,"&lt;"&amp;Diagram!$P15)))</f>
        <v>0</v>
      </c>
      <c r="BZ15" s="42">
        <f ca="1">IF(OR($I$10="",$O15="",$P15="",$J$38&lt;&gt;"Yes"),0,IF($K$10=0,SUMIFS(INDIRECT(ADDRESS(12,3+18*1+(3),,,"J1 C - (South) Bishopthorpe Roa")&amp;":"&amp;ADDRESS(130,3+18*1+(3))),'J1 C - (South) Bishopthorpe Roa'!$A$12:$A$130,"&gt;="&amp;Diagram!$O15,'J1 C - (South) Bishopthorpe Roa'!$A$12:$A$130,"&lt;"&amp;Diagram!$P15),SUMIFS(INDIRECT(ADDRESS(12,3+18*1+(11),,,"J1 C - (South) Bishopthorpe Roa")&amp;":"&amp;ADDRESS(130,3+18*1+(11))),'J1 C - (South) Bishopthorpe Roa'!$A$12:$A$130,"&gt;="&amp;Diagram!$O15,'J1 C - (South) Bishopthorpe Roa'!$A$12:$A$130,"&lt;"&amp;Diagram!$P15)))</f>
        <v>0</v>
      </c>
      <c r="CA15" s="42">
        <f ca="1">IF(OR($I$10="",$O15="",$P15="",$J$38&lt;&gt;"Yes"),0,IF($K$10=0,SUMIFS(INDIRECT(ADDRESS(12,3+18*2+(3),,,"J1 C - (South) Bishopthorpe Roa")&amp;":"&amp;ADDRESS(130,3+18*2+(3))),'J1 C - (South) Bishopthorpe Roa'!$A$12:$A$130,"&gt;="&amp;Diagram!$O15,'J1 C - (South) Bishopthorpe Roa'!$A$12:$A$130,"&lt;"&amp;Diagram!$P15),SUMIFS(INDIRECT(ADDRESS(12,3+18*2+(11),,,"J1 C - (South) Bishopthorpe Roa")&amp;":"&amp;ADDRESS(130,3+18*2+(11))),'J1 C - (South) Bishopthorpe Roa'!$A$12:$A$130,"&gt;="&amp;Diagram!$O15,'J1 C - (South) Bishopthorpe Roa'!$A$12:$A$130,"&lt;"&amp;Diagram!$P15)))</f>
        <v>0</v>
      </c>
      <c r="CB15" s="42">
        <f ca="1">IF(OR($I$10="",$O15="",$P15="",$J$38&lt;&gt;"Yes"),0,IF($K$10=0,SUMIFS(INDIRECT(ADDRESS(12,3+18*3+(3),,,"J1 C - (South) Bishopthorpe Roa")&amp;":"&amp;ADDRESS(130,3+18*3+(3))),'J1 C - (South) Bishopthorpe Roa'!$A$12:$A$130,"&gt;="&amp;Diagram!$O15,'J1 C - (South) Bishopthorpe Roa'!$A$12:$A$130,"&lt;"&amp;Diagram!$P15),SUMIFS(INDIRECT(ADDRESS(12,3+18*3+(11),,,"J1 C - (South) Bishopthorpe Roa")&amp;":"&amp;ADDRESS(130,3+18*3+(11))),'J1 C - (South) Bishopthorpe Roa'!$A$12:$A$130,"&gt;="&amp;Diagram!$O15,'J1 C - (South) Bishopthorpe Roa'!$A$12:$A$130,"&lt;"&amp;Diagram!$P15)))</f>
        <v>0</v>
      </c>
      <c r="CC15" s="42">
        <f ca="1">IF(OR($I$10="",$O15="",$P15="",$J$38&lt;&gt;"Yes"),0,IF($K$10=0,SUMIFS(INDIRECT(ADDRESS(12,3+18*0+(3),,,"J1 C - (South) Bishopthorpe Roa")&amp;":"&amp;ADDRESS(130,3+18*0+(3))),'J1 C - (South) Bishopthorpe Roa'!$A$12:$A$130,"&gt;="&amp;Diagram!$O15,'J1 C - (South) Bishopthorpe Roa'!$A$12:$A$130,"&lt;"&amp;Diagram!$P15),SUMIFS(INDIRECT(ADDRESS(12,3+18*0+(11),,,"J1 C - (South) Bishopthorpe Roa")&amp;":"&amp;ADDRESS(130,3+18*0+(11))),'J1 C - (South) Bishopthorpe Roa'!$A$12:$A$130,"&gt;="&amp;Diagram!$O15,'J1 C - (South) Bishopthorpe Roa'!$A$12:$A$130,"&lt;"&amp;Diagram!$P15)))</f>
        <v>0</v>
      </c>
      <c r="CD15" s="42">
        <f ca="1">IF(OR($I$10="",$O15="",$P15="",$J$38&lt;&gt;"Yes"),0,IF($K$10=0,SUMIFS(INDIRECT(ADDRESS(12,3+18*0+(3),,,"J1 D - South Bank Avenue")&amp;":"&amp;ADDRESS(130,3+18*0+(3))),'J1 D - South Bank Avenue'!$A$12:$A$130,"&gt;="&amp;Diagram!$O15,'J1 D - South Bank Avenue'!$A$12:$A$130,"&lt;"&amp;Diagram!$P15),SUMIFS(INDIRECT(ADDRESS(12,3+18*0+(11),,,"J1 D - South Bank Avenue")&amp;":"&amp;ADDRESS(130,3+18*0+(11))),'J1 D - South Bank Avenue'!$A$12:$A$130,"&gt;="&amp;Diagram!$O15,'J1 D - South Bank Avenue'!$A$12:$A$130,"&lt;"&amp;Diagram!$P15)))</f>
        <v>0</v>
      </c>
      <c r="CE15" s="42">
        <f ca="1">IF(OR($I$10="",$O15="",$P15="",$J$38&lt;&gt;"Yes"),0,IF($K$10=0,SUMIFS(INDIRECT(ADDRESS(12,3+18*1+(3),,,"J1 D - South Bank Avenue")&amp;":"&amp;ADDRESS(130,3+18*1+(3))),'J1 D - South Bank Avenue'!$A$12:$A$130,"&gt;="&amp;Diagram!$O15,'J1 D - South Bank Avenue'!$A$12:$A$130,"&lt;"&amp;Diagram!$P15),SUMIFS(INDIRECT(ADDRESS(12,3+18*1+(11),,,"J1 D - South Bank Avenue")&amp;":"&amp;ADDRESS(130,3+18*1+(11))),'J1 D - South Bank Avenue'!$A$12:$A$130,"&gt;="&amp;Diagram!$O15,'J1 D - South Bank Avenue'!$A$12:$A$130,"&lt;"&amp;Diagram!$P15)))</f>
        <v>0</v>
      </c>
      <c r="CF15" s="42">
        <f ca="1">IF(OR($I$10="",$O15="",$P15="",$J$38&lt;&gt;"Yes"),0,IF($K$10=0,SUMIFS(INDIRECT(ADDRESS(12,3+18*2+(3),,,"J1 D - South Bank Avenue")&amp;":"&amp;ADDRESS(130,3+18*2+(3))),'J1 D - South Bank Avenue'!$A$12:$A$130,"&gt;="&amp;Diagram!$O15,'J1 D - South Bank Avenue'!$A$12:$A$130,"&lt;"&amp;Diagram!$P15),SUMIFS(INDIRECT(ADDRESS(12,3+18*2+(11),,,"J1 D - South Bank Avenue")&amp;":"&amp;ADDRESS(130,3+18*2+(11))),'J1 D - South Bank Avenue'!$A$12:$A$130,"&gt;="&amp;Diagram!$O15,'J1 D - South Bank Avenue'!$A$12:$A$130,"&lt;"&amp;Diagram!$P15)))</f>
        <v>0</v>
      </c>
      <c r="CG15" s="42">
        <f ca="1">IF(OR($I$10="",$O15="",$P15="",$J$38&lt;&gt;"Yes"),0,IF($K$10=0,SUMIFS(INDIRECT(ADDRESS(12,3+18*3+(3),,,"J1 D - South Bank Avenue")&amp;":"&amp;ADDRESS(130,3+18*3+(3))),'J1 D - South Bank Avenue'!$A$12:$A$130,"&gt;="&amp;Diagram!$O15,'J1 D - South Bank Avenue'!$A$12:$A$130,"&lt;"&amp;Diagram!$P15),SUMIFS(INDIRECT(ADDRESS(12,3+18*3+(11),,,"J1 D - South Bank Avenue")&amp;":"&amp;ADDRESS(130,3+18*3+(11))),'J1 D - South Bank Avenue'!$A$12:$A$130,"&gt;="&amp;Diagram!$O15,'J1 D - South Bank Avenue'!$A$12:$A$130,"&lt;"&amp;Diagram!$P15)))</f>
        <v>0</v>
      </c>
      <c r="CH15" s="42">
        <f t="shared" ca="1" si="5"/>
        <v>0</v>
      </c>
      <c r="CI15" s="42">
        <f ca="1">IF(OR($I$10="",$O15="",$P15="",$J$39&lt;&gt;"Yes"),0,IF($K$10=0,SUMIFS(INDIRECT(ADDRESS(12,3+18*3+(4),,,"J1 A - (North) Bishopthorpe Roa")&amp;":"&amp;ADDRESS(130,3+18*3+(4))),'J1 A - (North) Bishopthorpe Roa'!$A$12:$A$130,"&gt;="&amp;Diagram!$O15,'J1 A - (North) Bishopthorpe Roa'!$A$12:$A$130,"&lt;"&amp;Diagram!$P15),SUMIFS(INDIRECT(ADDRESS(12,3+18*3+(12),,,"J1 A - (North) Bishopthorpe Roa")&amp;":"&amp;ADDRESS(130,3+18*3+(12))),'J1 A - (North) Bishopthorpe Roa'!$A$12:$A$130,"&gt;="&amp;Diagram!$O15,'J1 A - (North) Bishopthorpe Roa'!$A$12:$A$130,"&lt;"&amp;Diagram!$P15)))</f>
        <v>0</v>
      </c>
      <c r="CJ15" s="42">
        <f ca="1">IF(OR($I$10="",$O15="",$P15="",$J$39&lt;&gt;"Yes"),0,IF($K$10=0,SUMIFS(INDIRECT(ADDRESS(12,3+18*0+(4),,,"J1 A - (North) Bishopthorpe Roa")&amp;":"&amp;ADDRESS(130,3+18*0+(4))),'J1 A - (North) Bishopthorpe Roa'!$A$12:$A$130,"&gt;="&amp;Diagram!$O15,'J1 A - (North) Bishopthorpe Roa'!$A$12:$A$130,"&lt;"&amp;Diagram!$P15),SUMIFS(INDIRECT(ADDRESS(12,3+18*0+(12),,,"J1 A - (North) Bishopthorpe Roa")&amp;":"&amp;ADDRESS(130,3+18*0+(12))),'J1 A - (North) Bishopthorpe Roa'!$A$12:$A$130,"&gt;="&amp;Diagram!$O15,'J1 A - (North) Bishopthorpe Roa'!$A$12:$A$130,"&lt;"&amp;Diagram!$P15)))</f>
        <v>0</v>
      </c>
      <c r="CK15" s="42">
        <f ca="1">IF(OR($I$10="",$O15="",$P15="",$J$39&lt;&gt;"Yes"),0,IF($K$10=0,SUMIFS(INDIRECT(ADDRESS(12,3+18*1+(4),,,"J1 A - (North) Bishopthorpe Roa")&amp;":"&amp;ADDRESS(130,3+18*1+(4))),'J1 A - (North) Bishopthorpe Roa'!$A$12:$A$130,"&gt;="&amp;Diagram!$O15,'J1 A - (North) Bishopthorpe Roa'!$A$12:$A$130,"&lt;"&amp;Diagram!$P15),SUMIFS(INDIRECT(ADDRESS(12,3+18*1+(12),,,"J1 A - (North) Bishopthorpe Roa")&amp;":"&amp;ADDRESS(130,3+18*1+(12))),'J1 A - (North) Bishopthorpe Roa'!$A$12:$A$130,"&gt;="&amp;Diagram!$O15,'J1 A - (North) Bishopthorpe Roa'!$A$12:$A$130,"&lt;"&amp;Diagram!$P15)))</f>
        <v>0</v>
      </c>
      <c r="CL15" s="42">
        <f ca="1">IF(OR($I$10="",$O15="",$P15="",$J$39&lt;&gt;"Yes"),0,IF($K$10=0,SUMIFS(INDIRECT(ADDRESS(12,3+18*2+(4),,,"J1 A - (North) Bishopthorpe Roa")&amp;":"&amp;ADDRESS(130,3+18*2+(4))),'J1 A - (North) Bishopthorpe Roa'!$A$12:$A$130,"&gt;="&amp;Diagram!$O15,'J1 A - (North) Bishopthorpe Roa'!$A$12:$A$130,"&lt;"&amp;Diagram!$P15),SUMIFS(INDIRECT(ADDRESS(12,3+18*2+(12),,,"J1 A - (North) Bishopthorpe Roa")&amp;":"&amp;ADDRESS(130,3+18*2+(12))),'J1 A - (North) Bishopthorpe Roa'!$A$12:$A$130,"&gt;="&amp;Diagram!$O15,'J1 A - (North) Bishopthorpe Roa'!$A$12:$A$130,"&lt;"&amp;Diagram!$P15)))</f>
        <v>0</v>
      </c>
      <c r="CM15" s="42">
        <f ca="1">IF(OR($I$10="",$O15="",$P15="",$J$39&lt;&gt;"Yes"),0,IF($K$10=0,SUMIFS(INDIRECT(ADDRESS(12,3+18*2+(4),,,"J1 B - Butcher Terrace")&amp;":"&amp;ADDRESS(130,3+18*2+(4))),'J1 B - Butcher Terrace'!$A$12:$A$130,"&gt;="&amp;Diagram!$O15,'J1 B - Butcher Terrace'!$A$12:$A$130,"&lt;"&amp;Diagram!$P15),SUMIFS(INDIRECT(ADDRESS(12,3+18*2+(12),,,"J1 B - Butcher Terrace")&amp;":"&amp;ADDRESS(130,3+18*2+(12))),'J1 B - Butcher Terrace'!$A$12:$A$130,"&gt;="&amp;Diagram!$O15,'J1 B - Butcher Terrace'!$A$12:$A$130,"&lt;"&amp;Diagram!$P15)))</f>
        <v>0</v>
      </c>
      <c r="CN15" s="42">
        <f ca="1">IF(OR($I$10="",$O15="",$P15="",$J$39&lt;&gt;"Yes"),0,IF($K$10=0,SUMIFS(INDIRECT(ADDRESS(12,3+18*3+(4),,,"J1 B - Butcher Terrace")&amp;":"&amp;ADDRESS(130,3+18*3+(4))),'J1 B - Butcher Terrace'!$A$12:$A$130,"&gt;="&amp;Diagram!$O15,'J1 B - Butcher Terrace'!$A$12:$A$130,"&lt;"&amp;Diagram!$P15),SUMIFS(INDIRECT(ADDRESS(12,3+18*3+(12),,,"J1 B - Butcher Terrace")&amp;":"&amp;ADDRESS(130,3+18*3+(12))),'J1 B - Butcher Terrace'!$A$12:$A$130,"&gt;="&amp;Diagram!$O15,'J1 B - Butcher Terrace'!$A$12:$A$130,"&lt;"&amp;Diagram!$P15)))</f>
        <v>0</v>
      </c>
      <c r="CO15" s="42">
        <f ca="1">IF(OR($I$10="",$O15="",$P15="",$J$39&lt;&gt;"Yes"),0,IF($K$10=0,SUMIFS(INDIRECT(ADDRESS(12,3+18*0+(4),,,"J1 B - Butcher Terrace")&amp;":"&amp;ADDRESS(130,3+18*0+(4))),'J1 B - Butcher Terrace'!$A$12:$A$130,"&gt;="&amp;Diagram!$O15,'J1 B - Butcher Terrace'!$A$12:$A$130,"&lt;"&amp;Diagram!$P15),SUMIFS(INDIRECT(ADDRESS(12,3+18*0+(12),,,"J1 B - Butcher Terrace")&amp;":"&amp;ADDRESS(130,3+18*0+(12))),'J1 B - Butcher Terrace'!$A$12:$A$130,"&gt;="&amp;Diagram!$O15,'J1 B - Butcher Terrace'!$A$12:$A$130,"&lt;"&amp;Diagram!$P15)))</f>
        <v>0</v>
      </c>
      <c r="CP15" s="42">
        <f ca="1">IF(OR($I$10="",$O15="",$P15="",$J$39&lt;&gt;"Yes"),0,IF($K$10=0,SUMIFS(INDIRECT(ADDRESS(12,3+18*1+(4),,,"J1 B - Butcher Terrace")&amp;":"&amp;ADDRESS(130,3+18*1+(4))),'J1 B - Butcher Terrace'!$A$12:$A$130,"&gt;="&amp;Diagram!$O15,'J1 B - Butcher Terrace'!$A$12:$A$130,"&lt;"&amp;Diagram!$P15),SUMIFS(INDIRECT(ADDRESS(12,3+18*1+(12),,,"J1 B - Butcher Terrace")&amp;":"&amp;ADDRESS(130,3+18*1+(12))),'J1 B - Butcher Terrace'!$A$12:$A$130,"&gt;="&amp;Diagram!$O15,'J1 B - Butcher Terrace'!$A$12:$A$130,"&lt;"&amp;Diagram!$P15)))</f>
        <v>0</v>
      </c>
      <c r="CQ15" s="42">
        <f ca="1">IF(OR($I$10="",$O15="",$P15="",$J$39&lt;&gt;"Yes"),0,IF($K$10=0,SUMIFS(INDIRECT(ADDRESS(12,3+18*1+(4),,,"J1 C - (South) Bishopthorpe Roa")&amp;":"&amp;ADDRESS(130,3+18*1+(4))),'J1 C - (South) Bishopthorpe Roa'!$A$12:$A$130,"&gt;="&amp;Diagram!$O15,'J1 C - (South) Bishopthorpe Roa'!$A$12:$A$130,"&lt;"&amp;Diagram!$P15),SUMIFS(INDIRECT(ADDRESS(12,3+18*1+(12),,,"J1 C - (South) Bishopthorpe Roa")&amp;":"&amp;ADDRESS(130,3+18*1+(12))),'J1 C - (South) Bishopthorpe Roa'!$A$12:$A$130,"&gt;="&amp;Diagram!$O15,'J1 C - (South) Bishopthorpe Roa'!$A$12:$A$130,"&lt;"&amp;Diagram!$P15)))</f>
        <v>0</v>
      </c>
      <c r="CR15" s="42">
        <f ca="1">IF(OR($I$10="",$O15="",$P15="",$J$39&lt;&gt;"Yes"),0,IF($K$10=0,SUMIFS(INDIRECT(ADDRESS(12,3+18*2+(4),,,"J1 C - (South) Bishopthorpe Roa")&amp;":"&amp;ADDRESS(130,3+18*2+(4))),'J1 C - (South) Bishopthorpe Roa'!$A$12:$A$130,"&gt;="&amp;Diagram!$O15,'J1 C - (South) Bishopthorpe Roa'!$A$12:$A$130,"&lt;"&amp;Diagram!$P15),SUMIFS(INDIRECT(ADDRESS(12,3+18*2+(12),,,"J1 C - (South) Bishopthorpe Roa")&amp;":"&amp;ADDRESS(130,3+18*2+(12))),'J1 C - (South) Bishopthorpe Roa'!$A$12:$A$130,"&gt;="&amp;Diagram!$O15,'J1 C - (South) Bishopthorpe Roa'!$A$12:$A$130,"&lt;"&amp;Diagram!$P15)))</f>
        <v>0</v>
      </c>
      <c r="CS15" s="42">
        <f ca="1">IF(OR($I$10="",$O15="",$P15="",$J$39&lt;&gt;"Yes"),0,IF($K$10=0,SUMIFS(INDIRECT(ADDRESS(12,3+18*3+(4),,,"J1 C - (South) Bishopthorpe Roa")&amp;":"&amp;ADDRESS(130,3+18*3+(4))),'J1 C - (South) Bishopthorpe Roa'!$A$12:$A$130,"&gt;="&amp;Diagram!$O15,'J1 C - (South) Bishopthorpe Roa'!$A$12:$A$130,"&lt;"&amp;Diagram!$P15),SUMIFS(INDIRECT(ADDRESS(12,3+18*3+(12),,,"J1 C - (South) Bishopthorpe Roa")&amp;":"&amp;ADDRESS(130,3+18*3+(12))),'J1 C - (South) Bishopthorpe Roa'!$A$12:$A$130,"&gt;="&amp;Diagram!$O15,'J1 C - (South) Bishopthorpe Roa'!$A$12:$A$130,"&lt;"&amp;Diagram!$P15)))</f>
        <v>0</v>
      </c>
      <c r="CT15" s="42">
        <f ca="1">IF(OR($I$10="",$O15="",$P15="",$J$39&lt;&gt;"Yes"),0,IF($K$10=0,SUMIFS(INDIRECT(ADDRESS(12,3+18*0+(4),,,"J1 C - (South) Bishopthorpe Roa")&amp;":"&amp;ADDRESS(130,3+18*0+(4))),'J1 C - (South) Bishopthorpe Roa'!$A$12:$A$130,"&gt;="&amp;Diagram!$O15,'J1 C - (South) Bishopthorpe Roa'!$A$12:$A$130,"&lt;"&amp;Diagram!$P15),SUMIFS(INDIRECT(ADDRESS(12,3+18*0+(12),,,"J1 C - (South) Bishopthorpe Roa")&amp;":"&amp;ADDRESS(130,3+18*0+(12))),'J1 C - (South) Bishopthorpe Roa'!$A$12:$A$130,"&gt;="&amp;Diagram!$O15,'J1 C - (South) Bishopthorpe Roa'!$A$12:$A$130,"&lt;"&amp;Diagram!$P15)))</f>
        <v>0</v>
      </c>
      <c r="CU15" s="42">
        <f ca="1">IF(OR($I$10="",$O15="",$P15="",$J$39&lt;&gt;"Yes"),0,IF($K$10=0,SUMIFS(INDIRECT(ADDRESS(12,3+18*0+(4),,,"J1 D - South Bank Avenue")&amp;":"&amp;ADDRESS(130,3+18*0+(4))),'J1 D - South Bank Avenue'!$A$12:$A$130,"&gt;="&amp;Diagram!$O15,'J1 D - South Bank Avenue'!$A$12:$A$130,"&lt;"&amp;Diagram!$P15),SUMIFS(INDIRECT(ADDRESS(12,3+18*0+(12),,,"J1 D - South Bank Avenue")&amp;":"&amp;ADDRESS(130,3+18*0+(12))),'J1 D - South Bank Avenue'!$A$12:$A$130,"&gt;="&amp;Diagram!$O15,'J1 D - South Bank Avenue'!$A$12:$A$130,"&lt;"&amp;Diagram!$P15)))</f>
        <v>0</v>
      </c>
      <c r="CV15" s="42">
        <f ca="1">IF(OR($I$10="",$O15="",$P15="",$J$39&lt;&gt;"Yes"),0,IF($K$10=0,SUMIFS(INDIRECT(ADDRESS(12,3+18*1+(4),,,"J1 D - South Bank Avenue")&amp;":"&amp;ADDRESS(130,3+18*1+(4))),'J1 D - South Bank Avenue'!$A$12:$A$130,"&gt;="&amp;Diagram!$O15,'J1 D - South Bank Avenue'!$A$12:$A$130,"&lt;"&amp;Diagram!$P15),SUMIFS(INDIRECT(ADDRESS(12,3+18*1+(12),,,"J1 D - South Bank Avenue")&amp;":"&amp;ADDRESS(130,3+18*1+(12))),'J1 D - South Bank Avenue'!$A$12:$A$130,"&gt;="&amp;Diagram!$O15,'J1 D - South Bank Avenue'!$A$12:$A$130,"&lt;"&amp;Diagram!$P15)))</f>
        <v>0</v>
      </c>
      <c r="CW15" s="42">
        <f ca="1">IF(OR($I$10="",$O15="",$P15="",$J$39&lt;&gt;"Yes"),0,IF($K$10=0,SUMIFS(INDIRECT(ADDRESS(12,3+18*2+(4),,,"J1 D - South Bank Avenue")&amp;":"&amp;ADDRESS(130,3+18*2+(4))),'J1 D - South Bank Avenue'!$A$12:$A$130,"&gt;="&amp;Diagram!$O15,'J1 D - South Bank Avenue'!$A$12:$A$130,"&lt;"&amp;Diagram!$P15),SUMIFS(INDIRECT(ADDRESS(12,3+18*2+(12),,,"J1 D - South Bank Avenue")&amp;":"&amp;ADDRESS(130,3+18*2+(12))),'J1 D - South Bank Avenue'!$A$12:$A$130,"&gt;="&amp;Diagram!$O15,'J1 D - South Bank Avenue'!$A$12:$A$130,"&lt;"&amp;Diagram!$P15)))</f>
        <v>0</v>
      </c>
      <c r="CX15" s="42">
        <f ca="1">IF(OR($I$10="",$O15="",$P15="",$J$39&lt;&gt;"Yes"),0,IF($K$10=0,SUMIFS(INDIRECT(ADDRESS(12,3+18*3+(4),,,"J1 D - South Bank Avenue")&amp;":"&amp;ADDRESS(130,3+18*3+(4))),'J1 D - South Bank Avenue'!$A$12:$A$130,"&gt;="&amp;Diagram!$O15,'J1 D - South Bank Avenue'!$A$12:$A$130,"&lt;"&amp;Diagram!$P15),SUMIFS(INDIRECT(ADDRESS(12,3+18*3+(12),,,"J1 D - South Bank Avenue")&amp;":"&amp;ADDRESS(130,3+18*3+(12))),'J1 D - South Bank Avenue'!$A$12:$A$130,"&gt;="&amp;Diagram!$O15,'J1 D - South Bank Avenue'!$A$12:$A$130,"&lt;"&amp;Diagram!$P15)))</f>
        <v>0</v>
      </c>
      <c r="CY15" s="42">
        <f t="shared" ca="1" si="6"/>
        <v>0</v>
      </c>
      <c r="CZ15" s="42">
        <f ca="1">IF(OR($I$10="",$O15="",$P15="",$J$40&lt;&gt;"Yes"),0,IF($K$10=0,SUMIFS(INDIRECT(ADDRESS(12,3+18*3+(5),,,"J1 A - (North) Bishopthorpe Roa")&amp;":"&amp;ADDRESS(130,3+18*3+(5))),'J1 A - (North) Bishopthorpe Roa'!$A$12:$A$130,"&gt;="&amp;Diagram!$O15,'J1 A - (North) Bishopthorpe Roa'!$A$12:$A$130,"&lt;"&amp;Diagram!$P15),SUMIFS(INDIRECT(ADDRESS(12,3+18*3+(13),,,"J1 A - (North) Bishopthorpe Roa")&amp;":"&amp;ADDRESS(130,3+18*3+(13))),'J1 A - (North) Bishopthorpe Roa'!$A$12:$A$130,"&gt;="&amp;Diagram!$O15,'J1 A - (North) Bishopthorpe Roa'!$A$12:$A$130,"&lt;"&amp;Diagram!$P15)))</f>
        <v>0</v>
      </c>
      <c r="DA15" s="42">
        <f ca="1">IF(OR($I$10="",$O15="",$P15="",$J$40&lt;&gt;"Yes"),0,IF($K$10=0,SUMIFS(INDIRECT(ADDRESS(12,3+18*0+(5),,,"J1 A - (North) Bishopthorpe Roa")&amp;":"&amp;ADDRESS(130,3+18*0+(5))),'J1 A - (North) Bishopthorpe Roa'!$A$12:$A$130,"&gt;="&amp;Diagram!$O15,'J1 A - (North) Bishopthorpe Roa'!$A$12:$A$130,"&lt;"&amp;Diagram!$P15),SUMIFS(INDIRECT(ADDRESS(12,3+18*0+(13),,,"J1 A - (North) Bishopthorpe Roa")&amp;":"&amp;ADDRESS(130,3+18*0+(13))),'J1 A - (North) Bishopthorpe Roa'!$A$12:$A$130,"&gt;="&amp;Diagram!$O15,'J1 A - (North) Bishopthorpe Roa'!$A$12:$A$130,"&lt;"&amp;Diagram!$P15)))</f>
        <v>0</v>
      </c>
      <c r="DB15" s="42">
        <f ca="1">IF(OR($I$10="",$O15="",$P15="",$J$40&lt;&gt;"Yes"),0,IF($K$10=0,SUMIFS(INDIRECT(ADDRESS(12,3+18*1+(5),,,"J1 A - (North) Bishopthorpe Roa")&amp;":"&amp;ADDRESS(130,3+18*1+(5))),'J1 A - (North) Bishopthorpe Roa'!$A$12:$A$130,"&gt;="&amp;Diagram!$O15,'J1 A - (North) Bishopthorpe Roa'!$A$12:$A$130,"&lt;"&amp;Diagram!$P15),SUMIFS(INDIRECT(ADDRESS(12,3+18*1+(13),,,"J1 A - (North) Bishopthorpe Roa")&amp;":"&amp;ADDRESS(130,3+18*1+(13))),'J1 A - (North) Bishopthorpe Roa'!$A$12:$A$130,"&gt;="&amp;Diagram!$O15,'J1 A - (North) Bishopthorpe Roa'!$A$12:$A$130,"&lt;"&amp;Diagram!$P15)))</f>
        <v>0</v>
      </c>
      <c r="DC15" s="42">
        <f ca="1">IF(OR($I$10="",$O15="",$P15="",$J$40&lt;&gt;"Yes"),0,IF($K$10=0,SUMIFS(INDIRECT(ADDRESS(12,3+18*2+(5),,,"J1 A - (North) Bishopthorpe Roa")&amp;":"&amp;ADDRESS(130,3+18*2+(5))),'J1 A - (North) Bishopthorpe Roa'!$A$12:$A$130,"&gt;="&amp;Diagram!$O15,'J1 A - (North) Bishopthorpe Roa'!$A$12:$A$130,"&lt;"&amp;Diagram!$P15),SUMIFS(INDIRECT(ADDRESS(12,3+18*2+(13),,,"J1 A - (North) Bishopthorpe Roa")&amp;":"&amp;ADDRESS(130,3+18*2+(13))),'J1 A - (North) Bishopthorpe Roa'!$A$12:$A$130,"&gt;="&amp;Diagram!$O15,'J1 A - (North) Bishopthorpe Roa'!$A$12:$A$130,"&lt;"&amp;Diagram!$P15)))</f>
        <v>0</v>
      </c>
      <c r="DD15" s="42">
        <f ca="1">IF(OR($I$10="",$O15="",$P15="",$J$40&lt;&gt;"Yes"),0,IF($K$10=0,SUMIFS(INDIRECT(ADDRESS(12,3+18*2+(5),,,"J1 B - Butcher Terrace")&amp;":"&amp;ADDRESS(130,3+18*2+(5))),'J1 B - Butcher Terrace'!$A$12:$A$130,"&gt;="&amp;Diagram!$O15,'J1 B - Butcher Terrace'!$A$12:$A$130,"&lt;"&amp;Diagram!$P15),SUMIFS(INDIRECT(ADDRESS(12,3+18*2+(13),,,"J1 B - Butcher Terrace")&amp;":"&amp;ADDRESS(130,3+18*2+(13))),'J1 B - Butcher Terrace'!$A$12:$A$130,"&gt;="&amp;Diagram!$O15,'J1 B - Butcher Terrace'!$A$12:$A$130,"&lt;"&amp;Diagram!$P15)))</f>
        <v>0</v>
      </c>
      <c r="DE15" s="42">
        <f ca="1">IF(OR($I$10="",$O15="",$P15="",$J$40&lt;&gt;"Yes"),0,IF($K$10=0,SUMIFS(INDIRECT(ADDRESS(12,3+18*3+(5),,,"J1 B - Butcher Terrace")&amp;":"&amp;ADDRESS(130,3+18*3+(5))),'J1 B - Butcher Terrace'!$A$12:$A$130,"&gt;="&amp;Diagram!$O15,'J1 B - Butcher Terrace'!$A$12:$A$130,"&lt;"&amp;Diagram!$P15),SUMIFS(INDIRECT(ADDRESS(12,3+18*3+(13),,,"J1 B - Butcher Terrace")&amp;":"&amp;ADDRESS(130,3+18*3+(13))),'J1 B - Butcher Terrace'!$A$12:$A$130,"&gt;="&amp;Diagram!$O15,'J1 B - Butcher Terrace'!$A$12:$A$130,"&lt;"&amp;Diagram!$P15)))</f>
        <v>0</v>
      </c>
      <c r="DF15" s="42">
        <f ca="1">IF(OR($I$10="",$O15="",$P15="",$J$40&lt;&gt;"Yes"),0,IF($K$10=0,SUMIFS(INDIRECT(ADDRESS(12,3+18*0+(5),,,"J1 B - Butcher Terrace")&amp;":"&amp;ADDRESS(130,3+18*0+(5))),'J1 B - Butcher Terrace'!$A$12:$A$130,"&gt;="&amp;Diagram!$O15,'J1 B - Butcher Terrace'!$A$12:$A$130,"&lt;"&amp;Diagram!$P15),SUMIFS(INDIRECT(ADDRESS(12,3+18*0+(13),,,"J1 B - Butcher Terrace")&amp;":"&amp;ADDRESS(130,3+18*0+(13))),'J1 B - Butcher Terrace'!$A$12:$A$130,"&gt;="&amp;Diagram!$O15,'J1 B - Butcher Terrace'!$A$12:$A$130,"&lt;"&amp;Diagram!$P15)))</f>
        <v>0</v>
      </c>
      <c r="DG15" s="42">
        <f ca="1">IF(OR($I$10="",$O15="",$P15="",$J$40&lt;&gt;"Yes"),0,IF($K$10=0,SUMIFS(INDIRECT(ADDRESS(12,3+18*1+(5),,,"J1 B - Butcher Terrace")&amp;":"&amp;ADDRESS(130,3+18*1+(5))),'J1 B - Butcher Terrace'!$A$12:$A$130,"&gt;="&amp;Diagram!$O15,'J1 B - Butcher Terrace'!$A$12:$A$130,"&lt;"&amp;Diagram!$P15),SUMIFS(INDIRECT(ADDRESS(12,3+18*1+(13),,,"J1 B - Butcher Terrace")&amp;":"&amp;ADDRESS(130,3+18*1+(13))),'J1 B - Butcher Terrace'!$A$12:$A$130,"&gt;="&amp;Diagram!$O15,'J1 B - Butcher Terrace'!$A$12:$A$130,"&lt;"&amp;Diagram!$P15)))</f>
        <v>0</v>
      </c>
      <c r="DH15" s="42">
        <f ca="1">IF(OR($I$10="",$O15="",$P15="",$J$40&lt;&gt;"Yes"),0,IF($K$10=0,SUMIFS(INDIRECT(ADDRESS(12,3+18*1+(5),,,"J1 C - (South) Bishopthorpe Roa")&amp;":"&amp;ADDRESS(130,3+18*1+(5))),'J1 C - (South) Bishopthorpe Roa'!$A$12:$A$130,"&gt;="&amp;Diagram!$O15,'J1 C - (South) Bishopthorpe Roa'!$A$12:$A$130,"&lt;"&amp;Diagram!$P15),SUMIFS(INDIRECT(ADDRESS(12,3+18*1+(13),,,"J1 C - (South) Bishopthorpe Roa")&amp;":"&amp;ADDRESS(130,3+18*1+(13))),'J1 C - (South) Bishopthorpe Roa'!$A$12:$A$130,"&gt;="&amp;Diagram!$O15,'J1 C - (South) Bishopthorpe Roa'!$A$12:$A$130,"&lt;"&amp;Diagram!$P15)))</f>
        <v>0</v>
      </c>
      <c r="DI15" s="42">
        <f ca="1">IF(OR($I$10="",$O15="",$P15="",$J$40&lt;&gt;"Yes"),0,IF($K$10=0,SUMIFS(INDIRECT(ADDRESS(12,3+18*2+(5),,,"J1 C - (South) Bishopthorpe Roa")&amp;":"&amp;ADDRESS(130,3+18*2+(5))),'J1 C - (South) Bishopthorpe Roa'!$A$12:$A$130,"&gt;="&amp;Diagram!$O15,'J1 C - (South) Bishopthorpe Roa'!$A$12:$A$130,"&lt;"&amp;Diagram!$P15),SUMIFS(INDIRECT(ADDRESS(12,3+18*2+(13),,,"J1 C - (South) Bishopthorpe Roa")&amp;":"&amp;ADDRESS(130,3+18*2+(13))),'J1 C - (South) Bishopthorpe Roa'!$A$12:$A$130,"&gt;="&amp;Diagram!$O15,'J1 C - (South) Bishopthorpe Roa'!$A$12:$A$130,"&lt;"&amp;Diagram!$P15)))</f>
        <v>0</v>
      </c>
      <c r="DJ15" s="42">
        <f ca="1">IF(OR($I$10="",$O15="",$P15="",$J$40&lt;&gt;"Yes"),0,IF($K$10=0,SUMIFS(INDIRECT(ADDRESS(12,3+18*3+(5),,,"J1 C - (South) Bishopthorpe Roa")&amp;":"&amp;ADDRESS(130,3+18*3+(5))),'J1 C - (South) Bishopthorpe Roa'!$A$12:$A$130,"&gt;="&amp;Diagram!$O15,'J1 C - (South) Bishopthorpe Roa'!$A$12:$A$130,"&lt;"&amp;Diagram!$P15),SUMIFS(INDIRECT(ADDRESS(12,3+18*3+(13),,,"J1 C - (South) Bishopthorpe Roa")&amp;":"&amp;ADDRESS(130,3+18*3+(13))),'J1 C - (South) Bishopthorpe Roa'!$A$12:$A$130,"&gt;="&amp;Diagram!$O15,'J1 C - (South) Bishopthorpe Roa'!$A$12:$A$130,"&lt;"&amp;Diagram!$P15)))</f>
        <v>0</v>
      </c>
      <c r="DK15" s="42">
        <f ca="1">IF(OR($I$10="",$O15="",$P15="",$J$40&lt;&gt;"Yes"),0,IF($K$10=0,SUMIFS(INDIRECT(ADDRESS(12,3+18*0+(5),,,"J1 C - (South) Bishopthorpe Roa")&amp;":"&amp;ADDRESS(130,3+18*0+(5))),'J1 C - (South) Bishopthorpe Roa'!$A$12:$A$130,"&gt;="&amp;Diagram!$O15,'J1 C - (South) Bishopthorpe Roa'!$A$12:$A$130,"&lt;"&amp;Diagram!$P15),SUMIFS(INDIRECT(ADDRESS(12,3+18*0+(13),,,"J1 C - (South) Bishopthorpe Roa")&amp;":"&amp;ADDRESS(130,3+18*0+(13))),'J1 C - (South) Bishopthorpe Roa'!$A$12:$A$130,"&gt;="&amp;Diagram!$O15,'J1 C - (South) Bishopthorpe Roa'!$A$12:$A$130,"&lt;"&amp;Diagram!$P15)))</f>
        <v>0</v>
      </c>
      <c r="DL15" s="42">
        <f ca="1">IF(OR($I$10="",$O15="",$P15="",$J$40&lt;&gt;"Yes"),0,IF($K$10=0,SUMIFS(INDIRECT(ADDRESS(12,3+18*0+(5),,,"J1 D - South Bank Avenue")&amp;":"&amp;ADDRESS(130,3+18*0+(5))),'J1 D - South Bank Avenue'!$A$12:$A$130,"&gt;="&amp;Diagram!$O15,'J1 D - South Bank Avenue'!$A$12:$A$130,"&lt;"&amp;Diagram!$P15),SUMIFS(INDIRECT(ADDRESS(12,3+18*0+(13),,,"J1 D - South Bank Avenue")&amp;":"&amp;ADDRESS(130,3+18*0+(13))),'J1 D - South Bank Avenue'!$A$12:$A$130,"&gt;="&amp;Diagram!$O15,'J1 D - South Bank Avenue'!$A$12:$A$130,"&lt;"&amp;Diagram!$P15)))</f>
        <v>0</v>
      </c>
      <c r="DM15" s="42">
        <f ca="1">IF(OR($I$10="",$O15="",$P15="",$J$40&lt;&gt;"Yes"),0,IF($K$10=0,SUMIFS(INDIRECT(ADDRESS(12,3+18*1+(5),,,"J1 D - South Bank Avenue")&amp;":"&amp;ADDRESS(130,3+18*1+(5))),'J1 D - South Bank Avenue'!$A$12:$A$130,"&gt;="&amp;Diagram!$O15,'J1 D - South Bank Avenue'!$A$12:$A$130,"&lt;"&amp;Diagram!$P15),SUMIFS(INDIRECT(ADDRESS(12,3+18*1+(13),,,"J1 D - South Bank Avenue")&amp;":"&amp;ADDRESS(130,3+18*1+(13))),'J1 D - South Bank Avenue'!$A$12:$A$130,"&gt;="&amp;Diagram!$O15,'J1 D - South Bank Avenue'!$A$12:$A$130,"&lt;"&amp;Diagram!$P15)))</f>
        <v>0</v>
      </c>
      <c r="DN15" s="42">
        <f ca="1">IF(OR($I$10="",$O15="",$P15="",$J$40&lt;&gt;"Yes"),0,IF($K$10=0,SUMIFS(INDIRECT(ADDRESS(12,3+18*2+(5),,,"J1 D - South Bank Avenue")&amp;":"&amp;ADDRESS(130,3+18*2+(5))),'J1 D - South Bank Avenue'!$A$12:$A$130,"&gt;="&amp;Diagram!$O15,'J1 D - South Bank Avenue'!$A$12:$A$130,"&lt;"&amp;Diagram!$P15),SUMIFS(INDIRECT(ADDRESS(12,3+18*2+(13),,,"J1 D - South Bank Avenue")&amp;":"&amp;ADDRESS(130,3+18*2+(13))),'J1 D - South Bank Avenue'!$A$12:$A$130,"&gt;="&amp;Diagram!$O15,'J1 D - South Bank Avenue'!$A$12:$A$130,"&lt;"&amp;Diagram!$P15)))</f>
        <v>0</v>
      </c>
      <c r="DO15" s="42">
        <f ca="1">IF(OR($I$10="",$O15="",$P15="",$J$40&lt;&gt;"Yes"),0,IF($K$10=0,SUMIFS(INDIRECT(ADDRESS(12,3+18*3+(5),,,"J1 D - South Bank Avenue")&amp;":"&amp;ADDRESS(130,3+18*3+(5))),'J1 D - South Bank Avenue'!$A$12:$A$130,"&gt;="&amp;Diagram!$O15,'J1 D - South Bank Avenue'!$A$12:$A$130,"&lt;"&amp;Diagram!$P15),SUMIFS(INDIRECT(ADDRESS(12,3+18*3+(13),,,"J1 D - South Bank Avenue")&amp;":"&amp;ADDRESS(130,3+18*3+(13))),'J1 D - South Bank Avenue'!$A$12:$A$130,"&gt;="&amp;Diagram!$O15,'J1 D - South Bank Avenue'!$A$12:$A$130,"&lt;"&amp;Diagram!$P15)))</f>
        <v>0</v>
      </c>
      <c r="DP15" s="42">
        <f t="shared" ca="1" si="7"/>
        <v>0</v>
      </c>
      <c r="DQ15" s="42">
        <f ca="1">IF(OR($I$10="",$O15="",$P15="",$J$41&lt;&gt;"Yes"),0,IF($K$10=0,SUMIFS(INDIRECT(ADDRESS(12,3+18*3+(6),,,"J1 A - (North) Bishopthorpe Roa")&amp;":"&amp;ADDRESS(130,3+18*3+(6))),'J1 A - (North) Bishopthorpe Roa'!$A$12:$A$130,"&gt;="&amp;Diagram!$O15,'J1 A - (North) Bishopthorpe Roa'!$A$12:$A$130,"&lt;"&amp;Diagram!$P15),SUMIFS(INDIRECT(ADDRESS(12,3+18*3+(14),,,"J1 A - (North) Bishopthorpe Roa")&amp;":"&amp;ADDRESS(130,3+18*3+(14))),'J1 A - (North) Bishopthorpe Roa'!$A$12:$A$130,"&gt;="&amp;Diagram!$O15,'J1 A - (North) Bishopthorpe Roa'!$A$12:$A$130,"&lt;"&amp;Diagram!$P15)))</f>
        <v>0</v>
      </c>
      <c r="DR15" s="42">
        <f ca="1">IF(OR($I$10="",$O15="",$P15="",$J$41&lt;&gt;"Yes"),0,IF($K$10=0,SUMIFS(INDIRECT(ADDRESS(12,3+18*0+(6),,,"J1 A - (North) Bishopthorpe Roa")&amp;":"&amp;ADDRESS(130,3+18*0+(6))),'J1 A - (North) Bishopthorpe Roa'!$A$12:$A$130,"&gt;="&amp;Diagram!$O15,'J1 A - (North) Bishopthorpe Roa'!$A$12:$A$130,"&lt;"&amp;Diagram!$P15),SUMIFS(INDIRECT(ADDRESS(12,3+18*0+(14),,,"J1 A - (North) Bishopthorpe Roa")&amp;":"&amp;ADDRESS(130,3+18*0+(14))),'J1 A - (North) Bishopthorpe Roa'!$A$12:$A$130,"&gt;="&amp;Diagram!$O15,'J1 A - (North) Bishopthorpe Roa'!$A$12:$A$130,"&lt;"&amp;Diagram!$P15)))</f>
        <v>0</v>
      </c>
      <c r="DS15" s="42">
        <f ca="1">IF(OR($I$10="",$O15="",$P15="",$J$41&lt;&gt;"Yes"),0,IF($K$10=0,SUMIFS(INDIRECT(ADDRESS(12,3+18*1+(6),,,"J1 A - (North) Bishopthorpe Roa")&amp;":"&amp;ADDRESS(130,3+18*1+(6))),'J1 A - (North) Bishopthorpe Roa'!$A$12:$A$130,"&gt;="&amp;Diagram!$O15,'J1 A - (North) Bishopthorpe Roa'!$A$12:$A$130,"&lt;"&amp;Diagram!$P15),SUMIFS(INDIRECT(ADDRESS(12,3+18*1+(14),,,"J1 A - (North) Bishopthorpe Roa")&amp;":"&amp;ADDRESS(130,3+18*1+(14))),'J1 A - (North) Bishopthorpe Roa'!$A$12:$A$130,"&gt;="&amp;Diagram!$O15,'J1 A - (North) Bishopthorpe Roa'!$A$12:$A$130,"&lt;"&amp;Diagram!$P15)))</f>
        <v>0</v>
      </c>
      <c r="DT15" s="42">
        <f ca="1">IF(OR($I$10="",$O15="",$P15="",$J$41&lt;&gt;"Yes"),0,IF($K$10=0,SUMIFS(INDIRECT(ADDRESS(12,3+18*2+(6),,,"J1 A - (North) Bishopthorpe Roa")&amp;":"&amp;ADDRESS(130,3+18*2+(6))),'J1 A - (North) Bishopthorpe Roa'!$A$12:$A$130,"&gt;="&amp;Diagram!$O15,'J1 A - (North) Bishopthorpe Roa'!$A$12:$A$130,"&lt;"&amp;Diagram!$P15),SUMIFS(INDIRECT(ADDRESS(12,3+18*2+(14),,,"J1 A - (North) Bishopthorpe Roa")&amp;":"&amp;ADDRESS(130,3+18*2+(14))),'J1 A - (North) Bishopthorpe Roa'!$A$12:$A$130,"&gt;="&amp;Diagram!$O15,'J1 A - (North) Bishopthorpe Roa'!$A$12:$A$130,"&lt;"&amp;Diagram!$P15)))</f>
        <v>0</v>
      </c>
      <c r="DU15" s="42">
        <f ca="1">IF(OR($I$10="",$O15="",$P15="",$J$41&lt;&gt;"Yes"),0,IF($K$10=0,SUMIFS(INDIRECT(ADDRESS(12,3+18*2+(6),,,"J1 B - Butcher Terrace")&amp;":"&amp;ADDRESS(130,3+18*2+(6))),'J1 B - Butcher Terrace'!$A$12:$A$130,"&gt;="&amp;Diagram!$O15,'J1 B - Butcher Terrace'!$A$12:$A$130,"&lt;"&amp;Diagram!$P15),SUMIFS(INDIRECT(ADDRESS(12,3+18*2+(14),,,"J1 B - Butcher Terrace")&amp;":"&amp;ADDRESS(130,3+18*2+(14))),'J1 B - Butcher Terrace'!$A$12:$A$130,"&gt;="&amp;Diagram!$O15,'J1 B - Butcher Terrace'!$A$12:$A$130,"&lt;"&amp;Diagram!$P15)))</f>
        <v>0</v>
      </c>
      <c r="DV15" s="42">
        <f ca="1">IF(OR($I$10="",$O15="",$P15="",$J$41&lt;&gt;"Yes"),0,IF($K$10=0,SUMIFS(INDIRECT(ADDRESS(12,3+18*3+(6),,,"J1 B - Butcher Terrace")&amp;":"&amp;ADDRESS(130,3+18*3+(6))),'J1 B - Butcher Terrace'!$A$12:$A$130,"&gt;="&amp;Diagram!$O15,'J1 B - Butcher Terrace'!$A$12:$A$130,"&lt;"&amp;Diagram!$P15),SUMIFS(INDIRECT(ADDRESS(12,3+18*3+(14),,,"J1 B - Butcher Terrace")&amp;":"&amp;ADDRESS(130,3+18*3+(14))),'J1 B - Butcher Terrace'!$A$12:$A$130,"&gt;="&amp;Diagram!$O15,'J1 B - Butcher Terrace'!$A$12:$A$130,"&lt;"&amp;Diagram!$P15)))</f>
        <v>0</v>
      </c>
      <c r="DW15" s="42">
        <f ca="1">IF(OR($I$10="",$O15="",$P15="",$J$41&lt;&gt;"Yes"),0,IF($K$10=0,SUMIFS(INDIRECT(ADDRESS(12,3+18*0+(6),,,"J1 B - Butcher Terrace")&amp;":"&amp;ADDRESS(130,3+18*0+(6))),'J1 B - Butcher Terrace'!$A$12:$A$130,"&gt;="&amp;Diagram!$O15,'J1 B - Butcher Terrace'!$A$12:$A$130,"&lt;"&amp;Diagram!$P15),SUMIFS(INDIRECT(ADDRESS(12,3+18*0+(14),,,"J1 B - Butcher Terrace")&amp;":"&amp;ADDRESS(130,3+18*0+(14))),'J1 B - Butcher Terrace'!$A$12:$A$130,"&gt;="&amp;Diagram!$O15,'J1 B - Butcher Terrace'!$A$12:$A$130,"&lt;"&amp;Diagram!$P15)))</f>
        <v>0</v>
      </c>
      <c r="DX15" s="42">
        <f ca="1">IF(OR($I$10="",$O15="",$P15="",$J$41&lt;&gt;"Yes"),0,IF($K$10=0,SUMIFS(INDIRECT(ADDRESS(12,3+18*1+(6),,,"J1 B - Butcher Terrace")&amp;":"&amp;ADDRESS(130,3+18*1+(6))),'J1 B - Butcher Terrace'!$A$12:$A$130,"&gt;="&amp;Diagram!$O15,'J1 B - Butcher Terrace'!$A$12:$A$130,"&lt;"&amp;Diagram!$P15),SUMIFS(INDIRECT(ADDRESS(12,3+18*1+(14),,,"J1 B - Butcher Terrace")&amp;":"&amp;ADDRESS(130,3+18*1+(14))),'J1 B - Butcher Terrace'!$A$12:$A$130,"&gt;="&amp;Diagram!$O15,'J1 B - Butcher Terrace'!$A$12:$A$130,"&lt;"&amp;Diagram!$P15)))</f>
        <v>0</v>
      </c>
      <c r="DY15" s="42">
        <f ca="1">IF(OR($I$10="",$O15="",$P15="",$J$41&lt;&gt;"Yes"),0,IF($K$10=0,SUMIFS(INDIRECT(ADDRESS(12,3+18*1+(6),,,"J1 C - (South) Bishopthorpe Roa")&amp;":"&amp;ADDRESS(130,3+18*1+(6))),'J1 C - (South) Bishopthorpe Roa'!$A$12:$A$130,"&gt;="&amp;Diagram!$O15,'J1 C - (South) Bishopthorpe Roa'!$A$12:$A$130,"&lt;"&amp;Diagram!$P15),SUMIFS(INDIRECT(ADDRESS(12,3+18*1+(14),,,"J1 C - (South) Bishopthorpe Roa")&amp;":"&amp;ADDRESS(130,3+18*1+(14))),'J1 C - (South) Bishopthorpe Roa'!$A$12:$A$130,"&gt;="&amp;Diagram!$O15,'J1 C - (South) Bishopthorpe Roa'!$A$12:$A$130,"&lt;"&amp;Diagram!$P15)))</f>
        <v>0</v>
      </c>
      <c r="DZ15" s="42">
        <f ca="1">IF(OR($I$10="",$O15="",$P15="",$J$41&lt;&gt;"Yes"),0,IF($K$10=0,SUMIFS(INDIRECT(ADDRESS(12,3+18*2+(6),,,"J1 C - (South) Bishopthorpe Roa")&amp;":"&amp;ADDRESS(130,3+18*2+(6))),'J1 C - (South) Bishopthorpe Roa'!$A$12:$A$130,"&gt;="&amp;Diagram!$O15,'J1 C - (South) Bishopthorpe Roa'!$A$12:$A$130,"&lt;"&amp;Diagram!$P15),SUMIFS(INDIRECT(ADDRESS(12,3+18*2+(14),,,"J1 C - (South) Bishopthorpe Roa")&amp;":"&amp;ADDRESS(130,3+18*2+(14))),'J1 C - (South) Bishopthorpe Roa'!$A$12:$A$130,"&gt;="&amp;Diagram!$O15,'J1 C - (South) Bishopthorpe Roa'!$A$12:$A$130,"&lt;"&amp;Diagram!$P15)))</f>
        <v>0</v>
      </c>
      <c r="EA15" s="42">
        <f ca="1">IF(OR($I$10="",$O15="",$P15="",$J$41&lt;&gt;"Yes"),0,IF($K$10=0,SUMIFS(INDIRECT(ADDRESS(12,3+18*3+(6),,,"J1 C - (South) Bishopthorpe Roa")&amp;":"&amp;ADDRESS(130,3+18*3+(6))),'J1 C - (South) Bishopthorpe Roa'!$A$12:$A$130,"&gt;="&amp;Diagram!$O15,'J1 C - (South) Bishopthorpe Roa'!$A$12:$A$130,"&lt;"&amp;Diagram!$P15),SUMIFS(INDIRECT(ADDRESS(12,3+18*3+(14),,,"J1 C - (South) Bishopthorpe Roa")&amp;":"&amp;ADDRESS(130,3+18*3+(14))),'J1 C - (South) Bishopthorpe Roa'!$A$12:$A$130,"&gt;="&amp;Diagram!$O15,'J1 C - (South) Bishopthorpe Roa'!$A$12:$A$130,"&lt;"&amp;Diagram!$P15)))</f>
        <v>0</v>
      </c>
      <c r="EB15" s="42">
        <f ca="1">IF(OR($I$10="",$O15="",$P15="",$J$41&lt;&gt;"Yes"),0,IF($K$10=0,SUMIFS(INDIRECT(ADDRESS(12,3+18*0+(6),,,"J1 C - (South) Bishopthorpe Roa")&amp;":"&amp;ADDRESS(130,3+18*0+(6))),'J1 C - (South) Bishopthorpe Roa'!$A$12:$A$130,"&gt;="&amp;Diagram!$O15,'J1 C - (South) Bishopthorpe Roa'!$A$12:$A$130,"&lt;"&amp;Diagram!$P15),SUMIFS(INDIRECT(ADDRESS(12,3+18*0+(14),,,"J1 C - (South) Bishopthorpe Roa")&amp;":"&amp;ADDRESS(130,3+18*0+(14))),'J1 C - (South) Bishopthorpe Roa'!$A$12:$A$130,"&gt;="&amp;Diagram!$O15,'J1 C - (South) Bishopthorpe Roa'!$A$12:$A$130,"&lt;"&amp;Diagram!$P15)))</f>
        <v>0</v>
      </c>
      <c r="EC15" s="42">
        <f ca="1">IF(OR($I$10="",$O15="",$P15="",$J$41&lt;&gt;"Yes"),0,IF($K$10=0,SUMIFS(INDIRECT(ADDRESS(12,3+18*0+(6),,,"J1 D - South Bank Avenue")&amp;":"&amp;ADDRESS(130,3+18*0+(6))),'J1 D - South Bank Avenue'!$A$12:$A$130,"&gt;="&amp;Diagram!$O15,'J1 D - South Bank Avenue'!$A$12:$A$130,"&lt;"&amp;Diagram!$P15),SUMIFS(INDIRECT(ADDRESS(12,3+18*0+(14),,,"J1 D - South Bank Avenue")&amp;":"&amp;ADDRESS(130,3+18*0+(14))),'J1 D - South Bank Avenue'!$A$12:$A$130,"&gt;="&amp;Diagram!$O15,'J1 D - South Bank Avenue'!$A$12:$A$130,"&lt;"&amp;Diagram!$P15)))</f>
        <v>0</v>
      </c>
      <c r="ED15" s="42">
        <f ca="1">IF(OR($I$10="",$O15="",$P15="",$J$41&lt;&gt;"Yes"),0,IF($K$10=0,SUMIFS(INDIRECT(ADDRESS(12,3+18*1+(6),,,"J1 D - South Bank Avenue")&amp;":"&amp;ADDRESS(130,3+18*1+(6))),'J1 D - South Bank Avenue'!$A$12:$A$130,"&gt;="&amp;Diagram!$O15,'J1 D - South Bank Avenue'!$A$12:$A$130,"&lt;"&amp;Diagram!$P15),SUMIFS(INDIRECT(ADDRESS(12,3+18*1+(14),,,"J1 D - South Bank Avenue")&amp;":"&amp;ADDRESS(130,3+18*1+(14))),'J1 D - South Bank Avenue'!$A$12:$A$130,"&gt;="&amp;Diagram!$O15,'J1 D - South Bank Avenue'!$A$12:$A$130,"&lt;"&amp;Diagram!$P15)))</f>
        <v>0</v>
      </c>
      <c r="EE15" s="42">
        <f ca="1">IF(OR($I$10="",$O15="",$P15="",$J$41&lt;&gt;"Yes"),0,IF($K$10=0,SUMIFS(INDIRECT(ADDRESS(12,3+18*2+(6),,,"J1 D - South Bank Avenue")&amp;":"&amp;ADDRESS(130,3+18*2+(6))),'J1 D - South Bank Avenue'!$A$12:$A$130,"&gt;="&amp;Diagram!$O15,'J1 D - South Bank Avenue'!$A$12:$A$130,"&lt;"&amp;Diagram!$P15),SUMIFS(INDIRECT(ADDRESS(12,3+18*2+(14),,,"J1 D - South Bank Avenue")&amp;":"&amp;ADDRESS(130,3+18*2+(14))),'J1 D - South Bank Avenue'!$A$12:$A$130,"&gt;="&amp;Diagram!$O15,'J1 D - South Bank Avenue'!$A$12:$A$130,"&lt;"&amp;Diagram!$P15)))</f>
        <v>0</v>
      </c>
      <c r="EF15" s="42">
        <f ca="1">IF(OR($I$10="",$O15="",$P15="",$J$41&lt;&gt;"Yes"),0,IF($K$10=0,SUMIFS(INDIRECT(ADDRESS(12,3+18*3+(6),,,"J1 D - South Bank Avenue")&amp;":"&amp;ADDRESS(130,3+18*3+(6))),'J1 D - South Bank Avenue'!$A$12:$A$130,"&gt;="&amp;Diagram!$O15,'J1 D - South Bank Avenue'!$A$12:$A$130,"&lt;"&amp;Diagram!$P15),SUMIFS(INDIRECT(ADDRESS(12,3+18*3+(14),,,"J1 D - South Bank Avenue")&amp;":"&amp;ADDRESS(130,3+18*3+(14))),'J1 D - South Bank Avenue'!$A$12:$A$130,"&gt;="&amp;Diagram!$O15,'J1 D - South Bank Avenue'!$A$12:$A$130,"&lt;"&amp;Diagram!$P15)))</f>
        <v>0</v>
      </c>
      <c r="EG15" s="42">
        <f t="shared" ca="1" si="8"/>
        <v>0</v>
      </c>
      <c r="EH15" s="42">
        <f ca="1">IF(OR($I$10="",$O15="",$P15="",$J$42&lt;&gt;"Yes"),0,IF($K$10=0,SUMIFS(INDIRECT(ADDRESS(12,3+18*3+(7),,,"J1 A - (North) Bishopthorpe Roa")&amp;":"&amp;ADDRESS(130,3+18*3+(7))),'J1 A - (North) Bishopthorpe Roa'!$A$12:$A$130,"&gt;="&amp;Diagram!$O15,'J1 A - (North) Bishopthorpe Roa'!$A$12:$A$130,"&lt;"&amp;Diagram!$P15),SUMIFS(INDIRECT(ADDRESS(12,3+18*3+(15),,,"J1 A - (North) Bishopthorpe Roa")&amp;":"&amp;ADDRESS(130,3+18*3+(15))),'J1 A - (North) Bishopthorpe Roa'!$A$12:$A$130,"&gt;="&amp;Diagram!$O15,'J1 A - (North) Bishopthorpe Roa'!$A$12:$A$130,"&lt;"&amp;Diagram!$P15)))</f>
        <v>0</v>
      </c>
      <c r="EI15" s="42">
        <f ca="1">IF(OR($I$10="",$O15="",$P15="",$J$42&lt;&gt;"Yes"),0,IF($K$10=0,SUMIFS(INDIRECT(ADDRESS(12,3+18*0+(7),,,"J1 A - (North) Bishopthorpe Roa")&amp;":"&amp;ADDRESS(130,3+18*0+(7))),'J1 A - (North) Bishopthorpe Roa'!$A$12:$A$130,"&gt;="&amp;Diagram!$O15,'J1 A - (North) Bishopthorpe Roa'!$A$12:$A$130,"&lt;"&amp;Diagram!$P15),SUMIFS(INDIRECT(ADDRESS(12,3+18*0+(15),,,"J1 A - (North) Bishopthorpe Roa")&amp;":"&amp;ADDRESS(130,3+18*0+(15))),'J1 A - (North) Bishopthorpe Roa'!$A$12:$A$130,"&gt;="&amp;Diagram!$O15,'J1 A - (North) Bishopthorpe Roa'!$A$12:$A$130,"&lt;"&amp;Diagram!$P15)))</f>
        <v>0</v>
      </c>
      <c r="EJ15" s="42">
        <f ca="1">IF(OR($I$10="",$O15="",$P15="",$J$42&lt;&gt;"Yes"),0,IF($K$10=0,SUMIFS(INDIRECT(ADDRESS(12,3+18*1+(7),,,"J1 A - (North) Bishopthorpe Roa")&amp;":"&amp;ADDRESS(130,3+18*1+(7))),'J1 A - (North) Bishopthorpe Roa'!$A$12:$A$130,"&gt;="&amp;Diagram!$O15,'J1 A - (North) Bishopthorpe Roa'!$A$12:$A$130,"&lt;"&amp;Diagram!$P15),SUMIFS(INDIRECT(ADDRESS(12,3+18*1+(15),,,"J1 A - (North) Bishopthorpe Roa")&amp;":"&amp;ADDRESS(130,3+18*1+(15))),'J1 A - (North) Bishopthorpe Roa'!$A$12:$A$130,"&gt;="&amp;Diagram!$O15,'J1 A - (North) Bishopthorpe Roa'!$A$12:$A$130,"&lt;"&amp;Diagram!$P15)))</f>
        <v>0</v>
      </c>
      <c r="EK15" s="42">
        <f ca="1">IF(OR($I$10="",$O15="",$P15="",$J$42&lt;&gt;"Yes"),0,IF($K$10=0,SUMIFS(INDIRECT(ADDRESS(12,3+18*2+(7),,,"J1 A - (North) Bishopthorpe Roa")&amp;":"&amp;ADDRESS(130,3+18*2+(7))),'J1 A - (North) Bishopthorpe Roa'!$A$12:$A$130,"&gt;="&amp;Diagram!$O15,'J1 A - (North) Bishopthorpe Roa'!$A$12:$A$130,"&lt;"&amp;Diagram!$P15),SUMIFS(INDIRECT(ADDRESS(12,3+18*2+(15),,,"J1 A - (North) Bishopthorpe Roa")&amp;":"&amp;ADDRESS(130,3+18*2+(15))),'J1 A - (North) Bishopthorpe Roa'!$A$12:$A$130,"&gt;="&amp;Diagram!$O15,'J1 A - (North) Bishopthorpe Roa'!$A$12:$A$130,"&lt;"&amp;Diagram!$P15)))</f>
        <v>0</v>
      </c>
      <c r="EL15" s="42">
        <f ca="1">IF(OR($I$10="",$O15="",$P15="",$J$42&lt;&gt;"Yes"),0,IF($K$10=0,SUMIFS(INDIRECT(ADDRESS(12,3+18*2+(7),,,"J1 B - Butcher Terrace")&amp;":"&amp;ADDRESS(130,3+18*2+(7))),'J1 B - Butcher Terrace'!$A$12:$A$130,"&gt;="&amp;Diagram!$O15,'J1 B - Butcher Terrace'!$A$12:$A$130,"&lt;"&amp;Diagram!$P15),SUMIFS(INDIRECT(ADDRESS(12,3+18*2+(15),,,"J1 B - Butcher Terrace")&amp;":"&amp;ADDRESS(130,3+18*2+(15))),'J1 B - Butcher Terrace'!$A$12:$A$130,"&gt;="&amp;Diagram!$O15,'J1 B - Butcher Terrace'!$A$12:$A$130,"&lt;"&amp;Diagram!$P15)))</f>
        <v>0</v>
      </c>
      <c r="EM15" s="42">
        <f ca="1">IF(OR($I$10="",$O15="",$P15="",$J$42&lt;&gt;"Yes"),0,IF($K$10=0,SUMIFS(INDIRECT(ADDRESS(12,3+18*3+(7),,,"J1 B - Butcher Terrace")&amp;":"&amp;ADDRESS(130,3+18*3+(7))),'J1 B - Butcher Terrace'!$A$12:$A$130,"&gt;="&amp;Diagram!$O15,'J1 B - Butcher Terrace'!$A$12:$A$130,"&lt;"&amp;Diagram!$P15),SUMIFS(INDIRECT(ADDRESS(12,3+18*3+(15),,,"J1 B - Butcher Terrace")&amp;":"&amp;ADDRESS(130,3+18*3+(15))),'J1 B - Butcher Terrace'!$A$12:$A$130,"&gt;="&amp;Diagram!$O15,'J1 B - Butcher Terrace'!$A$12:$A$130,"&lt;"&amp;Diagram!$P15)))</f>
        <v>0</v>
      </c>
      <c r="EN15" s="42">
        <f ca="1">IF(OR($I$10="",$O15="",$P15="",$J$42&lt;&gt;"Yes"),0,IF($K$10=0,SUMIFS(INDIRECT(ADDRESS(12,3+18*0+(7),,,"J1 B - Butcher Terrace")&amp;":"&amp;ADDRESS(130,3+18*0+(7))),'J1 B - Butcher Terrace'!$A$12:$A$130,"&gt;="&amp;Diagram!$O15,'J1 B - Butcher Terrace'!$A$12:$A$130,"&lt;"&amp;Diagram!$P15),SUMIFS(INDIRECT(ADDRESS(12,3+18*0+(15),,,"J1 B - Butcher Terrace")&amp;":"&amp;ADDRESS(130,3+18*0+(15))),'J1 B - Butcher Terrace'!$A$12:$A$130,"&gt;="&amp;Diagram!$O15,'J1 B - Butcher Terrace'!$A$12:$A$130,"&lt;"&amp;Diagram!$P15)))</f>
        <v>0</v>
      </c>
      <c r="EO15" s="42">
        <f ca="1">IF(OR($I$10="",$O15="",$P15="",$J$42&lt;&gt;"Yes"),0,IF($K$10=0,SUMIFS(INDIRECT(ADDRESS(12,3+18*1+(7),,,"J1 B - Butcher Terrace")&amp;":"&amp;ADDRESS(130,3+18*1+(7))),'J1 B - Butcher Terrace'!$A$12:$A$130,"&gt;="&amp;Diagram!$O15,'J1 B - Butcher Terrace'!$A$12:$A$130,"&lt;"&amp;Diagram!$P15),SUMIFS(INDIRECT(ADDRESS(12,3+18*1+(15),,,"J1 B - Butcher Terrace")&amp;":"&amp;ADDRESS(130,3+18*1+(15))),'J1 B - Butcher Terrace'!$A$12:$A$130,"&gt;="&amp;Diagram!$O15,'J1 B - Butcher Terrace'!$A$12:$A$130,"&lt;"&amp;Diagram!$P15)))</f>
        <v>0</v>
      </c>
      <c r="EP15" s="42">
        <f ca="1">IF(OR($I$10="",$O15="",$P15="",$J$42&lt;&gt;"Yes"),0,IF($K$10=0,SUMIFS(INDIRECT(ADDRESS(12,3+18*1+(7),,,"J1 C - (South) Bishopthorpe Roa")&amp;":"&amp;ADDRESS(130,3+18*1+(7))),'J1 C - (South) Bishopthorpe Roa'!$A$12:$A$130,"&gt;="&amp;Diagram!$O15,'J1 C - (South) Bishopthorpe Roa'!$A$12:$A$130,"&lt;"&amp;Diagram!$P15),SUMIFS(INDIRECT(ADDRESS(12,3+18*1+(15),,,"J1 C - (South) Bishopthorpe Roa")&amp;":"&amp;ADDRESS(130,3+18*1+(15))),'J1 C - (South) Bishopthorpe Roa'!$A$12:$A$130,"&gt;="&amp;Diagram!$O15,'J1 C - (South) Bishopthorpe Roa'!$A$12:$A$130,"&lt;"&amp;Diagram!$P15)))</f>
        <v>0</v>
      </c>
      <c r="EQ15" s="42">
        <f ca="1">IF(OR($I$10="",$O15="",$P15="",$J$42&lt;&gt;"Yes"),0,IF($K$10=0,SUMIFS(INDIRECT(ADDRESS(12,3+18*2+(7),,,"J1 C - (South) Bishopthorpe Roa")&amp;":"&amp;ADDRESS(130,3+18*2+(7))),'J1 C - (South) Bishopthorpe Roa'!$A$12:$A$130,"&gt;="&amp;Diagram!$O15,'J1 C - (South) Bishopthorpe Roa'!$A$12:$A$130,"&lt;"&amp;Diagram!$P15),SUMIFS(INDIRECT(ADDRESS(12,3+18*2+(15),,,"J1 C - (South) Bishopthorpe Roa")&amp;":"&amp;ADDRESS(130,3+18*2+(15))),'J1 C - (South) Bishopthorpe Roa'!$A$12:$A$130,"&gt;="&amp;Diagram!$O15,'J1 C - (South) Bishopthorpe Roa'!$A$12:$A$130,"&lt;"&amp;Diagram!$P15)))</f>
        <v>0</v>
      </c>
      <c r="ER15" s="42">
        <f ca="1">IF(OR($I$10="",$O15="",$P15="",$J$42&lt;&gt;"Yes"),0,IF($K$10=0,SUMIFS(INDIRECT(ADDRESS(12,3+18*3+(7),,,"J1 C - (South) Bishopthorpe Roa")&amp;":"&amp;ADDRESS(130,3+18*3+(7))),'J1 C - (South) Bishopthorpe Roa'!$A$12:$A$130,"&gt;="&amp;Diagram!$O15,'J1 C - (South) Bishopthorpe Roa'!$A$12:$A$130,"&lt;"&amp;Diagram!$P15),SUMIFS(INDIRECT(ADDRESS(12,3+18*3+(15),,,"J1 C - (South) Bishopthorpe Roa")&amp;":"&amp;ADDRESS(130,3+18*3+(15))),'J1 C - (South) Bishopthorpe Roa'!$A$12:$A$130,"&gt;="&amp;Diagram!$O15,'J1 C - (South) Bishopthorpe Roa'!$A$12:$A$130,"&lt;"&amp;Diagram!$P15)))</f>
        <v>0</v>
      </c>
      <c r="ES15" s="42">
        <f ca="1">IF(OR($I$10="",$O15="",$P15="",$J$42&lt;&gt;"Yes"),0,IF($K$10=0,SUMIFS(INDIRECT(ADDRESS(12,3+18*0+(7),,,"J1 C - (South) Bishopthorpe Roa")&amp;":"&amp;ADDRESS(130,3+18*0+(7))),'J1 C - (South) Bishopthorpe Roa'!$A$12:$A$130,"&gt;="&amp;Diagram!$O15,'J1 C - (South) Bishopthorpe Roa'!$A$12:$A$130,"&lt;"&amp;Diagram!$P15),SUMIFS(INDIRECT(ADDRESS(12,3+18*0+(15),,,"J1 C - (South) Bishopthorpe Roa")&amp;":"&amp;ADDRESS(130,3+18*0+(15))),'J1 C - (South) Bishopthorpe Roa'!$A$12:$A$130,"&gt;="&amp;Diagram!$O15,'J1 C - (South) Bishopthorpe Roa'!$A$12:$A$130,"&lt;"&amp;Diagram!$P15)))</f>
        <v>0</v>
      </c>
      <c r="ET15" s="42">
        <f ca="1">IF(OR($I$10="",$O15="",$P15="",$J$42&lt;&gt;"Yes"),0,IF($K$10=0,SUMIFS(INDIRECT(ADDRESS(12,3+18*0+(7),,,"J1 D - South Bank Avenue")&amp;":"&amp;ADDRESS(130,3+18*0+(7))),'J1 D - South Bank Avenue'!$A$12:$A$130,"&gt;="&amp;Diagram!$O15,'J1 D - South Bank Avenue'!$A$12:$A$130,"&lt;"&amp;Diagram!$P15),SUMIFS(INDIRECT(ADDRESS(12,3+18*0+(15),,,"J1 D - South Bank Avenue")&amp;":"&amp;ADDRESS(130,3+18*0+(15))),'J1 D - South Bank Avenue'!$A$12:$A$130,"&gt;="&amp;Diagram!$O15,'J1 D - South Bank Avenue'!$A$12:$A$130,"&lt;"&amp;Diagram!$P15)))</f>
        <v>0</v>
      </c>
      <c r="EU15" s="42">
        <f ca="1">IF(OR($I$10="",$O15="",$P15="",$J$42&lt;&gt;"Yes"),0,IF($K$10=0,SUMIFS(INDIRECT(ADDRESS(12,3+18*1+(7),,,"J1 D - South Bank Avenue")&amp;":"&amp;ADDRESS(130,3+18*1+(7))),'J1 D - South Bank Avenue'!$A$12:$A$130,"&gt;="&amp;Diagram!$O15,'J1 D - South Bank Avenue'!$A$12:$A$130,"&lt;"&amp;Diagram!$P15),SUMIFS(INDIRECT(ADDRESS(12,3+18*1+(15),,,"J1 D - South Bank Avenue")&amp;":"&amp;ADDRESS(130,3+18*1+(15))),'J1 D - South Bank Avenue'!$A$12:$A$130,"&gt;="&amp;Diagram!$O15,'J1 D - South Bank Avenue'!$A$12:$A$130,"&lt;"&amp;Diagram!$P15)))</f>
        <v>0</v>
      </c>
      <c r="EV15" s="42">
        <f ca="1">IF(OR($I$10="",$O15="",$P15="",$J$42&lt;&gt;"Yes"),0,IF($K$10=0,SUMIFS(INDIRECT(ADDRESS(12,3+18*2+(7),,,"J1 D - South Bank Avenue")&amp;":"&amp;ADDRESS(130,3+18*2+(7))),'J1 D - South Bank Avenue'!$A$12:$A$130,"&gt;="&amp;Diagram!$O15,'J1 D - South Bank Avenue'!$A$12:$A$130,"&lt;"&amp;Diagram!$P15),SUMIFS(INDIRECT(ADDRESS(12,3+18*2+(15),,,"J1 D - South Bank Avenue")&amp;":"&amp;ADDRESS(130,3+18*2+(15))),'J1 D - South Bank Avenue'!$A$12:$A$130,"&gt;="&amp;Diagram!$O15,'J1 D - South Bank Avenue'!$A$12:$A$130,"&lt;"&amp;Diagram!$P15)))</f>
        <v>0</v>
      </c>
      <c r="EW15" s="42">
        <f ca="1">IF(OR($I$10="",$O15="",$P15="",$J$42&lt;&gt;"Yes"),0,IF($K$10=0,SUMIFS(INDIRECT(ADDRESS(12,3+18*3+(7),,,"J1 D - South Bank Avenue")&amp;":"&amp;ADDRESS(130,3+18*3+(7))),'J1 D - South Bank Avenue'!$A$12:$A$130,"&gt;="&amp;Diagram!$O15,'J1 D - South Bank Avenue'!$A$12:$A$130,"&lt;"&amp;Diagram!$P15),SUMIFS(INDIRECT(ADDRESS(12,3+18*3+(15),,,"J1 D - South Bank Avenue")&amp;":"&amp;ADDRESS(130,3+18*3+(15))),'J1 D - South Bank Avenue'!$A$12:$A$130,"&gt;="&amp;Diagram!$O15,'J1 D - South Bank Avenue'!$A$12:$A$130,"&lt;"&amp;Diagram!$P15)))</f>
        <v>0</v>
      </c>
    </row>
    <row r="16" spans="1:153" ht="5.25" customHeight="1">
      <c r="A16" s="1">
        <v>44395.15625</v>
      </c>
      <c r="B16" s="1">
        <v>44395.166666666701</v>
      </c>
      <c r="O16" s="3">
        <v>44395.15625</v>
      </c>
      <c r="P16" s="3">
        <v>44395.197916666701</v>
      </c>
      <c r="Q16" s="42">
        <f t="shared" ca="1" si="0"/>
        <v>16</v>
      </c>
      <c r="R16" s="42">
        <f t="shared" ca="1" si="1"/>
        <v>10</v>
      </c>
      <c r="S16" s="42">
        <f ca="1">IF(OR($I$10="",$O16="",$P16="",$J$35&lt;&gt;"Yes"),0,IF($K$10=0,SUMIFS(INDIRECT(ADDRESS(12,3+18*3+(0),,,"J1 A - (North) Bishopthorpe Roa")&amp;":"&amp;ADDRESS(130,3+18*3+(0))),'J1 A - (North) Bishopthorpe Roa'!$A$12:$A$130,"&gt;="&amp;Diagram!$O16,'J1 A - (North) Bishopthorpe Roa'!$A$12:$A$130,"&lt;"&amp;Diagram!$P16),SUMIFS(INDIRECT(ADDRESS(12,3+18*3+(8),,,"J1 A - (North) Bishopthorpe Roa")&amp;":"&amp;ADDRESS(130,3+18*3+(8))),'J1 A - (North) Bishopthorpe Roa'!$A$12:$A$130,"&gt;="&amp;Diagram!$O16,'J1 A - (North) Bishopthorpe Roa'!$A$12:$A$130,"&lt;"&amp;Diagram!$P16)))</f>
        <v>0</v>
      </c>
      <c r="T16" s="42">
        <f ca="1">IF(OR($I$10="",$O16="",$P16="",$J$35&lt;&gt;"Yes"),0,IF($K$10=0,SUMIFS(INDIRECT(ADDRESS(12,3+18*0+(0),,,"J1 A - (North) Bishopthorpe Roa")&amp;":"&amp;ADDRESS(130,3+18*0+(0))),'J1 A - (North) Bishopthorpe Roa'!$A$12:$A$130,"&gt;="&amp;Diagram!$O16,'J1 A - (North) Bishopthorpe Roa'!$A$12:$A$130,"&lt;"&amp;Diagram!$P16),SUMIFS(INDIRECT(ADDRESS(12,3+18*0+(8),,,"J1 A - (North) Bishopthorpe Roa")&amp;":"&amp;ADDRESS(130,3+18*0+(8))),'J1 A - (North) Bishopthorpe Roa'!$A$12:$A$130,"&gt;="&amp;Diagram!$O16,'J1 A - (North) Bishopthorpe Roa'!$A$12:$A$130,"&lt;"&amp;Diagram!$P16)))</f>
        <v>0</v>
      </c>
      <c r="U16" s="42">
        <f ca="1">IF(OR($I$10="",$O16="",$P16="",$J$35&lt;&gt;"Yes"),0,IF($K$10=0,SUMIFS(INDIRECT(ADDRESS(12,3+18*1+(0),,,"J1 A - (North) Bishopthorpe Roa")&amp;":"&amp;ADDRESS(130,3+18*1+(0))),'J1 A - (North) Bishopthorpe Roa'!$A$12:$A$130,"&gt;="&amp;Diagram!$O16,'J1 A - (North) Bishopthorpe Roa'!$A$12:$A$130,"&lt;"&amp;Diagram!$P16),SUMIFS(INDIRECT(ADDRESS(12,3+18*1+(8),,,"J1 A - (North) Bishopthorpe Roa")&amp;":"&amp;ADDRESS(130,3+18*1+(8))),'J1 A - (North) Bishopthorpe Roa'!$A$12:$A$130,"&gt;="&amp;Diagram!$O16,'J1 A - (North) Bishopthorpe Roa'!$A$12:$A$130,"&lt;"&amp;Diagram!$P16)))</f>
        <v>6</v>
      </c>
      <c r="V16" s="42">
        <f ca="1">IF(OR($I$10="",$O16="",$P16="",$J$35&lt;&gt;"Yes"),0,IF($K$10=0,SUMIFS(INDIRECT(ADDRESS(12,3+18*2+(0),,,"J1 A - (North) Bishopthorpe Roa")&amp;":"&amp;ADDRESS(130,3+18*2+(0))),'J1 A - (North) Bishopthorpe Roa'!$A$12:$A$130,"&gt;="&amp;Diagram!$O16,'J1 A - (North) Bishopthorpe Roa'!$A$12:$A$130,"&lt;"&amp;Diagram!$P16),SUMIFS(INDIRECT(ADDRESS(12,3+18*2+(8),,,"J1 A - (North) Bishopthorpe Roa")&amp;":"&amp;ADDRESS(130,3+18*2+(8))),'J1 A - (North) Bishopthorpe Roa'!$A$12:$A$130,"&gt;="&amp;Diagram!$O16,'J1 A - (North) Bishopthorpe Roa'!$A$12:$A$130,"&lt;"&amp;Diagram!$P16)))</f>
        <v>0</v>
      </c>
      <c r="W16" s="42">
        <f ca="1">IF(OR($I$10="",$O16="",$P16="",$J$35&lt;&gt;"Yes"),0,IF($K$10=0,SUMIFS(INDIRECT(ADDRESS(12,3+18*2+(0),,,"J1 B - Butcher Terrace")&amp;":"&amp;ADDRESS(130,3+18*2+(0))),'J1 B - Butcher Terrace'!$A$12:$A$130,"&gt;="&amp;Diagram!$O16,'J1 B - Butcher Terrace'!$A$12:$A$130,"&lt;"&amp;Diagram!$P16),SUMIFS(INDIRECT(ADDRESS(12,3+18*2+(8),,,"J1 B - Butcher Terrace")&amp;":"&amp;ADDRESS(130,3+18*2+(8))),'J1 B - Butcher Terrace'!$A$12:$A$130,"&gt;="&amp;Diagram!$O16,'J1 B - Butcher Terrace'!$A$12:$A$130,"&lt;"&amp;Diagram!$P16)))</f>
        <v>0</v>
      </c>
      <c r="X16" s="42">
        <f ca="1">IF(OR($I$10="",$O16="",$P16="",$J$35&lt;&gt;"Yes"),0,IF($K$10=0,SUMIFS(INDIRECT(ADDRESS(12,3+18*3+(0),,,"J1 B - Butcher Terrace")&amp;":"&amp;ADDRESS(130,3+18*3+(0))),'J1 B - Butcher Terrace'!$A$12:$A$130,"&gt;="&amp;Diagram!$O16,'J1 B - Butcher Terrace'!$A$12:$A$130,"&lt;"&amp;Diagram!$P16),SUMIFS(INDIRECT(ADDRESS(12,3+18*3+(8),,,"J1 B - Butcher Terrace")&amp;":"&amp;ADDRESS(130,3+18*3+(8))),'J1 B - Butcher Terrace'!$A$12:$A$130,"&gt;="&amp;Diagram!$O16,'J1 B - Butcher Terrace'!$A$12:$A$130,"&lt;"&amp;Diagram!$P16)))</f>
        <v>0</v>
      </c>
      <c r="Y16" s="42">
        <f ca="1">IF(OR($I$10="",$O16="",$P16="",$J$35&lt;&gt;"Yes"),0,IF($K$10=0,SUMIFS(INDIRECT(ADDRESS(12,3+18*0+(0),,,"J1 B - Butcher Terrace")&amp;":"&amp;ADDRESS(130,3+18*0+(0))),'J1 B - Butcher Terrace'!$A$12:$A$130,"&gt;="&amp;Diagram!$O16,'J1 B - Butcher Terrace'!$A$12:$A$130,"&lt;"&amp;Diagram!$P16),SUMIFS(INDIRECT(ADDRESS(12,3+18*0+(8),,,"J1 B - Butcher Terrace")&amp;":"&amp;ADDRESS(130,3+18*0+(8))),'J1 B - Butcher Terrace'!$A$12:$A$130,"&gt;="&amp;Diagram!$O16,'J1 B - Butcher Terrace'!$A$12:$A$130,"&lt;"&amp;Diagram!$P16)))</f>
        <v>0</v>
      </c>
      <c r="Z16" s="42">
        <f ca="1">IF(OR($I$10="",$O16="",$P16="",$J$35&lt;&gt;"Yes"),0,IF($K$10=0,SUMIFS(INDIRECT(ADDRESS(12,3+18*1+(0),,,"J1 B - Butcher Terrace")&amp;":"&amp;ADDRESS(130,3+18*1+(0))),'J1 B - Butcher Terrace'!$A$12:$A$130,"&gt;="&amp;Diagram!$O16,'J1 B - Butcher Terrace'!$A$12:$A$130,"&lt;"&amp;Diagram!$P16),SUMIFS(INDIRECT(ADDRESS(12,3+18*1+(8),,,"J1 B - Butcher Terrace")&amp;":"&amp;ADDRESS(130,3+18*1+(8))),'J1 B - Butcher Terrace'!$A$12:$A$130,"&gt;="&amp;Diagram!$O16,'J1 B - Butcher Terrace'!$A$12:$A$130,"&lt;"&amp;Diagram!$P16)))</f>
        <v>0</v>
      </c>
      <c r="AA16" s="42">
        <f ca="1">IF(OR($I$10="",$O16="",$P16="",$J$35&lt;&gt;"Yes"),0,IF($K$10=0,SUMIFS(INDIRECT(ADDRESS(12,3+18*1+(0),,,"J1 C - (South) Bishopthorpe Roa")&amp;":"&amp;ADDRESS(130,3+18*1+(0))),'J1 C - (South) Bishopthorpe Roa'!$A$12:$A$130,"&gt;="&amp;Diagram!$O16,'J1 C - (South) Bishopthorpe Roa'!$A$12:$A$130,"&lt;"&amp;Diagram!$P16),SUMIFS(INDIRECT(ADDRESS(12,3+18*1+(8),,,"J1 C - (South) Bishopthorpe Roa")&amp;":"&amp;ADDRESS(130,3+18*1+(8))),'J1 C - (South) Bishopthorpe Roa'!$A$12:$A$130,"&gt;="&amp;Diagram!$O16,'J1 C - (South) Bishopthorpe Roa'!$A$12:$A$130,"&lt;"&amp;Diagram!$P16)))</f>
        <v>4</v>
      </c>
      <c r="AB16" s="42">
        <f ca="1">IF(OR($I$10="",$O16="",$P16="",$J$35&lt;&gt;"Yes"),0,IF($K$10=0,SUMIFS(INDIRECT(ADDRESS(12,3+18*2+(0),,,"J1 C - (South) Bishopthorpe Roa")&amp;":"&amp;ADDRESS(130,3+18*2+(0))),'J1 C - (South) Bishopthorpe Roa'!$A$12:$A$130,"&gt;="&amp;Diagram!$O16,'J1 C - (South) Bishopthorpe Roa'!$A$12:$A$130,"&lt;"&amp;Diagram!$P16),SUMIFS(INDIRECT(ADDRESS(12,3+18*2+(8),,,"J1 C - (South) Bishopthorpe Roa")&amp;":"&amp;ADDRESS(130,3+18*2+(8))),'J1 C - (South) Bishopthorpe Roa'!$A$12:$A$130,"&gt;="&amp;Diagram!$O16,'J1 C - (South) Bishopthorpe Roa'!$A$12:$A$130,"&lt;"&amp;Diagram!$P16)))</f>
        <v>0</v>
      </c>
      <c r="AC16" s="42">
        <f ca="1">IF(OR($I$10="",$O16="",$P16="",$J$35&lt;&gt;"Yes"),0,IF($K$10=0,SUMIFS(INDIRECT(ADDRESS(12,3+18*3+(0),,,"J1 C - (South) Bishopthorpe Roa")&amp;":"&amp;ADDRESS(130,3+18*3+(0))),'J1 C - (South) Bishopthorpe Roa'!$A$12:$A$130,"&gt;="&amp;Diagram!$O16,'J1 C - (South) Bishopthorpe Roa'!$A$12:$A$130,"&lt;"&amp;Diagram!$P16),SUMIFS(INDIRECT(ADDRESS(12,3+18*3+(8),,,"J1 C - (South) Bishopthorpe Roa")&amp;":"&amp;ADDRESS(130,3+18*3+(8))),'J1 C - (South) Bishopthorpe Roa'!$A$12:$A$130,"&gt;="&amp;Diagram!$O16,'J1 C - (South) Bishopthorpe Roa'!$A$12:$A$130,"&lt;"&amp;Diagram!$P16)))</f>
        <v>0</v>
      </c>
      <c r="AD16" s="42">
        <f ca="1">IF(OR($I$10="",$O16="",$P16="",$J$35&lt;&gt;"Yes"),0,IF($K$10=0,SUMIFS(INDIRECT(ADDRESS(12,3+18*0+(0),,,"J1 C - (South) Bishopthorpe Roa")&amp;":"&amp;ADDRESS(130,3+18*0+(0))),'J1 C - (South) Bishopthorpe Roa'!$A$12:$A$130,"&gt;="&amp;Diagram!$O16,'J1 C - (South) Bishopthorpe Roa'!$A$12:$A$130,"&lt;"&amp;Diagram!$P16),SUMIFS(INDIRECT(ADDRESS(12,3+18*0+(8),,,"J1 C - (South) Bishopthorpe Roa")&amp;":"&amp;ADDRESS(130,3+18*0+(8))),'J1 C - (South) Bishopthorpe Roa'!$A$12:$A$130,"&gt;="&amp;Diagram!$O16,'J1 C - (South) Bishopthorpe Roa'!$A$12:$A$130,"&lt;"&amp;Diagram!$P16)))</f>
        <v>0</v>
      </c>
      <c r="AE16" s="42">
        <f ca="1">IF(OR($I$10="",$O16="",$P16="",$J$35&lt;&gt;"Yes"),0,IF($K$10=0,SUMIFS(INDIRECT(ADDRESS(12,3+18*0+(0),,,"J1 D - South Bank Avenue")&amp;":"&amp;ADDRESS(130,3+18*0+(0))),'J1 D - South Bank Avenue'!$A$12:$A$130,"&gt;="&amp;Diagram!$O16,'J1 D - South Bank Avenue'!$A$12:$A$130,"&lt;"&amp;Diagram!$P16),SUMIFS(INDIRECT(ADDRESS(12,3+18*0+(8),,,"J1 D - South Bank Avenue")&amp;":"&amp;ADDRESS(130,3+18*0+(8))),'J1 D - South Bank Avenue'!$A$12:$A$130,"&gt;="&amp;Diagram!$O16,'J1 D - South Bank Avenue'!$A$12:$A$130,"&lt;"&amp;Diagram!$P16)))</f>
        <v>0</v>
      </c>
      <c r="AF16" s="42">
        <f ca="1">IF(OR($I$10="",$O16="",$P16="",$J$35&lt;&gt;"Yes"),0,IF($K$10=0,SUMIFS(INDIRECT(ADDRESS(12,3+18*1+(0),,,"J1 D - South Bank Avenue")&amp;":"&amp;ADDRESS(130,3+18*1+(0))),'J1 D - South Bank Avenue'!$A$12:$A$130,"&gt;="&amp;Diagram!$O16,'J1 D - South Bank Avenue'!$A$12:$A$130,"&lt;"&amp;Diagram!$P16),SUMIFS(INDIRECT(ADDRESS(12,3+18*1+(8),,,"J1 D - South Bank Avenue")&amp;":"&amp;ADDRESS(130,3+18*1+(8))),'J1 D - South Bank Avenue'!$A$12:$A$130,"&gt;="&amp;Diagram!$O16,'J1 D - South Bank Avenue'!$A$12:$A$130,"&lt;"&amp;Diagram!$P16)))</f>
        <v>0</v>
      </c>
      <c r="AG16" s="42">
        <f ca="1">IF(OR($I$10="",$O16="",$P16="",$J$35&lt;&gt;"Yes"),0,IF($K$10=0,SUMIFS(INDIRECT(ADDRESS(12,3+18*2+(0),,,"J1 D - South Bank Avenue")&amp;":"&amp;ADDRESS(130,3+18*2+(0))),'J1 D - South Bank Avenue'!$A$12:$A$130,"&gt;="&amp;Diagram!$O16,'J1 D - South Bank Avenue'!$A$12:$A$130,"&lt;"&amp;Diagram!$P16),SUMIFS(INDIRECT(ADDRESS(12,3+18*2+(8),,,"J1 D - South Bank Avenue")&amp;":"&amp;ADDRESS(130,3+18*2+(8))),'J1 D - South Bank Avenue'!$A$12:$A$130,"&gt;="&amp;Diagram!$O16,'J1 D - South Bank Avenue'!$A$12:$A$130,"&lt;"&amp;Diagram!$P16)))</f>
        <v>0</v>
      </c>
      <c r="AH16" s="42">
        <f ca="1">IF(OR($I$10="",$O16="",$P16="",$J$35&lt;&gt;"Yes"),0,IF($K$10=0,SUMIFS(INDIRECT(ADDRESS(12,3+18*3+(0),,,"J1 D - South Bank Avenue")&amp;":"&amp;ADDRESS(130,3+18*3+(0))),'J1 D - South Bank Avenue'!$A$12:$A$130,"&gt;="&amp;Diagram!$O16,'J1 D - South Bank Avenue'!$A$12:$A$130,"&lt;"&amp;Diagram!$P16),SUMIFS(INDIRECT(ADDRESS(12,3+18*3+(8),,,"J1 D - South Bank Avenue")&amp;":"&amp;ADDRESS(130,3+18*3+(8))),'J1 D - South Bank Avenue'!$A$12:$A$130,"&gt;="&amp;Diagram!$O16,'J1 D - South Bank Avenue'!$A$12:$A$130,"&lt;"&amp;Diagram!$P16)))</f>
        <v>0</v>
      </c>
      <c r="AI16" s="42">
        <f t="shared" ca="1" si="2"/>
        <v>2</v>
      </c>
      <c r="AJ16" s="42">
        <f ca="1">IF(OR($I$10="",$O16="",$P16="",$J$36&lt;&gt;"Yes"),0,IF($K$10=0,SUMIFS(INDIRECT(ADDRESS(12,3+18*3+(1),,,"J1 A - (North) Bishopthorpe Roa")&amp;":"&amp;ADDRESS(130,3+18*3+(1))),'J1 A - (North) Bishopthorpe Roa'!$A$12:$A$130,"&gt;="&amp;Diagram!$O16,'J1 A - (North) Bishopthorpe Roa'!$A$12:$A$130,"&lt;"&amp;Diagram!$P16),SUMIFS(INDIRECT(ADDRESS(12,3+18*3+(9),,,"J1 A - (North) Bishopthorpe Roa")&amp;":"&amp;ADDRESS(130,3+18*3+(9))),'J1 A - (North) Bishopthorpe Roa'!$A$12:$A$130,"&gt;="&amp;Diagram!$O16,'J1 A - (North) Bishopthorpe Roa'!$A$12:$A$130,"&lt;"&amp;Diagram!$P16)))</f>
        <v>0</v>
      </c>
      <c r="AK16" s="42">
        <f ca="1">IF(OR($I$10="",$O16="",$P16="",$J$36&lt;&gt;"Yes"),0,IF($K$10=0,SUMIFS(INDIRECT(ADDRESS(12,3+18*0+(1),,,"J1 A - (North) Bishopthorpe Roa")&amp;":"&amp;ADDRESS(130,3+18*0+(1))),'J1 A - (North) Bishopthorpe Roa'!$A$12:$A$130,"&gt;="&amp;Diagram!$O16,'J1 A - (North) Bishopthorpe Roa'!$A$12:$A$130,"&lt;"&amp;Diagram!$P16),SUMIFS(INDIRECT(ADDRESS(12,3+18*0+(9),,,"J1 A - (North) Bishopthorpe Roa")&amp;":"&amp;ADDRESS(130,3+18*0+(9))),'J1 A - (North) Bishopthorpe Roa'!$A$12:$A$130,"&gt;="&amp;Diagram!$O16,'J1 A - (North) Bishopthorpe Roa'!$A$12:$A$130,"&lt;"&amp;Diagram!$P16)))</f>
        <v>0</v>
      </c>
      <c r="AL16" s="42">
        <f ca="1">IF(OR($I$10="",$O16="",$P16="",$J$36&lt;&gt;"Yes"),0,IF($K$10=0,SUMIFS(INDIRECT(ADDRESS(12,3+18*1+(1),,,"J1 A - (North) Bishopthorpe Roa")&amp;":"&amp;ADDRESS(130,3+18*1+(1))),'J1 A - (North) Bishopthorpe Roa'!$A$12:$A$130,"&gt;="&amp;Diagram!$O16,'J1 A - (North) Bishopthorpe Roa'!$A$12:$A$130,"&lt;"&amp;Diagram!$P16),SUMIFS(INDIRECT(ADDRESS(12,3+18*1+(9),,,"J1 A - (North) Bishopthorpe Roa")&amp;":"&amp;ADDRESS(130,3+18*1+(9))),'J1 A - (North) Bishopthorpe Roa'!$A$12:$A$130,"&gt;="&amp;Diagram!$O16,'J1 A - (North) Bishopthorpe Roa'!$A$12:$A$130,"&lt;"&amp;Diagram!$P16)))</f>
        <v>0</v>
      </c>
      <c r="AM16" s="42">
        <f ca="1">IF(OR($I$10="",$O16="",$P16="",$J$36&lt;&gt;"Yes"),0,IF($K$10=0,SUMIFS(INDIRECT(ADDRESS(12,3+18*2+(1),,,"J1 A - (North) Bishopthorpe Roa")&amp;":"&amp;ADDRESS(130,3+18*2+(1))),'J1 A - (North) Bishopthorpe Roa'!$A$12:$A$130,"&gt;="&amp;Diagram!$O16,'J1 A - (North) Bishopthorpe Roa'!$A$12:$A$130,"&lt;"&amp;Diagram!$P16),SUMIFS(INDIRECT(ADDRESS(12,3+18*2+(9),,,"J1 A - (North) Bishopthorpe Roa")&amp;":"&amp;ADDRESS(130,3+18*2+(9))),'J1 A - (North) Bishopthorpe Roa'!$A$12:$A$130,"&gt;="&amp;Diagram!$O16,'J1 A - (North) Bishopthorpe Roa'!$A$12:$A$130,"&lt;"&amp;Diagram!$P16)))</f>
        <v>0</v>
      </c>
      <c r="AN16" s="42">
        <f ca="1">IF(OR($I$10="",$O16="",$P16="",$J$36&lt;&gt;"Yes"),0,IF($K$10=0,SUMIFS(INDIRECT(ADDRESS(12,3+18*2+(1),,,"J1 B - Butcher Terrace")&amp;":"&amp;ADDRESS(130,3+18*2+(1))),'J1 B - Butcher Terrace'!$A$12:$A$130,"&gt;="&amp;Diagram!$O16,'J1 B - Butcher Terrace'!$A$12:$A$130,"&lt;"&amp;Diagram!$P16),SUMIFS(INDIRECT(ADDRESS(12,3+18*2+(9),,,"J1 B - Butcher Terrace")&amp;":"&amp;ADDRESS(130,3+18*2+(9))),'J1 B - Butcher Terrace'!$A$12:$A$130,"&gt;="&amp;Diagram!$O16,'J1 B - Butcher Terrace'!$A$12:$A$130,"&lt;"&amp;Diagram!$P16)))</f>
        <v>0</v>
      </c>
      <c r="AO16" s="42">
        <f ca="1">IF(OR($I$10="",$O16="",$P16="",$J$36&lt;&gt;"Yes"),0,IF($K$10=0,SUMIFS(INDIRECT(ADDRESS(12,3+18*3+(1),,,"J1 B - Butcher Terrace")&amp;":"&amp;ADDRESS(130,3+18*3+(1))),'J1 B - Butcher Terrace'!$A$12:$A$130,"&gt;="&amp;Diagram!$O16,'J1 B - Butcher Terrace'!$A$12:$A$130,"&lt;"&amp;Diagram!$P16),SUMIFS(INDIRECT(ADDRESS(12,3+18*3+(9),,,"J1 B - Butcher Terrace")&amp;":"&amp;ADDRESS(130,3+18*3+(9))),'J1 B - Butcher Terrace'!$A$12:$A$130,"&gt;="&amp;Diagram!$O16,'J1 B - Butcher Terrace'!$A$12:$A$130,"&lt;"&amp;Diagram!$P16)))</f>
        <v>0</v>
      </c>
      <c r="AP16" s="42">
        <f ca="1">IF(OR($I$10="",$O16="",$P16="",$J$36&lt;&gt;"Yes"),0,IF($K$10=0,SUMIFS(INDIRECT(ADDRESS(12,3+18*0+(1),,,"J1 B - Butcher Terrace")&amp;":"&amp;ADDRESS(130,3+18*0+(1))),'J1 B - Butcher Terrace'!$A$12:$A$130,"&gt;="&amp;Diagram!$O16,'J1 B - Butcher Terrace'!$A$12:$A$130,"&lt;"&amp;Diagram!$P16),SUMIFS(INDIRECT(ADDRESS(12,3+18*0+(9),,,"J1 B - Butcher Terrace")&amp;":"&amp;ADDRESS(130,3+18*0+(9))),'J1 B - Butcher Terrace'!$A$12:$A$130,"&gt;="&amp;Diagram!$O16,'J1 B - Butcher Terrace'!$A$12:$A$130,"&lt;"&amp;Diagram!$P16)))</f>
        <v>0</v>
      </c>
      <c r="AQ16" s="42">
        <f ca="1">IF(OR($I$10="",$O16="",$P16="",$J$36&lt;&gt;"Yes"),0,IF($K$10=0,SUMIFS(INDIRECT(ADDRESS(12,3+18*1+(1),,,"J1 B - Butcher Terrace")&amp;":"&amp;ADDRESS(130,3+18*1+(1))),'J1 B - Butcher Terrace'!$A$12:$A$130,"&gt;="&amp;Diagram!$O16,'J1 B - Butcher Terrace'!$A$12:$A$130,"&lt;"&amp;Diagram!$P16),SUMIFS(INDIRECT(ADDRESS(12,3+18*1+(9),,,"J1 B - Butcher Terrace")&amp;":"&amp;ADDRESS(130,3+18*1+(9))),'J1 B - Butcher Terrace'!$A$12:$A$130,"&gt;="&amp;Diagram!$O16,'J1 B - Butcher Terrace'!$A$12:$A$130,"&lt;"&amp;Diagram!$P16)))</f>
        <v>0</v>
      </c>
      <c r="AR16" s="42">
        <f ca="1">IF(OR($I$10="",$O16="",$P16="",$J$36&lt;&gt;"Yes"),0,IF($K$10=0,SUMIFS(INDIRECT(ADDRESS(12,3+18*1+(1),,,"J1 C - (South) Bishopthorpe Roa")&amp;":"&amp;ADDRESS(130,3+18*1+(1))),'J1 C - (South) Bishopthorpe Roa'!$A$12:$A$130,"&gt;="&amp;Diagram!$O16,'J1 C - (South) Bishopthorpe Roa'!$A$12:$A$130,"&lt;"&amp;Diagram!$P16),SUMIFS(INDIRECT(ADDRESS(12,3+18*1+(9),,,"J1 C - (South) Bishopthorpe Roa")&amp;":"&amp;ADDRESS(130,3+18*1+(9))),'J1 C - (South) Bishopthorpe Roa'!$A$12:$A$130,"&gt;="&amp;Diagram!$O16,'J1 C - (South) Bishopthorpe Roa'!$A$12:$A$130,"&lt;"&amp;Diagram!$P16)))</f>
        <v>1</v>
      </c>
      <c r="AS16" s="42">
        <f ca="1">IF(OR($I$10="",$O16="",$P16="",$J$36&lt;&gt;"Yes"),0,IF($K$10=0,SUMIFS(INDIRECT(ADDRESS(12,3+18*2+(1),,,"J1 C - (South) Bishopthorpe Roa")&amp;":"&amp;ADDRESS(130,3+18*2+(1))),'J1 C - (South) Bishopthorpe Roa'!$A$12:$A$130,"&gt;="&amp;Diagram!$O16,'J1 C - (South) Bishopthorpe Roa'!$A$12:$A$130,"&lt;"&amp;Diagram!$P16),SUMIFS(INDIRECT(ADDRESS(12,3+18*2+(9),,,"J1 C - (South) Bishopthorpe Roa")&amp;":"&amp;ADDRESS(130,3+18*2+(9))),'J1 C - (South) Bishopthorpe Roa'!$A$12:$A$130,"&gt;="&amp;Diagram!$O16,'J1 C - (South) Bishopthorpe Roa'!$A$12:$A$130,"&lt;"&amp;Diagram!$P16)))</f>
        <v>0</v>
      </c>
      <c r="AT16" s="42">
        <f ca="1">IF(OR($I$10="",$O16="",$P16="",$J$36&lt;&gt;"Yes"),0,IF($K$10=0,SUMIFS(INDIRECT(ADDRESS(12,3+18*3+(1),,,"J1 C - (South) Bishopthorpe Roa")&amp;":"&amp;ADDRESS(130,3+18*3+(1))),'J1 C - (South) Bishopthorpe Roa'!$A$12:$A$130,"&gt;="&amp;Diagram!$O16,'J1 C - (South) Bishopthorpe Roa'!$A$12:$A$130,"&lt;"&amp;Diagram!$P16),SUMIFS(INDIRECT(ADDRESS(12,3+18*3+(9),,,"J1 C - (South) Bishopthorpe Roa")&amp;":"&amp;ADDRESS(130,3+18*3+(9))),'J1 C - (South) Bishopthorpe Roa'!$A$12:$A$130,"&gt;="&amp;Diagram!$O16,'J1 C - (South) Bishopthorpe Roa'!$A$12:$A$130,"&lt;"&amp;Diagram!$P16)))</f>
        <v>0</v>
      </c>
      <c r="AU16" s="42">
        <f ca="1">IF(OR($I$10="",$O16="",$P16="",$J$36&lt;&gt;"Yes"),0,IF($K$10=0,SUMIFS(INDIRECT(ADDRESS(12,3+18*0+(1),,,"J1 C - (South) Bishopthorpe Roa")&amp;":"&amp;ADDRESS(130,3+18*0+(1))),'J1 C - (South) Bishopthorpe Roa'!$A$12:$A$130,"&gt;="&amp;Diagram!$O16,'J1 C - (South) Bishopthorpe Roa'!$A$12:$A$130,"&lt;"&amp;Diagram!$P16),SUMIFS(INDIRECT(ADDRESS(12,3+18*0+(9),,,"J1 C - (South) Bishopthorpe Roa")&amp;":"&amp;ADDRESS(130,3+18*0+(9))),'J1 C - (South) Bishopthorpe Roa'!$A$12:$A$130,"&gt;="&amp;Diagram!$O16,'J1 C - (South) Bishopthorpe Roa'!$A$12:$A$130,"&lt;"&amp;Diagram!$P16)))</f>
        <v>0</v>
      </c>
      <c r="AV16" s="42">
        <f ca="1">IF(OR($I$10="",$O16="",$P16="",$J$36&lt;&gt;"Yes"),0,IF($K$10=0,SUMIFS(INDIRECT(ADDRESS(12,3+18*0+(1),,,"J1 D - South Bank Avenue")&amp;":"&amp;ADDRESS(130,3+18*0+(1))),'J1 D - South Bank Avenue'!$A$12:$A$130,"&gt;="&amp;Diagram!$O16,'J1 D - South Bank Avenue'!$A$12:$A$130,"&lt;"&amp;Diagram!$P16),SUMIFS(INDIRECT(ADDRESS(12,3+18*0+(9),,,"J1 D - South Bank Avenue")&amp;":"&amp;ADDRESS(130,3+18*0+(9))),'J1 D - South Bank Avenue'!$A$12:$A$130,"&gt;="&amp;Diagram!$O16,'J1 D - South Bank Avenue'!$A$12:$A$130,"&lt;"&amp;Diagram!$P16)))</f>
        <v>0</v>
      </c>
      <c r="AW16" s="42">
        <f ca="1">IF(OR($I$10="",$O16="",$P16="",$J$36&lt;&gt;"Yes"),0,IF($K$10=0,SUMIFS(INDIRECT(ADDRESS(12,3+18*1+(1),,,"J1 D - South Bank Avenue")&amp;":"&amp;ADDRESS(130,3+18*1+(1))),'J1 D - South Bank Avenue'!$A$12:$A$130,"&gt;="&amp;Diagram!$O16,'J1 D - South Bank Avenue'!$A$12:$A$130,"&lt;"&amp;Diagram!$P16),SUMIFS(INDIRECT(ADDRESS(12,3+18*1+(9),,,"J1 D - South Bank Avenue")&amp;":"&amp;ADDRESS(130,3+18*1+(9))),'J1 D - South Bank Avenue'!$A$12:$A$130,"&gt;="&amp;Diagram!$O16,'J1 D - South Bank Avenue'!$A$12:$A$130,"&lt;"&amp;Diagram!$P16)))</f>
        <v>0</v>
      </c>
      <c r="AX16" s="42">
        <f ca="1">IF(OR($I$10="",$O16="",$P16="",$J$36&lt;&gt;"Yes"),0,IF($K$10=0,SUMIFS(INDIRECT(ADDRESS(12,3+18*2+(1),,,"J1 D - South Bank Avenue")&amp;":"&amp;ADDRESS(130,3+18*2+(1))),'J1 D - South Bank Avenue'!$A$12:$A$130,"&gt;="&amp;Diagram!$O16,'J1 D - South Bank Avenue'!$A$12:$A$130,"&lt;"&amp;Diagram!$P16),SUMIFS(INDIRECT(ADDRESS(12,3+18*2+(9),,,"J1 D - South Bank Avenue")&amp;":"&amp;ADDRESS(130,3+18*2+(9))),'J1 D - South Bank Avenue'!$A$12:$A$130,"&gt;="&amp;Diagram!$O16,'J1 D - South Bank Avenue'!$A$12:$A$130,"&lt;"&amp;Diagram!$P16)))</f>
        <v>1</v>
      </c>
      <c r="AY16" s="42">
        <f ca="1">IF(OR($I$10="",$O16="",$P16="",$J$36&lt;&gt;"Yes"),0,IF($K$10=0,SUMIFS(INDIRECT(ADDRESS(12,3+18*3+(1),,,"J1 D - South Bank Avenue")&amp;":"&amp;ADDRESS(130,3+18*3+(1))),'J1 D - South Bank Avenue'!$A$12:$A$130,"&gt;="&amp;Diagram!$O16,'J1 D - South Bank Avenue'!$A$12:$A$130,"&lt;"&amp;Diagram!$P16),SUMIFS(INDIRECT(ADDRESS(12,3+18*3+(9),,,"J1 D - South Bank Avenue")&amp;":"&amp;ADDRESS(130,3+18*3+(9))),'J1 D - South Bank Avenue'!$A$12:$A$130,"&gt;="&amp;Diagram!$O16,'J1 D - South Bank Avenue'!$A$12:$A$130,"&lt;"&amp;Diagram!$P16)))</f>
        <v>0</v>
      </c>
      <c r="AZ16" s="42">
        <f t="shared" ca="1" si="3"/>
        <v>2</v>
      </c>
      <c r="BA16" s="42">
        <f ca="1">IF(OR($I$10="",$O16="",$P16="",$J$37&lt;&gt;"Yes"),0,IF($K$10=0,SUMIFS(INDIRECT(ADDRESS(12,3+18*3+(2),,,"J1 A - (North) Bishopthorpe Roa")&amp;":"&amp;ADDRESS(130,3+18*3+(2))),'J1 A - (North) Bishopthorpe Roa'!$A$12:$A$130,"&gt;="&amp;Diagram!$O16,'J1 A - (North) Bishopthorpe Roa'!$A$12:$A$130,"&lt;"&amp;Diagram!$P16),SUMIFS(INDIRECT(ADDRESS(12,3+18*3+(10),,,"J1 A - (North) Bishopthorpe Roa")&amp;":"&amp;ADDRESS(130,3+18*3+(10))),'J1 A - (North) Bishopthorpe Roa'!$A$12:$A$130,"&gt;="&amp;Diagram!$O16,'J1 A - (North) Bishopthorpe Roa'!$A$12:$A$130,"&lt;"&amp;Diagram!$P16)))</f>
        <v>0</v>
      </c>
      <c r="BB16" s="42">
        <f ca="1">IF(OR($I$10="",$O16="",$P16="",$J$37&lt;&gt;"Yes"),0,IF($K$10=0,SUMIFS(INDIRECT(ADDRESS(12,3+18*0+(2),,,"J1 A - (North) Bishopthorpe Roa")&amp;":"&amp;ADDRESS(130,3+18*0+(2))),'J1 A - (North) Bishopthorpe Roa'!$A$12:$A$130,"&gt;="&amp;Diagram!$O16,'J1 A - (North) Bishopthorpe Roa'!$A$12:$A$130,"&lt;"&amp;Diagram!$P16),SUMIFS(INDIRECT(ADDRESS(12,3+18*0+(10),,,"J1 A - (North) Bishopthorpe Roa")&amp;":"&amp;ADDRESS(130,3+18*0+(10))),'J1 A - (North) Bishopthorpe Roa'!$A$12:$A$130,"&gt;="&amp;Diagram!$O16,'J1 A - (North) Bishopthorpe Roa'!$A$12:$A$130,"&lt;"&amp;Diagram!$P16)))</f>
        <v>0</v>
      </c>
      <c r="BC16" s="42">
        <f ca="1">IF(OR($I$10="",$O16="",$P16="",$J$37&lt;&gt;"Yes"),0,IF($K$10=0,SUMIFS(INDIRECT(ADDRESS(12,3+18*1+(2),,,"J1 A - (North) Bishopthorpe Roa")&amp;":"&amp;ADDRESS(130,3+18*1+(2))),'J1 A - (North) Bishopthorpe Roa'!$A$12:$A$130,"&gt;="&amp;Diagram!$O16,'J1 A - (North) Bishopthorpe Roa'!$A$12:$A$130,"&lt;"&amp;Diagram!$P16),SUMIFS(INDIRECT(ADDRESS(12,3+18*1+(10),,,"J1 A - (North) Bishopthorpe Roa")&amp;":"&amp;ADDRESS(130,3+18*1+(10))),'J1 A - (North) Bishopthorpe Roa'!$A$12:$A$130,"&gt;="&amp;Diagram!$O16,'J1 A - (North) Bishopthorpe Roa'!$A$12:$A$130,"&lt;"&amp;Diagram!$P16)))</f>
        <v>1</v>
      </c>
      <c r="BD16" s="42">
        <f ca="1">IF(OR($I$10="",$O16="",$P16="",$J$37&lt;&gt;"Yes"),0,IF($K$10=0,SUMIFS(INDIRECT(ADDRESS(12,3+18*2+(2),,,"J1 A - (North) Bishopthorpe Roa")&amp;":"&amp;ADDRESS(130,3+18*2+(2))),'J1 A - (North) Bishopthorpe Roa'!$A$12:$A$130,"&gt;="&amp;Diagram!$O16,'J1 A - (North) Bishopthorpe Roa'!$A$12:$A$130,"&lt;"&amp;Diagram!$P16),SUMIFS(INDIRECT(ADDRESS(12,3+18*2+(10),,,"J1 A - (North) Bishopthorpe Roa")&amp;":"&amp;ADDRESS(130,3+18*2+(10))),'J1 A - (North) Bishopthorpe Roa'!$A$12:$A$130,"&gt;="&amp;Diagram!$O16,'J1 A - (North) Bishopthorpe Roa'!$A$12:$A$130,"&lt;"&amp;Diagram!$P16)))</f>
        <v>0</v>
      </c>
      <c r="BE16" s="42">
        <f ca="1">IF(OR($I$10="",$O16="",$P16="",$J$37&lt;&gt;"Yes"),0,IF($K$10=0,SUMIFS(INDIRECT(ADDRESS(12,3+18*2+(2),,,"J1 B - Butcher Terrace")&amp;":"&amp;ADDRESS(130,3+18*2+(2))),'J1 B - Butcher Terrace'!$A$12:$A$130,"&gt;="&amp;Diagram!$O16,'J1 B - Butcher Terrace'!$A$12:$A$130,"&lt;"&amp;Diagram!$P16),SUMIFS(INDIRECT(ADDRESS(12,3+18*2+(10),,,"J1 B - Butcher Terrace")&amp;":"&amp;ADDRESS(130,3+18*2+(10))),'J1 B - Butcher Terrace'!$A$12:$A$130,"&gt;="&amp;Diagram!$O16,'J1 B - Butcher Terrace'!$A$12:$A$130,"&lt;"&amp;Diagram!$P16)))</f>
        <v>0</v>
      </c>
      <c r="BF16" s="42">
        <f ca="1">IF(OR($I$10="",$O16="",$P16="",$J$37&lt;&gt;"Yes"),0,IF($K$10=0,SUMIFS(INDIRECT(ADDRESS(12,3+18*3+(2),,,"J1 B - Butcher Terrace")&amp;":"&amp;ADDRESS(130,3+18*3+(2))),'J1 B - Butcher Terrace'!$A$12:$A$130,"&gt;="&amp;Diagram!$O16,'J1 B - Butcher Terrace'!$A$12:$A$130,"&lt;"&amp;Diagram!$P16),SUMIFS(INDIRECT(ADDRESS(12,3+18*3+(10),,,"J1 B - Butcher Terrace")&amp;":"&amp;ADDRESS(130,3+18*3+(10))),'J1 B - Butcher Terrace'!$A$12:$A$130,"&gt;="&amp;Diagram!$O16,'J1 B - Butcher Terrace'!$A$12:$A$130,"&lt;"&amp;Diagram!$P16)))</f>
        <v>0</v>
      </c>
      <c r="BG16" s="42">
        <f ca="1">IF(OR($I$10="",$O16="",$P16="",$J$37&lt;&gt;"Yes"),0,IF($K$10=0,SUMIFS(INDIRECT(ADDRESS(12,3+18*0+(2),,,"J1 B - Butcher Terrace")&amp;":"&amp;ADDRESS(130,3+18*0+(2))),'J1 B - Butcher Terrace'!$A$12:$A$130,"&gt;="&amp;Diagram!$O16,'J1 B - Butcher Terrace'!$A$12:$A$130,"&lt;"&amp;Diagram!$P16),SUMIFS(INDIRECT(ADDRESS(12,3+18*0+(10),,,"J1 B - Butcher Terrace")&amp;":"&amp;ADDRESS(130,3+18*0+(10))),'J1 B - Butcher Terrace'!$A$12:$A$130,"&gt;="&amp;Diagram!$O16,'J1 B - Butcher Terrace'!$A$12:$A$130,"&lt;"&amp;Diagram!$P16)))</f>
        <v>0</v>
      </c>
      <c r="BH16" s="42">
        <f ca="1">IF(OR($I$10="",$O16="",$P16="",$J$37&lt;&gt;"Yes"),0,IF($K$10=0,SUMIFS(INDIRECT(ADDRESS(12,3+18*1+(2),,,"J1 B - Butcher Terrace")&amp;":"&amp;ADDRESS(130,3+18*1+(2))),'J1 B - Butcher Terrace'!$A$12:$A$130,"&gt;="&amp;Diagram!$O16,'J1 B - Butcher Terrace'!$A$12:$A$130,"&lt;"&amp;Diagram!$P16),SUMIFS(INDIRECT(ADDRESS(12,3+18*1+(10),,,"J1 B - Butcher Terrace")&amp;":"&amp;ADDRESS(130,3+18*1+(10))),'J1 B - Butcher Terrace'!$A$12:$A$130,"&gt;="&amp;Diagram!$O16,'J1 B - Butcher Terrace'!$A$12:$A$130,"&lt;"&amp;Diagram!$P16)))</f>
        <v>0</v>
      </c>
      <c r="BI16" s="42">
        <f ca="1">IF(OR($I$10="",$O16="",$P16="",$J$37&lt;&gt;"Yes"),0,IF($K$10=0,SUMIFS(INDIRECT(ADDRESS(12,3+18*1+(2),,,"J1 C - (South) Bishopthorpe Roa")&amp;":"&amp;ADDRESS(130,3+18*1+(2))),'J1 C - (South) Bishopthorpe Roa'!$A$12:$A$130,"&gt;="&amp;Diagram!$O16,'J1 C - (South) Bishopthorpe Roa'!$A$12:$A$130,"&lt;"&amp;Diagram!$P16),SUMIFS(INDIRECT(ADDRESS(12,3+18*1+(10),,,"J1 C - (South) Bishopthorpe Roa")&amp;":"&amp;ADDRESS(130,3+18*1+(10))),'J1 C - (South) Bishopthorpe Roa'!$A$12:$A$130,"&gt;="&amp;Diagram!$O16,'J1 C - (South) Bishopthorpe Roa'!$A$12:$A$130,"&lt;"&amp;Diagram!$P16)))</f>
        <v>1</v>
      </c>
      <c r="BJ16" s="42">
        <f ca="1">IF(OR($I$10="",$O16="",$P16="",$J$37&lt;&gt;"Yes"),0,IF($K$10=0,SUMIFS(INDIRECT(ADDRESS(12,3+18*2+(2),,,"J1 C - (South) Bishopthorpe Roa")&amp;":"&amp;ADDRESS(130,3+18*2+(2))),'J1 C - (South) Bishopthorpe Roa'!$A$12:$A$130,"&gt;="&amp;Diagram!$O16,'J1 C - (South) Bishopthorpe Roa'!$A$12:$A$130,"&lt;"&amp;Diagram!$P16),SUMIFS(INDIRECT(ADDRESS(12,3+18*2+(10),,,"J1 C - (South) Bishopthorpe Roa")&amp;":"&amp;ADDRESS(130,3+18*2+(10))),'J1 C - (South) Bishopthorpe Roa'!$A$12:$A$130,"&gt;="&amp;Diagram!$O16,'J1 C - (South) Bishopthorpe Roa'!$A$12:$A$130,"&lt;"&amp;Diagram!$P16)))</f>
        <v>0</v>
      </c>
      <c r="BK16" s="42">
        <f ca="1">IF(OR($I$10="",$O16="",$P16="",$J$37&lt;&gt;"Yes"),0,IF($K$10=0,SUMIFS(INDIRECT(ADDRESS(12,3+18*3+(2),,,"J1 C - (South) Bishopthorpe Roa")&amp;":"&amp;ADDRESS(130,3+18*3+(2))),'J1 C - (South) Bishopthorpe Roa'!$A$12:$A$130,"&gt;="&amp;Diagram!$O16,'J1 C - (South) Bishopthorpe Roa'!$A$12:$A$130,"&lt;"&amp;Diagram!$P16),SUMIFS(INDIRECT(ADDRESS(12,3+18*3+(10),,,"J1 C - (South) Bishopthorpe Roa")&amp;":"&amp;ADDRESS(130,3+18*3+(10))),'J1 C - (South) Bishopthorpe Roa'!$A$12:$A$130,"&gt;="&amp;Diagram!$O16,'J1 C - (South) Bishopthorpe Roa'!$A$12:$A$130,"&lt;"&amp;Diagram!$P16)))</f>
        <v>0</v>
      </c>
      <c r="BL16" s="42">
        <f ca="1">IF(OR($I$10="",$O16="",$P16="",$J$37&lt;&gt;"Yes"),0,IF($K$10=0,SUMIFS(INDIRECT(ADDRESS(12,3+18*0+(2),,,"J1 C - (South) Bishopthorpe Roa")&amp;":"&amp;ADDRESS(130,3+18*0+(2))),'J1 C - (South) Bishopthorpe Roa'!$A$12:$A$130,"&gt;="&amp;Diagram!$O16,'J1 C - (South) Bishopthorpe Roa'!$A$12:$A$130,"&lt;"&amp;Diagram!$P16),SUMIFS(INDIRECT(ADDRESS(12,3+18*0+(10),,,"J1 C - (South) Bishopthorpe Roa")&amp;":"&amp;ADDRESS(130,3+18*0+(10))),'J1 C - (South) Bishopthorpe Roa'!$A$12:$A$130,"&gt;="&amp;Diagram!$O16,'J1 C - (South) Bishopthorpe Roa'!$A$12:$A$130,"&lt;"&amp;Diagram!$P16)))</f>
        <v>0</v>
      </c>
      <c r="BM16" s="42">
        <f ca="1">IF(OR($I$10="",$O16="",$P16="",$J$37&lt;&gt;"Yes"),0,IF($K$10=0,SUMIFS(INDIRECT(ADDRESS(12,3+18*0+(2),,,"J1 D - South Bank Avenue")&amp;":"&amp;ADDRESS(130,3+18*0+(2))),'J1 D - South Bank Avenue'!$A$12:$A$130,"&gt;="&amp;Diagram!$O16,'J1 D - South Bank Avenue'!$A$12:$A$130,"&lt;"&amp;Diagram!$P16),SUMIFS(INDIRECT(ADDRESS(12,3+18*0+(10),,,"J1 D - South Bank Avenue")&amp;":"&amp;ADDRESS(130,3+18*0+(10))),'J1 D - South Bank Avenue'!$A$12:$A$130,"&gt;="&amp;Diagram!$O16,'J1 D - South Bank Avenue'!$A$12:$A$130,"&lt;"&amp;Diagram!$P16)))</f>
        <v>0</v>
      </c>
      <c r="BN16" s="42">
        <f ca="1">IF(OR($I$10="",$O16="",$P16="",$J$37&lt;&gt;"Yes"),0,IF($K$10=0,SUMIFS(INDIRECT(ADDRESS(12,3+18*1+(2),,,"J1 D - South Bank Avenue")&amp;":"&amp;ADDRESS(130,3+18*1+(2))),'J1 D - South Bank Avenue'!$A$12:$A$130,"&gt;="&amp;Diagram!$O16,'J1 D - South Bank Avenue'!$A$12:$A$130,"&lt;"&amp;Diagram!$P16),SUMIFS(INDIRECT(ADDRESS(12,3+18*1+(10),,,"J1 D - South Bank Avenue")&amp;":"&amp;ADDRESS(130,3+18*1+(10))),'J1 D - South Bank Avenue'!$A$12:$A$130,"&gt;="&amp;Diagram!$O16,'J1 D - South Bank Avenue'!$A$12:$A$130,"&lt;"&amp;Diagram!$P16)))</f>
        <v>0</v>
      </c>
      <c r="BO16" s="42">
        <f ca="1">IF(OR($I$10="",$O16="",$P16="",$J$37&lt;&gt;"Yes"),0,IF($K$10=0,SUMIFS(INDIRECT(ADDRESS(12,3+18*2+(2),,,"J1 D - South Bank Avenue")&amp;":"&amp;ADDRESS(130,3+18*2+(2))),'J1 D - South Bank Avenue'!$A$12:$A$130,"&gt;="&amp;Diagram!$O16,'J1 D - South Bank Avenue'!$A$12:$A$130,"&lt;"&amp;Diagram!$P16),SUMIFS(INDIRECT(ADDRESS(12,3+18*2+(10),,,"J1 D - South Bank Avenue")&amp;":"&amp;ADDRESS(130,3+18*2+(10))),'J1 D - South Bank Avenue'!$A$12:$A$130,"&gt;="&amp;Diagram!$O16,'J1 D - South Bank Avenue'!$A$12:$A$130,"&lt;"&amp;Diagram!$P16)))</f>
        <v>0</v>
      </c>
      <c r="BP16" s="42">
        <f ca="1">IF(OR($I$10="",$O16="",$P16="",$J$37&lt;&gt;"Yes"),0,IF($K$10=0,SUMIFS(INDIRECT(ADDRESS(12,3+18*3+(2),,,"J1 D - South Bank Avenue")&amp;":"&amp;ADDRESS(130,3+18*3+(2))),'J1 D - South Bank Avenue'!$A$12:$A$130,"&gt;="&amp;Diagram!$O16,'J1 D - South Bank Avenue'!$A$12:$A$130,"&lt;"&amp;Diagram!$P16),SUMIFS(INDIRECT(ADDRESS(12,3+18*3+(10),,,"J1 D - South Bank Avenue")&amp;":"&amp;ADDRESS(130,3+18*3+(10))),'J1 D - South Bank Avenue'!$A$12:$A$130,"&gt;="&amp;Diagram!$O16,'J1 D - South Bank Avenue'!$A$12:$A$130,"&lt;"&amp;Diagram!$P16)))</f>
        <v>0</v>
      </c>
      <c r="BQ16" s="42">
        <f t="shared" ca="1" si="4"/>
        <v>0</v>
      </c>
      <c r="BR16" s="42">
        <f ca="1">IF(OR($I$10="",$O16="",$P16="",$J$38&lt;&gt;"Yes"),0,IF($K$10=0,SUMIFS(INDIRECT(ADDRESS(12,3+18*3+(3),,,"J1 A - (North) Bishopthorpe Roa")&amp;":"&amp;ADDRESS(130,3+18*3+(3))),'J1 A - (North) Bishopthorpe Roa'!$A$12:$A$130,"&gt;="&amp;Diagram!$O16,'J1 A - (North) Bishopthorpe Roa'!$A$12:$A$130,"&lt;"&amp;Diagram!$P16),SUMIFS(INDIRECT(ADDRESS(12,3+18*3+(11),,,"J1 A - (North) Bishopthorpe Roa")&amp;":"&amp;ADDRESS(130,3+18*3+(11))),'J1 A - (North) Bishopthorpe Roa'!$A$12:$A$130,"&gt;="&amp;Diagram!$O16,'J1 A - (North) Bishopthorpe Roa'!$A$12:$A$130,"&lt;"&amp;Diagram!$P16)))</f>
        <v>0</v>
      </c>
      <c r="BS16" s="42">
        <f ca="1">IF(OR($I$10="",$O16="",$P16="",$J$38&lt;&gt;"Yes"),0,IF($K$10=0,SUMIFS(INDIRECT(ADDRESS(12,3+18*0+(3),,,"J1 A - (North) Bishopthorpe Roa")&amp;":"&amp;ADDRESS(130,3+18*0+(3))),'J1 A - (North) Bishopthorpe Roa'!$A$12:$A$130,"&gt;="&amp;Diagram!$O16,'J1 A - (North) Bishopthorpe Roa'!$A$12:$A$130,"&lt;"&amp;Diagram!$P16),SUMIFS(INDIRECT(ADDRESS(12,3+18*0+(11),,,"J1 A - (North) Bishopthorpe Roa")&amp;":"&amp;ADDRESS(130,3+18*0+(11))),'J1 A - (North) Bishopthorpe Roa'!$A$12:$A$130,"&gt;="&amp;Diagram!$O16,'J1 A - (North) Bishopthorpe Roa'!$A$12:$A$130,"&lt;"&amp;Diagram!$P16)))</f>
        <v>0</v>
      </c>
      <c r="BT16" s="42">
        <f ca="1">IF(OR($I$10="",$O16="",$P16="",$J$38&lt;&gt;"Yes"),0,IF($K$10=0,SUMIFS(INDIRECT(ADDRESS(12,3+18*1+(3),,,"J1 A - (North) Bishopthorpe Roa")&amp;":"&amp;ADDRESS(130,3+18*1+(3))),'J1 A - (North) Bishopthorpe Roa'!$A$12:$A$130,"&gt;="&amp;Diagram!$O16,'J1 A - (North) Bishopthorpe Roa'!$A$12:$A$130,"&lt;"&amp;Diagram!$P16),SUMIFS(INDIRECT(ADDRESS(12,3+18*1+(11),,,"J1 A - (North) Bishopthorpe Roa")&amp;":"&amp;ADDRESS(130,3+18*1+(11))),'J1 A - (North) Bishopthorpe Roa'!$A$12:$A$130,"&gt;="&amp;Diagram!$O16,'J1 A - (North) Bishopthorpe Roa'!$A$12:$A$130,"&lt;"&amp;Diagram!$P16)))</f>
        <v>0</v>
      </c>
      <c r="BU16" s="42">
        <f ca="1">IF(OR($I$10="",$O16="",$P16="",$J$38&lt;&gt;"Yes"),0,IF($K$10=0,SUMIFS(INDIRECT(ADDRESS(12,3+18*2+(3),,,"J1 A - (North) Bishopthorpe Roa")&amp;":"&amp;ADDRESS(130,3+18*2+(3))),'J1 A - (North) Bishopthorpe Roa'!$A$12:$A$130,"&gt;="&amp;Diagram!$O16,'J1 A - (North) Bishopthorpe Roa'!$A$12:$A$130,"&lt;"&amp;Diagram!$P16),SUMIFS(INDIRECT(ADDRESS(12,3+18*2+(11),,,"J1 A - (North) Bishopthorpe Roa")&amp;":"&amp;ADDRESS(130,3+18*2+(11))),'J1 A - (North) Bishopthorpe Roa'!$A$12:$A$130,"&gt;="&amp;Diagram!$O16,'J1 A - (North) Bishopthorpe Roa'!$A$12:$A$130,"&lt;"&amp;Diagram!$P16)))</f>
        <v>0</v>
      </c>
      <c r="BV16" s="42">
        <f ca="1">IF(OR($I$10="",$O16="",$P16="",$J$38&lt;&gt;"Yes"),0,IF($K$10=0,SUMIFS(INDIRECT(ADDRESS(12,3+18*2+(3),,,"J1 B - Butcher Terrace")&amp;":"&amp;ADDRESS(130,3+18*2+(3))),'J1 B - Butcher Terrace'!$A$12:$A$130,"&gt;="&amp;Diagram!$O16,'J1 B - Butcher Terrace'!$A$12:$A$130,"&lt;"&amp;Diagram!$P16),SUMIFS(INDIRECT(ADDRESS(12,3+18*2+(11),,,"J1 B - Butcher Terrace")&amp;":"&amp;ADDRESS(130,3+18*2+(11))),'J1 B - Butcher Terrace'!$A$12:$A$130,"&gt;="&amp;Diagram!$O16,'J1 B - Butcher Terrace'!$A$12:$A$130,"&lt;"&amp;Diagram!$P16)))</f>
        <v>0</v>
      </c>
      <c r="BW16" s="42">
        <f ca="1">IF(OR($I$10="",$O16="",$P16="",$J$38&lt;&gt;"Yes"),0,IF($K$10=0,SUMIFS(INDIRECT(ADDRESS(12,3+18*3+(3),,,"J1 B - Butcher Terrace")&amp;":"&amp;ADDRESS(130,3+18*3+(3))),'J1 B - Butcher Terrace'!$A$12:$A$130,"&gt;="&amp;Diagram!$O16,'J1 B - Butcher Terrace'!$A$12:$A$130,"&lt;"&amp;Diagram!$P16),SUMIFS(INDIRECT(ADDRESS(12,3+18*3+(11),,,"J1 B - Butcher Terrace")&amp;":"&amp;ADDRESS(130,3+18*3+(11))),'J1 B - Butcher Terrace'!$A$12:$A$130,"&gt;="&amp;Diagram!$O16,'J1 B - Butcher Terrace'!$A$12:$A$130,"&lt;"&amp;Diagram!$P16)))</f>
        <v>0</v>
      </c>
      <c r="BX16" s="42">
        <f ca="1">IF(OR($I$10="",$O16="",$P16="",$J$38&lt;&gt;"Yes"),0,IF($K$10=0,SUMIFS(INDIRECT(ADDRESS(12,3+18*0+(3),,,"J1 B - Butcher Terrace")&amp;":"&amp;ADDRESS(130,3+18*0+(3))),'J1 B - Butcher Terrace'!$A$12:$A$130,"&gt;="&amp;Diagram!$O16,'J1 B - Butcher Terrace'!$A$12:$A$130,"&lt;"&amp;Diagram!$P16),SUMIFS(INDIRECT(ADDRESS(12,3+18*0+(11),,,"J1 B - Butcher Terrace")&amp;":"&amp;ADDRESS(130,3+18*0+(11))),'J1 B - Butcher Terrace'!$A$12:$A$130,"&gt;="&amp;Diagram!$O16,'J1 B - Butcher Terrace'!$A$12:$A$130,"&lt;"&amp;Diagram!$P16)))</f>
        <v>0</v>
      </c>
      <c r="BY16" s="42">
        <f ca="1">IF(OR($I$10="",$O16="",$P16="",$J$38&lt;&gt;"Yes"),0,IF($K$10=0,SUMIFS(INDIRECT(ADDRESS(12,3+18*1+(3),,,"J1 B - Butcher Terrace")&amp;":"&amp;ADDRESS(130,3+18*1+(3))),'J1 B - Butcher Terrace'!$A$12:$A$130,"&gt;="&amp;Diagram!$O16,'J1 B - Butcher Terrace'!$A$12:$A$130,"&lt;"&amp;Diagram!$P16),SUMIFS(INDIRECT(ADDRESS(12,3+18*1+(11),,,"J1 B - Butcher Terrace")&amp;":"&amp;ADDRESS(130,3+18*1+(11))),'J1 B - Butcher Terrace'!$A$12:$A$130,"&gt;="&amp;Diagram!$O16,'J1 B - Butcher Terrace'!$A$12:$A$130,"&lt;"&amp;Diagram!$P16)))</f>
        <v>0</v>
      </c>
      <c r="BZ16" s="42">
        <f ca="1">IF(OR($I$10="",$O16="",$P16="",$J$38&lt;&gt;"Yes"),0,IF($K$10=0,SUMIFS(INDIRECT(ADDRESS(12,3+18*1+(3),,,"J1 C - (South) Bishopthorpe Roa")&amp;":"&amp;ADDRESS(130,3+18*1+(3))),'J1 C - (South) Bishopthorpe Roa'!$A$12:$A$130,"&gt;="&amp;Diagram!$O16,'J1 C - (South) Bishopthorpe Roa'!$A$12:$A$130,"&lt;"&amp;Diagram!$P16),SUMIFS(INDIRECT(ADDRESS(12,3+18*1+(11),,,"J1 C - (South) Bishopthorpe Roa")&amp;":"&amp;ADDRESS(130,3+18*1+(11))),'J1 C - (South) Bishopthorpe Roa'!$A$12:$A$130,"&gt;="&amp;Diagram!$O16,'J1 C - (South) Bishopthorpe Roa'!$A$12:$A$130,"&lt;"&amp;Diagram!$P16)))</f>
        <v>0</v>
      </c>
      <c r="CA16" s="42">
        <f ca="1">IF(OR($I$10="",$O16="",$P16="",$J$38&lt;&gt;"Yes"),0,IF($K$10=0,SUMIFS(INDIRECT(ADDRESS(12,3+18*2+(3),,,"J1 C - (South) Bishopthorpe Roa")&amp;":"&amp;ADDRESS(130,3+18*2+(3))),'J1 C - (South) Bishopthorpe Roa'!$A$12:$A$130,"&gt;="&amp;Diagram!$O16,'J1 C - (South) Bishopthorpe Roa'!$A$12:$A$130,"&lt;"&amp;Diagram!$P16),SUMIFS(INDIRECT(ADDRESS(12,3+18*2+(11),,,"J1 C - (South) Bishopthorpe Roa")&amp;":"&amp;ADDRESS(130,3+18*2+(11))),'J1 C - (South) Bishopthorpe Roa'!$A$12:$A$130,"&gt;="&amp;Diagram!$O16,'J1 C - (South) Bishopthorpe Roa'!$A$12:$A$130,"&lt;"&amp;Diagram!$P16)))</f>
        <v>0</v>
      </c>
      <c r="CB16" s="42">
        <f ca="1">IF(OR($I$10="",$O16="",$P16="",$J$38&lt;&gt;"Yes"),0,IF($K$10=0,SUMIFS(INDIRECT(ADDRESS(12,3+18*3+(3),,,"J1 C - (South) Bishopthorpe Roa")&amp;":"&amp;ADDRESS(130,3+18*3+(3))),'J1 C - (South) Bishopthorpe Roa'!$A$12:$A$130,"&gt;="&amp;Diagram!$O16,'J1 C - (South) Bishopthorpe Roa'!$A$12:$A$130,"&lt;"&amp;Diagram!$P16),SUMIFS(INDIRECT(ADDRESS(12,3+18*3+(11),,,"J1 C - (South) Bishopthorpe Roa")&amp;":"&amp;ADDRESS(130,3+18*3+(11))),'J1 C - (South) Bishopthorpe Roa'!$A$12:$A$130,"&gt;="&amp;Diagram!$O16,'J1 C - (South) Bishopthorpe Roa'!$A$12:$A$130,"&lt;"&amp;Diagram!$P16)))</f>
        <v>0</v>
      </c>
      <c r="CC16" s="42">
        <f ca="1">IF(OR($I$10="",$O16="",$P16="",$J$38&lt;&gt;"Yes"),0,IF($K$10=0,SUMIFS(INDIRECT(ADDRESS(12,3+18*0+(3),,,"J1 C - (South) Bishopthorpe Roa")&amp;":"&amp;ADDRESS(130,3+18*0+(3))),'J1 C - (South) Bishopthorpe Roa'!$A$12:$A$130,"&gt;="&amp;Diagram!$O16,'J1 C - (South) Bishopthorpe Roa'!$A$12:$A$130,"&lt;"&amp;Diagram!$P16),SUMIFS(INDIRECT(ADDRESS(12,3+18*0+(11),,,"J1 C - (South) Bishopthorpe Roa")&amp;":"&amp;ADDRESS(130,3+18*0+(11))),'J1 C - (South) Bishopthorpe Roa'!$A$12:$A$130,"&gt;="&amp;Diagram!$O16,'J1 C - (South) Bishopthorpe Roa'!$A$12:$A$130,"&lt;"&amp;Diagram!$P16)))</f>
        <v>0</v>
      </c>
      <c r="CD16" s="42">
        <f ca="1">IF(OR($I$10="",$O16="",$P16="",$J$38&lt;&gt;"Yes"),0,IF($K$10=0,SUMIFS(INDIRECT(ADDRESS(12,3+18*0+(3),,,"J1 D - South Bank Avenue")&amp;":"&amp;ADDRESS(130,3+18*0+(3))),'J1 D - South Bank Avenue'!$A$12:$A$130,"&gt;="&amp;Diagram!$O16,'J1 D - South Bank Avenue'!$A$12:$A$130,"&lt;"&amp;Diagram!$P16),SUMIFS(INDIRECT(ADDRESS(12,3+18*0+(11),,,"J1 D - South Bank Avenue")&amp;":"&amp;ADDRESS(130,3+18*0+(11))),'J1 D - South Bank Avenue'!$A$12:$A$130,"&gt;="&amp;Diagram!$O16,'J1 D - South Bank Avenue'!$A$12:$A$130,"&lt;"&amp;Diagram!$P16)))</f>
        <v>0</v>
      </c>
      <c r="CE16" s="42">
        <f ca="1">IF(OR($I$10="",$O16="",$P16="",$J$38&lt;&gt;"Yes"),0,IF($K$10=0,SUMIFS(INDIRECT(ADDRESS(12,3+18*1+(3),,,"J1 D - South Bank Avenue")&amp;":"&amp;ADDRESS(130,3+18*1+(3))),'J1 D - South Bank Avenue'!$A$12:$A$130,"&gt;="&amp;Diagram!$O16,'J1 D - South Bank Avenue'!$A$12:$A$130,"&lt;"&amp;Diagram!$P16),SUMIFS(INDIRECT(ADDRESS(12,3+18*1+(11),,,"J1 D - South Bank Avenue")&amp;":"&amp;ADDRESS(130,3+18*1+(11))),'J1 D - South Bank Avenue'!$A$12:$A$130,"&gt;="&amp;Diagram!$O16,'J1 D - South Bank Avenue'!$A$12:$A$130,"&lt;"&amp;Diagram!$P16)))</f>
        <v>0</v>
      </c>
      <c r="CF16" s="42">
        <f ca="1">IF(OR($I$10="",$O16="",$P16="",$J$38&lt;&gt;"Yes"),0,IF($K$10=0,SUMIFS(INDIRECT(ADDRESS(12,3+18*2+(3),,,"J1 D - South Bank Avenue")&amp;":"&amp;ADDRESS(130,3+18*2+(3))),'J1 D - South Bank Avenue'!$A$12:$A$130,"&gt;="&amp;Diagram!$O16,'J1 D - South Bank Avenue'!$A$12:$A$130,"&lt;"&amp;Diagram!$P16),SUMIFS(INDIRECT(ADDRESS(12,3+18*2+(11),,,"J1 D - South Bank Avenue")&amp;":"&amp;ADDRESS(130,3+18*2+(11))),'J1 D - South Bank Avenue'!$A$12:$A$130,"&gt;="&amp;Diagram!$O16,'J1 D - South Bank Avenue'!$A$12:$A$130,"&lt;"&amp;Diagram!$P16)))</f>
        <v>0</v>
      </c>
      <c r="CG16" s="42">
        <f ca="1">IF(OR($I$10="",$O16="",$P16="",$J$38&lt;&gt;"Yes"),0,IF($K$10=0,SUMIFS(INDIRECT(ADDRESS(12,3+18*3+(3),,,"J1 D - South Bank Avenue")&amp;":"&amp;ADDRESS(130,3+18*3+(3))),'J1 D - South Bank Avenue'!$A$12:$A$130,"&gt;="&amp;Diagram!$O16,'J1 D - South Bank Avenue'!$A$12:$A$130,"&lt;"&amp;Diagram!$P16),SUMIFS(INDIRECT(ADDRESS(12,3+18*3+(11),,,"J1 D - South Bank Avenue")&amp;":"&amp;ADDRESS(130,3+18*3+(11))),'J1 D - South Bank Avenue'!$A$12:$A$130,"&gt;="&amp;Diagram!$O16,'J1 D - South Bank Avenue'!$A$12:$A$130,"&lt;"&amp;Diagram!$P16)))</f>
        <v>0</v>
      </c>
      <c r="CH16" s="42">
        <f t="shared" ca="1" si="5"/>
        <v>0</v>
      </c>
      <c r="CI16" s="42">
        <f ca="1">IF(OR($I$10="",$O16="",$P16="",$J$39&lt;&gt;"Yes"),0,IF($K$10=0,SUMIFS(INDIRECT(ADDRESS(12,3+18*3+(4),,,"J1 A - (North) Bishopthorpe Roa")&amp;":"&amp;ADDRESS(130,3+18*3+(4))),'J1 A - (North) Bishopthorpe Roa'!$A$12:$A$130,"&gt;="&amp;Diagram!$O16,'J1 A - (North) Bishopthorpe Roa'!$A$12:$A$130,"&lt;"&amp;Diagram!$P16),SUMIFS(INDIRECT(ADDRESS(12,3+18*3+(12),,,"J1 A - (North) Bishopthorpe Roa")&amp;":"&amp;ADDRESS(130,3+18*3+(12))),'J1 A - (North) Bishopthorpe Roa'!$A$12:$A$130,"&gt;="&amp;Diagram!$O16,'J1 A - (North) Bishopthorpe Roa'!$A$12:$A$130,"&lt;"&amp;Diagram!$P16)))</f>
        <v>0</v>
      </c>
      <c r="CJ16" s="42">
        <f ca="1">IF(OR($I$10="",$O16="",$P16="",$J$39&lt;&gt;"Yes"),0,IF($K$10=0,SUMIFS(INDIRECT(ADDRESS(12,3+18*0+(4),,,"J1 A - (North) Bishopthorpe Roa")&amp;":"&amp;ADDRESS(130,3+18*0+(4))),'J1 A - (North) Bishopthorpe Roa'!$A$12:$A$130,"&gt;="&amp;Diagram!$O16,'J1 A - (North) Bishopthorpe Roa'!$A$12:$A$130,"&lt;"&amp;Diagram!$P16),SUMIFS(INDIRECT(ADDRESS(12,3+18*0+(12),,,"J1 A - (North) Bishopthorpe Roa")&amp;":"&amp;ADDRESS(130,3+18*0+(12))),'J1 A - (North) Bishopthorpe Roa'!$A$12:$A$130,"&gt;="&amp;Diagram!$O16,'J1 A - (North) Bishopthorpe Roa'!$A$12:$A$130,"&lt;"&amp;Diagram!$P16)))</f>
        <v>0</v>
      </c>
      <c r="CK16" s="42">
        <f ca="1">IF(OR($I$10="",$O16="",$P16="",$J$39&lt;&gt;"Yes"),0,IF($K$10=0,SUMIFS(INDIRECT(ADDRESS(12,3+18*1+(4),,,"J1 A - (North) Bishopthorpe Roa")&amp;":"&amp;ADDRESS(130,3+18*1+(4))),'J1 A - (North) Bishopthorpe Roa'!$A$12:$A$130,"&gt;="&amp;Diagram!$O16,'J1 A - (North) Bishopthorpe Roa'!$A$12:$A$130,"&lt;"&amp;Diagram!$P16),SUMIFS(INDIRECT(ADDRESS(12,3+18*1+(12),,,"J1 A - (North) Bishopthorpe Roa")&amp;":"&amp;ADDRESS(130,3+18*1+(12))),'J1 A - (North) Bishopthorpe Roa'!$A$12:$A$130,"&gt;="&amp;Diagram!$O16,'J1 A - (North) Bishopthorpe Roa'!$A$12:$A$130,"&lt;"&amp;Diagram!$P16)))</f>
        <v>0</v>
      </c>
      <c r="CL16" s="42">
        <f ca="1">IF(OR($I$10="",$O16="",$P16="",$J$39&lt;&gt;"Yes"),0,IF($K$10=0,SUMIFS(INDIRECT(ADDRESS(12,3+18*2+(4),,,"J1 A - (North) Bishopthorpe Roa")&amp;":"&amp;ADDRESS(130,3+18*2+(4))),'J1 A - (North) Bishopthorpe Roa'!$A$12:$A$130,"&gt;="&amp;Diagram!$O16,'J1 A - (North) Bishopthorpe Roa'!$A$12:$A$130,"&lt;"&amp;Diagram!$P16),SUMIFS(INDIRECT(ADDRESS(12,3+18*2+(12),,,"J1 A - (North) Bishopthorpe Roa")&amp;":"&amp;ADDRESS(130,3+18*2+(12))),'J1 A - (North) Bishopthorpe Roa'!$A$12:$A$130,"&gt;="&amp;Diagram!$O16,'J1 A - (North) Bishopthorpe Roa'!$A$12:$A$130,"&lt;"&amp;Diagram!$P16)))</f>
        <v>0</v>
      </c>
      <c r="CM16" s="42">
        <f ca="1">IF(OR($I$10="",$O16="",$P16="",$J$39&lt;&gt;"Yes"),0,IF($K$10=0,SUMIFS(INDIRECT(ADDRESS(12,3+18*2+(4),,,"J1 B - Butcher Terrace")&amp;":"&amp;ADDRESS(130,3+18*2+(4))),'J1 B - Butcher Terrace'!$A$12:$A$130,"&gt;="&amp;Diagram!$O16,'J1 B - Butcher Terrace'!$A$12:$A$130,"&lt;"&amp;Diagram!$P16),SUMIFS(INDIRECT(ADDRESS(12,3+18*2+(12),,,"J1 B - Butcher Terrace")&amp;":"&amp;ADDRESS(130,3+18*2+(12))),'J1 B - Butcher Terrace'!$A$12:$A$130,"&gt;="&amp;Diagram!$O16,'J1 B - Butcher Terrace'!$A$12:$A$130,"&lt;"&amp;Diagram!$P16)))</f>
        <v>0</v>
      </c>
      <c r="CN16" s="42">
        <f ca="1">IF(OR($I$10="",$O16="",$P16="",$J$39&lt;&gt;"Yes"),0,IF($K$10=0,SUMIFS(INDIRECT(ADDRESS(12,3+18*3+(4),,,"J1 B - Butcher Terrace")&amp;":"&amp;ADDRESS(130,3+18*3+(4))),'J1 B - Butcher Terrace'!$A$12:$A$130,"&gt;="&amp;Diagram!$O16,'J1 B - Butcher Terrace'!$A$12:$A$130,"&lt;"&amp;Diagram!$P16),SUMIFS(INDIRECT(ADDRESS(12,3+18*3+(12),,,"J1 B - Butcher Terrace")&amp;":"&amp;ADDRESS(130,3+18*3+(12))),'J1 B - Butcher Terrace'!$A$12:$A$130,"&gt;="&amp;Diagram!$O16,'J1 B - Butcher Terrace'!$A$12:$A$130,"&lt;"&amp;Diagram!$P16)))</f>
        <v>0</v>
      </c>
      <c r="CO16" s="42">
        <f ca="1">IF(OR($I$10="",$O16="",$P16="",$J$39&lt;&gt;"Yes"),0,IF($K$10=0,SUMIFS(INDIRECT(ADDRESS(12,3+18*0+(4),,,"J1 B - Butcher Terrace")&amp;":"&amp;ADDRESS(130,3+18*0+(4))),'J1 B - Butcher Terrace'!$A$12:$A$130,"&gt;="&amp;Diagram!$O16,'J1 B - Butcher Terrace'!$A$12:$A$130,"&lt;"&amp;Diagram!$P16),SUMIFS(INDIRECT(ADDRESS(12,3+18*0+(12),,,"J1 B - Butcher Terrace")&amp;":"&amp;ADDRESS(130,3+18*0+(12))),'J1 B - Butcher Terrace'!$A$12:$A$130,"&gt;="&amp;Diagram!$O16,'J1 B - Butcher Terrace'!$A$12:$A$130,"&lt;"&amp;Diagram!$P16)))</f>
        <v>0</v>
      </c>
      <c r="CP16" s="42">
        <f ca="1">IF(OR($I$10="",$O16="",$P16="",$J$39&lt;&gt;"Yes"),0,IF($K$10=0,SUMIFS(INDIRECT(ADDRESS(12,3+18*1+(4),,,"J1 B - Butcher Terrace")&amp;":"&amp;ADDRESS(130,3+18*1+(4))),'J1 B - Butcher Terrace'!$A$12:$A$130,"&gt;="&amp;Diagram!$O16,'J1 B - Butcher Terrace'!$A$12:$A$130,"&lt;"&amp;Diagram!$P16),SUMIFS(INDIRECT(ADDRESS(12,3+18*1+(12),,,"J1 B - Butcher Terrace")&amp;":"&amp;ADDRESS(130,3+18*1+(12))),'J1 B - Butcher Terrace'!$A$12:$A$130,"&gt;="&amp;Diagram!$O16,'J1 B - Butcher Terrace'!$A$12:$A$130,"&lt;"&amp;Diagram!$P16)))</f>
        <v>0</v>
      </c>
      <c r="CQ16" s="42">
        <f ca="1">IF(OR($I$10="",$O16="",$P16="",$J$39&lt;&gt;"Yes"),0,IF($K$10=0,SUMIFS(INDIRECT(ADDRESS(12,3+18*1+(4),,,"J1 C - (South) Bishopthorpe Roa")&amp;":"&amp;ADDRESS(130,3+18*1+(4))),'J1 C - (South) Bishopthorpe Roa'!$A$12:$A$130,"&gt;="&amp;Diagram!$O16,'J1 C - (South) Bishopthorpe Roa'!$A$12:$A$130,"&lt;"&amp;Diagram!$P16),SUMIFS(INDIRECT(ADDRESS(12,3+18*1+(12),,,"J1 C - (South) Bishopthorpe Roa")&amp;":"&amp;ADDRESS(130,3+18*1+(12))),'J1 C - (South) Bishopthorpe Roa'!$A$12:$A$130,"&gt;="&amp;Diagram!$O16,'J1 C - (South) Bishopthorpe Roa'!$A$12:$A$130,"&lt;"&amp;Diagram!$P16)))</f>
        <v>0</v>
      </c>
      <c r="CR16" s="42">
        <f ca="1">IF(OR($I$10="",$O16="",$P16="",$J$39&lt;&gt;"Yes"),0,IF($K$10=0,SUMIFS(INDIRECT(ADDRESS(12,3+18*2+(4),,,"J1 C - (South) Bishopthorpe Roa")&amp;":"&amp;ADDRESS(130,3+18*2+(4))),'J1 C - (South) Bishopthorpe Roa'!$A$12:$A$130,"&gt;="&amp;Diagram!$O16,'J1 C - (South) Bishopthorpe Roa'!$A$12:$A$130,"&lt;"&amp;Diagram!$P16),SUMIFS(INDIRECT(ADDRESS(12,3+18*2+(12),,,"J1 C - (South) Bishopthorpe Roa")&amp;":"&amp;ADDRESS(130,3+18*2+(12))),'J1 C - (South) Bishopthorpe Roa'!$A$12:$A$130,"&gt;="&amp;Diagram!$O16,'J1 C - (South) Bishopthorpe Roa'!$A$12:$A$130,"&lt;"&amp;Diagram!$P16)))</f>
        <v>0</v>
      </c>
      <c r="CS16" s="42">
        <f ca="1">IF(OR($I$10="",$O16="",$P16="",$J$39&lt;&gt;"Yes"),0,IF($K$10=0,SUMIFS(INDIRECT(ADDRESS(12,3+18*3+(4),,,"J1 C - (South) Bishopthorpe Roa")&amp;":"&amp;ADDRESS(130,3+18*3+(4))),'J1 C - (South) Bishopthorpe Roa'!$A$12:$A$130,"&gt;="&amp;Diagram!$O16,'J1 C - (South) Bishopthorpe Roa'!$A$12:$A$130,"&lt;"&amp;Diagram!$P16),SUMIFS(INDIRECT(ADDRESS(12,3+18*3+(12),,,"J1 C - (South) Bishopthorpe Roa")&amp;":"&amp;ADDRESS(130,3+18*3+(12))),'J1 C - (South) Bishopthorpe Roa'!$A$12:$A$130,"&gt;="&amp;Diagram!$O16,'J1 C - (South) Bishopthorpe Roa'!$A$12:$A$130,"&lt;"&amp;Diagram!$P16)))</f>
        <v>0</v>
      </c>
      <c r="CT16" s="42">
        <f ca="1">IF(OR($I$10="",$O16="",$P16="",$J$39&lt;&gt;"Yes"),0,IF($K$10=0,SUMIFS(INDIRECT(ADDRESS(12,3+18*0+(4),,,"J1 C - (South) Bishopthorpe Roa")&amp;":"&amp;ADDRESS(130,3+18*0+(4))),'J1 C - (South) Bishopthorpe Roa'!$A$12:$A$130,"&gt;="&amp;Diagram!$O16,'J1 C - (South) Bishopthorpe Roa'!$A$12:$A$130,"&lt;"&amp;Diagram!$P16),SUMIFS(INDIRECT(ADDRESS(12,3+18*0+(12),,,"J1 C - (South) Bishopthorpe Roa")&amp;":"&amp;ADDRESS(130,3+18*0+(12))),'J1 C - (South) Bishopthorpe Roa'!$A$12:$A$130,"&gt;="&amp;Diagram!$O16,'J1 C - (South) Bishopthorpe Roa'!$A$12:$A$130,"&lt;"&amp;Diagram!$P16)))</f>
        <v>0</v>
      </c>
      <c r="CU16" s="42">
        <f ca="1">IF(OR($I$10="",$O16="",$P16="",$J$39&lt;&gt;"Yes"),0,IF($K$10=0,SUMIFS(INDIRECT(ADDRESS(12,3+18*0+(4),,,"J1 D - South Bank Avenue")&amp;":"&amp;ADDRESS(130,3+18*0+(4))),'J1 D - South Bank Avenue'!$A$12:$A$130,"&gt;="&amp;Diagram!$O16,'J1 D - South Bank Avenue'!$A$12:$A$130,"&lt;"&amp;Diagram!$P16),SUMIFS(INDIRECT(ADDRESS(12,3+18*0+(12),,,"J1 D - South Bank Avenue")&amp;":"&amp;ADDRESS(130,3+18*0+(12))),'J1 D - South Bank Avenue'!$A$12:$A$130,"&gt;="&amp;Diagram!$O16,'J1 D - South Bank Avenue'!$A$12:$A$130,"&lt;"&amp;Diagram!$P16)))</f>
        <v>0</v>
      </c>
      <c r="CV16" s="42">
        <f ca="1">IF(OR($I$10="",$O16="",$P16="",$J$39&lt;&gt;"Yes"),0,IF($K$10=0,SUMIFS(INDIRECT(ADDRESS(12,3+18*1+(4),,,"J1 D - South Bank Avenue")&amp;":"&amp;ADDRESS(130,3+18*1+(4))),'J1 D - South Bank Avenue'!$A$12:$A$130,"&gt;="&amp;Diagram!$O16,'J1 D - South Bank Avenue'!$A$12:$A$130,"&lt;"&amp;Diagram!$P16),SUMIFS(INDIRECT(ADDRESS(12,3+18*1+(12),,,"J1 D - South Bank Avenue")&amp;":"&amp;ADDRESS(130,3+18*1+(12))),'J1 D - South Bank Avenue'!$A$12:$A$130,"&gt;="&amp;Diagram!$O16,'J1 D - South Bank Avenue'!$A$12:$A$130,"&lt;"&amp;Diagram!$P16)))</f>
        <v>0</v>
      </c>
      <c r="CW16" s="42">
        <f ca="1">IF(OR($I$10="",$O16="",$P16="",$J$39&lt;&gt;"Yes"),0,IF($K$10=0,SUMIFS(INDIRECT(ADDRESS(12,3+18*2+(4),,,"J1 D - South Bank Avenue")&amp;":"&amp;ADDRESS(130,3+18*2+(4))),'J1 D - South Bank Avenue'!$A$12:$A$130,"&gt;="&amp;Diagram!$O16,'J1 D - South Bank Avenue'!$A$12:$A$130,"&lt;"&amp;Diagram!$P16),SUMIFS(INDIRECT(ADDRESS(12,3+18*2+(12),,,"J1 D - South Bank Avenue")&amp;":"&amp;ADDRESS(130,3+18*2+(12))),'J1 D - South Bank Avenue'!$A$12:$A$130,"&gt;="&amp;Diagram!$O16,'J1 D - South Bank Avenue'!$A$12:$A$130,"&lt;"&amp;Diagram!$P16)))</f>
        <v>0</v>
      </c>
      <c r="CX16" s="42">
        <f ca="1">IF(OR($I$10="",$O16="",$P16="",$J$39&lt;&gt;"Yes"),0,IF($K$10=0,SUMIFS(INDIRECT(ADDRESS(12,3+18*3+(4),,,"J1 D - South Bank Avenue")&amp;":"&amp;ADDRESS(130,3+18*3+(4))),'J1 D - South Bank Avenue'!$A$12:$A$130,"&gt;="&amp;Diagram!$O16,'J1 D - South Bank Avenue'!$A$12:$A$130,"&lt;"&amp;Diagram!$P16),SUMIFS(INDIRECT(ADDRESS(12,3+18*3+(12),,,"J1 D - South Bank Avenue")&amp;":"&amp;ADDRESS(130,3+18*3+(12))),'J1 D - South Bank Avenue'!$A$12:$A$130,"&gt;="&amp;Diagram!$O16,'J1 D - South Bank Avenue'!$A$12:$A$130,"&lt;"&amp;Diagram!$P16)))</f>
        <v>0</v>
      </c>
      <c r="CY16" s="42">
        <f t="shared" ca="1" si="6"/>
        <v>2</v>
      </c>
      <c r="CZ16" s="42">
        <f ca="1">IF(OR($I$10="",$O16="",$P16="",$J$40&lt;&gt;"Yes"),0,IF($K$10=0,SUMIFS(INDIRECT(ADDRESS(12,3+18*3+(5),,,"J1 A - (North) Bishopthorpe Roa")&amp;":"&amp;ADDRESS(130,3+18*3+(5))),'J1 A - (North) Bishopthorpe Roa'!$A$12:$A$130,"&gt;="&amp;Diagram!$O16,'J1 A - (North) Bishopthorpe Roa'!$A$12:$A$130,"&lt;"&amp;Diagram!$P16),SUMIFS(INDIRECT(ADDRESS(12,3+18*3+(13),,,"J1 A - (North) Bishopthorpe Roa")&amp;":"&amp;ADDRESS(130,3+18*3+(13))),'J1 A - (North) Bishopthorpe Roa'!$A$12:$A$130,"&gt;="&amp;Diagram!$O16,'J1 A - (North) Bishopthorpe Roa'!$A$12:$A$130,"&lt;"&amp;Diagram!$P16)))</f>
        <v>0</v>
      </c>
      <c r="DA16" s="42">
        <f ca="1">IF(OR($I$10="",$O16="",$P16="",$J$40&lt;&gt;"Yes"),0,IF($K$10=0,SUMIFS(INDIRECT(ADDRESS(12,3+18*0+(5),,,"J1 A - (North) Bishopthorpe Roa")&amp;":"&amp;ADDRESS(130,3+18*0+(5))),'J1 A - (North) Bishopthorpe Roa'!$A$12:$A$130,"&gt;="&amp;Diagram!$O16,'J1 A - (North) Bishopthorpe Roa'!$A$12:$A$130,"&lt;"&amp;Diagram!$P16),SUMIFS(INDIRECT(ADDRESS(12,3+18*0+(13),,,"J1 A - (North) Bishopthorpe Roa")&amp;":"&amp;ADDRESS(130,3+18*0+(13))),'J1 A - (North) Bishopthorpe Roa'!$A$12:$A$130,"&gt;="&amp;Diagram!$O16,'J1 A - (North) Bishopthorpe Roa'!$A$12:$A$130,"&lt;"&amp;Diagram!$P16)))</f>
        <v>0</v>
      </c>
      <c r="DB16" s="42">
        <f ca="1">IF(OR($I$10="",$O16="",$P16="",$J$40&lt;&gt;"Yes"),0,IF($K$10=0,SUMIFS(INDIRECT(ADDRESS(12,3+18*1+(5),,,"J1 A - (North) Bishopthorpe Roa")&amp;":"&amp;ADDRESS(130,3+18*1+(5))),'J1 A - (North) Bishopthorpe Roa'!$A$12:$A$130,"&gt;="&amp;Diagram!$O16,'J1 A - (North) Bishopthorpe Roa'!$A$12:$A$130,"&lt;"&amp;Diagram!$P16),SUMIFS(INDIRECT(ADDRESS(12,3+18*1+(13),,,"J1 A - (North) Bishopthorpe Roa")&amp;":"&amp;ADDRESS(130,3+18*1+(13))),'J1 A - (North) Bishopthorpe Roa'!$A$12:$A$130,"&gt;="&amp;Diagram!$O16,'J1 A - (North) Bishopthorpe Roa'!$A$12:$A$130,"&lt;"&amp;Diagram!$P16)))</f>
        <v>0</v>
      </c>
      <c r="DC16" s="42">
        <f ca="1">IF(OR($I$10="",$O16="",$P16="",$J$40&lt;&gt;"Yes"),0,IF($K$10=0,SUMIFS(INDIRECT(ADDRESS(12,3+18*2+(5),,,"J1 A - (North) Bishopthorpe Roa")&amp;":"&amp;ADDRESS(130,3+18*2+(5))),'J1 A - (North) Bishopthorpe Roa'!$A$12:$A$130,"&gt;="&amp;Diagram!$O16,'J1 A - (North) Bishopthorpe Roa'!$A$12:$A$130,"&lt;"&amp;Diagram!$P16),SUMIFS(INDIRECT(ADDRESS(12,3+18*2+(13),,,"J1 A - (North) Bishopthorpe Roa")&amp;":"&amp;ADDRESS(130,3+18*2+(13))),'J1 A - (North) Bishopthorpe Roa'!$A$12:$A$130,"&gt;="&amp;Diagram!$O16,'J1 A - (North) Bishopthorpe Roa'!$A$12:$A$130,"&lt;"&amp;Diagram!$P16)))</f>
        <v>0</v>
      </c>
      <c r="DD16" s="42">
        <f ca="1">IF(OR($I$10="",$O16="",$P16="",$J$40&lt;&gt;"Yes"),0,IF($K$10=0,SUMIFS(INDIRECT(ADDRESS(12,3+18*2+(5),,,"J1 B - Butcher Terrace")&amp;":"&amp;ADDRESS(130,3+18*2+(5))),'J1 B - Butcher Terrace'!$A$12:$A$130,"&gt;="&amp;Diagram!$O16,'J1 B - Butcher Terrace'!$A$12:$A$130,"&lt;"&amp;Diagram!$P16),SUMIFS(INDIRECT(ADDRESS(12,3+18*2+(13),,,"J1 B - Butcher Terrace")&amp;":"&amp;ADDRESS(130,3+18*2+(13))),'J1 B - Butcher Terrace'!$A$12:$A$130,"&gt;="&amp;Diagram!$O16,'J1 B - Butcher Terrace'!$A$12:$A$130,"&lt;"&amp;Diagram!$P16)))</f>
        <v>1</v>
      </c>
      <c r="DE16" s="42">
        <f ca="1">IF(OR($I$10="",$O16="",$P16="",$J$40&lt;&gt;"Yes"),0,IF($K$10=0,SUMIFS(INDIRECT(ADDRESS(12,3+18*3+(5),,,"J1 B - Butcher Terrace")&amp;":"&amp;ADDRESS(130,3+18*3+(5))),'J1 B - Butcher Terrace'!$A$12:$A$130,"&gt;="&amp;Diagram!$O16,'J1 B - Butcher Terrace'!$A$12:$A$130,"&lt;"&amp;Diagram!$P16),SUMIFS(INDIRECT(ADDRESS(12,3+18*3+(13),,,"J1 B - Butcher Terrace")&amp;":"&amp;ADDRESS(130,3+18*3+(13))),'J1 B - Butcher Terrace'!$A$12:$A$130,"&gt;="&amp;Diagram!$O16,'J1 B - Butcher Terrace'!$A$12:$A$130,"&lt;"&amp;Diagram!$P16)))</f>
        <v>0</v>
      </c>
      <c r="DF16" s="42">
        <f ca="1">IF(OR($I$10="",$O16="",$P16="",$J$40&lt;&gt;"Yes"),0,IF($K$10=0,SUMIFS(INDIRECT(ADDRESS(12,3+18*0+(5),,,"J1 B - Butcher Terrace")&amp;":"&amp;ADDRESS(130,3+18*0+(5))),'J1 B - Butcher Terrace'!$A$12:$A$130,"&gt;="&amp;Diagram!$O16,'J1 B - Butcher Terrace'!$A$12:$A$130,"&lt;"&amp;Diagram!$P16),SUMIFS(INDIRECT(ADDRESS(12,3+18*0+(13),,,"J1 B - Butcher Terrace")&amp;":"&amp;ADDRESS(130,3+18*0+(13))),'J1 B - Butcher Terrace'!$A$12:$A$130,"&gt;="&amp;Diagram!$O16,'J1 B - Butcher Terrace'!$A$12:$A$130,"&lt;"&amp;Diagram!$P16)))</f>
        <v>0</v>
      </c>
      <c r="DG16" s="42">
        <f ca="1">IF(OR($I$10="",$O16="",$P16="",$J$40&lt;&gt;"Yes"),0,IF($K$10=0,SUMIFS(INDIRECT(ADDRESS(12,3+18*1+(5),,,"J1 B - Butcher Terrace")&amp;":"&amp;ADDRESS(130,3+18*1+(5))),'J1 B - Butcher Terrace'!$A$12:$A$130,"&gt;="&amp;Diagram!$O16,'J1 B - Butcher Terrace'!$A$12:$A$130,"&lt;"&amp;Diagram!$P16),SUMIFS(INDIRECT(ADDRESS(12,3+18*1+(13),,,"J1 B - Butcher Terrace")&amp;":"&amp;ADDRESS(130,3+18*1+(13))),'J1 B - Butcher Terrace'!$A$12:$A$130,"&gt;="&amp;Diagram!$O16,'J1 B - Butcher Terrace'!$A$12:$A$130,"&lt;"&amp;Diagram!$P16)))</f>
        <v>0</v>
      </c>
      <c r="DH16" s="42">
        <f ca="1">IF(OR($I$10="",$O16="",$P16="",$J$40&lt;&gt;"Yes"),0,IF($K$10=0,SUMIFS(INDIRECT(ADDRESS(12,3+18*1+(5),,,"J1 C - (South) Bishopthorpe Roa")&amp;":"&amp;ADDRESS(130,3+18*1+(5))),'J1 C - (South) Bishopthorpe Roa'!$A$12:$A$130,"&gt;="&amp;Diagram!$O16,'J1 C - (South) Bishopthorpe Roa'!$A$12:$A$130,"&lt;"&amp;Diagram!$P16),SUMIFS(INDIRECT(ADDRESS(12,3+18*1+(13),,,"J1 C - (South) Bishopthorpe Roa")&amp;":"&amp;ADDRESS(130,3+18*1+(13))),'J1 C - (South) Bishopthorpe Roa'!$A$12:$A$130,"&gt;="&amp;Diagram!$O16,'J1 C - (South) Bishopthorpe Roa'!$A$12:$A$130,"&lt;"&amp;Diagram!$P16)))</f>
        <v>0</v>
      </c>
      <c r="DI16" s="42">
        <f ca="1">IF(OR($I$10="",$O16="",$P16="",$J$40&lt;&gt;"Yes"),0,IF($K$10=0,SUMIFS(INDIRECT(ADDRESS(12,3+18*2+(5),,,"J1 C - (South) Bishopthorpe Roa")&amp;":"&amp;ADDRESS(130,3+18*2+(5))),'J1 C - (South) Bishopthorpe Roa'!$A$12:$A$130,"&gt;="&amp;Diagram!$O16,'J1 C - (South) Bishopthorpe Roa'!$A$12:$A$130,"&lt;"&amp;Diagram!$P16),SUMIFS(INDIRECT(ADDRESS(12,3+18*2+(13),,,"J1 C - (South) Bishopthorpe Roa")&amp;":"&amp;ADDRESS(130,3+18*2+(13))),'J1 C - (South) Bishopthorpe Roa'!$A$12:$A$130,"&gt;="&amp;Diagram!$O16,'J1 C - (South) Bishopthorpe Roa'!$A$12:$A$130,"&lt;"&amp;Diagram!$P16)))</f>
        <v>0</v>
      </c>
      <c r="DJ16" s="42">
        <f ca="1">IF(OR($I$10="",$O16="",$P16="",$J$40&lt;&gt;"Yes"),0,IF($K$10=0,SUMIFS(INDIRECT(ADDRESS(12,3+18*3+(5),,,"J1 C - (South) Bishopthorpe Roa")&amp;":"&amp;ADDRESS(130,3+18*3+(5))),'J1 C - (South) Bishopthorpe Roa'!$A$12:$A$130,"&gt;="&amp;Diagram!$O16,'J1 C - (South) Bishopthorpe Roa'!$A$12:$A$130,"&lt;"&amp;Diagram!$P16),SUMIFS(INDIRECT(ADDRESS(12,3+18*3+(13),,,"J1 C - (South) Bishopthorpe Roa")&amp;":"&amp;ADDRESS(130,3+18*3+(13))),'J1 C - (South) Bishopthorpe Roa'!$A$12:$A$130,"&gt;="&amp;Diagram!$O16,'J1 C - (South) Bishopthorpe Roa'!$A$12:$A$130,"&lt;"&amp;Diagram!$P16)))</f>
        <v>0</v>
      </c>
      <c r="DK16" s="42">
        <f ca="1">IF(OR($I$10="",$O16="",$P16="",$J$40&lt;&gt;"Yes"),0,IF($K$10=0,SUMIFS(INDIRECT(ADDRESS(12,3+18*0+(5),,,"J1 C - (South) Bishopthorpe Roa")&amp;":"&amp;ADDRESS(130,3+18*0+(5))),'J1 C - (South) Bishopthorpe Roa'!$A$12:$A$130,"&gt;="&amp;Diagram!$O16,'J1 C - (South) Bishopthorpe Roa'!$A$12:$A$130,"&lt;"&amp;Diagram!$P16),SUMIFS(INDIRECT(ADDRESS(12,3+18*0+(13),,,"J1 C - (South) Bishopthorpe Roa")&amp;":"&amp;ADDRESS(130,3+18*0+(13))),'J1 C - (South) Bishopthorpe Roa'!$A$12:$A$130,"&gt;="&amp;Diagram!$O16,'J1 C - (South) Bishopthorpe Roa'!$A$12:$A$130,"&lt;"&amp;Diagram!$P16)))</f>
        <v>0</v>
      </c>
      <c r="DL16" s="42">
        <f ca="1">IF(OR($I$10="",$O16="",$P16="",$J$40&lt;&gt;"Yes"),0,IF($K$10=0,SUMIFS(INDIRECT(ADDRESS(12,3+18*0+(5),,,"J1 D - South Bank Avenue")&amp;":"&amp;ADDRESS(130,3+18*0+(5))),'J1 D - South Bank Avenue'!$A$12:$A$130,"&gt;="&amp;Diagram!$O16,'J1 D - South Bank Avenue'!$A$12:$A$130,"&lt;"&amp;Diagram!$P16),SUMIFS(INDIRECT(ADDRESS(12,3+18*0+(13),,,"J1 D - South Bank Avenue")&amp;":"&amp;ADDRESS(130,3+18*0+(13))),'J1 D - South Bank Avenue'!$A$12:$A$130,"&gt;="&amp;Diagram!$O16,'J1 D - South Bank Avenue'!$A$12:$A$130,"&lt;"&amp;Diagram!$P16)))</f>
        <v>1</v>
      </c>
      <c r="DM16" s="42">
        <f ca="1">IF(OR($I$10="",$O16="",$P16="",$J$40&lt;&gt;"Yes"),0,IF($K$10=0,SUMIFS(INDIRECT(ADDRESS(12,3+18*1+(5),,,"J1 D - South Bank Avenue")&amp;":"&amp;ADDRESS(130,3+18*1+(5))),'J1 D - South Bank Avenue'!$A$12:$A$130,"&gt;="&amp;Diagram!$O16,'J1 D - South Bank Avenue'!$A$12:$A$130,"&lt;"&amp;Diagram!$P16),SUMIFS(INDIRECT(ADDRESS(12,3+18*1+(13),,,"J1 D - South Bank Avenue")&amp;":"&amp;ADDRESS(130,3+18*1+(13))),'J1 D - South Bank Avenue'!$A$12:$A$130,"&gt;="&amp;Diagram!$O16,'J1 D - South Bank Avenue'!$A$12:$A$130,"&lt;"&amp;Diagram!$P16)))</f>
        <v>0</v>
      </c>
      <c r="DN16" s="42">
        <f ca="1">IF(OR($I$10="",$O16="",$P16="",$J$40&lt;&gt;"Yes"),0,IF($K$10=0,SUMIFS(INDIRECT(ADDRESS(12,3+18*2+(5),,,"J1 D - South Bank Avenue")&amp;":"&amp;ADDRESS(130,3+18*2+(5))),'J1 D - South Bank Avenue'!$A$12:$A$130,"&gt;="&amp;Diagram!$O16,'J1 D - South Bank Avenue'!$A$12:$A$130,"&lt;"&amp;Diagram!$P16),SUMIFS(INDIRECT(ADDRESS(12,3+18*2+(13),,,"J1 D - South Bank Avenue")&amp;":"&amp;ADDRESS(130,3+18*2+(13))),'J1 D - South Bank Avenue'!$A$12:$A$130,"&gt;="&amp;Diagram!$O16,'J1 D - South Bank Avenue'!$A$12:$A$130,"&lt;"&amp;Diagram!$P16)))</f>
        <v>0</v>
      </c>
      <c r="DO16" s="42">
        <f ca="1">IF(OR($I$10="",$O16="",$P16="",$J$40&lt;&gt;"Yes"),0,IF($K$10=0,SUMIFS(INDIRECT(ADDRESS(12,3+18*3+(5),,,"J1 D - South Bank Avenue")&amp;":"&amp;ADDRESS(130,3+18*3+(5))),'J1 D - South Bank Avenue'!$A$12:$A$130,"&gt;="&amp;Diagram!$O16,'J1 D - South Bank Avenue'!$A$12:$A$130,"&lt;"&amp;Diagram!$P16),SUMIFS(INDIRECT(ADDRESS(12,3+18*3+(13),,,"J1 D - South Bank Avenue")&amp;":"&amp;ADDRESS(130,3+18*3+(13))),'J1 D - South Bank Avenue'!$A$12:$A$130,"&gt;="&amp;Diagram!$O16,'J1 D - South Bank Avenue'!$A$12:$A$130,"&lt;"&amp;Diagram!$P16)))</f>
        <v>0</v>
      </c>
      <c r="DP16" s="42">
        <f t="shared" ca="1" si="7"/>
        <v>0</v>
      </c>
      <c r="DQ16" s="42">
        <f ca="1">IF(OR($I$10="",$O16="",$P16="",$J$41&lt;&gt;"Yes"),0,IF($K$10=0,SUMIFS(INDIRECT(ADDRESS(12,3+18*3+(6),,,"J1 A - (North) Bishopthorpe Roa")&amp;":"&amp;ADDRESS(130,3+18*3+(6))),'J1 A - (North) Bishopthorpe Roa'!$A$12:$A$130,"&gt;="&amp;Diagram!$O16,'J1 A - (North) Bishopthorpe Roa'!$A$12:$A$130,"&lt;"&amp;Diagram!$P16),SUMIFS(INDIRECT(ADDRESS(12,3+18*3+(14),,,"J1 A - (North) Bishopthorpe Roa")&amp;":"&amp;ADDRESS(130,3+18*3+(14))),'J1 A - (North) Bishopthorpe Roa'!$A$12:$A$130,"&gt;="&amp;Diagram!$O16,'J1 A - (North) Bishopthorpe Roa'!$A$12:$A$130,"&lt;"&amp;Diagram!$P16)))</f>
        <v>0</v>
      </c>
      <c r="DR16" s="42">
        <f ca="1">IF(OR($I$10="",$O16="",$P16="",$J$41&lt;&gt;"Yes"),0,IF($K$10=0,SUMIFS(INDIRECT(ADDRESS(12,3+18*0+(6),,,"J1 A - (North) Bishopthorpe Roa")&amp;":"&amp;ADDRESS(130,3+18*0+(6))),'J1 A - (North) Bishopthorpe Roa'!$A$12:$A$130,"&gt;="&amp;Diagram!$O16,'J1 A - (North) Bishopthorpe Roa'!$A$12:$A$130,"&lt;"&amp;Diagram!$P16),SUMIFS(INDIRECT(ADDRESS(12,3+18*0+(14),,,"J1 A - (North) Bishopthorpe Roa")&amp;":"&amp;ADDRESS(130,3+18*0+(14))),'J1 A - (North) Bishopthorpe Roa'!$A$12:$A$130,"&gt;="&amp;Diagram!$O16,'J1 A - (North) Bishopthorpe Roa'!$A$12:$A$130,"&lt;"&amp;Diagram!$P16)))</f>
        <v>0</v>
      </c>
      <c r="DS16" s="42">
        <f ca="1">IF(OR($I$10="",$O16="",$P16="",$J$41&lt;&gt;"Yes"),0,IF($K$10=0,SUMIFS(INDIRECT(ADDRESS(12,3+18*1+(6),,,"J1 A - (North) Bishopthorpe Roa")&amp;":"&amp;ADDRESS(130,3+18*1+(6))),'J1 A - (North) Bishopthorpe Roa'!$A$12:$A$130,"&gt;="&amp;Diagram!$O16,'J1 A - (North) Bishopthorpe Roa'!$A$12:$A$130,"&lt;"&amp;Diagram!$P16),SUMIFS(INDIRECT(ADDRESS(12,3+18*1+(14),,,"J1 A - (North) Bishopthorpe Roa")&amp;":"&amp;ADDRESS(130,3+18*1+(14))),'J1 A - (North) Bishopthorpe Roa'!$A$12:$A$130,"&gt;="&amp;Diagram!$O16,'J1 A - (North) Bishopthorpe Roa'!$A$12:$A$130,"&lt;"&amp;Diagram!$P16)))</f>
        <v>0</v>
      </c>
      <c r="DT16" s="42">
        <f ca="1">IF(OR($I$10="",$O16="",$P16="",$J$41&lt;&gt;"Yes"),0,IF($K$10=0,SUMIFS(INDIRECT(ADDRESS(12,3+18*2+(6),,,"J1 A - (North) Bishopthorpe Roa")&amp;":"&amp;ADDRESS(130,3+18*2+(6))),'J1 A - (North) Bishopthorpe Roa'!$A$12:$A$130,"&gt;="&amp;Diagram!$O16,'J1 A - (North) Bishopthorpe Roa'!$A$12:$A$130,"&lt;"&amp;Diagram!$P16),SUMIFS(INDIRECT(ADDRESS(12,3+18*2+(14),,,"J1 A - (North) Bishopthorpe Roa")&amp;":"&amp;ADDRESS(130,3+18*2+(14))),'J1 A - (North) Bishopthorpe Roa'!$A$12:$A$130,"&gt;="&amp;Diagram!$O16,'J1 A - (North) Bishopthorpe Roa'!$A$12:$A$130,"&lt;"&amp;Diagram!$P16)))</f>
        <v>0</v>
      </c>
      <c r="DU16" s="42">
        <f ca="1">IF(OR($I$10="",$O16="",$P16="",$J$41&lt;&gt;"Yes"),0,IF($K$10=0,SUMIFS(INDIRECT(ADDRESS(12,3+18*2+(6),,,"J1 B - Butcher Terrace")&amp;":"&amp;ADDRESS(130,3+18*2+(6))),'J1 B - Butcher Terrace'!$A$12:$A$130,"&gt;="&amp;Diagram!$O16,'J1 B - Butcher Terrace'!$A$12:$A$130,"&lt;"&amp;Diagram!$P16),SUMIFS(INDIRECT(ADDRESS(12,3+18*2+(14),,,"J1 B - Butcher Terrace")&amp;":"&amp;ADDRESS(130,3+18*2+(14))),'J1 B - Butcher Terrace'!$A$12:$A$130,"&gt;="&amp;Diagram!$O16,'J1 B - Butcher Terrace'!$A$12:$A$130,"&lt;"&amp;Diagram!$P16)))</f>
        <v>0</v>
      </c>
      <c r="DV16" s="42">
        <f ca="1">IF(OR($I$10="",$O16="",$P16="",$J$41&lt;&gt;"Yes"),0,IF($K$10=0,SUMIFS(INDIRECT(ADDRESS(12,3+18*3+(6),,,"J1 B - Butcher Terrace")&amp;":"&amp;ADDRESS(130,3+18*3+(6))),'J1 B - Butcher Terrace'!$A$12:$A$130,"&gt;="&amp;Diagram!$O16,'J1 B - Butcher Terrace'!$A$12:$A$130,"&lt;"&amp;Diagram!$P16),SUMIFS(INDIRECT(ADDRESS(12,3+18*3+(14),,,"J1 B - Butcher Terrace")&amp;":"&amp;ADDRESS(130,3+18*3+(14))),'J1 B - Butcher Terrace'!$A$12:$A$130,"&gt;="&amp;Diagram!$O16,'J1 B - Butcher Terrace'!$A$12:$A$130,"&lt;"&amp;Diagram!$P16)))</f>
        <v>0</v>
      </c>
      <c r="DW16" s="42">
        <f ca="1">IF(OR($I$10="",$O16="",$P16="",$J$41&lt;&gt;"Yes"),0,IF($K$10=0,SUMIFS(INDIRECT(ADDRESS(12,3+18*0+(6),,,"J1 B - Butcher Terrace")&amp;":"&amp;ADDRESS(130,3+18*0+(6))),'J1 B - Butcher Terrace'!$A$12:$A$130,"&gt;="&amp;Diagram!$O16,'J1 B - Butcher Terrace'!$A$12:$A$130,"&lt;"&amp;Diagram!$P16),SUMIFS(INDIRECT(ADDRESS(12,3+18*0+(14),,,"J1 B - Butcher Terrace")&amp;":"&amp;ADDRESS(130,3+18*0+(14))),'J1 B - Butcher Terrace'!$A$12:$A$130,"&gt;="&amp;Diagram!$O16,'J1 B - Butcher Terrace'!$A$12:$A$130,"&lt;"&amp;Diagram!$P16)))</f>
        <v>0</v>
      </c>
      <c r="DX16" s="42">
        <f ca="1">IF(OR($I$10="",$O16="",$P16="",$J$41&lt;&gt;"Yes"),0,IF($K$10=0,SUMIFS(INDIRECT(ADDRESS(12,3+18*1+(6),,,"J1 B - Butcher Terrace")&amp;":"&amp;ADDRESS(130,3+18*1+(6))),'J1 B - Butcher Terrace'!$A$12:$A$130,"&gt;="&amp;Diagram!$O16,'J1 B - Butcher Terrace'!$A$12:$A$130,"&lt;"&amp;Diagram!$P16),SUMIFS(INDIRECT(ADDRESS(12,3+18*1+(14),,,"J1 B - Butcher Terrace")&amp;":"&amp;ADDRESS(130,3+18*1+(14))),'J1 B - Butcher Terrace'!$A$12:$A$130,"&gt;="&amp;Diagram!$O16,'J1 B - Butcher Terrace'!$A$12:$A$130,"&lt;"&amp;Diagram!$P16)))</f>
        <v>0</v>
      </c>
      <c r="DY16" s="42">
        <f ca="1">IF(OR($I$10="",$O16="",$P16="",$J$41&lt;&gt;"Yes"),0,IF($K$10=0,SUMIFS(INDIRECT(ADDRESS(12,3+18*1+(6),,,"J1 C - (South) Bishopthorpe Roa")&amp;":"&amp;ADDRESS(130,3+18*1+(6))),'J1 C - (South) Bishopthorpe Roa'!$A$12:$A$130,"&gt;="&amp;Diagram!$O16,'J1 C - (South) Bishopthorpe Roa'!$A$12:$A$130,"&lt;"&amp;Diagram!$P16),SUMIFS(INDIRECT(ADDRESS(12,3+18*1+(14),,,"J1 C - (South) Bishopthorpe Roa")&amp;":"&amp;ADDRESS(130,3+18*1+(14))),'J1 C - (South) Bishopthorpe Roa'!$A$12:$A$130,"&gt;="&amp;Diagram!$O16,'J1 C - (South) Bishopthorpe Roa'!$A$12:$A$130,"&lt;"&amp;Diagram!$P16)))</f>
        <v>0</v>
      </c>
      <c r="DZ16" s="42">
        <f ca="1">IF(OR($I$10="",$O16="",$P16="",$J$41&lt;&gt;"Yes"),0,IF($K$10=0,SUMIFS(INDIRECT(ADDRESS(12,3+18*2+(6),,,"J1 C - (South) Bishopthorpe Roa")&amp;":"&amp;ADDRESS(130,3+18*2+(6))),'J1 C - (South) Bishopthorpe Roa'!$A$12:$A$130,"&gt;="&amp;Diagram!$O16,'J1 C - (South) Bishopthorpe Roa'!$A$12:$A$130,"&lt;"&amp;Diagram!$P16),SUMIFS(INDIRECT(ADDRESS(12,3+18*2+(14),,,"J1 C - (South) Bishopthorpe Roa")&amp;":"&amp;ADDRESS(130,3+18*2+(14))),'J1 C - (South) Bishopthorpe Roa'!$A$12:$A$130,"&gt;="&amp;Diagram!$O16,'J1 C - (South) Bishopthorpe Roa'!$A$12:$A$130,"&lt;"&amp;Diagram!$P16)))</f>
        <v>0</v>
      </c>
      <c r="EA16" s="42">
        <f ca="1">IF(OR($I$10="",$O16="",$P16="",$J$41&lt;&gt;"Yes"),0,IF($K$10=0,SUMIFS(INDIRECT(ADDRESS(12,3+18*3+(6),,,"J1 C - (South) Bishopthorpe Roa")&amp;":"&amp;ADDRESS(130,3+18*3+(6))),'J1 C - (South) Bishopthorpe Roa'!$A$12:$A$130,"&gt;="&amp;Diagram!$O16,'J1 C - (South) Bishopthorpe Roa'!$A$12:$A$130,"&lt;"&amp;Diagram!$P16),SUMIFS(INDIRECT(ADDRESS(12,3+18*3+(14),,,"J1 C - (South) Bishopthorpe Roa")&amp;":"&amp;ADDRESS(130,3+18*3+(14))),'J1 C - (South) Bishopthorpe Roa'!$A$12:$A$130,"&gt;="&amp;Diagram!$O16,'J1 C - (South) Bishopthorpe Roa'!$A$12:$A$130,"&lt;"&amp;Diagram!$P16)))</f>
        <v>0</v>
      </c>
      <c r="EB16" s="42">
        <f ca="1">IF(OR($I$10="",$O16="",$P16="",$J$41&lt;&gt;"Yes"),0,IF($K$10=0,SUMIFS(INDIRECT(ADDRESS(12,3+18*0+(6),,,"J1 C - (South) Bishopthorpe Roa")&amp;":"&amp;ADDRESS(130,3+18*0+(6))),'J1 C - (South) Bishopthorpe Roa'!$A$12:$A$130,"&gt;="&amp;Diagram!$O16,'J1 C - (South) Bishopthorpe Roa'!$A$12:$A$130,"&lt;"&amp;Diagram!$P16),SUMIFS(INDIRECT(ADDRESS(12,3+18*0+(14),,,"J1 C - (South) Bishopthorpe Roa")&amp;":"&amp;ADDRESS(130,3+18*0+(14))),'J1 C - (South) Bishopthorpe Roa'!$A$12:$A$130,"&gt;="&amp;Diagram!$O16,'J1 C - (South) Bishopthorpe Roa'!$A$12:$A$130,"&lt;"&amp;Diagram!$P16)))</f>
        <v>0</v>
      </c>
      <c r="EC16" s="42">
        <f ca="1">IF(OR($I$10="",$O16="",$P16="",$J$41&lt;&gt;"Yes"),0,IF($K$10=0,SUMIFS(INDIRECT(ADDRESS(12,3+18*0+(6),,,"J1 D - South Bank Avenue")&amp;":"&amp;ADDRESS(130,3+18*0+(6))),'J1 D - South Bank Avenue'!$A$12:$A$130,"&gt;="&amp;Diagram!$O16,'J1 D - South Bank Avenue'!$A$12:$A$130,"&lt;"&amp;Diagram!$P16),SUMIFS(INDIRECT(ADDRESS(12,3+18*0+(14),,,"J1 D - South Bank Avenue")&amp;":"&amp;ADDRESS(130,3+18*0+(14))),'J1 D - South Bank Avenue'!$A$12:$A$130,"&gt;="&amp;Diagram!$O16,'J1 D - South Bank Avenue'!$A$12:$A$130,"&lt;"&amp;Diagram!$P16)))</f>
        <v>0</v>
      </c>
      <c r="ED16" s="42">
        <f ca="1">IF(OR($I$10="",$O16="",$P16="",$J$41&lt;&gt;"Yes"),0,IF($K$10=0,SUMIFS(INDIRECT(ADDRESS(12,3+18*1+(6),,,"J1 D - South Bank Avenue")&amp;":"&amp;ADDRESS(130,3+18*1+(6))),'J1 D - South Bank Avenue'!$A$12:$A$130,"&gt;="&amp;Diagram!$O16,'J1 D - South Bank Avenue'!$A$12:$A$130,"&lt;"&amp;Diagram!$P16),SUMIFS(INDIRECT(ADDRESS(12,3+18*1+(14),,,"J1 D - South Bank Avenue")&amp;":"&amp;ADDRESS(130,3+18*1+(14))),'J1 D - South Bank Avenue'!$A$12:$A$130,"&gt;="&amp;Diagram!$O16,'J1 D - South Bank Avenue'!$A$12:$A$130,"&lt;"&amp;Diagram!$P16)))</f>
        <v>0</v>
      </c>
      <c r="EE16" s="42">
        <f ca="1">IF(OR($I$10="",$O16="",$P16="",$J$41&lt;&gt;"Yes"),0,IF($K$10=0,SUMIFS(INDIRECT(ADDRESS(12,3+18*2+(6),,,"J1 D - South Bank Avenue")&amp;":"&amp;ADDRESS(130,3+18*2+(6))),'J1 D - South Bank Avenue'!$A$12:$A$130,"&gt;="&amp;Diagram!$O16,'J1 D - South Bank Avenue'!$A$12:$A$130,"&lt;"&amp;Diagram!$P16),SUMIFS(INDIRECT(ADDRESS(12,3+18*2+(14),,,"J1 D - South Bank Avenue")&amp;":"&amp;ADDRESS(130,3+18*2+(14))),'J1 D - South Bank Avenue'!$A$12:$A$130,"&gt;="&amp;Diagram!$O16,'J1 D - South Bank Avenue'!$A$12:$A$130,"&lt;"&amp;Diagram!$P16)))</f>
        <v>0</v>
      </c>
      <c r="EF16" s="42">
        <f ca="1">IF(OR($I$10="",$O16="",$P16="",$J$41&lt;&gt;"Yes"),0,IF($K$10=0,SUMIFS(INDIRECT(ADDRESS(12,3+18*3+(6),,,"J1 D - South Bank Avenue")&amp;":"&amp;ADDRESS(130,3+18*3+(6))),'J1 D - South Bank Avenue'!$A$12:$A$130,"&gt;="&amp;Diagram!$O16,'J1 D - South Bank Avenue'!$A$12:$A$130,"&lt;"&amp;Diagram!$P16),SUMIFS(INDIRECT(ADDRESS(12,3+18*3+(14),,,"J1 D - South Bank Avenue")&amp;":"&amp;ADDRESS(130,3+18*3+(14))),'J1 D - South Bank Avenue'!$A$12:$A$130,"&gt;="&amp;Diagram!$O16,'J1 D - South Bank Avenue'!$A$12:$A$130,"&lt;"&amp;Diagram!$P16)))</f>
        <v>0</v>
      </c>
      <c r="EG16" s="42">
        <f t="shared" ca="1" si="8"/>
        <v>0</v>
      </c>
      <c r="EH16" s="42">
        <f ca="1">IF(OR($I$10="",$O16="",$P16="",$J$42&lt;&gt;"Yes"),0,IF($K$10=0,SUMIFS(INDIRECT(ADDRESS(12,3+18*3+(7),,,"J1 A - (North) Bishopthorpe Roa")&amp;":"&amp;ADDRESS(130,3+18*3+(7))),'J1 A - (North) Bishopthorpe Roa'!$A$12:$A$130,"&gt;="&amp;Diagram!$O16,'J1 A - (North) Bishopthorpe Roa'!$A$12:$A$130,"&lt;"&amp;Diagram!$P16),SUMIFS(INDIRECT(ADDRESS(12,3+18*3+(15),,,"J1 A - (North) Bishopthorpe Roa")&amp;":"&amp;ADDRESS(130,3+18*3+(15))),'J1 A - (North) Bishopthorpe Roa'!$A$12:$A$130,"&gt;="&amp;Diagram!$O16,'J1 A - (North) Bishopthorpe Roa'!$A$12:$A$130,"&lt;"&amp;Diagram!$P16)))</f>
        <v>0</v>
      </c>
      <c r="EI16" s="42">
        <f ca="1">IF(OR($I$10="",$O16="",$P16="",$J$42&lt;&gt;"Yes"),0,IF($K$10=0,SUMIFS(INDIRECT(ADDRESS(12,3+18*0+(7),,,"J1 A - (North) Bishopthorpe Roa")&amp;":"&amp;ADDRESS(130,3+18*0+(7))),'J1 A - (North) Bishopthorpe Roa'!$A$12:$A$130,"&gt;="&amp;Diagram!$O16,'J1 A - (North) Bishopthorpe Roa'!$A$12:$A$130,"&lt;"&amp;Diagram!$P16),SUMIFS(INDIRECT(ADDRESS(12,3+18*0+(15),,,"J1 A - (North) Bishopthorpe Roa")&amp;":"&amp;ADDRESS(130,3+18*0+(15))),'J1 A - (North) Bishopthorpe Roa'!$A$12:$A$130,"&gt;="&amp;Diagram!$O16,'J1 A - (North) Bishopthorpe Roa'!$A$12:$A$130,"&lt;"&amp;Diagram!$P16)))</f>
        <v>0</v>
      </c>
      <c r="EJ16" s="42">
        <f ca="1">IF(OR($I$10="",$O16="",$P16="",$J$42&lt;&gt;"Yes"),0,IF($K$10=0,SUMIFS(INDIRECT(ADDRESS(12,3+18*1+(7),,,"J1 A - (North) Bishopthorpe Roa")&amp;":"&amp;ADDRESS(130,3+18*1+(7))),'J1 A - (North) Bishopthorpe Roa'!$A$12:$A$130,"&gt;="&amp;Diagram!$O16,'J1 A - (North) Bishopthorpe Roa'!$A$12:$A$130,"&lt;"&amp;Diagram!$P16),SUMIFS(INDIRECT(ADDRESS(12,3+18*1+(15),,,"J1 A - (North) Bishopthorpe Roa")&amp;":"&amp;ADDRESS(130,3+18*1+(15))),'J1 A - (North) Bishopthorpe Roa'!$A$12:$A$130,"&gt;="&amp;Diagram!$O16,'J1 A - (North) Bishopthorpe Roa'!$A$12:$A$130,"&lt;"&amp;Diagram!$P16)))</f>
        <v>0</v>
      </c>
      <c r="EK16" s="42">
        <f ca="1">IF(OR($I$10="",$O16="",$P16="",$J$42&lt;&gt;"Yes"),0,IF($K$10=0,SUMIFS(INDIRECT(ADDRESS(12,3+18*2+(7),,,"J1 A - (North) Bishopthorpe Roa")&amp;":"&amp;ADDRESS(130,3+18*2+(7))),'J1 A - (North) Bishopthorpe Roa'!$A$12:$A$130,"&gt;="&amp;Diagram!$O16,'J1 A - (North) Bishopthorpe Roa'!$A$12:$A$130,"&lt;"&amp;Diagram!$P16),SUMIFS(INDIRECT(ADDRESS(12,3+18*2+(15),,,"J1 A - (North) Bishopthorpe Roa")&amp;":"&amp;ADDRESS(130,3+18*2+(15))),'J1 A - (North) Bishopthorpe Roa'!$A$12:$A$130,"&gt;="&amp;Diagram!$O16,'J1 A - (North) Bishopthorpe Roa'!$A$12:$A$130,"&lt;"&amp;Diagram!$P16)))</f>
        <v>0</v>
      </c>
      <c r="EL16" s="42">
        <f ca="1">IF(OR($I$10="",$O16="",$P16="",$J$42&lt;&gt;"Yes"),0,IF($K$10=0,SUMIFS(INDIRECT(ADDRESS(12,3+18*2+(7),,,"J1 B - Butcher Terrace")&amp;":"&amp;ADDRESS(130,3+18*2+(7))),'J1 B - Butcher Terrace'!$A$12:$A$130,"&gt;="&amp;Diagram!$O16,'J1 B - Butcher Terrace'!$A$12:$A$130,"&lt;"&amp;Diagram!$P16),SUMIFS(INDIRECT(ADDRESS(12,3+18*2+(15),,,"J1 B - Butcher Terrace")&amp;":"&amp;ADDRESS(130,3+18*2+(15))),'J1 B - Butcher Terrace'!$A$12:$A$130,"&gt;="&amp;Diagram!$O16,'J1 B - Butcher Terrace'!$A$12:$A$130,"&lt;"&amp;Diagram!$P16)))</f>
        <v>0</v>
      </c>
      <c r="EM16" s="42">
        <f ca="1">IF(OR($I$10="",$O16="",$P16="",$J$42&lt;&gt;"Yes"),0,IF($K$10=0,SUMIFS(INDIRECT(ADDRESS(12,3+18*3+(7),,,"J1 B - Butcher Terrace")&amp;":"&amp;ADDRESS(130,3+18*3+(7))),'J1 B - Butcher Terrace'!$A$12:$A$130,"&gt;="&amp;Diagram!$O16,'J1 B - Butcher Terrace'!$A$12:$A$130,"&lt;"&amp;Diagram!$P16),SUMIFS(INDIRECT(ADDRESS(12,3+18*3+(15),,,"J1 B - Butcher Terrace")&amp;":"&amp;ADDRESS(130,3+18*3+(15))),'J1 B - Butcher Terrace'!$A$12:$A$130,"&gt;="&amp;Diagram!$O16,'J1 B - Butcher Terrace'!$A$12:$A$130,"&lt;"&amp;Diagram!$P16)))</f>
        <v>0</v>
      </c>
      <c r="EN16" s="42">
        <f ca="1">IF(OR($I$10="",$O16="",$P16="",$J$42&lt;&gt;"Yes"),0,IF($K$10=0,SUMIFS(INDIRECT(ADDRESS(12,3+18*0+(7),,,"J1 B - Butcher Terrace")&amp;":"&amp;ADDRESS(130,3+18*0+(7))),'J1 B - Butcher Terrace'!$A$12:$A$130,"&gt;="&amp;Diagram!$O16,'J1 B - Butcher Terrace'!$A$12:$A$130,"&lt;"&amp;Diagram!$P16),SUMIFS(INDIRECT(ADDRESS(12,3+18*0+(15),,,"J1 B - Butcher Terrace")&amp;":"&amp;ADDRESS(130,3+18*0+(15))),'J1 B - Butcher Terrace'!$A$12:$A$130,"&gt;="&amp;Diagram!$O16,'J1 B - Butcher Terrace'!$A$12:$A$130,"&lt;"&amp;Diagram!$P16)))</f>
        <v>0</v>
      </c>
      <c r="EO16" s="42">
        <f ca="1">IF(OR($I$10="",$O16="",$P16="",$J$42&lt;&gt;"Yes"),0,IF($K$10=0,SUMIFS(INDIRECT(ADDRESS(12,3+18*1+(7),,,"J1 B - Butcher Terrace")&amp;":"&amp;ADDRESS(130,3+18*1+(7))),'J1 B - Butcher Terrace'!$A$12:$A$130,"&gt;="&amp;Diagram!$O16,'J1 B - Butcher Terrace'!$A$12:$A$130,"&lt;"&amp;Diagram!$P16),SUMIFS(INDIRECT(ADDRESS(12,3+18*1+(15),,,"J1 B - Butcher Terrace")&amp;":"&amp;ADDRESS(130,3+18*1+(15))),'J1 B - Butcher Terrace'!$A$12:$A$130,"&gt;="&amp;Diagram!$O16,'J1 B - Butcher Terrace'!$A$12:$A$130,"&lt;"&amp;Diagram!$P16)))</f>
        <v>0</v>
      </c>
      <c r="EP16" s="42">
        <f ca="1">IF(OR($I$10="",$O16="",$P16="",$J$42&lt;&gt;"Yes"),0,IF($K$10=0,SUMIFS(INDIRECT(ADDRESS(12,3+18*1+(7),,,"J1 C - (South) Bishopthorpe Roa")&amp;":"&amp;ADDRESS(130,3+18*1+(7))),'J1 C - (South) Bishopthorpe Roa'!$A$12:$A$130,"&gt;="&amp;Diagram!$O16,'J1 C - (South) Bishopthorpe Roa'!$A$12:$A$130,"&lt;"&amp;Diagram!$P16),SUMIFS(INDIRECT(ADDRESS(12,3+18*1+(15),,,"J1 C - (South) Bishopthorpe Roa")&amp;":"&amp;ADDRESS(130,3+18*1+(15))),'J1 C - (South) Bishopthorpe Roa'!$A$12:$A$130,"&gt;="&amp;Diagram!$O16,'J1 C - (South) Bishopthorpe Roa'!$A$12:$A$130,"&lt;"&amp;Diagram!$P16)))</f>
        <v>0</v>
      </c>
      <c r="EQ16" s="42">
        <f ca="1">IF(OR($I$10="",$O16="",$P16="",$J$42&lt;&gt;"Yes"),0,IF($K$10=0,SUMIFS(INDIRECT(ADDRESS(12,3+18*2+(7),,,"J1 C - (South) Bishopthorpe Roa")&amp;":"&amp;ADDRESS(130,3+18*2+(7))),'J1 C - (South) Bishopthorpe Roa'!$A$12:$A$130,"&gt;="&amp;Diagram!$O16,'J1 C - (South) Bishopthorpe Roa'!$A$12:$A$130,"&lt;"&amp;Diagram!$P16),SUMIFS(INDIRECT(ADDRESS(12,3+18*2+(15),,,"J1 C - (South) Bishopthorpe Roa")&amp;":"&amp;ADDRESS(130,3+18*2+(15))),'J1 C - (South) Bishopthorpe Roa'!$A$12:$A$130,"&gt;="&amp;Diagram!$O16,'J1 C - (South) Bishopthorpe Roa'!$A$12:$A$130,"&lt;"&amp;Diagram!$P16)))</f>
        <v>0</v>
      </c>
      <c r="ER16" s="42">
        <f ca="1">IF(OR($I$10="",$O16="",$P16="",$J$42&lt;&gt;"Yes"),0,IF($K$10=0,SUMIFS(INDIRECT(ADDRESS(12,3+18*3+(7),,,"J1 C - (South) Bishopthorpe Roa")&amp;":"&amp;ADDRESS(130,3+18*3+(7))),'J1 C - (South) Bishopthorpe Roa'!$A$12:$A$130,"&gt;="&amp;Diagram!$O16,'J1 C - (South) Bishopthorpe Roa'!$A$12:$A$130,"&lt;"&amp;Diagram!$P16),SUMIFS(INDIRECT(ADDRESS(12,3+18*3+(15),,,"J1 C - (South) Bishopthorpe Roa")&amp;":"&amp;ADDRESS(130,3+18*3+(15))),'J1 C - (South) Bishopthorpe Roa'!$A$12:$A$130,"&gt;="&amp;Diagram!$O16,'J1 C - (South) Bishopthorpe Roa'!$A$12:$A$130,"&lt;"&amp;Diagram!$P16)))</f>
        <v>0</v>
      </c>
      <c r="ES16" s="42">
        <f ca="1">IF(OR($I$10="",$O16="",$P16="",$J$42&lt;&gt;"Yes"),0,IF($K$10=0,SUMIFS(INDIRECT(ADDRESS(12,3+18*0+(7),,,"J1 C - (South) Bishopthorpe Roa")&amp;":"&amp;ADDRESS(130,3+18*0+(7))),'J1 C - (South) Bishopthorpe Roa'!$A$12:$A$130,"&gt;="&amp;Diagram!$O16,'J1 C - (South) Bishopthorpe Roa'!$A$12:$A$130,"&lt;"&amp;Diagram!$P16),SUMIFS(INDIRECT(ADDRESS(12,3+18*0+(15),,,"J1 C - (South) Bishopthorpe Roa")&amp;":"&amp;ADDRESS(130,3+18*0+(15))),'J1 C - (South) Bishopthorpe Roa'!$A$12:$A$130,"&gt;="&amp;Diagram!$O16,'J1 C - (South) Bishopthorpe Roa'!$A$12:$A$130,"&lt;"&amp;Diagram!$P16)))</f>
        <v>0</v>
      </c>
      <c r="ET16" s="42">
        <f ca="1">IF(OR($I$10="",$O16="",$P16="",$J$42&lt;&gt;"Yes"),0,IF($K$10=0,SUMIFS(INDIRECT(ADDRESS(12,3+18*0+(7),,,"J1 D - South Bank Avenue")&amp;":"&amp;ADDRESS(130,3+18*0+(7))),'J1 D - South Bank Avenue'!$A$12:$A$130,"&gt;="&amp;Diagram!$O16,'J1 D - South Bank Avenue'!$A$12:$A$130,"&lt;"&amp;Diagram!$P16),SUMIFS(INDIRECT(ADDRESS(12,3+18*0+(15),,,"J1 D - South Bank Avenue")&amp;":"&amp;ADDRESS(130,3+18*0+(15))),'J1 D - South Bank Avenue'!$A$12:$A$130,"&gt;="&amp;Diagram!$O16,'J1 D - South Bank Avenue'!$A$12:$A$130,"&lt;"&amp;Diagram!$P16)))</f>
        <v>0</v>
      </c>
      <c r="EU16" s="42">
        <f ca="1">IF(OR($I$10="",$O16="",$P16="",$J$42&lt;&gt;"Yes"),0,IF($K$10=0,SUMIFS(INDIRECT(ADDRESS(12,3+18*1+(7),,,"J1 D - South Bank Avenue")&amp;":"&amp;ADDRESS(130,3+18*1+(7))),'J1 D - South Bank Avenue'!$A$12:$A$130,"&gt;="&amp;Diagram!$O16,'J1 D - South Bank Avenue'!$A$12:$A$130,"&lt;"&amp;Diagram!$P16),SUMIFS(INDIRECT(ADDRESS(12,3+18*1+(15),,,"J1 D - South Bank Avenue")&amp;":"&amp;ADDRESS(130,3+18*1+(15))),'J1 D - South Bank Avenue'!$A$12:$A$130,"&gt;="&amp;Diagram!$O16,'J1 D - South Bank Avenue'!$A$12:$A$130,"&lt;"&amp;Diagram!$P16)))</f>
        <v>0</v>
      </c>
      <c r="EV16" s="42">
        <f ca="1">IF(OR($I$10="",$O16="",$P16="",$J$42&lt;&gt;"Yes"),0,IF($K$10=0,SUMIFS(INDIRECT(ADDRESS(12,3+18*2+(7),,,"J1 D - South Bank Avenue")&amp;":"&amp;ADDRESS(130,3+18*2+(7))),'J1 D - South Bank Avenue'!$A$12:$A$130,"&gt;="&amp;Diagram!$O16,'J1 D - South Bank Avenue'!$A$12:$A$130,"&lt;"&amp;Diagram!$P16),SUMIFS(INDIRECT(ADDRESS(12,3+18*2+(15),,,"J1 D - South Bank Avenue")&amp;":"&amp;ADDRESS(130,3+18*2+(15))),'J1 D - South Bank Avenue'!$A$12:$A$130,"&gt;="&amp;Diagram!$O16,'J1 D - South Bank Avenue'!$A$12:$A$130,"&lt;"&amp;Diagram!$P16)))</f>
        <v>0</v>
      </c>
      <c r="EW16" s="42">
        <f ca="1">IF(OR($I$10="",$O16="",$P16="",$J$42&lt;&gt;"Yes"),0,IF($K$10=0,SUMIFS(INDIRECT(ADDRESS(12,3+18*3+(7),,,"J1 D - South Bank Avenue")&amp;":"&amp;ADDRESS(130,3+18*3+(7))),'J1 D - South Bank Avenue'!$A$12:$A$130,"&gt;="&amp;Diagram!$O16,'J1 D - South Bank Avenue'!$A$12:$A$130,"&lt;"&amp;Diagram!$P16),SUMIFS(INDIRECT(ADDRESS(12,3+18*3+(15),,,"J1 D - South Bank Avenue")&amp;":"&amp;ADDRESS(130,3+18*3+(15))),'J1 D - South Bank Avenue'!$A$12:$A$130,"&gt;="&amp;Diagram!$O16,'J1 D - South Bank Avenue'!$A$12:$A$130,"&lt;"&amp;Diagram!$P16)))</f>
        <v>0</v>
      </c>
    </row>
    <row r="17" spans="1:153" ht="21" customHeight="1">
      <c r="A17" s="1">
        <v>44395.166666666701</v>
      </c>
      <c r="B17" s="1">
        <v>44395.177083333299</v>
      </c>
      <c r="H17" s="8" t="s">
        <v>155</v>
      </c>
      <c r="I17" s="14" t="s">
        <v>152</v>
      </c>
      <c r="J17" s="13">
        <f ca="1">INDIRECT(ADDRESS($L$10+MATCH($L$17,INDIRECT($L$12),0)-1,15))</f>
        <v>44395.625</v>
      </c>
      <c r="K17" s="13">
        <f ca="1">$J$17+"00:60"</f>
        <v>44395.666666666701</v>
      </c>
      <c r="L17" s="13">
        <f ca="1">MAX(INDIRECT($L$12))</f>
        <v>795</v>
      </c>
      <c r="O17" s="3">
        <v>44395.166666666701</v>
      </c>
      <c r="P17" s="3">
        <v>44395.208333333299</v>
      </c>
      <c r="Q17" s="42">
        <f t="shared" ca="1" si="0"/>
        <v>19</v>
      </c>
      <c r="R17" s="42">
        <f t="shared" ca="1" si="1"/>
        <v>11</v>
      </c>
      <c r="S17" s="42">
        <f ca="1">IF(OR($I$10="",$O17="",$P17="",$J$35&lt;&gt;"Yes"),0,IF($K$10=0,SUMIFS(INDIRECT(ADDRESS(12,3+18*3+(0),,,"J1 A - (North) Bishopthorpe Roa")&amp;":"&amp;ADDRESS(130,3+18*3+(0))),'J1 A - (North) Bishopthorpe Roa'!$A$12:$A$130,"&gt;="&amp;Diagram!$O17,'J1 A - (North) Bishopthorpe Roa'!$A$12:$A$130,"&lt;"&amp;Diagram!$P17),SUMIFS(INDIRECT(ADDRESS(12,3+18*3+(8),,,"J1 A - (North) Bishopthorpe Roa")&amp;":"&amp;ADDRESS(130,3+18*3+(8))),'J1 A - (North) Bishopthorpe Roa'!$A$12:$A$130,"&gt;="&amp;Diagram!$O17,'J1 A - (North) Bishopthorpe Roa'!$A$12:$A$130,"&lt;"&amp;Diagram!$P17)))</f>
        <v>0</v>
      </c>
      <c r="T17" s="42">
        <f ca="1">IF(OR($I$10="",$O17="",$P17="",$J$35&lt;&gt;"Yes"),0,IF($K$10=0,SUMIFS(INDIRECT(ADDRESS(12,3+18*0+(0),,,"J1 A - (North) Bishopthorpe Roa")&amp;":"&amp;ADDRESS(130,3+18*0+(0))),'J1 A - (North) Bishopthorpe Roa'!$A$12:$A$130,"&gt;="&amp;Diagram!$O17,'J1 A - (North) Bishopthorpe Roa'!$A$12:$A$130,"&lt;"&amp;Diagram!$P17),SUMIFS(INDIRECT(ADDRESS(12,3+18*0+(8),,,"J1 A - (North) Bishopthorpe Roa")&amp;":"&amp;ADDRESS(130,3+18*0+(8))),'J1 A - (North) Bishopthorpe Roa'!$A$12:$A$130,"&gt;="&amp;Diagram!$O17,'J1 A - (North) Bishopthorpe Roa'!$A$12:$A$130,"&lt;"&amp;Diagram!$P17)))</f>
        <v>0</v>
      </c>
      <c r="U17" s="42">
        <f ca="1">IF(OR($I$10="",$O17="",$P17="",$J$35&lt;&gt;"Yes"),0,IF($K$10=0,SUMIFS(INDIRECT(ADDRESS(12,3+18*1+(0),,,"J1 A - (North) Bishopthorpe Roa")&amp;":"&amp;ADDRESS(130,3+18*1+(0))),'J1 A - (North) Bishopthorpe Roa'!$A$12:$A$130,"&gt;="&amp;Diagram!$O17,'J1 A - (North) Bishopthorpe Roa'!$A$12:$A$130,"&lt;"&amp;Diagram!$P17),SUMIFS(INDIRECT(ADDRESS(12,3+18*1+(8),,,"J1 A - (North) Bishopthorpe Roa")&amp;":"&amp;ADDRESS(130,3+18*1+(8))),'J1 A - (North) Bishopthorpe Roa'!$A$12:$A$130,"&gt;="&amp;Diagram!$O17,'J1 A - (North) Bishopthorpe Roa'!$A$12:$A$130,"&lt;"&amp;Diagram!$P17)))</f>
        <v>7</v>
      </c>
      <c r="V17" s="42">
        <f ca="1">IF(OR($I$10="",$O17="",$P17="",$J$35&lt;&gt;"Yes"),0,IF($K$10=0,SUMIFS(INDIRECT(ADDRESS(12,3+18*2+(0),,,"J1 A - (North) Bishopthorpe Roa")&amp;":"&amp;ADDRESS(130,3+18*2+(0))),'J1 A - (North) Bishopthorpe Roa'!$A$12:$A$130,"&gt;="&amp;Diagram!$O17,'J1 A - (North) Bishopthorpe Roa'!$A$12:$A$130,"&lt;"&amp;Diagram!$P17),SUMIFS(INDIRECT(ADDRESS(12,3+18*2+(8),,,"J1 A - (North) Bishopthorpe Roa")&amp;":"&amp;ADDRESS(130,3+18*2+(8))),'J1 A - (North) Bishopthorpe Roa'!$A$12:$A$130,"&gt;="&amp;Diagram!$O17,'J1 A - (North) Bishopthorpe Roa'!$A$12:$A$130,"&lt;"&amp;Diagram!$P17)))</f>
        <v>0</v>
      </c>
      <c r="W17" s="42">
        <f ca="1">IF(OR($I$10="",$O17="",$P17="",$J$35&lt;&gt;"Yes"),0,IF($K$10=0,SUMIFS(INDIRECT(ADDRESS(12,3+18*2+(0),,,"J1 B - Butcher Terrace")&amp;":"&amp;ADDRESS(130,3+18*2+(0))),'J1 B - Butcher Terrace'!$A$12:$A$130,"&gt;="&amp;Diagram!$O17,'J1 B - Butcher Terrace'!$A$12:$A$130,"&lt;"&amp;Diagram!$P17),SUMIFS(INDIRECT(ADDRESS(12,3+18*2+(8),,,"J1 B - Butcher Terrace")&amp;":"&amp;ADDRESS(130,3+18*2+(8))),'J1 B - Butcher Terrace'!$A$12:$A$130,"&gt;="&amp;Diagram!$O17,'J1 B - Butcher Terrace'!$A$12:$A$130,"&lt;"&amp;Diagram!$P17)))</f>
        <v>0</v>
      </c>
      <c r="X17" s="42">
        <f ca="1">IF(OR($I$10="",$O17="",$P17="",$J$35&lt;&gt;"Yes"),0,IF($K$10=0,SUMIFS(INDIRECT(ADDRESS(12,3+18*3+(0),,,"J1 B - Butcher Terrace")&amp;":"&amp;ADDRESS(130,3+18*3+(0))),'J1 B - Butcher Terrace'!$A$12:$A$130,"&gt;="&amp;Diagram!$O17,'J1 B - Butcher Terrace'!$A$12:$A$130,"&lt;"&amp;Diagram!$P17),SUMIFS(INDIRECT(ADDRESS(12,3+18*3+(8),,,"J1 B - Butcher Terrace")&amp;":"&amp;ADDRESS(130,3+18*3+(8))),'J1 B - Butcher Terrace'!$A$12:$A$130,"&gt;="&amp;Diagram!$O17,'J1 B - Butcher Terrace'!$A$12:$A$130,"&lt;"&amp;Diagram!$P17)))</f>
        <v>0</v>
      </c>
      <c r="Y17" s="42">
        <f ca="1">IF(OR($I$10="",$O17="",$P17="",$J$35&lt;&gt;"Yes"),0,IF($K$10=0,SUMIFS(INDIRECT(ADDRESS(12,3+18*0+(0),,,"J1 B - Butcher Terrace")&amp;":"&amp;ADDRESS(130,3+18*0+(0))),'J1 B - Butcher Terrace'!$A$12:$A$130,"&gt;="&amp;Diagram!$O17,'J1 B - Butcher Terrace'!$A$12:$A$130,"&lt;"&amp;Diagram!$P17),SUMIFS(INDIRECT(ADDRESS(12,3+18*0+(8),,,"J1 B - Butcher Terrace")&amp;":"&amp;ADDRESS(130,3+18*0+(8))),'J1 B - Butcher Terrace'!$A$12:$A$130,"&gt;="&amp;Diagram!$O17,'J1 B - Butcher Terrace'!$A$12:$A$130,"&lt;"&amp;Diagram!$P17)))</f>
        <v>0</v>
      </c>
      <c r="Z17" s="42">
        <f ca="1">IF(OR($I$10="",$O17="",$P17="",$J$35&lt;&gt;"Yes"),0,IF($K$10=0,SUMIFS(INDIRECT(ADDRESS(12,3+18*1+(0),,,"J1 B - Butcher Terrace")&amp;":"&amp;ADDRESS(130,3+18*1+(0))),'J1 B - Butcher Terrace'!$A$12:$A$130,"&gt;="&amp;Diagram!$O17,'J1 B - Butcher Terrace'!$A$12:$A$130,"&lt;"&amp;Diagram!$P17),SUMIFS(INDIRECT(ADDRESS(12,3+18*1+(8),,,"J1 B - Butcher Terrace")&amp;":"&amp;ADDRESS(130,3+18*1+(8))),'J1 B - Butcher Terrace'!$A$12:$A$130,"&gt;="&amp;Diagram!$O17,'J1 B - Butcher Terrace'!$A$12:$A$130,"&lt;"&amp;Diagram!$P17)))</f>
        <v>0</v>
      </c>
      <c r="AA17" s="42">
        <f ca="1">IF(OR($I$10="",$O17="",$P17="",$J$35&lt;&gt;"Yes"),0,IF($K$10=0,SUMIFS(INDIRECT(ADDRESS(12,3+18*1+(0),,,"J1 C - (South) Bishopthorpe Roa")&amp;":"&amp;ADDRESS(130,3+18*1+(0))),'J1 C - (South) Bishopthorpe Roa'!$A$12:$A$130,"&gt;="&amp;Diagram!$O17,'J1 C - (South) Bishopthorpe Roa'!$A$12:$A$130,"&lt;"&amp;Diagram!$P17),SUMIFS(INDIRECT(ADDRESS(12,3+18*1+(8),,,"J1 C - (South) Bishopthorpe Roa")&amp;":"&amp;ADDRESS(130,3+18*1+(8))),'J1 C - (South) Bishopthorpe Roa'!$A$12:$A$130,"&gt;="&amp;Diagram!$O17,'J1 C - (South) Bishopthorpe Roa'!$A$12:$A$130,"&lt;"&amp;Diagram!$P17)))</f>
        <v>4</v>
      </c>
      <c r="AB17" s="42">
        <f ca="1">IF(OR($I$10="",$O17="",$P17="",$J$35&lt;&gt;"Yes"),0,IF($K$10=0,SUMIFS(INDIRECT(ADDRESS(12,3+18*2+(0),,,"J1 C - (South) Bishopthorpe Roa")&amp;":"&amp;ADDRESS(130,3+18*2+(0))),'J1 C - (South) Bishopthorpe Roa'!$A$12:$A$130,"&gt;="&amp;Diagram!$O17,'J1 C - (South) Bishopthorpe Roa'!$A$12:$A$130,"&lt;"&amp;Diagram!$P17),SUMIFS(INDIRECT(ADDRESS(12,3+18*2+(8),,,"J1 C - (South) Bishopthorpe Roa")&amp;":"&amp;ADDRESS(130,3+18*2+(8))),'J1 C - (South) Bishopthorpe Roa'!$A$12:$A$130,"&gt;="&amp;Diagram!$O17,'J1 C - (South) Bishopthorpe Roa'!$A$12:$A$130,"&lt;"&amp;Diagram!$P17)))</f>
        <v>0</v>
      </c>
      <c r="AC17" s="42">
        <f ca="1">IF(OR($I$10="",$O17="",$P17="",$J$35&lt;&gt;"Yes"),0,IF($K$10=0,SUMIFS(INDIRECT(ADDRESS(12,3+18*3+(0),,,"J1 C - (South) Bishopthorpe Roa")&amp;":"&amp;ADDRESS(130,3+18*3+(0))),'J1 C - (South) Bishopthorpe Roa'!$A$12:$A$130,"&gt;="&amp;Diagram!$O17,'J1 C - (South) Bishopthorpe Roa'!$A$12:$A$130,"&lt;"&amp;Diagram!$P17),SUMIFS(INDIRECT(ADDRESS(12,3+18*3+(8),,,"J1 C - (South) Bishopthorpe Roa")&amp;":"&amp;ADDRESS(130,3+18*3+(8))),'J1 C - (South) Bishopthorpe Roa'!$A$12:$A$130,"&gt;="&amp;Diagram!$O17,'J1 C - (South) Bishopthorpe Roa'!$A$12:$A$130,"&lt;"&amp;Diagram!$P17)))</f>
        <v>0</v>
      </c>
      <c r="AD17" s="42">
        <f ca="1">IF(OR($I$10="",$O17="",$P17="",$J$35&lt;&gt;"Yes"),0,IF($K$10=0,SUMIFS(INDIRECT(ADDRESS(12,3+18*0+(0),,,"J1 C - (South) Bishopthorpe Roa")&amp;":"&amp;ADDRESS(130,3+18*0+(0))),'J1 C - (South) Bishopthorpe Roa'!$A$12:$A$130,"&gt;="&amp;Diagram!$O17,'J1 C - (South) Bishopthorpe Roa'!$A$12:$A$130,"&lt;"&amp;Diagram!$P17),SUMIFS(INDIRECT(ADDRESS(12,3+18*0+(8),,,"J1 C - (South) Bishopthorpe Roa")&amp;":"&amp;ADDRESS(130,3+18*0+(8))),'J1 C - (South) Bishopthorpe Roa'!$A$12:$A$130,"&gt;="&amp;Diagram!$O17,'J1 C - (South) Bishopthorpe Roa'!$A$12:$A$130,"&lt;"&amp;Diagram!$P17)))</f>
        <v>0</v>
      </c>
      <c r="AE17" s="42">
        <f ca="1">IF(OR($I$10="",$O17="",$P17="",$J$35&lt;&gt;"Yes"),0,IF($K$10=0,SUMIFS(INDIRECT(ADDRESS(12,3+18*0+(0),,,"J1 D - South Bank Avenue")&amp;":"&amp;ADDRESS(130,3+18*0+(0))),'J1 D - South Bank Avenue'!$A$12:$A$130,"&gt;="&amp;Diagram!$O17,'J1 D - South Bank Avenue'!$A$12:$A$130,"&lt;"&amp;Diagram!$P17),SUMIFS(INDIRECT(ADDRESS(12,3+18*0+(8),,,"J1 D - South Bank Avenue")&amp;":"&amp;ADDRESS(130,3+18*0+(8))),'J1 D - South Bank Avenue'!$A$12:$A$130,"&gt;="&amp;Diagram!$O17,'J1 D - South Bank Avenue'!$A$12:$A$130,"&lt;"&amp;Diagram!$P17)))</f>
        <v>0</v>
      </c>
      <c r="AF17" s="42">
        <f ca="1">IF(OR($I$10="",$O17="",$P17="",$J$35&lt;&gt;"Yes"),0,IF($K$10=0,SUMIFS(INDIRECT(ADDRESS(12,3+18*1+(0),,,"J1 D - South Bank Avenue")&amp;":"&amp;ADDRESS(130,3+18*1+(0))),'J1 D - South Bank Avenue'!$A$12:$A$130,"&gt;="&amp;Diagram!$O17,'J1 D - South Bank Avenue'!$A$12:$A$130,"&lt;"&amp;Diagram!$P17),SUMIFS(INDIRECT(ADDRESS(12,3+18*1+(8),,,"J1 D - South Bank Avenue")&amp;":"&amp;ADDRESS(130,3+18*1+(8))),'J1 D - South Bank Avenue'!$A$12:$A$130,"&gt;="&amp;Diagram!$O17,'J1 D - South Bank Avenue'!$A$12:$A$130,"&lt;"&amp;Diagram!$P17)))</f>
        <v>0</v>
      </c>
      <c r="AG17" s="42">
        <f ca="1">IF(OR($I$10="",$O17="",$P17="",$J$35&lt;&gt;"Yes"),0,IF($K$10=0,SUMIFS(INDIRECT(ADDRESS(12,3+18*2+(0),,,"J1 D - South Bank Avenue")&amp;":"&amp;ADDRESS(130,3+18*2+(0))),'J1 D - South Bank Avenue'!$A$12:$A$130,"&gt;="&amp;Diagram!$O17,'J1 D - South Bank Avenue'!$A$12:$A$130,"&lt;"&amp;Diagram!$P17),SUMIFS(INDIRECT(ADDRESS(12,3+18*2+(8),,,"J1 D - South Bank Avenue")&amp;":"&amp;ADDRESS(130,3+18*2+(8))),'J1 D - South Bank Avenue'!$A$12:$A$130,"&gt;="&amp;Diagram!$O17,'J1 D - South Bank Avenue'!$A$12:$A$130,"&lt;"&amp;Diagram!$P17)))</f>
        <v>0</v>
      </c>
      <c r="AH17" s="42">
        <f ca="1">IF(OR($I$10="",$O17="",$P17="",$J$35&lt;&gt;"Yes"),0,IF($K$10=0,SUMIFS(INDIRECT(ADDRESS(12,3+18*3+(0),,,"J1 D - South Bank Avenue")&amp;":"&amp;ADDRESS(130,3+18*3+(0))),'J1 D - South Bank Avenue'!$A$12:$A$130,"&gt;="&amp;Diagram!$O17,'J1 D - South Bank Avenue'!$A$12:$A$130,"&lt;"&amp;Diagram!$P17),SUMIFS(INDIRECT(ADDRESS(12,3+18*3+(8),,,"J1 D - South Bank Avenue")&amp;":"&amp;ADDRESS(130,3+18*3+(8))),'J1 D - South Bank Avenue'!$A$12:$A$130,"&gt;="&amp;Diagram!$O17,'J1 D - South Bank Avenue'!$A$12:$A$130,"&lt;"&amp;Diagram!$P17)))</f>
        <v>0</v>
      </c>
      <c r="AI17" s="42">
        <f t="shared" ca="1" si="2"/>
        <v>3</v>
      </c>
      <c r="AJ17" s="42">
        <f ca="1">IF(OR($I$10="",$O17="",$P17="",$J$36&lt;&gt;"Yes"),0,IF($K$10=0,SUMIFS(INDIRECT(ADDRESS(12,3+18*3+(1),,,"J1 A - (North) Bishopthorpe Roa")&amp;":"&amp;ADDRESS(130,3+18*3+(1))),'J1 A - (North) Bishopthorpe Roa'!$A$12:$A$130,"&gt;="&amp;Diagram!$O17,'J1 A - (North) Bishopthorpe Roa'!$A$12:$A$130,"&lt;"&amp;Diagram!$P17),SUMIFS(INDIRECT(ADDRESS(12,3+18*3+(9),,,"J1 A - (North) Bishopthorpe Roa")&amp;":"&amp;ADDRESS(130,3+18*3+(9))),'J1 A - (North) Bishopthorpe Roa'!$A$12:$A$130,"&gt;="&amp;Diagram!$O17,'J1 A - (North) Bishopthorpe Roa'!$A$12:$A$130,"&lt;"&amp;Diagram!$P17)))</f>
        <v>0</v>
      </c>
      <c r="AK17" s="42">
        <f ca="1">IF(OR($I$10="",$O17="",$P17="",$J$36&lt;&gt;"Yes"),0,IF($K$10=0,SUMIFS(INDIRECT(ADDRESS(12,3+18*0+(1),,,"J1 A - (North) Bishopthorpe Roa")&amp;":"&amp;ADDRESS(130,3+18*0+(1))),'J1 A - (North) Bishopthorpe Roa'!$A$12:$A$130,"&gt;="&amp;Diagram!$O17,'J1 A - (North) Bishopthorpe Roa'!$A$12:$A$130,"&lt;"&amp;Diagram!$P17),SUMIFS(INDIRECT(ADDRESS(12,3+18*0+(9),,,"J1 A - (North) Bishopthorpe Roa")&amp;":"&amp;ADDRESS(130,3+18*0+(9))),'J1 A - (North) Bishopthorpe Roa'!$A$12:$A$130,"&gt;="&amp;Diagram!$O17,'J1 A - (North) Bishopthorpe Roa'!$A$12:$A$130,"&lt;"&amp;Diagram!$P17)))</f>
        <v>0</v>
      </c>
      <c r="AL17" s="42">
        <f ca="1">IF(OR($I$10="",$O17="",$P17="",$J$36&lt;&gt;"Yes"),0,IF($K$10=0,SUMIFS(INDIRECT(ADDRESS(12,3+18*1+(1),,,"J1 A - (North) Bishopthorpe Roa")&amp;":"&amp;ADDRESS(130,3+18*1+(1))),'J1 A - (North) Bishopthorpe Roa'!$A$12:$A$130,"&gt;="&amp;Diagram!$O17,'J1 A - (North) Bishopthorpe Roa'!$A$12:$A$130,"&lt;"&amp;Diagram!$P17),SUMIFS(INDIRECT(ADDRESS(12,3+18*1+(9),,,"J1 A - (North) Bishopthorpe Roa")&amp;":"&amp;ADDRESS(130,3+18*1+(9))),'J1 A - (North) Bishopthorpe Roa'!$A$12:$A$130,"&gt;="&amp;Diagram!$O17,'J1 A - (North) Bishopthorpe Roa'!$A$12:$A$130,"&lt;"&amp;Diagram!$P17)))</f>
        <v>1</v>
      </c>
      <c r="AM17" s="42">
        <f ca="1">IF(OR($I$10="",$O17="",$P17="",$J$36&lt;&gt;"Yes"),0,IF($K$10=0,SUMIFS(INDIRECT(ADDRESS(12,3+18*2+(1),,,"J1 A - (North) Bishopthorpe Roa")&amp;":"&amp;ADDRESS(130,3+18*2+(1))),'J1 A - (North) Bishopthorpe Roa'!$A$12:$A$130,"&gt;="&amp;Diagram!$O17,'J1 A - (North) Bishopthorpe Roa'!$A$12:$A$130,"&lt;"&amp;Diagram!$P17),SUMIFS(INDIRECT(ADDRESS(12,3+18*2+(9),,,"J1 A - (North) Bishopthorpe Roa")&amp;":"&amp;ADDRESS(130,3+18*2+(9))),'J1 A - (North) Bishopthorpe Roa'!$A$12:$A$130,"&gt;="&amp;Diagram!$O17,'J1 A - (North) Bishopthorpe Roa'!$A$12:$A$130,"&lt;"&amp;Diagram!$P17)))</f>
        <v>0</v>
      </c>
      <c r="AN17" s="42">
        <f ca="1">IF(OR($I$10="",$O17="",$P17="",$J$36&lt;&gt;"Yes"),0,IF($K$10=0,SUMIFS(INDIRECT(ADDRESS(12,3+18*2+(1),,,"J1 B - Butcher Terrace")&amp;":"&amp;ADDRESS(130,3+18*2+(1))),'J1 B - Butcher Terrace'!$A$12:$A$130,"&gt;="&amp;Diagram!$O17,'J1 B - Butcher Terrace'!$A$12:$A$130,"&lt;"&amp;Diagram!$P17),SUMIFS(INDIRECT(ADDRESS(12,3+18*2+(9),,,"J1 B - Butcher Terrace")&amp;":"&amp;ADDRESS(130,3+18*2+(9))),'J1 B - Butcher Terrace'!$A$12:$A$130,"&gt;="&amp;Diagram!$O17,'J1 B - Butcher Terrace'!$A$12:$A$130,"&lt;"&amp;Diagram!$P17)))</f>
        <v>0</v>
      </c>
      <c r="AO17" s="42">
        <f ca="1">IF(OR($I$10="",$O17="",$P17="",$J$36&lt;&gt;"Yes"),0,IF($K$10=0,SUMIFS(INDIRECT(ADDRESS(12,3+18*3+(1),,,"J1 B - Butcher Terrace")&amp;":"&amp;ADDRESS(130,3+18*3+(1))),'J1 B - Butcher Terrace'!$A$12:$A$130,"&gt;="&amp;Diagram!$O17,'J1 B - Butcher Terrace'!$A$12:$A$130,"&lt;"&amp;Diagram!$P17),SUMIFS(INDIRECT(ADDRESS(12,3+18*3+(9),,,"J1 B - Butcher Terrace")&amp;":"&amp;ADDRESS(130,3+18*3+(9))),'J1 B - Butcher Terrace'!$A$12:$A$130,"&gt;="&amp;Diagram!$O17,'J1 B - Butcher Terrace'!$A$12:$A$130,"&lt;"&amp;Diagram!$P17)))</f>
        <v>0</v>
      </c>
      <c r="AP17" s="42">
        <f ca="1">IF(OR($I$10="",$O17="",$P17="",$J$36&lt;&gt;"Yes"),0,IF($K$10=0,SUMIFS(INDIRECT(ADDRESS(12,3+18*0+(1),,,"J1 B - Butcher Terrace")&amp;":"&amp;ADDRESS(130,3+18*0+(1))),'J1 B - Butcher Terrace'!$A$12:$A$130,"&gt;="&amp;Diagram!$O17,'J1 B - Butcher Terrace'!$A$12:$A$130,"&lt;"&amp;Diagram!$P17),SUMIFS(INDIRECT(ADDRESS(12,3+18*0+(9),,,"J1 B - Butcher Terrace")&amp;":"&amp;ADDRESS(130,3+18*0+(9))),'J1 B - Butcher Terrace'!$A$12:$A$130,"&gt;="&amp;Diagram!$O17,'J1 B - Butcher Terrace'!$A$12:$A$130,"&lt;"&amp;Diagram!$P17)))</f>
        <v>0</v>
      </c>
      <c r="AQ17" s="42">
        <f ca="1">IF(OR($I$10="",$O17="",$P17="",$J$36&lt;&gt;"Yes"),0,IF($K$10=0,SUMIFS(INDIRECT(ADDRESS(12,3+18*1+(1),,,"J1 B - Butcher Terrace")&amp;":"&amp;ADDRESS(130,3+18*1+(1))),'J1 B - Butcher Terrace'!$A$12:$A$130,"&gt;="&amp;Diagram!$O17,'J1 B - Butcher Terrace'!$A$12:$A$130,"&lt;"&amp;Diagram!$P17),SUMIFS(INDIRECT(ADDRESS(12,3+18*1+(9),,,"J1 B - Butcher Terrace")&amp;":"&amp;ADDRESS(130,3+18*1+(9))),'J1 B - Butcher Terrace'!$A$12:$A$130,"&gt;="&amp;Diagram!$O17,'J1 B - Butcher Terrace'!$A$12:$A$130,"&lt;"&amp;Diagram!$P17)))</f>
        <v>0</v>
      </c>
      <c r="AR17" s="42">
        <f ca="1">IF(OR($I$10="",$O17="",$P17="",$J$36&lt;&gt;"Yes"),0,IF($K$10=0,SUMIFS(INDIRECT(ADDRESS(12,3+18*1+(1),,,"J1 C - (South) Bishopthorpe Roa")&amp;":"&amp;ADDRESS(130,3+18*1+(1))),'J1 C - (South) Bishopthorpe Roa'!$A$12:$A$130,"&gt;="&amp;Diagram!$O17,'J1 C - (South) Bishopthorpe Roa'!$A$12:$A$130,"&lt;"&amp;Diagram!$P17),SUMIFS(INDIRECT(ADDRESS(12,3+18*1+(9),,,"J1 C - (South) Bishopthorpe Roa")&amp;":"&amp;ADDRESS(130,3+18*1+(9))),'J1 C - (South) Bishopthorpe Roa'!$A$12:$A$130,"&gt;="&amp;Diagram!$O17,'J1 C - (South) Bishopthorpe Roa'!$A$12:$A$130,"&lt;"&amp;Diagram!$P17)))</f>
        <v>1</v>
      </c>
      <c r="AS17" s="42">
        <f ca="1">IF(OR($I$10="",$O17="",$P17="",$J$36&lt;&gt;"Yes"),0,IF($K$10=0,SUMIFS(INDIRECT(ADDRESS(12,3+18*2+(1),,,"J1 C - (South) Bishopthorpe Roa")&amp;":"&amp;ADDRESS(130,3+18*2+(1))),'J1 C - (South) Bishopthorpe Roa'!$A$12:$A$130,"&gt;="&amp;Diagram!$O17,'J1 C - (South) Bishopthorpe Roa'!$A$12:$A$130,"&lt;"&amp;Diagram!$P17),SUMIFS(INDIRECT(ADDRESS(12,3+18*2+(9),,,"J1 C - (South) Bishopthorpe Roa")&amp;":"&amp;ADDRESS(130,3+18*2+(9))),'J1 C - (South) Bishopthorpe Roa'!$A$12:$A$130,"&gt;="&amp;Diagram!$O17,'J1 C - (South) Bishopthorpe Roa'!$A$12:$A$130,"&lt;"&amp;Diagram!$P17)))</f>
        <v>0</v>
      </c>
      <c r="AT17" s="42">
        <f ca="1">IF(OR($I$10="",$O17="",$P17="",$J$36&lt;&gt;"Yes"),0,IF($K$10=0,SUMIFS(INDIRECT(ADDRESS(12,3+18*3+(1),,,"J1 C - (South) Bishopthorpe Roa")&amp;":"&amp;ADDRESS(130,3+18*3+(1))),'J1 C - (South) Bishopthorpe Roa'!$A$12:$A$130,"&gt;="&amp;Diagram!$O17,'J1 C - (South) Bishopthorpe Roa'!$A$12:$A$130,"&lt;"&amp;Diagram!$P17),SUMIFS(INDIRECT(ADDRESS(12,3+18*3+(9),,,"J1 C - (South) Bishopthorpe Roa")&amp;":"&amp;ADDRESS(130,3+18*3+(9))),'J1 C - (South) Bishopthorpe Roa'!$A$12:$A$130,"&gt;="&amp;Diagram!$O17,'J1 C - (South) Bishopthorpe Roa'!$A$12:$A$130,"&lt;"&amp;Diagram!$P17)))</f>
        <v>0</v>
      </c>
      <c r="AU17" s="42">
        <f ca="1">IF(OR($I$10="",$O17="",$P17="",$J$36&lt;&gt;"Yes"),0,IF($K$10=0,SUMIFS(INDIRECT(ADDRESS(12,3+18*0+(1),,,"J1 C - (South) Bishopthorpe Roa")&amp;":"&amp;ADDRESS(130,3+18*0+(1))),'J1 C - (South) Bishopthorpe Roa'!$A$12:$A$130,"&gt;="&amp;Diagram!$O17,'J1 C - (South) Bishopthorpe Roa'!$A$12:$A$130,"&lt;"&amp;Diagram!$P17),SUMIFS(INDIRECT(ADDRESS(12,3+18*0+(9),,,"J1 C - (South) Bishopthorpe Roa")&amp;":"&amp;ADDRESS(130,3+18*0+(9))),'J1 C - (South) Bishopthorpe Roa'!$A$12:$A$130,"&gt;="&amp;Diagram!$O17,'J1 C - (South) Bishopthorpe Roa'!$A$12:$A$130,"&lt;"&amp;Diagram!$P17)))</f>
        <v>0</v>
      </c>
      <c r="AV17" s="42">
        <f ca="1">IF(OR($I$10="",$O17="",$P17="",$J$36&lt;&gt;"Yes"),0,IF($K$10=0,SUMIFS(INDIRECT(ADDRESS(12,3+18*0+(1),,,"J1 D - South Bank Avenue")&amp;":"&amp;ADDRESS(130,3+18*0+(1))),'J1 D - South Bank Avenue'!$A$12:$A$130,"&gt;="&amp;Diagram!$O17,'J1 D - South Bank Avenue'!$A$12:$A$130,"&lt;"&amp;Diagram!$P17),SUMIFS(INDIRECT(ADDRESS(12,3+18*0+(9),,,"J1 D - South Bank Avenue")&amp;":"&amp;ADDRESS(130,3+18*0+(9))),'J1 D - South Bank Avenue'!$A$12:$A$130,"&gt;="&amp;Diagram!$O17,'J1 D - South Bank Avenue'!$A$12:$A$130,"&lt;"&amp;Diagram!$P17)))</f>
        <v>0</v>
      </c>
      <c r="AW17" s="42">
        <f ca="1">IF(OR($I$10="",$O17="",$P17="",$J$36&lt;&gt;"Yes"),0,IF($K$10=0,SUMIFS(INDIRECT(ADDRESS(12,3+18*1+(1),,,"J1 D - South Bank Avenue")&amp;":"&amp;ADDRESS(130,3+18*1+(1))),'J1 D - South Bank Avenue'!$A$12:$A$130,"&gt;="&amp;Diagram!$O17,'J1 D - South Bank Avenue'!$A$12:$A$130,"&lt;"&amp;Diagram!$P17),SUMIFS(INDIRECT(ADDRESS(12,3+18*1+(9),,,"J1 D - South Bank Avenue")&amp;":"&amp;ADDRESS(130,3+18*1+(9))),'J1 D - South Bank Avenue'!$A$12:$A$130,"&gt;="&amp;Diagram!$O17,'J1 D - South Bank Avenue'!$A$12:$A$130,"&lt;"&amp;Diagram!$P17)))</f>
        <v>0</v>
      </c>
      <c r="AX17" s="42">
        <f ca="1">IF(OR($I$10="",$O17="",$P17="",$J$36&lt;&gt;"Yes"),0,IF($K$10=0,SUMIFS(INDIRECT(ADDRESS(12,3+18*2+(1),,,"J1 D - South Bank Avenue")&amp;":"&amp;ADDRESS(130,3+18*2+(1))),'J1 D - South Bank Avenue'!$A$12:$A$130,"&gt;="&amp;Diagram!$O17,'J1 D - South Bank Avenue'!$A$12:$A$130,"&lt;"&amp;Diagram!$P17),SUMIFS(INDIRECT(ADDRESS(12,3+18*2+(9),,,"J1 D - South Bank Avenue")&amp;":"&amp;ADDRESS(130,3+18*2+(9))),'J1 D - South Bank Avenue'!$A$12:$A$130,"&gt;="&amp;Diagram!$O17,'J1 D - South Bank Avenue'!$A$12:$A$130,"&lt;"&amp;Diagram!$P17)))</f>
        <v>1</v>
      </c>
      <c r="AY17" s="42">
        <f ca="1">IF(OR($I$10="",$O17="",$P17="",$J$36&lt;&gt;"Yes"),0,IF($K$10=0,SUMIFS(INDIRECT(ADDRESS(12,3+18*3+(1),,,"J1 D - South Bank Avenue")&amp;":"&amp;ADDRESS(130,3+18*3+(1))),'J1 D - South Bank Avenue'!$A$12:$A$130,"&gt;="&amp;Diagram!$O17,'J1 D - South Bank Avenue'!$A$12:$A$130,"&lt;"&amp;Diagram!$P17),SUMIFS(INDIRECT(ADDRESS(12,3+18*3+(9),,,"J1 D - South Bank Avenue")&amp;":"&amp;ADDRESS(130,3+18*3+(9))),'J1 D - South Bank Avenue'!$A$12:$A$130,"&gt;="&amp;Diagram!$O17,'J1 D - South Bank Avenue'!$A$12:$A$130,"&lt;"&amp;Diagram!$P17)))</f>
        <v>0</v>
      </c>
      <c r="AZ17" s="42">
        <f t="shared" ca="1" si="3"/>
        <v>2</v>
      </c>
      <c r="BA17" s="42">
        <f ca="1">IF(OR($I$10="",$O17="",$P17="",$J$37&lt;&gt;"Yes"),0,IF($K$10=0,SUMIFS(INDIRECT(ADDRESS(12,3+18*3+(2),,,"J1 A - (North) Bishopthorpe Roa")&amp;":"&amp;ADDRESS(130,3+18*3+(2))),'J1 A - (North) Bishopthorpe Roa'!$A$12:$A$130,"&gt;="&amp;Diagram!$O17,'J1 A - (North) Bishopthorpe Roa'!$A$12:$A$130,"&lt;"&amp;Diagram!$P17),SUMIFS(INDIRECT(ADDRESS(12,3+18*3+(10),,,"J1 A - (North) Bishopthorpe Roa")&amp;":"&amp;ADDRESS(130,3+18*3+(10))),'J1 A - (North) Bishopthorpe Roa'!$A$12:$A$130,"&gt;="&amp;Diagram!$O17,'J1 A - (North) Bishopthorpe Roa'!$A$12:$A$130,"&lt;"&amp;Diagram!$P17)))</f>
        <v>0</v>
      </c>
      <c r="BB17" s="42">
        <f ca="1">IF(OR($I$10="",$O17="",$P17="",$J$37&lt;&gt;"Yes"),0,IF($K$10=0,SUMIFS(INDIRECT(ADDRESS(12,3+18*0+(2),,,"J1 A - (North) Bishopthorpe Roa")&amp;":"&amp;ADDRESS(130,3+18*0+(2))),'J1 A - (North) Bishopthorpe Roa'!$A$12:$A$130,"&gt;="&amp;Diagram!$O17,'J1 A - (North) Bishopthorpe Roa'!$A$12:$A$130,"&lt;"&amp;Diagram!$P17),SUMIFS(INDIRECT(ADDRESS(12,3+18*0+(10),,,"J1 A - (North) Bishopthorpe Roa")&amp;":"&amp;ADDRESS(130,3+18*0+(10))),'J1 A - (North) Bishopthorpe Roa'!$A$12:$A$130,"&gt;="&amp;Diagram!$O17,'J1 A - (North) Bishopthorpe Roa'!$A$12:$A$130,"&lt;"&amp;Diagram!$P17)))</f>
        <v>0</v>
      </c>
      <c r="BC17" s="42">
        <f ca="1">IF(OR($I$10="",$O17="",$P17="",$J$37&lt;&gt;"Yes"),0,IF($K$10=0,SUMIFS(INDIRECT(ADDRESS(12,3+18*1+(2),,,"J1 A - (North) Bishopthorpe Roa")&amp;":"&amp;ADDRESS(130,3+18*1+(2))),'J1 A - (North) Bishopthorpe Roa'!$A$12:$A$130,"&gt;="&amp;Diagram!$O17,'J1 A - (North) Bishopthorpe Roa'!$A$12:$A$130,"&lt;"&amp;Diagram!$P17),SUMIFS(INDIRECT(ADDRESS(12,3+18*1+(10),,,"J1 A - (North) Bishopthorpe Roa")&amp;":"&amp;ADDRESS(130,3+18*1+(10))),'J1 A - (North) Bishopthorpe Roa'!$A$12:$A$130,"&gt;="&amp;Diagram!$O17,'J1 A - (North) Bishopthorpe Roa'!$A$12:$A$130,"&lt;"&amp;Diagram!$P17)))</f>
        <v>1</v>
      </c>
      <c r="BD17" s="42">
        <f ca="1">IF(OR($I$10="",$O17="",$P17="",$J$37&lt;&gt;"Yes"),0,IF($K$10=0,SUMIFS(INDIRECT(ADDRESS(12,3+18*2+(2),,,"J1 A - (North) Bishopthorpe Roa")&amp;":"&amp;ADDRESS(130,3+18*2+(2))),'J1 A - (North) Bishopthorpe Roa'!$A$12:$A$130,"&gt;="&amp;Diagram!$O17,'J1 A - (North) Bishopthorpe Roa'!$A$12:$A$130,"&lt;"&amp;Diagram!$P17),SUMIFS(INDIRECT(ADDRESS(12,3+18*2+(10),,,"J1 A - (North) Bishopthorpe Roa")&amp;":"&amp;ADDRESS(130,3+18*2+(10))),'J1 A - (North) Bishopthorpe Roa'!$A$12:$A$130,"&gt;="&amp;Diagram!$O17,'J1 A - (North) Bishopthorpe Roa'!$A$12:$A$130,"&lt;"&amp;Diagram!$P17)))</f>
        <v>0</v>
      </c>
      <c r="BE17" s="42">
        <f ca="1">IF(OR($I$10="",$O17="",$P17="",$J$37&lt;&gt;"Yes"),0,IF($K$10=0,SUMIFS(INDIRECT(ADDRESS(12,3+18*2+(2),,,"J1 B - Butcher Terrace")&amp;":"&amp;ADDRESS(130,3+18*2+(2))),'J1 B - Butcher Terrace'!$A$12:$A$130,"&gt;="&amp;Diagram!$O17,'J1 B - Butcher Terrace'!$A$12:$A$130,"&lt;"&amp;Diagram!$P17),SUMIFS(INDIRECT(ADDRESS(12,3+18*2+(10),,,"J1 B - Butcher Terrace")&amp;":"&amp;ADDRESS(130,3+18*2+(10))),'J1 B - Butcher Terrace'!$A$12:$A$130,"&gt;="&amp;Diagram!$O17,'J1 B - Butcher Terrace'!$A$12:$A$130,"&lt;"&amp;Diagram!$P17)))</f>
        <v>0</v>
      </c>
      <c r="BF17" s="42">
        <f ca="1">IF(OR($I$10="",$O17="",$P17="",$J$37&lt;&gt;"Yes"),0,IF($K$10=0,SUMIFS(INDIRECT(ADDRESS(12,3+18*3+(2),,,"J1 B - Butcher Terrace")&amp;":"&amp;ADDRESS(130,3+18*3+(2))),'J1 B - Butcher Terrace'!$A$12:$A$130,"&gt;="&amp;Diagram!$O17,'J1 B - Butcher Terrace'!$A$12:$A$130,"&lt;"&amp;Diagram!$P17),SUMIFS(INDIRECT(ADDRESS(12,3+18*3+(10),,,"J1 B - Butcher Terrace")&amp;":"&amp;ADDRESS(130,3+18*3+(10))),'J1 B - Butcher Terrace'!$A$12:$A$130,"&gt;="&amp;Diagram!$O17,'J1 B - Butcher Terrace'!$A$12:$A$130,"&lt;"&amp;Diagram!$P17)))</f>
        <v>0</v>
      </c>
      <c r="BG17" s="42">
        <f ca="1">IF(OR($I$10="",$O17="",$P17="",$J$37&lt;&gt;"Yes"),0,IF($K$10=0,SUMIFS(INDIRECT(ADDRESS(12,3+18*0+(2),,,"J1 B - Butcher Terrace")&amp;":"&amp;ADDRESS(130,3+18*0+(2))),'J1 B - Butcher Terrace'!$A$12:$A$130,"&gt;="&amp;Diagram!$O17,'J1 B - Butcher Terrace'!$A$12:$A$130,"&lt;"&amp;Diagram!$P17),SUMIFS(INDIRECT(ADDRESS(12,3+18*0+(10),,,"J1 B - Butcher Terrace")&amp;":"&amp;ADDRESS(130,3+18*0+(10))),'J1 B - Butcher Terrace'!$A$12:$A$130,"&gt;="&amp;Diagram!$O17,'J1 B - Butcher Terrace'!$A$12:$A$130,"&lt;"&amp;Diagram!$P17)))</f>
        <v>0</v>
      </c>
      <c r="BH17" s="42">
        <f ca="1">IF(OR($I$10="",$O17="",$P17="",$J$37&lt;&gt;"Yes"),0,IF($K$10=0,SUMIFS(INDIRECT(ADDRESS(12,3+18*1+(2),,,"J1 B - Butcher Terrace")&amp;":"&amp;ADDRESS(130,3+18*1+(2))),'J1 B - Butcher Terrace'!$A$12:$A$130,"&gt;="&amp;Diagram!$O17,'J1 B - Butcher Terrace'!$A$12:$A$130,"&lt;"&amp;Diagram!$P17),SUMIFS(INDIRECT(ADDRESS(12,3+18*1+(10),,,"J1 B - Butcher Terrace")&amp;":"&amp;ADDRESS(130,3+18*1+(10))),'J1 B - Butcher Terrace'!$A$12:$A$130,"&gt;="&amp;Diagram!$O17,'J1 B - Butcher Terrace'!$A$12:$A$130,"&lt;"&amp;Diagram!$P17)))</f>
        <v>0</v>
      </c>
      <c r="BI17" s="42">
        <f ca="1">IF(OR($I$10="",$O17="",$P17="",$J$37&lt;&gt;"Yes"),0,IF($K$10=0,SUMIFS(INDIRECT(ADDRESS(12,3+18*1+(2),,,"J1 C - (South) Bishopthorpe Roa")&amp;":"&amp;ADDRESS(130,3+18*1+(2))),'J1 C - (South) Bishopthorpe Roa'!$A$12:$A$130,"&gt;="&amp;Diagram!$O17,'J1 C - (South) Bishopthorpe Roa'!$A$12:$A$130,"&lt;"&amp;Diagram!$P17),SUMIFS(INDIRECT(ADDRESS(12,3+18*1+(10),,,"J1 C - (South) Bishopthorpe Roa")&amp;":"&amp;ADDRESS(130,3+18*1+(10))),'J1 C - (South) Bishopthorpe Roa'!$A$12:$A$130,"&gt;="&amp;Diagram!$O17,'J1 C - (South) Bishopthorpe Roa'!$A$12:$A$130,"&lt;"&amp;Diagram!$P17)))</f>
        <v>1</v>
      </c>
      <c r="BJ17" s="42">
        <f ca="1">IF(OR($I$10="",$O17="",$P17="",$J$37&lt;&gt;"Yes"),0,IF($K$10=0,SUMIFS(INDIRECT(ADDRESS(12,3+18*2+(2),,,"J1 C - (South) Bishopthorpe Roa")&amp;":"&amp;ADDRESS(130,3+18*2+(2))),'J1 C - (South) Bishopthorpe Roa'!$A$12:$A$130,"&gt;="&amp;Diagram!$O17,'J1 C - (South) Bishopthorpe Roa'!$A$12:$A$130,"&lt;"&amp;Diagram!$P17),SUMIFS(INDIRECT(ADDRESS(12,3+18*2+(10),,,"J1 C - (South) Bishopthorpe Roa")&amp;":"&amp;ADDRESS(130,3+18*2+(10))),'J1 C - (South) Bishopthorpe Roa'!$A$12:$A$130,"&gt;="&amp;Diagram!$O17,'J1 C - (South) Bishopthorpe Roa'!$A$12:$A$130,"&lt;"&amp;Diagram!$P17)))</f>
        <v>0</v>
      </c>
      <c r="BK17" s="42">
        <f ca="1">IF(OR($I$10="",$O17="",$P17="",$J$37&lt;&gt;"Yes"),0,IF($K$10=0,SUMIFS(INDIRECT(ADDRESS(12,3+18*3+(2),,,"J1 C - (South) Bishopthorpe Roa")&amp;":"&amp;ADDRESS(130,3+18*3+(2))),'J1 C - (South) Bishopthorpe Roa'!$A$12:$A$130,"&gt;="&amp;Diagram!$O17,'J1 C - (South) Bishopthorpe Roa'!$A$12:$A$130,"&lt;"&amp;Diagram!$P17),SUMIFS(INDIRECT(ADDRESS(12,3+18*3+(10),,,"J1 C - (South) Bishopthorpe Roa")&amp;":"&amp;ADDRESS(130,3+18*3+(10))),'J1 C - (South) Bishopthorpe Roa'!$A$12:$A$130,"&gt;="&amp;Diagram!$O17,'J1 C - (South) Bishopthorpe Roa'!$A$12:$A$130,"&lt;"&amp;Diagram!$P17)))</f>
        <v>0</v>
      </c>
      <c r="BL17" s="42">
        <f ca="1">IF(OR($I$10="",$O17="",$P17="",$J$37&lt;&gt;"Yes"),0,IF($K$10=0,SUMIFS(INDIRECT(ADDRESS(12,3+18*0+(2),,,"J1 C - (South) Bishopthorpe Roa")&amp;":"&amp;ADDRESS(130,3+18*0+(2))),'J1 C - (South) Bishopthorpe Roa'!$A$12:$A$130,"&gt;="&amp;Diagram!$O17,'J1 C - (South) Bishopthorpe Roa'!$A$12:$A$130,"&lt;"&amp;Diagram!$P17),SUMIFS(INDIRECT(ADDRESS(12,3+18*0+(10),,,"J1 C - (South) Bishopthorpe Roa")&amp;":"&amp;ADDRESS(130,3+18*0+(10))),'J1 C - (South) Bishopthorpe Roa'!$A$12:$A$130,"&gt;="&amp;Diagram!$O17,'J1 C - (South) Bishopthorpe Roa'!$A$12:$A$130,"&lt;"&amp;Diagram!$P17)))</f>
        <v>0</v>
      </c>
      <c r="BM17" s="42">
        <f ca="1">IF(OR($I$10="",$O17="",$P17="",$J$37&lt;&gt;"Yes"),0,IF($K$10=0,SUMIFS(INDIRECT(ADDRESS(12,3+18*0+(2),,,"J1 D - South Bank Avenue")&amp;":"&amp;ADDRESS(130,3+18*0+(2))),'J1 D - South Bank Avenue'!$A$12:$A$130,"&gt;="&amp;Diagram!$O17,'J1 D - South Bank Avenue'!$A$12:$A$130,"&lt;"&amp;Diagram!$P17),SUMIFS(INDIRECT(ADDRESS(12,3+18*0+(10),,,"J1 D - South Bank Avenue")&amp;":"&amp;ADDRESS(130,3+18*0+(10))),'J1 D - South Bank Avenue'!$A$12:$A$130,"&gt;="&amp;Diagram!$O17,'J1 D - South Bank Avenue'!$A$12:$A$130,"&lt;"&amp;Diagram!$P17)))</f>
        <v>0</v>
      </c>
      <c r="BN17" s="42">
        <f ca="1">IF(OR($I$10="",$O17="",$P17="",$J$37&lt;&gt;"Yes"),0,IF($K$10=0,SUMIFS(INDIRECT(ADDRESS(12,3+18*1+(2),,,"J1 D - South Bank Avenue")&amp;":"&amp;ADDRESS(130,3+18*1+(2))),'J1 D - South Bank Avenue'!$A$12:$A$130,"&gt;="&amp;Diagram!$O17,'J1 D - South Bank Avenue'!$A$12:$A$130,"&lt;"&amp;Diagram!$P17),SUMIFS(INDIRECT(ADDRESS(12,3+18*1+(10),,,"J1 D - South Bank Avenue")&amp;":"&amp;ADDRESS(130,3+18*1+(10))),'J1 D - South Bank Avenue'!$A$12:$A$130,"&gt;="&amp;Diagram!$O17,'J1 D - South Bank Avenue'!$A$12:$A$130,"&lt;"&amp;Diagram!$P17)))</f>
        <v>0</v>
      </c>
      <c r="BO17" s="42">
        <f ca="1">IF(OR($I$10="",$O17="",$P17="",$J$37&lt;&gt;"Yes"),0,IF($K$10=0,SUMIFS(INDIRECT(ADDRESS(12,3+18*2+(2),,,"J1 D - South Bank Avenue")&amp;":"&amp;ADDRESS(130,3+18*2+(2))),'J1 D - South Bank Avenue'!$A$12:$A$130,"&gt;="&amp;Diagram!$O17,'J1 D - South Bank Avenue'!$A$12:$A$130,"&lt;"&amp;Diagram!$P17),SUMIFS(INDIRECT(ADDRESS(12,3+18*2+(10),,,"J1 D - South Bank Avenue")&amp;":"&amp;ADDRESS(130,3+18*2+(10))),'J1 D - South Bank Avenue'!$A$12:$A$130,"&gt;="&amp;Diagram!$O17,'J1 D - South Bank Avenue'!$A$12:$A$130,"&lt;"&amp;Diagram!$P17)))</f>
        <v>0</v>
      </c>
      <c r="BP17" s="42">
        <f ca="1">IF(OR($I$10="",$O17="",$P17="",$J$37&lt;&gt;"Yes"),0,IF($K$10=0,SUMIFS(INDIRECT(ADDRESS(12,3+18*3+(2),,,"J1 D - South Bank Avenue")&amp;":"&amp;ADDRESS(130,3+18*3+(2))),'J1 D - South Bank Avenue'!$A$12:$A$130,"&gt;="&amp;Diagram!$O17,'J1 D - South Bank Avenue'!$A$12:$A$130,"&lt;"&amp;Diagram!$P17),SUMIFS(INDIRECT(ADDRESS(12,3+18*3+(10),,,"J1 D - South Bank Avenue")&amp;":"&amp;ADDRESS(130,3+18*3+(10))),'J1 D - South Bank Avenue'!$A$12:$A$130,"&gt;="&amp;Diagram!$O17,'J1 D - South Bank Avenue'!$A$12:$A$130,"&lt;"&amp;Diagram!$P17)))</f>
        <v>0</v>
      </c>
      <c r="BQ17" s="42">
        <f t="shared" ca="1" si="4"/>
        <v>0</v>
      </c>
      <c r="BR17" s="42">
        <f ca="1">IF(OR($I$10="",$O17="",$P17="",$J$38&lt;&gt;"Yes"),0,IF($K$10=0,SUMIFS(INDIRECT(ADDRESS(12,3+18*3+(3),,,"J1 A - (North) Bishopthorpe Roa")&amp;":"&amp;ADDRESS(130,3+18*3+(3))),'J1 A - (North) Bishopthorpe Roa'!$A$12:$A$130,"&gt;="&amp;Diagram!$O17,'J1 A - (North) Bishopthorpe Roa'!$A$12:$A$130,"&lt;"&amp;Diagram!$P17),SUMIFS(INDIRECT(ADDRESS(12,3+18*3+(11),,,"J1 A - (North) Bishopthorpe Roa")&amp;":"&amp;ADDRESS(130,3+18*3+(11))),'J1 A - (North) Bishopthorpe Roa'!$A$12:$A$130,"&gt;="&amp;Diagram!$O17,'J1 A - (North) Bishopthorpe Roa'!$A$12:$A$130,"&lt;"&amp;Diagram!$P17)))</f>
        <v>0</v>
      </c>
      <c r="BS17" s="42">
        <f ca="1">IF(OR($I$10="",$O17="",$P17="",$J$38&lt;&gt;"Yes"),0,IF($K$10=0,SUMIFS(INDIRECT(ADDRESS(12,3+18*0+(3),,,"J1 A - (North) Bishopthorpe Roa")&amp;":"&amp;ADDRESS(130,3+18*0+(3))),'J1 A - (North) Bishopthorpe Roa'!$A$12:$A$130,"&gt;="&amp;Diagram!$O17,'J1 A - (North) Bishopthorpe Roa'!$A$12:$A$130,"&lt;"&amp;Diagram!$P17),SUMIFS(INDIRECT(ADDRESS(12,3+18*0+(11),,,"J1 A - (North) Bishopthorpe Roa")&amp;":"&amp;ADDRESS(130,3+18*0+(11))),'J1 A - (North) Bishopthorpe Roa'!$A$12:$A$130,"&gt;="&amp;Diagram!$O17,'J1 A - (North) Bishopthorpe Roa'!$A$12:$A$130,"&lt;"&amp;Diagram!$P17)))</f>
        <v>0</v>
      </c>
      <c r="BT17" s="42">
        <f ca="1">IF(OR($I$10="",$O17="",$P17="",$J$38&lt;&gt;"Yes"),0,IF($K$10=0,SUMIFS(INDIRECT(ADDRESS(12,3+18*1+(3),,,"J1 A - (North) Bishopthorpe Roa")&amp;":"&amp;ADDRESS(130,3+18*1+(3))),'J1 A - (North) Bishopthorpe Roa'!$A$12:$A$130,"&gt;="&amp;Diagram!$O17,'J1 A - (North) Bishopthorpe Roa'!$A$12:$A$130,"&lt;"&amp;Diagram!$P17),SUMIFS(INDIRECT(ADDRESS(12,3+18*1+(11),,,"J1 A - (North) Bishopthorpe Roa")&amp;":"&amp;ADDRESS(130,3+18*1+(11))),'J1 A - (North) Bishopthorpe Roa'!$A$12:$A$130,"&gt;="&amp;Diagram!$O17,'J1 A - (North) Bishopthorpe Roa'!$A$12:$A$130,"&lt;"&amp;Diagram!$P17)))</f>
        <v>0</v>
      </c>
      <c r="BU17" s="42">
        <f ca="1">IF(OR($I$10="",$O17="",$P17="",$J$38&lt;&gt;"Yes"),0,IF($K$10=0,SUMIFS(INDIRECT(ADDRESS(12,3+18*2+(3),,,"J1 A - (North) Bishopthorpe Roa")&amp;":"&amp;ADDRESS(130,3+18*2+(3))),'J1 A - (North) Bishopthorpe Roa'!$A$12:$A$130,"&gt;="&amp;Diagram!$O17,'J1 A - (North) Bishopthorpe Roa'!$A$12:$A$130,"&lt;"&amp;Diagram!$P17),SUMIFS(INDIRECT(ADDRESS(12,3+18*2+(11),,,"J1 A - (North) Bishopthorpe Roa")&amp;":"&amp;ADDRESS(130,3+18*2+(11))),'J1 A - (North) Bishopthorpe Roa'!$A$12:$A$130,"&gt;="&amp;Diagram!$O17,'J1 A - (North) Bishopthorpe Roa'!$A$12:$A$130,"&lt;"&amp;Diagram!$P17)))</f>
        <v>0</v>
      </c>
      <c r="BV17" s="42">
        <f ca="1">IF(OR($I$10="",$O17="",$P17="",$J$38&lt;&gt;"Yes"),0,IF($K$10=0,SUMIFS(INDIRECT(ADDRESS(12,3+18*2+(3),,,"J1 B - Butcher Terrace")&amp;":"&amp;ADDRESS(130,3+18*2+(3))),'J1 B - Butcher Terrace'!$A$12:$A$130,"&gt;="&amp;Diagram!$O17,'J1 B - Butcher Terrace'!$A$12:$A$130,"&lt;"&amp;Diagram!$P17),SUMIFS(INDIRECT(ADDRESS(12,3+18*2+(11),,,"J1 B - Butcher Terrace")&amp;":"&amp;ADDRESS(130,3+18*2+(11))),'J1 B - Butcher Terrace'!$A$12:$A$130,"&gt;="&amp;Diagram!$O17,'J1 B - Butcher Terrace'!$A$12:$A$130,"&lt;"&amp;Diagram!$P17)))</f>
        <v>0</v>
      </c>
      <c r="BW17" s="42">
        <f ca="1">IF(OR($I$10="",$O17="",$P17="",$J$38&lt;&gt;"Yes"),0,IF($K$10=0,SUMIFS(INDIRECT(ADDRESS(12,3+18*3+(3),,,"J1 B - Butcher Terrace")&amp;":"&amp;ADDRESS(130,3+18*3+(3))),'J1 B - Butcher Terrace'!$A$12:$A$130,"&gt;="&amp;Diagram!$O17,'J1 B - Butcher Terrace'!$A$12:$A$130,"&lt;"&amp;Diagram!$P17),SUMIFS(INDIRECT(ADDRESS(12,3+18*3+(11),,,"J1 B - Butcher Terrace")&amp;":"&amp;ADDRESS(130,3+18*3+(11))),'J1 B - Butcher Terrace'!$A$12:$A$130,"&gt;="&amp;Diagram!$O17,'J1 B - Butcher Terrace'!$A$12:$A$130,"&lt;"&amp;Diagram!$P17)))</f>
        <v>0</v>
      </c>
      <c r="BX17" s="42">
        <f ca="1">IF(OR($I$10="",$O17="",$P17="",$J$38&lt;&gt;"Yes"),0,IF($K$10=0,SUMIFS(INDIRECT(ADDRESS(12,3+18*0+(3),,,"J1 B - Butcher Terrace")&amp;":"&amp;ADDRESS(130,3+18*0+(3))),'J1 B - Butcher Terrace'!$A$12:$A$130,"&gt;="&amp;Diagram!$O17,'J1 B - Butcher Terrace'!$A$12:$A$130,"&lt;"&amp;Diagram!$P17),SUMIFS(INDIRECT(ADDRESS(12,3+18*0+(11),,,"J1 B - Butcher Terrace")&amp;":"&amp;ADDRESS(130,3+18*0+(11))),'J1 B - Butcher Terrace'!$A$12:$A$130,"&gt;="&amp;Diagram!$O17,'J1 B - Butcher Terrace'!$A$12:$A$130,"&lt;"&amp;Diagram!$P17)))</f>
        <v>0</v>
      </c>
      <c r="BY17" s="42">
        <f ca="1">IF(OR($I$10="",$O17="",$P17="",$J$38&lt;&gt;"Yes"),0,IF($K$10=0,SUMIFS(INDIRECT(ADDRESS(12,3+18*1+(3),,,"J1 B - Butcher Terrace")&amp;":"&amp;ADDRESS(130,3+18*1+(3))),'J1 B - Butcher Terrace'!$A$12:$A$130,"&gt;="&amp;Diagram!$O17,'J1 B - Butcher Terrace'!$A$12:$A$130,"&lt;"&amp;Diagram!$P17),SUMIFS(INDIRECT(ADDRESS(12,3+18*1+(11),,,"J1 B - Butcher Terrace")&amp;":"&amp;ADDRESS(130,3+18*1+(11))),'J1 B - Butcher Terrace'!$A$12:$A$130,"&gt;="&amp;Diagram!$O17,'J1 B - Butcher Terrace'!$A$12:$A$130,"&lt;"&amp;Diagram!$P17)))</f>
        <v>0</v>
      </c>
      <c r="BZ17" s="42">
        <f ca="1">IF(OR($I$10="",$O17="",$P17="",$J$38&lt;&gt;"Yes"),0,IF($K$10=0,SUMIFS(INDIRECT(ADDRESS(12,3+18*1+(3),,,"J1 C - (South) Bishopthorpe Roa")&amp;":"&amp;ADDRESS(130,3+18*1+(3))),'J1 C - (South) Bishopthorpe Roa'!$A$12:$A$130,"&gt;="&amp;Diagram!$O17,'J1 C - (South) Bishopthorpe Roa'!$A$12:$A$130,"&lt;"&amp;Diagram!$P17),SUMIFS(INDIRECT(ADDRESS(12,3+18*1+(11),,,"J1 C - (South) Bishopthorpe Roa")&amp;":"&amp;ADDRESS(130,3+18*1+(11))),'J1 C - (South) Bishopthorpe Roa'!$A$12:$A$130,"&gt;="&amp;Diagram!$O17,'J1 C - (South) Bishopthorpe Roa'!$A$12:$A$130,"&lt;"&amp;Diagram!$P17)))</f>
        <v>0</v>
      </c>
      <c r="CA17" s="42">
        <f ca="1">IF(OR($I$10="",$O17="",$P17="",$J$38&lt;&gt;"Yes"),0,IF($K$10=0,SUMIFS(INDIRECT(ADDRESS(12,3+18*2+(3),,,"J1 C - (South) Bishopthorpe Roa")&amp;":"&amp;ADDRESS(130,3+18*2+(3))),'J1 C - (South) Bishopthorpe Roa'!$A$12:$A$130,"&gt;="&amp;Diagram!$O17,'J1 C - (South) Bishopthorpe Roa'!$A$12:$A$130,"&lt;"&amp;Diagram!$P17),SUMIFS(INDIRECT(ADDRESS(12,3+18*2+(11),,,"J1 C - (South) Bishopthorpe Roa")&amp;":"&amp;ADDRESS(130,3+18*2+(11))),'J1 C - (South) Bishopthorpe Roa'!$A$12:$A$130,"&gt;="&amp;Diagram!$O17,'J1 C - (South) Bishopthorpe Roa'!$A$12:$A$130,"&lt;"&amp;Diagram!$P17)))</f>
        <v>0</v>
      </c>
      <c r="CB17" s="42">
        <f ca="1">IF(OR($I$10="",$O17="",$P17="",$J$38&lt;&gt;"Yes"),0,IF($K$10=0,SUMIFS(INDIRECT(ADDRESS(12,3+18*3+(3),,,"J1 C - (South) Bishopthorpe Roa")&amp;":"&amp;ADDRESS(130,3+18*3+(3))),'J1 C - (South) Bishopthorpe Roa'!$A$12:$A$130,"&gt;="&amp;Diagram!$O17,'J1 C - (South) Bishopthorpe Roa'!$A$12:$A$130,"&lt;"&amp;Diagram!$P17),SUMIFS(INDIRECT(ADDRESS(12,3+18*3+(11),,,"J1 C - (South) Bishopthorpe Roa")&amp;":"&amp;ADDRESS(130,3+18*3+(11))),'J1 C - (South) Bishopthorpe Roa'!$A$12:$A$130,"&gt;="&amp;Diagram!$O17,'J1 C - (South) Bishopthorpe Roa'!$A$12:$A$130,"&lt;"&amp;Diagram!$P17)))</f>
        <v>0</v>
      </c>
      <c r="CC17" s="42">
        <f ca="1">IF(OR($I$10="",$O17="",$P17="",$J$38&lt;&gt;"Yes"),0,IF($K$10=0,SUMIFS(INDIRECT(ADDRESS(12,3+18*0+(3),,,"J1 C - (South) Bishopthorpe Roa")&amp;":"&amp;ADDRESS(130,3+18*0+(3))),'J1 C - (South) Bishopthorpe Roa'!$A$12:$A$130,"&gt;="&amp;Diagram!$O17,'J1 C - (South) Bishopthorpe Roa'!$A$12:$A$130,"&lt;"&amp;Diagram!$P17),SUMIFS(INDIRECT(ADDRESS(12,3+18*0+(11),,,"J1 C - (South) Bishopthorpe Roa")&amp;":"&amp;ADDRESS(130,3+18*0+(11))),'J1 C - (South) Bishopthorpe Roa'!$A$12:$A$130,"&gt;="&amp;Diagram!$O17,'J1 C - (South) Bishopthorpe Roa'!$A$12:$A$130,"&lt;"&amp;Diagram!$P17)))</f>
        <v>0</v>
      </c>
      <c r="CD17" s="42">
        <f ca="1">IF(OR($I$10="",$O17="",$P17="",$J$38&lt;&gt;"Yes"),0,IF($K$10=0,SUMIFS(INDIRECT(ADDRESS(12,3+18*0+(3),,,"J1 D - South Bank Avenue")&amp;":"&amp;ADDRESS(130,3+18*0+(3))),'J1 D - South Bank Avenue'!$A$12:$A$130,"&gt;="&amp;Diagram!$O17,'J1 D - South Bank Avenue'!$A$12:$A$130,"&lt;"&amp;Diagram!$P17),SUMIFS(INDIRECT(ADDRESS(12,3+18*0+(11),,,"J1 D - South Bank Avenue")&amp;":"&amp;ADDRESS(130,3+18*0+(11))),'J1 D - South Bank Avenue'!$A$12:$A$130,"&gt;="&amp;Diagram!$O17,'J1 D - South Bank Avenue'!$A$12:$A$130,"&lt;"&amp;Diagram!$P17)))</f>
        <v>0</v>
      </c>
      <c r="CE17" s="42">
        <f ca="1">IF(OR($I$10="",$O17="",$P17="",$J$38&lt;&gt;"Yes"),0,IF($K$10=0,SUMIFS(INDIRECT(ADDRESS(12,3+18*1+(3),,,"J1 D - South Bank Avenue")&amp;":"&amp;ADDRESS(130,3+18*1+(3))),'J1 D - South Bank Avenue'!$A$12:$A$130,"&gt;="&amp;Diagram!$O17,'J1 D - South Bank Avenue'!$A$12:$A$130,"&lt;"&amp;Diagram!$P17),SUMIFS(INDIRECT(ADDRESS(12,3+18*1+(11),,,"J1 D - South Bank Avenue")&amp;":"&amp;ADDRESS(130,3+18*1+(11))),'J1 D - South Bank Avenue'!$A$12:$A$130,"&gt;="&amp;Diagram!$O17,'J1 D - South Bank Avenue'!$A$12:$A$130,"&lt;"&amp;Diagram!$P17)))</f>
        <v>0</v>
      </c>
      <c r="CF17" s="42">
        <f ca="1">IF(OR($I$10="",$O17="",$P17="",$J$38&lt;&gt;"Yes"),0,IF($K$10=0,SUMIFS(INDIRECT(ADDRESS(12,3+18*2+(3),,,"J1 D - South Bank Avenue")&amp;":"&amp;ADDRESS(130,3+18*2+(3))),'J1 D - South Bank Avenue'!$A$12:$A$130,"&gt;="&amp;Diagram!$O17,'J1 D - South Bank Avenue'!$A$12:$A$130,"&lt;"&amp;Diagram!$P17),SUMIFS(INDIRECT(ADDRESS(12,3+18*2+(11),,,"J1 D - South Bank Avenue")&amp;":"&amp;ADDRESS(130,3+18*2+(11))),'J1 D - South Bank Avenue'!$A$12:$A$130,"&gt;="&amp;Diagram!$O17,'J1 D - South Bank Avenue'!$A$12:$A$130,"&lt;"&amp;Diagram!$P17)))</f>
        <v>0</v>
      </c>
      <c r="CG17" s="42">
        <f ca="1">IF(OR($I$10="",$O17="",$P17="",$J$38&lt;&gt;"Yes"),0,IF($K$10=0,SUMIFS(INDIRECT(ADDRESS(12,3+18*3+(3),,,"J1 D - South Bank Avenue")&amp;":"&amp;ADDRESS(130,3+18*3+(3))),'J1 D - South Bank Avenue'!$A$12:$A$130,"&gt;="&amp;Diagram!$O17,'J1 D - South Bank Avenue'!$A$12:$A$130,"&lt;"&amp;Diagram!$P17),SUMIFS(INDIRECT(ADDRESS(12,3+18*3+(11),,,"J1 D - South Bank Avenue")&amp;":"&amp;ADDRESS(130,3+18*3+(11))),'J1 D - South Bank Avenue'!$A$12:$A$130,"&gt;="&amp;Diagram!$O17,'J1 D - South Bank Avenue'!$A$12:$A$130,"&lt;"&amp;Diagram!$P17)))</f>
        <v>0</v>
      </c>
      <c r="CH17" s="42">
        <f t="shared" ca="1" si="5"/>
        <v>0</v>
      </c>
      <c r="CI17" s="42">
        <f ca="1">IF(OR($I$10="",$O17="",$P17="",$J$39&lt;&gt;"Yes"),0,IF($K$10=0,SUMIFS(INDIRECT(ADDRESS(12,3+18*3+(4),,,"J1 A - (North) Bishopthorpe Roa")&amp;":"&amp;ADDRESS(130,3+18*3+(4))),'J1 A - (North) Bishopthorpe Roa'!$A$12:$A$130,"&gt;="&amp;Diagram!$O17,'J1 A - (North) Bishopthorpe Roa'!$A$12:$A$130,"&lt;"&amp;Diagram!$P17),SUMIFS(INDIRECT(ADDRESS(12,3+18*3+(12),,,"J1 A - (North) Bishopthorpe Roa")&amp;":"&amp;ADDRESS(130,3+18*3+(12))),'J1 A - (North) Bishopthorpe Roa'!$A$12:$A$130,"&gt;="&amp;Diagram!$O17,'J1 A - (North) Bishopthorpe Roa'!$A$12:$A$130,"&lt;"&amp;Diagram!$P17)))</f>
        <v>0</v>
      </c>
      <c r="CJ17" s="42">
        <f ca="1">IF(OR($I$10="",$O17="",$P17="",$J$39&lt;&gt;"Yes"),0,IF($K$10=0,SUMIFS(INDIRECT(ADDRESS(12,3+18*0+(4),,,"J1 A - (North) Bishopthorpe Roa")&amp;":"&amp;ADDRESS(130,3+18*0+(4))),'J1 A - (North) Bishopthorpe Roa'!$A$12:$A$130,"&gt;="&amp;Diagram!$O17,'J1 A - (North) Bishopthorpe Roa'!$A$12:$A$130,"&lt;"&amp;Diagram!$P17),SUMIFS(INDIRECT(ADDRESS(12,3+18*0+(12),,,"J1 A - (North) Bishopthorpe Roa")&amp;":"&amp;ADDRESS(130,3+18*0+(12))),'J1 A - (North) Bishopthorpe Roa'!$A$12:$A$130,"&gt;="&amp;Diagram!$O17,'J1 A - (North) Bishopthorpe Roa'!$A$12:$A$130,"&lt;"&amp;Diagram!$P17)))</f>
        <v>0</v>
      </c>
      <c r="CK17" s="42">
        <f ca="1">IF(OR($I$10="",$O17="",$P17="",$J$39&lt;&gt;"Yes"),0,IF($K$10=0,SUMIFS(INDIRECT(ADDRESS(12,3+18*1+(4),,,"J1 A - (North) Bishopthorpe Roa")&amp;":"&amp;ADDRESS(130,3+18*1+(4))),'J1 A - (North) Bishopthorpe Roa'!$A$12:$A$130,"&gt;="&amp;Diagram!$O17,'J1 A - (North) Bishopthorpe Roa'!$A$12:$A$130,"&lt;"&amp;Diagram!$P17),SUMIFS(INDIRECT(ADDRESS(12,3+18*1+(12),,,"J1 A - (North) Bishopthorpe Roa")&amp;":"&amp;ADDRESS(130,3+18*1+(12))),'J1 A - (North) Bishopthorpe Roa'!$A$12:$A$130,"&gt;="&amp;Diagram!$O17,'J1 A - (North) Bishopthorpe Roa'!$A$12:$A$130,"&lt;"&amp;Diagram!$P17)))</f>
        <v>0</v>
      </c>
      <c r="CL17" s="42">
        <f ca="1">IF(OR($I$10="",$O17="",$P17="",$J$39&lt;&gt;"Yes"),0,IF($K$10=0,SUMIFS(INDIRECT(ADDRESS(12,3+18*2+(4),,,"J1 A - (North) Bishopthorpe Roa")&amp;":"&amp;ADDRESS(130,3+18*2+(4))),'J1 A - (North) Bishopthorpe Roa'!$A$12:$A$130,"&gt;="&amp;Diagram!$O17,'J1 A - (North) Bishopthorpe Roa'!$A$12:$A$130,"&lt;"&amp;Diagram!$P17),SUMIFS(INDIRECT(ADDRESS(12,3+18*2+(12),,,"J1 A - (North) Bishopthorpe Roa")&amp;":"&amp;ADDRESS(130,3+18*2+(12))),'J1 A - (North) Bishopthorpe Roa'!$A$12:$A$130,"&gt;="&amp;Diagram!$O17,'J1 A - (North) Bishopthorpe Roa'!$A$12:$A$130,"&lt;"&amp;Diagram!$P17)))</f>
        <v>0</v>
      </c>
      <c r="CM17" s="42">
        <f ca="1">IF(OR($I$10="",$O17="",$P17="",$J$39&lt;&gt;"Yes"),0,IF($K$10=0,SUMIFS(INDIRECT(ADDRESS(12,3+18*2+(4),,,"J1 B - Butcher Terrace")&amp;":"&amp;ADDRESS(130,3+18*2+(4))),'J1 B - Butcher Terrace'!$A$12:$A$130,"&gt;="&amp;Diagram!$O17,'J1 B - Butcher Terrace'!$A$12:$A$130,"&lt;"&amp;Diagram!$P17),SUMIFS(INDIRECT(ADDRESS(12,3+18*2+(12),,,"J1 B - Butcher Terrace")&amp;":"&amp;ADDRESS(130,3+18*2+(12))),'J1 B - Butcher Terrace'!$A$12:$A$130,"&gt;="&amp;Diagram!$O17,'J1 B - Butcher Terrace'!$A$12:$A$130,"&lt;"&amp;Diagram!$P17)))</f>
        <v>0</v>
      </c>
      <c r="CN17" s="42">
        <f ca="1">IF(OR($I$10="",$O17="",$P17="",$J$39&lt;&gt;"Yes"),0,IF($K$10=0,SUMIFS(INDIRECT(ADDRESS(12,3+18*3+(4),,,"J1 B - Butcher Terrace")&amp;":"&amp;ADDRESS(130,3+18*3+(4))),'J1 B - Butcher Terrace'!$A$12:$A$130,"&gt;="&amp;Diagram!$O17,'J1 B - Butcher Terrace'!$A$12:$A$130,"&lt;"&amp;Diagram!$P17),SUMIFS(INDIRECT(ADDRESS(12,3+18*3+(12),,,"J1 B - Butcher Terrace")&amp;":"&amp;ADDRESS(130,3+18*3+(12))),'J1 B - Butcher Terrace'!$A$12:$A$130,"&gt;="&amp;Diagram!$O17,'J1 B - Butcher Terrace'!$A$12:$A$130,"&lt;"&amp;Diagram!$P17)))</f>
        <v>0</v>
      </c>
      <c r="CO17" s="42">
        <f ca="1">IF(OR($I$10="",$O17="",$P17="",$J$39&lt;&gt;"Yes"),0,IF($K$10=0,SUMIFS(INDIRECT(ADDRESS(12,3+18*0+(4),,,"J1 B - Butcher Terrace")&amp;":"&amp;ADDRESS(130,3+18*0+(4))),'J1 B - Butcher Terrace'!$A$12:$A$130,"&gt;="&amp;Diagram!$O17,'J1 B - Butcher Terrace'!$A$12:$A$130,"&lt;"&amp;Diagram!$P17),SUMIFS(INDIRECT(ADDRESS(12,3+18*0+(12),,,"J1 B - Butcher Terrace")&amp;":"&amp;ADDRESS(130,3+18*0+(12))),'J1 B - Butcher Terrace'!$A$12:$A$130,"&gt;="&amp;Diagram!$O17,'J1 B - Butcher Terrace'!$A$12:$A$130,"&lt;"&amp;Diagram!$P17)))</f>
        <v>0</v>
      </c>
      <c r="CP17" s="42">
        <f ca="1">IF(OR($I$10="",$O17="",$P17="",$J$39&lt;&gt;"Yes"),0,IF($K$10=0,SUMIFS(INDIRECT(ADDRESS(12,3+18*1+(4),,,"J1 B - Butcher Terrace")&amp;":"&amp;ADDRESS(130,3+18*1+(4))),'J1 B - Butcher Terrace'!$A$12:$A$130,"&gt;="&amp;Diagram!$O17,'J1 B - Butcher Terrace'!$A$12:$A$130,"&lt;"&amp;Diagram!$P17),SUMIFS(INDIRECT(ADDRESS(12,3+18*1+(12),,,"J1 B - Butcher Terrace")&amp;":"&amp;ADDRESS(130,3+18*1+(12))),'J1 B - Butcher Terrace'!$A$12:$A$130,"&gt;="&amp;Diagram!$O17,'J1 B - Butcher Terrace'!$A$12:$A$130,"&lt;"&amp;Diagram!$P17)))</f>
        <v>0</v>
      </c>
      <c r="CQ17" s="42">
        <f ca="1">IF(OR($I$10="",$O17="",$P17="",$J$39&lt;&gt;"Yes"),0,IF($K$10=0,SUMIFS(INDIRECT(ADDRESS(12,3+18*1+(4),,,"J1 C - (South) Bishopthorpe Roa")&amp;":"&amp;ADDRESS(130,3+18*1+(4))),'J1 C - (South) Bishopthorpe Roa'!$A$12:$A$130,"&gt;="&amp;Diagram!$O17,'J1 C - (South) Bishopthorpe Roa'!$A$12:$A$130,"&lt;"&amp;Diagram!$P17),SUMIFS(INDIRECT(ADDRESS(12,3+18*1+(12),,,"J1 C - (South) Bishopthorpe Roa")&amp;":"&amp;ADDRESS(130,3+18*1+(12))),'J1 C - (South) Bishopthorpe Roa'!$A$12:$A$130,"&gt;="&amp;Diagram!$O17,'J1 C - (South) Bishopthorpe Roa'!$A$12:$A$130,"&lt;"&amp;Diagram!$P17)))</f>
        <v>0</v>
      </c>
      <c r="CR17" s="42">
        <f ca="1">IF(OR($I$10="",$O17="",$P17="",$J$39&lt;&gt;"Yes"),0,IF($K$10=0,SUMIFS(INDIRECT(ADDRESS(12,3+18*2+(4),,,"J1 C - (South) Bishopthorpe Roa")&amp;":"&amp;ADDRESS(130,3+18*2+(4))),'J1 C - (South) Bishopthorpe Roa'!$A$12:$A$130,"&gt;="&amp;Diagram!$O17,'J1 C - (South) Bishopthorpe Roa'!$A$12:$A$130,"&lt;"&amp;Diagram!$P17),SUMIFS(INDIRECT(ADDRESS(12,3+18*2+(12),,,"J1 C - (South) Bishopthorpe Roa")&amp;":"&amp;ADDRESS(130,3+18*2+(12))),'J1 C - (South) Bishopthorpe Roa'!$A$12:$A$130,"&gt;="&amp;Diagram!$O17,'J1 C - (South) Bishopthorpe Roa'!$A$12:$A$130,"&lt;"&amp;Diagram!$P17)))</f>
        <v>0</v>
      </c>
      <c r="CS17" s="42">
        <f ca="1">IF(OR($I$10="",$O17="",$P17="",$J$39&lt;&gt;"Yes"),0,IF($K$10=0,SUMIFS(INDIRECT(ADDRESS(12,3+18*3+(4),,,"J1 C - (South) Bishopthorpe Roa")&amp;":"&amp;ADDRESS(130,3+18*3+(4))),'J1 C - (South) Bishopthorpe Roa'!$A$12:$A$130,"&gt;="&amp;Diagram!$O17,'J1 C - (South) Bishopthorpe Roa'!$A$12:$A$130,"&lt;"&amp;Diagram!$P17),SUMIFS(INDIRECT(ADDRESS(12,3+18*3+(12),,,"J1 C - (South) Bishopthorpe Roa")&amp;":"&amp;ADDRESS(130,3+18*3+(12))),'J1 C - (South) Bishopthorpe Roa'!$A$12:$A$130,"&gt;="&amp;Diagram!$O17,'J1 C - (South) Bishopthorpe Roa'!$A$12:$A$130,"&lt;"&amp;Diagram!$P17)))</f>
        <v>0</v>
      </c>
      <c r="CT17" s="42">
        <f ca="1">IF(OR($I$10="",$O17="",$P17="",$J$39&lt;&gt;"Yes"),0,IF($K$10=0,SUMIFS(INDIRECT(ADDRESS(12,3+18*0+(4),,,"J1 C - (South) Bishopthorpe Roa")&amp;":"&amp;ADDRESS(130,3+18*0+(4))),'J1 C - (South) Bishopthorpe Roa'!$A$12:$A$130,"&gt;="&amp;Diagram!$O17,'J1 C - (South) Bishopthorpe Roa'!$A$12:$A$130,"&lt;"&amp;Diagram!$P17),SUMIFS(INDIRECT(ADDRESS(12,3+18*0+(12),,,"J1 C - (South) Bishopthorpe Roa")&amp;":"&amp;ADDRESS(130,3+18*0+(12))),'J1 C - (South) Bishopthorpe Roa'!$A$12:$A$130,"&gt;="&amp;Diagram!$O17,'J1 C - (South) Bishopthorpe Roa'!$A$12:$A$130,"&lt;"&amp;Diagram!$P17)))</f>
        <v>0</v>
      </c>
      <c r="CU17" s="42">
        <f ca="1">IF(OR($I$10="",$O17="",$P17="",$J$39&lt;&gt;"Yes"),0,IF($K$10=0,SUMIFS(INDIRECT(ADDRESS(12,3+18*0+(4),,,"J1 D - South Bank Avenue")&amp;":"&amp;ADDRESS(130,3+18*0+(4))),'J1 D - South Bank Avenue'!$A$12:$A$130,"&gt;="&amp;Diagram!$O17,'J1 D - South Bank Avenue'!$A$12:$A$130,"&lt;"&amp;Diagram!$P17),SUMIFS(INDIRECT(ADDRESS(12,3+18*0+(12),,,"J1 D - South Bank Avenue")&amp;":"&amp;ADDRESS(130,3+18*0+(12))),'J1 D - South Bank Avenue'!$A$12:$A$130,"&gt;="&amp;Diagram!$O17,'J1 D - South Bank Avenue'!$A$12:$A$130,"&lt;"&amp;Diagram!$P17)))</f>
        <v>0</v>
      </c>
      <c r="CV17" s="42">
        <f ca="1">IF(OR($I$10="",$O17="",$P17="",$J$39&lt;&gt;"Yes"),0,IF($K$10=0,SUMIFS(INDIRECT(ADDRESS(12,3+18*1+(4),,,"J1 D - South Bank Avenue")&amp;":"&amp;ADDRESS(130,3+18*1+(4))),'J1 D - South Bank Avenue'!$A$12:$A$130,"&gt;="&amp;Diagram!$O17,'J1 D - South Bank Avenue'!$A$12:$A$130,"&lt;"&amp;Diagram!$P17),SUMIFS(INDIRECT(ADDRESS(12,3+18*1+(12),,,"J1 D - South Bank Avenue")&amp;":"&amp;ADDRESS(130,3+18*1+(12))),'J1 D - South Bank Avenue'!$A$12:$A$130,"&gt;="&amp;Diagram!$O17,'J1 D - South Bank Avenue'!$A$12:$A$130,"&lt;"&amp;Diagram!$P17)))</f>
        <v>0</v>
      </c>
      <c r="CW17" s="42">
        <f ca="1">IF(OR($I$10="",$O17="",$P17="",$J$39&lt;&gt;"Yes"),0,IF($K$10=0,SUMIFS(INDIRECT(ADDRESS(12,3+18*2+(4),,,"J1 D - South Bank Avenue")&amp;":"&amp;ADDRESS(130,3+18*2+(4))),'J1 D - South Bank Avenue'!$A$12:$A$130,"&gt;="&amp;Diagram!$O17,'J1 D - South Bank Avenue'!$A$12:$A$130,"&lt;"&amp;Diagram!$P17),SUMIFS(INDIRECT(ADDRESS(12,3+18*2+(12),,,"J1 D - South Bank Avenue")&amp;":"&amp;ADDRESS(130,3+18*2+(12))),'J1 D - South Bank Avenue'!$A$12:$A$130,"&gt;="&amp;Diagram!$O17,'J1 D - South Bank Avenue'!$A$12:$A$130,"&lt;"&amp;Diagram!$P17)))</f>
        <v>0</v>
      </c>
      <c r="CX17" s="42">
        <f ca="1">IF(OR($I$10="",$O17="",$P17="",$J$39&lt;&gt;"Yes"),0,IF($K$10=0,SUMIFS(INDIRECT(ADDRESS(12,3+18*3+(4),,,"J1 D - South Bank Avenue")&amp;":"&amp;ADDRESS(130,3+18*3+(4))),'J1 D - South Bank Avenue'!$A$12:$A$130,"&gt;="&amp;Diagram!$O17,'J1 D - South Bank Avenue'!$A$12:$A$130,"&lt;"&amp;Diagram!$P17),SUMIFS(INDIRECT(ADDRESS(12,3+18*3+(12),,,"J1 D - South Bank Avenue")&amp;":"&amp;ADDRESS(130,3+18*3+(12))),'J1 D - South Bank Avenue'!$A$12:$A$130,"&gt;="&amp;Diagram!$O17,'J1 D - South Bank Avenue'!$A$12:$A$130,"&lt;"&amp;Diagram!$P17)))</f>
        <v>0</v>
      </c>
      <c r="CY17" s="42">
        <f t="shared" ca="1" si="6"/>
        <v>3</v>
      </c>
      <c r="CZ17" s="42">
        <f ca="1">IF(OR($I$10="",$O17="",$P17="",$J$40&lt;&gt;"Yes"),0,IF($K$10=0,SUMIFS(INDIRECT(ADDRESS(12,3+18*3+(5),,,"J1 A - (North) Bishopthorpe Roa")&amp;":"&amp;ADDRESS(130,3+18*3+(5))),'J1 A - (North) Bishopthorpe Roa'!$A$12:$A$130,"&gt;="&amp;Diagram!$O17,'J1 A - (North) Bishopthorpe Roa'!$A$12:$A$130,"&lt;"&amp;Diagram!$P17),SUMIFS(INDIRECT(ADDRESS(12,3+18*3+(13),,,"J1 A - (North) Bishopthorpe Roa")&amp;":"&amp;ADDRESS(130,3+18*3+(13))),'J1 A - (North) Bishopthorpe Roa'!$A$12:$A$130,"&gt;="&amp;Diagram!$O17,'J1 A - (North) Bishopthorpe Roa'!$A$12:$A$130,"&lt;"&amp;Diagram!$P17)))</f>
        <v>0</v>
      </c>
      <c r="DA17" s="42">
        <f ca="1">IF(OR($I$10="",$O17="",$P17="",$J$40&lt;&gt;"Yes"),0,IF($K$10=0,SUMIFS(INDIRECT(ADDRESS(12,3+18*0+(5),,,"J1 A - (North) Bishopthorpe Roa")&amp;":"&amp;ADDRESS(130,3+18*0+(5))),'J1 A - (North) Bishopthorpe Roa'!$A$12:$A$130,"&gt;="&amp;Diagram!$O17,'J1 A - (North) Bishopthorpe Roa'!$A$12:$A$130,"&lt;"&amp;Diagram!$P17),SUMIFS(INDIRECT(ADDRESS(12,3+18*0+(13),,,"J1 A - (North) Bishopthorpe Roa")&amp;":"&amp;ADDRESS(130,3+18*0+(13))),'J1 A - (North) Bishopthorpe Roa'!$A$12:$A$130,"&gt;="&amp;Diagram!$O17,'J1 A - (North) Bishopthorpe Roa'!$A$12:$A$130,"&lt;"&amp;Diagram!$P17)))</f>
        <v>0</v>
      </c>
      <c r="DB17" s="42">
        <f ca="1">IF(OR($I$10="",$O17="",$P17="",$J$40&lt;&gt;"Yes"),0,IF($K$10=0,SUMIFS(INDIRECT(ADDRESS(12,3+18*1+(5),,,"J1 A - (North) Bishopthorpe Roa")&amp;":"&amp;ADDRESS(130,3+18*1+(5))),'J1 A - (North) Bishopthorpe Roa'!$A$12:$A$130,"&gt;="&amp;Diagram!$O17,'J1 A - (North) Bishopthorpe Roa'!$A$12:$A$130,"&lt;"&amp;Diagram!$P17),SUMIFS(INDIRECT(ADDRESS(12,3+18*1+(13),,,"J1 A - (North) Bishopthorpe Roa")&amp;":"&amp;ADDRESS(130,3+18*1+(13))),'J1 A - (North) Bishopthorpe Roa'!$A$12:$A$130,"&gt;="&amp;Diagram!$O17,'J1 A - (North) Bishopthorpe Roa'!$A$12:$A$130,"&lt;"&amp;Diagram!$P17)))</f>
        <v>0</v>
      </c>
      <c r="DC17" s="42">
        <f ca="1">IF(OR($I$10="",$O17="",$P17="",$J$40&lt;&gt;"Yes"),0,IF($K$10=0,SUMIFS(INDIRECT(ADDRESS(12,3+18*2+(5),,,"J1 A - (North) Bishopthorpe Roa")&amp;":"&amp;ADDRESS(130,3+18*2+(5))),'J1 A - (North) Bishopthorpe Roa'!$A$12:$A$130,"&gt;="&amp;Diagram!$O17,'J1 A - (North) Bishopthorpe Roa'!$A$12:$A$130,"&lt;"&amp;Diagram!$P17),SUMIFS(INDIRECT(ADDRESS(12,3+18*2+(13),,,"J1 A - (North) Bishopthorpe Roa")&amp;":"&amp;ADDRESS(130,3+18*2+(13))),'J1 A - (North) Bishopthorpe Roa'!$A$12:$A$130,"&gt;="&amp;Diagram!$O17,'J1 A - (North) Bishopthorpe Roa'!$A$12:$A$130,"&lt;"&amp;Diagram!$P17)))</f>
        <v>0</v>
      </c>
      <c r="DD17" s="42">
        <f ca="1">IF(OR($I$10="",$O17="",$P17="",$J$40&lt;&gt;"Yes"),0,IF($K$10=0,SUMIFS(INDIRECT(ADDRESS(12,3+18*2+(5),,,"J1 B - Butcher Terrace")&amp;":"&amp;ADDRESS(130,3+18*2+(5))),'J1 B - Butcher Terrace'!$A$12:$A$130,"&gt;="&amp;Diagram!$O17,'J1 B - Butcher Terrace'!$A$12:$A$130,"&lt;"&amp;Diagram!$P17),SUMIFS(INDIRECT(ADDRESS(12,3+18*2+(13),,,"J1 B - Butcher Terrace")&amp;":"&amp;ADDRESS(130,3+18*2+(13))),'J1 B - Butcher Terrace'!$A$12:$A$130,"&gt;="&amp;Diagram!$O17,'J1 B - Butcher Terrace'!$A$12:$A$130,"&lt;"&amp;Diagram!$P17)))</f>
        <v>1</v>
      </c>
      <c r="DE17" s="42">
        <f ca="1">IF(OR($I$10="",$O17="",$P17="",$J$40&lt;&gt;"Yes"),0,IF($K$10=0,SUMIFS(INDIRECT(ADDRESS(12,3+18*3+(5),,,"J1 B - Butcher Terrace")&amp;":"&amp;ADDRESS(130,3+18*3+(5))),'J1 B - Butcher Terrace'!$A$12:$A$130,"&gt;="&amp;Diagram!$O17,'J1 B - Butcher Terrace'!$A$12:$A$130,"&lt;"&amp;Diagram!$P17),SUMIFS(INDIRECT(ADDRESS(12,3+18*3+(13),,,"J1 B - Butcher Terrace")&amp;":"&amp;ADDRESS(130,3+18*3+(13))),'J1 B - Butcher Terrace'!$A$12:$A$130,"&gt;="&amp;Diagram!$O17,'J1 B - Butcher Terrace'!$A$12:$A$130,"&lt;"&amp;Diagram!$P17)))</f>
        <v>0</v>
      </c>
      <c r="DF17" s="42">
        <f ca="1">IF(OR($I$10="",$O17="",$P17="",$J$40&lt;&gt;"Yes"),0,IF($K$10=0,SUMIFS(INDIRECT(ADDRESS(12,3+18*0+(5),,,"J1 B - Butcher Terrace")&amp;":"&amp;ADDRESS(130,3+18*0+(5))),'J1 B - Butcher Terrace'!$A$12:$A$130,"&gt;="&amp;Diagram!$O17,'J1 B - Butcher Terrace'!$A$12:$A$130,"&lt;"&amp;Diagram!$P17),SUMIFS(INDIRECT(ADDRESS(12,3+18*0+(13),,,"J1 B - Butcher Terrace")&amp;":"&amp;ADDRESS(130,3+18*0+(13))),'J1 B - Butcher Terrace'!$A$12:$A$130,"&gt;="&amp;Diagram!$O17,'J1 B - Butcher Terrace'!$A$12:$A$130,"&lt;"&amp;Diagram!$P17)))</f>
        <v>1</v>
      </c>
      <c r="DG17" s="42">
        <f ca="1">IF(OR($I$10="",$O17="",$P17="",$J$40&lt;&gt;"Yes"),0,IF($K$10=0,SUMIFS(INDIRECT(ADDRESS(12,3+18*1+(5),,,"J1 B - Butcher Terrace")&amp;":"&amp;ADDRESS(130,3+18*1+(5))),'J1 B - Butcher Terrace'!$A$12:$A$130,"&gt;="&amp;Diagram!$O17,'J1 B - Butcher Terrace'!$A$12:$A$130,"&lt;"&amp;Diagram!$P17),SUMIFS(INDIRECT(ADDRESS(12,3+18*1+(13),,,"J1 B - Butcher Terrace")&amp;":"&amp;ADDRESS(130,3+18*1+(13))),'J1 B - Butcher Terrace'!$A$12:$A$130,"&gt;="&amp;Diagram!$O17,'J1 B - Butcher Terrace'!$A$12:$A$130,"&lt;"&amp;Diagram!$P17)))</f>
        <v>0</v>
      </c>
      <c r="DH17" s="42">
        <f ca="1">IF(OR($I$10="",$O17="",$P17="",$J$40&lt;&gt;"Yes"),0,IF($K$10=0,SUMIFS(INDIRECT(ADDRESS(12,3+18*1+(5),,,"J1 C - (South) Bishopthorpe Roa")&amp;":"&amp;ADDRESS(130,3+18*1+(5))),'J1 C - (South) Bishopthorpe Roa'!$A$12:$A$130,"&gt;="&amp;Diagram!$O17,'J1 C - (South) Bishopthorpe Roa'!$A$12:$A$130,"&lt;"&amp;Diagram!$P17),SUMIFS(INDIRECT(ADDRESS(12,3+18*1+(13),,,"J1 C - (South) Bishopthorpe Roa")&amp;":"&amp;ADDRESS(130,3+18*1+(13))),'J1 C - (South) Bishopthorpe Roa'!$A$12:$A$130,"&gt;="&amp;Diagram!$O17,'J1 C - (South) Bishopthorpe Roa'!$A$12:$A$130,"&lt;"&amp;Diagram!$P17)))</f>
        <v>0</v>
      </c>
      <c r="DI17" s="42">
        <f ca="1">IF(OR($I$10="",$O17="",$P17="",$J$40&lt;&gt;"Yes"),0,IF($K$10=0,SUMIFS(INDIRECT(ADDRESS(12,3+18*2+(5),,,"J1 C - (South) Bishopthorpe Roa")&amp;":"&amp;ADDRESS(130,3+18*2+(5))),'J1 C - (South) Bishopthorpe Roa'!$A$12:$A$130,"&gt;="&amp;Diagram!$O17,'J1 C - (South) Bishopthorpe Roa'!$A$12:$A$130,"&lt;"&amp;Diagram!$P17),SUMIFS(INDIRECT(ADDRESS(12,3+18*2+(13),,,"J1 C - (South) Bishopthorpe Roa")&amp;":"&amp;ADDRESS(130,3+18*2+(13))),'J1 C - (South) Bishopthorpe Roa'!$A$12:$A$130,"&gt;="&amp;Diagram!$O17,'J1 C - (South) Bishopthorpe Roa'!$A$12:$A$130,"&lt;"&amp;Diagram!$P17)))</f>
        <v>0</v>
      </c>
      <c r="DJ17" s="42">
        <f ca="1">IF(OR($I$10="",$O17="",$P17="",$J$40&lt;&gt;"Yes"),0,IF($K$10=0,SUMIFS(INDIRECT(ADDRESS(12,3+18*3+(5),,,"J1 C - (South) Bishopthorpe Roa")&amp;":"&amp;ADDRESS(130,3+18*3+(5))),'J1 C - (South) Bishopthorpe Roa'!$A$12:$A$130,"&gt;="&amp;Diagram!$O17,'J1 C - (South) Bishopthorpe Roa'!$A$12:$A$130,"&lt;"&amp;Diagram!$P17),SUMIFS(INDIRECT(ADDRESS(12,3+18*3+(13),,,"J1 C - (South) Bishopthorpe Roa")&amp;":"&amp;ADDRESS(130,3+18*3+(13))),'J1 C - (South) Bishopthorpe Roa'!$A$12:$A$130,"&gt;="&amp;Diagram!$O17,'J1 C - (South) Bishopthorpe Roa'!$A$12:$A$130,"&lt;"&amp;Diagram!$P17)))</f>
        <v>0</v>
      </c>
      <c r="DK17" s="42">
        <f ca="1">IF(OR($I$10="",$O17="",$P17="",$J$40&lt;&gt;"Yes"),0,IF($K$10=0,SUMIFS(INDIRECT(ADDRESS(12,3+18*0+(5),,,"J1 C - (South) Bishopthorpe Roa")&amp;":"&amp;ADDRESS(130,3+18*0+(5))),'J1 C - (South) Bishopthorpe Roa'!$A$12:$A$130,"&gt;="&amp;Diagram!$O17,'J1 C - (South) Bishopthorpe Roa'!$A$12:$A$130,"&lt;"&amp;Diagram!$P17),SUMIFS(INDIRECT(ADDRESS(12,3+18*0+(13),,,"J1 C - (South) Bishopthorpe Roa")&amp;":"&amp;ADDRESS(130,3+18*0+(13))),'J1 C - (South) Bishopthorpe Roa'!$A$12:$A$130,"&gt;="&amp;Diagram!$O17,'J1 C - (South) Bishopthorpe Roa'!$A$12:$A$130,"&lt;"&amp;Diagram!$P17)))</f>
        <v>0</v>
      </c>
      <c r="DL17" s="42">
        <f ca="1">IF(OR($I$10="",$O17="",$P17="",$J$40&lt;&gt;"Yes"),0,IF($K$10=0,SUMIFS(INDIRECT(ADDRESS(12,3+18*0+(5),,,"J1 D - South Bank Avenue")&amp;":"&amp;ADDRESS(130,3+18*0+(5))),'J1 D - South Bank Avenue'!$A$12:$A$130,"&gt;="&amp;Diagram!$O17,'J1 D - South Bank Avenue'!$A$12:$A$130,"&lt;"&amp;Diagram!$P17),SUMIFS(INDIRECT(ADDRESS(12,3+18*0+(13),,,"J1 D - South Bank Avenue")&amp;":"&amp;ADDRESS(130,3+18*0+(13))),'J1 D - South Bank Avenue'!$A$12:$A$130,"&gt;="&amp;Diagram!$O17,'J1 D - South Bank Avenue'!$A$12:$A$130,"&lt;"&amp;Diagram!$P17)))</f>
        <v>1</v>
      </c>
      <c r="DM17" s="42">
        <f ca="1">IF(OR($I$10="",$O17="",$P17="",$J$40&lt;&gt;"Yes"),0,IF($K$10=0,SUMIFS(INDIRECT(ADDRESS(12,3+18*1+(5),,,"J1 D - South Bank Avenue")&amp;":"&amp;ADDRESS(130,3+18*1+(5))),'J1 D - South Bank Avenue'!$A$12:$A$130,"&gt;="&amp;Diagram!$O17,'J1 D - South Bank Avenue'!$A$12:$A$130,"&lt;"&amp;Diagram!$P17),SUMIFS(INDIRECT(ADDRESS(12,3+18*1+(13),,,"J1 D - South Bank Avenue")&amp;":"&amp;ADDRESS(130,3+18*1+(13))),'J1 D - South Bank Avenue'!$A$12:$A$130,"&gt;="&amp;Diagram!$O17,'J1 D - South Bank Avenue'!$A$12:$A$130,"&lt;"&amp;Diagram!$P17)))</f>
        <v>0</v>
      </c>
      <c r="DN17" s="42">
        <f ca="1">IF(OR($I$10="",$O17="",$P17="",$J$40&lt;&gt;"Yes"),0,IF($K$10=0,SUMIFS(INDIRECT(ADDRESS(12,3+18*2+(5),,,"J1 D - South Bank Avenue")&amp;":"&amp;ADDRESS(130,3+18*2+(5))),'J1 D - South Bank Avenue'!$A$12:$A$130,"&gt;="&amp;Diagram!$O17,'J1 D - South Bank Avenue'!$A$12:$A$130,"&lt;"&amp;Diagram!$P17),SUMIFS(INDIRECT(ADDRESS(12,3+18*2+(13),,,"J1 D - South Bank Avenue")&amp;":"&amp;ADDRESS(130,3+18*2+(13))),'J1 D - South Bank Avenue'!$A$12:$A$130,"&gt;="&amp;Diagram!$O17,'J1 D - South Bank Avenue'!$A$12:$A$130,"&lt;"&amp;Diagram!$P17)))</f>
        <v>0</v>
      </c>
      <c r="DO17" s="42">
        <f ca="1">IF(OR($I$10="",$O17="",$P17="",$J$40&lt;&gt;"Yes"),0,IF($K$10=0,SUMIFS(INDIRECT(ADDRESS(12,3+18*3+(5),,,"J1 D - South Bank Avenue")&amp;":"&amp;ADDRESS(130,3+18*3+(5))),'J1 D - South Bank Avenue'!$A$12:$A$130,"&gt;="&amp;Diagram!$O17,'J1 D - South Bank Avenue'!$A$12:$A$130,"&lt;"&amp;Diagram!$P17),SUMIFS(INDIRECT(ADDRESS(12,3+18*3+(13),,,"J1 D - South Bank Avenue")&amp;":"&amp;ADDRESS(130,3+18*3+(13))),'J1 D - South Bank Avenue'!$A$12:$A$130,"&gt;="&amp;Diagram!$O17,'J1 D - South Bank Avenue'!$A$12:$A$130,"&lt;"&amp;Diagram!$P17)))</f>
        <v>0</v>
      </c>
      <c r="DP17" s="42">
        <f t="shared" ca="1" si="7"/>
        <v>0</v>
      </c>
      <c r="DQ17" s="42">
        <f ca="1">IF(OR($I$10="",$O17="",$P17="",$J$41&lt;&gt;"Yes"),0,IF($K$10=0,SUMIFS(INDIRECT(ADDRESS(12,3+18*3+(6),,,"J1 A - (North) Bishopthorpe Roa")&amp;":"&amp;ADDRESS(130,3+18*3+(6))),'J1 A - (North) Bishopthorpe Roa'!$A$12:$A$130,"&gt;="&amp;Diagram!$O17,'J1 A - (North) Bishopthorpe Roa'!$A$12:$A$130,"&lt;"&amp;Diagram!$P17),SUMIFS(INDIRECT(ADDRESS(12,3+18*3+(14),,,"J1 A - (North) Bishopthorpe Roa")&amp;":"&amp;ADDRESS(130,3+18*3+(14))),'J1 A - (North) Bishopthorpe Roa'!$A$12:$A$130,"&gt;="&amp;Diagram!$O17,'J1 A - (North) Bishopthorpe Roa'!$A$12:$A$130,"&lt;"&amp;Diagram!$P17)))</f>
        <v>0</v>
      </c>
      <c r="DR17" s="42">
        <f ca="1">IF(OR($I$10="",$O17="",$P17="",$J$41&lt;&gt;"Yes"),0,IF($K$10=0,SUMIFS(INDIRECT(ADDRESS(12,3+18*0+(6),,,"J1 A - (North) Bishopthorpe Roa")&amp;":"&amp;ADDRESS(130,3+18*0+(6))),'J1 A - (North) Bishopthorpe Roa'!$A$12:$A$130,"&gt;="&amp;Diagram!$O17,'J1 A - (North) Bishopthorpe Roa'!$A$12:$A$130,"&lt;"&amp;Diagram!$P17),SUMIFS(INDIRECT(ADDRESS(12,3+18*0+(14),,,"J1 A - (North) Bishopthorpe Roa")&amp;":"&amp;ADDRESS(130,3+18*0+(14))),'J1 A - (North) Bishopthorpe Roa'!$A$12:$A$130,"&gt;="&amp;Diagram!$O17,'J1 A - (North) Bishopthorpe Roa'!$A$12:$A$130,"&lt;"&amp;Diagram!$P17)))</f>
        <v>0</v>
      </c>
      <c r="DS17" s="42">
        <f ca="1">IF(OR($I$10="",$O17="",$P17="",$J$41&lt;&gt;"Yes"),0,IF($K$10=0,SUMIFS(INDIRECT(ADDRESS(12,3+18*1+(6),,,"J1 A - (North) Bishopthorpe Roa")&amp;":"&amp;ADDRESS(130,3+18*1+(6))),'J1 A - (North) Bishopthorpe Roa'!$A$12:$A$130,"&gt;="&amp;Diagram!$O17,'J1 A - (North) Bishopthorpe Roa'!$A$12:$A$130,"&lt;"&amp;Diagram!$P17),SUMIFS(INDIRECT(ADDRESS(12,3+18*1+(14),,,"J1 A - (North) Bishopthorpe Roa")&amp;":"&amp;ADDRESS(130,3+18*1+(14))),'J1 A - (North) Bishopthorpe Roa'!$A$12:$A$130,"&gt;="&amp;Diagram!$O17,'J1 A - (North) Bishopthorpe Roa'!$A$12:$A$130,"&lt;"&amp;Diagram!$P17)))</f>
        <v>0</v>
      </c>
      <c r="DT17" s="42">
        <f ca="1">IF(OR($I$10="",$O17="",$P17="",$J$41&lt;&gt;"Yes"),0,IF($K$10=0,SUMIFS(INDIRECT(ADDRESS(12,3+18*2+(6),,,"J1 A - (North) Bishopthorpe Roa")&amp;":"&amp;ADDRESS(130,3+18*2+(6))),'J1 A - (North) Bishopthorpe Roa'!$A$12:$A$130,"&gt;="&amp;Diagram!$O17,'J1 A - (North) Bishopthorpe Roa'!$A$12:$A$130,"&lt;"&amp;Diagram!$P17),SUMIFS(INDIRECT(ADDRESS(12,3+18*2+(14),,,"J1 A - (North) Bishopthorpe Roa")&amp;":"&amp;ADDRESS(130,3+18*2+(14))),'J1 A - (North) Bishopthorpe Roa'!$A$12:$A$130,"&gt;="&amp;Diagram!$O17,'J1 A - (North) Bishopthorpe Roa'!$A$12:$A$130,"&lt;"&amp;Diagram!$P17)))</f>
        <v>0</v>
      </c>
      <c r="DU17" s="42">
        <f ca="1">IF(OR($I$10="",$O17="",$P17="",$J$41&lt;&gt;"Yes"),0,IF($K$10=0,SUMIFS(INDIRECT(ADDRESS(12,3+18*2+(6),,,"J1 B - Butcher Terrace")&amp;":"&amp;ADDRESS(130,3+18*2+(6))),'J1 B - Butcher Terrace'!$A$12:$A$130,"&gt;="&amp;Diagram!$O17,'J1 B - Butcher Terrace'!$A$12:$A$130,"&lt;"&amp;Diagram!$P17),SUMIFS(INDIRECT(ADDRESS(12,3+18*2+(14),,,"J1 B - Butcher Terrace")&amp;":"&amp;ADDRESS(130,3+18*2+(14))),'J1 B - Butcher Terrace'!$A$12:$A$130,"&gt;="&amp;Diagram!$O17,'J1 B - Butcher Terrace'!$A$12:$A$130,"&lt;"&amp;Diagram!$P17)))</f>
        <v>0</v>
      </c>
      <c r="DV17" s="42">
        <f ca="1">IF(OR($I$10="",$O17="",$P17="",$J$41&lt;&gt;"Yes"),0,IF($K$10=0,SUMIFS(INDIRECT(ADDRESS(12,3+18*3+(6),,,"J1 B - Butcher Terrace")&amp;":"&amp;ADDRESS(130,3+18*3+(6))),'J1 B - Butcher Terrace'!$A$12:$A$130,"&gt;="&amp;Diagram!$O17,'J1 B - Butcher Terrace'!$A$12:$A$130,"&lt;"&amp;Diagram!$P17),SUMIFS(INDIRECT(ADDRESS(12,3+18*3+(14),,,"J1 B - Butcher Terrace")&amp;":"&amp;ADDRESS(130,3+18*3+(14))),'J1 B - Butcher Terrace'!$A$12:$A$130,"&gt;="&amp;Diagram!$O17,'J1 B - Butcher Terrace'!$A$12:$A$130,"&lt;"&amp;Diagram!$P17)))</f>
        <v>0</v>
      </c>
      <c r="DW17" s="42">
        <f ca="1">IF(OR($I$10="",$O17="",$P17="",$J$41&lt;&gt;"Yes"),0,IF($K$10=0,SUMIFS(INDIRECT(ADDRESS(12,3+18*0+(6),,,"J1 B - Butcher Terrace")&amp;":"&amp;ADDRESS(130,3+18*0+(6))),'J1 B - Butcher Terrace'!$A$12:$A$130,"&gt;="&amp;Diagram!$O17,'J1 B - Butcher Terrace'!$A$12:$A$130,"&lt;"&amp;Diagram!$P17),SUMIFS(INDIRECT(ADDRESS(12,3+18*0+(14),,,"J1 B - Butcher Terrace")&amp;":"&amp;ADDRESS(130,3+18*0+(14))),'J1 B - Butcher Terrace'!$A$12:$A$130,"&gt;="&amp;Diagram!$O17,'J1 B - Butcher Terrace'!$A$12:$A$130,"&lt;"&amp;Diagram!$P17)))</f>
        <v>0</v>
      </c>
      <c r="DX17" s="42">
        <f ca="1">IF(OR($I$10="",$O17="",$P17="",$J$41&lt;&gt;"Yes"),0,IF($K$10=0,SUMIFS(INDIRECT(ADDRESS(12,3+18*1+(6),,,"J1 B - Butcher Terrace")&amp;":"&amp;ADDRESS(130,3+18*1+(6))),'J1 B - Butcher Terrace'!$A$12:$A$130,"&gt;="&amp;Diagram!$O17,'J1 B - Butcher Terrace'!$A$12:$A$130,"&lt;"&amp;Diagram!$P17),SUMIFS(INDIRECT(ADDRESS(12,3+18*1+(14),,,"J1 B - Butcher Terrace")&amp;":"&amp;ADDRESS(130,3+18*1+(14))),'J1 B - Butcher Terrace'!$A$12:$A$130,"&gt;="&amp;Diagram!$O17,'J1 B - Butcher Terrace'!$A$12:$A$130,"&lt;"&amp;Diagram!$P17)))</f>
        <v>0</v>
      </c>
      <c r="DY17" s="42">
        <f ca="1">IF(OR($I$10="",$O17="",$P17="",$J$41&lt;&gt;"Yes"),0,IF($K$10=0,SUMIFS(INDIRECT(ADDRESS(12,3+18*1+(6),,,"J1 C - (South) Bishopthorpe Roa")&amp;":"&amp;ADDRESS(130,3+18*1+(6))),'J1 C - (South) Bishopthorpe Roa'!$A$12:$A$130,"&gt;="&amp;Diagram!$O17,'J1 C - (South) Bishopthorpe Roa'!$A$12:$A$130,"&lt;"&amp;Diagram!$P17),SUMIFS(INDIRECT(ADDRESS(12,3+18*1+(14),,,"J1 C - (South) Bishopthorpe Roa")&amp;":"&amp;ADDRESS(130,3+18*1+(14))),'J1 C - (South) Bishopthorpe Roa'!$A$12:$A$130,"&gt;="&amp;Diagram!$O17,'J1 C - (South) Bishopthorpe Roa'!$A$12:$A$130,"&lt;"&amp;Diagram!$P17)))</f>
        <v>0</v>
      </c>
      <c r="DZ17" s="42">
        <f ca="1">IF(OR($I$10="",$O17="",$P17="",$J$41&lt;&gt;"Yes"),0,IF($K$10=0,SUMIFS(INDIRECT(ADDRESS(12,3+18*2+(6),,,"J1 C - (South) Bishopthorpe Roa")&amp;":"&amp;ADDRESS(130,3+18*2+(6))),'J1 C - (South) Bishopthorpe Roa'!$A$12:$A$130,"&gt;="&amp;Diagram!$O17,'J1 C - (South) Bishopthorpe Roa'!$A$12:$A$130,"&lt;"&amp;Diagram!$P17),SUMIFS(INDIRECT(ADDRESS(12,3+18*2+(14),,,"J1 C - (South) Bishopthorpe Roa")&amp;":"&amp;ADDRESS(130,3+18*2+(14))),'J1 C - (South) Bishopthorpe Roa'!$A$12:$A$130,"&gt;="&amp;Diagram!$O17,'J1 C - (South) Bishopthorpe Roa'!$A$12:$A$130,"&lt;"&amp;Diagram!$P17)))</f>
        <v>0</v>
      </c>
      <c r="EA17" s="42">
        <f ca="1">IF(OR($I$10="",$O17="",$P17="",$J$41&lt;&gt;"Yes"),0,IF($K$10=0,SUMIFS(INDIRECT(ADDRESS(12,3+18*3+(6),,,"J1 C - (South) Bishopthorpe Roa")&amp;":"&amp;ADDRESS(130,3+18*3+(6))),'J1 C - (South) Bishopthorpe Roa'!$A$12:$A$130,"&gt;="&amp;Diagram!$O17,'J1 C - (South) Bishopthorpe Roa'!$A$12:$A$130,"&lt;"&amp;Diagram!$P17),SUMIFS(INDIRECT(ADDRESS(12,3+18*3+(14),,,"J1 C - (South) Bishopthorpe Roa")&amp;":"&amp;ADDRESS(130,3+18*3+(14))),'J1 C - (South) Bishopthorpe Roa'!$A$12:$A$130,"&gt;="&amp;Diagram!$O17,'J1 C - (South) Bishopthorpe Roa'!$A$12:$A$130,"&lt;"&amp;Diagram!$P17)))</f>
        <v>0</v>
      </c>
      <c r="EB17" s="42">
        <f ca="1">IF(OR($I$10="",$O17="",$P17="",$J$41&lt;&gt;"Yes"),0,IF($K$10=0,SUMIFS(INDIRECT(ADDRESS(12,3+18*0+(6),,,"J1 C - (South) Bishopthorpe Roa")&amp;":"&amp;ADDRESS(130,3+18*0+(6))),'J1 C - (South) Bishopthorpe Roa'!$A$12:$A$130,"&gt;="&amp;Diagram!$O17,'J1 C - (South) Bishopthorpe Roa'!$A$12:$A$130,"&lt;"&amp;Diagram!$P17),SUMIFS(INDIRECT(ADDRESS(12,3+18*0+(14),,,"J1 C - (South) Bishopthorpe Roa")&amp;":"&amp;ADDRESS(130,3+18*0+(14))),'J1 C - (South) Bishopthorpe Roa'!$A$12:$A$130,"&gt;="&amp;Diagram!$O17,'J1 C - (South) Bishopthorpe Roa'!$A$12:$A$130,"&lt;"&amp;Diagram!$P17)))</f>
        <v>0</v>
      </c>
      <c r="EC17" s="42">
        <f ca="1">IF(OR($I$10="",$O17="",$P17="",$J$41&lt;&gt;"Yes"),0,IF($K$10=0,SUMIFS(INDIRECT(ADDRESS(12,3+18*0+(6),,,"J1 D - South Bank Avenue")&amp;":"&amp;ADDRESS(130,3+18*0+(6))),'J1 D - South Bank Avenue'!$A$12:$A$130,"&gt;="&amp;Diagram!$O17,'J1 D - South Bank Avenue'!$A$12:$A$130,"&lt;"&amp;Diagram!$P17),SUMIFS(INDIRECT(ADDRESS(12,3+18*0+(14),,,"J1 D - South Bank Avenue")&amp;":"&amp;ADDRESS(130,3+18*0+(14))),'J1 D - South Bank Avenue'!$A$12:$A$130,"&gt;="&amp;Diagram!$O17,'J1 D - South Bank Avenue'!$A$12:$A$130,"&lt;"&amp;Diagram!$P17)))</f>
        <v>0</v>
      </c>
      <c r="ED17" s="42">
        <f ca="1">IF(OR($I$10="",$O17="",$P17="",$J$41&lt;&gt;"Yes"),0,IF($K$10=0,SUMIFS(INDIRECT(ADDRESS(12,3+18*1+(6),,,"J1 D - South Bank Avenue")&amp;":"&amp;ADDRESS(130,3+18*1+(6))),'J1 D - South Bank Avenue'!$A$12:$A$130,"&gt;="&amp;Diagram!$O17,'J1 D - South Bank Avenue'!$A$12:$A$130,"&lt;"&amp;Diagram!$P17),SUMIFS(INDIRECT(ADDRESS(12,3+18*1+(14),,,"J1 D - South Bank Avenue")&amp;":"&amp;ADDRESS(130,3+18*1+(14))),'J1 D - South Bank Avenue'!$A$12:$A$130,"&gt;="&amp;Diagram!$O17,'J1 D - South Bank Avenue'!$A$12:$A$130,"&lt;"&amp;Diagram!$P17)))</f>
        <v>0</v>
      </c>
      <c r="EE17" s="42">
        <f ca="1">IF(OR($I$10="",$O17="",$P17="",$J$41&lt;&gt;"Yes"),0,IF($K$10=0,SUMIFS(INDIRECT(ADDRESS(12,3+18*2+(6),,,"J1 D - South Bank Avenue")&amp;":"&amp;ADDRESS(130,3+18*2+(6))),'J1 D - South Bank Avenue'!$A$12:$A$130,"&gt;="&amp;Diagram!$O17,'J1 D - South Bank Avenue'!$A$12:$A$130,"&lt;"&amp;Diagram!$P17),SUMIFS(INDIRECT(ADDRESS(12,3+18*2+(14),,,"J1 D - South Bank Avenue")&amp;":"&amp;ADDRESS(130,3+18*2+(14))),'J1 D - South Bank Avenue'!$A$12:$A$130,"&gt;="&amp;Diagram!$O17,'J1 D - South Bank Avenue'!$A$12:$A$130,"&lt;"&amp;Diagram!$P17)))</f>
        <v>0</v>
      </c>
      <c r="EF17" s="42">
        <f ca="1">IF(OR($I$10="",$O17="",$P17="",$J$41&lt;&gt;"Yes"),0,IF($K$10=0,SUMIFS(INDIRECT(ADDRESS(12,3+18*3+(6),,,"J1 D - South Bank Avenue")&amp;":"&amp;ADDRESS(130,3+18*3+(6))),'J1 D - South Bank Avenue'!$A$12:$A$130,"&gt;="&amp;Diagram!$O17,'J1 D - South Bank Avenue'!$A$12:$A$130,"&lt;"&amp;Diagram!$P17),SUMIFS(INDIRECT(ADDRESS(12,3+18*3+(14),,,"J1 D - South Bank Avenue")&amp;":"&amp;ADDRESS(130,3+18*3+(14))),'J1 D - South Bank Avenue'!$A$12:$A$130,"&gt;="&amp;Diagram!$O17,'J1 D - South Bank Avenue'!$A$12:$A$130,"&lt;"&amp;Diagram!$P17)))</f>
        <v>0</v>
      </c>
      <c r="EG17" s="42">
        <f t="shared" ca="1" si="8"/>
        <v>0</v>
      </c>
      <c r="EH17" s="42">
        <f ca="1">IF(OR($I$10="",$O17="",$P17="",$J$42&lt;&gt;"Yes"),0,IF($K$10=0,SUMIFS(INDIRECT(ADDRESS(12,3+18*3+(7),,,"J1 A - (North) Bishopthorpe Roa")&amp;":"&amp;ADDRESS(130,3+18*3+(7))),'J1 A - (North) Bishopthorpe Roa'!$A$12:$A$130,"&gt;="&amp;Diagram!$O17,'J1 A - (North) Bishopthorpe Roa'!$A$12:$A$130,"&lt;"&amp;Diagram!$P17),SUMIFS(INDIRECT(ADDRESS(12,3+18*3+(15),,,"J1 A - (North) Bishopthorpe Roa")&amp;":"&amp;ADDRESS(130,3+18*3+(15))),'J1 A - (North) Bishopthorpe Roa'!$A$12:$A$130,"&gt;="&amp;Diagram!$O17,'J1 A - (North) Bishopthorpe Roa'!$A$12:$A$130,"&lt;"&amp;Diagram!$P17)))</f>
        <v>0</v>
      </c>
      <c r="EI17" s="42">
        <f ca="1">IF(OR($I$10="",$O17="",$P17="",$J$42&lt;&gt;"Yes"),0,IF($K$10=0,SUMIFS(INDIRECT(ADDRESS(12,3+18*0+(7),,,"J1 A - (North) Bishopthorpe Roa")&amp;":"&amp;ADDRESS(130,3+18*0+(7))),'J1 A - (North) Bishopthorpe Roa'!$A$12:$A$130,"&gt;="&amp;Diagram!$O17,'J1 A - (North) Bishopthorpe Roa'!$A$12:$A$130,"&lt;"&amp;Diagram!$P17),SUMIFS(INDIRECT(ADDRESS(12,3+18*0+(15),,,"J1 A - (North) Bishopthorpe Roa")&amp;":"&amp;ADDRESS(130,3+18*0+(15))),'J1 A - (North) Bishopthorpe Roa'!$A$12:$A$130,"&gt;="&amp;Diagram!$O17,'J1 A - (North) Bishopthorpe Roa'!$A$12:$A$130,"&lt;"&amp;Diagram!$P17)))</f>
        <v>0</v>
      </c>
      <c r="EJ17" s="42">
        <f ca="1">IF(OR($I$10="",$O17="",$P17="",$J$42&lt;&gt;"Yes"),0,IF($K$10=0,SUMIFS(INDIRECT(ADDRESS(12,3+18*1+(7),,,"J1 A - (North) Bishopthorpe Roa")&amp;":"&amp;ADDRESS(130,3+18*1+(7))),'J1 A - (North) Bishopthorpe Roa'!$A$12:$A$130,"&gt;="&amp;Diagram!$O17,'J1 A - (North) Bishopthorpe Roa'!$A$12:$A$130,"&lt;"&amp;Diagram!$P17),SUMIFS(INDIRECT(ADDRESS(12,3+18*1+(15),,,"J1 A - (North) Bishopthorpe Roa")&amp;":"&amp;ADDRESS(130,3+18*1+(15))),'J1 A - (North) Bishopthorpe Roa'!$A$12:$A$130,"&gt;="&amp;Diagram!$O17,'J1 A - (North) Bishopthorpe Roa'!$A$12:$A$130,"&lt;"&amp;Diagram!$P17)))</f>
        <v>0</v>
      </c>
      <c r="EK17" s="42">
        <f ca="1">IF(OR($I$10="",$O17="",$P17="",$J$42&lt;&gt;"Yes"),0,IF($K$10=0,SUMIFS(INDIRECT(ADDRESS(12,3+18*2+(7),,,"J1 A - (North) Bishopthorpe Roa")&amp;":"&amp;ADDRESS(130,3+18*2+(7))),'J1 A - (North) Bishopthorpe Roa'!$A$12:$A$130,"&gt;="&amp;Diagram!$O17,'J1 A - (North) Bishopthorpe Roa'!$A$12:$A$130,"&lt;"&amp;Diagram!$P17),SUMIFS(INDIRECT(ADDRESS(12,3+18*2+(15),,,"J1 A - (North) Bishopthorpe Roa")&amp;":"&amp;ADDRESS(130,3+18*2+(15))),'J1 A - (North) Bishopthorpe Roa'!$A$12:$A$130,"&gt;="&amp;Diagram!$O17,'J1 A - (North) Bishopthorpe Roa'!$A$12:$A$130,"&lt;"&amp;Diagram!$P17)))</f>
        <v>0</v>
      </c>
      <c r="EL17" s="42">
        <f ca="1">IF(OR($I$10="",$O17="",$P17="",$J$42&lt;&gt;"Yes"),0,IF($K$10=0,SUMIFS(INDIRECT(ADDRESS(12,3+18*2+(7),,,"J1 B - Butcher Terrace")&amp;":"&amp;ADDRESS(130,3+18*2+(7))),'J1 B - Butcher Terrace'!$A$12:$A$130,"&gt;="&amp;Diagram!$O17,'J1 B - Butcher Terrace'!$A$12:$A$130,"&lt;"&amp;Diagram!$P17),SUMIFS(INDIRECT(ADDRESS(12,3+18*2+(15),,,"J1 B - Butcher Terrace")&amp;":"&amp;ADDRESS(130,3+18*2+(15))),'J1 B - Butcher Terrace'!$A$12:$A$130,"&gt;="&amp;Diagram!$O17,'J1 B - Butcher Terrace'!$A$12:$A$130,"&lt;"&amp;Diagram!$P17)))</f>
        <v>0</v>
      </c>
      <c r="EM17" s="42">
        <f ca="1">IF(OR($I$10="",$O17="",$P17="",$J$42&lt;&gt;"Yes"),0,IF($K$10=0,SUMIFS(INDIRECT(ADDRESS(12,3+18*3+(7),,,"J1 B - Butcher Terrace")&amp;":"&amp;ADDRESS(130,3+18*3+(7))),'J1 B - Butcher Terrace'!$A$12:$A$130,"&gt;="&amp;Diagram!$O17,'J1 B - Butcher Terrace'!$A$12:$A$130,"&lt;"&amp;Diagram!$P17),SUMIFS(INDIRECT(ADDRESS(12,3+18*3+(15),,,"J1 B - Butcher Terrace")&amp;":"&amp;ADDRESS(130,3+18*3+(15))),'J1 B - Butcher Terrace'!$A$12:$A$130,"&gt;="&amp;Diagram!$O17,'J1 B - Butcher Terrace'!$A$12:$A$130,"&lt;"&amp;Diagram!$P17)))</f>
        <v>0</v>
      </c>
      <c r="EN17" s="42">
        <f ca="1">IF(OR($I$10="",$O17="",$P17="",$J$42&lt;&gt;"Yes"),0,IF($K$10=0,SUMIFS(INDIRECT(ADDRESS(12,3+18*0+(7),,,"J1 B - Butcher Terrace")&amp;":"&amp;ADDRESS(130,3+18*0+(7))),'J1 B - Butcher Terrace'!$A$12:$A$130,"&gt;="&amp;Diagram!$O17,'J1 B - Butcher Terrace'!$A$12:$A$130,"&lt;"&amp;Diagram!$P17),SUMIFS(INDIRECT(ADDRESS(12,3+18*0+(15),,,"J1 B - Butcher Terrace")&amp;":"&amp;ADDRESS(130,3+18*0+(15))),'J1 B - Butcher Terrace'!$A$12:$A$130,"&gt;="&amp;Diagram!$O17,'J1 B - Butcher Terrace'!$A$12:$A$130,"&lt;"&amp;Diagram!$P17)))</f>
        <v>0</v>
      </c>
      <c r="EO17" s="42">
        <f ca="1">IF(OR($I$10="",$O17="",$P17="",$J$42&lt;&gt;"Yes"),0,IF($K$10=0,SUMIFS(INDIRECT(ADDRESS(12,3+18*1+(7),,,"J1 B - Butcher Terrace")&amp;":"&amp;ADDRESS(130,3+18*1+(7))),'J1 B - Butcher Terrace'!$A$12:$A$130,"&gt;="&amp;Diagram!$O17,'J1 B - Butcher Terrace'!$A$12:$A$130,"&lt;"&amp;Diagram!$P17),SUMIFS(INDIRECT(ADDRESS(12,3+18*1+(15),,,"J1 B - Butcher Terrace")&amp;":"&amp;ADDRESS(130,3+18*1+(15))),'J1 B - Butcher Terrace'!$A$12:$A$130,"&gt;="&amp;Diagram!$O17,'J1 B - Butcher Terrace'!$A$12:$A$130,"&lt;"&amp;Diagram!$P17)))</f>
        <v>0</v>
      </c>
      <c r="EP17" s="42">
        <f ca="1">IF(OR($I$10="",$O17="",$P17="",$J$42&lt;&gt;"Yes"),0,IF($K$10=0,SUMIFS(INDIRECT(ADDRESS(12,3+18*1+(7),,,"J1 C - (South) Bishopthorpe Roa")&amp;":"&amp;ADDRESS(130,3+18*1+(7))),'J1 C - (South) Bishopthorpe Roa'!$A$12:$A$130,"&gt;="&amp;Diagram!$O17,'J1 C - (South) Bishopthorpe Roa'!$A$12:$A$130,"&lt;"&amp;Diagram!$P17),SUMIFS(INDIRECT(ADDRESS(12,3+18*1+(15),,,"J1 C - (South) Bishopthorpe Roa")&amp;":"&amp;ADDRESS(130,3+18*1+(15))),'J1 C - (South) Bishopthorpe Roa'!$A$12:$A$130,"&gt;="&amp;Diagram!$O17,'J1 C - (South) Bishopthorpe Roa'!$A$12:$A$130,"&lt;"&amp;Diagram!$P17)))</f>
        <v>0</v>
      </c>
      <c r="EQ17" s="42">
        <f ca="1">IF(OR($I$10="",$O17="",$P17="",$J$42&lt;&gt;"Yes"),0,IF($K$10=0,SUMIFS(INDIRECT(ADDRESS(12,3+18*2+(7),,,"J1 C - (South) Bishopthorpe Roa")&amp;":"&amp;ADDRESS(130,3+18*2+(7))),'J1 C - (South) Bishopthorpe Roa'!$A$12:$A$130,"&gt;="&amp;Diagram!$O17,'J1 C - (South) Bishopthorpe Roa'!$A$12:$A$130,"&lt;"&amp;Diagram!$P17),SUMIFS(INDIRECT(ADDRESS(12,3+18*2+(15),,,"J1 C - (South) Bishopthorpe Roa")&amp;":"&amp;ADDRESS(130,3+18*2+(15))),'J1 C - (South) Bishopthorpe Roa'!$A$12:$A$130,"&gt;="&amp;Diagram!$O17,'J1 C - (South) Bishopthorpe Roa'!$A$12:$A$130,"&lt;"&amp;Diagram!$P17)))</f>
        <v>0</v>
      </c>
      <c r="ER17" s="42">
        <f ca="1">IF(OR($I$10="",$O17="",$P17="",$J$42&lt;&gt;"Yes"),0,IF($K$10=0,SUMIFS(INDIRECT(ADDRESS(12,3+18*3+(7),,,"J1 C - (South) Bishopthorpe Roa")&amp;":"&amp;ADDRESS(130,3+18*3+(7))),'J1 C - (South) Bishopthorpe Roa'!$A$12:$A$130,"&gt;="&amp;Diagram!$O17,'J1 C - (South) Bishopthorpe Roa'!$A$12:$A$130,"&lt;"&amp;Diagram!$P17),SUMIFS(INDIRECT(ADDRESS(12,3+18*3+(15),,,"J1 C - (South) Bishopthorpe Roa")&amp;":"&amp;ADDRESS(130,3+18*3+(15))),'J1 C - (South) Bishopthorpe Roa'!$A$12:$A$130,"&gt;="&amp;Diagram!$O17,'J1 C - (South) Bishopthorpe Roa'!$A$12:$A$130,"&lt;"&amp;Diagram!$P17)))</f>
        <v>0</v>
      </c>
      <c r="ES17" s="42">
        <f ca="1">IF(OR($I$10="",$O17="",$P17="",$J$42&lt;&gt;"Yes"),0,IF($K$10=0,SUMIFS(INDIRECT(ADDRESS(12,3+18*0+(7),,,"J1 C - (South) Bishopthorpe Roa")&amp;":"&amp;ADDRESS(130,3+18*0+(7))),'J1 C - (South) Bishopthorpe Roa'!$A$12:$A$130,"&gt;="&amp;Diagram!$O17,'J1 C - (South) Bishopthorpe Roa'!$A$12:$A$130,"&lt;"&amp;Diagram!$P17),SUMIFS(INDIRECT(ADDRESS(12,3+18*0+(15),,,"J1 C - (South) Bishopthorpe Roa")&amp;":"&amp;ADDRESS(130,3+18*0+(15))),'J1 C - (South) Bishopthorpe Roa'!$A$12:$A$130,"&gt;="&amp;Diagram!$O17,'J1 C - (South) Bishopthorpe Roa'!$A$12:$A$130,"&lt;"&amp;Diagram!$P17)))</f>
        <v>0</v>
      </c>
      <c r="ET17" s="42">
        <f ca="1">IF(OR($I$10="",$O17="",$P17="",$J$42&lt;&gt;"Yes"),0,IF($K$10=0,SUMIFS(INDIRECT(ADDRESS(12,3+18*0+(7),,,"J1 D - South Bank Avenue")&amp;":"&amp;ADDRESS(130,3+18*0+(7))),'J1 D - South Bank Avenue'!$A$12:$A$130,"&gt;="&amp;Diagram!$O17,'J1 D - South Bank Avenue'!$A$12:$A$130,"&lt;"&amp;Diagram!$P17),SUMIFS(INDIRECT(ADDRESS(12,3+18*0+(15),,,"J1 D - South Bank Avenue")&amp;":"&amp;ADDRESS(130,3+18*0+(15))),'J1 D - South Bank Avenue'!$A$12:$A$130,"&gt;="&amp;Diagram!$O17,'J1 D - South Bank Avenue'!$A$12:$A$130,"&lt;"&amp;Diagram!$P17)))</f>
        <v>0</v>
      </c>
      <c r="EU17" s="42">
        <f ca="1">IF(OR($I$10="",$O17="",$P17="",$J$42&lt;&gt;"Yes"),0,IF($K$10=0,SUMIFS(INDIRECT(ADDRESS(12,3+18*1+(7),,,"J1 D - South Bank Avenue")&amp;":"&amp;ADDRESS(130,3+18*1+(7))),'J1 D - South Bank Avenue'!$A$12:$A$130,"&gt;="&amp;Diagram!$O17,'J1 D - South Bank Avenue'!$A$12:$A$130,"&lt;"&amp;Diagram!$P17),SUMIFS(INDIRECT(ADDRESS(12,3+18*1+(15),,,"J1 D - South Bank Avenue")&amp;":"&amp;ADDRESS(130,3+18*1+(15))),'J1 D - South Bank Avenue'!$A$12:$A$130,"&gt;="&amp;Diagram!$O17,'J1 D - South Bank Avenue'!$A$12:$A$130,"&lt;"&amp;Diagram!$P17)))</f>
        <v>0</v>
      </c>
      <c r="EV17" s="42">
        <f ca="1">IF(OR($I$10="",$O17="",$P17="",$J$42&lt;&gt;"Yes"),0,IF($K$10=0,SUMIFS(INDIRECT(ADDRESS(12,3+18*2+(7),,,"J1 D - South Bank Avenue")&amp;":"&amp;ADDRESS(130,3+18*2+(7))),'J1 D - South Bank Avenue'!$A$12:$A$130,"&gt;="&amp;Diagram!$O17,'J1 D - South Bank Avenue'!$A$12:$A$130,"&lt;"&amp;Diagram!$P17),SUMIFS(INDIRECT(ADDRESS(12,3+18*2+(15),,,"J1 D - South Bank Avenue")&amp;":"&amp;ADDRESS(130,3+18*2+(15))),'J1 D - South Bank Avenue'!$A$12:$A$130,"&gt;="&amp;Diagram!$O17,'J1 D - South Bank Avenue'!$A$12:$A$130,"&lt;"&amp;Diagram!$P17)))</f>
        <v>0</v>
      </c>
      <c r="EW17" s="42">
        <f ca="1">IF(OR($I$10="",$O17="",$P17="",$J$42&lt;&gt;"Yes"),0,IF($K$10=0,SUMIFS(INDIRECT(ADDRESS(12,3+18*3+(7),,,"J1 D - South Bank Avenue")&amp;":"&amp;ADDRESS(130,3+18*3+(7))),'J1 D - South Bank Avenue'!$A$12:$A$130,"&gt;="&amp;Diagram!$O17,'J1 D - South Bank Avenue'!$A$12:$A$130,"&lt;"&amp;Diagram!$P17),SUMIFS(INDIRECT(ADDRESS(12,3+18*3+(15),,,"J1 D - South Bank Avenue")&amp;":"&amp;ADDRESS(130,3+18*3+(15))),'J1 D - South Bank Avenue'!$A$12:$A$130,"&gt;="&amp;Diagram!$O17,'J1 D - South Bank Avenue'!$A$12:$A$130,"&lt;"&amp;Diagram!$P17)))</f>
        <v>0</v>
      </c>
    </row>
    <row r="18" spans="1:153" ht="21" customHeight="1">
      <c r="A18" s="1">
        <v>44395.177083333299</v>
      </c>
      <c r="B18" s="1">
        <v>44395.1875</v>
      </c>
      <c r="I18" s="107" t="str">
        <f t="shared" ref="I18" si="9">IF(OR($I$10="",$I$15="",$J$15=""),"",IF($I$17="Yes"," "&amp;TEXT($J$17," HH:MM")&amp;" to "&amp;TEXT($K$17," HH:MM"),""))</f>
        <v/>
      </c>
      <c r="J18" s="108"/>
      <c r="O18" s="3">
        <v>44395.177083333299</v>
      </c>
      <c r="P18" s="3">
        <v>44395.21875</v>
      </c>
      <c r="Q18" s="42">
        <f t="shared" ca="1" si="0"/>
        <v>21</v>
      </c>
      <c r="R18" s="42">
        <f t="shared" ca="1" si="1"/>
        <v>12</v>
      </c>
      <c r="S18" s="42">
        <f ca="1">IF(OR($I$10="",$O18="",$P18="",$J$35&lt;&gt;"Yes"),0,IF($K$10=0,SUMIFS(INDIRECT(ADDRESS(12,3+18*3+(0),,,"J1 A - (North) Bishopthorpe Roa")&amp;":"&amp;ADDRESS(130,3+18*3+(0))),'J1 A - (North) Bishopthorpe Roa'!$A$12:$A$130,"&gt;="&amp;Diagram!$O18,'J1 A - (North) Bishopthorpe Roa'!$A$12:$A$130,"&lt;"&amp;Diagram!$P18),SUMIFS(INDIRECT(ADDRESS(12,3+18*3+(8),,,"J1 A - (North) Bishopthorpe Roa")&amp;":"&amp;ADDRESS(130,3+18*3+(8))),'J1 A - (North) Bishopthorpe Roa'!$A$12:$A$130,"&gt;="&amp;Diagram!$O18,'J1 A - (North) Bishopthorpe Roa'!$A$12:$A$130,"&lt;"&amp;Diagram!$P18)))</f>
        <v>0</v>
      </c>
      <c r="T18" s="42">
        <f ca="1">IF(OR($I$10="",$O18="",$P18="",$J$35&lt;&gt;"Yes"),0,IF($K$10=0,SUMIFS(INDIRECT(ADDRESS(12,3+18*0+(0),,,"J1 A - (North) Bishopthorpe Roa")&amp;":"&amp;ADDRESS(130,3+18*0+(0))),'J1 A - (North) Bishopthorpe Roa'!$A$12:$A$130,"&gt;="&amp;Diagram!$O18,'J1 A - (North) Bishopthorpe Roa'!$A$12:$A$130,"&lt;"&amp;Diagram!$P18),SUMIFS(INDIRECT(ADDRESS(12,3+18*0+(8),,,"J1 A - (North) Bishopthorpe Roa")&amp;":"&amp;ADDRESS(130,3+18*0+(8))),'J1 A - (North) Bishopthorpe Roa'!$A$12:$A$130,"&gt;="&amp;Diagram!$O18,'J1 A - (North) Bishopthorpe Roa'!$A$12:$A$130,"&lt;"&amp;Diagram!$P18)))</f>
        <v>0</v>
      </c>
      <c r="U18" s="42">
        <f ca="1">IF(OR($I$10="",$O18="",$P18="",$J$35&lt;&gt;"Yes"),0,IF($K$10=0,SUMIFS(INDIRECT(ADDRESS(12,3+18*1+(0),,,"J1 A - (North) Bishopthorpe Roa")&amp;":"&amp;ADDRESS(130,3+18*1+(0))),'J1 A - (North) Bishopthorpe Roa'!$A$12:$A$130,"&gt;="&amp;Diagram!$O18,'J1 A - (North) Bishopthorpe Roa'!$A$12:$A$130,"&lt;"&amp;Diagram!$P18),SUMIFS(INDIRECT(ADDRESS(12,3+18*1+(8),,,"J1 A - (North) Bishopthorpe Roa")&amp;":"&amp;ADDRESS(130,3+18*1+(8))),'J1 A - (North) Bishopthorpe Roa'!$A$12:$A$130,"&gt;="&amp;Diagram!$O18,'J1 A - (North) Bishopthorpe Roa'!$A$12:$A$130,"&lt;"&amp;Diagram!$P18)))</f>
        <v>6</v>
      </c>
      <c r="V18" s="42">
        <f ca="1">IF(OR($I$10="",$O18="",$P18="",$J$35&lt;&gt;"Yes"),0,IF($K$10=0,SUMIFS(INDIRECT(ADDRESS(12,3+18*2+(0),,,"J1 A - (North) Bishopthorpe Roa")&amp;":"&amp;ADDRESS(130,3+18*2+(0))),'J1 A - (North) Bishopthorpe Roa'!$A$12:$A$130,"&gt;="&amp;Diagram!$O18,'J1 A - (North) Bishopthorpe Roa'!$A$12:$A$130,"&lt;"&amp;Diagram!$P18),SUMIFS(INDIRECT(ADDRESS(12,3+18*2+(8),,,"J1 A - (North) Bishopthorpe Roa")&amp;":"&amp;ADDRESS(130,3+18*2+(8))),'J1 A - (North) Bishopthorpe Roa'!$A$12:$A$130,"&gt;="&amp;Diagram!$O18,'J1 A - (North) Bishopthorpe Roa'!$A$12:$A$130,"&lt;"&amp;Diagram!$P18)))</f>
        <v>0</v>
      </c>
      <c r="W18" s="42">
        <f ca="1">IF(OR($I$10="",$O18="",$P18="",$J$35&lt;&gt;"Yes"),0,IF($K$10=0,SUMIFS(INDIRECT(ADDRESS(12,3+18*2+(0),,,"J1 B - Butcher Terrace")&amp;":"&amp;ADDRESS(130,3+18*2+(0))),'J1 B - Butcher Terrace'!$A$12:$A$130,"&gt;="&amp;Diagram!$O18,'J1 B - Butcher Terrace'!$A$12:$A$130,"&lt;"&amp;Diagram!$P18),SUMIFS(INDIRECT(ADDRESS(12,3+18*2+(8),,,"J1 B - Butcher Terrace")&amp;":"&amp;ADDRESS(130,3+18*2+(8))),'J1 B - Butcher Terrace'!$A$12:$A$130,"&gt;="&amp;Diagram!$O18,'J1 B - Butcher Terrace'!$A$12:$A$130,"&lt;"&amp;Diagram!$P18)))</f>
        <v>0</v>
      </c>
      <c r="X18" s="42">
        <f ca="1">IF(OR($I$10="",$O18="",$P18="",$J$35&lt;&gt;"Yes"),0,IF($K$10=0,SUMIFS(INDIRECT(ADDRESS(12,3+18*3+(0),,,"J1 B - Butcher Terrace")&amp;":"&amp;ADDRESS(130,3+18*3+(0))),'J1 B - Butcher Terrace'!$A$12:$A$130,"&gt;="&amp;Diagram!$O18,'J1 B - Butcher Terrace'!$A$12:$A$130,"&lt;"&amp;Diagram!$P18),SUMIFS(INDIRECT(ADDRESS(12,3+18*3+(8),,,"J1 B - Butcher Terrace")&amp;":"&amp;ADDRESS(130,3+18*3+(8))),'J1 B - Butcher Terrace'!$A$12:$A$130,"&gt;="&amp;Diagram!$O18,'J1 B - Butcher Terrace'!$A$12:$A$130,"&lt;"&amp;Diagram!$P18)))</f>
        <v>0</v>
      </c>
      <c r="Y18" s="42">
        <f ca="1">IF(OR($I$10="",$O18="",$P18="",$J$35&lt;&gt;"Yes"),0,IF($K$10=0,SUMIFS(INDIRECT(ADDRESS(12,3+18*0+(0),,,"J1 B - Butcher Terrace")&amp;":"&amp;ADDRESS(130,3+18*0+(0))),'J1 B - Butcher Terrace'!$A$12:$A$130,"&gt;="&amp;Diagram!$O18,'J1 B - Butcher Terrace'!$A$12:$A$130,"&lt;"&amp;Diagram!$P18),SUMIFS(INDIRECT(ADDRESS(12,3+18*0+(8),,,"J1 B - Butcher Terrace")&amp;":"&amp;ADDRESS(130,3+18*0+(8))),'J1 B - Butcher Terrace'!$A$12:$A$130,"&gt;="&amp;Diagram!$O18,'J1 B - Butcher Terrace'!$A$12:$A$130,"&lt;"&amp;Diagram!$P18)))</f>
        <v>0</v>
      </c>
      <c r="Z18" s="42">
        <f ca="1">IF(OR($I$10="",$O18="",$P18="",$J$35&lt;&gt;"Yes"),0,IF($K$10=0,SUMIFS(INDIRECT(ADDRESS(12,3+18*1+(0),,,"J1 B - Butcher Terrace")&amp;":"&amp;ADDRESS(130,3+18*1+(0))),'J1 B - Butcher Terrace'!$A$12:$A$130,"&gt;="&amp;Diagram!$O18,'J1 B - Butcher Terrace'!$A$12:$A$130,"&lt;"&amp;Diagram!$P18),SUMIFS(INDIRECT(ADDRESS(12,3+18*1+(8),,,"J1 B - Butcher Terrace")&amp;":"&amp;ADDRESS(130,3+18*1+(8))),'J1 B - Butcher Terrace'!$A$12:$A$130,"&gt;="&amp;Diagram!$O18,'J1 B - Butcher Terrace'!$A$12:$A$130,"&lt;"&amp;Diagram!$P18)))</f>
        <v>0</v>
      </c>
      <c r="AA18" s="42">
        <f ca="1">IF(OR($I$10="",$O18="",$P18="",$J$35&lt;&gt;"Yes"),0,IF($K$10=0,SUMIFS(INDIRECT(ADDRESS(12,3+18*1+(0),,,"J1 C - (South) Bishopthorpe Roa")&amp;":"&amp;ADDRESS(130,3+18*1+(0))),'J1 C - (South) Bishopthorpe Roa'!$A$12:$A$130,"&gt;="&amp;Diagram!$O18,'J1 C - (South) Bishopthorpe Roa'!$A$12:$A$130,"&lt;"&amp;Diagram!$P18),SUMIFS(INDIRECT(ADDRESS(12,3+18*1+(8),,,"J1 C - (South) Bishopthorpe Roa")&amp;":"&amp;ADDRESS(130,3+18*1+(8))),'J1 C - (South) Bishopthorpe Roa'!$A$12:$A$130,"&gt;="&amp;Diagram!$O18,'J1 C - (South) Bishopthorpe Roa'!$A$12:$A$130,"&lt;"&amp;Diagram!$P18)))</f>
        <v>6</v>
      </c>
      <c r="AB18" s="42">
        <f ca="1">IF(OR($I$10="",$O18="",$P18="",$J$35&lt;&gt;"Yes"),0,IF($K$10=0,SUMIFS(INDIRECT(ADDRESS(12,3+18*2+(0),,,"J1 C - (South) Bishopthorpe Roa")&amp;":"&amp;ADDRESS(130,3+18*2+(0))),'J1 C - (South) Bishopthorpe Roa'!$A$12:$A$130,"&gt;="&amp;Diagram!$O18,'J1 C - (South) Bishopthorpe Roa'!$A$12:$A$130,"&lt;"&amp;Diagram!$P18),SUMIFS(INDIRECT(ADDRESS(12,3+18*2+(8),,,"J1 C - (South) Bishopthorpe Roa")&amp;":"&amp;ADDRESS(130,3+18*2+(8))),'J1 C - (South) Bishopthorpe Roa'!$A$12:$A$130,"&gt;="&amp;Diagram!$O18,'J1 C - (South) Bishopthorpe Roa'!$A$12:$A$130,"&lt;"&amp;Diagram!$P18)))</f>
        <v>0</v>
      </c>
      <c r="AC18" s="42">
        <f ca="1">IF(OR($I$10="",$O18="",$P18="",$J$35&lt;&gt;"Yes"),0,IF($K$10=0,SUMIFS(INDIRECT(ADDRESS(12,3+18*3+(0),,,"J1 C - (South) Bishopthorpe Roa")&amp;":"&amp;ADDRESS(130,3+18*3+(0))),'J1 C - (South) Bishopthorpe Roa'!$A$12:$A$130,"&gt;="&amp;Diagram!$O18,'J1 C - (South) Bishopthorpe Roa'!$A$12:$A$130,"&lt;"&amp;Diagram!$P18),SUMIFS(INDIRECT(ADDRESS(12,3+18*3+(8),,,"J1 C - (South) Bishopthorpe Roa")&amp;":"&amp;ADDRESS(130,3+18*3+(8))),'J1 C - (South) Bishopthorpe Roa'!$A$12:$A$130,"&gt;="&amp;Diagram!$O18,'J1 C - (South) Bishopthorpe Roa'!$A$12:$A$130,"&lt;"&amp;Diagram!$P18)))</f>
        <v>0</v>
      </c>
      <c r="AD18" s="42">
        <f ca="1">IF(OR($I$10="",$O18="",$P18="",$J$35&lt;&gt;"Yes"),0,IF($K$10=0,SUMIFS(INDIRECT(ADDRESS(12,3+18*0+(0),,,"J1 C - (South) Bishopthorpe Roa")&amp;":"&amp;ADDRESS(130,3+18*0+(0))),'J1 C - (South) Bishopthorpe Roa'!$A$12:$A$130,"&gt;="&amp;Diagram!$O18,'J1 C - (South) Bishopthorpe Roa'!$A$12:$A$130,"&lt;"&amp;Diagram!$P18),SUMIFS(INDIRECT(ADDRESS(12,3+18*0+(8),,,"J1 C - (South) Bishopthorpe Roa")&amp;":"&amp;ADDRESS(130,3+18*0+(8))),'J1 C - (South) Bishopthorpe Roa'!$A$12:$A$130,"&gt;="&amp;Diagram!$O18,'J1 C - (South) Bishopthorpe Roa'!$A$12:$A$130,"&lt;"&amp;Diagram!$P18)))</f>
        <v>0</v>
      </c>
      <c r="AE18" s="42">
        <f ca="1">IF(OR($I$10="",$O18="",$P18="",$J$35&lt;&gt;"Yes"),0,IF($K$10=0,SUMIFS(INDIRECT(ADDRESS(12,3+18*0+(0),,,"J1 D - South Bank Avenue")&amp;":"&amp;ADDRESS(130,3+18*0+(0))),'J1 D - South Bank Avenue'!$A$12:$A$130,"&gt;="&amp;Diagram!$O18,'J1 D - South Bank Avenue'!$A$12:$A$130,"&lt;"&amp;Diagram!$P18),SUMIFS(INDIRECT(ADDRESS(12,3+18*0+(8),,,"J1 D - South Bank Avenue")&amp;":"&amp;ADDRESS(130,3+18*0+(8))),'J1 D - South Bank Avenue'!$A$12:$A$130,"&gt;="&amp;Diagram!$O18,'J1 D - South Bank Avenue'!$A$12:$A$130,"&lt;"&amp;Diagram!$P18)))</f>
        <v>0</v>
      </c>
      <c r="AF18" s="42">
        <f ca="1">IF(OR($I$10="",$O18="",$P18="",$J$35&lt;&gt;"Yes"),0,IF($K$10=0,SUMIFS(INDIRECT(ADDRESS(12,3+18*1+(0),,,"J1 D - South Bank Avenue")&amp;":"&amp;ADDRESS(130,3+18*1+(0))),'J1 D - South Bank Avenue'!$A$12:$A$130,"&gt;="&amp;Diagram!$O18,'J1 D - South Bank Avenue'!$A$12:$A$130,"&lt;"&amp;Diagram!$P18),SUMIFS(INDIRECT(ADDRESS(12,3+18*1+(8),,,"J1 D - South Bank Avenue")&amp;":"&amp;ADDRESS(130,3+18*1+(8))),'J1 D - South Bank Avenue'!$A$12:$A$130,"&gt;="&amp;Diagram!$O18,'J1 D - South Bank Avenue'!$A$12:$A$130,"&lt;"&amp;Diagram!$P18)))</f>
        <v>0</v>
      </c>
      <c r="AG18" s="42">
        <f ca="1">IF(OR($I$10="",$O18="",$P18="",$J$35&lt;&gt;"Yes"),0,IF($K$10=0,SUMIFS(INDIRECT(ADDRESS(12,3+18*2+(0),,,"J1 D - South Bank Avenue")&amp;":"&amp;ADDRESS(130,3+18*2+(0))),'J1 D - South Bank Avenue'!$A$12:$A$130,"&gt;="&amp;Diagram!$O18,'J1 D - South Bank Avenue'!$A$12:$A$130,"&lt;"&amp;Diagram!$P18),SUMIFS(INDIRECT(ADDRESS(12,3+18*2+(8),,,"J1 D - South Bank Avenue")&amp;":"&amp;ADDRESS(130,3+18*2+(8))),'J1 D - South Bank Avenue'!$A$12:$A$130,"&gt;="&amp;Diagram!$O18,'J1 D - South Bank Avenue'!$A$12:$A$130,"&lt;"&amp;Diagram!$P18)))</f>
        <v>0</v>
      </c>
      <c r="AH18" s="42">
        <f ca="1">IF(OR($I$10="",$O18="",$P18="",$J$35&lt;&gt;"Yes"),0,IF($K$10=0,SUMIFS(INDIRECT(ADDRESS(12,3+18*3+(0),,,"J1 D - South Bank Avenue")&amp;":"&amp;ADDRESS(130,3+18*3+(0))),'J1 D - South Bank Avenue'!$A$12:$A$130,"&gt;="&amp;Diagram!$O18,'J1 D - South Bank Avenue'!$A$12:$A$130,"&lt;"&amp;Diagram!$P18),SUMIFS(INDIRECT(ADDRESS(12,3+18*3+(8),,,"J1 D - South Bank Avenue")&amp;":"&amp;ADDRESS(130,3+18*3+(8))),'J1 D - South Bank Avenue'!$A$12:$A$130,"&gt;="&amp;Diagram!$O18,'J1 D - South Bank Avenue'!$A$12:$A$130,"&lt;"&amp;Diagram!$P18)))</f>
        <v>0</v>
      </c>
      <c r="AI18" s="42">
        <f t="shared" ca="1" si="2"/>
        <v>3</v>
      </c>
      <c r="AJ18" s="42">
        <f ca="1">IF(OR($I$10="",$O18="",$P18="",$J$36&lt;&gt;"Yes"),0,IF($K$10=0,SUMIFS(INDIRECT(ADDRESS(12,3+18*3+(1),,,"J1 A - (North) Bishopthorpe Roa")&amp;":"&amp;ADDRESS(130,3+18*3+(1))),'J1 A - (North) Bishopthorpe Roa'!$A$12:$A$130,"&gt;="&amp;Diagram!$O18,'J1 A - (North) Bishopthorpe Roa'!$A$12:$A$130,"&lt;"&amp;Diagram!$P18),SUMIFS(INDIRECT(ADDRESS(12,3+18*3+(9),,,"J1 A - (North) Bishopthorpe Roa")&amp;":"&amp;ADDRESS(130,3+18*3+(9))),'J1 A - (North) Bishopthorpe Roa'!$A$12:$A$130,"&gt;="&amp;Diagram!$O18,'J1 A - (North) Bishopthorpe Roa'!$A$12:$A$130,"&lt;"&amp;Diagram!$P18)))</f>
        <v>0</v>
      </c>
      <c r="AK18" s="42">
        <f ca="1">IF(OR($I$10="",$O18="",$P18="",$J$36&lt;&gt;"Yes"),0,IF($K$10=0,SUMIFS(INDIRECT(ADDRESS(12,3+18*0+(1),,,"J1 A - (North) Bishopthorpe Roa")&amp;":"&amp;ADDRESS(130,3+18*0+(1))),'J1 A - (North) Bishopthorpe Roa'!$A$12:$A$130,"&gt;="&amp;Diagram!$O18,'J1 A - (North) Bishopthorpe Roa'!$A$12:$A$130,"&lt;"&amp;Diagram!$P18),SUMIFS(INDIRECT(ADDRESS(12,3+18*0+(9),,,"J1 A - (North) Bishopthorpe Roa")&amp;":"&amp;ADDRESS(130,3+18*0+(9))),'J1 A - (North) Bishopthorpe Roa'!$A$12:$A$130,"&gt;="&amp;Diagram!$O18,'J1 A - (North) Bishopthorpe Roa'!$A$12:$A$130,"&lt;"&amp;Diagram!$P18)))</f>
        <v>0</v>
      </c>
      <c r="AL18" s="42">
        <f ca="1">IF(OR($I$10="",$O18="",$P18="",$J$36&lt;&gt;"Yes"),0,IF($K$10=0,SUMIFS(INDIRECT(ADDRESS(12,3+18*1+(1),,,"J1 A - (North) Bishopthorpe Roa")&amp;":"&amp;ADDRESS(130,3+18*1+(1))),'J1 A - (North) Bishopthorpe Roa'!$A$12:$A$130,"&gt;="&amp;Diagram!$O18,'J1 A - (North) Bishopthorpe Roa'!$A$12:$A$130,"&lt;"&amp;Diagram!$P18),SUMIFS(INDIRECT(ADDRESS(12,3+18*1+(9),,,"J1 A - (North) Bishopthorpe Roa")&amp;":"&amp;ADDRESS(130,3+18*1+(9))),'J1 A - (North) Bishopthorpe Roa'!$A$12:$A$130,"&gt;="&amp;Diagram!$O18,'J1 A - (North) Bishopthorpe Roa'!$A$12:$A$130,"&lt;"&amp;Diagram!$P18)))</f>
        <v>1</v>
      </c>
      <c r="AM18" s="42">
        <f ca="1">IF(OR($I$10="",$O18="",$P18="",$J$36&lt;&gt;"Yes"),0,IF($K$10=0,SUMIFS(INDIRECT(ADDRESS(12,3+18*2+(1),,,"J1 A - (North) Bishopthorpe Roa")&amp;":"&amp;ADDRESS(130,3+18*2+(1))),'J1 A - (North) Bishopthorpe Roa'!$A$12:$A$130,"&gt;="&amp;Diagram!$O18,'J1 A - (North) Bishopthorpe Roa'!$A$12:$A$130,"&lt;"&amp;Diagram!$P18),SUMIFS(INDIRECT(ADDRESS(12,3+18*2+(9),,,"J1 A - (North) Bishopthorpe Roa")&amp;":"&amp;ADDRESS(130,3+18*2+(9))),'J1 A - (North) Bishopthorpe Roa'!$A$12:$A$130,"&gt;="&amp;Diagram!$O18,'J1 A - (North) Bishopthorpe Roa'!$A$12:$A$130,"&lt;"&amp;Diagram!$P18)))</f>
        <v>0</v>
      </c>
      <c r="AN18" s="42">
        <f ca="1">IF(OR($I$10="",$O18="",$P18="",$J$36&lt;&gt;"Yes"),0,IF($K$10=0,SUMIFS(INDIRECT(ADDRESS(12,3+18*2+(1),,,"J1 B - Butcher Terrace")&amp;":"&amp;ADDRESS(130,3+18*2+(1))),'J1 B - Butcher Terrace'!$A$12:$A$130,"&gt;="&amp;Diagram!$O18,'J1 B - Butcher Terrace'!$A$12:$A$130,"&lt;"&amp;Diagram!$P18),SUMIFS(INDIRECT(ADDRESS(12,3+18*2+(9),,,"J1 B - Butcher Terrace")&amp;":"&amp;ADDRESS(130,3+18*2+(9))),'J1 B - Butcher Terrace'!$A$12:$A$130,"&gt;="&amp;Diagram!$O18,'J1 B - Butcher Terrace'!$A$12:$A$130,"&lt;"&amp;Diagram!$P18)))</f>
        <v>0</v>
      </c>
      <c r="AO18" s="42">
        <f ca="1">IF(OR($I$10="",$O18="",$P18="",$J$36&lt;&gt;"Yes"),0,IF($K$10=0,SUMIFS(INDIRECT(ADDRESS(12,3+18*3+(1),,,"J1 B - Butcher Terrace")&amp;":"&amp;ADDRESS(130,3+18*3+(1))),'J1 B - Butcher Terrace'!$A$12:$A$130,"&gt;="&amp;Diagram!$O18,'J1 B - Butcher Terrace'!$A$12:$A$130,"&lt;"&amp;Diagram!$P18),SUMIFS(INDIRECT(ADDRESS(12,3+18*3+(9),,,"J1 B - Butcher Terrace")&amp;":"&amp;ADDRESS(130,3+18*3+(9))),'J1 B - Butcher Terrace'!$A$12:$A$130,"&gt;="&amp;Diagram!$O18,'J1 B - Butcher Terrace'!$A$12:$A$130,"&lt;"&amp;Diagram!$P18)))</f>
        <v>0</v>
      </c>
      <c r="AP18" s="42">
        <f ca="1">IF(OR($I$10="",$O18="",$P18="",$J$36&lt;&gt;"Yes"),0,IF($K$10=0,SUMIFS(INDIRECT(ADDRESS(12,3+18*0+(1),,,"J1 B - Butcher Terrace")&amp;":"&amp;ADDRESS(130,3+18*0+(1))),'J1 B - Butcher Terrace'!$A$12:$A$130,"&gt;="&amp;Diagram!$O18,'J1 B - Butcher Terrace'!$A$12:$A$130,"&lt;"&amp;Diagram!$P18),SUMIFS(INDIRECT(ADDRESS(12,3+18*0+(9),,,"J1 B - Butcher Terrace")&amp;":"&amp;ADDRESS(130,3+18*0+(9))),'J1 B - Butcher Terrace'!$A$12:$A$130,"&gt;="&amp;Diagram!$O18,'J1 B - Butcher Terrace'!$A$12:$A$130,"&lt;"&amp;Diagram!$P18)))</f>
        <v>0</v>
      </c>
      <c r="AQ18" s="42">
        <f ca="1">IF(OR($I$10="",$O18="",$P18="",$J$36&lt;&gt;"Yes"),0,IF($K$10=0,SUMIFS(INDIRECT(ADDRESS(12,3+18*1+(1),,,"J1 B - Butcher Terrace")&amp;":"&amp;ADDRESS(130,3+18*1+(1))),'J1 B - Butcher Terrace'!$A$12:$A$130,"&gt;="&amp;Diagram!$O18,'J1 B - Butcher Terrace'!$A$12:$A$130,"&lt;"&amp;Diagram!$P18),SUMIFS(INDIRECT(ADDRESS(12,3+18*1+(9),,,"J1 B - Butcher Terrace")&amp;":"&amp;ADDRESS(130,3+18*1+(9))),'J1 B - Butcher Terrace'!$A$12:$A$130,"&gt;="&amp;Diagram!$O18,'J1 B - Butcher Terrace'!$A$12:$A$130,"&lt;"&amp;Diagram!$P18)))</f>
        <v>0</v>
      </c>
      <c r="AR18" s="42">
        <f ca="1">IF(OR($I$10="",$O18="",$P18="",$J$36&lt;&gt;"Yes"),0,IF($K$10=0,SUMIFS(INDIRECT(ADDRESS(12,3+18*1+(1),,,"J1 C - (South) Bishopthorpe Roa")&amp;":"&amp;ADDRESS(130,3+18*1+(1))),'J1 C - (South) Bishopthorpe Roa'!$A$12:$A$130,"&gt;="&amp;Diagram!$O18,'J1 C - (South) Bishopthorpe Roa'!$A$12:$A$130,"&lt;"&amp;Diagram!$P18),SUMIFS(INDIRECT(ADDRESS(12,3+18*1+(9),,,"J1 C - (South) Bishopthorpe Roa")&amp;":"&amp;ADDRESS(130,3+18*1+(9))),'J1 C - (South) Bishopthorpe Roa'!$A$12:$A$130,"&gt;="&amp;Diagram!$O18,'J1 C - (South) Bishopthorpe Roa'!$A$12:$A$130,"&lt;"&amp;Diagram!$P18)))</f>
        <v>1</v>
      </c>
      <c r="AS18" s="42">
        <f ca="1">IF(OR($I$10="",$O18="",$P18="",$J$36&lt;&gt;"Yes"),0,IF($K$10=0,SUMIFS(INDIRECT(ADDRESS(12,3+18*2+(1),,,"J1 C - (South) Bishopthorpe Roa")&amp;":"&amp;ADDRESS(130,3+18*2+(1))),'J1 C - (South) Bishopthorpe Roa'!$A$12:$A$130,"&gt;="&amp;Diagram!$O18,'J1 C - (South) Bishopthorpe Roa'!$A$12:$A$130,"&lt;"&amp;Diagram!$P18),SUMIFS(INDIRECT(ADDRESS(12,3+18*2+(9),,,"J1 C - (South) Bishopthorpe Roa")&amp;":"&amp;ADDRESS(130,3+18*2+(9))),'J1 C - (South) Bishopthorpe Roa'!$A$12:$A$130,"&gt;="&amp;Diagram!$O18,'J1 C - (South) Bishopthorpe Roa'!$A$12:$A$130,"&lt;"&amp;Diagram!$P18)))</f>
        <v>0</v>
      </c>
      <c r="AT18" s="42">
        <f ca="1">IF(OR($I$10="",$O18="",$P18="",$J$36&lt;&gt;"Yes"),0,IF($K$10=0,SUMIFS(INDIRECT(ADDRESS(12,3+18*3+(1),,,"J1 C - (South) Bishopthorpe Roa")&amp;":"&amp;ADDRESS(130,3+18*3+(1))),'J1 C - (South) Bishopthorpe Roa'!$A$12:$A$130,"&gt;="&amp;Diagram!$O18,'J1 C - (South) Bishopthorpe Roa'!$A$12:$A$130,"&lt;"&amp;Diagram!$P18),SUMIFS(INDIRECT(ADDRESS(12,3+18*3+(9),,,"J1 C - (South) Bishopthorpe Roa")&amp;":"&amp;ADDRESS(130,3+18*3+(9))),'J1 C - (South) Bishopthorpe Roa'!$A$12:$A$130,"&gt;="&amp;Diagram!$O18,'J1 C - (South) Bishopthorpe Roa'!$A$12:$A$130,"&lt;"&amp;Diagram!$P18)))</f>
        <v>0</v>
      </c>
      <c r="AU18" s="42">
        <f ca="1">IF(OR($I$10="",$O18="",$P18="",$J$36&lt;&gt;"Yes"),0,IF($K$10=0,SUMIFS(INDIRECT(ADDRESS(12,3+18*0+(1),,,"J1 C - (South) Bishopthorpe Roa")&amp;":"&amp;ADDRESS(130,3+18*0+(1))),'J1 C - (South) Bishopthorpe Roa'!$A$12:$A$130,"&gt;="&amp;Diagram!$O18,'J1 C - (South) Bishopthorpe Roa'!$A$12:$A$130,"&lt;"&amp;Diagram!$P18),SUMIFS(INDIRECT(ADDRESS(12,3+18*0+(9),,,"J1 C - (South) Bishopthorpe Roa")&amp;":"&amp;ADDRESS(130,3+18*0+(9))),'J1 C - (South) Bishopthorpe Roa'!$A$12:$A$130,"&gt;="&amp;Diagram!$O18,'J1 C - (South) Bishopthorpe Roa'!$A$12:$A$130,"&lt;"&amp;Diagram!$P18)))</f>
        <v>0</v>
      </c>
      <c r="AV18" s="42">
        <f ca="1">IF(OR($I$10="",$O18="",$P18="",$J$36&lt;&gt;"Yes"),0,IF($K$10=0,SUMIFS(INDIRECT(ADDRESS(12,3+18*0+(1),,,"J1 D - South Bank Avenue")&amp;":"&amp;ADDRESS(130,3+18*0+(1))),'J1 D - South Bank Avenue'!$A$12:$A$130,"&gt;="&amp;Diagram!$O18,'J1 D - South Bank Avenue'!$A$12:$A$130,"&lt;"&amp;Diagram!$P18),SUMIFS(INDIRECT(ADDRESS(12,3+18*0+(9),,,"J1 D - South Bank Avenue")&amp;":"&amp;ADDRESS(130,3+18*0+(9))),'J1 D - South Bank Avenue'!$A$12:$A$130,"&gt;="&amp;Diagram!$O18,'J1 D - South Bank Avenue'!$A$12:$A$130,"&lt;"&amp;Diagram!$P18)))</f>
        <v>0</v>
      </c>
      <c r="AW18" s="42">
        <f ca="1">IF(OR($I$10="",$O18="",$P18="",$J$36&lt;&gt;"Yes"),0,IF($K$10=0,SUMIFS(INDIRECT(ADDRESS(12,3+18*1+(1),,,"J1 D - South Bank Avenue")&amp;":"&amp;ADDRESS(130,3+18*1+(1))),'J1 D - South Bank Avenue'!$A$12:$A$130,"&gt;="&amp;Diagram!$O18,'J1 D - South Bank Avenue'!$A$12:$A$130,"&lt;"&amp;Diagram!$P18),SUMIFS(INDIRECT(ADDRESS(12,3+18*1+(9),,,"J1 D - South Bank Avenue")&amp;":"&amp;ADDRESS(130,3+18*1+(9))),'J1 D - South Bank Avenue'!$A$12:$A$130,"&gt;="&amp;Diagram!$O18,'J1 D - South Bank Avenue'!$A$12:$A$130,"&lt;"&amp;Diagram!$P18)))</f>
        <v>0</v>
      </c>
      <c r="AX18" s="42">
        <f ca="1">IF(OR($I$10="",$O18="",$P18="",$J$36&lt;&gt;"Yes"),0,IF($K$10=0,SUMIFS(INDIRECT(ADDRESS(12,3+18*2+(1),,,"J1 D - South Bank Avenue")&amp;":"&amp;ADDRESS(130,3+18*2+(1))),'J1 D - South Bank Avenue'!$A$12:$A$130,"&gt;="&amp;Diagram!$O18,'J1 D - South Bank Avenue'!$A$12:$A$130,"&lt;"&amp;Diagram!$P18),SUMIFS(INDIRECT(ADDRESS(12,3+18*2+(9),,,"J1 D - South Bank Avenue")&amp;":"&amp;ADDRESS(130,3+18*2+(9))),'J1 D - South Bank Avenue'!$A$12:$A$130,"&gt;="&amp;Diagram!$O18,'J1 D - South Bank Avenue'!$A$12:$A$130,"&lt;"&amp;Diagram!$P18)))</f>
        <v>1</v>
      </c>
      <c r="AY18" s="42">
        <f ca="1">IF(OR($I$10="",$O18="",$P18="",$J$36&lt;&gt;"Yes"),0,IF($K$10=0,SUMIFS(INDIRECT(ADDRESS(12,3+18*3+(1),,,"J1 D - South Bank Avenue")&amp;":"&amp;ADDRESS(130,3+18*3+(1))),'J1 D - South Bank Avenue'!$A$12:$A$130,"&gt;="&amp;Diagram!$O18,'J1 D - South Bank Avenue'!$A$12:$A$130,"&lt;"&amp;Diagram!$P18),SUMIFS(INDIRECT(ADDRESS(12,3+18*3+(9),,,"J1 D - South Bank Avenue")&amp;":"&amp;ADDRESS(130,3+18*3+(9))),'J1 D - South Bank Avenue'!$A$12:$A$130,"&gt;="&amp;Diagram!$O18,'J1 D - South Bank Avenue'!$A$12:$A$130,"&lt;"&amp;Diagram!$P18)))</f>
        <v>0</v>
      </c>
      <c r="AZ18" s="42">
        <f t="shared" ca="1" si="3"/>
        <v>2</v>
      </c>
      <c r="BA18" s="42">
        <f ca="1">IF(OR($I$10="",$O18="",$P18="",$J$37&lt;&gt;"Yes"),0,IF($K$10=0,SUMIFS(INDIRECT(ADDRESS(12,3+18*3+(2),,,"J1 A - (North) Bishopthorpe Roa")&amp;":"&amp;ADDRESS(130,3+18*3+(2))),'J1 A - (North) Bishopthorpe Roa'!$A$12:$A$130,"&gt;="&amp;Diagram!$O18,'J1 A - (North) Bishopthorpe Roa'!$A$12:$A$130,"&lt;"&amp;Diagram!$P18),SUMIFS(INDIRECT(ADDRESS(12,3+18*3+(10),,,"J1 A - (North) Bishopthorpe Roa")&amp;":"&amp;ADDRESS(130,3+18*3+(10))),'J1 A - (North) Bishopthorpe Roa'!$A$12:$A$130,"&gt;="&amp;Diagram!$O18,'J1 A - (North) Bishopthorpe Roa'!$A$12:$A$130,"&lt;"&amp;Diagram!$P18)))</f>
        <v>0</v>
      </c>
      <c r="BB18" s="42">
        <f ca="1">IF(OR($I$10="",$O18="",$P18="",$J$37&lt;&gt;"Yes"),0,IF($K$10=0,SUMIFS(INDIRECT(ADDRESS(12,3+18*0+(2),,,"J1 A - (North) Bishopthorpe Roa")&amp;":"&amp;ADDRESS(130,3+18*0+(2))),'J1 A - (North) Bishopthorpe Roa'!$A$12:$A$130,"&gt;="&amp;Diagram!$O18,'J1 A - (North) Bishopthorpe Roa'!$A$12:$A$130,"&lt;"&amp;Diagram!$P18),SUMIFS(INDIRECT(ADDRESS(12,3+18*0+(10),,,"J1 A - (North) Bishopthorpe Roa")&amp;":"&amp;ADDRESS(130,3+18*0+(10))),'J1 A - (North) Bishopthorpe Roa'!$A$12:$A$130,"&gt;="&amp;Diagram!$O18,'J1 A - (North) Bishopthorpe Roa'!$A$12:$A$130,"&lt;"&amp;Diagram!$P18)))</f>
        <v>0</v>
      </c>
      <c r="BC18" s="42">
        <f ca="1">IF(OR($I$10="",$O18="",$P18="",$J$37&lt;&gt;"Yes"),0,IF($K$10=0,SUMIFS(INDIRECT(ADDRESS(12,3+18*1+(2),,,"J1 A - (North) Bishopthorpe Roa")&amp;":"&amp;ADDRESS(130,3+18*1+(2))),'J1 A - (North) Bishopthorpe Roa'!$A$12:$A$130,"&gt;="&amp;Diagram!$O18,'J1 A - (North) Bishopthorpe Roa'!$A$12:$A$130,"&lt;"&amp;Diagram!$P18),SUMIFS(INDIRECT(ADDRESS(12,3+18*1+(10),,,"J1 A - (North) Bishopthorpe Roa")&amp;":"&amp;ADDRESS(130,3+18*1+(10))),'J1 A - (North) Bishopthorpe Roa'!$A$12:$A$130,"&gt;="&amp;Diagram!$O18,'J1 A - (North) Bishopthorpe Roa'!$A$12:$A$130,"&lt;"&amp;Diagram!$P18)))</f>
        <v>1</v>
      </c>
      <c r="BD18" s="42">
        <f ca="1">IF(OR($I$10="",$O18="",$P18="",$J$37&lt;&gt;"Yes"),0,IF($K$10=0,SUMIFS(INDIRECT(ADDRESS(12,3+18*2+(2),,,"J1 A - (North) Bishopthorpe Roa")&amp;":"&amp;ADDRESS(130,3+18*2+(2))),'J1 A - (North) Bishopthorpe Roa'!$A$12:$A$130,"&gt;="&amp;Diagram!$O18,'J1 A - (North) Bishopthorpe Roa'!$A$12:$A$130,"&lt;"&amp;Diagram!$P18),SUMIFS(INDIRECT(ADDRESS(12,3+18*2+(10),,,"J1 A - (North) Bishopthorpe Roa")&amp;":"&amp;ADDRESS(130,3+18*2+(10))),'J1 A - (North) Bishopthorpe Roa'!$A$12:$A$130,"&gt;="&amp;Diagram!$O18,'J1 A - (North) Bishopthorpe Roa'!$A$12:$A$130,"&lt;"&amp;Diagram!$P18)))</f>
        <v>0</v>
      </c>
      <c r="BE18" s="42">
        <f ca="1">IF(OR($I$10="",$O18="",$P18="",$J$37&lt;&gt;"Yes"),0,IF($K$10=0,SUMIFS(INDIRECT(ADDRESS(12,3+18*2+(2),,,"J1 B - Butcher Terrace")&amp;":"&amp;ADDRESS(130,3+18*2+(2))),'J1 B - Butcher Terrace'!$A$12:$A$130,"&gt;="&amp;Diagram!$O18,'J1 B - Butcher Terrace'!$A$12:$A$130,"&lt;"&amp;Diagram!$P18),SUMIFS(INDIRECT(ADDRESS(12,3+18*2+(10),,,"J1 B - Butcher Terrace")&amp;":"&amp;ADDRESS(130,3+18*2+(10))),'J1 B - Butcher Terrace'!$A$12:$A$130,"&gt;="&amp;Diagram!$O18,'J1 B - Butcher Terrace'!$A$12:$A$130,"&lt;"&amp;Diagram!$P18)))</f>
        <v>0</v>
      </c>
      <c r="BF18" s="42">
        <f ca="1">IF(OR($I$10="",$O18="",$P18="",$J$37&lt;&gt;"Yes"),0,IF($K$10=0,SUMIFS(INDIRECT(ADDRESS(12,3+18*3+(2),,,"J1 B - Butcher Terrace")&amp;":"&amp;ADDRESS(130,3+18*3+(2))),'J1 B - Butcher Terrace'!$A$12:$A$130,"&gt;="&amp;Diagram!$O18,'J1 B - Butcher Terrace'!$A$12:$A$130,"&lt;"&amp;Diagram!$P18),SUMIFS(INDIRECT(ADDRESS(12,3+18*3+(10),,,"J1 B - Butcher Terrace")&amp;":"&amp;ADDRESS(130,3+18*3+(10))),'J1 B - Butcher Terrace'!$A$12:$A$130,"&gt;="&amp;Diagram!$O18,'J1 B - Butcher Terrace'!$A$12:$A$130,"&lt;"&amp;Diagram!$P18)))</f>
        <v>0</v>
      </c>
      <c r="BG18" s="42">
        <f ca="1">IF(OR($I$10="",$O18="",$P18="",$J$37&lt;&gt;"Yes"),0,IF($K$10=0,SUMIFS(INDIRECT(ADDRESS(12,3+18*0+(2),,,"J1 B - Butcher Terrace")&amp;":"&amp;ADDRESS(130,3+18*0+(2))),'J1 B - Butcher Terrace'!$A$12:$A$130,"&gt;="&amp;Diagram!$O18,'J1 B - Butcher Terrace'!$A$12:$A$130,"&lt;"&amp;Diagram!$P18),SUMIFS(INDIRECT(ADDRESS(12,3+18*0+(10),,,"J1 B - Butcher Terrace")&amp;":"&amp;ADDRESS(130,3+18*0+(10))),'J1 B - Butcher Terrace'!$A$12:$A$130,"&gt;="&amp;Diagram!$O18,'J1 B - Butcher Terrace'!$A$12:$A$130,"&lt;"&amp;Diagram!$P18)))</f>
        <v>0</v>
      </c>
      <c r="BH18" s="42">
        <f ca="1">IF(OR($I$10="",$O18="",$P18="",$J$37&lt;&gt;"Yes"),0,IF($K$10=0,SUMIFS(INDIRECT(ADDRESS(12,3+18*1+(2),,,"J1 B - Butcher Terrace")&amp;":"&amp;ADDRESS(130,3+18*1+(2))),'J1 B - Butcher Terrace'!$A$12:$A$130,"&gt;="&amp;Diagram!$O18,'J1 B - Butcher Terrace'!$A$12:$A$130,"&lt;"&amp;Diagram!$P18),SUMIFS(INDIRECT(ADDRESS(12,3+18*1+(10),,,"J1 B - Butcher Terrace")&amp;":"&amp;ADDRESS(130,3+18*1+(10))),'J1 B - Butcher Terrace'!$A$12:$A$130,"&gt;="&amp;Diagram!$O18,'J1 B - Butcher Terrace'!$A$12:$A$130,"&lt;"&amp;Diagram!$P18)))</f>
        <v>0</v>
      </c>
      <c r="BI18" s="42">
        <f ca="1">IF(OR($I$10="",$O18="",$P18="",$J$37&lt;&gt;"Yes"),0,IF($K$10=0,SUMIFS(INDIRECT(ADDRESS(12,3+18*1+(2),,,"J1 C - (South) Bishopthorpe Roa")&amp;":"&amp;ADDRESS(130,3+18*1+(2))),'J1 C - (South) Bishopthorpe Roa'!$A$12:$A$130,"&gt;="&amp;Diagram!$O18,'J1 C - (South) Bishopthorpe Roa'!$A$12:$A$130,"&lt;"&amp;Diagram!$P18),SUMIFS(INDIRECT(ADDRESS(12,3+18*1+(10),,,"J1 C - (South) Bishopthorpe Roa")&amp;":"&amp;ADDRESS(130,3+18*1+(10))),'J1 C - (South) Bishopthorpe Roa'!$A$12:$A$130,"&gt;="&amp;Diagram!$O18,'J1 C - (South) Bishopthorpe Roa'!$A$12:$A$130,"&lt;"&amp;Diagram!$P18)))</f>
        <v>1</v>
      </c>
      <c r="BJ18" s="42">
        <f ca="1">IF(OR($I$10="",$O18="",$P18="",$J$37&lt;&gt;"Yes"),0,IF($K$10=0,SUMIFS(INDIRECT(ADDRESS(12,3+18*2+(2),,,"J1 C - (South) Bishopthorpe Roa")&amp;":"&amp;ADDRESS(130,3+18*2+(2))),'J1 C - (South) Bishopthorpe Roa'!$A$12:$A$130,"&gt;="&amp;Diagram!$O18,'J1 C - (South) Bishopthorpe Roa'!$A$12:$A$130,"&lt;"&amp;Diagram!$P18),SUMIFS(INDIRECT(ADDRESS(12,3+18*2+(10),,,"J1 C - (South) Bishopthorpe Roa")&amp;":"&amp;ADDRESS(130,3+18*2+(10))),'J1 C - (South) Bishopthorpe Roa'!$A$12:$A$130,"&gt;="&amp;Diagram!$O18,'J1 C - (South) Bishopthorpe Roa'!$A$12:$A$130,"&lt;"&amp;Diagram!$P18)))</f>
        <v>0</v>
      </c>
      <c r="BK18" s="42">
        <f ca="1">IF(OR($I$10="",$O18="",$P18="",$J$37&lt;&gt;"Yes"),0,IF($K$10=0,SUMIFS(INDIRECT(ADDRESS(12,3+18*3+(2),,,"J1 C - (South) Bishopthorpe Roa")&amp;":"&amp;ADDRESS(130,3+18*3+(2))),'J1 C - (South) Bishopthorpe Roa'!$A$12:$A$130,"&gt;="&amp;Diagram!$O18,'J1 C - (South) Bishopthorpe Roa'!$A$12:$A$130,"&lt;"&amp;Diagram!$P18),SUMIFS(INDIRECT(ADDRESS(12,3+18*3+(10),,,"J1 C - (South) Bishopthorpe Roa")&amp;":"&amp;ADDRESS(130,3+18*3+(10))),'J1 C - (South) Bishopthorpe Roa'!$A$12:$A$130,"&gt;="&amp;Diagram!$O18,'J1 C - (South) Bishopthorpe Roa'!$A$12:$A$130,"&lt;"&amp;Diagram!$P18)))</f>
        <v>0</v>
      </c>
      <c r="BL18" s="42">
        <f ca="1">IF(OR($I$10="",$O18="",$P18="",$J$37&lt;&gt;"Yes"),0,IF($K$10=0,SUMIFS(INDIRECT(ADDRESS(12,3+18*0+(2),,,"J1 C - (South) Bishopthorpe Roa")&amp;":"&amp;ADDRESS(130,3+18*0+(2))),'J1 C - (South) Bishopthorpe Roa'!$A$12:$A$130,"&gt;="&amp;Diagram!$O18,'J1 C - (South) Bishopthorpe Roa'!$A$12:$A$130,"&lt;"&amp;Diagram!$P18),SUMIFS(INDIRECT(ADDRESS(12,3+18*0+(10),,,"J1 C - (South) Bishopthorpe Roa")&amp;":"&amp;ADDRESS(130,3+18*0+(10))),'J1 C - (South) Bishopthorpe Roa'!$A$12:$A$130,"&gt;="&amp;Diagram!$O18,'J1 C - (South) Bishopthorpe Roa'!$A$12:$A$130,"&lt;"&amp;Diagram!$P18)))</f>
        <v>0</v>
      </c>
      <c r="BM18" s="42">
        <f ca="1">IF(OR($I$10="",$O18="",$P18="",$J$37&lt;&gt;"Yes"),0,IF($K$10=0,SUMIFS(INDIRECT(ADDRESS(12,3+18*0+(2),,,"J1 D - South Bank Avenue")&amp;":"&amp;ADDRESS(130,3+18*0+(2))),'J1 D - South Bank Avenue'!$A$12:$A$130,"&gt;="&amp;Diagram!$O18,'J1 D - South Bank Avenue'!$A$12:$A$130,"&lt;"&amp;Diagram!$P18),SUMIFS(INDIRECT(ADDRESS(12,3+18*0+(10),,,"J1 D - South Bank Avenue")&amp;":"&amp;ADDRESS(130,3+18*0+(10))),'J1 D - South Bank Avenue'!$A$12:$A$130,"&gt;="&amp;Diagram!$O18,'J1 D - South Bank Avenue'!$A$12:$A$130,"&lt;"&amp;Diagram!$P18)))</f>
        <v>0</v>
      </c>
      <c r="BN18" s="42">
        <f ca="1">IF(OR($I$10="",$O18="",$P18="",$J$37&lt;&gt;"Yes"),0,IF($K$10=0,SUMIFS(INDIRECT(ADDRESS(12,3+18*1+(2),,,"J1 D - South Bank Avenue")&amp;":"&amp;ADDRESS(130,3+18*1+(2))),'J1 D - South Bank Avenue'!$A$12:$A$130,"&gt;="&amp;Diagram!$O18,'J1 D - South Bank Avenue'!$A$12:$A$130,"&lt;"&amp;Diagram!$P18),SUMIFS(INDIRECT(ADDRESS(12,3+18*1+(10),,,"J1 D - South Bank Avenue")&amp;":"&amp;ADDRESS(130,3+18*1+(10))),'J1 D - South Bank Avenue'!$A$12:$A$130,"&gt;="&amp;Diagram!$O18,'J1 D - South Bank Avenue'!$A$12:$A$130,"&lt;"&amp;Diagram!$P18)))</f>
        <v>0</v>
      </c>
      <c r="BO18" s="42">
        <f ca="1">IF(OR($I$10="",$O18="",$P18="",$J$37&lt;&gt;"Yes"),0,IF($K$10=0,SUMIFS(INDIRECT(ADDRESS(12,3+18*2+(2),,,"J1 D - South Bank Avenue")&amp;":"&amp;ADDRESS(130,3+18*2+(2))),'J1 D - South Bank Avenue'!$A$12:$A$130,"&gt;="&amp;Diagram!$O18,'J1 D - South Bank Avenue'!$A$12:$A$130,"&lt;"&amp;Diagram!$P18),SUMIFS(INDIRECT(ADDRESS(12,3+18*2+(10),,,"J1 D - South Bank Avenue")&amp;":"&amp;ADDRESS(130,3+18*2+(10))),'J1 D - South Bank Avenue'!$A$12:$A$130,"&gt;="&amp;Diagram!$O18,'J1 D - South Bank Avenue'!$A$12:$A$130,"&lt;"&amp;Diagram!$P18)))</f>
        <v>0</v>
      </c>
      <c r="BP18" s="42">
        <f ca="1">IF(OR($I$10="",$O18="",$P18="",$J$37&lt;&gt;"Yes"),0,IF($K$10=0,SUMIFS(INDIRECT(ADDRESS(12,3+18*3+(2),,,"J1 D - South Bank Avenue")&amp;":"&amp;ADDRESS(130,3+18*3+(2))),'J1 D - South Bank Avenue'!$A$12:$A$130,"&gt;="&amp;Diagram!$O18,'J1 D - South Bank Avenue'!$A$12:$A$130,"&lt;"&amp;Diagram!$P18),SUMIFS(INDIRECT(ADDRESS(12,3+18*3+(10),,,"J1 D - South Bank Avenue")&amp;":"&amp;ADDRESS(130,3+18*3+(10))),'J1 D - South Bank Avenue'!$A$12:$A$130,"&gt;="&amp;Diagram!$O18,'J1 D - South Bank Avenue'!$A$12:$A$130,"&lt;"&amp;Diagram!$P18)))</f>
        <v>0</v>
      </c>
      <c r="BQ18" s="42">
        <f t="shared" ca="1" si="4"/>
        <v>0</v>
      </c>
      <c r="BR18" s="42">
        <f ca="1">IF(OR($I$10="",$O18="",$P18="",$J$38&lt;&gt;"Yes"),0,IF($K$10=0,SUMIFS(INDIRECT(ADDRESS(12,3+18*3+(3),,,"J1 A - (North) Bishopthorpe Roa")&amp;":"&amp;ADDRESS(130,3+18*3+(3))),'J1 A - (North) Bishopthorpe Roa'!$A$12:$A$130,"&gt;="&amp;Diagram!$O18,'J1 A - (North) Bishopthorpe Roa'!$A$12:$A$130,"&lt;"&amp;Diagram!$P18),SUMIFS(INDIRECT(ADDRESS(12,3+18*3+(11),,,"J1 A - (North) Bishopthorpe Roa")&amp;":"&amp;ADDRESS(130,3+18*3+(11))),'J1 A - (North) Bishopthorpe Roa'!$A$12:$A$130,"&gt;="&amp;Diagram!$O18,'J1 A - (North) Bishopthorpe Roa'!$A$12:$A$130,"&lt;"&amp;Diagram!$P18)))</f>
        <v>0</v>
      </c>
      <c r="BS18" s="42">
        <f ca="1">IF(OR($I$10="",$O18="",$P18="",$J$38&lt;&gt;"Yes"),0,IF($K$10=0,SUMIFS(INDIRECT(ADDRESS(12,3+18*0+(3),,,"J1 A - (North) Bishopthorpe Roa")&amp;":"&amp;ADDRESS(130,3+18*0+(3))),'J1 A - (North) Bishopthorpe Roa'!$A$12:$A$130,"&gt;="&amp;Diagram!$O18,'J1 A - (North) Bishopthorpe Roa'!$A$12:$A$130,"&lt;"&amp;Diagram!$P18),SUMIFS(INDIRECT(ADDRESS(12,3+18*0+(11),,,"J1 A - (North) Bishopthorpe Roa")&amp;":"&amp;ADDRESS(130,3+18*0+(11))),'J1 A - (North) Bishopthorpe Roa'!$A$12:$A$130,"&gt;="&amp;Diagram!$O18,'J1 A - (North) Bishopthorpe Roa'!$A$12:$A$130,"&lt;"&amp;Diagram!$P18)))</f>
        <v>0</v>
      </c>
      <c r="BT18" s="42">
        <f ca="1">IF(OR($I$10="",$O18="",$P18="",$J$38&lt;&gt;"Yes"),0,IF($K$10=0,SUMIFS(INDIRECT(ADDRESS(12,3+18*1+(3),,,"J1 A - (North) Bishopthorpe Roa")&amp;":"&amp;ADDRESS(130,3+18*1+(3))),'J1 A - (North) Bishopthorpe Roa'!$A$12:$A$130,"&gt;="&amp;Diagram!$O18,'J1 A - (North) Bishopthorpe Roa'!$A$12:$A$130,"&lt;"&amp;Diagram!$P18),SUMIFS(INDIRECT(ADDRESS(12,3+18*1+(11),,,"J1 A - (North) Bishopthorpe Roa")&amp;":"&amp;ADDRESS(130,3+18*1+(11))),'J1 A - (North) Bishopthorpe Roa'!$A$12:$A$130,"&gt;="&amp;Diagram!$O18,'J1 A - (North) Bishopthorpe Roa'!$A$12:$A$130,"&lt;"&amp;Diagram!$P18)))</f>
        <v>0</v>
      </c>
      <c r="BU18" s="42">
        <f ca="1">IF(OR($I$10="",$O18="",$P18="",$J$38&lt;&gt;"Yes"),0,IF($K$10=0,SUMIFS(INDIRECT(ADDRESS(12,3+18*2+(3),,,"J1 A - (North) Bishopthorpe Roa")&amp;":"&amp;ADDRESS(130,3+18*2+(3))),'J1 A - (North) Bishopthorpe Roa'!$A$12:$A$130,"&gt;="&amp;Diagram!$O18,'J1 A - (North) Bishopthorpe Roa'!$A$12:$A$130,"&lt;"&amp;Diagram!$P18),SUMIFS(INDIRECT(ADDRESS(12,3+18*2+(11),,,"J1 A - (North) Bishopthorpe Roa")&amp;":"&amp;ADDRESS(130,3+18*2+(11))),'J1 A - (North) Bishopthorpe Roa'!$A$12:$A$130,"&gt;="&amp;Diagram!$O18,'J1 A - (North) Bishopthorpe Roa'!$A$12:$A$130,"&lt;"&amp;Diagram!$P18)))</f>
        <v>0</v>
      </c>
      <c r="BV18" s="42">
        <f ca="1">IF(OR($I$10="",$O18="",$P18="",$J$38&lt;&gt;"Yes"),0,IF($K$10=0,SUMIFS(INDIRECT(ADDRESS(12,3+18*2+(3),,,"J1 B - Butcher Terrace")&amp;":"&amp;ADDRESS(130,3+18*2+(3))),'J1 B - Butcher Terrace'!$A$12:$A$130,"&gt;="&amp;Diagram!$O18,'J1 B - Butcher Terrace'!$A$12:$A$130,"&lt;"&amp;Diagram!$P18),SUMIFS(INDIRECT(ADDRESS(12,3+18*2+(11),,,"J1 B - Butcher Terrace")&amp;":"&amp;ADDRESS(130,3+18*2+(11))),'J1 B - Butcher Terrace'!$A$12:$A$130,"&gt;="&amp;Diagram!$O18,'J1 B - Butcher Terrace'!$A$12:$A$130,"&lt;"&amp;Diagram!$P18)))</f>
        <v>0</v>
      </c>
      <c r="BW18" s="42">
        <f ca="1">IF(OR($I$10="",$O18="",$P18="",$J$38&lt;&gt;"Yes"),0,IF($K$10=0,SUMIFS(INDIRECT(ADDRESS(12,3+18*3+(3),,,"J1 B - Butcher Terrace")&amp;":"&amp;ADDRESS(130,3+18*3+(3))),'J1 B - Butcher Terrace'!$A$12:$A$130,"&gt;="&amp;Diagram!$O18,'J1 B - Butcher Terrace'!$A$12:$A$130,"&lt;"&amp;Diagram!$P18),SUMIFS(INDIRECT(ADDRESS(12,3+18*3+(11),,,"J1 B - Butcher Terrace")&amp;":"&amp;ADDRESS(130,3+18*3+(11))),'J1 B - Butcher Terrace'!$A$12:$A$130,"&gt;="&amp;Diagram!$O18,'J1 B - Butcher Terrace'!$A$12:$A$130,"&lt;"&amp;Diagram!$P18)))</f>
        <v>0</v>
      </c>
      <c r="BX18" s="42">
        <f ca="1">IF(OR($I$10="",$O18="",$P18="",$J$38&lt;&gt;"Yes"),0,IF($K$10=0,SUMIFS(INDIRECT(ADDRESS(12,3+18*0+(3),,,"J1 B - Butcher Terrace")&amp;":"&amp;ADDRESS(130,3+18*0+(3))),'J1 B - Butcher Terrace'!$A$12:$A$130,"&gt;="&amp;Diagram!$O18,'J1 B - Butcher Terrace'!$A$12:$A$130,"&lt;"&amp;Diagram!$P18),SUMIFS(INDIRECT(ADDRESS(12,3+18*0+(11),,,"J1 B - Butcher Terrace")&amp;":"&amp;ADDRESS(130,3+18*0+(11))),'J1 B - Butcher Terrace'!$A$12:$A$130,"&gt;="&amp;Diagram!$O18,'J1 B - Butcher Terrace'!$A$12:$A$130,"&lt;"&amp;Diagram!$P18)))</f>
        <v>0</v>
      </c>
      <c r="BY18" s="42">
        <f ca="1">IF(OR($I$10="",$O18="",$P18="",$J$38&lt;&gt;"Yes"),0,IF($K$10=0,SUMIFS(INDIRECT(ADDRESS(12,3+18*1+(3),,,"J1 B - Butcher Terrace")&amp;":"&amp;ADDRESS(130,3+18*1+(3))),'J1 B - Butcher Terrace'!$A$12:$A$130,"&gt;="&amp;Diagram!$O18,'J1 B - Butcher Terrace'!$A$12:$A$130,"&lt;"&amp;Diagram!$P18),SUMIFS(INDIRECT(ADDRESS(12,3+18*1+(11),,,"J1 B - Butcher Terrace")&amp;":"&amp;ADDRESS(130,3+18*1+(11))),'J1 B - Butcher Terrace'!$A$12:$A$130,"&gt;="&amp;Diagram!$O18,'J1 B - Butcher Terrace'!$A$12:$A$130,"&lt;"&amp;Diagram!$P18)))</f>
        <v>0</v>
      </c>
      <c r="BZ18" s="42">
        <f ca="1">IF(OR($I$10="",$O18="",$P18="",$J$38&lt;&gt;"Yes"),0,IF($K$10=0,SUMIFS(INDIRECT(ADDRESS(12,3+18*1+(3),,,"J1 C - (South) Bishopthorpe Roa")&amp;":"&amp;ADDRESS(130,3+18*1+(3))),'J1 C - (South) Bishopthorpe Roa'!$A$12:$A$130,"&gt;="&amp;Diagram!$O18,'J1 C - (South) Bishopthorpe Roa'!$A$12:$A$130,"&lt;"&amp;Diagram!$P18),SUMIFS(INDIRECT(ADDRESS(12,3+18*1+(11),,,"J1 C - (South) Bishopthorpe Roa")&amp;":"&amp;ADDRESS(130,3+18*1+(11))),'J1 C - (South) Bishopthorpe Roa'!$A$12:$A$130,"&gt;="&amp;Diagram!$O18,'J1 C - (South) Bishopthorpe Roa'!$A$12:$A$130,"&lt;"&amp;Diagram!$P18)))</f>
        <v>0</v>
      </c>
      <c r="CA18" s="42">
        <f ca="1">IF(OR($I$10="",$O18="",$P18="",$J$38&lt;&gt;"Yes"),0,IF($K$10=0,SUMIFS(INDIRECT(ADDRESS(12,3+18*2+(3),,,"J1 C - (South) Bishopthorpe Roa")&amp;":"&amp;ADDRESS(130,3+18*2+(3))),'J1 C - (South) Bishopthorpe Roa'!$A$12:$A$130,"&gt;="&amp;Diagram!$O18,'J1 C - (South) Bishopthorpe Roa'!$A$12:$A$130,"&lt;"&amp;Diagram!$P18),SUMIFS(INDIRECT(ADDRESS(12,3+18*2+(11),,,"J1 C - (South) Bishopthorpe Roa")&amp;":"&amp;ADDRESS(130,3+18*2+(11))),'J1 C - (South) Bishopthorpe Roa'!$A$12:$A$130,"&gt;="&amp;Diagram!$O18,'J1 C - (South) Bishopthorpe Roa'!$A$12:$A$130,"&lt;"&amp;Diagram!$P18)))</f>
        <v>0</v>
      </c>
      <c r="CB18" s="42">
        <f ca="1">IF(OR($I$10="",$O18="",$P18="",$J$38&lt;&gt;"Yes"),0,IF($K$10=0,SUMIFS(INDIRECT(ADDRESS(12,3+18*3+(3),,,"J1 C - (South) Bishopthorpe Roa")&amp;":"&amp;ADDRESS(130,3+18*3+(3))),'J1 C - (South) Bishopthorpe Roa'!$A$12:$A$130,"&gt;="&amp;Diagram!$O18,'J1 C - (South) Bishopthorpe Roa'!$A$12:$A$130,"&lt;"&amp;Diagram!$P18),SUMIFS(INDIRECT(ADDRESS(12,3+18*3+(11),,,"J1 C - (South) Bishopthorpe Roa")&amp;":"&amp;ADDRESS(130,3+18*3+(11))),'J1 C - (South) Bishopthorpe Roa'!$A$12:$A$130,"&gt;="&amp;Diagram!$O18,'J1 C - (South) Bishopthorpe Roa'!$A$12:$A$130,"&lt;"&amp;Diagram!$P18)))</f>
        <v>0</v>
      </c>
      <c r="CC18" s="42">
        <f ca="1">IF(OR($I$10="",$O18="",$P18="",$J$38&lt;&gt;"Yes"),0,IF($K$10=0,SUMIFS(INDIRECT(ADDRESS(12,3+18*0+(3),,,"J1 C - (South) Bishopthorpe Roa")&amp;":"&amp;ADDRESS(130,3+18*0+(3))),'J1 C - (South) Bishopthorpe Roa'!$A$12:$A$130,"&gt;="&amp;Diagram!$O18,'J1 C - (South) Bishopthorpe Roa'!$A$12:$A$130,"&lt;"&amp;Diagram!$P18),SUMIFS(INDIRECT(ADDRESS(12,3+18*0+(11),,,"J1 C - (South) Bishopthorpe Roa")&amp;":"&amp;ADDRESS(130,3+18*0+(11))),'J1 C - (South) Bishopthorpe Roa'!$A$12:$A$130,"&gt;="&amp;Diagram!$O18,'J1 C - (South) Bishopthorpe Roa'!$A$12:$A$130,"&lt;"&amp;Diagram!$P18)))</f>
        <v>0</v>
      </c>
      <c r="CD18" s="42">
        <f ca="1">IF(OR($I$10="",$O18="",$P18="",$J$38&lt;&gt;"Yes"),0,IF($K$10=0,SUMIFS(INDIRECT(ADDRESS(12,3+18*0+(3),,,"J1 D - South Bank Avenue")&amp;":"&amp;ADDRESS(130,3+18*0+(3))),'J1 D - South Bank Avenue'!$A$12:$A$130,"&gt;="&amp;Diagram!$O18,'J1 D - South Bank Avenue'!$A$12:$A$130,"&lt;"&amp;Diagram!$P18),SUMIFS(INDIRECT(ADDRESS(12,3+18*0+(11),,,"J1 D - South Bank Avenue")&amp;":"&amp;ADDRESS(130,3+18*0+(11))),'J1 D - South Bank Avenue'!$A$12:$A$130,"&gt;="&amp;Diagram!$O18,'J1 D - South Bank Avenue'!$A$12:$A$130,"&lt;"&amp;Diagram!$P18)))</f>
        <v>0</v>
      </c>
      <c r="CE18" s="42">
        <f ca="1">IF(OR($I$10="",$O18="",$P18="",$J$38&lt;&gt;"Yes"),0,IF($K$10=0,SUMIFS(INDIRECT(ADDRESS(12,3+18*1+(3),,,"J1 D - South Bank Avenue")&amp;":"&amp;ADDRESS(130,3+18*1+(3))),'J1 D - South Bank Avenue'!$A$12:$A$130,"&gt;="&amp;Diagram!$O18,'J1 D - South Bank Avenue'!$A$12:$A$130,"&lt;"&amp;Diagram!$P18),SUMIFS(INDIRECT(ADDRESS(12,3+18*1+(11),,,"J1 D - South Bank Avenue")&amp;":"&amp;ADDRESS(130,3+18*1+(11))),'J1 D - South Bank Avenue'!$A$12:$A$130,"&gt;="&amp;Diagram!$O18,'J1 D - South Bank Avenue'!$A$12:$A$130,"&lt;"&amp;Diagram!$P18)))</f>
        <v>0</v>
      </c>
      <c r="CF18" s="42">
        <f ca="1">IF(OR($I$10="",$O18="",$P18="",$J$38&lt;&gt;"Yes"),0,IF($K$10=0,SUMIFS(INDIRECT(ADDRESS(12,3+18*2+(3),,,"J1 D - South Bank Avenue")&amp;":"&amp;ADDRESS(130,3+18*2+(3))),'J1 D - South Bank Avenue'!$A$12:$A$130,"&gt;="&amp;Diagram!$O18,'J1 D - South Bank Avenue'!$A$12:$A$130,"&lt;"&amp;Diagram!$P18),SUMIFS(INDIRECT(ADDRESS(12,3+18*2+(11),,,"J1 D - South Bank Avenue")&amp;":"&amp;ADDRESS(130,3+18*2+(11))),'J1 D - South Bank Avenue'!$A$12:$A$130,"&gt;="&amp;Diagram!$O18,'J1 D - South Bank Avenue'!$A$12:$A$130,"&lt;"&amp;Diagram!$P18)))</f>
        <v>0</v>
      </c>
      <c r="CG18" s="42">
        <f ca="1">IF(OR($I$10="",$O18="",$P18="",$J$38&lt;&gt;"Yes"),0,IF($K$10=0,SUMIFS(INDIRECT(ADDRESS(12,3+18*3+(3),,,"J1 D - South Bank Avenue")&amp;":"&amp;ADDRESS(130,3+18*3+(3))),'J1 D - South Bank Avenue'!$A$12:$A$130,"&gt;="&amp;Diagram!$O18,'J1 D - South Bank Avenue'!$A$12:$A$130,"&lt;"&amp;Diagram!$P18),SUMIFS(INDIRECT(ADDRESS(12,3+18*3+(11),,,"J1 D - South Bank Avenue")&amp;":"&amp;ADDRESS(130,3+18*3+(11))),'J1 D - South Bank Avenue'!$A$12:$A$130,"&gt;="&amp;Diagram!$O18,'J1 D - South Bank Avenue'!$A$12:$A$130,"&lt;"&amp;Diagram!$P18)))</f>
        <v>0</v>
      </c>
      <c r="CH18" s="42">
        <f t="shared" ca="1" si="5"/>
        <v>0</v>
      </c>
      <c r="CI18" s="42">
        <f ca="1">IF(OR($I$10="",$O18="",$P18="",$J$39&lt;&gt;"Yes"),0,IF($K$10=0,SUMIFS(INDIRECT(ADDRESS(12,3+18*3+(4),,,"J1 A - (North) Bishopthorpe Roa")&amp;":"&amp;ADDRESS(130,3+18*3+(4))),'J1 A - (North) Bishopthorpe Roa'!$A$12:$A$130,"&gt;="&amp;Diagram!$O18,'J1 A - (North) Bishopthorpe Roa'!$A$12:$A$130,"&lt;"&amp;Diagram!$P18),SUMIFS(INDIRECT(ADDRESS(12,3+18*3+(12),,,"J1 A - (North) Bishopthorpe Roa")&amp;":"&amp;ADDRESS(130,3+18*3+(12))),'J1 A - (North) Bishopthorpe Roa'!$A$12:$A$130,"&gt;="&amp;Diagram!$O18,'J1 A - (North) Bishopthorpe Roa'!$A$12:$A$130,"&lt;"&amp;Diagram!$P18)))</f>
        <v>0</v>
      </c>
      <c r="CJ18" s="42">
        <f ca="1">IF(OR($I$10="",$O18="",$P18="",$J$39&lt;&gt;"Yes"),0,IF($K$10=0,SUMIFS(INDIRECT(ADDRESS(12,3+18*0+(4),,,"J1 A - (North) Bishopthorpe Roa")&amp;":"&amp;ADDRESS(130,3+18*0+(4))),'J1 A - (North) Bishopthorpe Roa'!$A$12:$A$130,"&gt;="&amp;Diagram!$O18,'J1 A - (North) Bishopthorpe Roa'!$A$12:$A$130,"&lt;"&amp;Diagram!$P18),SUMIFS(INDIRECT(ADDRESS(12,3+18*0+(12),,,"J1 A - (North) Bishopthorpe Roa")&amp;":"&amp;ADDRESS(130,3+18*0+(12))),'J1 A - (North) Bishopthorpe Roa'!$A$12:$A$130,"&gt;="&amp;Diagram!$O18,'J1 A - (North) Bishopthorpe Roa'!$A$12:$A$130,"&lt;"&amp;Diagram!$P18)))</f>
        <v>0</v>
      </c>
      <c r="CK18" s="42">
        <f ca="1">IF(OR($I$10="",$O18="",$P18="",$J$39&lt;&gt;"Yes"),0,IF($K$10=0,SUMIFS(INDIRECT(ADDRESS(12,3+18*1+(4),,,"J1 A - (North) Bishopthorpe Roa")&amp;":"&amp;ADDRESS(130,3+18*1+(4))),'J1 A - (North) Bishopthorpe Roa'!$A$12:$A$130,"&gt;="&amp;Diagram!$O18,'J1 A - (North) Bishopthorpe Roa'!$A$12:$A$130,"&lt;"&amp;Diagram!$P18),SUMIFS(INDIRECT(ADDRESS(12,3+18*1+(12),,,"J1 A - (North) Bishopthorpe Roa")&amp;":"&amp;ADDRESS(130,3+18*1+(12))),'J1 A - (North) Bishopthorpe Roa'!$A$12:$A$130,"&gt;="&amp;Diagram!$O18,'J1 A - (North) Bishopthorpe Roa'!$A$12:$A$130,"&lt;"&amp;Diagram!$P18)))</f>
        <v>0</v>
      </c>
      <c r="CL18" s="42">
        <f ca="1">IF(OR($I$10="",$O18="",$P18="",$J$39&lt;&gt;"Yes"),0,IF($K$10=0,SUMIFS(INDIRECT(ADDRESS(12,3+18*2+(4),,,"J1 A - (North) Bishopthorpe Roa")&amp;":"&amp;ADDRESS(130,3+18*2+(4))),'J1 A - (North) Bishopthorpe Roa'!$A$12:$A$130,"&gt;="&amp;Diagram!$O18,'J1 A - (North) Bishopthorpe Roa'!$A$12:$A$130,"&lt;"&amp;Diagram!$P18),SUMIFS(INDIRECT(ADDRESS(12,3+18*2+(12),,,"J1 A - (North) Bishopthorpe Roa")&amp;":"&amp;ADDRESS(130,3+18*2+(12))),'J1 A - (North) Bishopthorpe Roa'!$A$12:$A$130,"&gt;="&amp;Diagram!$O18,'J1 A - (North) Bishopthorpe Roa'!$A$12:$A$130,"&lt;"&amp;Diagram!$P18)))</f>
        <v>0</v>
      </c>
      <c r="CM18" s="42">
        <f ca="1">IF(OR($I$10="",$O18="",$P18="",$J$39&lt;&gt;"Yes"),0,IF($K$10=0,SUMIFS(INDIRECT(ADDRESS(12,3+18*2+(4),,,"J1 B - Butcher Terrace")&amp;":"&amp;ADDRESS(130,3+18*2+(4))),'J1 B - Butcher Terrace'!$A$12:$A$130,"&gt;="&amp;Diagram!$O18,'J1 B - Butcher Terrace'!$A$12:$A$130,"&lt;"&amp;Diagram!$P18),SUMIFS(INDIRECT(ADDRESS(12,3+18*2+(12),,,"J1 B - Butcher Terrace")&amp;":"&amp;ADDRESS(130,3+18*2+(12))),'J1 B - Butcher Terrace'!$A$12:$A$130,"&gt;="&amp;Diagram!$O18,'J1 B - Butcher Terrace'!$A$12:$A$130,"&lt;"&amp;Diagram!$P18)))</f>
        <v>0</v>
      </c>
      <c r="CN18" s="42">
        <f ca="1">IF(OR($I$10="",$O18="",$P18="",$J$39&lt;&gt;"Yes"),0,IF($K$10=0,SUMIFS(INDIRECT(ADDRESS(12,3+18*3+(4),,,"J1 B - Butcher Terrace")&amp;":"&amp;ADDRESS(130,3+18*3+(4))),'J1 B - Butcher Terrace'!$A$12:$A$130,"&gt;="&amp;Diagram!$O18,'J1 B - Butcher Terrace'!$A$12:$A$130,"&lt;"&amp;Diagram!$P18),SUMIFS(INDIRECT(ADDRESS(12,3+18*3+(12),,,"J1 B - Butcher Terrace")&amp;":"&amp;ADDRESS(130,3+18*3+(12))),'J1 B - Butcher Terrace'!$A$12:$A$130,"&gt;="&amp;Diagram!$O18,'J1 B - Butcher Terrace'!$A$12:$A$130,"&lt;"&amp;Diagram!$P18)))</f>
        <v>0</v>
      </c>
      <c r="CO18" s="42">
        <f ca="1">IF(OR($I$10="",$O18="",$P18="",$J$39&lt;&gt;"Yes"),0,IF($K$10=0,SUMIFS(INDIRECT(ADDRESS(12,3+18*0+(4),,,"J1 B - Butcher Terrace")&amp;":"&amp;ADDRESS(130,3+18*0+(4))),'J1 B - Butcher Terrace'!$A$12:$A$130,"&gt;="&amp;Diagram!$O18,'J1 B - Butcher Terrace'!$A$12:$A$130,"&lt;"&amp;Diagram!$P18),SUMIFS(INDIRECT(ADDRESS(12,3+18*0+(12),,,"J1 B - Butcher Terrace")&amp;":"&amp;ADDRESS(130,3+18*0+(12))),'J1 B - Butcher Terrace'!$A$12:$A$130,"&gt;="&amp;Diagram!$O18,'J1 B - Butcher Terrace'!$A$12:$A$130,"&lt;"&amp;Diagram!$P18)))</f>
        <v>0</v>
      </c>
      <c r="CP18" s="42">
        <f ca="1">IF(OR($I$10="",$O18="",$P18="",$J$39&lt;&gt;"Yes"),0,IF($K$10=0,SUMIFS(INDIRECT(ADDRESS(12,3+18*1+(4),,,"J1 B - Butcher Terrace")&amp;":"&amp;ADDRESS(130,3+18*1+(4))),'J1 B - Butcher Terrace'!$A$12:$A$130,"&gt;="&amp;Diagram!$O18,'J1 B - Butcher Terrace'!$A$12:$A$130,"&lt;"&amp;Diagram!$P18),SUMIFS(INDIRECT(ADDRESS(12,3+18*1+(12),,,"J1 B - Butcher Terrace")&amp;":"&amp;ADDRESS(130,3+18*1+(12))),'J1 B - Butcher Terrace'!$A$12:$A$130,"&gt;="&amp;Diagram!$O18,'J1 B - Butcher Terrace'!$A$12:$A$130,"&lt;"&amp;Diagram!$P18)))</f>
        <v>0</v>
      </c>
      <c r="CQ18" s="42">
        <f ca="1">IF(OR($I$10="",$O18="",$P18="",$J$39&lt;&gt;"Yes"),0,IF($K$10=0,SUMIFS(INDIRECT(ADDRESS(12,3+18*1+(4),,,"J1 C - (South) Bishopthorpe Roa")&amp;":"&amp;ADDRESS(130,3+18*1+(4))),'J1 C - (South) Bishopthorpe Roa'!$A$12:$A$130,"&gt;="&amp;Diagram!$O18,'J1 C - (South) Bishopthorpe Roa'!$A$12:$A$130,"&lt;"&amp;Diagram!$P18),SUMIFS(INDIRECT(ADDRESS(12,3+18*1+(12),,,"J1 C - (South) Bishopthorpe Roa")&amp;":"&amp;ADDRESS(130,3+18*1+(12))),'J1 C - (South) Bishopthorpe Roa'!$A$12:$A$130,"&gt;="&amp;Diagram!$O18,'J1 C - (South) Bishopthorpe Roa'!$A$12:$A$130,"&lt;"&amp;Diagram!$P18)))</f>
        <v>0</v>
      </c>
      <c r="CR18" s="42">
        <f ca="1">IF(OR($I$10="",$O18="",$P18="",$J$39&lt;&gt;"Yes"),0,IF($K$10=0,SUMIFS(INDIRECT(ADDRESS(12,3+18*2+(4),,,"J1 C - (South) Bishopthorpe Roa")&amp;":"&amp;ADDRESS(130,3+18*2+(4))),'J1 C - (South) Bishopthorpe Roa'!$A$12:$A$130,"&gt;="&amp;Diagram!$O18,'J1 C - (South) Bishopthorpe Roa'!$A$12:$A$130,"&lt;"&amp;Diagram!$P18),SUMIFS(INDIRECT(ADDRESS(12,3+18*2+(12),,,"J1 C - (South) Bishopthorpe Roa")&amp;":"&amp;ADDRESS(130,3+18*2+(12))),'J1 C - (South) Bishopthorpe Roa'!$A$12:$A$130,"&gt;="&amp;Diagram!$O18,'J1 C - (South) Bishopthorpe Roa'!$A$12:$A$130,"&lt;"&amp;Diagram!$P18)))</f>
        <v>0</v>
      </c>
      <c r="CS18" s="42">
        <f ca="1">IF(OR($I$10="",$O18="",$P18="",$J$39&lt;&gt;"Yes"),0,IF($K$10=0,SUMIFS(INDIRECT(ADDRESS(12,3+18*3+(4),,,"J1 C - (South) Bishopthorpe Roa")&amp;":"&amp;ADDRESS(130,3+18*3+(4))),'J1 C - (South) Bishopthorpe Roa'!$A$12:$A$130,"&gt;="&amp;Diagram!$O18,'J1 C - (South) Bishopthorpe Roa'!$A$12:$A$130,"&lt;"&amp;Diagram!$P18),SUMIFS(INDIRECT(ADDRESS(12,3+18*3+(12),,,"J1 C - (South) Bishopthorpe Roa")&amp;":"&amp;ADDRESS(130,3+18*3+(12))),'J1 C - (South) Bishopthorpe Roa'!$A$12:$A$130,"&gt;="&amp;Diagram!$O18,'J1 C - (South) Bishopthorpe Roa'!$A$12:$A$130,"&lt;"&amp;Diagram!$P18)))</f>
        <v>0</v>
      </c>
      <c r="CT18" s="42">
        <f ca="1">IF(OR($I$10="",$O18="",$P18="",$J$39&lt;&gt;"Yes"),0,IF($K$10=0,SUMIFS(INDIRECT(ADDRESS(12,3+18*0+(4),,,"J1 C - (South) Bishopthorpe Roa")&amp;":"&amp;ADDRESS(130,3+18*0+(4))),'J1 C - (South) Bishopthorpe Roa'!$A$12:$A$130,"&gt;="&amp;Diagram!$O18,'J1 C - (South) Bishopthorpe Roa'!$A$12:$A$130,"&lt;"&amp;Diagram!$P18),SUMIFS(INDIRECT(ADDRESS(12,3+18*0+(12),,,"J1 C - (South) Bishopthorpe Roa")&amp;":"&amp;ADDRESS(130,3+18*0+(12))),'J1 C - (South) Bishopthorpe Roa'!$A$12:$A$130,"&gt;="&amp;Diagram!$O18,'J1 C - (South) Bishopthorpe Roa'!$A$12:$A$130,"&lt;"&amp;Diagram!$P18)))</f>
        <v>0</v>
      </c>
      <c r="CU18" s="42">
        <f ca="1">IF(OR($I$10="",$O18="",$P18="",$J$39&lt;&gt;"Yes"),0,IF($K$10=0,SUMIFS(INDIRECT(ADDRESS(12,3+18*0+(4),,,"J1 D - South Bank Avenue")&amp;":"&amp;ADDRESS(130,3+18*0+(4))),'J1 D - South Bank Avenue'!$A$12:$A$130,"&gt;="&amp;Diagram!$O18,'J1 D - South Bank Avenue'!$A$12:$A$130,"&lt;"&amp;Diagram!$P18),SUMIFS(INDIRECT(ADDRESS(12,3+18*0+(12),,,"J1 D - South Bank Avenue")&amp;":"&amp;ADDRESS(130,3+18*0+(12))),'J1 D - South Bank Avenue'!$A$12:$A$130,"&gt;="&amp;Diagram!$O18,'J1 D - South Bank Avenue'!$A$12:$A$130,"&lt;"&amp;Diagram!$P18)))</f>
        <v>0</v>
      </c>
      <c r="CV18" s="42">
        <f ca="1">IF(OR($I$10="",$O18="",$P18="",$J$39&lt;&gt;"Yes"),0,IF($K$10=0,SUMIFS(INDIRECT(ADDRESS(12,3+18*1+(4),,,"J1 D - South Bank Avenue")&amp;":"&amp;ADDRESS(130,3+18*1+(4))),'J1 D - South Bank Avenue'!$A$12:$A$130,"&gt;="&amp;Diagram!$O18,'J1 D - South Bank Avenue'!$A$12:$A$130,"&lt;"&amp;Diagram!$P18),SUMIFS(INDIRECT(ADDRESS(12,3+18*1+(12),,,"J1 D - South Bank Avenue")&amp;":"&amp;ADDRESS(130,3+18*1+(12))),'J1 D - South Bank Avenue'!$A$12:$A$130,"&gt;="&amp;Diagram!$O18,'J1 D - South Bank Avenue'!$A$12:$A$130,"&lt;"&amp;Diagram!$P18)))</f>
        <v>0</v>
      </c>
      <c r="CW18" s="42">
        <f ca="1">IF(OR($I$10="",$O18="",$P18="",$J$39&lt;&gt;"Yes"),0,IF($K$10=0,SUMIFS(INDIRECT(ADDRESS(12,3+18*2+(4),,,"J1 D - South Bank Avenue")&amp;":"&amp;ADDRESS(130,3+18*2+(4))),'J1 D - South Bank Avenue'!$A$12:$A$130,"&gt;="&amp;Diagram!$O18,'J1 D - South Bank Avenue'!$A$12:$A$130,"&lt;"&amp;Diagram!$P18),SUMIFS(INDIRECT(ADDRESS(12,3+18*2+(12),,,"J1 D - South Bank Avenue")&amp;":"&amp;ADDRESS(130,3+18*2+(12))),'J1 D - South Bank Avenue'!$A$12:$A$130,"&gt;="&amp;Diagram!$O18,'J1 D - South Bank Avenue'!$A$12:$A$130,"&lt;"&amp;Diagram!$P18)))</f>
        <v>0</v>
      </c>
      <c r="CX18" s="42">
        <f ca="1">IF(OR($I$10="",$O18="",$P18="",$J$39&lt;&gt;"Yes"),0,IF($K$10=0,SUMIFS(INDIRECT(ADDRESS(12,3+18*3+(4),,,"J1 D - South Bank Avenue")&amp;":"&amp;ADDRESS(130,3+18*3+(4))),'J1 D - South Bank Avenue'!$A$12:$A$130,"&gt;="&amp;Diagram!$O18,'J1 D - South Bank Avenue'!$A$12:$A$130,"&lt;"&amp;Diagram!$P18),SUMIFS(INDIRECT(ADDRESS(12,3+18*3+(12),,,"J1 D - South Bank Avenue")&amp;":"&amp;ADDRESS(130,3+18*3+(12))),'J1 D - South Bank Avenue'!$A$12:$A$130,"&gt;="&amp;Diagram!$O18,'J1 D - South Bank Avenue'!$A$12:$A$130,"&lt;"&amp;Diagram!$P18)))</f>
        <v>0</v>
      </c>
      <c r="CY18" s="42">
        <f t="shared" ca="1" si="6"/>
        <v>4</v>
      </c>
      <c r="CZ18" s="42">
        <f ca="1">IF(OR($I$10="",$O18="",$P18="",$J$40&lt;&gt;"Yes"),0,IF($K$10=0,SUMIFS(INDIRECT(ADDRESS(12,3+18*3+(5),,,"J1 A - (North) Bishopthorpe Roa")&amp;":"&amp;ADDRESS(130,3+18*3+(5))),'J1 A - (North) Bishopthorpe Roa'!$A$12:$A$130,"&gt;="&amp;Diagram!$O18,'J1 A - (North) Bishopthorpe Roa'!$A$12:$A$130,"&lt;"&amp;Diagram!$P18),SUMIFS(INDIRECT(ADDRESS(12,3+18*3+(13),,,"J1 A - (North) Bishopthorpe Roa")&amp;":"&amp;ADDRESS(130,3+18*3+(13))),'J1 A - (North) Bishopthorpe Roa'!$A$12:$A$130,"&gt;="&amp;Diagram!$O18,'J1 A - (North) Bishopthorpe Roa'!$A$12:$A$130,"&lt;"&amp;Diagram!$P18)))</f>
        <v>0</v>
      </c>
      <c r="DA18" s="42">
        <f ca="1">IF(OR($I$10="",$O18="",$P18="",$J$40&lt;&gt;"Yes"),0,IF($K$10=0,SUMIFS(INDIRECT(ADDRESS(12,3+18*0+(5),,,"J1 A - (North) Bishopthorpe Roa")&amp;":"&amp;ADDRESS(130,3+18*0+(5))),'J1 A - (North) Bishopthorpe Roa'!$A$12:$A$130,"&gt;="&amp;Diagram!$O18,'J1 A - (North) Bishopthorpe Roa'!$A$12:$A$130,"&lt;"&amp;Diagram!$P18),SUMIFS(INDIRECT(ADDRESS(12,3+18*0+(13),,,"J1 A - (North) Bishopthorpe Roa")&amp;":"&amp;ADDRESS(130,3+18*0+(13))),'J1 A - (North) Bishopthorpe Roa'!$A$12:$A$130,"&gt;="&amp;Diagram!$O18,'J1 A - (North) Bishopthorpe Roa'!$A$12:$A$130,"&lt;"&amp;Diagram!$P18)))</f>
        <v>0</v>
      </c>
      <c r="DB18" s="42">
        <f ca="1">IF(OR($I$10="",$O18="",$P18="",$J$40&lt;&gt;"Yes"),0,IF($K$10=0,SUMIFS(INDIRECT(ADDRESS(12,3+18*1+(5),,,"J1 A - (North) Bishopthorpe Roa")&amp;":"&amp;ADDRESS(130,3+18*1+(5))),'J1 A - (North) Bishopthorpe Roa'!$A$12:$A$130,"&gt;="&amp;Diagram!$O18,'J1 A - (North) Bishopthorpe Roa'!$A$12:$A$130,"&lt;"&amp;Diagram!$P18),SUMIFS(INDIRECT(ADDRESS(12,3+18*1+(13),,,"J1 A - (North) Bishopthorpe Roa")&amp;":"&amp;ADDRESS(130,3+18*1+(13))),'J1 A - (North) Bishopthorpe Roa'!$A$12:$A$130,"&gt;="&amp;Diagram!$O18,'J1 A - (North) Bishopthorpe Roa'!$A$12:$A$130,"&lt;"&amp;Diagram!$P18)))</f>
        <v>0</v>
      </c>
      <c r="DC18" s="42">
        <f ca="1">IF(OR($I$10="",$O18="",$P18="",$J$40&lt;&gt;"Yes"),0,IF($K$10=0,SUMIFS(INDIRECT(ADDRESS(12,3+18*2+(5),,,"J1 A - (North) Bishopthorpe Roa")&amp;":"&amp;ADDRESS(130,3+18*2+(5))),'J1 A - (North) Bishopthorpe Roa'!$A$12:$A$130,"&gt;="&amp;Diagram!$O18,'J1 A - (North) Bishopthorpe Roa'!$A$12:$A$130,"&lt;"&amp;Diagram!$P18),SUMIFS(INDIRECT(ADDRESS(12,3+18*2+(13),,,"J1 A - (North) Bishopthorpe Roa")&amp;":"&amp;ADDRESS(130,3+18*2+(13))),'J1 A - (North) Bishopthorpe Roa'!$A$12:$A$130,"&gt;="&amp;Diagram!$O18,'J1 A - (North) Bishopthorpe Roa'!$A$12:$A$130,"&lt;"&amp;Diagram!$P18)))</f>
        <v>0</v>
      </c>
      <c r="DD18" s="42">
        <f ca="1">IF(OR($I$10="",$O18="",$P18="",$J$40&lt;&gt;"Yes"),0,IF($K$10=0,SUMIFS(INDIRECT(ADDRESS(12,3+18*2+(5),,,"J1 B - Butcher Terrace")&amp;":"&amp;ADDRESS(130,3+18*2+(5))),'J1 B - Butcher Terrace'!$A$12:$A$130,"&gt;="&amp;Diagram!$O18,'J1 B - Butcher Terrace'!$A$12:$A$130,"&lt;"&amp;Diagram!$P18),SUMIFS(INDIRECT(ADDRESS(12,3+18*2+(13),,,"J1 B - Butcher Terrace")&amp;":"&amp;ADDRESS(130,3+18*2+(13))),'J1 B - Butcher Terrace'!$A$12:$A$130,"&gt;="&amp;Diagram!$O18,'J1 B - Butcher Terrace'!$A$12:$A$130,"&lt;"&amp;Diagram!$P18)))</f>
        <v>1</v>
      </c>
      <c r="DE18" s="42">
        <f ca="1">IF(OR($I$10="",$O18="",$P18="",$J$40&lt;&gt;"Yes"),0,IF($K$10=0,SUMIFS(INDIRECT(ADDRESS(12,3+18*3+(5),,,"J1 B - Butcher Terrace")&amp;":"&amp;ADDRESS(130,3+18*3+(5))),'J1 B - Butcher Terrace'!$A$12:$A$130,"&gt;="&amp;Diagram!$O18,'J1 B - Butcher Terrace'!$A$12:$A$130,"&lt;"&amp;Diagram!$P18),SUMIFS(INDIRECT(ADDRESS(12,3+18*3+(13),,,"J1 B - Butcher Terrace")&amp;":"&amp;ADDRESS(130,3+18*3+(13))),'J1 B - Butcher Terrace'!$A$12:$A$130,"&gt;="&amp;Diagram!$O18,'J1 B - Butcher Terrace'!$A$12:$A$130,"&lt;"&amp;Diagram!$P18)))</f>
        <v>0</v>
      </c>
      <c r="DF18" s="42">
        <f ca="1">IF(OR($I$10="",$O18="",$P18="",$J$40&lt;&gt;"Yes"),0,IF($K$10=0,SUMIFS(INDIRECT(ADDRESS(12,3+18*0+(5),,,"J1 B - Butcher Terrace")&amp;":"&amp;ADDRESS(130,3+18*0+(5))),'J1 B - Butcher Terrace'!$A$12:$A$130,"&gt;="&amp;Diagram!$O18,'J1 B - Butcher Terrace'!$A$12:$A$130,"&lt;"&amp;Diagram!$P18),SUMIFS(INDIRECT(ADDRESS(12,3+18*0+(13),,,"J1 B - Butcher Terrace")&amp;":"&amp;ADDRESS(130,3+18*0+(13))),'J1 B - Butcher Terrace'!$A$12:$A$130,"&gt;="&amp;Diagram!$O18,'J1 B - Butcher Terrace'!$A$12:$A$130,"&lt;"&amp;Diagram!$P18)))</f>
        <v>1</v>
      </c>
      <c r="DG18" s="42">
        <f ca="1">IF(OR($I$10="",$O18="",$P18="",$J$40&lt;&gt;"Yes"),0,IF($K$10=0,SUMIFS(INDIRECT(ADDRESS(12,3+18*1+(5),,,"J1 B - Butcher Terrace")&amp;":"&amp;ADDRESS(130,3+18*1+(5))),'J1 B - Butcher Terrace'!$A$12:$A$130,"&gt;="&amp;Diagram!$O18,'J1 B - Butcher Terrace'!$A$12:$A$130,"&lt;"&amp;Diagram!$P18),SUMIFS(INDIRECT(ADDRESS(12,3+18*1+(13),,,"J1 B - Butcher Terrace")&amp;":"&amp;ADDRESS(130,3+18*1+(13))),'J1 B - Butcher Terrace'!$A$12:$A$130,"&gt;="&amp;Diagram!$O18,'J1 B - Butcher Terrace'!$A$12:$A$130,"&lt;"&amp;Diagram!$P18)))</f>
        <v>0</v>
      </c>
      <c r="DH18" s="42">
        <f ca="1">IF(OR($I$10="",$O18="",$P18="",$J$40&lt;&gt;"Yes"),0,IF($K$10=0,SUMIFS(INDIRECT(ADDRESS(12,3+18*1+(5),,,"J1 C - (South) Bishopthorpe Roa")&amp;":"&amp;ADDRESS(130,3+18*1+(5))),'J1 C - (South) Bishopthorpe Roa'!$A$12:$A$130,"&gt;="&amp;Diagram!$O18,'J1 C - (South) Bishopthorpe Roa'!$A$12:$A$130,"&lt;"&amp;Diagram!$P18),SUMIFS(INDIRECT(ADDRESS(12,3+18*1+(13),,,"J1 C - (South) Bishopthorpe Roa")&amp;":"&amp;ADDRESS(130,3+18*1+(13))),'J1 C - (South) Bishopthorpe Roa'!$A$12:$A$130,"&gt;="&amp;Diagram!$O18,'J1 C - (South) Bishopthorpe Roa'!$A$12:$A$130,"&lt;"&amp;Diagram!$P18)))</f>
        <v>1</v>
      </c>
      <c r="DI18" s="42">
        <f ca="1">IF(OR($I$10="",$O18="",$P18="",$J$40&lt;&gt;"Yes"),0,IF($K$10=0,SUMIFS(INDIRECT(ADDRESS(12,3+18*2+(5),,,"J1 C - (South) Bishopthorpe Roa")&amp;":"&amp;ADDRESS(130,3+18*2+(5))),'J1 C - (South) Bishopthorpe Roa'!$A$12:$A$130,"&gt;="&amp;Diagram!$O18,'J1 C - (South) Bishopthorpe Roa'!$A$12:$A$130,"&lt;"&amp;Diagram!$P18),SUMIFS(INDIRECT(ADDRESS(12,3+18*2+(13),,,"J1 C - (South) Bishopthorpe Roa")&amp;":"&amp;ADDRESS(130,3+18*2+(13))),'J1 C - (South) Bishopthorpe Roa'!$A$12:$A$130,"&gt;="&amp;Diagram!$O18,'J1 C - (South) Bishopthorpe Roa'!$A$12:$A$130,"&lt;"&amp;Diagram!$P18)))</f>
        <v>0</v>
      </c>
      <c r="DJ18" s="42">
        <f ca="1">IF(OR($I$10="",$O18="",$P18="",$J$40&lt;&gt;"Yes"),0,IF($K$10=0,SUMIFS(INDIRECT(ADDRESS(12,3+18*3+(5),,,"J1 C - (South) Bishopthorpe Roa")&amp;":"&amp;ADDRESS(130,3+18*3+(5))),'J1 C - (South) Bishopthorpe Roa'!$A$12:$A$130,"&gt;="&amp;Diagram!$O18,'J1 C - (South) Bishopthorpe Roa'!$A$12:$A$130,"&lt;"&amp;Diagram!$P18),SUMIFS(INDIRECT(ADDRESS(12,3+18*3+(13),,,"J1 C - (South) Bishopthorpe Roa")&amp;":"&amp;ADDRESS(130,3+18*3+(13))),'J1 C - (South) Bishopthorpe Roa'!$A$12:$A$130,"&gt;="&amp;Diagram!$O18,'J1 C - (South) Bishopthorpe Roa'!$A$12:$A$130,"&lt;"&amp;Diagram!$P18)))</f>
        <v>0</v>
      </c>
      <c r="DK18" s="42">
        <f ca="1">IF(OR($I$10="",$O18="",$P18="",$J$40&lt;&gt;"Yes"),0,IF($K$10=0,SUMIFS(INDIRECT(ADDRESS(12,3+18*0+(5),,,"J1 C - (South) Bishopthorpe Roa")&amp;":"&amp;ADDRESS(130,3+18*0+(5))),'J1 C - (South) Bishopthorpe Roa'!$A$12:$A$130,"&gt;="&amp;Diagram!$O18,'J1 C - (South) Bishopthorpe Roa'!$A$12:$A$130,"&lt;"&amp;Diagram!$P18),SUMIFS(INDIRECT(ADDRESS(12,3+18*0+(13),,,"J1 C - (South) Bishopthorpe Roa")&amp;":"&amp;ADDRESS(130,3+18*0+(13))),'J1 C - (South) Bishopthorpe Roa'!$A$12:$A$130,"&gt;="&amp;Diagram!$O18,'J1 C - (South) Bishopthorpe Roa'!$A$12:$A$130,"&lt;"&amp;Diagram!$P18)))</f>
        <v>0</v>
      </c>
      <c r="DL18" s="42">
        <f ca="1">IF(OR($I$10="",$O18="",$P18="",$J$40&lt;&gt;"Yes"),0,IF($K$10=0,SUMIFS(INDIRECT(ADDRESS(12,3+18*0+(5),,,"J1 D - South Bank Avenue")&amp;":"&amp;ADDRESS(130,3+18*0+(5))),'J1 D - South Bank Avenue'!$A$12:$A$130,"&gt;="&amp;Diagram!$O18,'J1 D - South Bank Avenue'!$A$12:$A$130,"&lt;"&amp;Diagram!$P18),SUMIFS(INDIRECT(ADDRESS(12,3+18*0+(13),,,"J1 D - South Bank Avenue")&amp;":"&amp;ADDRESS(130,3+18*0+(13))),'J1 D - South Bank Avenue'!$A$12:$A$130,"&gt;="&amp;Diagram!$O18,'J1 D - South Bank Avenue'!$A$12:$A$130,"&lt;"&amp;Diagram!$P18)))</f>
        <v>1</v>
      </c>
      <c r="DM18" s="42">
        <f ca="1">IF(OR($I$10="",$O18="",$P18="",$J$40&lt;&gt;"Yes"),0,IF($K$10=0,SUMIFS(INDIRECT(ADDRESS(12,3+18*1+(5),,,"J1 D - South Bank Avenue")&amp;":"&amp;ADDRESS(130,3+18*1+(5))),'J1 D - South Bank Avenue'!$A$12:$A$130,"&gt;="&amp;Diagram!$O18,'J1 D - South Bank Avenue'!$A$12:$A$130,"&lt;"&amp;Diagram!$P18),SUMIFS(INDIRECT(ADDRESS(12,3+18*1+(13),,,"J1 D - South Bank Avenue")&amp;":"&amp;ADDRESS(130,3+18*1+(13))),'J1 D - South Bank Avenue'!$A$12:$A$130,"&gt;="&amp;Diagram!$O18,'J1 D - South Bank Avenue'!$A$12:$A$130,"&lt;"&amp;Diagram!$P18)))</f>
        <v>0</v>
      </c>
      <c r="DN18" s="42">
        <f ca="1">IF(OR($I$10="",$O18="",$P18="",$J$40&lt;&gt;"Yes"),0,IF($K$10=0,SUMIFS(INDIRECT(ADDRESS(12,3+18*2+(5),,,"J1 D - South Bank Avenue")&amp;":"&amp;ADDRESS(130,3+18*2+(5))),'J1 D - South Bank Avenue'!$A$12:$A$130,"&gt;="&amp;Diagram!$O18,'J1 D - South Bank Avenue'!$A$12:$A$130,"&lt;"&amp;Diagram!$P18),SUMIFS(INDIRECT(ADDRESS(12,3+18*2+(13),,,"J1 D - South Bank Avenue")&amp;":"&amp;ADDRESS(130,3+18*2+(13))),'J1 D - South Bank Avenue'!$A$12:$A$130,"&gt;="&amp;Diagram!$O18,'J1 D - South Bank Avenue'!$A$12:$A$130,"&lt;"&amp;Diagram!$P18)))</f>
        <v>0</v>
      </c>
      <c r="DO18" s="42">
        <f ca="1">IF(OR($I$10="",$O18="",$P18="",$J$40&lt;&gt;"Yes"),0,IF($K$10=0,SUMIFS(INDIRECT(ADDRESS(12,3+18*3+(5),,,"J1 D - South Bank Avenue")&amp;":"&amp;ADDRESS(130,3+18*3+(5))),'J1 D - South Bank Avenue'!$A$12:$A$130,"&gt;="&amp;Diagram!$O18,'J1 D - South Bank Avenue'!$A$12:$A$130,"&lt;"&amp;Diagram!$P18),SUMIFS(INDIRECT(ADDRESS(12,3+18*3+(13),,,"J1 D - South Bank Avenue")&amp;":"&amp;ADDRESS(130,3+18*3+(13))),'J1 D - South Bank Avenue'!$A$12:$A$130,"&gt;="&amp;Diagram!$O18,'J1 D - South Bank Avenue'!$A$12:$A$130,"&lt;"&amp;Diagram!$P18)))</f>
        <v>0</v>
      </c>
      <c r="DP18" s="42">
        <f t="shared" ca="1" si="7"/>
        <v>0</v>
      </c>
      <c r="DQ18" s="42">
        <f ca="1">IF(OR($I$10="",$O18="",$P18="",$J$41&lt;&gt;"Yes"),0,IF($K$10=0,SUMIFS(INDIRECT(ADDRESS(12,3+18*3+(6),,,"J1 A - (North) Bishopthorpe Roa")&amp;":"&amp;ADDRESS(130,3+18*3+(6))),'J1 A - (North) Bishopthorpe Roa'!$A$12:$A$130,"&gt;="&amp;Diagram!$O18,'J1 A - (North) Bishopthorpe Roa'!$A$12:$A$130,"&lt;"&amp;Diagram!$P18),SUMIFS(INDIRECT(ADDRESS(12,3+18*3+(14),,,"J1 A - (North) Bishopthorpe Roa")&amp;":"&amp;ADDRESS(130,3+18*3+(14))),'J1 A - (North) Bishopthorpe Roa'!$A$12:$A$130,"&gt;="&amp;Diagram!$O18,'J1 A - (North) Bishopthorpe Roa'!$A$12:$A$130,"&lt;"&amp;Diagram!$P18)))</f>
        <v>0</v>
      </c>
      <c r="DR18" s="42">
        <f ca="1">IF(OR($I$10="",$O18="",$P18="",$J$41&lt;&gt;"Yes"),0,IF($K$10=0,SUMIFS(INDIRECT(ADDRESS(12,3+18*0+(6),,,"J1 A - (North) Bishopthorpe Roa")&amp;":"&amp;ADDRESS(130,3+18*0+(6))),'J1 A - (North) Bishopthorpe Roa'!$A$12:$A$130,"&gt;="&amp;Diagram!$O18,'J1 A - (North) Bishopthorpe Roa'!$A$12:$A$130,"&lt;"&amp;Diagram!$P18),SUMIFS(INDIRECT(ADDRESS(12,3+18*0+(14),,,"J1 A - (North) Bishopthorpe Roa")&amp;":"&amp;ADDRESS(130,3+18*0+(14))),'J1 A - (North) Bishopthorpe Roa'!$A$12:$A$130,"&gt;="&amp;Diagram!$O18,'J1 A - (North) Bishopthorpe Roa'!$A$12:$A$130,"&lt;"&amp;Diagram!$P18)))</f>
        <v>0</v>
      </c>
      <c r="DS18" s="42">
        <f ca="1">IF(OR($I$10="",$O18="",$P18="",$J$41&lt;&gt;"Yes"),0,IF($K$10=0,SUMIFS(INDIRECT(ADDRESS(12,3+18*1+(6),,,"J1 A - (North) Bishopthorpe Roa")&amp;":"&amp;ADDRESS(130,3+18*1+(6))),'J1 A - (North) Bishopthorpe Roa'!$A$12:$A$130,"&gt;="&amp;Diagram!$O18,'J1 A - (North) Bishopthorpe Roa'!$A$12:$A$130,"&lt;"&amp;Diagram!$P18),SUMIFS(INDIRECT(ADDRESS(12,3+18*1+(14),,,"J1 A - (North) Bishopthorpe Roa")&amp;":"&amp;ADDRESS(130,3+18*1+(14))),'J1 A - (North) Bishopthorpe Roa'!$A$12:$A$130,"&gt;="&amp;Diagram!$O18,'J1 A - (North) Bishopthorpe Roa'!$A$12:$A$130,"&lt;"&amp;Diagram!$P18)))</f>
        <v>0</v>
      </c>
      <c r="DT18" s="42">
        <f ca="1">IF(OR($I$10="",$O18="",$P18="",$J$41&lt;&gt;"Yes"),0,IF($K$10=0,SUMIFS(INDIRECT(ADDRESS(12,3+18*2+(6),,,"J1 A - (North) Bishopthorpe Roa")&amp;":"&amp;ADDRESS(130,3+18*2+(6))),'J1 A - (North) Bishopthorpe Roa'!$A$12:$A$130,"&gt;="&amp;Diagram!$O18,'J1 A - (North) Bishopthorpe Roa'!$A$12:$A$130,"&lt;"&amp;Diagram!$P18),SUMIFS(INDIRECT(ADDRESS(12,3+18*2+(14),,,"J1 A - (North) Bishopthorpe Roa")&amp;":"&amp;ADDRESS(130,3+18*2+(14))),'J1 A - (North) Bishopthorpe Roa'!$A$12:$A$130,"&gt;="&amp;Diagram!$O18,'J1 A - (North) Bishopthorpe Roa'!$A$12:$A$130,"&lt;"&amp;Diagram!$P18)))</f>
        <v>0</v>
      </c>
      <c r="DU18" s="42">
        <f ca="1">IF(OR($I$10="",$O18="",$P18="",$J$41&lt;&gt;"Yes"),0,IF($K$10=0,SUMIFS(INDIRECT(ADDRESS(12,3+18*2+(6),,,"J1 B - Butcher Terrace")&amp;":"&amp;ADDRESS(130,3+18*2+(6))),'J1 B - Butcher Terrace'!$A$12:$A$130,"&gt;="&amp;Diagram!$O18,'J1 B - Butcher Terrace'!$A$12:$A$130,"&lt;"&amp;Diagram!$P18),SUMIFS(INDIRECT(ADDRESS(12,3+18*2+(14),,,"J1 B - Butcher Terrace")&amp;":"&amp;ADDRESS(130,3+18*2+(14))),'J1 B - Butcher Terrace'!$A$12:$A$130,"&gt;="&amp;Diagram!$O18,'J1 B - Butcher Terrace'!$A$12:$A$130,"&lt;"&amp;Diagram!$P18)))</f>
        <v>0</v>
      </c>
      <c r="DV18" s="42">
        <f ca="1">IF(OR($I$10="",$O18="",$P18="",$J$41&lt;&gt;"Yes"),0,IF($K$10=0,SUMIFS(INDIRECT(ADDRESS(12,3+18*3+(6),,,"J1 B - Butcher Terrace")&amp;":"&amp;ADDRESS(130,3+18*3+(6))),'J1 B - Butcher Terrace'!$A$12:$A$130,"&gt;="&amp;Diagram!$O18,'J1 B - Butcher Terrace'!$A$12:$A$130,"&lt;"&amp;Diagram!$P18),SUMIFS(INDIRECT(ADDRESS(12,3+18*3+(14),,,"J1 B - Butcher Terrace")&amp;":"&amp;ADDRESS(130,3+18*3+(14))),'J1 B - Butcher Terrace'!$A$12:$A$130,"&gt;="&amp;Diagram!$O18,'J1 B - Butcher Terrace'!$A$12:$A$130,"&lt;"&amp;Diagram!$P18)))</f>
        <v>0</v>
      </c>
      <c r="DW18" s="42">
        <f ca="1">IF(OR($I$10="",$O18="",$P18="",$J$41&lt;&gt;"Yes"),0,IF($K$10=0,SUMIFS(INDIRECT(ADDRESS(12,3+18*0+(6),,,"J1 B - Butcher Terrace")&amp;":"&amp;ADDRESS(130,3+18*0+(6))),'J1 B - Butcher Terrace'!$A$12:$A$130,"&gt;="&amp;Diagram!$O18,'J1 B - Butcher Terrace'!$A$12:$A$130,"&lt;"&amp;Diagram!$P18),SUMIFS(INDIRECT(ADDRESS(12,3+18*0+(14),,,"J1 B - Butcher Terrace")&amp;":"&amp;ADDRESS(130,3+18*0+(14))),'J1 B - Butcher Terrace'!$A$12:$A$130,"&gt;="&amp;Diagram!$O18,'J1 B - Butcher Terrace'!$A$12:$A$130,"&lt;"&amp;Diagram!$P18)))</f>
        <v>0</v>
      </c>
      <c r="DX18" s="42">
        <f ca="1">IF(OR($I$10="",$O18="",$P18="",$J$41&lt;&gt;"Yes"),0,IF($K$10=0,SUMIFS(INDIRECT(ADDRESS(12,3+18*1+(6),,,"J1 B - Butcher Terrace")&amp;":"&amp;ADDRESS(130,3+18*1+(6))),'J1 B - Butcher Terrace'!$A$12:$A$130,"&gt;="&amp;Diagram!$O18,'J1 B - Butcher Terrace'!$A$12:$A$130,"&lt;"&amp;Diagram!$P18),SUMIFS(INDIRECT(ADDRESS(12,3+18*1+(14),,,"J1 B - Butcher Terrace")&amp;":"&amp;ADDRESS(130,3+18*1+(14))),'J1 B - Butcher Terrace'!$A$12:$A$130,"&gt;="&amp;Diagram!$O18,'J1 B - Butcher Terrace'!$A$12:$A$130,"&lt;"&amp;Diagram!$P18)))</f>
        <v>0</v>
      </c>
      <c r="DY18" s="42">
        <f ca="1">IF(OR($I$10="",$O18="",$P18="",$J$41&lt;&gt;"Yes"),0,IF($K$10=0,SUMIFS(INDIRECT(ADDRESS(12,3+18*1+(6),,,"J1 C - (South) Bishopthorpe Roa")&amp;":"&amp;ADDRESS(130,3+18*1+(6))),'J1 C - (South) Bishopthorpe Roa'!$A$12:$A$130,"&gt;="&amp;Diagram!$O18,'J1 C - (South) Bishopthorpe Roa'!$A$12:$A$130,"&lt;"&amp;Diagram!$P18),SUMIFS(INDIRECT(ADDRESS(12,3+18*1+(14),,,"J1 C - (South) Bishopthorpe Roa")&amp;":"&amp;ADDRESS(130,3+18*1+(14))),'J1 C - (South) Bishopthorpe Roa'!$A$12:$A$130,"&gt;="&amp;Diagram!$O18,'J1 C - (South) Bishopthorpe Roa'!$A$12:$A$130,"&lt;"&amp;Diagram!$P18)))</f>
        <v>0</v>
      </c>
      <c r="DZ18" s="42">
        <f ca="1">IF(OR($I$10="",$O18="",$P18="",$J$41&lt;&gt;"Yes"),0,IF($K$10=0,SUMIFS(INDIRECT(ADDRESS(12,3+18*2+(6),,,"J1 C - (South) Bishopthorpe Roa")&amp;":"&amp;ADDRESS(130,3+18*2+(6))),'J1 C - (South) Bishopthorpe Roa'!$A$12:$A$130,"&gt;="&amp;Diagram!$O18,'J1 C - (South) Bishopthorpe Roa'!$A$12:$A$130,"&lt;"&amp;Diagram!$P18),SUMIFS(INDIRECT(ADDRESS(12,3+18*2+(14),,,"J1 C - (South) Bishopthorpe Roa")&amp;":"&amp;ADDRESS(130,3+18*2+(14))),'J1 C - (South) Bishopthorpe Roa'!$A$12:$A$130,"&gt;="&amp;Diagram!$O18,'J1 C - (South) Bishopthorpe Roa'!$A$12:$A$130,"&lt;"&amp;Diagram!$P18)))</f>
        <v>0</v>
      </c>
      <c r="EA18" s="42">
        <f ca="1">IF(OR($I$10="",$O18="",$P18="",$J$41&lt;&gt;"Yes"),0,IF($K$10=0,SUMIFS(INDIRECT(ADDRESS(12,3+18*3+(6),,,"J1 C - (South) Bishopthorpe Roa")&amp;":"&amp;ADDRESS(130,3+18*3+(6))),'J1 C - (South) Bishopthorpe Roa'!$A$12:$A$130,"&gt;="&amp;Diagram!$O18,'J1 C - (South) Bishopthorpe Roa'!$A$12:$A$130,"&lt;"&amp;Diagram!$P18),SUMIFS(INDIRECT(ADDRESS(12,3+18*3+(14),,,"J1 C - (South) Bishopthorpe Roa")&amp;":"&amp;ADDRESS(130,3+18*3+(14))),'J1 C - (South) Bishopthorpe Roa'!$A$12:$A$130,"&gt;="&amp;Diagram!$O18,'J1 C - (South) Bishopthorpe Roa'!$A$12:$A$130,"&lt;"&amp;Diagram!$P18)))</f>
        <v>0</v>
      </c>
      <c r="EB18" s="42">
        <f ca="1">IF(OR($I$10="",$O18="",$P18="",$J$41&lt;&gt;"Yes"),0,IF($K$10=0,SUMIFS(INDIRECT(ADDRESS(12,3+18*0+(6),,,"J1 C - (South) Bishopthorpe Roa")&amp;":"&amp;ADDRESS(130,3+18*0+(6))),'J1 C - (South) Bishopthorpe Roa'!$A$12:$A$130,"&gt;="&amp;Diagram!$O18,'J1 C - (South) Bishopthorpe Roa'!$A$12:$A$130,"&lt;"&amp;Diagram!$P18),SUMIFS(INDIRECT(ADDRESS(12,3+18*0+(14),,,"J1 C - (South) Bishopthorpe Roa")&amp;":"&amp;ADDRESS(130,3+18*0+(14))),'J1 C - (South) Bishopthorpe Roa'!$A$12:$A$130,"&gt;="&amp;Diagram!$O18,'J1 C - (South) Bishopthorpe Roa'!$A$12:$A$130,"&lt;"&amp;Diagram!$P18)))</f>
        <v>0</v>
      </c>
      <c r="EC18" s="42">
        <f ca="1">IF(OR($I$10="",$O18="",$P18="",$J$41&lt;&gt;"Yes"),0,IF($K$10=0,SUMIFS(INDIRECT(ADDRESS(12,3+18*0+(6),,,"J1 D - South Bank Avenue")&amp;":"&amp;ADDRESS(130,3+18*0+(6))),'J1 D - South Bank Avenue'!$A$12:$A$130,"&gt;="&amp;Diagram!$O18,'J1 D - South Bank Avenue'!$A$12:$A$130,"&lt;"&amp;Diagram!$P18),SUMIFS(INDIRECT(ADDRESS(12,3+18*0+(14),,,"J1 D - South Bank Avenue")&amp;":"&amp;ADDRESS(130,3+18*0+(14))),'J1 D - South Bank Avenue'!$A$12:$A$130,"&gt;="&amp;Diagram!$O18,'J1 D - South Bank Avenue'!$A$12:$A$130,"&lt;"&amp;Diagram!$P18)))</f>
        <v>0</v>
      </c>
      <c r="ED18" s="42">
        <f ca="1">IF(OR($I$10="",$O18="",$P18="",$J$41&lt;&gt;"Yes"),0,IF($K$10=0,SUMIFS(INDIRECT(ADDRESS(12,3+18*1+(6),,,"J1 D - South Bank Avenue")&amp;":"&amp;ADDRESS(130,3+18*1+(6))),'J1 D - South Bank Avenue'!$A$12:$A$130,"&gt;="&amp;Diagram!$O18,'J1 D - South Bank Avenue'!$A$12:$A$130,"&lt;"&amp;Diagram!$P18),SUMIFS(INDIRECT(ADDRESS(12,3+18*1+(14),,,"J1 D - South Bank Avenue")&amp;":"&amp;ADDRESS(130,3+18*1+(14))),'J1 D - South Bank Avenue'!$A$12:$A$130,"&gt;="&amp;Diagram!$O18,'J1 D - South Bank Avenue'!$A$12:$A$130,"&lt;"&amp;Diagram!$P18)))</f>
        <v>0</v>
      </c>
      <c r="EE18" s="42">
        <f ca="1">IF(OR($I$10="",$O18="",$P18="",$J$41&lt;&gt;"Yes"),0,IF($K$10=0,SUMIFS(INDIRECT(ADDRESS(12,3+18*2+(6),,,"J1 D - South Bank Avenue")&amp;":"&amp;ADDRESS(130,3+18*2+(6))),'J1 D - South Bank Avenue'!$A$12:$A$130,"&gt;="&amp;Diagram!$O18,'J1 D - South Bank Avenue'!$A$12:$A$130,"&lt;"&amp;Diagram!$P18),SUMIFS(INDIRECT(ADDRESS(12,3+18*2+(14),,,"J1 D - South Bank Avenue")&amp;":"&amp;ADDRESS(130,3+18*2+(14))),'J1 D - South Bank Avenue'!$A$12:$A$130,"&gt;="&amp;Diagram!$O18,'J1 D - South Bank Avenue'!$A$12:$A$130,"&lt;"&amp;Diagram!$P18)))</f>
        <v>0</v>
      </c>
      <c r="EF18" s="42">
        <f ca="1">IF(OR($I$10="",$O18="",$P18="",$J$41&lt;&gt;"Yes"),0,IF($K$10=0,SUMIFS(INDIRECT(ADDRESS(12,3+18*3+(6),,,"J1 D - South Bank Avenue")&amp;":"&amp;ADDRESS(130,3+18*3+(6))),'J1 D - South Bank Avenue'!$A$12:$A$130,"&gt;="&amp;Diagram!$O18,'J1 D - South Bank Avenue'!$A$12:$A$130,"&lt;"&amp;Diagram!$P18),SUMIFS(INDIRECT(ADDRESS(12,3+18*3+(14),,,"J1 D - South Bank Avenue")&amp;":"&amp;ADDRESS(130,3+18*3+(14))),'J1 D - South Bank Avenue'!$A$12:$A$130,"&gt;="&amp;Diagram!$O18,'J1 D - South Bank Avenue'!$A$12:$A$130,"&lt;"&amp;Diagram!$P18)))</f>
        <v>0</v>
      </c>
      <c r="EG18" s="42">
        <f t="shared" ca="1" si="8"/>
        <v>0</v>
      </c>
      <c r="EH18" s="42">
        <f ca="1">IF(OR($I$10="",$O18="",$P18="",$J$42&lt;&gt;"Yes"),0,IF($K$10=0,SUMIFS(INDIRECT(ADDRESS(12,3+18*3+(7),,,"J1 A - (North) Bishopthorpe Roa")&amp;":"&amp;ADDRESS(130,3+18*3+(7))),'J1 A - (North) Bishopthorpe Roa'!$A$12:$A$130,"&gt;="&amp;Diagram!$O18,'J1 A - (North) Bishopthorpe Roa'!$A$12:$A$130,"&lt;"&amp;Diagram!$P18),SUMIFS(INDIRECT(ADDRESS(12,3+18*3+(15),,,"J1 A - (North) Bishopthorpe Roa")&amp;":"&amp;ADDRESS(130,3+18*3+(15))),'J1 A - (North) Bishopthorpe Roa'!$A$12:$A$130,"&gt;="&amp;Diagram!$O18,'J1 A - (North) Bishopthorpe Roa'!$A$12:$A$130,"&lt;"&amp;Diagram!$P18)))</f>
        <v>0</v>
      </c>
      <c r="EI18" s="42">
        <f ca="1">IF(OR($I$10="",$O18="",$P18="",$J$42&lt;&gt;"Yes"),0,IF($K$10=0,SUMIFS(INDIRECT(ADDRESS(12,3+18*0+(7),,,"J1 A - (North) Bishopthorpe Roa")&amp;":"&amp;ADDRESS(130,3+18*0+(7))),'J1 A - (North) Bishopthorpe Roa'!$A$12:$A$130,"&gt;="&amp;Diagram!$O18,'J1 A - (North) Bishopthorpe Roa'!$A$12:$A$130,"&lt;"&amp;Diagram!$P18),SUMIFS(INDIRECT(ADDRESS(12,3+18*0+(15),,,"J1 A - (North) Bishopthorpe Roa")&amp;":"&amp;ADDRESS(130,3+18*0+(15))),'J1 A - (North) Bishopthorpe Roa'!$A$12:$A$130,"&gt;="&amp;Diagram!$O18,'J1 A - (North) Bishopthorpe Roa'!$A$12:$A$130,"&lt;"&amp;Diagram!$P18)))</f>
        <v>0</v>
      </c>
      <c r="EJ18" s="42">
        <f ca="1">IF(OR($I$10="",$O18="",$P18="",$J$42&lt;&gt;"Yes"),0,IF($K$10=0,SUMIFS(INDIRECT(ADDRESS(12,3+18*1+(7),,,"J1 A - (North) Bishopthorpe Roa")&amp;":"&amp;ADDRESS(130,3+18*1+(7))),'J1 A - (North) Bishopthorpe Roa'!$A$12:$A$130,"&gt;="&amp;Diagram!$O18,'J1 A - (North) Bishopthorpe Roa'!$A$12:$A$130,"&lt;"&amp;Diagram!$P18),SUMIFS(INDIRECT(ADDRESS(12,3+18*1+(15),,,"J1 A - (North) Bishopthorpe Roa")&amp;":"&amp;ADDRESS(130,3+18*1+(15))),'J1 A - (North) Bishopthorpe Roa'!$A$12:$A$130,"&gt;="&amp;Diagram!$O18,'J1 A - (North) Bishopthorpe Roa'!$A$12:$A$130,"&lt;"&amp;Diagram!$P18)))</f>
        <v>0</v>
      </c>
      <c r="EK18" s="42">
        <f ca="1">IF(OR($I$10="",$O18="",$P18="",$J$42&lt;&gt;"Yes"),0,IF($K$10=0,SUMIFS(INDIRECT(ADDRESS(12,3+18*2+(7),,,"J1 A - (North) Bishopthorpe Roa")&amp;":"&amp;ADDRESS(130,3+18*2+(7))),'J1 A - (North) Bishopthorpe Roa'!$A$12:$A$130,"&gt;="&amp;Diagram!$O18,'J1 A - (North) Bishopthorpe Roa'!$A$12:$A$130,"&lt;"&amp;Diagram!$P18),SUMIFS(INDIRECT(ADDRESS(12,3+18*2+(15),,,"J1 A - (North) Bishopthorpe Roa")&amp;":"&amp;ADDRESS(130,3+18*2+(15))),'J1 A - (North) Bishopthorpe Roa'!$A$12:$A$130,"&gt;="&amp;Diagram!$O18,'J1 A - (North) Bishopthorpe Roa'!$A$12:$A$130,"&lt;"&amp;Diagram!$P18)))</f>
        <v>0</v>
      </c>
      <c r="EL18" s="42">
        <f ca="1">IF(OR($I$10="",$O18="",$P18="",$J$42&lt;&gt;"Yes"),0,IF($K$10=0,SUMIFS(INDIRECT(ADDRESS(12,3+18*2+(7),,,"J1 B - Butcher Terrace")&amp;":"&amp;ADDRESS(130,3+18*2+(7))),'J1 B - Butcher Terrace'!$A$12:$A$130,"&gt;="&amp;Diagram!$O18,'J1 B - Butcher Terrace'!$A$12:$A$130,"&lt;"&amp;Diagram!$P18),SUMIFS(INDIRECT(ADDRESS(12,3+18*2+(15),,,"J1 B - Butcher Terrace")&amp;":"&amp;ADDRESS(130,3+18*2+(15))),'J1 B - Butcher Terrace'!$A$12:$A$130,"&gt;="&amp;Diagram!$O18,'J1 B - Butcher Terrace'!$A$12:$A$130,"&lt;"&amp;Diagram!$P18)))</f>
        <v>0</v>
      </c>
      <c r="EM18" s="42">
        <f ca="1">IF(OR($I$10="",$O18="",$P18="",$J$42&lt;&gt;"Yes"),0,IF($K$10=0,SUMIFS(INDIRECT(ADDRESS(12,3+18*3+(7),,,"J1 B - Butcher Terrace")&amp;":"&amp;ADDRESS(130,3+18*3+(7))),'J1 B - Butcher Terrace'!$A$12:$A$130,"&gt;="&amp;Diagram!$O18,'J1 B - Butcher Terrace'!$A$12:$A$130,"&lt;"&amp;Diagram!$P18),SUMIFS(INDIRECT(ADDRESS(12,3+18*3+(15),,,"J1 B - Butcher Terrace")&amp;":"&amp;ADDRESS(130,3+18*3+(15))),'J1 B - Butcher Terrace'!$A$12:$A$130,"&gt;="&amp;Diagram!$O18,'J1 B - Butcher Terrace'!$A$12:$A$130,"&lt;"&amp;Diagram!$P18)))</f>
        <v>0</v>
      </c>
      <c r="EN18" s="42">
        <f ca="1">IF(OR($I$10="",$O18="",$P18="",$J$42&lt;&gt;"Yes"),0,IF($K$10=0,SUMIFS(INDIRECT(ADDRESS(12,3+18*0+(7),,,"J1 B - Butcher Terrace")&amp;":"&amp;ADDRESS(130,3+18*0+(7))),'J1 B - Butcher Terrace'!$A$12:$A$130,"&gt;="&amp;Diagram!$O18,'J1 B - Butcher Terrace'!$A$12:$A$130,"&lt;"&amp;Diagram!$P18),SUMIFS(INDIRECT(ADDRESS(12,3+18*0+(15),,,"J1 B - Butcher Terrace")&amp;":"&amp;ADDRESS(130,3+18*0+(15))),'J1 B - Butcher Terrace'!$A$12:$A$130,"&gt;="&amp;Diagram!$O18,'J1 B - Butcher Terrace'!$A$12:$A$130,"&lt;"&amp;Diagram!$P18)))</f>
        <v>0</v>
      </c>
      <c r="EO18" s="42">
        <f ca="1">IF(OR($I$10="",$O18="",$P18="",$J$42&lt;&gt;"Yes"),0,IF($K$10=0,SUMIFS(INDIRECT(ADDRESS(12,3+18*1+(7),,,"J1 B - Butcher Terrace")&amp;":"&amp;ADDRESS(130,3+18*1+(7))),'J1 B - Butcher Terrace'!$A$12:$A$130,"&gt;="&amp;Diagram!$O18,'J1 B - Butcher Terrace'!$A$12:$A$130,"&lt;"&amp;Diagram!$P18),SUMIFS(INDIRECT(ADDRESS(12,3+18*1+(15),,,"J1 B - Butcher Terrace")&amp;":"&amp;ADDRESS(130,3+18*1+(15))),'J1 B - Butcher Terrace'!$A$12:$A$130,"&gt;="&amp;Diagram!$O18,'J1 B - Butcher Terrace'!$A$12:$A$130,"&lt;"&amp;Diagram!$P18)))</f>
        <v>0</v>
      </c>
      <c r="EP18" s="42">
        <f ca="1">IF(OR($I$10="",$O18="",$P18="",$J$42&lt;&gt;"Yes"),0,IF($K$10=0,SUMIFS(INDIRECT(ADDRESS(12,3+18*1+(7),,,"J1 C - (South) Bishopthorpe Roa")&amp;":"&amp;ADDRESS(130,3+18*1+(7))),'J1 C - (South) Bishopthorpe Roa'!$A$12:$A$130,"&gt;="&amp;Diagram!$O18,'J1 C - (South) Bishopthorpe Roa'!$A$12:$A$130,"&lt;"&amp;Diagram!$P18),SUMIFS(INDIRECT(ADDRESS(12,3+18*1+(15),,,"J1 C - (South) Bishopthorpe Roa")&amp;":"&amp;ADDRESS(130,3+18*1+(15))),'J1 C - (South) Bishopthorpe Roa'!$A$12:$A$130,"&gt;="&amp;Diagram!$O18,'J1 C - (South) Bishopthorpe Roa'!$A$12:$A$130,"&lt;"&amp;Diagram!$P18)))</f>
        <v>0</v>
      </c>
      <c r="EQ18" s="42">
        <f ca="1">IF(OR($I$10="",$O18="",$P18="",$J$42&lt;&gt;"Yes"),0,IF($K$10=0,SUMIFS(INDIRECT(ADDRESS(12,3+18*2+(7),,,"J1 C - (South) Bishopthorpe Roa")&amp;":"&amp;ADDRESS(130,3+18*2+(7))),'J1 C - (South) Bishopthorpe Roa'!$A$12:$A$130,"&gt;="&amp;Diagram!$O18,'J1 C - (South) Bishopthorpe Roa'!$A$12:$A$130,"&lt;"&amp;Diagram!$P18),SUMIFS(INDIRECT(ADDRESS(12,3+18*2+(15),,,"J1 C - (South) Bishopthorpe Roa")&amp;":"&amp;ADDRESS(130,3+18*2+(15))),'J1 C - (South) Bishopthorpe Roa'!$A$12:$A$130,"&gt;="&amp;Diagram!$O18,'J1 C - (South) Bishopthorpe Roa'!$A$12:$A$130,"&lt;"&amp;Diagram!$P18)))</f>
        <v>0</v>
      </c>
      <c r="ER18" s="42">
        <f ca="1">IF(OR($I$10="",$O18="",$P18="",$J$42&lt;&gt;"Yes"),0,IF($K$10=0,SUMIFS(INDIRECT(ADDRESS(12,3+18*3+(7),,,"J1 C - (South) Bishopthorpe Roa")&amp;":"&amp;ADDRESS(130,3+18*3+(7))),'J1 C - (South) Bishopthorpe Roa'!$A$12:$A$130,"&gt;="&amp;Diagram!$O18,'J1 C - (South) Bishopthorpe Roa'!$A$12:$A$130,"&lt;"&amp;Diagram!$P18),SUMIFS(INDIRECT(ADDRESS(12,3+18*3+(15),,,"J1 C - (South) Bishopthorpe Roa")&amp;":"&amp;ADDRESS(130,3+18*3+(15))),'J1 C - (South) Bishopthorpe Roa'!$A$12:$A$130,"&gt;="&amp;Diagram!$O18,'J1 C - (South) Bishopthorpe Roa'!$A$12:$A$130,"&lt;"&amp;Diagram!$P18)))</f>
        <v>0</v>
      </c>
      <c r="ES18" s="42">
        <f ca="1">IF(OR($I$10="",$O18="",$P18="",$J$42&lt;&gt;"Yes"),0,IF($K$10=0,SUMIFS(INDIRECT(ADDRESS(12,3+18*0+(7),,,"J1 C - (South) Bishopthorpe Roa")&amp;":"&amp;ADDRESS(130,3+18*0+(7))),'J1 C - (South) Bishopthorpe Roa'!$A$12:$A$130,"&gt;="&amp;Diagram!$O18,'J1 C - (South) Bishopthorpe Roa'!$A$12:$A$130,"&lt;"&amp;Diagram!$P18),SUMIFS(INDIRECT(ADDRESS(12,3+18*0+(15),,,"J1 C - (South) Bishopthorpe Roa")&amp;":"&amp;ADDRESS(130,3+18*0+(15))),'J1 C - (South) Bishopthorpe Roa'!$A$12:$A$130,"&gt;="&amp;Diagram!$O18,'J1 C - (South) Bishopthorpe Roa'!$A$12:$A$130,"&lt;"&amp;Diagram!$P18)))</f>
        <v>0</v>
      </c>
      <c r="ET18" s="42">
        <f ca="1">IF(OR($I$10="",$O18="",$P18="",$J$42&lt;&gt;"Yes"),0,IF($K$10=0,SUMIFS(INDIRECT(ADDRESS(12,3+18*0+(7),,,"J1 D - South Bank Avenue")&amp;":"&amp;ADDRESS(130,3+18*0+(7))),'J1 D - South Bank Avenue'!$A$12:$A$130,"&gt;="&amp;Diagram!$O18,'J1 D - South Bank Avenue'!$A$12:$A$130,"&lt;"&amp;Diagram!$P18),SUMIFS(INDIRECT(ADDRESS(12,3+18*0+(15),,,"J1 D - South Bank Avenue")&amp;":"&amp;ADDRESS(130,3+18*0+(15))),'J1 D - South Bank Avenue'!$A$12:$A$130,"&gt;="&amp;Diagram!$O18,'J1 D - South Bank Avenue'!$A$12:$A$130,"&lt;"&amp;Diagram!$P18)))</f>
        <v>0</v>
      </c>
      <c r="EU18" s="42">
        <f ca="1">IF(OR($I$10="",$O18="",$P18="",$J$42&lt;&gt;"Yes"),0,IF($K$10=0,SUMIFS(INDIRECT(ADDRESS(12,3+18*1+(7),,,"J1 D - South Bank Avenue")&amp;":"&amp;ADDRESS(130,3+18*1+(7))),'J1 D - South Bank Avenue'!$A$12:$A$130,"&gt;="&amp;Diagram!$O18,'J1 D - South Bank Avenue'!$A$12:$A$130,"&lt;"&amp;Diagram!$P18),SUMIFS(INDIRECT(ADDRESS(12,3+18*1+(15),,,"J1 D - South Bank Avenue")&amp;":"&amp;ADDRESS(130,3+18*1+(15))),'J1 D - South Bank Avenue'!$A$12:$A$130,"&gt;="&amp;Diagram!$O18,'J1 D - South Bank Avenue'!$A$12:$A$130,"&lt;"&amp;Diagram!$P18)))</f>
        <v>0</v>
      </c>
      <c r="EV18" s="42">
        <f ca="1">IF(OR($I$10="",$O18="",$P18="",$J$42&lt;&gt;"Yes"),0,IF($K$10=0,SUMIFS(INDIRECT(ADDRESS(12,3+18*2+(7),,,"J1 D - South Bank Avenue")&amp;":"&amp;ADDRESS(130,3+18*2+(7))),'J1 D - South Bank Avenue'!$A$12:$A$130,"&gt;="&amp;Diagram!$O18,'J1 D - South Bank Avenue'!$A$12:$A$130,"&lt;"&amp;Diagram!$P18),SUMIFS(INDIRECT(ADDRESS(12,3+18*2+(15),,,"J1 D - South Bank Avenue")&amp;":"&amp;ADDRESS(130,3+18*2+(15))),'J1 D - South Bank Avenue'!$A$12:$A$130,"&gt;="&amp;Diagram!$O18,'J1 D - South Bank Avenue'!$A$12:$A$130,"&lt;"&amp;Diagram!$P18)))</f>
        <v>0</v>
      </c>
      <c r="EW18" s="42">
        <f ca="1">IF(OR($I$10="",$O18="",$P18="",$J$42&lt;&gt;"Yes"),0,IF($K$10=0,SUMIFS(INDIRECT(ADDRESS(12,3+18*3+(7),,,"J1 D - South Bank Avenue")&amp;":"&amp;ADDRESS(130,3+18*3+(7))),'J1 D - South Bank Avenue'!$A$12:$A$130,"&gt;="&amp;Diagram!$O18,'J1 D - South Bank Avenue'!$A$12:$A$130,"&lt;"&amp;Diagram!$P18),SUMIFS(INDIRECT(ADDRESS(12,3+18*3+(15),,,"J1 D - South Bank Avenue")&amp;":"&amp;ADDRESS(130,3+18*3+(15))),'J1 D - South Bank Avenue'!$A$12:$A$130,"&gt;="&amp;Diagram!$O18,'J1 D - South Bank Avenue'!$A$12:$A$130,"&lt;"&amp;Diagram!$P18)))</f>
        <v>0</v>
      </c>
    </row>
    <row r="19" spans="1:153">
      <c r="A19" s="1">
        <v>44395.1875</v>
      </c>
      <c r="B19" s="1">
        <v>44395.197916666701</v>
      </c>
      <c r="O19" s="3">
        <v>44395.1875</v>
      </c>
      <c r="P19" s="3">
        <v>44395.229166666701</v>
      </c>
      <c r="Q19" s="42">
        <f t="shared" ca="1" si="0"/>
        <v>31</v>
      </c>
      <c r="R19" s="42">
        <f t="shared" ca="1" si="1"/>
        <v>21</v>
      </c>
      <c r="S19" s="42">
        <f ca="1">IF(OR($I$10="",$O19="",$P19="",$J$35&lt;&gt;"Yes"),0,IF($K$10=0,SUMIFS(INDIRECT(ADDRESS(12,3+18*3+(0),,,"J1 A - (North) Bishopthorpe Roa")&amp;":"&amp;ADDRESS(130,3+18*3+(0))),'J1 A - (North) Bishopthorpe Roa'!$A$12:$A$130,"&gt;="&amp;Diagram!$O19,'J1 A - (North) Bishopthorpe Roa'!$A$12:$A$130,"&lt;"&amp;Diagram!$P19),SUMIFS(INDIRECT(ADDRESS(12,3+18*3+(8),,,"J1 A - (North) Bishopthorpe Roa")&amp;":"&amp;ADDRESS(130,3+18*3+(8))),'J1 A - (North) Bishopthorpe Roa'!$A$12:$A$130,"&gt;="&amp;Diagram!$O19,'J1 A - (North) Bishopthorpe Roa'!$A$12:$A$130,"&lt;"&amp;Diagram!$P19)))</f>
        <v>0</v>
      </c>
      <c r="T19" s="42">
        <f ca="1">IF(OR($I$10="",$O19="",$P19="",$J$35&lt;&gt;"Yes"),0,IF($K$10=0,SUMIFS(INDIRECT(ADDRESS(12,3+18*0+(0),,,"J1 A - (North) Bishopthorpe Roa")&amp;":"&amp;ADDRESS(130,3+18*0+(0))),'J1 A - (North) Bishopthorpe Roa'!$A$12:$A$130,"&gt;="&amp;Diagram!$O19,'J1 A - (North) Bishopthorpe Roa'!$A$12:$A$130,"&lt;"&amp;Diagram!$P19),SUMIFS(INDIRECT(ADDRESS(12,3+18*0+(8),,,"J1 A - (North) Bishopthorpe Roa")&amp;":"&amp;ADDRESS(130,3+18*0+(8))),'J1 A - (North) Bishopthorpe Roa'!$A$12:$A$130,"&gt;="&amp;Diagram!$O19,'J1 A - (North) Bishopthorpe Roa'!$A$12:$A$130,"&lt;"&amp;Diagram!$P19)))</f>
        <v>0</v>
      </c>
      <c r="U19" s="42">
        <f ca="1">IF(OR($I$10="",$O19="",$P19="",$J$35&lt;&gt;"Yes"),0,IF($K$10=0,SUMIFS(INDIRECT(ADDRESS(12,3+18*1+(0),,,"J1 A - (North) Bishopthorpe Roa")&amp;":"&amp;ADDRESS(130,3+18*1+(0))),'J1 A - (North) Bishopthorpe Roa'!$A$12:$A$130,"&gt;="&amp;Diagram!$O19,'J1 A - (North) Bishopthorpe Roa'!$A$12:$A$130,"&lt;"&amp;Diagram!$P19),SUMIFS(INDIRECT(ADDRESS(12,3+18*1+(8),,,"J1 A - (North) Bishopthorpe Roa")&amp;":"&amp;ADDRESS(130,3+18*1+(8))),'J1 A - (North) Bishopthorpe Roa'!$A$12:$A$130,"&gt;="&amp;Diagram!$O19,'J1 A - (North) Bishopthorpe Roa'!$A$12:$A$130,"&lt;"&amp;Diagram!$P19)))</f>
        <v>10</v>
      </c>
      <c r="V19" s="42">
        <f ca="1">IF(OR($I$10="",$O19="",$P19="",$J$35&lt;&gt;"Yes"),0,IF($K$10=0,SUMIFS(INDIRECT(ADDRESS(12,3+18*2+(0),,,"J1 A - (North) Bishopthorpe Roa")&amp;":"&amp;ADDRESS(130,3+18*2+(0))),'J1 A - (North) Bishopthorpe Roa'!$A$12:$A$130,"&gt;="&amp;Diagram!$O19,'J1 A - (North) Bishopthorpe Roa'!$A$12:$A$130,"&lt;"&amp;Diagram!$P19),SUMIFS(INDIRECT(ADDRESS(12,3+18*2+(8),,,"J1 A - (North) Bishopthorpe Roa")&amp;":"&amp;ADDRESS(130,3+18*2+(8))),'J1 A - (North) Bishopthorpe Roa'!$A$12:$A$130,"&gt;="&amp;Diagram!$O19,'J1 A - (North) Bishopthorpe Roa'!$A$12:$A$130,"&lt;"&amp;Diagram!$P19)))</f>
        <v>0</v>
      </c>
      <c r="W19" s="42">
        <f ca="1">IF(OR($I$10="",$O19="",$P19="",$J$35&lt;&gt;"Yes"),0,IF($K$10=0,SUMIFS(INDIRECT(ADDRESS(12,3+18*2+(0),,,"J1 B - Butcher Terrace")&amp;":"&amp;ADDRESS(130,3+18*2+(0))),'J1 B - Butcher Terrace'!$A$12:$A$130,"&gt;="&amp;Diagram!$O19,'J1 B - Butcher Terrace'!$A$12:$A$130,"&lt;"&amp;Diagram!$P19),SUMIFS(INDIRECT(ADDRESS(12,3+18*2+(8),,,"J1 B - Butcher Terrace")&amp;":"&amp;ADDRESS(130,3+18*2+(8))),'J1 B - Butcher Terrace'!$A$12:$A$130,"&gt;="&amp;Diagram!$O19,'J1 B - Butcher Terrace'!$A$12:$A$130,"&lt;"&amp;Diagram!$P19)))</f>
        <v>1</v>
      </c>
      <c r="X19" s="42">
        <f ca="1">IF(OR($I$10="",$O19="",$P19="",$J$35&lt;&gt;"Yes"),0,IF($K$10=0,SUMIFS(INDIRECT(ADDRESS(12,3+18*3+(0),,,"J1 B - Butcher Terrace")&amp;":"&amp;ADDRESS(130,3+18*3+(0))),'J1 B - Butcher Terrace'!$A$12:$A$130,"&gt;="&amp;Diagram!$O19,'J1 B - Butcher Terrace'!$A$12:$A$130,"&lt;"&amp;Diagram!$P19),SUMIFS(INDIRECT(ADDRESS(12,3+18*3+(8),,,"J1 B - Butcher Terrace")&amp;":"&amp;ADDRESS(130,3+18*3+(8))),'J1 B - Butcher Terrace'!$A$12:$A$130,"&gt;="&amp;Diagram!$O19,'J1 B - Butcher Terrace'!$A$12:$A$130,"&lt;"&amp;Diagram!$P19)))</f>
        <v>0</v>
      </c>
      <c r="Y19" s="42">
        <f ca="1">IF(OR($I$10="",$O19="",$P19="",$J$35&lt;&gt;"Yes"),0,IF($K$10=0,SUMIFS(INDIRECT(ADDRESS(12,3+18*0+(0),,,"J1 B - Butcher Terrace")&amp;":"&amp;ADDRESS(130,3+18*0+(0))),'J1 B - Butcher Terrace'!$A$12:$A$130,"&gt;="&amp;Diagram!$O19,'J1 B - Butcher Terrace'!$A$12:$A$130,"&lt;"&amp;Diagram!$P19),SUMIFS(INDIRECT(ADDRESS(12,3+18*0+(8),,,"J1 B - Butcher Terrace")&amp;":"&amp;ADDRESS(130,3+18*0+(8))),'J1 B - Butcher Terrace'!$A$12:$A$130,"&gt;="&amp;Diagram!$O19,'J1 B - Butcher Terrace'!$A$12:$A$130,"&lt;"&amp;Diagram!$P19)))</f>
        <v>0</v>
      </c>
      <c r="Z19" s="42">
        <f ca="1">IF(OR($I$10="",$O19="",$P19="",$J$35&lt;&gt;"Yes"),0,IF($K$10=0,SUMIFS(INDIRECT(ADDRESS(12,3+18*1+(0),,,"J1 B - Butcher Terrace")&amp;":"&amp;ADDRESS(130,3+18*1+(0))),'J1 B - Butcher Terrace'!$A$12:$A$130,"&gt;="&amp;Diagram!$O19,'J1 B - Butcher Terrace'!$A$12:$A$130,"&lt;"&amp;Diagram!$P19),SUMIFS(INDIRECT(ADDRESS(12,3+18*1+(8),,,"J1 B - Butcher Terrace")&amp;":"&amp;ADDRESS(130,3+18*1+(8))),'J1 B - Butcher Terrace'!$A$12:$A$130,"&gt;="&amp;Diagram!$O19,'J1 B - Butcher Terrace'!$A$12:$A$130,"&lt;"&amp;Diagram!$P19)))</f>
        <v>0</v>
      </c>
      <c r="AA19" s="42">
        <f ca="1">IF(OR($I$10="",$O19="",$P19="",$J$35&lt;&gt;"Yes"),0,IF($K$10=0,SUMIFS(INDIRECT(ADDRESS(12,3+18*1+(0),,,"J1 C - (South) Bishopthorpe Roa")&amp;":"&amp;ADDRESS(130,3+18*1+(0))),'J1 C - (South) Bishopthorpe Roa'!$A$12:$A$130,"&gt;="&amp;Diagram!$O19,'J1 C - (South) Bishopthorpe Roa'!$A$12:$A$130,"&lt;"&amp;Diagram!$P19),SUMIFS(INDIRECT(ADDRESS(12,3+18*1+(8),,,"J1 C - (South) Bishopthorpe Roa")&amp;":"&amp;ADDRESS(130,3+18*1+(8))),'J1 C - (South) Bishopthorpe Roa'!$A$12:$A$130,"&gt;="&amp;Diagram!$O19,'J1 C - (South) Bishopthorpe Roa'!$A$12:$A$130,"&lt;"&amp;Diagram!$P19)))</f>
        <v>9</v>
      </c>
      <c r="AB19" s="42">
        <f ca="1">IF(OR($I$10="",$O19="",$P19="",$J$35&lt;&gt;"Yes"),0,IF($K$10=0,SUMIFS(INDIRECT(ADDRESS(12,3+18*2+(0),,,"J1 C - (South) Bishopthorpe Roa")&amp;":"&amp;ADDRESS(130,3+18*2+(0))),'J1 C - (South) Bishopthorpe Roa'!$A$12:$A$130,"&gt;="&amp;Diagram!$O19,'J1 C - (South) Bishopthorpe Roa'!$A$12:$A$130,"&lt;"&amp;Diagram!$P19),SUMIFS(INDIRECT(ADDRESS(12,3+18*2+(8),,,"J1 C - (South) Bishopthorpe Roa")&amp;":"&amp;ADDRESS(130,3+18*2+(8))),'J1 C - (South) Bishopthorpe Roa'!$A$12:$A$130,"&gt;="&amp;Diagram!$O19,'J1 C - (South) Bishopthorpe Roa'!$A$12:$A$130,"&lt;"&amp;Diagram!$P19)))</f>
        <v>0</v>
      </c>
      <c r="AC19" s="42">
        <f ca="1">IF(OR($I$10="",$O19="",$P19="",$J$35&lt;&gt;"Yes"),0,IF($K$10=0,SUMIFS(INDIRECT(ADDRESS(12,3+18*3+(0),,,"J1 C - (South) Bishopthorpe Roa")&amp;":"&amp;ADDRESS(130,3+18*3+(0))),'J1 C - (South) Bishopthorpe Roa'!$A$12:$A$130,"&gt;="&amp;Diagram!$O19,'J1 C - (South) Bishopthorpe Roa'!$A$12:$A$130,"&lt;"&amp;Diagram!$P19),SUMIFS(INDIRECT(ADDRESS(12,3+18*3+(8),,,"J1 C - (South) Bishopthorpe Roa")&amp;":"&amp;ADDRESS(130,3+18*3+(8))),'J1 C - (South) Bishopthorpe Roa'!$A$12:$A$130,"&gt;="&amp;Diagram!$O19,'J1 C - (South) Bishopthorpe Roa'!$A$12:$A$130,"&lt;"&amp;Diagram!$P19)))</f>
        <v>0</v>
      </c>
      <c r="AD19" s="42">
        <f ca="1">IF(OR($I$10="",$O19="",$P19="",$J$35&lt;&gt;"Yes"),0,IF($K$10=0,SUMIFS(INDIRECT(ADDRESS(12,3+18*0+(0),,,"J1 C - (South) Bishopthorpe Roa")&amp;":"&amp;ADDRESS(130,3+18*0+(0))),'J1 C - (South) Bishopthorpe Roa'!$A$12:$A$130,"&gt;="&amp;Diagram!$O19,'J1 C - (South) Bishopthorpe Roa'!$A$12:$A$130,"&lt;"&amp;Diagram!$P19),SUMIFS(INDIRECT(ADDRESS(12,3+18*0+(8),,,"J1 C - (South) Bishopthorpe Roa")&amp;":"&amp;ADDRESS(130,3+18*0+(8))),'J1 C - (South) Bishopthorpe Roa'!$A$12:$A$130,"&gt;="&amp;Diagram!$O19,'J1 C - (South) Bishopthorpe Roa'!$A$12:$A$130,"&lt;"&amp;Diagram!$P19)))</f>
        <v>0</v>
      </c>
      <c r="AE19" s="42">
        <f ca="1">IF(OR($I$10="",$O19="",$P19="",$J$35&lt;&gt;"Yes"),0,IF($K$10=0,SUMIFS(INDIRECT(ADDRESS(12,3+18*0+(0),,,"J1 D - South Bank Avenue")&amp;":"&amp;ADDRESS(130,3+18*0+(0))),'J1 D - South Bank Avenue'!$A$12:$A$130,"&gt;="&amp;Diagram!$O19,'J1 D - South Bank Avenue'!$A$12:$A$130,"&lt;"&amp;Diagram!$P19),SUMIFS(INDIRECT(ADDRESS(12,3+18*0+(8),,,"J1 D - South Bank Avenue")&amp;":"&amp;ADDRESS(130,3+18*0+(8))),'J1 D - South Bank Avenue'!$A$12:$A$130,"&gt;="&amp;Diagram!$O19,'J1 D - South Bank Avenue'!$A$12:$A$130,"&lt;"&amp;Diagram!$P19)))</f>
        <v>1</v>
      </c>
      <c r="AF19" s="42">
        <f ca="1">IF(OR($I$10="",$O19="",$P19="",$J$35&lt;&gt;"Yes"),0,IF($K$10=0,SUMIFS(INDIRECT(ADDRESS(12,3+18*1+(0),,,"J1 D - South Bank Avenue")&amp;":"&amp;ADDRESS(130,3+18*1+(0))),'J1 D - South Bank Avenue'!$A$12:$A$130,"&gt;="&amp;Diagram!$O19,'J1 D - South Bank Avenue'!$A$12:$A$130,"&lt;"&amp;Diagram!$P19),SUMIFS(INDIRECT(ADDRESS(12,3+18*1+(8),,,"J1 D - South Bank Avenue")&amp;":"&amp;ADDRESS(130,3+18*1+(8))),'J1 D - South Bank Avenue'!$A$12:$A$130,"&gt;="&amp;Diagram!$O19,'J1 D - South Bank Avenue'!$A$12:$A$130,"&lt;"&amp;Diagram!$P19)))</f>
        <v>0</v>
      </c>
      <c r="AG19" s="42">
        <f ca="1">IF(OR($I$10="",$O19="",$P19="",$J$35&lt;&gt;"Yes"),0,IF($K$10=0,SUMIFS(INDIRECT(ADDRESS(12,3+18*2+(0),,,"J1 D - South Bank Avenue")&amp;":"&amp;ADDRESS(130,3+18*2+(0))),'J1 D - South Bank Avenue'!$A$12:$A$130,"&gt;="&amp;Diagram!$O19,'J1 D - South Bank Avenue'!$A$12:$A$130,"&lt;"&amp;Diagram!$P19),SUMIFS(INDIRECT(ADDRESS(12,3+18*2+(8),,,"J1 D - South Bank Avenue")&amp;":"&amp;ADDRESS(130,3+18*2+(8))),'J1 D - South Bank Avenue'!$A$12:$A$130,"&gt;="&amp;Diagram!$O19,'J1 D - South Bank Avenue'!$A$12:$A$130,"&lt;"&amp;Diagram!$P19)))</f>
        <v>0</v>
      </c>
      <c r="AH19" s="42">
        <f ca="1">IF(OR($I$10="",$O19="",$P19="",$J$35&lt;&gt;"Yes"),0,IF($K$10=0,SUMIFS(INDIRECT(ADDRESS(12,3+18*3+(0),,,"J1 D - South Bank Avenue")&amp;":"&amp;ADDRESS(130,3+18*3+(0))),'J1 D - South Bank Avenue'!$A$12:$A$130,"&gt;="&amp;Diagram!$O19,'J1 D - South Bank Avenue'!$A$12:$A$130,"&lt;"&amp;Diagram!$P19),SUMIFS(INDIRECT(ADDRESS(12,3+18*3+(8),,,"J1 D - South Bank Avenue")&amp;":"&amp;ADDRESS(130,3+18*3+(8))),'J1 D - South Bank Avenue'!$A$12:$A$130,"&gt;="&amp;Diagram!$O19,'J1 D - South Bank Avenue'!$A$12:$A$130,"&lt;"&amp;Diagram!$P19)))</f>
        <v>0</v>
      </c>
      <c r="AI19" s="42">
        <f t="shared" ca="1" si="2"/>
        <v>3</v>
      </c>
      <c r="AJ19" s="42">
        <f ca="1">IF(OR($I$10="",$O19="",$P19="",$J$36&lt;&gt;"Yes"),0,IF($K$10=0,SUMIFS(INDIRECT(ADDRESS(12,3+18*3+(1),,,"J1 A - (North) Bishopthorpe Roa")&amp;":"&amp;ADDRESS(130,3+18*3+(1))),'J1 A - (North) Bishopthorpe Roa'!$A$12:$A$130,"&gt;="&amp;Diagram!$O19,'J1 A - (North) Bishopthorpe Roa'!$A$12:$A$130,"&lt;"&amp;Diagram!$P19),SUMIFS(INDIRECT(ADDRESS(12,3+18*3+(9),,,"J1 A - (North) Bishopthorpe Roa")&amp;":"&amp;ADDRESS(130,3+18*3+(9))),'J1 A - (North) Bishopthorpe Roa'!$A$12:$A$130,"&gt;="&amp;Diagram!$O19,'J1 A - (North) Bishopthorpe Roa'!$A$12:$A$130,"&lt;"&amp;Diagram!$P19)))</f>
        <v>0</v>
      </c>
      <c r="AK19" s="42">
        <f ca="1">IF(OR($I$10="",$O19="",$P19="",$J$36&lt;&gt;"Yes"),0,IF($K$10=0,SUMIFS(INDIRECT(ADDRESS(12,3+18*0+(1),,,"J1 A - (North) Bishopthorpe Roa")&amp;":"&amp;ADDRESS(130,3+18*0+(1))),'J1 A - (North) Bishopthorpe Roa'!$A$12:$A$130,"&gt;="&amp;Diagram!$O19,'J1 A - (North) Bishopthorpe Roa'!$A$12:$A$130,"&lt;"&amp;Diagram!$P19),SUMIFS(INDIRECT(ADDRESS(12,3+18*0+(9),,,"J1 A - (North) Bishopthorpe Roa")&amp;":"&amp;ADDRESS(130,3+18*0+(9))),'J1 A - (North) Bishopthorpe Roa'!$A$12:$A$130,"&gt;="&amp;Diagram!$O19,'J1 A - (North) Bishopthorpe Roa'!$A$12:$A$130,"&lt;"&amp;Diagram!$P19)))</f>
        <v>0</v>
      </c>
      <c r="AL19" s="42">
        <f ca="1">IF(OR($I$10="",$O19="",$P19="",$J$36&lt;&gt;"Yes"),0,IF($K$10=0,SUMIFS(INDIRECT(ADDRESS(12,3+18*1+(1),,,"J1 A - (North) Bishopthorpe Roa")&amp;":"&amp;ADDRESS(130,3+18*1+(1))),'J1 A - (North) Bishopthorpe Roa'!$A$12:$A$130,"&gt;="&amp;Diagram!$O19,'J1 A - (North) Bishopthorpe Roa'!$A$12:$A$130,"&lt;"&amp;Diagram!$P19),SUMIFS(INDIRECT(ADDRESS(12,3+18*1+(9),,,"J1 A - (North) Bishopthorpe Roa")&amp;":"&amp;ADDRESS(130,3+18*1+(9))),'J1 A - (North) Bishopthorpe Roa'!$A$12:$A$130,"&gt;="&amp;Diagram!$O19,'J1 A - (North) Bishopthorpe Roa'!$A$12:$A$130,"&lt;"&amp;Diagram!$P19)))</f>
        <v>1</v>
      </c>
      <c r="AM19" s="42">
        <f ca="1">IF(OR($I$10="",$O19="",$P19="",$J$36&lt;&gt;"Yes"),0,IF($K$10=0,SUMIFS(INDIRECT(ADDRESS(12,3+18*2+(1),,,"J1 A - (North) Bishopthorpe Roa")&amp;":"&amp;ADDRESS(130,3+18*2+(1))),'J1 A - (North) Bishopthorpe Roa'!$A$12:$A$130,"&gt;="&amp;Diagram!$O19,'J1 A - (North) Bishopthorpe Roa'!$A$12:$A$130,"&lt;"&amp;Diagram!$P19),SUMIFS(INDIRECT(ADDRESS(12,3+18*2+(9),,,"J1 A - (North) Bishopthorpe Roa")&amp;":"&amp;ADDRESS(130,3+18*2+(9))),'J1 A - (North) Bishopthorpe Roa'!$A$12:$A$130,"&gt;="&amp;Diagram!$O19,'J1 A - (North) Bishopthorpe Roa'!$A$12:$A$130,"&lt;"&amp;Diagram!$P19)))</f>
        <v>0</v>
      </c>
      <c r="AN19" s="42">
        <f ca="1">IF(OR($I$10="",$O19="",$P19="",$J$36&lt;&gt;"Yes"),0,IF($K$10=0,SUMIFS(INDIRECT(ADDRESS(12,3+18*2+(1),,,"J1 B - Butcher Terrace")&amp;":"&amp;ADDRESS(130,3+18*2+(1))),'J1 B - Butcher Terrace'!$A$12:$A$130,"&gt;="&amp;Diagram!$O19,'J1 B - Butcher Terrace'!$A$12:$A$130,"&lt;"&amp;Diagram!$P19),SUMIFS(INDIRECT(ADDRESS(12,3+18*2+(9),,,"J1 B - Butcher Terrace")&amp;":"&amp;ADDRESS(130,3+18*2+(9))),'J1 B - Butcher Terrace'!$A$12:$A$130,"&gt;="&amp;Diagram!$O19,'J1 B - Butcher Terrace'!$A$12:$A$130,"&lt;"&amp;Diagram!$P19)))</f>
        <v>0</v>
      </c>
      <c r="AO19" s="42">
        <f ca="1">IF(OR($I$10="",$O19="",$P19="",$J$36&lt;&gt;"Yes"),0,IF($K$10=0,SUMIFS(INDIRECT(ADDRESS(12,3+18*3+(1),,,"J1 B - Butcher Terrace")&amp;":"&amp;ADDRESS(130,3+18*3+(1))),'J1 B - Butcher Terrace'!$A$12:$A$130,"&gt;="&amp;Diagram!$O19,'J1 B - Butcher Terrace'!$A$12:$A$130,"&lt;"&amp;Diagram!$P19),SUMIFS(INDIRECT(ADDRESS(12,3+18*3+(9),,,"J1 B - Butcher Terrace")&amp;":"&amp;ADDRESS(130,3+18*3+(9))),'J1 B - Butcher Terrace'!$A$12:$A$130,"&gt;="&amp;Diagram!$O19,'J1 B - Butcher Terrace'!$A$12:$A$130,"&lt;"&amp;Diagram!$P19)))</f>
        <v>0</v>
      </c>
      <c r="AP19" s="42">
        <f ca="1">IF(OR($I$10="",$O19="",$P19="",$J$36&lt;&gt;"Yes"),0,IF($K$10=0,SUMIFS(INDIRECT(ADDRESS(12,3+18*0+(1),,,"J1 B - Butcher Terrace")&amp;":"&amp;ADDRESS(130,3+18*0+(1))),'J1 B - Butcher Terrace'!$A$12:$A$130,"&gt;="&amp;Diagram!$O19,'J1 B - Butcher Terrace'!$A$12:$A$130,"&lt;"&amp;Diagram!$P19),SUMIFS(INDIRECT(ADDRESS(12,3+18*0+(9),,,"J1 B - Butcher Terrace")&amp;":"&amp;ADDRESS(130,3+18*0+(9))),'J1 B - Butcher Terrace'!$A$12:$A$130,"&gt;="&amp;Diagram!$O19,'J1 B - Butcher Terrace'!$A$12:$A$130,"&lt;"&amp;Diagram!$P19)))</f>
        <v>0</v>
      </c>
      <c r="AQ19" s="42">
        <f ca="1">IF(OR($I$10="",$O19="",$P19="",$J$36&lt;&gt;"Yes"),0,IF($K$10=0,SUMIFS(INDIRECT(ADDRESS(12,3+18*1+(1),,,"J1 B - Butcher Terrace")&amp;":"&amp;ADDRESS(130,3+18*1+(1))),'J1 B - Butcher Terrace'!$A$12:$A$130,"&gt;="&amp;Diagram!$O19,'J1 B - Butcher Terrace'!$A$12:$A$130,"&lt;"&amp;Diagram!$P19),SUMIFS(INDIRECT(ADDRESS(12,3+18*1+(9),,,"J1 B - Butcher Terrace")&amp;":"&amp;ADDRESS(130,3+18*1+(9))),'J1 B - Butcher Terrace'!$A$12:$A$130,"&gt;="&amp;Diagram!$O19,'J1 B - Butcher Terrace'!$A$12:$A$130,"&lt;"&amp;Diagram!$P19)))</f>
        <v>0</v>
      </c>
      <c r="AR19" s="42">
        <f ca="1">IF(OR($I$10="",$O19="",$P19="",$J$36&lt;&gt;"Yes"),0,IF($K$10=0,SUMIFS(INDIRECT(ADDRESS(12,3+18*1+(1),,,"J1 C - (South) Bishopthorpe Roa")&amp;":"&amp;ADDRESS(130,3+18*1+(1))),'J1 C - (South) Bishopthorpe Roa'!$A$12:$A$130,"&gt;="&amp;Diagram!$O19,'J1 C - (South) Bishopthorpe Roa'!$A$12:$A$130,"&lt;"&amp;Diagram!$P19),SUMIFS(INDIRECT(ADDRESS(12,3+18*1+(9),,,"J1 C - (South) Bishopthorpe Roa")&amp;":"&amp;ADDRESS(130,3+18*1+(9))),'J1 C - (South) Bishopthorpe Roa'!$A$12:$A$130,"&gt;="&amp;Diagram!$O19,'J1 C - (South) Bishopthorpe Roa'!$A$12:$A$130,"&lt;"&amp;Diagram!$P19)))</f>
        <v>1</v>
      </c>
      <c r="AS19" s="42">
        <f ca="1">IF(OR($I$10="",$O19="",$P19="",$J$36&lt;&gt;"Yes"),0,IF($K$10=0,SUMIFS(INDIRECT(ADDRESS(12,3+18*2+(1),,,"J1 C - (South) Bishopthorpe Roa")&amp;":"&amp;ADDRESS(130,3+18*2+(1))),'J1 C - (South) Bishopthorpe Roa'!$A$12:$A$130,"&gt;="&amp;Diagram!$O19,'J1 C - (South) Bishopthorpe Roa'!$A$12:$A$130,"&lt;"&amp;Diagram!$P19),SUMIFS(INDIRECT(ADDRESS(12,3+18*2+(9),,,"J1 C - (South) Bishopthorpe Roa")&amp;":"&amp;ADDRESS(130,3+18*2+(9))),'J1 C - (South) Bishopthorpe Roa'!$A$12:$A$130,"&gt;="&amp;Diagram!$O19,'J1 C - (South) Bishopthorpe Roa'!$A$12:$A$130,"&lt;"&amp;Diagram!$P19)))</f>
        <v>0</v>
      </c>
      <c r="AT19" s="42">
        <f ca="1">IF(OR($I$10="",$O19="",$P19="",$J$36&lt;&gt;"Yes"),0,IF($K$10=0,SUMIFS(INDIRECT(ADDRESS(12,3+18*3+(1),,,"J1 C - (South) Bishopthorpe Roa")&amp;":"&amp;ADDRESS(130,3+18*3+(1))),'J1 C - (South) Bishopthorpe Roa'!$A$12:$A$130,"&gt;="&amp;Diagram!$O19,'J1 C - (South) Bishopthorpe Roa'!$A$12:$A$130,"&lt;"&amp;Diagram!$P19),SUMIFS(INDIRECT(ADDRESS(12,3+18*3+(9),,,"J1 C - (South) Bishopthorpe Roa")&amp;":"&amp;ADDRESS(130,3+18*3+(9))),'J1 C - (South) Bishopthorpe Roa'!$A$12:$A$130,"&gt;="&amp;Diagram!$O19,'J1 C - (South) Bishopthorpe Roa'!$A$12:$A$130,"&lt;"&amp;Diagram!$P19)))</f>
        <v>0</v>
      </c>
      <c r="AU19" s="42">
        <f ca="1">IF(OR($I$10="",$O19="",$P19="",$J$36&lt;&gt;"Yes"),0,IF($K$10=0,SUMIFS(INDIRECT(ADDRESS(12,3+18*0+(1),,,"J1 C - (South) Bishopthorpe Roa")&amp;":"&amp;ADDRESS(130,3+18*0+(1))),'J1 C - (South) Bishopthorpe Roa'!$A$12:$A$130,"&gt;="&amp;Diagram!$O19,'J1 C - (South) Bishopthorpe Roa'!$A$12:$A$130,"&lt;"&amp;Diagram!$P19),SUMIFS(INDIRECT(ADDRESS(12,3+18*0+(9),,,"J1 C - (South) Bishopthorpe Roa")&amp;":"&amp;ADDRESS(130,3+18*0+(9))),'J1 C - (South) Bishopthorpe Roa'!$A$12:$A$130,"&gt;="&amp;Diagram!$O19,'J1 C - (South) Bishopthorpe Roa'!$A$12:$A$130,"&lt;"&amp;Diagram!$P19)))</f>
        <v>0</v>
      </c>
      <c r="AV19" s="42">
        <f ca="1">IF(OR($I$10="",$O19="",$P19="",$J$36&lt;&gt;"Yes"),0,IF($K$10=0,SUMIFS(INDIRECT(ADDRESS(12,3+18*0+(1),,,"J1 D - South Bank Avenue")&amp;":"&amp;ADDRESS(130,3+18*0+(1))),'J1 D - South Bank Avenue'!$A$12:$A$130,"&gt;="&amp;Diagram!$O19,'J1 D - South Bank Avenue'!$A$12:$A$130,"&lt;"&amp;Diagram!$P19),SUMIFS(INDIRECT(ADDRESS(12,3+18*0+(9),,,"J1 D - South Bank Avenue")&amp;":"&amp;ADDRESS(130,3+18*0+(9))),'J1 D - South Bank Avenue'!$A$12:$A$130,"&gt;="&amp;Diagram!$O19,'J1 D - South Bank Avenue'!$A$12:$A$130,"&lt;"&amp;Diagram!$P19)))</f>
        <v>0</v>
      </c>
      <c r="AW19" s="42">
        <f ca="1">IF(OR($I$10="",$O19="",$P19="",$J$36&lt;&gt;"Yes"),0,IF($K$10=0,SUMIFS(INDIRECT(ADDRESS(12,3+18*1+(1),,,"J1 D - South Bank Avenue")&amp;":"&amp;ADDRESS(130,3+18*1+(1))),'J1 D - South Bank Avenue'!$A$12:$A$130,"&gt;="&amp;Diagram!$O19,'J1 D - South Bank Avenue'!$A$12:$A$130,"&lt;"&amp;Diagram!$P19),SUMIFS(INDIRECT(ADDRESS(12,3+18*1+(9),,,"J1 D - South Bank Avenue")&amp;":"&amp;ADDRESS(130,3+18*1+(9))),'J1 D - South Bank Avenue'!$A$12:$A$130,"&gt;="&amp;Diagram!$O19,'J1 D - South Bank Avenue'!$A$12:$A$130,"&lt;"&amp;Diagram!$P19)))</f>
        <v>0</v>
      </c>
      <c r="AX19" s="42">
        <f ca="1">IF(OR($I$10="",$O19="",$P19="",$J$36&lt;&gt;"Yes"),0,IF($K$10=0,SUMIFS(INDIRECT(ADDRESS(12,3+18*2+(1),,,"J1 D - South Bank Avenue")&amp;":"&amp;ADDRESS(130,3+18*2+(1))),'J1 D - South Bank Avenue'!$A$12:$A$130,"&gt;="&amp;Diagram!$O19,'J1 D - South Bank Avenue'!$A$12:$A$130,"&lt;"&amp;Diagram!$P19),SUMIFS(INDIRECT(ADDRESS(12,3+18*2+(9),,,"J1 D - South Bank Avenue")&amp;":"&amp;ADDRESS(130,3+18*2+(9))),'J1 D - South Bank Avenue'!$A$12:$A$130,"&gt;="&amp;Diagram!$O19,'J1 D - South Bank Avenue'!$A$12:$A$130,"&lt;"&amp;Diagram!$P19)))</f>
        <v>1</v>
      </c>
      <c r="AY19" s="42">
        <f ca="1">IF(OR($I$10="",$O19="",$P19="",$J$36&lt;&gt;"Yes"),0,IF($K$10=0,SUMIFS(INDIRECT(ADDRESS(12,3+18*3+(1),,,"J1 D - South Bank Avenue")&amp;":"&amp;ADDRESS(130,3+18*3+(1))),'J1 D - South Bank Avenue'!$A$12:$A$130,"&gt;="&amp;Diagram!$O19,'J1 D - South Bank Avenue'!$A$12:$A$130,"&lt;"&amp;Diagram!$P19),SUMIFS(INDIRECT(ADDRESS(12,3+18*3+(9),,,"J1 D - South Bank Avenue")&amp;":"&amp;ADDRESS(130,3+18*3+(9))),'J1 D - South Bank Avenue'!$A$12:$A$130,"&gt;="&amp;Diagram!$O19,'J1 D - South Bank Avenue'!$A$12:$A$130,"&lt;"&amp;Diagram!$P19)))</f>
        <v>0</v>
      </c>
      <c r="AZ19" s="42">
        <f t="shared" ca="1" si="3"/>
        <v>1</v>
      </c>
      <c r="BA19" s="42">
        <f ca="1">IF(OR($I$10="",$O19="",$P19="",$J$37&lt;&gt;"Yes"),0,IF($K$10=0,SUMIFS(INDIRECT(ADDRESS(12,3+18*3+(2),,,"J1 A - (North) Bishopthorpe Roa")&amp;":"&amp;ADDRESS(130,3+18*3+(2))),'J1 A - (North) Bishopthorpe Roa'!$A$12:$A$130,"&gt;="&amp;Diagram!$O19,'J1 A - (North) Bishopthorpe Roa'!$A$12:$A$130,"&lt;"&amp;Diagram!$P19),SUMIFS(INDIRECT(ADDRESS(12,3+18*3+(10),,,"J1 A - (North) Bishopthorpe Roa")&amp;":"&amp;ADDRESS(130,3+18*3+(10))),'J1 A - (North) Bishopthorpe Roa'!$A$12:$A$130,"&gt;="&amp;Diagram!$O19,'J1 A - (North) Bishopthorpe Roa'!$A$12:$A$130,"&lt;"&amp;Diagram!$P19)))</f>
        <v>0</v>
      </c>
      <c r="BB19" s="42">
        <f ca="1">IF(OR($I$10="",$O19="",$P19="",$J$37&lt;&gt;"Yes"),0,IF($K$10=0,SUMIFS(INDIRECT(ADDRESS(12,3+18*0+(2),,,"J1 A - (North) Bishopthorpe Roa")&amp;":"&amp;ADDRESS(130,3+18*0+(2))),'J1 A - (North) Bishopthorpe Roa'!$A$12:$A$130,"&gt;="&amp;Diagram!$O19,'J1 A - (North) Bishopthorpe Roa'!$A$12:$A$130,"&lt;"&amp;Diagram!$P19),SUMIFS(INDIRECT(ADDRESS(12,3+18*0+(10),,,"J1 A - (North) Bishopthorpe Roa")&amp;":"&amp;ADDRESS(130,3+18*0+(10))),'J1 A - (North) Bishopthorpe Roa'!$A$12:$A$130,"&gt;="&amp;Diagram!$O19,'J1 A - (North) Bishopthorpe Roa'!$A$12:$A$130,"&lt;"&amp;Diagram!$P19)))</f>
        <v>0</v>
      </c>
      <c r="BC19" s="42">
        <f ca="1">IF(OR($I$10="",$O19="",$P19="",$J$37&lt;&gt;"Yes"),0,IF($K$10=0,SUMIFS(INDIRECT(ADDRESS(12,3+18*1+(2),,,"J1 A - (North) Bishopthorpe Roa")&amp;":"&amp;ADDRESS(130,3+18*1+(2))),'J1 A - (North) Bishopthorpe Roa'!$A$12:$A$130,"&gt;="&amp;Diagram!$O19,'J1 A - (North) Bishopthorpe Roa'!$A$12:$A$130,"&lt;"&amp;Diagram!$P19),SUMIFS(INDIRECT(ADDRESS(12,3+18*1+(10),,,"J1 A - (North) Bishopthorpe Roa")&amp;":"&amp;ADDRESS(130,3+18*1+(10))),'J1 A - (North) Bishopthorpe Roa'!$A$12:$A$130,"&gt;="&amp;Diagram!$O19,'J1 A - (North) Bishopthorpe Roa'!$A$12:$A$130,"&lt;"&amp;Diagram!$P19)))</f>
        <v>0</v>
      </c>
      <c r="BD19" s="42">
        <f ca="1">IF(OR($I$10="",$O19="",$P19="",$J$37&lt;&gt;"Yes"),0,IF($K$10=0,SUMIFS(INDIRECT(ADDRESS(12,3+18*2+(2),,,"J1 A - (North) Bishopthorpe Roa")&amp;":"&amp;ADDRESS(130,3+18*2+(2))),'J1 A - (North) Bishopthorpe Roa'!$A$12:$A$130,"&gt;="&amp;Diagram!$O19,'J1 A - (North) Bishopthorpe Roa'!$A$12:$A$130,"&lt;"&amp;Diagram!$P19),SUMIFS(INDIRECT(ADDRESS(12,3+18*2+(10),,,"J1 A - (North) Bishopthorpe Roa")&amp;":"&amp;ADDRESS(130,3+18*2+(10))),'J1 A - (North) Bishopthorpe Roa'!$A$12:$A$130,"&gt;="&amp;Diagram!$O19,'J1 A - (North) Bishopthorpe Roa'!$A$12:$A$130,"&lt;"&amp;Diagram!$P19)))</f>
        <v>0</v>
      </c>
      <c r="BE19" s="42">
        <f ca="1">IF(OR($I$10="",$O19="",$P19="",$J$37&lt;&gt;"Yes"),0,IF($K$10=0,SUMIFS(INDIRECT(ADDRESS(12,3+18*2+(2),,,"J1 B - Butcher Terrace")&amp;":"&amp;ADDRESS(130,3+18*2+(2))),'J1 B - Butcher Terrace'!$A$12:$A$130,"&gt;="&amp;Diagram!$O19,'J1 B - Butcher Terrace'!$A$12:$A$130,"&lt;"&amp;Diagram!$P19),SUMIFS(INDIRECT(ADDRESS(12,3+18*2+(10),,,"J1 B - Butcher Terrace")&amp;":"&amp;ADDRESS(130,3+18*2+(10))),'J1 B - Butcher Terrace'!$A$12:$A$130,"&gt;="&amp;Diagram!$O19,'J1 B - Butcher Terrace'!$A$12:$A$130,"&lt;"&amp;Diagram!$P19)))</f>
        <v>0</v>
      </c>
      <c r="BF19" s="42">
        <f ca="1">IF(OR($I$10="",$O19="",$P19="",$J$37&lt;&gt;"Yes"),0,IF($K$10=0,SUMIFS(INDIRECT(ADDRESS(12,3+18*3+(2),,,"J1 B - Butcher Terrace")&amp;":"&amp;ADDRESS(130,3+18*3+(2))),'J1 B - Butcher Terrace'!$A$12:$A$130,"&gt;="&amp;Diagram!$O19,'J1 B - Butcher Terrace'!$A$12:$A$130,"&lt;"&amp;Diagram!$P19),SUMIFS(INDIRECT(ADDRESS(12,3+18*3+(10),,,"J1 B - Butcher Terrace")&amp;":"&amp;ADDRESS(130,3+18*3+(10))),'J1 B - Butcher Terrace'!$A$12:$A$130,"&gt;="&amp;Diagram!$O19,'J1 B - Butcher Terrace'!$A$12:$A$130,"&lt;"&amp;Diagram!$P19)))</f>
        <v>0</v>
      </c>
      <c r="BG19" s="42">
        <f ca="1">IF(OR($I$10="",$O19="",$P19="",$J$37&lt;&gt;"Yes"),0,IF($K$10=0,SUMIFS(INDIRECT(ADDRESS(12,3+18*0+(2),,,"J1 B - Butcher Terrace")&amp;":"&amp;ADDRESS(130,3+18*0+(2))),'J1 B - Butcher Terrace'!$A$12:$A$130,"&gt;="&amp;Diagram!$O19,'J1 B - Butcher Terrace'!$A$12:$A$130,"&lt;"&amp;Diagram!$P19),SUMIFS(INDIRECT(ADDRESS(12,3+18*0+(10),,,"J1 B - Butcher Terrace")&amp;":"&amp;ADDRESS(130,3+18*0+(10))),'J1 B - Butcher Terrace'!$A$12:$A$130,"&gt;="&amp;Diagram!$O19,'J1 B - Butcher Terrace'!$A$12:$A$130,"&lt;"&amp;Diagram!$P19)))</f>
        <v>0</v>
      </c>
      <c r="BH19" s="42">
        <f ca="1">IF(OR($I$10="",$O19="",$P19="",$J$37&lt;&gt;"Yes"),0,IF($K$10=0,SUMIFS(INDIRECT(ADDRESS(12,3+18*1+(2),,,"J1 B - Butcher Terrace")&amp;":"&amp;ADDRESS(130,3+18*1+(2))),'J1 B - Butcher Terrace'!$A$12:$A$130,"&gt;="&amp;Diagram!$O19,'J1 B - Butcher Terrace'!$A$12:$A$130,"&lt;"&amp;Diagram!$P19),SUMIFS(INDIRECT(ADDRESS(12,3+18*1+(10),,,"J1 B - Butcher Terrace")&amp;":"&amp;ADDRESS(130,3+18*1+(10))),'J1 B - Butcher Terrace'!$A$12:$A$130,"&gt;="&amp;Diagram!$O19,'J1 B - Butcher Terrace'!$A$12:$A$130,"&lt;"&amp;Diagram!$P19)))</f>
        <v>0</v>
      </c>
      <c r="BI19" s="42">
        <f ca="1">IF(OR($I$10="",$O19="",$P19="",$J$37&lt;&gt;"Yes"),0,IF($K$10=0,SUMIFS(INDIRECT(ADDRESS(12,3+18*1+(2),,,"J1 C - (South) Bishopthorpe Roa")&amp;":"&amp;ADDRESS(130,3+18*1+(2))),'J1 C - (South) Bishopthorpe Roa'!$A$12:$A$130,"&gt;="&amp;Diagram!$O19,'J1 C - (South) Bishopthorpe Roa'!$A$12:$A$130,"&lt;"&amp;Diagram!$P19),SUMIFS(INDIRECT(ADDRESS(12,3+18*1+(10),,,"J1 C - (South) Bishopthorpe Roa")&amp;":"&amp;ADDRESS(130,3+18*1+(10))),'J1 C - (South) Bishopthorpe Roa'!$A$12:$A$130,"&gt;="&amp;Diagram!$O19,'J1 C - (South) Bishopthorpe Roa'!$A$12:$A$130,"&lt;"&amp;Diagram!$P19)))</f>
        <v>1</v>
      </c>
      <c r="BJ19" s="42">
        <f ca="1">IF(OR($I$10="",$O19="",$P19="",$J$37&lt;&gt;"Yes"),0,IF($K$10=0,SUMIFS(INDIRECT(ADDRESS(12,3+18*2+(2),,,"J1 C - (South) Bishopthorpe Roa")&amp;":"&amp;ADDRESS(130,3+18*2+(2))),'J1 C - (South) Bishopthorpe Roa'!$A$12:$A$130,"&gt;="&amp;Diagram!$O19,'J1 C - (South) Bishopthorpe Roa'!$A$12:$A$130,"&lt;"&amp;Diagram!$P19),SUMIFS(INDIRECT(ADDRESS(12,3+18*2+(10),,,"J1 C - (South) Bishopthorpe Roa")&amp;":"&amp;ADDRESS(130,3+18*2+(10))),'J1 C - (South) Bishopthorpe Roa'!$A$12:$A$130,"&gt;="&amp;Diagram!$O19,'J1 C - (South) Bishopthorpe Roa'!$A$12:$A$130,"&lt;"&amp;Diagram!$P19)))</f>
        <v>0</v>
      </c>
      <c r="BK19" s="42">
        <f ca="1">IF(OR($I$10="",$O19="",$P19="",$J$37&lt;&gt;"Yes"),0,IF($K$10=0,SUMIFS(INDIRECT(ADDRESS(12,3+18*3+(2),,,"J1 C - (South) Bishopthorpe Roa")&amp;":"&amp;ADDRESS(130,3+18*3+(2))),'J1 C - (South) Bishopthorpe Roa'!$A$12:$A$130,"&gt;="&amp;Diagram!$O19,'J1 C - (South) Bishopthorpe Roa'!$A$12:$A$130,"&lt;"&amp;Diagram!$P19),SUMIFS(INDIRECT(ADDRESS(12,3+18*3+(10),,,"J1 C - (South) Bishopthorpe Roa")&amp;":"&amp;ADDRESS(130,3+18*3+(10))),'J1 C - (South) Bishopthorpe Roa'!$A$12:$A$130,"&gt;="&amp;Diagram!$O19,'J1 C - (South) Bishopthorpe Roa'!$A$12:$A$130,"&lt;"&amp;Diagram!$P19)))</f>
        <v>0</v>
      </c>
      <c r="BL19" s="42">
        <f ca="1">IF(OR($I$10="",$O19="",$P19="",$J$37&lt;&gt;"Yes"),0,IF($K$10=0,SUMIFS(INDIRECT(ADDRESS(12,3+18*0+(2),,,"J1 C - (South) Bishopthorpe Roa")&amp;":"&amp;ADDRESS(130,3+18*0+(2))),'J1 C - (South) Bishopthorpe Roa'!$A$12:$A$130,"&gt;="&amp;Diagram!$O19,'J1 C - (South) Bishopthorpe Roa'!$A$12:$A$130,"&lt;"&amp;Diagram!$P19),SUMIFS(INDIRECT(ADDRESS(12,3+18*0+(10),,,"J1 C - (South) Bishopthorpe Roa")&amp;":"&amp;ADDRESS(130,3+18*0+(10))),'J1 C - (South) Bishopthorpe Roa'!$A$12:$A$130,"&gt;="&amp;Diagram!$O19,'J1 C - (South) Bishopthorpe Roa'!$A$12:$A$130,"&lt;"&amp;Diagram!$P19)))</f>
        <v>0</v>
      </c>
      <c r="BM19" s="42">
        <f ca="1">IF(OR($I$10="",$O19="",$P19="",$J$37&lt;&gt;"Yes"),0,IF($K$10=0,SUMIFS(INDIRECT(ADDRESS(12,3+18*0+(2),,,"J1 D - South Bank Avenue")&amp;":"&amp;ADDRESS(130,3+18*0+(2))),'J1 D - South Bank Avenue'!$A$12:$A$130,"&gt;="&amp;Diagram!$O19,'J1 D - South Bank Avenue'!$A$12:$A$130,"&lt;"&amp;Diagram!$P19),SUMIFS(INDIRECT(ADDRESS(12,3+18*0+(10),,,"J1 D - South Bank Avenue")&amp;":"&amp;ADDRESS(130,3+18*0+(10))),'J1 D - South Bank Avenue'!$A$12:$A$130,"&gt;="&amp;Diagram!$O19,'J1 D - South Bank Avenue'!$A$12:$A$130,"&lt;"&amp;Diagram!$P19)))</f>
        <v>0</v>
      </c>
      <c r="BN19" s="42">
        <f ca="1">IF(OR($I$10="",$O19="",$P19="",$J$37&lt;&gt;"Yes"),0,IF($K$10=0,SUMIFS(INDIRECT(ADDRESS(12,3+18*1+(2),,,"J1 D - South Bank Avenue")&amp;":"&amp;ADDRESS(130,3+18*1+(2))),'J1 D - South Bank Avenue'!$A$12:$A$130,"&gt;="&amp;Diagram!$O19,'J1 D - South Bank Avenue'!$A$12:$A$130,"&lt;"&amp;Diagram!$P19),SUMIFS(INDIRECT(ADDRESS(12,3+18*1+(10),,,"J1 D - South Bank Avenue")&amp;":"&amp;ADDRESS(130,3+18*1+(10))),'J1 D - South Bank Avenue'!$A$12:$A$130,"&gt;="&amp;Diagram!$O19,'J1 D - South Bank Avenue'!$A$12:$A$130,"&lt;"&amp;Diagram!$P19)))</f>
        <v>0</v>
      </c>
      <c r="BO19" s="42">
        <f ca="1">IF(OR($I$10="",$O19="",$P19="",$J$37&lt;&gt;"Yes"),0,IF($K$10=0,SUMIFS(INDIRECT(ADDRESS(12,3+18*2+(2),,,"J1 D - South Bank Avenue")&amp;":"&amp;ADDRESS(130,3+18*2+(2))),'J1 D - South Bank Avenue'!$A$12:$A$130,"&gt;="&amp;Diagram!$O19,'J1 D - South Bank Avenue'!$A$12:$A$130,"&lt;"&amp;Diagram!$P19),SUMIFS(INDIRECT(ADDRESS(12,3+18*2+(10),,,"J1 D - South Bank Avenue")&amp;":"&amp;ADDRESS(130,3+18*2+(10))),'J1 D - South Bank Avenue'!$A$12:$A$130,"&gt;="&amp;Diagram!$O19,'J1 D - South Bank Avenue'!$A$12:$A$130,"&lt;"&amp;Diagram!$P19)))</f>
        <v>0</v>
      </c>
      <c r="BP19" s="42">
        <f ca="1">IF(OR($I$10="",$O19="",$P19="",$J$37&lt;&gt;"Yes"),0,IF($K$10=0,SUMIFS(INDIRECT(ADDRESS(12,3+18*3+(2),,,"J1 D - South Bank Avenue")&amp;":"&amp;ADDRESS(130,3+18*3+(2))),'J1 D - South Bank Avenue'!$A$12:$A$130,"&gt;="&amp;Diagram!$O19,'J1 D - South Bank Avenue'!$A$12:$A$130,"&lt;"&amp;Diagram!$P19),SUMIFS(INDIRECT(ADDRESS(12,3+18*3+(10),,,"J1 D - South Bank Avenue")&amp;":"&amp;ADDRESS(130,3+18*3+(10))),'J1 D - South Bank Avenue'!$A$12:$A$130,"&gt;="&amp;Diagram!$O19,'J1 D - South Bank Avenue'!$A$12:$A$130,"&lt;"&amp;Diagram!$P19)))</f>
        <v>0</v>
      </c>
      <c r="BQ19" s="42">
        <f t="shared" ca="1" si="4"/>
        <v>0</v>
      </c>
      <c r="BR19" s="42">
        <f ca="1">IF(OR($I$10="",$O19="",$P19="",$J$38&lt;&gt;"Yes"),0,IF($K$10=0,SUMIFS(INDIRECT(ADDRESS(12,3+18*3+(3),,,"J1 A - (North) Bishopthorpe Roa")&amp;":"&amp;ADDRESS(130,3+18*3+(3))),'J1 A - (North) Bishopthorpe Roa'!$A$12:$A$130,"&gt;="&amp;Diagram!$O19,'J1 A - (North) Bishopthorpe Roa'!$A$12:$A$130,"&lt;"&amp;Diagram!$P19),SUMIFS(INDIRECT(ADDRESS(12,3+18*3+(11),,,"J1 A - (North) Bishopthorpe Roa")&amp;":"&amp;ADDRESS(130,3+18*3+(11))),'J1 A - (North) Bishopthorpe Roa'!$A$12:$A$130,"&gt;="&amp;Diagram!$O19,'J1 A - (North) Bishopthorpe Roa'!$A$12:$A$130,"&lt;"&amp;Diagram!$P19)))</f>
        <v>0</v>
      </c>
      <c r="BS19" s="42">
        <f ca="1">IF(OR($I$10="",$O19="",$P19="",$J$38&lt;&gt;"Yes"),0,IF($K$10=0,SUMIFS(INDIRECT(ADDRESS(12,3+18*0+(3),,,"J1 A - (North) Bishopthorpe Roa")&amp;":"&amp;ADDRESS(130,3+18*0+(3))),'J1 A - (North) Bishopthorpe Roa'!$A$12:$A$130,"&gt;="&amp;Diagram!$O19,'J1 A - (North) Bishopthorpe Roa'!$A$12:$A$130,"&lt;"&amp;Diagram!$P19),SUMIFS(INDIRECT(ADDRESS(12,3+18*0+(11),,,"J1 A - (North) Bishopthorpe Roa")&amp;":"&amp;ADDRESS(130,3+18*0+(11))),'J1 A - (North) Bishopthorpe Roa'!$A$12:$A$130,"&gt;="&amp;Diagram!$O19,'J1 A - (North) Bishopthorpe Roa'!$A$12:$A$130,"&lt;"&amp;Diagram!$P19)))</f>
        <v>0</v>
      </c>
      <c r="BT19" s="42">
        <f ca="1">IF(OR($I$10="",$O19="",$P19="",$J$38&lt;&gt;"Yes"),0,IF($K$10=0,SUMIFS(INDIRECT(ADDRESS(12,3+18*1+(3),,,"J1 A - (North) Bishopthorpe Roa")&amp;":"&amp;ADDRESS(130,3+18*1+(3))),'J1 A - (North) Bishopthorpe Roa'!$A$12:$A$130,"&gt;="&amp;Diagram!$O19,'J1 A - (North) Bishopthorpe Roa'!$A$12:$A$130,"&lt;"&amp;Diagram!$P19),SUMIFS(INDIRECT(ADDRESS(12,3+18*1+(11),,,"J1 A - (North) Bishopthorpe Roa")&amp;":"&amp;ADDRESS(130,3+18*1+(11))),'J1 A - (North) Bishopthorpe Roa'!$A$12:$A$130,"&gt;="&amp;Diagram!$O19,'J1 A - (North) Bishopthorpe Roa'!$A$12:$A$130,"&lt;"&amp;Diagram!$P19)))</f>
        <v>0</v>
      </c>
      <c r="BU19" s="42">
        <f ca="1">IF(OR($I$10="",$O19="",$P19="",$J$38&lt;&gt;"Yes"),0,IF($K$10=0,SUMIFS(INDIRECT(ADDRESS(12,3+18*2+(3),,,"J1 A - (North) Bishopthorpe Roa")&amp;":"&amp;ADDRESS(130,3+18*2+(3))),'J1 A - (North) Bishopthorpe Roa'!$A$12:$A$130,"&gt;="&amp;Diagram!$O19,'J1 A - (North) Bishopthorpe Roa'!$A$12:$A$130,"&lt;"&amp;Diagram!$P19),SUMIFS(INDIRECT(ADDRESS(12,3+18*2+(11),,,"J1 A - (North) Bishopthorpe Roa")&amp;":"&amp;ADDRESS(130,3+18*2+(11))),'J1 A - (North) Bishopthorpe Roa'!$A$12:$A$130,"&gt;="&amp;Diagram!$O19,'J1 A - (North) Bishopthorpe Roa'!$A$12:$A$130,"&lt;"&amp;Diagram!$P19)))</f>
        <v>0</v>
      </c>
      <c r="BV19" s="42">
        <f ca="1">IF(OR($I$10="",$O19="",$P19="",$J$38&lt;&gt;"Yes"),0,IF($K$10=0,SUMIFS(INDIRECT(ADDRESS(12,3+18*2+(3),,,"J1 B - Butcher Terrace")&amp;":"&amp;ADDRESS(130,3+18*2+(3))),'J1 B - Butcher Terrace'!$A$12:$A$130,"&gt;="&amp;Diagram!$O19,'J1 B - Butcher Terrace'!$A$12:$A$130,"&lt;"&amp;Diagram!$P19),SUMIFS(INDIRECT(ADDRESS(12,3+18*2+(11),,,"J1 B - Butcher Terrace")&amp;":"&amp;ADDRESS(130,3+18*2+(11))),'J1 B - Butcher Terrace'!$A$12:$A$130,"&gt;="&amp;Diagram!$O19,'J1 B - Butcher Terrace'!$A$12:$A$130,"&lt;"&amp;Diagram!$P19)))</f>
        <v>0</v>
      </c>
      <c r="BW19" s="42">
        <f ca="1">IF(OR($I$10="",$O19="",$P19="",$J$38&lt;&gt;"Yes"),0,IF($K$10=0,SUMIFS(INDIRECT(ADDRESS(12,3+18*3+(3),,,"J1 B - Butcher Terrace")&amp;":"&amp;ADDRESS(130,3+18*3+(3))),'J1 B - Butcher Terrace'!$A$12:$A$130,"&gt;="&amp;Diagram!$O19,'J1 B - Butcher Terrace'!$A$12:$A$130,"&lt;"&amp;Diagram!$P19),SUMIFS(INDIRECT(ADDRESS(12,3+18*3+(11),,,"J1 B - Butcher Terrace")&amp;":"&amp;ADDRESS(130,3+18*3+(11))),'J1 B - Butcher Terrace'!$A$12:$A$130,"&gt;="&amp;Diagram!$O19,'J1 B - Butcher Terrace'!$A$12:$A$130,"&lt;"&amp;Diagram!$P19)))</f>
        <v>0</v>
      </c>
      <c r="BX19" s="42">
        <f ca="1">IF(OR($I$10="",$O19="",$P19="",$J$38&lt;&gt;"Yes"),0,IF($K$10=0,SUMIFS(INDIRECT(ADDRESS(12,3+18*0+(3),,,"J1 B - Butcher Terrace")&amp;":"&amp;ADDRESS(130,3+18*0+(3))),'J1 B - Butcher Terrace'!$A$12:$A$130,"&gt;="&amp;Diagram!$O19,'J1 B - Butcher Terrace'!$A$12:$A$130,"&lt;"&amp;Diagram!$P19),SUMIFS(INDIRECT(ADDRESS(12,3+18*0+(11),,,"J1 B - Butcher Terrace")&amp;":"&amp;ADDRESS(130,3+18*0+(11))),'J1 B - Butcher Terrace'!$A$12:$A$130,"&gt;="&amp;Diagram!$O19,'J1 B - Butcher Terrace'!$A$12:$A$130,"&lt;"&amp;Diagram!$P19)))</f>
        <v>0</v>
      </c>
      <c r="BY19" s="42">
        <f ca="1">IF(OR($I$10="",$O19="",$P19="",$J$38&lt;&gt;"Yes"),0,IF($K$10=0,SUMIFS(INDIRECT(ADDRESS(12,3+18*1+(3),,,"J1 B - Butcher Terrace")&amp;":"&amp;ADDRESS(130,3+18*1+(3))),'J1 B - Butcher Terrace'!$A$12:$A$130,"&gt;="&amp;Diagram!$O19,'J1 B - Butcher Terrace'!$A$12:$A$130,"&lt;"&amp;Diagram!$P19),SUMIFS(INDIRECT(ADDRESS(12,3+18*1+(11),,,"J1 B - Butcher Terrace")&amp;":"&amp;ADDRESS(130,3+18*1+(11))),'J1 B - Butcher Terrace'!$A$12:$A$130,"&gt;="&amp;Diagram!$O19,'J1 B - Butcher Terrace'!$A$12:$A$130,"&lt;"&amp;Diagram!$P19)))</f>
        <v>0</v>
      </c>
      <c r="BZ19" s="42">
        <f ca="1">IF(OR($I$10="",$O19="",$P19="",$J$38&lt;&gt;"Yes"),0,IF($K$10=0,SUMIFS(INDIRECT(ADDRESS(12,3+18*1+(3),,,"J1 C - (South) Bishopthorpe Roa")&amp;":"&amp;ADDRESS(130,3+18*1+(3))),'J1 C - (South) Bishopthorpe Roa'!$A$12:$A$130,"&gt;="&amp;Diagram!$O19,'J1 C - (South) Bishopthorpe Roa'!$A$12:$A$130,"&lt;"&amp;Diagram!$P19),SUMIFS(INDIRECT(ADDRESS(12,3+18*1+(11),,,"J1 C - (South) Bishopthorpe Roa")&amp;":"&amp;ADDRESS(130,3+18*1+(11))),'J1 C - (South) Bishopthorpe Roa'!$A$12:$A$130,"&gt;="&amp;Diagram!$O19,'J1 C - (South) Bishopthorpe Roa'!$A$12:$A$130,"&lt;"&amp;Diagram!$P19)))</f>
        <v>0</v>
      </c>
      <c r="CA19" s="42">
        <f ca="1">IF(OR($I$10="",$O19="",$P19="",$J$38&lt;&gt;"Yes"),0,IF($K$10=0,SUMIFS(INDIRECT(ADDRESS(12,3+18*2+(3),,,"J1 C - (South) Bishopthorpe Roa")&amp;":"&amp;ADDRESS(130,3+18*2+(3))),'J1 C - (South) Bishopthorpe Roa'!$A$12:$A$130,"&gt;="&amp;Diagram!$O19,'J1 C - (South) Bishopthorpe Roa'!$A$12:$A$130,"&lt;"&amp;Diagram!$P19),SUMIFS(INDIRECT(ADDRESS(12,3+18*2+(11),,,"J1 C - (South) Bishopthorpe Roa")&amp;":"&amp;ADDRESS(130,3+18*2+(11))),'J1 C - (South) Bishopthorpe Roa'!$A$12:$A$130,"&gt;="&amp;Diagram!$O19,'J1 C - (South) Bishopthorpe Roa'!$A$12:$A$130,"&lt;"&amp;Diagram!$P19)))</f>
        <v>0</v>
      </c>
      <c r="CB19" s="42">
        <f ca="1">IF(OR($I$10="",$O19="",$P19="",$J$38&lt;&gt;"Yes"),0,IF($K$10=0,SUMIFS(INDIRECT(ADDRESS(12,3+18*3+(3),,,"J1 C - (South) Bishopthorpe Roa")&amp;":"&amp;ADDRESS(130,3+18*3+(3))),'J1 C - (South) Bishopthorpe Roa'!$A$12:$A$130,"&gt;="&amp;Diagram!$O19,'J1 C - (South) Bishopthorpe Roa'!$A$12:$A$130,"&lt;"&amp;Diagram!$P19),SUMIFS(INDIRECT(ADDRESS(12,3+18*3+(11),,,"J1 C - (South) Bishopthorpe Roa")&amp;":"&amp;ADDRESS(130,3+18*3+(11))),'J1 C - (South) Bishopthorpe Roa'!$A$12:$A$130,"&gt;="&amp;Diagram!$O19,'J1 C - (South) Bishopthorpe Roa'!$A$12:$A$130,"&lt;"&amp;Diagram!$P19)))</f>
        <v>0</v>
      </c>
      <c r="CC19" s="42">
        <f ca="1">IF(OR($I$10="",$O19="",$P19="",$J$38&lt;&gt;"Yes"),0,IF($K$10=0,SUMIFS(INDIRECT(ADDRESS(12,3+18*0+(3),,,"J1 C - (South) Bishopthorpe Roa")&amp;":"&amp;ADDRESS(130,3+18*0+(3))),'J1 C - (South) Bishopthorpe Roa'!$A$12:$A$130,"&gt;="&amp;Diagram!$O19,'J1 C - (South) Bishopthorpe Roa'!$A$12:$A$130,"&lt;"&amp;Diagram!$P19),SUMIFS(INDIRECT(ADDRESS(12,3+18*0+(11),,,"J1 C - (South) Bishopthorpe Roa")&amp;":"&amp;ADDRESS(130,3+18*0+(11))),'J1 C - (South) Bishopthorpe Roa'!$A$12:$A$130,"&gt;="&amp;Diagram!$O19,'J1 C - (South) Bishopthorpe Roa'!$A$12:$A$130,"&lt;"&amp;Diagram!$P19)))</f>
        <v>0</v>
      </c>
      <c r="CD19" s="42">
        <f ca="1">IF(OR($I$10="",$O19="",$P19="",$J$38&lt;&gt;"Yes"),0,IF($K$10=0,SUMIFS(INDIRECT(ADDRESS(12,3+18*0+(3),,,"J1 D - South Bank Avenue")&amp;":"&amp;ADDRESS(130,3+18*0+(3))),'J1 D - South Bank Avenue'!$A$12:$A$130,"&gt;="&amp;Diagram!$O19,'J1 D - South Bank Avenue'!$A$12:$A$130,"&lt;"&amp;Diagram!$P19),SUMIFS(INDIRECT(ADDRESS(12,3+18*0+(11),,,"J1 D - South Bank Avenue")&amp;":"&amp;ADDRESS(130,3+18*0+(11))),'J1 D - South Bank Avenue'!$A$12:$A$130,"&gt;="&amp;Diagram!$O19,'J1 D - South Bank Avenue'!$A$12:$A$130,"&lt;"&amp;Diagram!$P19)))</f>
        <v>0</v>
      </c>
      <c r="CE19" s="42">
        <f ca="1">IF(OR($I$10="",$O19="",$P19="",$J$38&lt;&gt;"Yes"),0,IF($K$10=0,SUMIFS(INDIRECT(ADDRESS(12,3+18*1+(3),,,"J1 D - South Bank Avenue")&amp;":"&amp;ADDRESS(130,3+18*1+(3))),'J1 D - South Bank Avenue'!$A$12:$A$130,"&gt;="&amp;Diagram!$O19,'J1 D - South Bank Avenue'!$A$12:$A$130,"&lt;"&amp;Diagram!$P19),SUMIFS(INDIRECT(ADDRESS(12,3+18*1+(11),,,"J1 D - South Bank Avenue")&amp;":"&amp;ADDRESS(130,3+18*1+(11))),'J1 D - South Bank Avenue'!$A$12:$A$130,"&gt;="&amp;Diagram!$O19,'J1 D - South Bank Avenue'!$A$12:$A$130,"&lt;"&amp;Diagram!$P19)))</f>
        <v>0</v>
      </c>
      <c r="CF19" s="42">
        <f ca="1">IF(OR($I$10="",$O19="",$P19="",$J$38&lt;&gt;"Yes"),0,IF($K$10=0,SUMIFS(INDIRECT(ADDRESS(12,3+18*2+(3),,,"J1 D - South Bank Avenue")&amp;":"&amp;ADDRESS(130,3+18*2+(3))),'J1 D - South Bank Avenue'!$A$12:$A$130,"&gt;="&amp;Diagram!$O19,'J1 D - South Bank Avenue'!$A$12:$A$130,"&lt;"&amp;Diagram!$P19),SUMIFS(INDIRECT(ADDRESS(12,3+18*2+(11),,,"J1 D - South Bank Avenue")&amp;":"&amp;ADDRESS(130,3+18*2+(11))),'J1 D - South Bank Avenue'!$A$12:$A$130,"&gt;="&amp;Diagram!$O19,'J1 D - South Bank Avenue'!$A$12:$A$130,"&lt;"&amp;Diagram!$P19)))</f>
        <v>0</v>
      </c>
      <c r="CG19" s="42">
        <f ca="1">IF(OR($I$10="",$O19="",$P19="",$J$38&lt;&gt;"Yes"),0,IF($K$10=0,SUMIFS(INDIRECT(ADDRESS(12,3+18*3+(3),,,"J1 D - South Bank Avenue")&amp;":"&amp;ADDRESS(130,3+18*3+(3))),'J1 D - South Bank Avenue'!$A$12:$A$130,"&gt;="&amp;Diagram!$O19,'J1 D - South Bank Avenue'!$A$12:$A$130,"&lt;"&amp;Diagram!$P19),SUMIFS(INDIRECT(ADDRESS(12,3+18*3+(11),,,"J1 D - South Bank Avenue")&amp;":"&amp;ADDRESS(130,3+18*3+(11))),'J1 D - South Bank Avenue'!$A$12:$A$130,"&gt;="&amp;Diagram!$O19,'J1 D - South Bank Avenue'!$A$12:$A$130,"&lt;"&amp;Diagram!$P19)))</f>
        <v>0</v>
      </c>
      <c r="CH19" s="42">
        <f t="shared" ca="1" si="5"/>
        <v>0</v>
      </c>
      <c r="CI19" s="42">
        <f ca="1">IF(OR($I$10="",$O19="",$P19="",$J$39&lt;&gt;"Yes"),0,IF($K$10=0,SUMIFS(INDIRECT(ADDRESS(12,3+18*3+(4),,,"J1 A - (North) Bishopthorpe Roa")&amp;":"&amp;ADDRESS(130,3+18*3+(4))),'J1 A - (North) Bishopthorpe Roa'!$A$12:$A$130,"&gt;="&amp;Diagram!$O19,'J1 A - (North) Bishopthorpe Roa'!$A$12:$A$130,"&lt;"&amp;Diagram!$P19),SUMIFS(INDIRECT(ADDRESS(12,3+18*3+(12),,,"J1 A - (North) Bishopthorpe Roa")&amp;":"&amp;ADDRESS(130,3+18*3+(12))),'J1 A - (North) Bishopthorpe Roa'!$A$12:$A$130,"&gt;="&amp;Diagram!$O19,'J1 A - (North) Bishopthorpe Roa'!$A$12:$A$130,"&lt;"&amp;Diagram!$P19)))</f>
        <v>0</v>
      </c>
      <c r="CJ19" s="42">
        <f ca="1">IF(OR($I$10="",$O19="",$P19="",$J$39&lt;&gt;"Yes"),0,IF($K$10=0,SUMIFS(INDIRECT(ADDRESS(12,3+18*0+(4),,,"J1 A - (North) Bishopthorpe Roa")&amp;":"&amp;ADDRESS(130,3+18*0+(4))),'J1 A - (North) Bishopthorpe Roa'!$A$12:$A$130,"&gt;="&amp;Diagram!$O19,'J1 A - (North) Bishopthorpe Roa'!$A$12:$A$130,"&lt;"&amp;Diagram!$P19),SUMIFS(INDIRECT(ADDRESS(12,3+18*0+(12),,,"J1 A - (North) Bishopthorpe Roa")&amp;":"&amp;ADDRESS(130,3+18*0+(12))),'J1 A - (North) Bishopthorpe Roa'!$A$12:$A$130,"&gt;="&amp;Diagram!$O19,'J1 A - (North) Bishopthorpe Roa'!$A$12:$A$130,"&lt;"&amp;Diagram!$P19)))</f>
        <v>0</v>
      </c>
      <c r="CK19" s="42">
        <f ca="1">IF(OR($I$10="",$O19="",$P19="",$J$39&lt;&gt;"Yes"),0,IF($K$10=0,SUMIFS(INDIRECT(ADDRESS(12,3+18*1+(4),,,"J1 A - (North) Bishopthorpe Roa")&amp;":"&amp;ADDRESS(130,3+18*1+(4))),'J1 A - (North) Bishopthorpe Roa'!$A$12:$A$130,"&gt;="&amp;Diagram!$O19,'J1 A - (North) Bishopthorpe Roa'!$A$12:$A$130,"&lt;"&amp;Diagram!$P19),SUMIFS(INDIRECT(ADDRESS(12,3+18*1+(12),,,"J1 A - (North) Bishopthorpe Roa")&amp;":"&amp;ADDRESS(130,3+18*1+(12))),'J1 A - (North) Bishopthorpe Roa'!$A$12:$A$130,"&gt;="&amp;Diagram!$O19,'J1 A - (North) Bishopthorpe Roa'!$A$12:$A$130,"&lt;"&amp;Diagram!$P19)))</f>
        <v>0</v>
      </c>
      <c r="CL19" s="42">
        <f ca="1">IF(OR($I$10="",$O19="",$P19="",$J$39&lt;&gt;"Yes"),0,IF($K$10=0,SUMIFS(INDIRECT(ADDRESS(12,3+18*2+(4),,,"J1 A - (North) Bishopthorpe Roa")&amp;":"&amp;ADDRESS(130,3+18*2+(4))),'J1 A - (North) Bishopthorpe Roa'!$A$12:$A$130,"&gt;="&amp;Diagram!$O19,'J1 A - (North) Bishopthorpe Roa'!$A$12:$A$130,"&lt;"&amp;Diagram!$P19),SUMIFS(INDIRECT(ADDRESS(12,3+18*2+(12),,,"J1 A - (North) Bishopthorpe Roa")&amp;":"&amp;ADDRESS(130,3+18*2+(12))),'J1 A - (North) Bishopthorpe Roa'!$A$12:$A$130,"&gt;="&amp;Diagram!$O19,'J1 A - (North) Bishopthorpe Roa'!$A$12:$A$130,"&lt;"&amp;Diagram!$P19)))</f>
        <v>0</v>
      </c>
      <c r="CM19" s="42">
        <f ca="1">IF(OR($I$10="",$O19="",$P19="",$J$39&lt;&gt;"Yes"),0,IF($K$10=0,SUMIFS(INDIRECT(ADDRESS(12,3+18*2+(4),,,"J1 B - Butcher Terrace")&amp;":"&amp;ADDRESS(130,3+18*2+(4))),'J1 B - Butcher Terrace'!$A$12:$A$130,"&gt;="&amp;Diagram!$O19,'J1 B - Butcher Terrace'!$A$12:$A$130,"&lt;"&amp;Diagram!$P19),SUMIFS(INDIRECT(ADDRESS(12,3+18*2+(12),,,"J1 B - Butcher Terrace")&amp;":"&amp;ADDRESS(130,3+18*2+(12))),'J1 B - Butcher Terrace'!$A$12:$A$130,"&gt;="&amp;Diagram!$O19,'J1 B - Butcher Terrace'!$A$12:$A$130,"&lt;"&amp;Diagram!$P19)))</f>
        <v>0</v>
      </c>
      <c r="CN19" s="42">
        <f ca="1">IF(OR($I$10="",$O19="",$P19="",$J$39&lt;&gt;"Yes"),0,IF($K$10=0,SUMIFS(INDIRECT(ADDRESS(12,3+18*3+(4),,,"J1 B - Butcher Terrace")&amp;":"&amp;ADDRESS(130,3+18*3+(4))),'J1 B - Butcher Terrace'!$A$12:$A$130,"&gt;="&amp;Diagram!$O19,'J1 B - Butcher Terrace'!$A$12:$A$130,"&lt;"&amp;Diagram!$P19),SUMIFS(INDIRECT(ADDRESS(12,3+18*3+(12),,,"J1 B - Butcher Terrace")&amp;":"&amp;ADDRESS(130,3+18*3+(12))),'J1 B - Butcher Terrace'!$A$12:$A$130,"&gt;="&amp;Diagram!$O19,'J1 B - Butcher Terrace'!$A$12:$A$130,"&lt;"&amp;Diagram!$P19)))</f>
        <v>0</v>
      </c>
      <c r="CO19" s="42">
        <f ca="1">IF(OR($I$10="",$O19="",$P19="",$J$39&lt;&gt;"Yes"),0,IF($K$10=0,SUMIFS(INDIRECT(ADDRESS(12,3+18*0+(4),,,"J1 B - Butcher Terrace")&amp;":"&amp;ADDRESS(130,3+18*0+(4))),'J1 B - Butcher Terrace'!$A$12:$A$130,"&gt;="&amp;Diagram!$O19,'J1 B - Butcher Terrace'!$A$12:$A$130,"&lt;"&amp;Diagram!$P19),SUMIFS(INDIRECT(ADDRESS(12,3+18*0+(12),,,"J1 B - Butcher Terrace")&amp;":"&amp;ADDRESS(130,3+18*0+(12))),'J1 B - Butcher Terrace'!$A$12:$A$130,"&gt;="&amp;Diagram!$O19,'J1 B - Butcher Terrace'!$A$12:$A$130,"&lt;"&amp;Diagram!$P19)))</f>
        <v>0</v>
      </c>
      <c r="CP19" s="42">
        <f ca="1">IF(OR($I$10="",$O19="",$P19="",$J$39&lt;&gt;"Yes"),0,IF($K$10=0,SUMIFS(INDIRECT(ADDRESS(12,3+18*1+(4),,,"J1 B - Butcher Terrace")&amp;":"&amp;ADDRESS(130,3+18*1+(4))),'J1 B - Butcher Terrace'!$A$12:$A$130,"&gt;="&amp;Diagram!$O19,'J1 B - Butcher Terrace'!$A$12:$A$130,"&lt;"&amp;Diagram!$P19),SUMIFS(INDIRECT(ADDRESS(12,3+18*1+(12),,,"J1 B - Butcher Terrace")&amp;":"&amp;ADDRESS(130,3+18*1+(12))),'J1 B - Butcher Terrace'!$A$12:$A$130,"&gt;="&amp;Diagram!$O19,'J1 B - Butcher Terrace'!$A$12:$A$130,"&lt;"&amp;Diagram!$P19)))</f>
        <v>0</v>
      </c>
      <c r="CQ19" s="42">
        <f ca="1">IF(OR($I$10="",$O19="",$P19="",$J$39&lt;&gt;"Yes"),0,IF($K$10=0,SUMIFS(INDIRECT(ADDRESS(12,3+18*1+(4),,,"J1 C - (South) Bishopthorpe Roa")&amp;":"&amp;ADDRESS(130,3+18*1+(4))),'J1 C - (South) Bishopthorpe Roa'!$A$12:$A$130,"&gt;="&amp;Diagram!$O19,'J1 C - (South) Bishopthorpe Roa'!$A$12:$A$130,"&lt;"&amp;Diagram!$P19),SUMIFS(INDIRECT(ADDRESS(12,3+18*1+(12),,,"J1 C - (South) Bishopthorpe Roa")&amp;":"&amp;ADDRESS(130,3+18*1+(12))),'J1 C - (South) Bishopthorpe Roa'!$A$12:$A$130,"&gt;="&amp;Diagram!$O19,'J1 C - (South) Bishopthorpe Roa'!$A$12:$A$130,"&lt;"&amp;Diagram!$P19)))</f>
        <v>0</v>
      </c>
      <c r="CR19" s="42">
        <f ca="1">IF(OR($I$10="",$O19="",$P19="",$J$39&lt;&gt;"Yes"),0,IF($K$10=0,SUMIFS(INDIRECT(ADDRESS(12,3+18*2+(4),,,"J1 C - (South) Bishopthorpe Roa")&amp;":"&amp;ADDRESS(130,3+18*2+(4))),'J1 C - (South) Bishopthorpe Roa'!$A$12:$A$130,"&gt;="&amp;Diagram!$O19,'J1 C - (South) Bishopthorpe Roa'!$A$12:$A$130,"&lt;"&amp;Diagram!$P19),SUMIFS(INDIRECT(ADDRESS(12,3+18*2+(12),,,"J1 C - (South) Bishopthorpe Roa")&amp;":"&amp;ADDRESS(130,3+18*2+(12))),'J1 C - (South) Bishopthorpe Roa'!$A$12:$A$130,"&gt;="&amp;Diagram!$O19,'J1 C - (South) Bishopthorpe Roa'!$A$12:$A$130,"&lt;"&amp;Diagram!$P19)))</f>
        <v>0</v>
      </c>
      <c r="CS19" s="42">
        <f ca="1">IF(OR($I$10="",$O19="",$P19="",$J$39&lt;&gt;"Yes"),0,IF($K$10=0,SUMIFS(INDIRECT(ADDRESS(12,3+18*3+(4),,,"J1 C - (South) Bishopthorpe Roa")&amp;":"&amp;ADDRESS(130,3+18*3+(4))),'J1 C - (South) Bishopthorpe Roa'!$A$12:$A$130,"&gt;="&amp;Diagram!$O19,'J1 C - (South) Bishopthorpe Roa'!$A$12:$A$130,"&lt;"&amp;Diagram!$P19),SUMIFS(INDIRECT(ADDRESS(12,3+18*3+(12),,,"J1 C - (South) Bishopthorpe Roa")&amp;":"&amp;ADDRESS(130,3+18*3+(12))),'J1 C - (South) Bishopthorpe Roa'!$A$12:$A$130,"&gt;="&amp;Diagram!$O19,'J1 C - (South) Bishopthorpe Roa'!$A$12:$A$130,"&lt;"&amp;Diagram!$P19)))</f>
        <v>0</v>
      </c>
      <c r="CT19" s="42">
        <f ca="1">IF(OR($I$10="",$O19="",$P19="",$J$39&lt;&gt;"Yes"),0,IF($K$10=0,SUMIFS(INDIRECT(ADDRESS(12,3+18*0+(4),,,"J1 C - (South) Bishopthorpe Roa")&amp;":"&amp;ADDRESS(130,3+18*0+(4))),'J1 C - (South) Bishopthorpe Roa'!$A$12:$A$130,"&gt;="&amp;Diagram!$O19,'J1 C - (South) Bishopthorpe Roa'!$A$12:$A$130,"&lt;"&amp;Diagram!$P19),SUMIFS(INDIRECT(ADDRESS(12,3+18*0+(12),,,"J1 C - (South) Bishopthorpe Roa")&amp;":"&amp;ADDRESS(130,3+18*0+(12))),'J1 C - (South) Bishopthorpe Roa'!$A$12:$A$130,"&gt;="&amp;Diagram!$O19,'J1 C - (South) Bishopthorpe Roa'!$A$12:$A$130,"&lt;"&amp;Diagram!$P19)))</f>
        <v>0</v>
      </c>
      <c r="CU19" s="42">
        <f ca="1">IF(OR($I$10="",$O19="",$P19="",$J$39&lt;&gt;"Yes"),0,IF($K$10=0,SUMIFS(INDIRECT(ADDRESS(12,3+18*0+(4),,,"J1 D - South Bank Avenue")&amp;":"&amp;ADDRESS(130,3+18*0+(4))),'J1 D - South Bank Avenue'!$A$12:$A$130,"&gt;="&amp;Diagram!$O19,'J1 D - South Bank Avenue'!$A$12:$A$130,"&lt;"&amp;Diagram!$P19),SUMIFS(INDIRECT(ADDRESS(12,3+18*0+(12),,,"J1 D - South Bank Avenue")&amp;":"&amp;ADDRESS(130,3+18*0+(12))),'J1 D - South Bank Avenue'!$A$12:$A$130,"&gt;="&amp;Diagram!$O19,'J1 D - South Bank Avenue'!$A$12:$A$130,"&lt;"&amp;Diagram!$P19)))</f>
        <v>0</v>
      </c>
      <c r="CV19" s="42">
        <f ca="1">IF(OR($I$10="",$O19="",$P19="",$J$39&lt;&gt;"Yes"),0,IF($K$10=0,SUMIFS(INDIRECT(ADDRESS(12,3+18*1+(4),,,"J1 D - South Bank Avenue")&amp;":"&amp;ADDRESS(130,3+18*1+(4))),'J1 D - South Bank Avenue'!$A$12:$A$130,"&gt;="&amp;Diagram!$O19,'J1 D - South Bank Avenue'!$A$12:$A$130,"&lt;"&amp;Diagram!$P19),SUMIFS(INDIRECT(ADDRESS(12,3+18*1+(12),,,"J1 D - South Bank Avenue")&amp;":"&amp;ADDRESS(130,3+18*1+(12))),'J1 D - South Bank Avenue'!$A$12:$A$130,"&gt;="&amp;Diagram!$O19,'J1 D - South Bank Avenue'!$A$12:$A$130,"&lt;"&amp;Diagram!$P19)))</f>
        <v>0</v>
      </c>
      <c r="CW19" s="42">
        <f ca="1">IF(OR($I$10="",$O19="",$P19="",$J$39&lt;&gt;"Yes"),0,IF($K$10=0,SUMIFS(INDIRECT(ADDRESS(12,3+18*2+(4),,,"J1 D - South Bank Avenue")&amp;":"&amp;ADDRESS(130,3+18*2+(4))),'J1 D - South Bank Avenue'!$A$12:$A$130,"&gt;="&amp;Diagram!$O19,'J1 D - South Bank Avenue'!$A$12:$A$130,"&lt;"&amp;Diagram!$P19),SUMIFS(INDIRECT(ADDRESS(12,3+18*2+(12),,,"J1 D - South Bank Avenue")&amp;":"&amp;ADDRESS(130,3+18*2+(12))),'J1 D - South Bank Avenue'!$A$12:$A$130,"&gt;="&amp;Diagram!$O19,'J1 D - South Bank Avenue'!$A$12:$A$130,"&lt;"&amp;Diagram!$P19)))</f>
        <v>0</v>
      </c>
      <c r="CX19" s="42">
        <f ca="1">IF(OR($I$10="",$O19="",$P19="",$J$39&lt;&gt;"Yes"),0,IF($K$10=0,SUMIFS(INDIRECT(ADDRESS(12,3+18*3+(4),,,"J1 D - South Bank Avenue")&amp;":"&amp;ADDRESS(130,3+18*3+(4))),'J1 D - South Bank Avenue'!$A$12:$A$130,"&gt;="&amp;Diagram!$O19,'J1 D - South Bank Avenue'!$A$12:$A$130,"&lt;"&amp;Diagram!$P19),SUMIFS(INDIRECT(ADDRESS(12,3+18*3+(12),,,"J1 D - South Bank Avenue")&amp;":"&amp;ADDRESS(130,3+18*3+(12))),'J1 D - South Bank Avenue'!$A$12:$A$130,"&gt;="&amp;Diagram!$O19,'J1 D - South Bank Avenue'!$A$12:$A$130,"&lt;"&amp;Diagram!$P19)))</f>
        <v>0</v>
      </c>
      <c r="CY19" s="42">
        <f t="shared" ca="1" si="6"/>
        <v>6</v>
      </c>
      <c r="CZ19" s="42">
        <f ca="1">IF(OR($I$10="",$O19="",$P19="",$J$40&lt;&gt;"Yes"),0,IF($K$10=0,SUMIFS(INDIRECT(ADDRESS(12,3+18*3+(5),,,"J1 A - (North) Bishopthorpe Roa")&amp;":"&amp;ADDRESS(130,3+18*3+(5))),'J1 A - (North) Bishopthorpe Roa'!$A$12:$A$130,"&gt;="&amp;Diagram!$O19,'J1 A - (North) Bishopthorpe Roa'!$A$12:$A$130,"&lt;"&amp;Diagram!$P19),SUMIFS(INDIRECT(ADDRESS(12,3+18*3+(13),,,"J1 A - (North) Bishopthorpe Roa")&amp;":"&amp;ADDRESS(130,3+18*3+(13))),'J1 A - (North) Bishopthorpe Roa'!$A$12:$A$130,"&gt;="&amp;Diagram!$O19,'J1 A - (North) Bishopthorpe Roa'!$A$12:$A$130,"&lt;"&amp;Diagram!$P19)))</f>
        <v>0</v>
      </c>
      <c r="DA19" s="42">
        <f ca="1">IF(OR($I$10="",$O19="",$P19="",$J$40&lt;&gt;"Yes"),0,IF($K$10=0,SUMIFS(INDIRECT(ADDRESS(12,3+18*0+(5),,,"J1 A - (North) Bishopthorpe Roa")&amp;":"&amp;ADDRESS(130,3+18*0+(5))),'J1 A - (North) Bishopthorpe Roa'!$A$12:$A$130,"&gt;="&amp;Diagram!$O19,'J1 A - (North) Bishopthorpe Roa'!$A$12:$A$130,"&lt;"&amp;Diagram!$P19),SUMIFS(INDIRECT(ADDRESS(12,3+18*0+(13),,,"J1 A - (North) Bishopthorpe Roa")&amp;":"&amp;ADDRESS(130,3+18*0+(13))),'J1 A - (North) Bishopthorpe Roa'!$A$12:$A$130,"&gt;="&amp;Diagram!$O19,'J1 A - (North) Bishopthorpe Roa'!$A$12:$A$130,"&lt;"&amp;Diagram!$P19)))</f>
        <v>0</v>
      </c>
      <c r="DB19" s="42">
        <f ca="1">IF(OR($I$10="",$O19="",$P19="",$J$40&lt;&gt;"Yes"),0,IF($K$10=0,SUMIFS(INDIRECT(ADDRESS(12,3+18*1+(5),,,"J1 A - (North) Bishopthorpe Roa")&amp;":"&amp;ADDRESS(130,3+18*1+(5))),'J1 A - (North) Bishopthorpe Roa'!$A$12:$A$130,"&gt;="&amp;Diagram!$O19,'J1 A - (North) Bishopthorpe Roa'!$A$12:$A$130,"&lt;"&amp;Diagram!$P19),SUMIFS(INDIRECT(ADDRESS(12,3+18*1+(13),,,"J1 A - (North) Bishopthorpe Roa")&amp;":"&amp;ADDRESS(130,3+18*1+(13))),'J1 A - (North) Bishopthorpe Roa'!$A$12:$A$130,"&gt;="&amp;Diagram!$O19,'J1 A - (North) Bishopthorpe Roa'!$A$12:$A$130,"&lt;"&amp;Diagram!$P19)))</f>
        <v>1</v>
      </c>
      <c r="DC19" s="42">
        <f ca="1">IF(OR($I$10="",$O19="",$P19="",$J$40&lt;&gt;"Yes"),0,IF($K$10=0,SUMIFS(INDIRECT(ADDRESS(12,3+18*2+(5),,,"J1 A - (North) Bishopthorpe Roa")&amp;":"&amp;ADDRESS(130,3+18*2+(5))),'J1 A - (North) Bishopthorpe Roa'!$A$12:$A$130,"&gt;="&amp;Diagram!$O19,'J1 A - (North) Bishopthorpe Roa'!$A$12:$A$130,"&lt;"&amp;Diagram!$P19),SUMIFS(INDIRECT(ADDRESS(12,3+18*2+(13),,,"J1 A - (North) Bishopthorpe Roa")&amp;":"&amp;ADDRESS(130,3+18*2+(13))),'J1 A - (North) Bishopthorpe Roa'!$A$12:$A$130,"&gt;="&amp;Diagram!$O19,'J1 A - (North) Bishopthorpe Roa'!$A$12:$A$130,"&lt;"&amp;Diagram!$P19)))</f>
        <v>0</v>
      </c>
      <c r="DD19" s="42">
        <f ca="1">IF(OR($I$10="",$O19="",$P19="",$J$40&lt;&gt;"Yes"),0,IF($K$10=0,SUMIFS(INDIRECT(ADDRESS(12,3+18*2+(5),,,"J1 B - Butcher Terrace")&amp;":"&amp;ADDRESS(130,3+18*2+(5))),'J1 B - Butcher Terrace'!$A$12:$A$130,"&gt;="&amp;Diagram!$O19,'J1 B - Butcher Terrace'!$A$12:$A$130,"&lt;"&amp;Diagram!$P19),SUMIFS(INDIRECT(ADDRESS(12,3+18*2+(13),,,"J1 B - Butcher Terrace")&amp;":"&amp;ADDRESS(130,3+18*2+(13))),'J1 B - Butcher Terrace'!$A$12:$A$130,"&gt;="&amp;Diagram!$O19,'J1 B - Butcher Terrace'!$A$12:$A$130,"&lt;"&amp;Diagram!$P19)))</f>
        <v>2</v>
      </c>
      <c r="DE19" s="42">
        <f ca="1">IF(OR($I$10="",$O19="",$P19="",$J$40&lt;&gt;"Yes"),0,IF($K$10=0,SUMIFS(INDIRECT(ADDRESS(12,3+18*3+(5),,,"J1 B - Butcher Terrace")&amp;":"&amp;ADDRESS(130,3+18*3+(5))),'J1 B - Butcher Terrace'!$A$12:$A$130,"&gt;="&amp;Diagram!$O19,'J1 B - Butcher Terrace'!$A$12:$A$130,"&lt;"&amp;Diagram!$P19),SUMIFS(INDIRECT(ADDRESS(12,3+18*3+(13),,,"J1 B - Butcher Terrace")&amp;":"&amp;ADDRESS(130,3+18*3+(13))),'J1 B - Butcher Terrace'!$A$12:$A$130,"&gt;="&amp;Diagram!$O19,'J1 B - Butcher Terrace'!$A$12:$A$130,"&lt;"&amp;Diagram!$P19)))</f>
        <v>0</v>
      </c>
      <c r="DF19" s="42">
        <f ca="1">IF(OR($I$10="",$O19="",$P19="",$J$40&lt;&gt;"Yes"),0,IF($K$10=0,SUMIFS(INDIRECT(ADDRESS(12,3+18*0+(5),,,"J1 B - Butcher Terrace")&amp;":"&amp;ADDRESS(130,3+18*0+(5))),'J1 B - Butcher Terrace'!$A$12:$A$130,"&gt;="&amp;Diagram!$O19,'J1 B - Butcher Terrace'!$A$12:$A$130,"&lt;"&amp;Diagram!$P19),SUMIFS(INDIRECT(ADDRESS(12,3+18*0+(13),,,"J1 B - Butcher Terrace")&amp;":"&amp;ADDRESS(130,3+18*0+(13))),'J1 B - Butcher Terrace'!$A$12:$A$130,"&gt;="&amp;Diagram!$O19,'J1 B - Butcher Terrace'!$A$12:$A$130,"&lt;"&amp;Diagram!$P19)))</f>
        <v>1</v>
      </c>
      <c r="DG19" s="42">
        <f ca="1">IF(OR($I$10="",$O19="",$P19="",$J$40&lt;&gt;"Yes"),0,IF($K$10=0,SUMIFS(INDIRECT(ADDRESS(12,3+18*1+(5),,,"J1 B - Butcher Terrace")&amp;":"&amp;ADDRESS(130,3+18*1+(5))),'J1 B - Butcher Terrace'!$A$12:$A$130,"&gt;="&amp;Diagram!$O19,'J1 B - Butcher Terrace'!$A$12:$A$130,"&lt;"&amp;Diagram!$P19),SUMIFS(INDIRECT(ADDRESS(12,3+18*1+(13),,,"J1 B - Butcher Terrace")&amp;":"&amp;ADDRESS(130,3+18*1+(13))),'J1 B - Butcher Terrace'!$A$12:$A$130,"&gt;="&amp;Diagram!$O19,'J1 B - Butcher Terrace'!$A$12:$A$130,"&lt;"&amp;Diagram!$P19)))</f>
        <v>0</v>
      </c>
      <c r="DH19" s="42">
        <f ca="1">IF(OR($I$10="",$O19="",$P19="",$J$40&lt;&gt;"Yes"),0,IF($K$10=0,SUMIFS(INDIRECT(ADDRESS(12,3+18*1+(5),,,"J1 C - (South) Bishopthorpe Roa")&amp;":"&amp;ADDRESS(130,3+18*1+(5))),'J1 C - (South) Bishopthorpe Roa'!$A$12:$A$130,"&gt;="&amp;Diagram!$O19,'J1 C - (South) Bishopthorpe Roa'!$A$12:$A$130,"&lt;"&amp;Diagram!$P19),SUMIFS(INDIRECT(ADDRESS(12,3+18*1+(13),,,"J1 C - (South) Bishopthorpe Roa")&amp;":"&amp;ADDRESS(130,3+18*1+(13))),'J1 C - (South) Bishopthorpe Roa'!$A$12:$A$130,"&gt;="&amp;Diagram!$O19,'J1 C - (South) Bishopthorpe Roa'!$A$12:$A$130,"&lt;"&amp;Diagram!$P19)))</f>
        <v>1</v>
      </c>
      <c r="DI19" s="42">
        <f ca="1">IF(OR($I$10="",$O19="",$P19="",$J$40&lt;&gt;"Yes"),0,IF($K$10=0,SUMIFS(INDIRECT(ADDRESS(12,3+18*2+(5),,,"J1 C - (South) Bishopthorpe Roa")&amp;":"&amp;ADDRESS(130,3+18*2+(5))),'J1 C - (South) Bishopthorpe Roa'!$A$12:$A$130,"&gt;="&amp;Diagram!$O19,'J1 C - (South) Bishopthorpe Roa'!$A$12:$A$130,"&lt;"&amp;Diagram!$P19),SUMIFS(INDIRECT(ADDRESS(12,3+18*2+(13),,,"J1 C - (South) Bishopthorpe Roa")&amp;":"&amp;ADDRESS(130,3+18*2+(13))),'J1 C - (South) Bishopthorpe Roa'!$A$12:$A$130,"&gt;="&amp;Diagram!$O19,'J1 C - (South) Bishopthorpe Roa'!$A$12:$A$130,"&lt;"&amp;Diagram!$P19)))</f>
        <v>0</v>
      </c>
      <c r="DJ19" s="42">
        <f ca="1">IF(OR($I$10="",$O19="",$P19="",$J$40&lt;&gt;"Yes"),0,IF($K$10=0,SUMIFS(INDIRECT(ADDRESS(12,3+18*3+(5),,,"J1 C - (South) Bishopthorpe Roa")&amp;":"&amp;ADDRESS(130,3+18*3+(5))),'J1 C - (South) Bishopthorpe Roa'!$A$12:$A$130,"&gt;="&amp;Diagram!$O19,'J1 C - (South) Bishopthorpe Roa'!$A$12:$A$130,"&lt;"&amp;Diagram!$P19),SUMIFS(INDIRECT(ADDRESS(12,3+18*3+(13),,,"J1 C - (South) Bishopthorpe Roa")&amp;":"&amp;ADDRESS(130,3+18*3+(13))),'J1 C - (South) Bishopthorpe Roa'!$A$12:$A$130,"&gt;="&amp;Diagram!$O19,'J1 C - (South) Bishopthorpe Roa'!$A$12:$A$130,"&lt;"&amp;Diagram!$P19)))</f>
        <v>0</v>
      </c>
      <c r="DK19" s="42">
        <f ca="1">IF(OR($I$10="",$O19="",$P19="",$J$40&lt;&gt;"Yes"),0,IF($K$10=0,SUMIFS(INDIRECT(ADDRESS(12,3+18*0+(5),,,"J1 C - (South) Bishopthorpe Roa")&amp;":"&amp;ADDRESS(130,3+18*0+(5))),'J1 C - (South) Bishopthorpe Roa'!$A$12:$A$130,"&gt;="&amp;Diagram!$O19,'J1 C - (South) Bishopthorpe Roa'!$A$12:$A$130,"&lt;"&amp;Diagram!$P19),SUMIFS(INDIRECT(ADDRESS(12,3+18*0+(13),,,"J1 C - (South) Bishopthorpe Roa")&amp;":"&amp;ADDRESS(130,3+18*0+(13))),'J1 C - (South) Bishopthorpe Roa'!$A$12:$A$130,"&gt;="&amp;Diagram!$O19,'J1 C - (South) Bishopthorpe Roa'!$A$12:$A$130,"&lt;"&amp;Diagram!$P19)))</f>
        <v>0</v>
      </c>
      <c r="DL19" s="42">
        <f ca="1">IF(OR($I$10="",$O19="",$P19="",$J$40&lt;&gt;"Yes"),0,IF($K$10=0,SUMIFS(INDIRECT(ADDRESS(12,3+18*0+(5),,,"J1 D - South Bank Avenue")&amp;":"&amp;ADDRESS(130,3+18*0+(5))),'J1 D - South Bank Avenue'!$A$12:$A$130,"&gt;="&amp;Diagram!$O19,'J1 D - South Bank Avenue'!$A$12:$A$130,"&lt;"&amp;Diagram!$P19),SUMIFS(INDIRECT(ADDRESS(12,3+18*0+(13),,,"J1 D - South Bank Avenue")&amp;":"&amp;ADDRESS(130,3+18*0+(13))),'J1 D - South Bank Avenue'!$A$12:$A$130,"&gt;="&amp;Diagram!$O19,'J1 D - South Bank Avenue'!$A$12:$A$130,"&lt;"&amp;Diagram!$P19)))</f>
        <v>1</v>
      </c>
      <c r="DM19" s="42">
        <f ca="1">IF(OR($I$10="",$O19="",$P19="",$J$40&lt;&gt;"Yes"),0,IF($K$10=0,SUMIFS(INDIRECT(ADDRESS(12,3+18*1+(5),,,"J1 D - South Bank Avenue")&amp;":"&amp;ADDRESS(130,3+18*1+(5))),'J1 D - South Bank Avenue'!$A$12:$A$130,"&gt;="&amp;Diagram!$O19,'J1 D - South Bank Avenue'!$A$12:$A$130,"&lt;"&amp;Diagram!$P19),SUMIFS(INDIRECT(ADDRESS(12,3+18*1+(13),,,"J1 D - South Bank Avenue")&amp;":"&amp;ADDRESS(130,3+18*1+(13))),'J1 D - South Bank Avenue'!$A$12:$A$130,"&gt;="&amp;Diagram!$O19,'J1 D - South Bank Avenue'!$A$12:$A$130,"&lt;"&amp;Diagram!$P19)))</f>
        <v>0</v>
      </c>
      <c r="DN19" s="42">
        <f ca="1">IF(OR($I$10="",$O19="",$P19="",$J$40&lt;&gt;"Yes"),0,IF($K$10=0,SUMIFS(INDIRECT(ADDRESS(12,3+18*2+(5),,,"J1 D - South Bank Avenue")&amp;":"&amp;ADDRESS(130,3+18*2+(5))),'J1 D - South Bank Avenue'!$A$12:$A$130,"&gt;="&amp;Diagram!$O19,'J1 D - South Bank Avenue'!$A$12:$A$130,"&lt;"&amp;Diagram!$P19),SUMIFS(INDIRECT(ADDRESS(12,3+18*2+(13),,,"J1 D - South Bank Avenue")&amp;":"&amp;ADDRESS(130,3+18*2+(13))),'J1 D - South Bank Avenue'!$A$12:$A$130,"&gt;="&amp;Diagram!$O19,'J1 D - South Bank Avenue'!$A$12:$A$130,"&lt;"&amp;Diagram!$P19)))</f>
        <v>0</v>
      </c>
      <c r="DO19" s="42">
        <f ca="1">IF(OR($I$10="",$O19="",$P19="",$J$40&lt;&gt;"Yes"),0,IF($K$10=0,SUMIFS(INDIRECT(ADDRESS(12,3+18*3+(5),,,"J1 D - South Bank Avenue")&amp;":"&amp;ADDRESS(130,3+18*3+(5))),'J1 D - South Bank Avenue'!$A$12:$A$130,"&gt;="&amp;Diagram!$O19,'J1 D - South Bank Avenue'!$A$12:$A$130,"&lt;"&amp;Diagram!$P19),SUMIFS(INDIRECT(ADDRESS(12,3+18*3+(13),,,"J1 D - South Bank Avenue")&amp;":"&amp;ADDRESS(130,3+18*3+(13))),'J1 D - South Bank Avenue'!$A$12:$A$130,"&gt;="&amp;Diagram!$O19,'J1 D - South Bank Avenue'!$A$12:$A$130,"&lt;"&amp;Diagram!$P19)))</f>
        <v>0</v>
      </c>
      <c r="DP19" s="42">
        <f t="shared" ca="1" si="7"/>
        <v>0</v>
      </c>
      <c r="DQ19" s="42">
        <f ca="1">IF(OR($I$10="",$O19="",$P19="",$J$41&lt;&gt;"Yes"),0,IF($K$10=0,SUMIFS(INDIRECT(ADDRESS(12,3+18*3+(6),,,"J1 A - (North) Bishopthorpe Roa")&amp;":"&amp;ADDRESS(130,3+18*3+(6))),'J1 A - (North) Bishopthorpe Roa'!$A$12:$A$130,"&gt;="&amp;Diagram!$O19,'J1 A - (North) Bishopthorpe Roa'!$A$12:$A$130,"&lt;"&amp;Diagram!$P19),SUMIFS(INDIRECT(ADDRESS(12,3+18*3+(14),,,"J1 A - (North) Bishopthorpe Roa")&amp;":"&amp;ADDRESS(130,3+18*3+(14))),'J1 A - (North) Bishopthorpe Roa'!$A$12:$A$130,"&gt;="&amp;Diagram!$O19,'J1 A - (North) Bishopthorpe Roa'!$A$12:$A$130,"&lt;"&amp;Diagram!$P19)))</f>
        <v>0</v>
      </c>
      <c r="DR19" s="42">
        <f ca="1">IF(OR($I$10="",$O19="",$P19="",$J$41&lt;&gt;"Yes"),0,IF($K$10=0,SUMIFS(INDIRECT(ADDRESS(12,3+18*0+(6),,,"J1 A - (North) Bishopthorpe Roa")&amp;":"&amp;ADDRESS(130,3+18*0+(6))),'J1 A - (North) Bishopthorpe Roa'!$A$12:$A$130,"&gt;="&amp;Diagram!$O19,'J1 A - (North) Bishopthorpe Roa'!$A$12:$A$130,"&lt;"&amp;Diagram!$P19),SUMIFS(INDIRECT(ADDRESS(12,3+18*0+(14),,,"J1 A - (North) Bishopthorpe Roa")&amp;":"&amp;ADDRESS(130,3+18*0+(14))),'J1 A - (North) Bishopthorpe Roa'!$A$12:$A$130,"&gt;="&amp;Diagram!$O19,'J1 A - (North) Bishopthorpe Roa'!$A$12:$A$130,"&lt;"&amp;Diagram!$P19)))</f>
        <v>0</v>
      </c>
      <c r="DS19" s="42">
        <f ca="1">IF(OR($I$10="",$O19="",$P19="",$J$41&lt;&gt;"Yes"),0,IF($K$10=0,SUMIFS(INDIRECT(ADDRESS(12,3+18*1+(6),,,"J1 A - (North) Bishopthorpe Roa")&amp;":"&amp;ADDRESS(130,3+18*1+(6))),'J1 A - (North) Bishopthorpe Roa'!$A$12:$A$130,"&gt;="&amp;Diagram!$O19,'J1 A - (North) Bishopthorpe Roa'!$A$12:$A$130,"&lt;"&amp;Diagram!$P19),SUMIFS(INDIRECT(ADDRESS(12,3+18*1+(14),,,"J1 A - (North) Bishopthorpe Roa")&amp;":"&amp;ADDRESS(130,3+18*1+(14))),'J1 A - (North) Bishopthorpe Roa'!$A$12:$A$130,"&gt;="&amp;Diagram!$O19,'J1 A - (North) Bishopthorpe Roa'!$A$12:$A$130,"&lt;"&amp;Diagram!$P19)))</f>
        <v>0</v>
      </c>
      <c r="DT19" s="42">
        <f ca="1">IF(OR($I$10="",$O19="",$P19="",$J$41&lt;&gt;"Yes"),0,IF($K$10=0,SUMIFS(INDIRECT(ADDRESS(12,3+18*2+(6),,,"J1 A - (North) Bishopthorpe Roa")&amp;":"&amp;ADDRESS(130,3+18*2+(6))),'J1 A - (North) Bishopthorpe Roa'!$A$12:$A$130,"&gt;="&amp;Diagram!$O19,'J1 A - (North) Bishopthorpe Roa'!$A$12:$A$130,"&lt;"&amp;Diagram!$P19),SUMIFS(INDIRECT(ADDRESS(12,3+18*2+(14),,,"J1 A - (North) Bishopthorpe Roa")&amp;":"&amp;ADDRESS(130,3+18*2+(14))),'J1 A - (North) Bishopthorpe Roa'!$A$12:$A$130,"&gt;="&amp;Diagram!$O19,'J1 A - (North) Bishopthorpe Roa'!$A$12:$A$130,"&lt;"&amp;Diagram!$P19)))</f>
        <v>0</v>
      </c>
      <c r="DU19" s="42">
        <f ca="1">IF(OR($I$10="",$O19="",$P19="",$J$41&lt;&gt;"Yes"),0,IF($K$10=0,SUMIFS(INDIRECT(ADDRESS(12,3+18*2+(6),,,"J1 B - Butcher Terrace")&amp;":"&amp;ADDRESS(130,3+18*2+(6))),'J1 B - Butcher Terrace'!$A$12:$A$130,"&gt;="&amp;Diagram!$O19,'J1 B - Butcher Terrace'!$A$12:$A$130,"&lt;"&amp;Diagram!$P19),SUMIFS(INDIRECT(ADDRESS(12,3+18*2+(14),,,"J1 B - Butcher Terrace")&amp;":"&amp;ADDRESS(130,3+18*2+(14))),'J1 B - Butcher Terrace'!$A$12:$A$130,"&gt;="&amp;Diagram!$O19,'J1 B - Butcher Terrace'!$A$12:$A$130,"&lt;"&amp;Diagram!$P19)))</f>
        <v>0</v>
      </c>
      <c r="DV19" s="42">
        <f ca="1">IF(OR($I$10="",$O19="",$P19="",$J$41&lt;&gt;"Yes"),0,IF($K$10=0,SUMIFS(INDIRECT(ADDRESS(12,3+18*3+(6),,,"J1 B - Butcher Terrace")&amp;":"&amp;ADDRESS(130,3+18*3+(6))),'J1 B - Butcher Terrace'!$A$12:$A$130,"&gt;="&amp;Diagram!$O19,'J1 B - Butcher Terrace'!$A$12:$A$130,"&lt;"&amp;Diagram!$P19),SUMIFS(INDIRECT(ADDRESS(12,3+18*3+(14),,,"J1 B - Butcher Terrace")&amp;":"&amp;ADDRESS(130,3+18*3+(14))),'J1 B - Butcher Terrace'!$A$12:$A$130,"&gt;="&amp;Diagram!$O19,'J1 B - Butcher Terrace'!$A$12:$A$130,"&lt;"&amp;Diagram!$P19)))</f>
        <v>0</v>
      </c>
      <c r="DW19" s="42">
        <f ca="1">IF(OR($I$10="",$O19="",$P19="",$J$41&lt;&gt;"Yes"),0,IF($K$10=0,SUMIFS(INDIRECT(ADDRESS(12,3+18*0+(6),,,"J1 B - Butcher Terrace")&amp;":"&amp;ADDRESS(130,3+18*0+(6))),'J1 B - Butcher Terrace'!$A$12:$A$130,"&gt;="&amp;Diagram!$O19,'J1 B - Butcher Terrace'!$A$12:$A$130,"&lt;"&amp;Diagram!$P19),SUMIFS(INDIRECT(ADDRESS(12,3+18*0+(14),,,"J1 B - Butcher Terrace")&amp;":"&amp;ADDRESS(130,3+18*0+(14))),'J1 B - Butcher Terrace'!$A$12:$A$130,"&gt;="&amp;Diagram!$O19,'J1 B - Butcher Terrace'!$A$12:$A$130,"&lt;"&amp;Diagram!$P19)))</f>
        <v>0</v>
      </c>
      <c r="DX19" s="42">
        <f ca="1">IF(OR($I$10="",$O19="",$P19="",$J$41&lt;&gt;"Yes"),0,IF($K$10=0,SUMIFS(INDIRECT(ADDRESS(12,3+18*1+(6),,,"J1 B - Butcher Terrace")&amp;":"&amp;ADDRESS(130,3+18*1+(6))),'J1 B - Butcher Terrace'!$A$12:$A$130,"&gt;="&amp;Diagram!$O19,'J1 B - Butcher Terrace'!$A$12:$A$130,"&lt;"&amp;Diagram!$P19),SUMIFS(INDIRECT(ADDRESS(12,3+18*1+(14),,,"J1 B - Butcher Terrace")&amp;":"&amp;ADDRESS(130,3+18*1+(14))),'J1 B - Butcher Terrace'!$A$12:$A$130,"&gt;="&amp;Diagram!$O19,'J1 B - Butcher Terrace'!$A$12:$A$130,"&lt;"&amp;Diagram!$P19)))</f>
        <v>0</v>
      </c>
      <c r="DY19" s="42">
        <f ca="1">IF(OR($I$10="",$O19="",$P19="",$J$41&lt;&gt;"Yes"),0,IF($K$10=0,SUMIFS(INDIRECT(ADDRESS(12,3+18*1+(6),,,"J1 C - (South) Bishopthorpe Roa")&amp;":"&amp;ADDRESS(130,3+18*1+(6))),'J1 C - (South) Bishopthorpe Roa'!$A$12:$A$130,"&gt;="&amp;Diagram!$O19,'J1 C - (South) Bishopthorpe Roa'!$A$12:$A$130,"&lt;"&amp;Diagram!$P19),SUMIFS(INDIRECT(ADDRESS(12,3+18*1+(14),,,"J1 C - (South) Bishopthorpe Roa")&amp;":"&amp;ADDRESS(130,3+18*1+(14))),'J1 C - (South) Bishopthorpe Roa'!$A$12:$A$130,"&gt;="&amp;Diagram!$O19,'J1 C - (South) Bishopthorpe Roa'!$A$12:$A$130,"&lt;"&amp;Diagram!$P19)))</f>
        <v>0</v>
      </c>
      <c r="DZ19" s="42">
        <f ca="1">IF(OR($I$10="",$O19="",$P19="",$J$41&lt;&gt;"Yes"),0,IF($K$10=0,SUMIFS(INDIRECT(ADDRESS(12,3+18*2+(6),,,"J1 C - (South) Bishopthorpe Roa")&amp;":"&amp;ADDRESS(130,3+18*2+(6))),'J1 C - (South) Bishopthorpe Roa'!$A$12:$A$130,"&gt;="&amp;Diagram!$O19,'J1 C - (South) Bishopthorpe Roa'!$A$12:$A$130,"&lt;"&amp;Diagram!$P19),SUMIFS(INDIRECT(ADDRESS(12,3+18*2+(14),,,"J1 C - (South) Bishopthorpe Roa")&amp;":"&amp;ADDRESS(130,3+18*2+(14))),'J1 C - (South) Bishopthorpe Roa'!$A$12:$A$130,"&gt;="&amp;Diagram!$O19,'J1 C - (South) Bishopthorpe Roa'!$A$12:$A$130,"&lt;"&amp;Diagram!$P19)))</f>
        <v>0</v>
      </c>
      <c r="EA19" s="42">
        <f ca="1">IF(OR($I$10="",$O19="",$P19="",$J$41&lt;&gt;"Yes"),0,IF($K$10=0,SUMIFS(INDIRECT(ADDRESS(12,3+18*3+(6),,,"J1 C - (South) Bishopthorpe Roa")&amp;":"&amp;ADDRESS(130,3+18*3+(6))),'J1 C - (South) Bishopthorpe Roa'!$A$12:$A$130,"&gt;="&amp;Diagram!$O19,'J1 C - (South) Bishopthorpe Roa'!$A$12:$A$130,"&lt;"&amp;Diagram!$P19),SUMIFS(INDIRECT(ADDRESS(12,3+18*3+(14),,,"J1 C - (South) Bishopthorpe Roa")&amp;":"&amp;ADDRESS(130,3+18*3+(14))),'J1 C - (South) Bishopthorpe Roa'!$A$12:$A$130,"&gt;="&amp;Diagram!$O19,'J1 C - (South) Bishopthorpe Roa'!$A$12:$A$130,"&lt;"&amp;Diagram!$P19)))</f>
        <v>0</v>
      </c>
      <c r="EB19" s="42">
        <f ca="1">IF(OR($I$10="",$O19="",$P19="",$J$41&lt;&gt;"Yes"),0,IF($K$10=0,SUMIFS(INDIRECT(ADDRESS(12,3+18*0+(6),,,"J1 C - (South) Bishopthorpe Roa")&amp;":"&amp;ADDRESS(130,3+18*0+(6))),'J1 C - (South) Bishopthorpe Roa'!$A$12:$A$130,"&gt;="&amp;Diagram!$O19,'J1 C - (South) Bishopthorpe Roa'!$A$12:$A$130,"&lt;"&amp;Diagram!$P19),SUMIFS(INDIRECT(ADDRESS(12,3+18*0+(14),,,"J1 C - (South) Bishopthorpe Roa")&amp;":"&amp;ADDRESS(130,3+18*0+(14))),'J1 C - (South) Bishopthorpe Roa'!$A$12:$A$130,"&gt;="&amp;Diagram!$O19,'J1 C - (South) Bishopthorpe Roa'!$A$12:$A$130,"&lt;"&amp;Diagram!$P19)))</f>
        <v>0</v>
      </c>
      <c r="EC19" s="42">
        <f ca="1">IF(OR($I$10="",$O19="",$P19="",$J$41&lt;&gt;"Yes"),0,IF($K$10=0,SUMIFS(INDIRECT(ADDRESS(12,3+18*0+(6),,,"J1 D - South Bank Avenue")&amp;":"&amp;ADDRESS(130,3+18*0+(6))),'J1 D - South Bank Avenue'!$A$12:$A$130,"&gt;="&amp;Diagram!$O19,'J1 D - South Bank Avenue'!$A$12:$A$130,"&lt;"&amp;Diagram!$P19),SUMIFS(INDIRECT(ADDRESS(12,3+18*0+(14),,,"J1 D - South Bank Avenue")&amp;":"&amp;ADDRESS(130,3+18*0+(14))),'J1 D - South Bank Avenue'!$A$12:$A$130,"&gt;="&amp;Diagram!$O19,'J1 D - South Bank Avenue'!$A$12:$A$130,"&lt;"&amp;Diagram!$P19)))</f>
        <v>0</v>
      </c>
      <c r="ED19" s="42">
        <f ca="1">IF(OR($I$10="",$O19="",$P19="",$J$41&lt;&gt;"Yes"),0,IF($K$10=0,SUMIFS(INDIRECT(ADDRESS(12,3+18*1+(6),,,"J1 D - South Bank Avenue")&amp;":"&amp;ADDRESS(130,3+18*1+(6))),'J1 D - South Bank Avenue'!$A$12:$A$130,"&gt;="&amp;Diagram!$O19,'J1 D - South Bank Avenue'!$A$12:$A$130,"&lt;"&amp;Diagram!$P19),SUMIFS(INDIRECT(ADDRESS(12,3+18*1+(14),,,"J1 D - South Bank Avenue")&amp;":"&amp;ADDRESS(130,3+18*1+(14))),'J1 D - South Bank Avenue'!$A$12:$A$130,"&gt;="&amp;Diagram!$O19,'J1 D - South Bank Avenue'!$A$12:$A$130,"&lt;"&amp;Diagram!$P19)))</f>
        <v>0</v>
      </c>
      <c r="EE19" s="42">
        <f ca="1">IF(OR($I$10="",$O19="",$P19="",$J$41&lt;&gt;"Yes"),0,IF($K$10=0,SUMIFS(INDIRECT(ADDRESS(12,3+18*2+(6),,,"J1 D - South Bank Avenue")&amp;":"&amp;ADDRESS(130,3+18*2+(6))),'J1 D - South Bank Avenue'!$A$12:$A$130,"&gt;="&amp;Diagram!$O19,'J1 D - South Bank Avenue'!$A$12:$A$130,"&lt;"&amp;Diagram!$P19),SUMIFS(INDIRECT(ADDRESS(12,3+18*2+(14),,,"J1 D - South Bank Avenue")&amp;":"&amp;ADDRESS(130,3+18*2+(14))),'J1 D - South Bank Avenue'!$A$12:$A$130,"&gt;="&amp;Diagram!$O19,'J1 D - South Bank Avenue'!$A$12:$A$130,"&lt;"&amp;Diagram!$P19)))</f>
        <v>0</v>
      </c>
      <c r="EF19" s="42">
        <f ca="1">IF(OR($I$10="",$O19="",$P19="",$J$41&lt;&gt;"Yes"),0,IF($K$10=0,SUMIFS(INDIRECT(ADDRESS(12,3+18*3+(6),,,"J1 D - South Bank Avenue")&amp;":"&amp;ADDRESS(130,3+18*3+(6))),'J1 D - South Bank Avenue'!$A$12:$A$130,"&gt;="&amp;Diagram!$O19,'J1 D - South Bank Avenue'!$A$12:$A$130,"&lt;"&amp;Diagram!$P19),SUMIFS(INDIRECT(ADDRESS(12,3+18*3+(14),,,"J1 D - South Bank Avenue")&amp;":"&amp;ADDRESS(130,3+18*3+(14))),'J1 D - South Bank Avenue'!$A$12:$A$130,"&gt;="&amp;Diagram!$O19,'J1 D - South Bank Avenue'!$A$12:$A$130,"&lt;"&amp;Diagram!$P19)))</f>
        <v>0</v>
      </c>
      <c r="EG19" s="42">
        <f t="shared" ca="1" si="8"/>
        <v>0</v>
      </c>
      <c r="EH19" s="42">
        <f ca="1">IF(OR($I$10="",$O19="",$P19="",$J$42&lt;&gt;"Yes"),0,IF($K$10=0,SUMIFS(INDIRECT(ADDRESS(12,3+18*3+(7),,,"J1 A - (North) Bishopthorpe Roa")&amp;":"&amp;ADDRESS(130,3+18*3+(7))),'J1 A - (North) Bishopthorpe Roa'!$A$12:$A$130,"&gt;="&amp;Diagram!$O19,'J1 A - (North) Bishopthorpe Roa'!$A$12:$A$130,"&lt;"&amp;Diagram!$P19),SUMIFS(INDIRECT(ADDRESS(12,3+18*3+(15),,,"J1 A - (North) Bishopthorpe Roa")&amp;":"&amp;ADDRESS(130,3+18*3+(15))),'J1 A - (North) Bishopthorpe Roa'!$A$12:$A$130,"&gt;="&amp;Diagram!$O19,'J1 A - (North) Bishopthorpe Roa'!$A$12:$A$130,"&lt;"&amp;Diagram!$P19)))</f>
        <v>0</v>
      </c>
      <c r="EI19" s="42">
        <f ca="1">IF(OR($I$10="",$O19="",$P19="",$J$42&lt;&gt;"Yes"),0,IF($K$10=0,SUMIFS(INDIRECT(ADDRESS(12,3+18*0+(7),,,"J1 A - (North) Bishopthorpe Roa")&amp;":"&amp;ADDRESS(130,3+18*0+(7))),'J1 A - (North) Bishopthorpe Roa'!$A$12:$A$130,"&gt;="&amp;Diagram!$O19,'J1 A - (North) Bishopthorpe Roa'!$A$12:$A$130,"&lt;"&amp;Diagram!$P19),SUMIFS(INDIRECT(ADDRESS(12,3+18*0+(15),,,"J1 A - (North) Bishopthorpe Roa")&amp;":"&amp;ADDRESS(130,3+18*0+(15))),'J1 A - (North) Bishopthorpe Roa'!$A$12:$A$130,"&gt;="&amp;Diagram!$O19,'J1 A - (North) Bishopthorpe Roa'!$A$12:$A$130,"&lt;"&amp;Diagram!$P19)))</f>
        <v>0</v>
      </c>
      <c r="EJ19" s="42">
        <f ca="1">IF(OR($I$10="",$O19="",$P19="",$J$42&lt;&gt;"Yes"),0,IF($K$10=0,SUMIFS(INDIRECT(ADDRESS(12,3+18*1+(7),,,"J1 A - (North) Bishopthorpe Roa")&amp;":"&amp;ADDRESS(130,3+18*1+(7))),'J1 A - (North) Bishopthorpe Roa'!$A$12:$A$130,"&gt;="&amp;Diagram!$O19,'J1 A - (North) Bishopthorpe Roa'!$A$12:$A$130,"&lt;"&amp;Diagram!$P19),SUMIFS(INDIRECT(ADDRESS(12,3+18*1+(15),,,"J1 A - (North) Bishopthorpe Roa")&amp;":"&amp;ADDRESS(130,3+18*1+(15))),'J1 A - (North) Bishopthorpe Roa'!$A$12:$A$130,"&gt;="&amp;Diagram!$O19,'J1 A - (North) Bishopthorpe Roa'!$A$12:$A$130,"&lt;"&amp;Diagram!$P19)))</f>
        <v>0</v>
      </c>
      <c r="EK19" s="42">
        <f ca="1">IF(OR($I$10="",$O19="",$P19="",$J$42&lt;&gt;"Yes"),0,IF($K$10=0,SUMIFS(INDIRECT(ADDRESS(12,3+18*2+(7),,,"J1 A - (North) Bishopthorpe Roa")&amp;":"&amp;ADDRESS(130,3+18*2+(7))),'J1 A - (North) Bishopthorpe Roa'!$A$12:$A$130,"&gt;="&amp;Diagram!$O19,'J1 A - (North) Bishopthorpe Roa'!$A$12:$A$130,"&lt;"&amp;Diagram!$P19),SUMIFS(INDIRECT(ADDRESS(12,3+18*2+(15),,,"J1 A - (North) Bishopthorpe Roa")&amp;":"&amp;ADDRESS(130,3+18*2+(15))),'J1 A - (North) Bishopthorpe Roa'!$A$12:$A$130,"&gt;="&amp;Diagram!$O19,'J1 A - (North) Bishopthorpe Roa'!$A$12:$A$130,"&lt;"&amp;Diagram!$P19)))</f>
        <v>0</v>
      </c>
      <c r="EL19" s="42">
        <f ca="1">IF(OR($I$10="",$O19="",$P19="",$J$42&lt;&gt;"Yes"),0,IF($K$10=0,SUMIFS(INDIRECT(ADDRESS(12,3+18*2+(7),,,"J1 B - Butcher Terrace")&amp;":"&amp;ADDRESS(130,3+18*2+(7))),'J1 B - Butcher Terrace'!$A$12:$A$130,"&gt;="&amp;Diagram!$O19,'J1 B - Butcher Terrace'!$A$12:$A$130,"&lt;"&amp;Diagram!$P19),SUMIFS(INDIRECT(ADDRESS(12,3+18*2+(15),,,"J1 B - Butcher Terrace")&amp;":"&amp;ADDRESS(130,3+18*2+(15))),'J1 B - Butcher Terrace'!$A$12:$A$130,"&gt;="&amp;Diagram!$O19,'J1 B - Butcher Terrace'!$A$12:$A$130,"&lt;"&amp;Diagram!$P19)))</f>
        <v>0</v>
      </c>
      <c r="EM19" s="42">
        <f ca="1">IF(OR($I$10="",$O19="",$P19="",$J$42&lt;&gt;"Yes"),0,IF($K$10=0,SUMIFS(INDIRECT(ADDRESS(12,3+18*3+(7),,,"J1 B - Butcher Terrace")&amp;":"&amp;ADDRESS(130,3+18*3+(7))),'J1 B - Butcher Terrace'!$A$12:$A$130,"&gt;="&amp;Diagram!$O19,'J1 B - Butcher Terrace'!$A$12:$A$130,"&lt;"&amp;Diagram!$P19),SUMIFS(INDIRECT(ADDRESS(12,3+18*3+(15),,,"J1 B - Butcher Terrace")&amp;":"&amp;ADDRESS(130,3+18*3+(15))),'J1 B - Butcher Terrace'!$A$12:$A$130,"&gt;="&amp;Diagram!$O19,'J1 B - Butcher Terrace'!$A$12:$A$130,"&lt;"&amp;Diagram!$P19)))</f>
        <v>0</v>
      </c>
      <c r="EN19" s="42">
        <f ca="1">IF(OR($I$10="",$O19="",$P19="",$J$42&lt;&gt;"Yes"),0,IF($K$10=0,SUMIFS(INDIRECT(ADDRESS(12,3+18*0+(7),,,"J1 B - Butcher Terrace")&amp;":"&amp;ADDRESS(130,3+18*0+(7))),'J1 B - Butcher Terrace'!$A$12:$A$130,"&gt;="&amp;Diagram!$O19,'J1 B - Butcher Terrace'!$A$12:$A$130,"&lt;"&amp;Diagram!$P19),SUMIFS(INDIRECT(ADDRESS(12,3+18*0+(15),,,"J1 B - Butcher Terrace")&amp;":"&amp;ADDRESS(130,3+18*0+(15))),'J1 B - Butcher Terrace'!$A$12:$A$130,"&gt;="&amp;Diagram!$O19,'J1 B - Butcher Terrace'!$A$12:$A$130,"&lt;"&amp;Diagram!$P19)))</f>
        <v>0</v>
      </c>
      <c r="EO19" s="42">
        <f ca="1">IF(OR($I$10="",$O19="",$P19="",$J$42&lt;&gt;"Yes"),0,IF($K$10=0,SUMIFS(INDIRECT(ADDRESS(12,3+18*1+(7),,,"J1 B - Butcher Terrace")&amp;":"&amp;ADDRESS(130,3+18*1+(7))),'J1 B - Butcher Terrace'!$A$12:$A$130,"&gt;="&amp;Diagram!$O19,'J1 B - Butcher Terrace'!$A$12:$A$130,"&lt;"&amp;Diagram!$P19),SUMIFS(INDIRECT(ADDRESS(12,3+18*1+(15),,,"J1 B - Butcher Terrace")&amp;":"&amp;ADDRESS(130,3+18*1+(15))),'J1 B - Butcher Terrace'!$A$12:$A$130,"&gt;="&amp;Diagram!$O19,'J1 B - Butcher Terrace'!$A$12:$A$130,"&lt;"&amp;Diagram!$P19)))</f>
        <v>0</v>
      </c>
      <c r="EP19" s="42">
        <f ca="1">IF(OR($I$10="",$O19="",$P19="",$J$42&lt;&gt;"Yes"),0,IF($K$10=0,SUMIFS(INDIRECT(ADDRESS(12,3+18*1+(7),,,"J1 C - (South) Bishopthorpe Roa")&amp;":"&amp;ADDRESS(130,3+18*1+(7))),'J1 C - (South) Bishopthorpe Roa'!$A$12:$A$130,"&gt;="&amp;Diagram!$O19,'J1 C - (South) Bishopthorpe Roa'!$A$12:$A$130,"&lt;"&amp;Diagram!$P19),SUMIFS(INDIRECT(ADDRESS(12,3+18*1+(15),,,"J1 C - (South) Bishopthorpe Roa")&amp;":"&amp;ADDRESS(130,3+18*1+(15))),'J1 C - (South) Bishopthorpe Roa'!$A$12:$A$130,"&gt;="&amp;Diagram!$O19,'J1 C - (South) Bishopthorpe Roa'!$A$12:$A$130,"&lt;"&amp;Diagram!$P19)))</f>
        <v>0</v>
      </c>
      <c r="EQ19" s="42">
        <f ca="1">IF(OR($I$10="",$O19="",$P19="",$J$42&lt;&gt;"Yes"),0,IF($K$10=0,SUMIFS(INDIRECT(ADDRESS(12,3+18*2+(7),,,"J1 C - (South) Bishopthorpe Roa")&amp;":"&amp;ADDRESS(130,3+18*2+(7))),'J1 C - (South) Bishopthorpe Roa'!$A$12:$A$130,"&gt;="&amp;Diagram!$O19,'J1 C - (South) Bishopthorpe Roa'!$A$12:$A$130,"&lt;"&amp;Diagram!$P19),SUMIFS(INDIRECT(ADDRESS(12,3+18*2+(15),,,"J1 C - (South) Bishopthorpe Roa")&amp;":"&amp;ADDRESS(130,3+18*2+(15))),'J1 C - (South) Bishopthorpe Roa'!$A$12:$A$130,"&gt;="&amp;Diagram!$O19,'J1 C - (South) Bishopthorpe Roa'!$A$12:$A$130,"&lt;"&amp;Diagram!$P19)))</f>
        <v>0</v>
      </c>
      <c r="ER19" s="42">
        <f ca="1">IF(OR($I$10="",$O19="",$P19="",$J$42&lt;&gt;"Yes"),0,IF($K$10=0,SUMIFS(INDIRECT(ADDRESS(12,3+18*3+(7),,,"J1 C - (South) Bishopthorpe Roa")&amp;":"&amp;ADDRESS(130,3+18*3+(7))),'J1 C - (South) Bishopthorpe Roa'!$A$12:$A$130,"&gt;="&amp;Diagram!$O19,'J1 C - (South) Bishopthorpe Roa'!$A$12:$A$130,"&lt;"&amp;Diagram!$P19),SUMIFS(INDIRECT(ADDRESS(12,3+18*3+(15),,,"J1 C - (South) Bishopthorpe Roa")&amp;":"&amp;ADDRESS(130,3+18*3+(15))),'J1 C - (South) Bishopthorpe Roa'!$A$12:$A$130,"&gt;="&amp;Diagram!$O19,'J1 C - (South) Bishopthorpe Roa'!$A$12:$A$130,"&lt;"&amp;Diagram!$P19)))</f>
        <v>0</v>
      </c>
      <c r="ES19" s="42">
        <f ca="1">IF(OR($I$10="",$O19="",$P19="",$J$42&lt;&gt;"Yes"),0,IF($K$10=0,SUMIFS(INDIRECT(ADDRESS(12,3+18*0+(7),,,"J1 C - (South) Bishopthorpe Roa")&amp;":"&amp;ADDRESS(130,3+18*0+(7))),'J1 C - (South) Bishopthorpe Roa'!$A$12:$A$130,"&gt;="&amp;Diagram!$O19,'J1 C - (South) Bishopthorpe Roa'!$A$12:$A$130,"&lt;"&amp;Diagram!$P19),SUMIFS(INDIRECT(ADDRESS(12,3+18*0+(15),,,"J1 C - (South) Bishopthorpe Roa")&amp;":"&amp;ADDRESS(130,3+18*0+(15))),'J1 C - (South) Bishopthorpe Roa'!$A$12:$A$130,"&gt;="&amp;Diagram!$O19,'J1 C - (South) Bishopthorpe Roa'!$A$12:$A$130,"&lt;"&amp;Diagram!$P19)))</f>
        <v>0</v>
      </c>
      <c r="ET19" s="42">
        <f ca="1">IF(OR($I$10="",$O19="",$P19="",$J$42&lt;&gt;"Yes"),0,IF($K$10=0,SUMIFS(INDIRECT(ADDRESS(12,3+18*0+(7),,,"J1 D - South Bank Avenue")&amp;":"&amp;ADDRESS(130,3+18*0+(7))),'J1 D - South Bank Avenue'!$A$12:$A$130,"&gt;="&amp;Diagram!$O19,'J1 D - South Bank Avenue'!$A$12:$A$130,"&lt;"&amp;Diagram!$P19),SUMIFS(INDIRECT(ADDRESS(12,3+18*0+(15),,,"J1 D - South Bank Avenue")&amp;":"&amp;ADDRESS(130,3+18*0+(15))),'J1 D - South Bank Avenue'!$A$12:$A$130,"&gt;="&amp;Diagram!$O19,'J1 D - South Bank Avenue'!$A$12:$A$130,"&lt;"&amp;Diagram!$P19)))</f>
        <v>0</v>
      </c>
      <c r="EU19" s="42">
        <f ca="1">IF(OR($I$10="",$O19="",$P19="",$J$42&lt;&gt;"Yes"),0,IF($K$10=0,SUMIFS(INDIRECT(ADDRESS(12,3+18*1+(7),,,"J1 D - South Bank Avenue")&amp;":"&amp;ADDRESS(130,3+18*1+(7))),'J1 D - South Bank Avenue'!$A$12:$A$130,"&gt;="&amp;Diagram!$O19,'J1 D - South Bank Avenue'!$A$12:$A$130,"&lt;"&amp;Diagram!$P19),SUMIFS(INDIRECT(ADDRESS(12,3+18*1+(15),,,"J1 D - South Bank Avenue")&amp;":"&amp;ADDRESS(130,3+18*1+(15))),'J1 D - South Bank Avenue'!$A$12:$A$130,"&gt;="&amp;Diagram!$O19,'J1 D - South Bank Avenue'!$A$12:$A$130,"&lt;"&amp;Diagram!$P19)))</f>
        <v>0</v>
      </c>
      <c r="EV19" s="42">
        <f ca="1">IF(OR($I$10="",$O19="",$P19="",$J$42&lt;&gt;"Yes"),0,IF($K$10=0,SUMIFS(INDIRECT(ADDRESS(12,3+18*2+(7),,,"J1 D - South Bank Avenue")&amp;":"&amp;ADDRESS(130,3+18*2+(7))),'J1 D - South Bank Avenue'!$A$12:$A$130,"&gt;="&amp;Diagram!$O19,'J1 D - South Bank Avenue'!$A$12:$A$130,"&lt;"&amp;Diagram!$P19),SUMIFS(INDIRECT(ADDRESS(12,3+18*2+(15),,,"J1 D - South Bank Avenue")&amp;":"&amp;ADDRESS(130,3+18*2+(15))),'J1 D - South Bank Avenue'!$A$12:$A$130,"&gt;="&amp;Diagram!$O19,'J1 D - South Bank Avenue'!$A$12:$A$130,"&lt;"&amp;Diagram!$P19)))</f>
        <v>0</v>
      </c>
      <c r="EW19" s="42">
        <f ca="1">IF(OR($I$10="",$O19="",$P19="",$J$42&lt;&gt;"Yes"),0,IF($K$10=0,SUMIFS(INDIRECT(ADDRESS(12,3+18*3+(7),,,"J1 D - South Bank Avenue")&amp;":"&amp;ADDRESS(130,3+18*3+(7))),'J1 D - South Bank Avenue'!$A$12:$A$130,"&gt;="&amp;Diagram!$O19,'J1 D - South Bank Avenue'!$A$12:$A$130,"&lt;"&amp;Diagram!$P19),SUMIFS(INDIRECT(ADDRESS(12,3+18*3+(15),,,"J1 D - South Bank Avenue")&amp;":"&amp;ADDRESS(130,3+18*3+(15))),'J1 D - South Bank Avenue'!$A$12:$A$130,"&gt;="&amp;Diagram!$O19,'J1 D - South Bank Avenue'!$A$12:$A$130,"&lt;"&amp;Diagram!$P19)))</f>
        <v>0</v>
      </c>
    </row>
    <row r="20" spans="1:153" ht="17.25" customHeight="1">
      <c r="A20" s="1">
        <v>44395.197916666701</v>
      </c>
      <c r="B20" s="1">
        <v>44395.208333333299</v>
      </c>
      <c r="I20" s="109" t="s">
        <v>156</v>
      </c>
      <c r="J20" s="109"/>
      <c r="K20" s="109"/>
      <c r="L20" s="109"/>
      <c r="O20" s="3">
        <v>44395.197916666701</v>
      </c>
      <c r="P20" s="3">
        <v>44395.239583333299</v>
      </c>
      <c r="Q20" s="42">
        <f t="shared" ca="1" si="0"/>
        <v>35</v>
      </c>
      <c r="R20" s="42">
        <f t="shared" ca="1" si="1"/>
        <v>24</v>
      </c>
      <c r="S20" s="42">
        <f ca="1">IF(OR($I$10="",$O20="",$P20="",$J$35&lt;&gt;"Yes"),0,IF($K$10=0,SUMIFS(INDIRECT(ADDRESS(12,3+18*3+(0),,,"J1 A - (North) Bishopthorpe Roa")&amp;":"&amp;ADDRESS(130,3+18*3+(0))),'J1 A - (North) Bishopthorpe Roa'!$A$12:$A$130,"&gt;="&amp;Diagram!$O20,'J1 A - (North) Bishopthorpe Roa'!$A$12:$A$130,"&lt;"&amp;Diagram!$P20),SUMIFS(INDIRECT(ADDRESS(12,3+18*3+(8),,,"J1 A - (North) Bishopthorpe Roa")&amp;":"&amp;ADDRESS(130,3+18*3+(8))),'J1 A - (North) Bishopthorpe Roa'!$A$12:$A$130,"&gt;="&amp;Diagram!$O20,'J1 A - (North) Bishopthorpe Roa'!$A$12:$A$130,"&lt;"&amp;Diagram!$P20)))</f>
        <v>0</v>
      </c>
      <c r="T20" s="42">
        <f ca="1">IF(OR($I$10="",$O20="",$P20="",$J$35&lt;&gt;"Yes"),0,IF($K$10=0,SUMIFS(INDIRECT(ADDRESS(12,3+18*0+(0),,,"J1 A - (North) Bishopthorpe Roa")&amp;":"&amp;ADDRESS(130,3+18*0+(0))),'J1 A - (North) Bishopthorpe Roa'!$A$12:$A$130,"&gt;="&amp;Diagram!$O20,'J1 A - (North) Bishopthorpe Roa'!$A$12:$A$130,"&lt;"&amp;Diagram!$P20),SUMIFS(INDIRECT(ADDRESS(12,3+18*0+(8),,,"J1 A - (North) Bishopthorpe Roa")&amp;":"&amp;ADDRESS(130,3+18*0+(8))),'J1 A - (North) Bishopthorpe Roa'!$A$12:$A$130,"&gt;="&amp;Diagram!$O20,'J1 A - (North) Bishopthorpe Roa'!$A$12:$A$130,"&lt;"&amp;Diagram!$P20)))</f>
        <v>0</v>
      </c>
      <c r="U20" s="42">
        <f ca="1">IF(OR($I$10="",$O20="",$P20="",$J$35&lt;&gt;"Yes"),0,IF($K$10=0,SUMIFS(INDIRECT(ADDRESS(12,3+18*1+(0),,,"J1 A - (North) Bishopthorpe Roa")&amp;":"&amp;ADDRESS(130,3+18*1+(0))),'J1 A - (North) Bishopthorpe Roa'!$A$12:$A$130,"&gt;="&amp;Diagram!$O20,'J1 A - (North) Bishopthorpe Roa'!$A$12:$A$130,"&lt;"&amp;Diagram!$P20),SUMIFS(INDIRECT(ADDRESS(12,3+18*1+(8),,,"J1 A - (North) Bishopthorpe Roa")&amp;":"&amp;ADDRESS(130,3+18*1+(8))),'J1 A - (North) Bishopthorpe Roa'!$A$12:$A$130,"&gt;="&amp;Diagram!$O20,'J1 A - (North) Bishopthorpe Roa'!$A$12:$A$130,"&lt;"&amp;Diagram!$P20)))</f>
        <v>8</v>
      </c>
      <c r="V20" s="42">
        <f ca="1">IF(OR($I$10="",$O20="",$P20="",$J$35&lt;&gt;"Yes"),0,IF($K$10=0,SUMIFS(INDIRECT(ADDRESS(12,3+18*2+(0),,,"J1 A - (North) Bishopthorpe Roa")&amp;":"&amp;ADDRESS(130,3+18*2+(0))),'J1 A - (North) Bishopthorpe Roa'!$A$12:$A$130,"&gt;="&amp;Diagram!$O20,'J1 A - (North) Bishopthorpe Roa'!$A$12:$A$130,"&lt;"&amp;Diagram!$P20),SUMIFS(INDIRECT(ADDRESS(12,3+18*2+(8),,,"J1 A - (North) Bishopthorpe Roa")&amp;":"&amp;ADDRESS(130,3+18*2+(8))),'J1 A - (North) Bishopthorpe Roa'!$A$12:$A$130,"&gt;="&amp;Diagram!$O20,'J1 A - (North) Bishopthorpe Roa'!$A$12:$A$130,"&lt;"&amp;Diagram!$P20)))</f>
        <v>0</v>
      </c>
      <c r="W20" s="42">
        <f ca="1">IF(OR($I$10="",$O20="",$P20="",$J$35&lt;&gt;"Yes"),0,IF($K$10=0,SUMIFS(INDIRECT(ADDRESS(12,3+18*2+(0),,,"J1 B - Butcher Terrace")&amp;":"&amp;ADDRESS(130,3+18*2+(0))),'J1 B - Butcher Terrace'!$A$12:$A$130,"&gt;="&amp;Diagram!$O20,'J1 B - Butcher Terrace'!$A$12:$A$130,"&lt;"&amp;Diagram!$P20),SUMIFS(INDIRECT(ADDRESS(12,3+18*2+(8),,,"J1 B - Butcher Terrace")&amp;":"&amp;ADDRESS(130,3+18*2+(8))),'J1 B - Butcher Terrace'!$A$12:$A$130,"&gt;="&amp;Diagram!$O20,'J1 B - Butcher Terrace'!$A$12:$A$130,"&lt;"&amp;Diagram!$P20)))</f>
        <v>2</v>
      </c>
      <c r="X20" s="42">
        <f ca="1">IF(OR($I$10="",$O20="",$P20="",$J$35&lt;&gt;"Yes"),0,IF($K$10=0,SUMIFS(INDIRECT(ADDRESS(12,3+18*3+(0),,,"J1 B - Butcher Terrace")&amp;":"&amp;ADDRESS(130,3+18*3+(0))),'J1 B - Butcher Terrace'!$A$12:$A$130,"&gt;="&amp;Diagram!$O20,'J1 B - Butcher Terrace'!$A$12:$A$130,"&lt;"&amp;Diagram!$P20),SUMIFS(INDIRECT(ADDRESS(12,3+18*3+(8),,,"J1 B - Butcher Terrace")&amp;":"&amp;ADDRESS(130,3+18*3+(8))),'J1 B - Butcher Terrace'!$A$12:$A$130,"&gt;="&amp;Diagram!$O20,'J1 B - Butcher Terrace'!$A$12:$A$130,"&lt;"&amp;Diagram!$P20)))</f>
        <v>0</v>
      </c>
      <c r="Y20" s="42">
        <f ca="1">IF(OR($I$10="",$O20="",$P20="",$J$35&lt;&gt;"Yes"),0,IF($K$10=0,SUMIFS(INDIRECT(ADDRESS(12,3+18*0+(0),,,"J1 B - Butcher Terrace")&amp;":"&amp;ADDRESS(130,3+18*0+(0))),'J1 B - Butcher Terrace'!$A$12:$A$130,"&gt;="&amp;Diagram!$O20,'J1 B - Butcher Terrace'!$A$12:$A$130,"&lt;"&amp;Diagram!$P20),SUMIFS(INDIRECT(ADDRESS(12,3+18*0+(8),,,"J1 B - Butcher Terrace")&amp;":"&amp;ADDRESS(130,3+18*0+(8))),'J1 B - Butcher Terrace'!$A$12:$A$130,"&gt;="&amp;Diagram!$O20,'J1 B - Butcher Terrace'!$A$12:$A$130,"&lt;"&amp;Diagram!$P20)))</f>
        <v>0</v>
      </c>
      <c r="Z20" s="42">
        <f ca="1">IF(OR($I$10="",$O20="",$P20="",$J$35&lt;&gt;"Yes"),0,IF($K$10=0,SUMIFS(INDIRECT(ADDRESS(12,3+18*1+(0),,,"J1 B - Butcher Terrace")&amp;":"&amp;ADDRESS(130,3+18*1+(0))),'J1 B - Butcher Terrace'!$A$12:$A$130,"&gt;="&amp;Diagram!$O20,'J1 B - Butcher Terrace'!$A$12:$A$130,"&lt;"&amp;Diagram!$P20),SUMIFS(INDIRECT(ADDRESS(12,3+18*1+(8),,,"J1 B - Butcher Terrace")&amp;":"&amp;ADDRESS(130,3+18*1+(8))),'J1 B - Butcher Terrace'!$A$12:$A$130,"&gt;="&amp;Diagram!$O20,'J1 B - Butcher Terrace'!$A$12:$A$130,"&lt;"&amp;Diagram!$P20)))</f>
        <v>0</v>
      </c>
      <c r="AA20" s="42">
        <f ca="1">IF(OR($I$10="",$O20="",$P20="",$J$35&lt;&gt;"Yes"),0,IF($K$10=0,SUMIFS(INDIRECT(ADDRESS(12,3+18*1+(0),,,"J1 C - (South) Bishopthorpe Roa")&amp;":"&amp;ADDRESS(130,3+18*1+(0))),'J1 C - (South) Bishopthorpe Roa'!$A$12:$A$130,"&gt;="&amp;Diagram!$O20,'J1 C - (South) Bishopthorpe Roa'!$A$12:$A$130,"&lt;"&amp;Diagram!$P20),SUMIFS(INDIRECT(ADDRESS(12,3+18*1+(8),,,"J1 C - (South) Bishopthorpe Roa")&amp;":"&amp;ADDRESS(130,3+18*1+(8))),'J1 C - (South) Bishopthorpe Roa'!$A$12:$A$130,"&gt;="&amp;Diagram!$O20,'J1 C - (South) Bishopthorpe Roa'!$A$12:$A$130,"&lt;"&amp;Diagram!$P20)))</f>
        <v>12</v>
      </c>
      <c r="AB20" s="42">
        <f ca="1">IF(OR($I$10="",$O20="",$P20="",$J$35&lt;&gt;"Yes"),0,IF($K$10=0,SUMIFS(INDIRECT(ADDRESS(12,3+18*2+(0),,,"J1 C - (South) Bishopthorpe Roa")&amp;":"&amp;ADDRESS(130,3+18*2+(0))),'J1 C - (South) Bishopthorpe Roa'!$A$12:$A$130,"&gt;="&amp;Diagram!$O20,'J1 C - (South) Bishopthorpe Roa'!$A$12:$A$130,"&lt;"&amp;Diagram!$P20),SUMIFS(INDIRECT(ADDRESS(12,3+18*2+(8),,,"J1 C - (South) Bishopthorpe Roa")&amp;":"&amp;ADDRESS(130,3+18*2+(8))),'J1 C - (South) Bishopthorpe Roa'!$A$12:$A$130,"&gt;="&amp;Diagram!$O20,'J1 C - (South) Bishopthorpe Roa'!$A$12:$A$130,"&lt;"&amp;Diagram!$P20)))</f>
        <v>0</v>
      </c>
      <c r="AC20" s="42">
        <f ca="1">IF(OR($I$10="",$O20="",$P20="",$J$35&lt;&gt;"Yes"),0,IF($K$10=0,SUMIFS(INDIRECT(ADDRESS(12,3+18*3+(0),,,"J1 C - (South) Bishopthorpe Roa")&amp;":"&amp;ADDRESS(130,3+18*3+(0))),'J1 C - (South) Bishopthorpe Roa'!$A$12:$A$130,"&gt;="&amp;Diagram!$O20,'J1 C - (South) Bishopthorpe Roa'!$A$12:$A$130,"&lt;"&amp;Diagram!$P20),SUMIFS(INDIRECT(ADDRESS(12,3+18*3+(8),,,"J1 C - (South) Bishopthorpe Roa")&amp;":"&amp;ADDRESS(130,3+18*3+(8))),'J1 C - (South) Bishopthorpe Roa'!$A$12:$A$130,"&gt;="&amp;Diagram!$O20,'J1 C - (South) Bishopthorpe Roa'!$A$12:$A$130,"&lt;"&amp;Diagram!$P20)))</f>
        <v>0</v>
      </c>
      <c r="AD20" s="42">
        <f ca="1">IF(OR($I$10="",$O20="",$P20="",$J$35&lt;&gt;"Yes"),0,IF($K$10=0,SUMIFS(INDIRECT(ADDRESS(12,3+18*0+(0),,,"J1 C - (South) Bishopthorpe Roa")&amp;":"&amp;ADDRESS(130,3+18*0+(0))),'J1 C - (South) Bishopthorpe Roa'!$A$12:$A$130,"&gt;="&amp;Diagram!$O20,'J1 C - (South) Bishopthorpe Roa'!$A$12:$A$130,"&lt;"&amp;Diagram!$P20),SUMIFS(INDIRECT(ADDRESS(12,3+18*0+(8),,,"J1 C - (South) Bishopthorpe Roa")&amp;":"&amp;ADDRESS(130,3+18*0+(8))),'J1 C - (South) Bishopthorpe Roa'!$A$12:$A$130,"&gt;="&amp;Diagram!$O20,'J1 C - (South) Bishopthorpe Roa'!$A$12:$A$130,"&lt;"&amp;Diagram!$P20)))</f>
        <v>0</v>
      </c>
      <c r="AE20" s="42">
        <f ca="1">IF(OR($I$10="",$O20="",$P20="",$J$35&lt;&gt;"Yes"),0,IF($K$10=0,SUMIFS(INDIRECT(ADDRESS(12,3+18*0+(0),,,"J1 D - South Bank Avenue")&amp;":"&amp;ADDRESS(130,3+18*0+(0))),'J1 D - South Bank Avenue'!$A$12:$A$130,"&gt;="&amp;Diagram!$O20,'J1 D - South Bank Avenue'!$A$12:$A$130,"&lt;"&amp;Diagram!$P20),SUMIFS(INDIRECT(ADDRESS(12,3+18*0+(8),,,"J1 D - South Bank Avenue")&amp;":"&amp;ADDRESS(130,3+18*0+(8))),'J1 D - South Bank Avenue'!$A$12:$A$130,"&gt;="&amp;Diagram!$O20,'J1 D - South Bank Avenue'!$A$12:$A$130,"&lt;"&amp;Diagram!$P20)))</f>
        <v>2</v>
      </c>
      <c r="AF20" s="42">
        <f ca="1">IF(OR($I$10="",$O20="",$P20="",$J$35&lt;&gt;"Yes"),0,IF($K$10=0,SUMIFS(INDIRECT(ADDRESS(12,3+18*1+(0),,,"J1 D - South Bank Avenue")&amp;":"&amp;ADDRESS(130,3+18*1+(0))),'J1 D - South Bank Avenue'!$A$12:$A$130,"&gt;="&amp;Diagram!$O20,'J1 D - South Bank Avenue'!$A$12:$A$130,"&lt;"&amp;Diagram!$P20),SUMIFS(INDIRECT(ADDRESS(12,3+18*1+(8),,,"J1 D - South Bank Avenue")&amp;":"&amp;ADDRESS(130,3+18*1+(8))),'J1 D - South Bank Avenue'!$A$12:$A$130,"&gt;="&amp;Diagram!$O20,'J1 D - South Bank Avenue'!$A$12:$A$130,"&lt;"&amp;Diagram!$P20)))</f>
        <v>0</v>
      </c>
      <c r="AG20" s="42">
        <f ca="1">IF(OR($I$10="",$O20="",$P20="",$J$35&lt;&gt;"Yes"),0,IF($K$10=0,SUMIFS(INDIRECT(ADDRESS(12,3+18*2+(0),,,"J1 D - South Bank Avenue")&amp;":"&amp;ADDRESS(130,3+18*2+(0))),'J1 D - South Bank Avenue'!$A$12:$A$130,"&gt;="&amp;Diagram!$O20,'J1 D - South Bank Avenue'!$A$12:$A$130,"&lt;"&amp;Diagram!$P20),SUMIFS(INDIRECT(ADDRESS(12,3+18*2+(8),,,"J1 D - South Bank Avenue")&amp;":"&amp;ADDRESS(130,3+18*2+(8))),'J1 D - South Bank Avenue'!$A$12:$A$130,"&gt;="&amp;Diagram!$O20,'J1 D - South Bank Avenue'!$A$12:$A$130,"&lt;"&amp;Diagram!$P20)))</f>
        <v>0</v>
      </c>
      <c r="AH20" s="42">
        <f ca="1">IF(OR($I$10="",$O20="",$P20="",$J$35&lt;&gt;"Yes"),0,IF($K$10=0,SUMIFS(INDIRECT(ADDRESS(12,3+18*3+(0),,,"J1 D - South Bank Avenue")&amp;":"&amp;ADDRESS(130,3+18*3+(0))),'J1 D - South Bank Avenue'!$A$12:$A$130,"&gt;="&amp;Diagram!$O20,'J1 D - South Bank Avenue'!$A$12:$A$130,"&lt;"&amp;Diagram!$P20),SUMIFS(INDIRECT(ADDRESS(12,3+18*3+(8),,,"J1 D - South Bank Avenue")&amp;":"&amp;ADDRESS(130,3+18*3+(8))),'J1 D - South Bank Avenue'!$A$12:$A$130,"&gt;="&amp;Diagram!$O20,'J1 D - South Bank Avenue'!$A$12:$A$130,"&lt;"&amp;Diagram!$P20)))</f>
        <v>0</v>
      </c>
      <c r="AI20" s="42">
        <f t="shared" ca="1" si="2"/>
        <v>3</v>
      </c>
      <c r="AJ20" s="42">
        <f ca="1">IF(OR($I$10="",$O20="",$P20="",$J$36&lt;&gt;"Yes"),0,IF($K$10=0,SUMIFS(INDIRECT(ADDRESS(12,3+18*3+(1),,,"J1 A - (North) Bishopthorpe Roa")&amp;":"&amp;ADDRESS(130,3+18*3+(1))),'J1 A - (North) Bishopthorpe Roa'!$A$12:$A$130,"&gt;="&amp;Diagram!$O20,'J1 A - (North) Bishopthorpe Roa'!$A$12:$A$130,"&lt;"&amp;Diagram!$P20),SUMIFS(INDIRECT(ADDRESS(12,3+18*3+(9),,,"J1 A - (North) Bishopthorpe Roa")&amp;":"&amp;ADDRESS(130,3+18*3+(9))),'J1 A - (North) Bishopthorpe Roa'!$A$12:$A$130,"&gt;="&amp;Diagram!$O20,'J1 A - (North) Bishopthorpe Roa'!$A$12:$A$130,"&lt;"&amp;Diagram!$P20)))</f>
        <v>0</v>
      </c>
      <c r="AK20" s="42">
        <f ca="1">IF(OR($I$10="",$O20="",$P20="",$J$36&lt;&gt;"Yes"),0,IF($K$10=0,SUMIFS(INDIRECT(ADDRESS(12,3+18*0+(1),,,"J1 A - (North) Bishopthorpe Roa")&amp;":"&amp;ADDRESS(130,3+18*0+(1))),'J1 A - (North) Bishopthorpe Roa'!$A$12:$A$130,"&gt;="&amp;Diagram!$O20,'J1 A - (North) Bishopthorpe Roa'!$A$12:$A$130,"&lt;"&amp;Diagram!$P20),SUMIFS(INDIRECT(ADDRESS(12,3+18*0+(9),,,"J1 A - (North) Bishopthorpe Roa")&amp;":"&amp;ADDRESS(130,3+18*0+(9))),'J1 A - (North) Bishopthorpe Roa'!$A$12:$A$130,"&gt;="&amp;Diagram!$O20,'J1 A - (North) Bishopthorpe Roa'!$A$12:$A$130,"&lt;"&amp;Diagram!$P20)))</f>
        <v>0</v>
      </c>
      <c r="AL20" s="42">
        <f ca="1">IF(OR($I$10="",$O20="",$P20="",$J$36&lt;&gt;"Yes"),0,IF($K$10=0,SUMIFS(INDIRECT(ADDRESS(12,3+18*1+(1),,,"J1 A - (North) Bishopthorpe Roa")&amp;":"&amp;ADDRESS(130,3+18*1+(1))),'J1 A - (North) Bishopthorpe Roa'!$A$12:$A$130,"&gt;="&amp;Diagram!$O20,'J1 A - (North) Bishopthorpe Roa'!$A$12:$A$130,"&lt;"&amp;Diagram!$P20),SUMIFS(INDIRECT(ADDRESS(12,3+18*1+(9),,,"J1 A - (North) Bishopthorpe Roa")&amp;":"&amp;ADDRESS(130,3+18*1+(9))),'J1 A - (North) Bishopthorpe Roa'!$A$12:$A$130,"&gt;="&amp;Diagram!$O20,'J1 A - (North) Bishopthorpe Roa'!$A$12:$A$130,"&lt;"&amp;Diagram!$P20)))</f>
        <v>2</v>
      </c>
      <c r="AM20" s="42">
        <f ca="1">IF(OR($I$10="",$O20="",$P20="",$J$36&lt;&gt;"Yes"),0,IF($K$10=0,SUMIFS(INDIRECT(ADDRESS(12,3+18*2+(1),,,"J1 A - (North) Bishopthorpe Roa")&amp;":"&amp;ADDRESS(130,3+18*2+(1))),'J1 A - (North) Bishopthorpe Roa'!$A$12:$A$130,"&gt;="&amp;Diagram!$O20,'J1 A - (North) Bishopthorpe Roa'!$A$12:$A$130,"&lt;"&amp;Diagram!$P20),SUMIFS(INDIRECT(ADDRESS(12,3+18*2+(9),,,"J1 A - (North) Bishopthorpe Roa")&amp;":"&amp;ADDRESS(130,3+18*2+(9))),'J1 A - (North) Bishopthorpe Roa'!$A$12:$A$130,"&gt;="&amp;Diagram!$O20,'J1 A - (North) Bishopthorpe Roa'!$A$12:$A$130,"&lt;"&amp;Diagram!$P20)))</f>
        <v>0</v>
      </c>
      <c r="AN20" s="42">
        <f ca="1">IF(OR($I$10="",$O20="",$P20="",$J$36&lt;&gt;"Yes"),0,IF($K$10=0,SUMIFS(INDIRECT(ADDRESS(12,3+18*2+(1),,,"J1 B - Butcher Terrace")&amp;":"&amp;ADDRESS(130,3+18*2+(1))),'J1 B - Butcher Terrace'!$A$12:$A$130,"&gt;="&amp;Diagram!$O20,'J1 B - Butcher Terrace'!$A$12:$A$130,"&lt;"&amp;Diagram!$P20),SUMIFS(INDIRECT(ADDRESS(12,3+18*2+(9),,,"J1 B - Butcher Terrace")&amp;":"&amp;ADDRESS(130,3+18*2+(9))),'J1 B - Butcher Terrace'!$A$12:$A$130,"&gt;="&amp;Diagram!$O20,'J1 B - Butcher Terrace'!$A$12:$A$130,"&lt;"&amp;Diagram!$P20)))</f>
        <v>0</v>
      </c>
      <c r="AO20" s="42">
        <f ca="1">IF(OR($I$10="",$O20="",$P20="",$J$36&lt;&gt;"Yes"),0,IF($K$10=0,SUMIFS(INDIRECT(ADDRESS(12,3+18*3+(1),,,"J1 B - Butcher Terrace")&amp;":"&amp;ADDRESS(130,3+18*3+(1))),'J1 B - Butcher Terrace'!$A$12:$A$130,"&gt;="&amp;Diagram!$O20,'J1 B - Butcher Terrace'!$A$12:$A$130,"&lt;"&amp;Diagram!$P20),SUMIFS(INDIRECT(ADDRESS(12,3+18*3+(9),,,"J1 B - Butcher Terrace")&amp;":"&amp;ADDRESS(130,3+18*3+(9))),'J1 B - Butcher Terrace'!$A$12:$A$130,"&gt;="&amp;Diagram!$O20,'J1 B - Butcher Terrace'!$A$12:$A$130,"&lt;"&amp;Diagram!$P20)))</f>
        <v>0</v>
      </c>
      <c r="AP20" s="42">
        <f ca="1">IF(OR($I$10="",$O20="",$P20="",$J$36&lt;&gt;"Yes"),0,IF($K$10=0,SUMIFS(INDIRECT(ADDRESS(12,3+18*0+(1),,,"J1 B - Butcher Terrace")&amp;":"&amp;ADDRESS(130,3+18*0+(1))),'J1 B - Butcher Terrace'!$A$12:$A$130,"&gt;="&amp;Diagram!$O20,'J1 B - Butcher Terrace'!$A$12:$A$130,"&lt;"&amp;Diagram!$P20),SUMIFS(INDIRECT(ADDRESS(12,3+18*0+(9),,,"J1 B - Butcher Terrace")&amp;":"&amp;ADDRESS(130,3+18*0+(9))),'J1 B - Butcher Terrace'!$A$12:$A$130,"&gt;="&amp;Diagram!$O20,'J1 B - Butcher Terrace'!$A$12:$A$130,"&lt;"&amp;Diagram!$P20)))</f>
        <v>0</v>
      </c>
      <c r="AQ20" s="42">
        <f ca="1">IF(OR($I$10="",$O20="",$P20="",$J$36&lt;&gt;"Yes"),0,IF($K$10=0,SUMIFS(INDIRECT(ADDRESS(12,3+18*1+(1),,,"J1 B - Butcher Terrace")&amp;":"&amp;ADDRESS(130,3+18*1+(1))),'J1 B - Butcher Terrace'!$A$12:$A$130,"&gt;="&amp;Diagram!$O20,'J1 B - Butcher Terrace'!$A$12:$A$130,"&lt;"&amp;Diagram!$P20),SUMIFS(INDIRECT(ADDRESS(12,3+18*1+(9),,,"J1 B - Butcher Terrace")&amp;":"&amp;ADDRESS(130,3+18*1+(9))),'J1 B - Butcher Terrace'!$A$12:$A$130,"&gt;="&amp;Diagram!$O20,'J1 B - Butcher Terrace'!$A$12:$A$130,"&lt;"&amp;Diagram!$P20)))</f>
        <v>0</v>
      </c>
      <c r="AR20" s="42">
        <f ca="1">IF(OR($I$10="",$O20="",$P20="",$J$36&lt;&gt;"Yes"),0,IF($K$10=0,SUMIFS(INDIRECT(ADDRESS(12,3+18*1+(1),,,"J1 C - (South) Bishopthorpe Roa")&amp;":"&amp;ADDRESS(130,3+18*1+(1))),'J1 C - (South) Bishopthorpe Roa'!$A$12:$A$130,"&gt;="&amp;Diagram!$O20,'J1 C - (South) Bishopthorpe Roa'!$A$12:$A$130,"&lt;"&amp;Diagram!$P20),SUMIFS(INDIRECT(ADDRESS(12,3+18*1+(9),,,"J1 C - (South) Bishopthorpe Roa")&amp;":"&amp;ADDRESS(130,3+18*1+(9))),'J1 C - (South) Bishopthorpe Roa'!$A$12:$A$130,"&gt;="&amp;Diagram!$O20,'J1 C - (South) Bishopthorpe Roa'!$A$12:$A$130,"&lt;"&amp;Diagram!$P20)))</f>
        <v>1</v>
      </c>
      <c r="AS20" s="42">
        <f ca="1">IF(OR($I$10="",$O20="",$P20="",$J$36&lt;&gt;"Yes"),0,IF($K$10=0,SUMIFS(INDIRECT(ADDRESS(12,3+18*2+(1),,,"J1 C - (South) Bishopthorpe Roa")&amp;":"&amp;ADDRESS(130,3+18*2+(1))),'J1 C - (South) Bishopthorpe Roa'!$A$12:$A$130,"&gt;="&amp;Diagram!$O20,'J1 C - (South) Bishopthorpe Roa'!$A$12:$A$130,"&lt;"&amp;Diagram!$P20),SUMIFS(INDIRECT(ADDRESS(12,3+18*2+(9),,,"J1 C - (South) Bishopthorpe Roa")&amp;":"&amp;ADDRESS(130,3+18*2+(9))),'J1 C - (South) Bishopthorpe Roa'!$A$12:$A$130,"&gt;="&amp;Diagram!$O20,'J1 C - (South) Bishopthorpe Roa'!$A$12:$A$130,"&lt;"&amp;Diagram!$P20)))</f>
        <v>0</v>
      </c>
      <c r="AT20" s="42">
        <f ca="1">IF(OR($I$10="",$O20="",$P20="",$J$36&lt;&gt;"Yes"),0,IF($K$10=0,SUMIFS(INDIRECT(ADDRESS(12,3+18*3+(1),,,"J1 C - (South) Bishopthorpe Roa")&amp;":"&amp;ADDRESS(130,3+18*3+(1))),'J1 C - (South) Bishopthorpe Roa'!$A$12:$A$130,"&gt;="&amp;Diagram!$O20,'J1 C - (South) Bishopthorpe Roa'!$A$12:$A$130,"&lt;"&amp;Diagram!$P20),SUMIFS(INDIRECT(ADDRESS(12,3+18*3+(9),,,"J1 C - (South) Bishopthorpe Roa")&amp;":"&amp;ADDRESS(130,3+18*3+(9))),'J1 C - (South) Bishopthorpe Roa'!$A$12:$A$130,"&gt;="&amp;Diagram!$O20,'J1 C - (South) Bishopthorpe Roa'!$A$12:$A$130,"&lt;"&amp;Diagram!$P20)))</f>
        <v>0</v>
      </c>
      <c r="AU20" s="42">
        <f ca="1">IF(OR($I$10="",$O20="",$P20="",$J$36&lt;&gt;"Yes"),0,IF($K$10=0,SUMIFS(INDIRECT(ADDRESS(12,3+18*0+(1),,,"J1 C - (South) Bishopthorpe Roa")&amp;":"&amp;ADDRESS(130,3+18*0+(1))),'J1 C - (South) Bishopthorpe Roa'!$A$12:$A$130,"&gt;="&amp;Diagram!$O20,'J1 C - (South) Bishopthorpe Roa'!$A$12:$A$130,"&lt;"&amp;Diagram!$P20),SUMIFS(INDIRECT(ADDRESS(12,3+18*0+(9),,,"J1 C - (South) Bishopthorpe Roa")&amp;":"&amp;ADDRESS(130,3+18*0+(9))),'J1 C - (South) Bishopthorpe Roa'!$A$12:$A$130,"&gt;="&amp;Diagram!$O20,'J1 C - (South) Bishopthorpe Roa'!$A$12:$A$130,"&lt;"&amp;Diagram!$P20)))</f>
        <v>0</v>
      </c>
      <c r="AV20" s="42">
        <f ca="1">IF(OR($I$10="",$O20="",$P20="",$J$36&lt;&gt;"Yes"),0,IF($K$10=0,SUMIFS(INDIRECT(ADDRESS(12,3+18*0+(1),,,"J1 D - South Bank Avenue")&amp;":"&amp;ADDRESS(130,3+18*0+(1))),'J1 D - South Bank Avenue'!$A$12:$A$130,"&gt;="&amp;Diagram!$O20,'J1 D - South Bank Avenue'!$A$12:$A$130,"&lt;"&amp;Diagram!$P20),SUMIFS(INDIRECT(ADDRESS(12,3+18*0+(9),,,"J1 D - South Bank Avenue")&amp;":"&amp;ADDRESS(130,3+18*0+(9))),'J1 D - South Bank Avenue'!$A$12:$A$130,"&gt;="&amp;Diagram!$O20,'J1 D - South Bank Avenue'!$A$12:$A$130,"&lt;"&amp;Diagram!$P20)))</f>
        <v>0</v>
      </c>
      <c r="AW20" s="42">
        <f ca="1">IF(OR($I$10="",$O20="",$P20="",$J$36&lt;&gt;"Yes"),0,IF($K$10=0,SUMIFS(INDIRECT(ADDRESS(12,3+18*1+(1),,,"J1 D - South Bank Avenue")&amp;":"&amp;ADDRESS(130,3+18*1+(1))),'J1 D - South Bank Avenue'!$A$12:$A$130,"&gt;="&amp;Diagram!$O20,'J1 D - South Bank Avenue'!$A$12:$A$130,"&lt;"&amp;Diagram!$P20),SUMIFS(INDIRECT(ADDRESS(12,3+18*1+(9),,,"J1 D - South Bank Avenue")&amp;":"&amp;ADDRESS(130,3+18*1+(9))),'J1 D - South Bank Avenue'!$A$12:$A$130,"&gt;="&amp;Diagram!$O20,'J1 D - South Bank Avenue'!$A$12:$A$130,"&lt;"&amp;Diagram!$P20)))</f>
        <v>0</v>
      </c>
      <c r="AX20" s="42">
        <f ca="1">IF(OR($I$10="",$O20="",$P20="",$J$36&lt;&gt;"Yes"),0,IF($K$10=0,SUMIFS(INDIRECT(ADDRESS(12,3+18*2+(1),,,"J1 D - South Bank Avenue")&amp;":"&amp;ADDRESS(130,3+18*2+(1))),'J1 D - South Bank Avenue'!$A$12:$A$130,"&gt;="&amp;Diagram!$O20,'J1 D - South Bank Avenue'!$A$12:$A$130,"&lt;"&amp;Diagram!$P20),SUMIFS(INDIRECT(ADDRESS(12,3+18*2+(9),,,"J1 D - South Bank Avenue")&amp;":"&amp;ADDRESS(130,3+18*2+(9))),'J1 D - South Bank Avenue'!$A$12:$A$130,"&gt;="&amp;Diagram!$O20,'J1 D - South Bank Avenue'!$A$12:$A$130,"&lt;"&amp;Diagram!$P20)))</f>
        <v>0</v>
      </c>
      <c r="AY20" s="42">
        <f ca="1">IF(OR($I$10="",$O20="",$P20="",$J$36&lt;&gt;"Yes"),0,IF($K$10=0,SUMIFS(INDIRECT(ADDRESS(12,3+18*3+(1),,,"J1 D - South Bank Avenue")&amp;":"&amp;ADDRESS(130,3+18*3+(1))),'J1 D - South Bank Avenue'!$A$12:$A$130,"&gt;="&amp;Diagram!$O20,'J1 D - South Bank Avenue'!$A$12:$A$130,"&lt;"&amp;Diagram!$P20),SUMIFS(INDIRECT(ADDRESS(12,3+18*3+(9),,,"J1 D - South Bank Avenue")&amp;":"&amp;ADDRESS(130,3+18*3+(9))),'J1 D - South Bank Avenue'!$A$12:$A$130,"&gt;="&amp;Diagram!$O20,'J1 D - South Bank Avenue'!$A$12:$A$130,"&lt;"&amp;Diagram!$P20)))</f>
        <v>0</v>
      </c>
      <c r="AZ20" s="42">
        <f t="shared" ca="1" si="3"/>
        <v>0</v>
      </c>
      <c r="BA20" s="42">
        <f ca="1">IF(OR($I$10="",$O20="",$P20="",$J$37&lt;&gt;"Yes"),0,IF($K$10=0,SUMIFS(INDIRECT(ADDRESS(12,3+18*3+(2),,,"J1 A - (North) Bishopthorpe Roa")&amp;":"&amp;ADDRESS(130,3+18*3+(2))),'J1 A - (North) Bishopthorpe Roa'!$A$12:$A$130,"&gt;="&amp;Diagram!$O20,'J1 A - (North) Bishopthorpe Roa'!$A$12:$A$130,"&lt;"&amp;Diagram!$P20),SUMIFS(INDIRECT(ADDRESS(12,3+18*3+(10),,,"J1 A - (North) Bishopthorpe Roa")&amp;":"&amp;ADDRESS(130,3+18*3+(10))),'J1 A - (North) Bishopthorpe Roa'!$A$12:$A$130,"&gt;="&amp;Diagram!$O20,'J1 A - (North) Bishopthorpe Roa'!$A$12:$A$130,"&lt;"&amp;Diagram!$P20)))</f>
        <v>0</v>
      </c>
      <c r="BB20" s="42">
        <f ca="1">IF(OR($I$10="",$O20="",$P20="",$J$37&lt;&gt;"Yes"),0,IF($K$10=0,SUMIFS(INDIRECT(ADDRESS(12,3+18*0+(2),,,"J1 A - (North) Bishopthorpe Roa")&amp;":"&amp;ADDRESS(130,3+18*0+(2))),'J1 A - (North) Bishopthorpe Roa'!$A$12:$A$130,"&gt;="&amp;Diagram!$O20,'J1 A - (North) Bishopthorpe Roa'!$A$12:$A$130,"&lt;"&amp;Diagram!$P20),SUMIFS(INDIRECT(ADDRESS(12,3+18*0+(10),,,"J1 A - (North) Bishopthorpe Roa")&amp;":"&amp;ADDRESS(130,3+18*0+(10))),'J1 A - (North) Bishopthorpe Roa'!$A$12:$A$130,"&gt;="&amp;Diagram!$O20,'J1 A - (North) Bishopthorpe Roa'!$A$12:$A$130,"&lt;"&amp;Diagram!$P20)))</f>
        <v>0</v>
      </c>
      <c r="BC20" s="42">
        <f ca="1">IF(OR($I$10="",$O20="",$P20="",$J$37&lt;&gt;"Yes"),0,IF($K$10=0,SUMIFS(INDIRECT(ADDRESS(12,3+18*1+(2),,,"J1 A - (North) Bishopthorpe Roa")&amp;":"&amp;ADDRESS(130,3+18*1+(2))),'J1 A - (North) Bishopthorpe Roa'!$A$12:$A$130,"&gt;="&amp;Diagram!$O20,'J1 A - (North) Bishopthorpe Roa'!$A$12:$A$130,"&lt;"&amp;Diagram!$P20),SUMIFS(INDIRECT(ADDRESS(12,3+18*1+(10),,,"J1 A - (North) Bishopthorpe Roa")&amp;":"&amp;ADDRESS(130,3+18*1+(10))),'J1 A - (North) Bishopthorpe Roa'!$A$12:$A$130,"&gt;="&amp;Diagram!$O20,'J1 A - (North) Bishopthorpe Roa'!$A$12:$A$130,"&lt;"&amp;Diagram!$P20)))</f>
        <v>0</v>
      </c>
      <c r="BD20" s="42">
        <f ca="1">IF(OR($I$10="",$O20="",$P20="",$J$37&lt;&gt;"Yes"),0,IF($K$10=0,SUMIFS(INDIRECT(ADDRESS(12,3+18*2+(2),,,"J1 A - (North) Bishopthorpe Roa")&amp;":"&amp;ADDRESS(130,3+18*2+(2))),'J1 A - (North) Bishopthorpe Roa'!$A$12:$A$130,"&gt;="&amp;Diagram!$O20,'J1 A - (North) Bishopthorpe Roa'!$A$12:$A$130,"&lt;"&amp;Diagram!$P20),SUMIFS(INDIRECT(ADDRESS(12,3+18*2+(10),,,"J1 A - (North) Bishopthorpe Roa")&amp;":"&amp;ADDRESS(130,3+18*2+(10))),'J1 A - (North) Bishopthorpe Roa'!$A$12:$A$130,"&gt;="&amp;Diagram!$O20,'J1 A - (North) Bishopthorpe Roa'!$A$12:$A$130,"&lt;"&amp;Diagram!$P20)))</f>
        <v>0</v>
      </c>
      <c r="BE20" s="42">
        <f ca="1">IF(OR($I$10="",$O20="",$P20="",$J$37&lt;&gt;"Yes"),0,IF($K$10=0,SUMIFS(INDIRECT(ADDRESS(12,3+18*2+(2),,,"J1 B - Butcher Terrace")&amp;":"&amp;ADDRESS(130,3+18*2+(2))),'J1 B - Butcher Terrace'!$A$12:$A$130,"&gt;="&amp;Diagram!$O20,'J1 B - Butcher Terrace'!$A$12:$A$130,"&lt;"&amp;Diagram!$P20),SUMIFS(INDIRECT(ADDRESS(12,3+18*2+(10),,,"J1 B - Butcher Terrace")&amp;":"&amp;ADDRESS(130,3+18*2+(10))),'J1 B - Butcher Terrace'!$A$12:$A$130,"&gt;="&amp;Diagram!$O20,'J1 B - Butcher Terrace'!$A$12:$A$130,"&lt;"&amp;Diagram!$P20)))</f>
        <v>0</v>
      </c>
      <c r="BF20" s="42">
        <f ca="1">IF(OR($I$10="",$O20="",$P20="",$J$37&lt;&gt;"Yes"),0,IF($K$10=0,SUMIFS(INDIRECT(ADDRESS(12,3+18*3+(2),,,"J1 B - Butcher Terrace")&amp;":"&amp;ADDRESS(130,3+18*3+(2))),'J1 B - Butcher Terrace'!$A$12:$A$130,"&gt;="&amp;Diagram!$O20,'J1 B - Butcher Terrace'!$A$12:$A$130,"&lt;"&amp;Diagram!$P20),SUMIFS(INDIRECT(ADDRESS(12,3+18*3+(10),,,"J1 B - Butcher Terrace")&amp;":"&amp;ADDRESS(130,3+18*3+(10))),'J1 B - Butcher Terrace'!$A$12:$A$130,"&gt;="&amp;Diagram!$O20,'J1 B - Butcher Terrace'!$A$12:$A$130,"&lt;"&amp;Diagram!$P20)))</f>
        <v>0</v>
      </c>
      <c r="BG20" s="42">
        <f ca="1">IF(OR($I$10="",$O20="",$P20="",$J$37&lt;&gt;"Yes"),0,IF($K$10=0,SUMIFS(INDIRECT(ADDRESS(12,3+18*0+(2),,,"J1 B - Butcher Terrace")&amp;":"&amp;ADDRESS(130,3+18*0+(2))),'J1 B - Butcher Terrace'!$A$12:$A$130,"&gt;="&amp;Diagram!$O20,'J1 B - Butcher Terrace'!$A$12:$A$130,"&lt;"&amp;Diagram!$P20),SUMIFS(INDIRECT(ADDRESS(12,3+18*0+(10),,,"J1 B - Butcher Terrace")&amp;":"&amp;ADDRESS(130,3+18*0+(10))),'J1 B - Butcher Terrace'!$A$12:$A$130,"&gt;="&amp;Diagram!$O20,'J1 B - Butcher Terrace'!$A$12:$A$130,"&lt;"&amp;Diagram!$P20)))</f>
        <v>0</v>
      </c>
      <c r="BH20" s="42">
        <f ca="1">IF(OR($I$10="",$O20="",$P20="",$J$37&lt;&gt;"Yes"),0,IF($K$10=0,SUMIFS(INDIRECT(ADDRESS(12,3+18*1+(2),,,"J1 B - Butcher Terrace")&amp;":"&amp;ADDRESS(130,3+18*1+(2))),'J1 B - Butcher Terrace'!$A$12:$A$130,"&gt;="&amp;Diagram!$O20,'J1 B - Butcher Terrace'!$A$12:$A$130,"&lt;"&amp;Diagram!$P20),SUMIFS(INDIRECT(ADDRESS(12,3+18*1+(10),,,"J1 B - Butcher Terrace")&amp;":"&amp;ADDRESS(130,3+18*1+(10))),'J1 B - Butcher Terrace'!$A$12:$A$130,"&gt;="&amp;Diagram!$O20,'J1 B - Butcher Terrace'!$A$12:$A$130,"&lt;"&amp;Diagram!$P20)))</f>
        <v>0</v>
      </c>
      <c r="BI20" s="42">
        <f ca="1">IF(OR($I$10="",$O20="",$P20="",$J$37&lt;&gt;"Yes"),0,IF($K$10=0,SUMIFS(INDIRECT(ADDRESS(12,3+18*1+(2),,,"J1 C - (South) Bishopthorpe Roa")&amp;":"&amp;ADDRESS(130,3+18*1+(2))),'J1 C - (South) Bishopthorpe Roa'!$A$12:$A$130,"&gt;="&amp;Diagram!$O20,'J1 C - (South) Bishopthorpe Roa'!$A$12:$A$130,"&lt;"&amp;Diagram!$P20),SUMIFS(INDIRECT(ADDRESS(12,3+18*1+(10),,,"J1 C - (South) Bishopthorpe Roa")&amp;":"&amp;ADDRESS(130,3+18*1+(10))),'J1 C - (South) Bishopthorpe Roa'!$A$12:$A$130,"&gt;="&amp;Diagram!$O20,'J1 C - (South) Bishopthorpe Roa'!$A$12:$A$130,"&lt;"&amp;Diagram!$P20)))</f>
        <v>0</v>
      </c>
      <c r="BJ20" s="42">
        <f ca="1">IF(OR($I$10="",$O20="",$P20="",$J$37&lt;&gt;"Yes"),0,IF($K$10=0,SUMIFS(INDIRECT(ADDRESS(12,3+18*2+(2),,,"J1 C - (South) Bishopthorpe Roa")&amp;":"&amp;ADDRESS(130,3+18*2+(2))),'J1 C - (South) Bishopthorpe Roa'!$A$12:$A$130,"&gt;="&amp;Diagram!$O20,'J1 C - (South) Bishopthorpe Roa'!$A$12:$A$130,"&lt;"&amp;Diagram!$P20),SUMIFS(INDIRECT(ADDRESS(12,3+18*2+(10),,,"J1 C - (South) Bishopthorpe Roa")&amp;":"&amp;ADDRESS(130,3+18*2+(10))),'J1 C - (South) Bishopthorpe Roa'!$A$12:$A$130,"&gt;="&amp;Diagram!$O20,'J1 C - (South) Bishopthorpe Roa'!$A$12:$A$130,"&lt;"&amp;Diagram!$P20)))</f>
        <v>0</v>
      </c>
      <c r="BK20" s="42">
        <f ca="1">IF(OR($I$10="",$O20="",$P20="",$J$37&lt;&gt;"Yes"),0,IF($K$10=0,SUMIFS(INDIRECT(ADDRESS(12,3+18*3+(2),,,"J1 C - (South) Bishopthorpe Roa")&amp;":"&amp;ADDRESS(130,3+18*3+(2))),'J1 C - (South) Bishopthorpe Roa'!$A$12:$A$130,"&gt;="&amp;Diagram!$O20,'J1 C - (South) Bishopthorpe Roa'!$A$12:$A$130,"&lt;"&amp;Diagram!$P20),SUMIFS(INDIRECT(ADDRESS(12,3+18*3+(10),,,"J1 C - (South) Bishopthorpe Roa")&amp;":"&amp;ADDRESS(130,3+18*3+(10))),'J1 C - (South) Bishopthorpe Roa'!$A$12:$A$130,"&gt;="&amp;Diagram!$O20,'J1 C - (South) Bishopthorpe Roa'!$A$12:$A$130,"&lt;"&amp;Diagram!$P20)))</f>
        <v>0</v>
      </c>
      <c r="BL20" s="42">
        <f ca="1">IF(OR($I$10="",$O20="",$P20="",$J$37&lt;&gt;"Yes"),0,IF($K$10=0,SUMIFS(INDIRECT(ADDRESS(12,3+18*0+(2),,,"J1 C - (South) Bishopthorpe Roa")&amp;":"&amp;ADDRESS(130,3+18*0+(2))),'J1 C - (South) Bishopthorpe Roa'!$A$12:$A$130,"&gt;="&amp;Diagram!$O20,'J1 C - (South) Bishopthorpe Roa'!$A$12:$A$130,"&lt;"&amp;Diagram!$P20),SUMIFS(INDIRECT(ADDRESS(12,3+18*0+(10),,,"J1 C - (South) Bishopthorpe Roa")&amp;":"&amp;ADDRESS(130,3+18*0+(10))),'J1 C - (South) Bishopthorpe Roa'!$A$12:$A$130,"&gt;="&amp;Diagram!$O20,'J1 C - (South) Bishopthorpe Roa'!$A$12:$A$130,"&lt;"&amp;Diagram!$P20)))</f>
        <v>0</v>
      </c>
      <c r="BM20" s="42">
        <f ca="1">IF(OR($I$10="",$O20="",$P20="",$J$37&lt;&gt;"Yes"),0,IF($K$10=0,SUMIFS(INDIRECT(ADDRESS(12,3+18*0+(2),,,"J1 D - South Bank Avenue")&amp;":"&amp;ADDRESS(130,3+18*0+(2))),'J1 D - South Bank Avenue'!$A$12:$A$130,"&gt;="&amp;Diagram!$O20,'J1 D - South Bank Avenue'!$A$12:$A$130,"&lt;"&amp;Diagram!$P20),SUMIFS(INDIRECT(ADDRESS(12,3+18*0+(10),,,"J1 D - South Bank Avenue")&amp;":"&amp;ADDRESS(130,3+18*0+(10))),'J1 D - South Bank Avenue'!$A$12:$A$130,"&gt;="&amp;Diagram!$O20,'J1 D - South Bank Avenue'!$A$12:$A$130,"&lt;"&amp;Diagram!$P20)))</f>
        <v>0</v>
      </c>
      <c r="BN20" s="42">
        <f ca="1">IF(OR($I$10="",$O20="",$P20="",$J$37&lt;&gt;"Yes"),0,IF($K$10=0,SUMIFS(INDIRECT(ADDRESS(12,3+18*1+(2),,,"J1 D - South Bank Avenue")&amp;":"&amp;ADDRESS(130,3+18*1+(2))),'J1 D - South Bank Avenue'!$A$12:$A$130,"&gt;="&amp;Diagram!$O20,'J1 D - South Bank Avenue'!$A$12:$A$130,"&lt;"&amp;Diagram!$P20),SUMIFS(INDIRECT(ADDRESS(12,3+18*1+(10),,,"J1 D - South Bank Avenue")&amp;":"&amp;ADDRESS(130,3+18*1+(10))),'J1 D - South Bank Avenue'!$A$12:$A$130,"&gt;="&amp;Diagram!$O20,'J1 D - South Bank Avenue'!$A$12:$A$130,"&lt;"&amp;Diagram!$P20)))</f>
        <v>0</v>
      </c>
      <c r="BO20" s="42">
        <f ca="1">IF(OR($I$10="",$O20="",$P20="",$J$37&lt;&gt;"Yes"),0,IF($K$10=0,SUMIFS(INDIRECT(ADDRESS(12,3+18*2+(2),,,"J1 D - South Bank Avenue")&amp;":"&amp;ADDRESS(130,3+18*2+(2))),'J1 D - South Bank Avenue'!$A$12:$A$130,"&gt;="&amp;Diagram!$O20,'J1 D - South Bank Avenue'!$A$12:$A$130,"&lt;"&amp;Diagram!$P20),SUMIFS(INDIRECT(ADDRESS(12,3+18*2+(10),,,"J1 D - South Bank Avenue")&amp;":"&amp;ADDRESS(130,3+18*2+(10))),'J1 D - South Bank Avenue'!$A$12:$A$130,"&gt;="&amp;Diagram!$O20,'J1 D - South Bank Avenue'!$A$12:$A$130,"&lt;"&amp;Diagram!$P20)))</f>
        <v>0</v>
      </c>
      <c r="BP20" s="42">
        <f ca="1">IF(OR($I$10="",$O20="",$P20="",$J$37&lt;&gt;"Yes"),0,IF($K$10=0,SUMIFS(INDIRECT(ADDRESS(12,3+18*3+(2),,,"J1 D - South Bank Avenue")&amp;":"&amp;ADDRESS(130,3+18*3+(2))),'J1 D - South Bank Avenue'!$A$12:$A$130,"&gt;="&amp;Diagram!$O20,'J1 D - South Bank Avenue'!$A$12:$A$130,"&lt;"&amp;Diagram!$P20),SUMIFS(INDIRECT(ADDRESS(12,3+18*3+(10),,,"J1 D - South Bank Avenue")&amp;":"&amp;ADDRESS(130,3+18*3+(10))),'J1 D - South Bank Avenue'!$A$12:$A$130,"&gt;="&amp;Diagram!$O20,'J1 D - South Bank Avenue'!$A$12:$A$130,"&lt;"&amp;Diagram!$P20)))</f>
        <v>0</v>
      </c>
      <c r="BQ20" s="42">
        <f t="shared" ca="1" si="4"/>
        <v>0</v>
      </c>
      <c r="BR20" s="42">
        <f ca="1">IF(OR($I$10="",$O20="",$P20="",$J$38&lt;&gt;"Yes"),0,IF($K$10=0,SUMIFS(INDIRECT(ADDRESS(12,3+18*3+(3),,,"J1 A - (North) Bishopthorpe Roa")&amp;":"&amp;ADDRESS(130,3+18*3+(3))),'J1 A - (North) Bishopthorpe Roa'!$A$12:$A$130,"&gt;="&amp;Diagram!$O20,'J1 A - (North) Bishopthorpe Roa'!$A$12:$A$130,"&lt;"&amp;Diagram!$P20),SUMIFS(INDIRECT(ADDRESS(12,3+18*3+(11),,,"J1 A - (North) Bishopthorpe Roa")&amp;":"&amp;ADDRESS(130,3+18*3+(11))),'J1 A - (North) Bishopthorpe Roa'!$A$12:$A$130,"&gt;="&amp;Diagram!$O20,'J1 A - (North) Bishopthorpe Roa'!$A$12:$A$130,"&lt;"&amp;Diagram!$P20)))</f>
        <v>0</v>
      </c>
      <c r="BS20" s="42">
        <f ca="1">IF(OR($I$10="",$O20="",$P20="",$J$38&lt;&gt;"Yes"),0,IF($K$10=0,SUMIFS(INDIRECT(ADDRESS(12,3+18*0+(3),,,"J1 A - (North) Bishopthorpe Roa")&amp;":"&amp;ADDRESS(130,3+18*0+(3))),'J1 A - (North) Bishopthorpe Roa'!$A$12:$A$130,"&gt;="&amp;Diagram!$O20,'J1 A - (North) Bishopthorpe Roa'!$A$12:$A$130,"&lt;"&amp;Diagram!$P20),SUMIFS(INDIRECT(ADDRESS(12,3+18*0+(11),,,"J1 A - (North) Bishopthorpe Roa")&amp;":"&amp;ADDRESS(130,3+18*0+(11))),'J1 A - (North) Bishopthorpe Roa'!$A$12:$A$130,"&gt;="&amp;Diagram!$O20,'J1 A - (North) Bishopthorpe Roa'!$A$12:$A$130,"&lt;"&amp;Diagram!$P20)))</f>
        <v>0</v>
      </c>
      <c r="BT20" s="42">
        <f ca="1">IF(OR($I$10="",$O20="",$P20="",$J$38&lt;&gt;"Yes"),0,IF($K$10=0,SUMIFS(INDIRECT(ADDRESS(12,3+18*1+(3),,,"J1 A - (North) Bishopthorpe Roa")&amp;":"&amp;ADDRESS(130,3+18*1+(3))),'J1 A - (North) Bishopthorpe Roa'!$A$12:$A$130,"&gt;="&amp;Diagram!$O20,'J1 A - (North) Bishopthorpe Roa'!$A$12:$A$130,"&lt;"&amp;Diagram!$P20),SUMIFS(INDIRECT(ADDRESS(12,3+18*1+(11),,,"J1 A - (North) Bishopthorpe Roa")&amp;":"&amp;ADDRESS(130,3+18*1+(11))),'J1 A - (North) Bishopthorpe Roa'!$A$12:$A$130,"&gt;="&amp;Diagram!$O20,'J1 A - (North) Bishopthorpe Roa'!$A$12:$A$130,"&lt;"&amp;Diagram!$P20)))</f>
        <v>0</v>
      </c>
      <c r="BU20" s="42">
        <f ca="1">IF(OR($I$10="",$O20="",$P20="",$J$38&lt;&gt;"Yes"),0,IF($K$10=0,SUMIFS(INDIRECT(ADDRESS(12,3+18*2+(3),,,"J1 A - (North) Bishopthorpe Roa")&amp;":"&amp;ADDRESS(130,3+18*2+(3))),'J1 A - (North) Bishopthorpe Roa'!$A$12:$A$130,"&gt;="&amp;Diagram!$O20,'J1 A - (North) Bishopthorpe Roa'!$A$12:$A$130,"&lt;"&amp;Diagram!$P20),SUMIFS(INDIRECT(ADDRESS(12,3+18*2+(11),,,"J1 A - (North) Bishopthorpe Roa")&amp;":"&amp;ADDRESS(130,3+18*2+(11))),'J1 A - (North) Bishopthorpe Roa'!$A$12:$A$130,"&gt;="&amp;Diagram!$O20,'J1 A - (North) Bishopthorpe Roa'!$A$12:$A$130,"&lt;"&amp;Diagram!$P20)))</f>
        <v>0</v>
      </c>
      <c r="BV20" s="42">
        <f ca="1">IF(OR($I$10="",$O20="",$P20="",$J$38&lt;&gt;"Yes"),0,IF($K$10=0,SUMIFS(INDIRECT(ADDRESS(12,3+18*2+(3),,,"J1 B - Butcher Terrace")&amp;":"&amp;ADDRESS(130,3+18*2+(3))),'J1 B - Butcher Terrace'!$A$12:$A$130,"&gt;="&amp;Diagram!$O20,'J1 B - Butcher Terrace'!$A$12:$A$130,"&lt;"&amp;Diagram!$P20),SUMIFS(INDIRECT(ADDRESS(12,3+18*2+(11),,,"J1 B - Butcher Terrace")&amp;":"&amp;ADDRESS(130,3+18*2+(11))),'J1 B - Butcher Terrace'!$A$12:$A$130,"&gt;="&amp;Diagram!$O20,'J1 B - Butcher Terrace'!$A$12:$A$130,"&lt;"&amp;Diagram!$P20)))</f>
        <v>0</v>
      </c>
      <c r="BW20" s="42">
        <f ca="1">IF(OR($I$10="",$O20="",$P20="",$J$38&lt;&gt;"Yes"),0,IF($K$10=0,SUMIFS(INDIRECT(ADDRESS(12,3+18*3+(3),,,"J1 B - Butcher Terrace")&amp;":"&amp;ADDRESS(130,3+18*3+(3))),'J1 B - Butcher Terrace'!$A$12:$A$130,"&gt;="&amp;Diagram!$O20,'J1 B - Butcher Terrace'!$A$12:$A$130,"&lt;"&amp;Diagram!$P20),SUMIFS(INDIRECT(ADDRESS(12,3+18*3+(11),,,"J1 B - Butcher Terrace")&amp;":"&amp;ADDRESS(130,3+18*3+(11))),'J1 B - Butcher Terrace'!$A$12:$A$130,"&gt;="&amp;Diagram!$O20,'J1 B - Butcher Terrace'!$A$12:$A$130,"&lt;"&amp;Diagram!$P20)))</f>
        <v>0</v>
      </c>
      <c r="BX20" s="42">
        <f ca="1">IF(OR($I$10="",$O20="",$P20="",$J$38&lt;&gt;"Yes"),0,IF($K$10=0,SUMIFS(INDIRECT(ADDRESS(12,3+18*0+(3),,,"J1 B - Butcher Terrace")&amp;":"&amp;ADDRESS(130,3+18*0+(3))),'J1 B - Butcher Terrace'!$A$12:$A$130,"&gt;="&amp;Diagram!$O20,'J1 B - Butcher Terrace'!$A$12:$A$130,"&lt;"&amp;Diagram!$P20),SUMIFS(INDIRECT(ADDRESS(12,3+18*0+(11),,,"J1 B - Butcher Terrace")&amp;":"&amp;ADDRESS(130,3+18*0+(11))),'J1 B - Butcher Terrace'!$A$12:$A$130,"&gt;="&amp;Diagram!$O20,'J1 B - Butcher Terrace'!$A$12:$A$130,"&lt;"&amp;Diagram!$P20)))</f>
        <v>0</v>
      </c>
      <c r="BY20" s="42">
        <f ca="1">IF(OR($I$10="",$O20="",$P20="",$J$38&lt;&gt;"Yes"),0,IF($K$10=0,SUMIFS(INDIRECT(ADDRESS(12,3+18*1+(3),,,"J1 B - Butcher Terrace")&amp;":"&amp;ADDRESS(130,3+18*1+(3))),'J1 B - Butcher Terrace'!$A$12:$A$130,"&gt;="&amp;Diagram!$O20,'J1 B - Butcher Terrace'!$A$12:$A$130,"&lt;"&amp;Diagram!$P20),SUMIFS(INDIRECT(ADDRESS(12,3+18*1+(11),,,"J1 B - Butcher Terrace")&amp;":"&amp;ADDRESS(130,3+18*1+(11))),'J1 B - Butcher Terrace'!$A$12:$A$130,"&gt;="&amp;Diagram!$O20,'J1 B - Butcher Terrace'!$A$12:$A$130,"&lt;"&amp;Diagram!$P20)))</f>
        <v>0</v>
      </c>
      <c r="BZ20" s="42">
        <f ca="1">IF(OR($I$10="",$O20="",$P20="",$J$38&lt;&gt;"Yes"),0,IF($K$10=0,SUMIFS(INDIRECT(ADDRESS(12,3+18*1+(3),,,"J1 C - (South) Bishopthorpe Roa")&amp;":"&amp;ADDRESS(130,3+18*1+(3))),'J1 C - (South) Bishopthorpe Roa'!$A$12:$A$130,"&gt;="&amp;Diagram!$O20,'J1 C - (South) Bishopthorpe Roa'!$A$12:$A$130,"&lt;"&amp;Diagram!$P20),SUMIFS(INDIRECT(ADDRESS(12,3+18*1+(11),,,"J1 C - (South) Bishopthorpe Roa")&amp;":"&amp;ADDRESS(130,3+18*1+(11))),'J1 C - (South) Bishopthorpe Roa'!$A$12:$A$130,"&gt;="&amp;Diagram!$O20,'J1 C - (South) Bishopthorpe Roa'!$A$12:$A$130,"&lt;"&amp;Diagram!$P20)))</f>
        <v>0</v>
      </c>
      <c r="CA20" s="42">
        <f ca="1">IF(OR($I$10="",$O20="",$P20="",$J$38&lt;&gt;"Yes"),0,IF($K$10=0,SUMIFS(INDIRECT(ADDRESS(12,3+18*2+(3),,,"J1 C - (South) Bishopthorpe Roa")&amp;":"&amp;ADDRESS(130,3+18*2+(3))),'J1 C - (South) Bishopthorpe Roa'!$A$12:$A$130,"&gt;="&amp;Diagram!$O20,'J1 C - (South) Bishopthorpe Roa'!$A$12:$A$130,"&lt;"&amp;Diagram!$P20),SUMIFS(INDIRECT(ADDRESS(12,3+18*2+(11),,,"J1 C - (South) Bishopthorpe Roa")&amp;":"&amp;ADDRESS(130,3+18*2+(11))),'J1 C - (South) Bishopthorpe Roa'!$A$12:$A$130,"&gt;="&amp;Diagram!$O20,'J1 C - (South) Bishopthorpe Roa'!$A$12:$A$130,"&lt;"&amp;Diagram!$P20)))</f>
        <v>0</v>
      </c>
      <c r="CB20" s="42">
        <f ca="1">IF(OR($I$10="",$O20="",$P20="",$J$38&lt;&gt;"Yes"),0,IF($K$10=0,SUMIFS(INDIRECT(ADDRESS(12,3+18*3+(3),,,"J1 C - (South) Bishopthorpe Roa")&amp;":"&amp;ADDRESS(130,3+18*3+(3))),'J1 C - (South) Bishopthorpe Roa'!$A$12:$A$130,"&gt;="&amp;Diagram!$O20,'J1 C - (South) Bishopthorpe Roa'!$A$12:$A$130,"&lt;"&amp;Diagram!$P20),SUMIFS(INDIRECT(ADDRESS(12,3+18*3+(11),,,"J1 C - (South) Bishopthorpe Roa")&amp;":"&amp;ADDRESS(130,3+18*3+(11))),'J1 C - (South) Bishopthorpe Roa'!$A$12:$A$130,"&gt;="&amp;Diagram!$O20,'J1 C - (South) Bishopthorpe Roa'!$A$12:$A$130,"&lt;"&amp;Diagram!$P20)))</f>
        <v>0</v>
      </c>
      <c r="CC20" s="42">
        <f ca="1">IF(OR($I$10="",$O20="",$P20="",$J$38&lt;&gt;"Yes"),0,IF($K$10=0,SUMIFS(INDIRECT(ADDRESS(12,3+18*0+(3),,,"J1 C - (South) Bishopthorpe Roa")&amp;":"&amp;ADDRESS(130,3+18*0+(3))),'J1 C - (South) Bishopthorpe Roa'!$A$12:$A$130,"&gt;="&amp;Diagram!$O20,'J1 C - (South) Bishopthorpe Roa'!$A$12:$A$130,"&lt;"&amp;Diagram!$P20),SUMIFS(INDIRECT(ADDRESS(12,3+18*0+(11),,,"J1 C - (South) Bishopthorpe Roa")&amp;":"&amp;ADDRESS(130,3+18*0+(11))),'J1 C - (South) Bishopthorpe Roa'!$A$12:$A$130,"&gt;="&amp;Diagram!$O20,'J1 C - (South) Bishopthorpe Roa'!$A$12:$A$130,"&lt;"&amp;Diagram!$P20)))</f>
        <v>0</v>
      </c>
      <c r="CD20" s="42">
        <f ca="1">IF(OR($I$10="",$O20="",$P20="",$J$38&lt;&gt;"Yes"),0,IF($K$10=0,SUMIFS(INDIRECT(ADDRESS(12,3+18*0+(3),,,"J1 D - South Bank Avenue")&amp;":"&amp;ADDRESS(130,3+18*0+(3))),'J1 D - South Bank Avenue'!$A$12:$A$130,"&gt;="&amp;Diagram!$O20,'J1 D - South Bank Avenue'!$A$12:$A$130,"&lt;"&amp;Diagram!$P20),SUMIFS(INDIRECT(ADDRESS(12,3+18*0+(11),,,"J1 D - South Bank Avenue")&amp;":"&amp;ADDRESS(130,3+18*0+(11))),'J1 D - South Bank Avenue'!$A$12:$A$130,"&gt;="&amp;Diagram!$O20,'J1 D - South Bank Avenue'!$A$12:$A$130,"&lt;"&amp;Diagram!$P20)))</f>
        <v>0</v>
      </c>
      <c r="CE20" s="42">
        <f ca="1">IF(OR($I$10="",$O20="",$P20="",$J$38&lt;&gt;"Yes"),0,IF($K$10=0,SUMIFS(INDIRECT(ADDRESS(12,3+18*1+(3),,,"J1 D - South Bank Avenue")&amp;":"&amp;ADDRESS(130,3+18*1+(3))),'J1 D - South Bank Avenue'!$A$12:$A$130,"&gt;="&amp;Diagram!$O20,'J1 D - South Bank Avenue'!$A$12:$A$130,"&lt;"&amp;Diagram!$P20),SUMIFS(INDIRECT(ADDRESS(12,3+18*1+(11),,,"J1 D - South Bank Avenue")&amp;":"&amp;ADDRESS(130,3+18*1+(11))),'J1 D - South Bank Avenue'!$A$12:$A$130,"&gt;="&amp;Diagram!$O20,'J1 D - South Bank Avenue'!$A$12:$A$130,"&lt;"&amp;Diagram!$P20)))</f>
        <v>0</v>
      </c>
      <c r="CF20" s="42">
        <f ca="1">IF(OR($I$10="",$O20="",$P20="",$J$38&lt;&gt;"Yes"),0,IF($K$10=0,SUMIFS(INDIRECT(ADDRESS(12,3+18*2+(3),,,"J1 D - South Bank Avenue")&amp;":"&amp;ADDRESS(130,3+18*2+(3))),'J1 D - South Bank Avenue'!$A$12:$A$130,"&gt;="&amp;Diagram!$O20,'J1 D - South Bank Avenue'!$A$12:$A$130,"&lt;"&amp;Diagram!$P20),SUMIFS(INDIRECT(ADDRESS(12,3+18*2+(11),,,"J1 D - South Bank Avenue")&amp;":"&amp;ADDRESS(130,3+18*2+(11))),'J1 D - South Bank Avenue'!$A$12:$A$130,"&gt;="&amp;Diagram!$O20,'J1 D - South Bank Avenue'!$A$12:$A$130,"&lt;"&amp;Diagram!$P20)))</f>
        <v>0</v>
      </c>
      <c r="CG20" s="42">
        <f ca="1">IF(OR($I$10="",$O20="",$P20="",$J$38&lt;&gt;"Yes"),0,IF($K$10=0,SUMIFS(INDIRECT(ADDRESS(12,3+18*3+(3),,,"J1 D - South Bank Avenue")&amp;":"&amp;ADDRESS(130,3+18*3+(3))),'J1 D - South Bank Avenue'!$A$12:$A$130,"&gt;="&amp;Diagram!$O20,'J1 D - South Bank Avenue'!$A$12:$A$130,"&lt;"&amp;Diagram!$P20),SUMIFS(INDIRECT(ADDRESS(12,3+18*3+(11),,,"J1 D - South Bank Avenue")&amp;":"&amp;ADDRESS(130,3+18*3+(11))),'J1 D - South Bank Avenue'!$A$12:$A$130,"&gt;="&amp;Diagram!$O20,'J1 D - South Bank Avenue'!$A$12:$A$130,"&lt;"&amp;Diagram!$P20)))</f>
        <v>0</v>
      </c>
      <c r="CH20" s="42">
        <f t="shared" ca="1" si="5"/>
        <v>0</v>
      </c>
      <c r="CI20" s="42">
        <f ca="1">IF(OR($I$10="",$O20="",$P20="",$J$39&lt;&gt;"Yes"),0,IF($K$10=0,SUMIFS(INDIRECT(ADDRESS(12,3+18*3+(4),,,"J1 A - (North) Bishopthorpe Roa")&amp;":"&amp;ADDRESS(130,3+18*3+(4))),'J1 A - (North) Bishopthorpe Roa'!$A$12:$A$130,"&gt;="&amp;Diagram!$O20,'J1 A - (North) Bishopthorpe Roa'!$A$12:$A$130,"&lt;"&amp;Diagram!$P20),SUMIFS(INDIRECT(ADDRESS(12,3+18*3+(12),,,"J1 A - (North) Bishopthorpe Roa")&amp;":"&amp;ADDRESS(130,3+18*3+(12))),'J1 A - (North) Bishopthorpe Roa'!$A$12:$A$130,"&gt;="&amp;Diagram!$O20,'J1 A - (North) Bishopthorpe Roa'!$A$12:$A$130,"&lt;"&amp;Diagram!$P20)))</f>
        <v>0</v>
      </c>
      <c r="CJ20" s="42">
        <f ca="1">IF(OR($I$10="",$O20="",$P20="",$J$39&lt;&gt;"Yes"),0,IF($K$10=0,SUMIFS(INDIRECT(ADDRESS(12,3+18*0+(4),,,"J1 A - (North) Bishopthorpe Roa")&amp;":"&amp;ADDRESS(130,3+18*0+(4))),'J1 A - (North) Bishopthorpe Roa'!$A$12:$A$130,"&gt;="&amp;Diagram!$O20,'J1 A - (North) Bishopthorpe Roa'!$A$12:$A$130,"&lt;"&amp;Diagram!$P20),SUMIFS(INDIRECT(ADDRESS(12,3+18*0+(12),,,"J1 A - (North) Bishopthorpe Roa")&amp;":"&amp;ADDRESS(130,3+18*0+(12))),'J1 A - (North) Bishopthorpe Roa'!$A$12:$A$130,"&gt;="&amp;Diagram!$O20,'J1 A - (North) Bishopthorpe Roa'!$A$12:$A$130,"&lt;"&amp;Diagram!$P20)))</f>
        <v>0</v>
      </c>
      <c r="CK20" s="42">
        <f ca="1">IF(OR($I$10="",$O20="",$P20="",$J$39&lt;&gt;"Yes"),0,IF($K$10=0,SUMIFS(INDIRECT(ADDRESS(12,3+18*1+(4),,,"J1 A - (North) Bishopthorpe Roa")&amp;":"&amp;ADDRESS(130,3+18*1+(4))),'J1 A - (North) Bishopthorpe Roa'!$A$12:$A$130,"&gt;="&amp;Diagram!$O20,'J1 A - (North) Bishopthorpe Roa'!$A$12:$A$130,"&lt;"&amp;Diagram!$P20),SUMIFS(INDIRECT(ADDRESS(12,3+18*1+(12),,,"J1 A - (North) Bishopthorpe Roa")&amp;":"&amp;ADDRESS(130,3+18*1+(12))),'J1 A - (North) Bishopthorpe Roa'!$A$12:$A$130,"&gt;="&amp;Diagram!$O20,'J1 A - (North) Bishopthorpe Roa'!$A$12:$A$130,"&lt;"&amp;Diagram!$P20)))</f>
        <v>0</v>
      </c>
      <c r="CL20" s="42">
        <f ca="1">IF(OR($I$10="",$O20="",$P20="",$J$39&lt;&gt;"Yes"),0,IF($K$10=0,SUMIFS(INDIRECT(ADDRESS(12,3+18*2+(4),,,"J1 A - (North) Bishopthorpe Roa")&amp;":"&amp;ADDRESS(130,3+18*2+(4))),'J1 A - (North) Bishopthorpe Roa'!$A$12:$A$130,"&gt;="&amp;Diagram!$O20,'J1 A - (North) Bishopthorpe Roa'!$A$12:$A$130,"&lt;"&amp;Diagram!$P20),SUMIFS(INDIRECT(ADDRESS(12,3+18*2+(12),,,"J1 A - (North) Bishopthorpe Roa")&amp;":"&amp;ADDRESS(130,3+18*2+(12))),'J1 A - (North) Bishopthorpe Roa'!$A$12:$A$130,"&gt;="&amp;Diagram!$O20,'J1 A - (North) Bishopthorpe Roa'!$A$12:$A$130,"&lt;"&amp;Diagram!$P20)))</f>
        <v>0</v>
      </c>
      <c r="CM20" s="42">
        <f ca="1">IF(OR($I$10="",$O20="",$P20="",$J$39&lt;&gt;"Yes"),0,IF($K$10=0,SUMIFS(INDIRECT(ADDRESS(12,3+18*2+(4),,,"J1 B - Butcher Terrace")&amp;":"&amp;ADDRESS(130,3+18*2+(4))),'J1 B - Butcher Terrace'!$A$12:$A$130,"&gt;="&amp;Diagram!$O20,'J1 B - Butcher Terrace'!$A$12:$A$130,"&lt;"&amp;Diagram!$P20),SUMIFS(INDIRECT(ADDRESS(12,3+18*2+(12),,,"J1 B - Butcher Terrace")&amp;":"&amp;ADDRESS(130,3+18*2+(12))),'J1 B - Butcher Terrace'!$A$12:$A$130,"&gt;="&amp;Diagram!$O20,'J1 B - Butcher Terrace'!$A$12:$A$130,"&lt;"&amp;Diagram!$P20)))</f>
        <v>0</v>
      </c>
      <c r="CN20" s="42">
        <f ca="1">IF(OR($I$10="",$O20="",$P20="",$J$39&lt;&gt;"Yes"),0,IF($K$10=0,SUMIFS(INDIRECT(ADDRESS(12,3+18*3+(4),,,"J1 B - Butcher Terrace")&amp;":"&amp;ADDRESS(130,3+18*3+(4))),'J1 B - Butcher Terrace'!$A$12:$A$130,"&gt;="&amp;Diagram!$O20,'J1 B - Butcher Terrace'!$A$12:$A$130,"&lt;"&amp;Diagram!$P20),SUMIFS(INDIRECT(ADDRESS(12,3+18*3+(12),,,"J1 B - Butcher Terrace")&amp;":"&amp;ADDRESS(130,3+18*3+(12))),'J1 B - Butcher Terrace'!$A$12:$A$130,"&gt;="&amp;Diagram!$O20,'J1 B - Butcher Terrace'!$A$12:$A$130,"&lt;"&amp;Diagram!$P20)))</f>
        <v>0</v>
      </c>
      <c r="CO20" s="42">
        <f ca="1">IF(OR($I$10="",$O20="",$P20="",$J$39&lt;&gt;"Yes"),0,IF($K$10=0,SUMIFS(INDIRECT(ADDRESS(12,3+18*0+(4),,,"J1 B - Butcher Terrace")&amp;":"&amp;ADDRESS(130,3+18*0+(4))),'J1 B - Butcher Terrace'!$A$12:$A$130,"&gt;="&amp;Diagram!$O20,'J1 B - Butcher Terrace'!$A$12:$A$130,"&lt;"&amp;Diagram!$P20),SUMIFS(INDIRECT(ADDRESS(12,3+18*0+(12),,,"J1 B - Butcher Terrace")&amp;":"&amp;ADDRESS(130,3+18*0+(12))),'J1 B - Butcher Terrace'!$A$12:$A$130,"&gt;="&amp;Diagram!$O20,'J1 B - Butcher Terrace'!$A$12:$A$130,"&lt;"&amp;Diagram!$P20)))</f>
        <v>0</v>
      </c>
      <c r="CP20" s="42">
        <f ca="1">IF(OR($I$10="",$O20="",$P20="",$J$39&lt;&gt;"Yes"),0,IF($K$10=0,SUMIFS(INDIRECT(ADDRESS(12,3+18*1+(4),,,"J1 B - Butcher Terrace")&amp;":"&amp;ADDRESS(130,3+18*1+(4))),'J1 B - Butcher Terrace'!$A$12:$A$130,"&gt;="&amp;Diagram!$O20,'J1 B - Butcher Terrace'!$A$12:$A$130,"&lt;"&amp;Diagram!$P20),SUMIFS(INDIRECT(ADDRESS(12,3+18*1+(12),,,"J1 B - Butcher Terrace")&amp;":"&amp;ADDRESS(130,3+18*1+(12))),'J1 B - Butcher Terrace'!$A$12:$A$130,"&gt;="&amp;Diagram!$O20,'J1 B - Butcher Terrace'!$A$12:$A$130,"&lt;"&amp;Diagram!$P20)))</f>
        <v>0</v>
      </c>
      <c r="CQ20" s="42">
        <f ca="1">IF(OR($I$10="",$O20="",$P20="",$J$39&lt;&gt;"Yes"),0,IF($K$10=0,SUMIFS(INDIRECT(ADDRESS(12,3+18*1+(4),,,"J1 C - (South) Bishopthorpe Roa")&amp;":"&amp;ADDRESS(130,3+18*1+(4))),'J1 C - (South) Bishopthorpe Roa'!$A$12:$A$130,"&gt;="&amp;Diagram!$O20,'J1 C - (South) Bishopthorpe Roa'!$A$12:$A$130,"&lt;"&amp;Diagram!$P20),SUMIFS(INDIRECT(ADDRESS(12,3+18*1+(12),,,"J1 C - (South) Bishopthorpe Roa")&amp;":"&amp;ADDRESS(130,3+18*1+(12))),'J1 C - (South) Bishopthorpe Roa'!$A$12:$A$130,"&gt;="&amp;Diagram!$O20,'J1 C - (South) Bishopthorpe Roa'!$A$12:$A$130,"&lt;"&amp;Diagram!$P20)))</f>
        <v>0</v>
      </c>
      <c r="CR20" s="42">
        <f ca="1">IF(OR($I$10="",$O20="",$P20="",$J$39&lt;&gt;"Yes"),0,IF($K$10=0,SUMIFS(INDIRECT(ADDRESS(12,3+18*2+(4),,,"J1 C - (South) Bishopthorpe Roa")&amp;":"&amp;ADDRESS(130,3+18*2+(4))),'J1 C - (South) Bishopthorpe Roa'!$A$12:$A$130,"&gt;="&amp;Diagram!$O20,'J1 C - (South) Bishopthorpe Roa'!$A$12:$A$130,"&lt;"&amp;Diagram!$P20),SUMIFS(INDIRECT(ADDRESS(12,3+18*2+(12),,,"J1 C - (South) Bishopthorpe Roa")&amp;":"&amp;ADDRESS(130,3+18*2+(12))),'J1 C - (South) Bishopthorpe Roa'!$A$12:$A$130,"&gt;="&amp;Diagram!$O20,'J1 C - (South) Bishopthorpe Roa'!$A$12:$A$130,"&lt;"&amp;Diagram!$P20)))</f>
        <v>0</v>
      </c>
      <c r="CS20" s="42">
        <f ca="1">IF(OR($I$10="",$O20="",$P20="",$J$39&lt;&gt;"Yes"),0,IF($K$10=0,SUMIFS(INDIRECT(ADDRESS(12,3+18*3+(4),,,"J1 C - (South) Bishopthorpe Roa")&amp;":"&amp;ADDRESS(130,3+18*3+(4))),'J1 C - (South) Bishopthorpe Roa'!$A$12:$A$130,"&gt;="&amp;Diagram!$O20,'J1 C - (South) Bishopthorpe Roa'!$A$12:$A$130,"&lt;"&amp;Diagram!$P20),SUMIFS(INDIRECT(ADDRESS(12,3+18*3+(12),,,"J1 C - (South) Bishopthorpe Roa")&amp;":"&amp;ADDRESS(130,3+18*3+(12))),'J1 C - (South) Bishopthorpe Roa'!$A$12:$A$130,"&gt;="&amp;Diagram!$O20,'J1 C - (South) Bishopthorpe Roa'!$A$12:$A$130,"&lt;"&amp;Diagram!$P20)))</f>
        <v>0</v>
      </c>
      <c r="CT20" s="42">
        <f ca="1">IF(OR($I$10="",$O20="",$P20="",$J$39&lt;&gt;"Yes"),0,IF($K$10=0,SUMIFS(INDIRECT(ADDRESS(12,3+18*0+(4),,,"J1 C - (South) Bishopthorpe Roa")&amp;":"&amp;ADDRESS(130,3+18*0+(4))),'J1 C - (South) Bishopthorpe Roa'!$A$12:$A$130,"&gt;="&amp;Diagram!$O20,'J1 C - (South) Bishopthorpe Roa'!$A$12:$A$130,"&lt;"&amp;Diagram!$P20),SUMIFS(INDIRECT(ADDRESS(12,3+18*0+(12),,,"J1 C - (South) Bishopthorpe Roa")&amp;":"&amp;ADDRESS(130,3+18*0+(12))),'J1 C - (South) Bishopthorpe Roa'!$A$12:$A$130,"&gt;="&amp;Diagram!$O20,'J1 C - (South) Bishopthorpe Roa'!$A$12:$A$130,"&lt;"&amp;Diagram!$P20)))</f>
        <v>0</v>
      </c>
      <c r="CU20" s="42">
        <f ca="1">IF(OR($I$10="",$O20="",$P20="",$J$39&lt;&gt;"Yes"),0,IF($K$10=0,SUMIFS(INDIRECT(ADDRESS(12,3+18*0+(4),,,"J1 D - South Bank Avenue")&amp;":"&amp;ADDRESS(130,3+18*0+(4))),'J1 D - South Bank Avenue'!$A$12:$A$130,"&gt;="&amp;Diagram!$O20,'J1 D - South Bank Avenue'!$A$12:$A$130,"&lt;"&amp;Diagram!$P20),SUMIFS(INDIRECT(ADDRESS(12,3+18*0+(12),,,"J1 D - South Bank Avenue")&amp;":"&amp;ADDRESS(130,3+18*0+(12))),'J1 D - South Bank Avenue'!$A$12:$A$130,"&gt;="&amp;Diagram!$O20,'J1 D - South Bank Avenue'!$A$12:$A$130,"&lt;"&amp;Diagram!$P20)))</f>
        <v>0</v>
      </c>
      <c r="CV20" s="42">
        <f ca="1">IF(OR($I$10="",$O20="",$P20="",$J$39&lt;&gt;"Yes"),0,IF($K$10=0,SUMIFS(INDIRECT(ADDRESS(12,3+18*1+(4),,,"J1 D - South Bank Avenue")&amp;":"&amp;ADDRESS(130,3+18*1+(4))),'J1 D - South Bank Avenue'!$A$12:$A$130,"&gt;="&amp;Diagram!$O20,'J1 D - South Bank Avenue'!$A$12:$A$130,"&lt;"&amp;Diagram!$P20),SUMIFS(INDIRECT(ADDRESS(12,3+18*1+(12),,,"J1 D - South Bank Avenue")&amp;":"&amp;ADDRESS(130,3+18*1+(12))),'J1 D - South Bank Avenue'!$A$12:$A$130,"&gt;="&amp;Diagram!$O20,'J1 D - South Bank Avenue'!$A$12:$A$130,"&lt;"&amp;Diagram!$P20)))</f>
        <v>0</v>
      </c>
      <c r="CW20" s="42">
        <f ca="1">IF(OR($I$10="",$O20="",$P20="",$J$39&lt;&gt;"Yes"),0,IF($K$10=0,SUMIFS(INDIRECT(ADDRESS(12,3+18*2+(4),,,"J1 D - South Bank Avenue")&amp;":"&amp;ADDRESS(130,3+18*2+(4))),'J1 D - South Bank Avenue'!$A$12:$A$130,"&gt;="&amp;Diagram!$O20,'J1 D - South Bank Avenue'!$A$12:$A$130,"&lt;"&amp;Diagram!$P20),SUMIFS(INDIRECT(ADDRESS(12,3+18*2+(12),,,"J1 D - South Bank Avenue")&amp;":"&amp;ADDRESS(130,3+18*2+(12))),'J1 D - South Bank Avenue'!$A$12:$A$130,"&gt;="&amp;Diagram!$O20,'J1 D - South Bank Avenue'!$A$12:$A$130,"&lt;"&amp;Diagram!$P20)))</f>
        <v>0</v>
      </c>
      <c r="CX20" s="42">
        <f ca="1">IF(OR($I$10="",$O20="",$P20="",$J$39&lt;&gt;"Yes"),0,IF($K$10=0,SUMIFS(INDIRECT(ADDRESS(12,3+18*3+(4),,,"J1 D - South Bank Avenue")&amp;":"&amp;ADDRESS(130,3+18*3+(4))),'J1 D - South Bank Avenue'!$A$12:$A$130,"&gt;="&amp;Diagram!$O20,'J1 D - South Bank Avenue'!$A$12:$A$130,"&lt;"&amp;Diagram!$P20),SUMIFS(INDIRECT(ADDRESS(12,3+18*3+(12),,,"J1 D - South Bank Avenue")&amp;":"&amp;ADDRESS(130,3+18*3+(12))),'J1 D - South Bank Avenue'!$A$12:$A$130,"&gt;="&amp;Diagram!$O20,'J1 D - South Bank Avenue'!$A$12:$A$130,"&lt;"&amp;Diagram!$P20)))</f>
        <v>0</v>
      </c>
      <c r="CY20" s="42">
        <f t="shared" ca="1" si="6"/>
        <v>8</v>
      </c>
      <c r="CZ20" s="42">
        <f ca="1">IF(OR($I$10="",$O20="",$P20="",$J$40&lt;&gt;"Yes"),0,IF($K$10=0,SUMIFS(INDIRECT(ADDRESS(12,3+18*3+(5),,,"J1 A - (North) Bishopthorpe Roa")&amp;":"&amp;ADDRESS(130,3+18*3+(5))),'J1 A - (North) Bishopthorpe Roa'!$A$12:$A$130,"&gt;="&amp;Diagram!$O20,'J1 A - (North) Bishopthorpe Roa'!$A$12:$A$130,"&lt;"&amp;Diagram!$P20),SUMIFS(INDIRECT(ADDRESS(12,3+18*3+(13),,,"J1 A - (North) Bishopthorpe Roa")&amp;":"&amp;ADDRESS(130,3+18*3+(13))),'J1 A - (North) Bishopthorpe Roa'!$A$12:$A$130,"&gt;="&amp;Diagram!$O20,'J1 A - (North) Bishopthorpe Roa'!$A$12:$A$130,"&lt;"&amp;Diagram!$P20)))</f>
        <v>0</v>
      </c>
      <c r="DA20" s="42">
        <f ca="1">IF(OR($I$10="",$O20="",$P20="",$J$40&lt;&gt;"Yes"),0,IF($K$10=0,SUMIFS(INDIRECT(ADDRESS(12,3+18*0+(5),,,"J1 A - (North) Bishopthorpe Roa")&amp;":"&amp;ADDRESS(130,3+18*0+(5))),'J1 A - (North) Bishopthorpe Roa'!$A$12:$A$130,"&gt;="&amp;Diagram!$O20,'J1 A - (North) Bishopthorpe Roa'!$A$12:$A$130,"&lt;"&amp;Diagram!$P20),SUMIFS(INDIRECT(ADDRESS(12,3+18*0+(13),,,"J1 A - (North) Bishopthorpe Roa")&amp;":"&amp;ADDRESS(130,3+18*0+(13))),'J1 A - (North) Bishopthorpe Roa'!$A$12:$A$130,"&gt;="&amp;Diagram!$O20,'J1 A - (North) Bishopthorpe Roa'!$A$12:$A$130,"&lt;"&amp;Diagram!$P20)))</f>
        <v>0</v>
      </c>
      <c r="DB20" s="42">
        <f ca="1">IF(OR($I$10="",$O20="",$P20="",$J$40&lt;&gt;"Yes"),0,IF($K$10=0,SUMIFS(INDIRECT(ADDRESS(12,3+18*1+(5),,,"J1 A - (North) Bishopthorpe Roa")&amp;":"&amp;ADDRESS(130,3+18*1+(5))),'J1 A - (North) Bishopthorpe Roa'!$A$12:$A$130,"&gt;="&amp;Diagram!$O20,'J1 A - (North) Bishopthorpe Roa'!$A$12:$A$130,"&lt;"&amp;Diagram!$P20),SUMIFS(INDIRECT(ADDRESS(12,3+18*1+(13),,,"J1 A - (North) Bishopthorpe Roa")&amp;":"&amp;ADDRESS(130,3+18*1+(13))),'J1 A - (North) Bishopthorpe Roa'!$A$12:$A$130,"&gt;="&amp;Diagram!$O20,'J1 A - (North) Bishopthorpe Roa'!$A$12:$A$130,"&lt;"&amp;Diagram!$P20)))</f>
        <v>2</v>
      </c>
      <c r="DC20" s="42">
        <f ca="1">IF(OR($I$10="",$O20="",$P20="",$J$40&lt;&gt;"Yes"),0,IF($K$10=0,SUMIFS(INDIRECT(ADDRESS(12,3+18*2+(5),,,"J1 A - (North) Bishopthorpe Roa")&amp;":"&amp;ADDRESS(130,3+18*2+(5))),'J1 A - (North) Bishopthorpe Roa'!$A$12:$A$130,"&gt;="&amp;Diagram!$O20,'J1 A - (North) Bishopthorpe Roa'!$A$12:$A$130,"&lt;"&amp;Diagram!$P20),SUMIFS(INDIRECT(ADDRESS(12,3+18*2+(13),,,"J1 A - (North) Bishopthorpe Roa")&amp;":"&amp;ADDRESS(130,3+18*2+(13))),'J1 A - (North) Bishopthorpe Roa'!$A$12:$A$130,"&gt;="&amp;Diagram!$O20,'J1 A - (North) Bishopthorpe Roa'!$A$12:$A$130,"&lt;"&amp;Diagram!$P20)))</f>
        <v>0</v>
      </c>
      <c r="DD20" s="42">
        <f ca="1">IF(OR($I$10="",$O20="",$P20="",$J$40&lt;&gt;"Yes"),0,IF($K$10=0,SUMIFS(INDIRECT(ADDRESS(12,3+18*2+(5),,,"J1 B - Butcher Terrace")&amp;":"&amp;ADDRESS(130,3+18*2+(5))),'J1 B - Butcher Terrace'!$A$12:$A$130,"&gt;="&amp;Diagram!$O20,'J1 B - Butcher Terrace'!$A$12:$A$130,"&lt;"&amp;Diagram!$P20),SUMIFS(INDIRECT(ADDRESS(12,3+18*2+(13),,,"J1 B - Butcher Terrace")&amp;":"&amp;ADDRESS(130,3+18*2+(13))),'J1 B - Butcher Terrace'!$A$12:$A$130,"&gt;="&amp;Diagram!$O20,'J1 B - Butcher Terrace'!$A$12:$A$130,"&lt;"&amp;Diagram!$P20)))</f>
        <v>1</v>
      </c>
      <c r="DE20" s="42">
        <f ca="1">IF(OR($I$10="",$O20="",$P20="",$J$40&lt;&gt;"Yes"),0,IF($K$10=0,SUMIFS(INDIRECT(ADDRESS(12,3+18*3+(5),,,"J1 B - Butcher Terrace")&amp;":"&amp;ADDRESS(130,3+18*3+(5))),'J1 B - Butcher Terrace'!$A$12:$A$130,"&gt;="&amp;Diagram!$O20,'J1 B - Butcher Terrace'!$A$12:$A$130,"&lt;"&amp;Diagram!$P20),SUMIFS(INDIRECT(ADDRESS(12,3+18*3+(13),,,"J1 B - Butcher Terrace")&amp;":"&amp;ADDRESS(130,3+18*3+(13))),'J1 B - Butcher Terrace'!$A$12:$A$130,"&gt;="&amp;Diagram!$O20,'J1 B - Butcher Terrace'!$A$12:$A$130,"&lt;"&amp;Diagram!$P20)))</f>
        <v>0</v>
      </c>
      <c r="DF20" s="42">
        <f ca="1">IF(OR($I$10="",$O20="",$P20="",$J$40&lt;&gt;"Yes"),0,IF($K$10=0,SUMIFS(INDIRECT(ADDRESS(12,3+18*0+(5),,,"J1 B - Butcher Terrace")&amp;":"&amp;ADDRESS(130,3+18*0+(5))),'J1 B - Butcher Terrace'!$A$12:$A$130,"&gt;="&amp;Diagram!$O20,'J1 B - Butcher Terrace'!$A$12:$A$130,"&lt;"&amp;Diagram!$P20),SUMIFS(INDIRECT(ADDRESS(12,3+18*0+(13),,,"J1 B - Butcher Terrace")&amp;":"&amp;ADDRESS(130,3+18*0+(13))),'J1 B - Butcher Terrace'!$A$12:$A$130,"&gt;="&amp;Diagram!$O20,'J1 B - Butcher Terrace'!$A$12:$A$130,"&lt;"&amp;Diagram!$P20)))</f>
        <v>3</v>
      </c>
      <c r="DG20" s="42">
        <f ca="1">IF(OR($I$10="",$O20="",$P20="",$J$40&lt;&gt;"Yes"),0,IF($K$10=0,SUMIFS(INDIRECT(ADDRESS(12,3+18*1+(5),,,"J1 B - Butcher Terrace")&amp;":"&amp;ADDRESS(130,3+18*1+(5))),'J1 B - Butcher Terrace'!$A$12:$A$130,"&gt;="&amp;Diagram!$O20,'J1 B - Butcher Terrace'!$A$12:$A$130,"&lt;"&amp;Diagram!$P20),SUMIFS(INDIRECT(ADDRESS(12,3+18*1+(13),,,"J1 B - Butcher Terrace")&amp;":"&amp;ADDRESS(130,3+18*1+(13))),'J1 B - Butcher Terrace'!$A$12:$A$130,"&gt;="&amp;Diagram!$O20,'J1 B - Butcher Terrace'!$A$12:$A$130,"&lt;"&amp;Diagram!$P20)))</f>
        <v>0</v>
      </c>
      <c r="DH20" s="42">
        <f ca="1">IF(OR($I$10="",$O20="",$P20="",$J$40&lt;&gt;"Yes"),0,IF($K$10=0,SUMIFS(INDIRECT(ADDRESS(12,3+18*1+(5),,,"J1 C - (South) Bishopthorpe Roa")&amp;":"&amp;ADDRESS(130,3+18*1+(5))),'J1 C - (South) Bishopthorpe Roa'!$A$12:$A$130,"&gt;="&amp;Diagram!$O20,'J1 C - (South) Bishopthorpe Roa'!$A$12:$A$130,"&lt;"&amp;Diagram!$P20),SUMIFS(INDIRECT(ADDRESS(12,3+18*1+(13),,,"J1 C - (South) Bishopthorpe Roa")&amp;":"&amp;ADDRESS(130,3+18*1+(13))),'J1 C - (South) Bishopthorpe Roa'!$A$12:$A$130,"&gt;="&amp;Diagram!$O20,'J1 C - (South) Bishopthorpe Roa'!$A$12:$A$130,"&lt;"&amp;Diagram!$P20)))</f>
        <v>2</v>
      </c>
      <c r="DI20" s="42">
        <f ca="1">IF(OR($I$10="",$O20="",$P20="",$J$40&lt;&gt;"Yes"),0,IF($K$10=0,SUMIFS(INDIRECT(ADDRESS(12,3+18*2+(5),,,"J1 C - (South) Bishopthorpe Roa")&amp;":"&amp;ADDRESS(130,3+18*2+(5))),'J1 C - (South) Bishopthorpe Roa'!$A$12:$A$130,"&gt;="&amp;Diagram!$O20,'J1 C - (South) Bishopthorpe Roa'!$A$12:$A$130,"&lt;"&amp;Diagram!$P20),SUMIFS(INDIRECT(ADDRESS(12,3+18*2+(13),,,"J1 C - (South) Bishopthorpe Roa")&amp;":"&amp;ADDRESS(130,3+18*2+(13))),'J1 C - (South) Bishopthorpe Roa'!$A$12:$A$130,"&gt;="&amp;Diagram!$O20,'J1 C - (South) Bishopthorpe Roa'!$A$12:$A$130,"&lt;"&amp;Diagram!$P20)))</f>
        <v>0</v>
      </c>
      <c r="DJ20" s="42">
        <f ca="1">IF(OR($I$10="",$O20="",$P20="",$J$40&lt;&gt;"Yes"),0,IF($K$10=0,SUMIFS(INDIRECT(ADDRESS(12,3+18*3+(5),,,"J1 C - (South) Bishopthorpe Roa")&amp;":"&amp;ADDRESS(130,3+18*3+(5))),'J1 C - (South) Bishopthorpe Roa'!$A$12:$A$130,"&gt;="&amp;Diagram!$O20,'J1 C - (South) Bishopthorpe Roa'!$A$12:$A$130,"&lt;"&amp;Diagram!$P20),SUMIFS(INDIRECT(ADDRESS(12,3+18*3+(13),,,"J1 C - (South) Bishopthorpe Roa")&amp;":"&amp;ADDRESS(130,3+18*3+(13))),'J1 C - (South) Bishopthorpe Roa'!$A$12:$A$130,"&gt;="&amp;Diagram!$O20,'J1 C - (South) Bishopthorpe Roa'!$A$12:$A$130,"&lt;"&amp;Diagram!$P20)))</f>
        <v>0</v>
      </c>
      <c r="DK20" s="42">
        <f ca="1">IF(OR($I$10="",$O20="",$P20="",$J$40&lt;&gt;"Yes"),0,IF($K$10=0,SUMIFS(INDIRECT(ADDRESS(12,3+18*0+(5),,,"J1 C - (South) Bishopthorpe Roa")&amp;":"&amp;ADDRESS(130,3+18*0+(5))),'J1 C - (South) Bishopthorpe Roa'!$A$12:$A$130,"&gt;="&amp;Diagram!$O20,'J1 C - (South) Bishopthorpe Roa'!$A$12:$A$130,"&lt;"&amp;Diagram!$P20),SUMIFS(INDIRECT(ADDRESS(12,3+18*0+(13),,,"J1 C - (South) Bishopthorpe Roa")&amp;":"&amp;ADDRESS(130,3+18*0+(13))),'J1 C - (South) Bishopthorpe Roa'!$A$12:$A$130,"&gt;="&amp;Diagram!$O20,'J1 C - (South) Bishopthorpe Roa'!$A$12:$A$130,"&lt;"&amp;Diagram!$P20)))</f>
        <v>0</v>
      </c>
      <c r="DL20" s="42">
        <f ca="1">IF(OR($I$10="",$O20="",$P20="",$J$40&lt;&gt;"Yes"),0,IF($K$10=0,SUMIFS(INDIRECT(ADDRESS(12,3+18*0+(5),,,"J1 D - South Bank Avenue")&amp;":"&amp;ADDRESS(130,3+18*0+(5))),'J1 D - South Bank Avenue'!$A$12:$A$130,"&gt;="&amp;Diagram!$O20,'J1 D - South Bank Avenue'!$A$12:$A$130,"&lt;"&amp;Diagram!$P20),SUMIFS(INDIRECT(ADDRESS(12,3+18*0+(13),,,"J1 D - South Bank Avenue")&amp;":"&amp;ADDRESS(130,3+18*0+(13))),'J1 D - South Bank Avenue'!$A$12:$A$130,"&gt;="&amp;Diagram!$O20,'J1 D - South Bank Avenue'!$A$12:$A$130,"&lt;"&amp;Diagram!$P20)))</f>
        <v>0</v>
      </c>
      <c r="DM20" s="42">
        <f ca="1">IF(OR($I$10="",$O20="",$P20="",$J$40&lt;&gt;"Yes"),0,IF($K$10=0,SUMIFS(INDIRECT(ADDRESS(12,3+18*1+(5),,,"J1 D - South Bank Avenue")&amp;":"&amp;ADDRESS(130,3+18*1+(5))),'J1 D - South Bank Avenue'!$A$12:$A$130,"&gt;="&amp;Diagram!$O20,'J1 D - South Bank Avenue'!$A$12:$A$130,"&lt;"&amp;Diagram!$P20),SUMIFS(INDIRECT(ADDRESS(12,3+18*1+(13),,,"J1 D - South Bank Avenue")&amp;":"&amp;ADDRESS(130,3+18*1+(13))),'J1 D - South Bank Avenue'!$A$12:$A$130,"&gt;="&amp;Diagram!$O20,'J1 D - South Bank Avenue'!$A$12:$A$130,"&lt;"&amp;Diagram!$P20)))</f>
        <v>0</v>
      </c>
      <c r="DN20" s="42">
        <f ca="1">IF(OR($I$10="",$O20="",$P20="",$J$40&lt;&gt;"Yes"),0,IF($K$10=0,SUMIFS(INDIRECT(ADDRESS(12,3+18*2+(5),,,"J1 D - South Bank Avenue")&amp;":"&amp;ADDRESS(130,3+18*2+(5))),'J1 D - South Bank Avenue'!$A$12:$A$130,"&gt;="&amp;Diagram!$O20,'J1 D - South Bank Avenue'!$A$12:$A$130,"&lt;"&amp;Diagram!$P20),SUMIFS(INDIRECT(ADDRESS(12,3+18*2+(13),,,"J1 D - South Bank Avenue")&amp;":"&amp;ADDRESS(130,3+18*2+(13))),'J1 D - South Bank Avenue'!$A$12:$A$130,"&gt;="&amp;Diagram!$O20,'J1 D - South Bank Avenue'!$A$12:$A$130,"&lt;"&amp;Diagram!$P20)))</f>
        <v>0</v>
      </c>
      <c r="DO20" s="42">
        <f ca="1">IF(OR($I$10="",$O20="",$P20="",$J$40&lt;&gt;"Yes"),0,IF($K$10=0,SUMIFS(INDIRECT(ADDRESS(12,3+18*3+(5),,,"J1 D - South Bank Avenue")&amp;":"&amp;ADDRESS(130,3+18*3+(5))),'J1 D - South Bank Avenue'!$A$12:$A$130,"&gt;="&amp;Diagram!$O20,'J1 D - South Bank Avenue'!$A$12:$A$130,"&lt;"&amp;Diagram!$P20),SUMIFS(INDIRECT(ADDRESS(12,3+18*3+(13),,,"J1 D - South Bank Avenue")&amp;":"&amp;ADDRESS(130,3+18*3+(13))),'J1 D - South Bank Avenue'!$A$12:$A$130,"&gt;="&amp;Diagram!$O20,'J1 D - South Bank Avenue'!$A$12:$A$130,"&lt;"&amp;Diagram!$P20)))</f>
        <v>0</v>
      </c>
      <c r="DP20" s="42">
        <f t="shared" ca="1" si="7"/>
        <v>0</v>
      </c>
      <c r="DQ20" s="42">
        <f ca="1">IF(OR($I$10="",$O20="",$P20="",$J$41&lt;&gt;"Yes"),0,IF($K$10=0,SUMIFS(INDIRECT(ADDRESS(12,3+18*3+(6),,,"J1 A - (North) Bishopthorpe Roa")&amp;":"&amp;ADDRESS(130,3+18*3+(6))),'J1 A - (North) Bishopthorpe Roa'!$A$12:$A$130,"&gt;="&amp;Diagram!$O20,'J1 A - (North) Bishopthorpe Roa'!$A$12:$A$130,"&lt;"&amp;Diagram!$P20),SUMIFS(INDIRECT(ADDRESS(12,3+18*3+(14),,,"J1 A - (North) Bishopthorpe Roa")&amp;":"&amp;ADDRESS(130,3+18*3+(14))),'J1 A - (North) Bishopthorpe Roa'!$A$12:$A$130,"&gt;="&amp;Diagram!$O20,'J1 A - (North) Bishopthorpe Roa'!$A$12:$A$130,"&lt;"&amp;Diagram!$P20)))</f>
        <v>0</v>
      </c>
      <c r="DR20" s="42">
        <f ca="1">IF(OR($I$10="",$O20="",$P20="",$J$41&lt;&gt;"Yes"),0,IF($K$10=0,SUMIFS(INDIRECT(ADDRESS(12,3+18*0+(6),,,"J1 A - (North) Bishopthorpe Roa")&amp;":"&amp;ADDRESS(130,3+18*0+(6))),'J1 A - (North) Bishopthorpe Roa'!$A$12:$A$130,"&gt;="&amp;Diagram!$O20,'J1 A - (North) Bishopthorpe Roa'!$A$12:$A$130,"&lt;"&amp;Diagram!$P20),SUMIFS(INDIRECT(ADDRESS(12,3+18*0+(14),,,"J1 A - (North) Bishopthorpe Roa")&amp;":"&amp;ADDRESS(130,3+18*0+(14))),'J1 A - (North) Bishopthorpe Roa'!$A$12:$A$130,"&gt;="&amp;Diagram!$O20,'J1 A - (North) Bishopthorpe Roa'!$A$12:$A$130,"&lt;"&amp;Diagram!$P20)))</f>
        <v>0</v>
      </c>
      <c r="DS20" s="42">
        <f ca="1">IF(OR($I$10="",$O20="",$P20="",$J$41&lt;&gt;"Yes"),0,IF($K$10=0,SUMIFS(INDIRECT(ADDRESS(12,3+18*1+(6),,,"J1 A - (North) Bishopthorpe Roa")&amp;":"&amp;ADDRESS(130,3+18*1+(6))),'J1 A - (North) Bishopthorpe Roa'!$A$12:$A$130,"&gt;="&amp;Diagram!$O20,'J1 A - (North) Bishopthorpe Roa'!$A$12:$A$130,"&lt;"&amp;Diagram!$P20),SUMIFS(INDIRECT(ADDRESS(12,3+18*1+(14),,,"J1 A - (North) Bishopthorpe Roa")&amp;":"&amp;ADDRESS(130,3+18*1+(14))),'J1 A - (North) Bishopthorpe Roa'!$A$12:$A$130,"&gt;="&amp;Diagram!$O20,'J1 A - (North) Bishopthorpe Roa'!$A$12:$A$130,"&lt;"&amp;Diagram!$P20)))</f>
        <v>0</v>
      </c>
      <c r="DT20" s="42">
        <f ca="1">IF(OR($I$10="",$O20="",$P20="",$J$41&lt;&gt;"Yes"),0,IF($K$10=0,SUMIFS(INDIRECT(ADDRESS(12,3+18*2+(6),,,"J1 A - (North) Bishopthorpe Roa")&amp;":"&amp;ADDRESS(130,3+18*2+(6))),'J1 A - (North) Bishopthorpe Roa'!$A$12:$A$130,"&gt;="&amp;Diagram!$O20,'J1 A - (North) Bishopthorpe Roa'!$A$12:$A$130,"&lt;"&amp;Diagram!$P20),SUMIFS(INDIRECT(ADDRESS(12,3+18*2+(14),,,"J1 A - (North) Bishopthorpe Roa")&amp;":"&amp;ADDRESS(130,3+18*2+(14))),'J1 A - (North) Bishopthorpe Roa'!$A$12:$A$130,"&gt;="&amp;Diagram!$O20,'J1 A - (North) Bishopthorpe Roa'!$A$12:$A$130,"&lt;"&amp;Diagram!$P20)))</f>
        <v>0</v>
      </c>
      <c r="DU20" s="42">
        <f ca="1">IF(OR($I$10="",$O20="",$P20="",$J$41&lt;&gt;"Yes"),0,IF($K$10=0,SUMIFS(INDIRECT(ADDRESS(12,3+18*2+(6),,,"J1 B - Butcher Terrace")&amp;":"&amp;ADDRESS(130,3+18*2+(6))),'J1 B - Butcher Terrace'!$A$12:$A$130,"&gt;="&amp;Diagram!$O20,'J1 B - Butcher Terrace'!$A$12:$A$130,"&lt;"&amp;Diagram!$P20),SUMIFS(INDIRECT(ADDRESS(12,3+18*2+(14),,,"J1 B - Butcher Terrace")&amp;":"&amp;ADDRESS(130,3+18*2+(14))),'J1 B - Butcher Terrace'!$A$12:$A$130,"&gt;="&amp;Diagram!$O20,'J1 B - Butcher Terrace'!$A$12:$A$130,"&lt;"&amp;Diagram!$P20)))</f>
        <v>0</v>
      </c>
      <c r="DV20" s="42">
        <f ca="1">IF(OR($I$10="",$O20="",$P20="",$J$41&lt;&gt;"Yes"),0,IF($K$10=0,SUMIFS(INDIRECT(ADDRESS(12,3+18*3+(6),,,"J1 B - Butcher Terrace")&amp;":"&amp;ADDRESS(130,3+18*3+(6))),'J1 B - Butcher Terrace'!$A$12:$A$130,"&gt;="&amp;Diagram!$O20,'J1 B - Butcher Terrace'!$A$12:$A$130,"&lt;"&amp;Diagram!$P20),SUMIFS(INDIRECT(ADDRESS(12,3+18*3+(14),,,"J1 B - Butcher Terrace")&amp;":"&amp;ADDRESS(130,3+18*3+(14))),'J1 B - Butcher Terrace'!$A$12:$A$130,"&gt;="&amp;Diagram!$O20,'J1 B - Butcher Terrace'!$A$12:$A$130,"&lt;"&amp;Diagram!$P20)))</f>
        <v>0</v>
      </c>
      <c r="DW20" s="42">
        <f ca="1">IF(OR($I$10="",$O20="",$P20="",$J$41&lt;&gt;"Yes"),0,IF($K$10=0,SUMIFS(INDIRECT(ADDRESS(12,3+18*0+(6),,,"J1 B - Butcher Terrace")&amp;":"&amp;ADDRESS(130,3+18*0+(6))),'J1 B - Butcher Terrace'!$A$12:$A$130,"&gt;="&amp;Diagram!$O20,'J1 B - Butcher Terrace'!$A$12:$A$130,"&lt;"&amp;Diagram!$P20),SUMIFS(INDIRECT(ADDRESS(12,3+18*0+(14),,,"J1 B - Butcher Terrace")&amp;":"&amp;ADDRESS(130,3+18*0+(14))),'J1 B - Butcher Terrace'!$A$12:$A$130,"&gt;="&amp;Diagram!$O20,'J1 B - Butcher Terrace'!$A$12:$A$130,"&lt;"&amp;Diagram!$P20)))</f>
        <v>0</v>
      </c>
      <c r="DX20" s="42">
        <f ca="1">IF(OR($I$10="",$O20="",$P20="",$J$41&lt;&gt;"Yes"),0,IF($K$10=0,SUMIFS(INDIRECT(ADDRESS(12,3+18*1+(6),,,"J1 B - Butcher Terrace")&amp;":"&amp;ADDRESS(130,3+18*1+(6))),'J1 B - Butcher Terrace'!$A$12:$A$130,"&gt;="&amp;Diagram!$O20,'J1 B - Butcher Terrace'!$A$12:$A$130,"&lt;"&amp;Diagram!$P20),SUMIFS(INDIRECT(ADDRESS(12,3+18*1+(14),,,"J1 B - Butcher Terrace")&amp;":"&amp;ADDRESS(130,3+18*1+(14))),'J1 B - Butcher Terrace'!$A$12:$A$130,"&gt;="&amp;Diagram!$O20,'J1 B - Butcher Terrace'!$A$12:$A$130,"&lt;"&amp;Diagram!$P20)))</f>
        <v>0</v>
      </c>
      <c r="DY20" s="42">
        <f ca="1">IF(OR($I$10="",$O20="",$P20="",$J$41&lt;&gt;"Yes"),0,IF($K$10=0,SUMIFS(INDIRECT(ADDRESS(12,3+18*1+(6),,,"J1 C - (South) Bishopthorpe Roa")&amp;":"&amp;ADDRESS(130,3+18*1+(6))),'J1 C - (South) Bishopthorpe Roa'!$A$12:$A$130,"&gt;="&amp;Diagram!$O20,'J1 C - (South) Bishopthorpe Roa'!$A$12:$A$130,"&lt;"&amp;Diagram!$P20),SUMIFS(INDIRECT(ADDRESS(12,3+18*1+(14),,,"J1 C - (South) Bishopthorpe Roa")&amp;":"&amp;ADDRESS(130,3+18*1+(14))),'J1 C - (South) Bishopthorpe Roa'!$A$12:$A$130,"&gt;="&amp;Diagram!$O20,'J1 C - (South) Bishopthorpe Roa'!$A$12:$A$130,"&lt;"&amp;Diagram!$P20)))</f>
        <v>0</v>
      </c>
      <c r="DZ20" s="42">
        <f ca="1">IF(OR($I$10="",$O20="",$P20="",$J$41&lt;&gt;"Yes"),0,IF($K$10=0,SUMIFS(INDIRECT(ADDRESS(12,3+18*2+(6),,,"J1 C - (South) Bishopthorpe Roa")&amp;":"&amp;ADDRESS(130,3+18*2+(6))),'J1 C - (South) Bishopthorpe Roa'!$A$12:$A$130,"&gt;="&amp;Diagram!$O20,'J1 C - (South) Bishopthorpe Roa'!$A$12:$A$130,"&lt;"&amp;Diagram!$P20),SUMIFS(INDIRECT(ADDRESS(12,3+18*2+(14),,,"J1 C - (South) Bishopthorpe Roa")&amp;":"&amp;ADDRESS(130,3+18*2+(14))),'J1 C - (South) Bishopthorpe Roa'!$A$12:$A$130,"&gt;="&amp;Diagram!$O20,'J1 C - (South) Bishopthorpe Roa'!$A$12:$A$130,"&lt;"&amp;Diagram!$P20)))</f>
        <v>0</v>
      </c>
      <c r="EA20" s="42">
        <f ca="1">IF(OR($I$10="",$O20="",$P20="",$J$41&lt;&gt;"Yes"),0,IF($K$10=0,SUMIFS(INDIRECT(ADDRESS(12,3+18*3+(6),,,"J1 C - (South) Bishopthorpe Roa")&amp;":"&amp;ADDRESS(130,3+18*3+(6))),'J1 C - (South) Bishopthorpe Roa'!$A$12:$A$130,"&gt;="&amp;Diagram!$O20,'J1 C - (South) Bishopthorpe Roa'!$A$12:$A$130,"&lt;"&amp;Diagram!$P20),SUMIFS(INDIRECT(ADDRESS(12,3+18*3+(14),,,"J1 C - (South) Bishopthorpe Roa")&amp;":"&amp;ADDRESS(130,3+18*3+(14))),'J1 C - (South) Bishopthorpe Roa'!$A$12:$A$130,"&gt;="&amp;Diagram!$O20,'J1 C - (South) Bishopthorpe Roa'!$A$12:$A$130,"&lt;"&amp;Diagram!$P20)))</f>
        <v>0</v>
      </c>
      <c r="EB20" s="42">
        <f ca="1">IF(OR($I$10="",$O20="",$P20="",$J$41&lt;&gt;"Yes"),0,IF($K$10=0,SUMIFS(INDIRECT(ADDRESS(12,3+18*0+(6),,,"J1 C - (South) Bishopthorpe Roa")&amp;":"&amp;ADDRESS(130,3+18*0+(6))),'J1 C - (South) Bishopthorpe Roa'!$A$12:$A$130,"&gt;="&amp;Diagram!$O20,'J1 C - (South) Bishopthorpe Roa'!$A$12:$A$130,"&lt;"&amp;Diagram!$P20),SUMIFS(INDIRECT(ADDRESS(12,3+18*0+(14),,,"J1 C - (South) Bishopthorpe Roa")&amp;":"&amp;ADDRESS(130,3+18*0+(14))),'J1 C - (South) Bishopthorpe Roa'!$A$12:$A$130,"&gt;="&amp;Diagram!$O20,'J1 C - (South) Bishopthorpe Roa'!$A$12:$A$130,"&lt;"&amp;Diagram!$P20)))</f>
        <v>0</v>
      </c>
      <c r="EC20" s="42">
        <f ca="1">IF(OR($I$10="",$O20="",$P20="",$J$41&lt;&gt;"Yes"),0,IF($K$10=0,SUMIFS(INDIRECT(ADDRESS(12,3+18*0+(6),,,"J1 D - South Bank Avenue")&amp;":"&amp;ADDRESS(130,3+18*0+(6))),'J1 D - South Bank Avenue'!$A$12:$A$130,"&gt;="&amp;Diagram!$O20,'J1 D - South Bank Avenue'!$A$12:$A$130,"&lt;"&amp;Diagram!$P20),SUMIFS(INDIRECT(ADDRESS(12,3+18*0+(14),,,"J1 D - South Bank Avenue")&amp;":"&amp;ADDRESS(130,3+18*0+(14))),'J1 D - South Bank Avenue'!$A$12:$A$130,"&gt;="&amp;Diagram!$O20,'J1 D - South Bank Avenue'!$A$12:$A$130,"&lt;"&amp;Diagram!$P20)))</f>
        <v>0</v>
      </c>
      <c r="ED20" s="42">
        <f ca="1">IF(OR($I$10="",$O20="",$P20="",$J$41&lt;&gt;"Yes"),0,IF($K$10=0,SUMIFS(INDIRECT(ADDRESS(12,3+18*1+(6),,,"J1 D - South Bank Avenue")&amp;":"&amp;ADDRESS(130,3+18*1+(6))),'J1 D - South Bank Avenue'!$A$12:$A$130,"&gt;="&amp;Diagram!$O20,'J1 D - South Bank Avenue'!$A$12:$A$130,"&lt;"&amp;Diagram!$P20),SUMIFS(INDIRECT(ADDRESS(12,3+18*1+(14),,,"J1 D - South Bank Avenue")&amp;":"&amp;ADDRESS(130,3+18*1+(14))),'J1 D - South Bank Avenue'!$A$12:$A$130,"&gt;="&amp;Diagram!$O20,'J1 D - South Bank Avenue'!$A$12:$A$130,"&lt;"&amp;Diagram!$P20)))</f>
        <v>0</v>
      </c>
      <c r="EE20" s="42">
        <f ca="1">IF(OR($I$10="",$O20="",$P20="",$J$41&lt;&gt;"Yes"),0,IF($K$10=0,SUMIFS(INDIRECT(ADDRESS(12,3+18*2+(6),,,"J1 D - South Bank Avenue")&amp;":"&amp;ADDRESS(130,3+18*2+(6))),'J1 D - South Bank Avenue'!$A$12:$A$130,"&gt;="&amp;Diagram!$O20,'J1 D - South Bank Avenue'!$A$12:$A$130,"&lt;"&amp;Diagram!$P20),SUMIFS(INDIRECT(ADDRESS(12,3+18*2+(14),,,"J1 D - South Bank Avenue")&amp;":"&amp;ADDRESS(130,3+18*2+(14))),'J1 D - South Bank Avenue'!$A$12:$A$130,"&gt;="&amp;Diagram!$O20,'J1 D - South Bank Avenue'!$A$12:$A$130,"&lt;"&amp;Diagram!$P20)))</f>
        <v>0</v>
      </c>
      <c r="EF20" s="42">
        <f ca="1">IF(OR($I$10="",$O20="",$P20="",$J$41&lt;&gt;"Yes"),0,IF($K$10=0,SUMIFS(INDIRECT(ADDRESS(12,3+18*3+(6),,,"J1 D - South Bank Avenue")&amp;":"&amp;ADDRESS(130,3+18*3+(6))),'J1 D - South Bank Avenue'!$A$12:$A$130,"&gt;="&amp;Diagram!$O20,'J1 D - South Bank Avenue'!$A$12:$A$130,"&lt;"&amp;Diagram!$P20),SUMIFS(INDIRECT(ADDRESS(12,3+18*3+(14),,,"J1 D - South Bank Avenue")&amp;":"&amp;ADDRESS(130,3+18*3+(14))),'J1 D - South Bank Avenue'!$A$12:$A$130,"&gt;="&amp;Diagram!$O20,'J1 D - South Bank Avenue'!$A$12:$A$130,"&lt;"&amp;Diagram!$P20)))</f>
        <v>0</v>
      </c>
      <c r="EG20" s="42">
        <f t="shared" ca="1" si="8"/>
        <v>0</v>
      </c>
      <c r="EH20" s="42">
        <f ca="1">IF(OR($I$10="",$O20="",$P20="",$J$42&lt;&gt;"Yes"),0,IF($K$10=0,SUMIFS(INDIRECT(ADDRESS(12,3+18*3+(7),,,"J1 A - (North) Bishopthorpe Roa")&amp;":"&amp;ADDRESS(130,3+18*3+(7))),'J1 A - (North) Bishopthorpe Roa'!$A$12:$A$130,"&gt;="&amp;Diagram!$O20,'J1 A - (North) Bishopthorpe Roa'!$A$12:$A$130,"&lt;"&amp;Diagram!$P20),SUMIFS(INDIRECT(ADDRESS(12,3+18*3+(15),,,"J1 A - (North) Bishopthorpe Roa")&amp;":"&amp;ADDRESS(130,3+18*3+(15))),'J1 A - (North) Bishopthorpe Roa'!$A$12:$A$130,"&gt;="&amp;Diagram!$O20,'J1 A - (North) Bishopthorpe Roa'!$A$12:$A$130,"&lt;"&amp;Diagram!$P20)))</f>
        <v>0</v>
      </c>
      <c r="EI20" s="42">
        <f ca="1">IF(OR($I$10="",$O20="",$P20="",$J$42&lt;&gt;"Yes"),0,IF($K$10=0,SUMIFS(INDIRECT(ADDRESS(12,3+18*0+(7),,,"J1 A - (North) Bishopthorpe Roa")&amp;":"&amp;ADDRESS(130,3+18*0+(7))),'J1 A - (North) Bishopthorpe Roa'!$A$12:$A$130,"&gt;="&amp;Diagram!$O20,'J1 A - (North) Bishopthorpe Roa'!$A$12:$A$130,"&lt;"&amp;Diagram!$P20),SUMIFS(INDIRECT(ADDRESS(12,3+18*0+(15),,,"J1 A - (North) Bishopthorpe Roa")&amp;":"&amp;ADDRESS(130,3+18*0+(15))),'J1 A - (North) Bishopthorpe Roa'!$A$12:$A$130,"&gt;="&amp;Diagram!$O20,'J1 A - (North) Bishopthorpe Roa'!$A$12:$A$130,"&lt;"&amp;Diagram!$P20)))</f>
        <v>0</v>
      </c>
      <c r="EJ20" s="42">
        <f ca="1">IF(OR($I$10="",$O20="",$P20="",$J$42&lt;&gt;"Yes"),0,IF($K$10=0,SUMIFS(INDIRECT(ADDRESS(12,3+18*1+(7),,,"J1 A - (North) Bishopthorpe Roa")&amp;":"&amp;ADDRESS(130,3+18*1+(7))),'J1 A - (North) Bishopthorpe Roa'!$A$12:$A$130,"&gt;="&amp;Diagram!$O20,'J1 A - (North) Bishopthorpe Roa'!$A$12:$A$130,"&lt;"&amp;Diagram!$P20),SUMIFS(INDIRECT(ADDRESS(12,3+18*1+(15),,,"J1 A - (North) Bishopthorpe Roa")&amp;":"&amp;ADDRESS(130,3+18*1+(15))),'J1 A - (North) Bishopthorpe Roa'!$A$12:$A$130,"&gt;="&amp;Diagram!$O20,'J1 A - (North) Bishopthorpe Roa'!$A$12:$A$130,"&lt;"&amp;Diagram!$P20)))</f>
        <v>0</v>
      </c>
      <c r="EK20" s="42">
        <f ca="1">IF(OR($I$10="",$O20="",$P20="",$J$42&lt;&gt;"Yes"),0,IF($K$10=0,SUMIFS(INDIRECT(ADDRESS(12,3+18*2+(7),,,"J1 A - (North) Bishopthorpe Roa")&amp;":"&amp;ADDRESS(130,3+18*2+(7))),'J1 A - (North) Bishopthorpe Roa'!$A$12:$A$130,"&gt;="&amp;Diagram!$O20,'J1 A - (North) Bishopthorpe Roa'!$A$12:$A$130,"&lt;"&amp;Diagram!$P20),SUMIFS(INDIRECT(ADDRESS(12,3+18*2+(15),,,"J1 A - (North) Bishopthorpe Roa")&amp;":"&amp;ADDRESS(130,3+18*2+(15))),'J1 A - (North) Bishopthorpe Roa'!$A$12:$A$130,"&gt;="&amp;Diagram!$O20,'J1 A - (North) Bishopthorpe Roa'!$A$12:$A$130,"&lt;"&amp;Diagram!$P20)))</f>
        <v>0</v>
      </c>
      <c r="EL20" s="42">
        <f ca="1">IF(OR($I$10="",$O20="",$P20="",$J$42&lt;&gt;"Yes"),0,IF($K$10=0,SUMIFS(INDIRECT(ADDRESS(12,3+18*2+(7),,,"J1 B - Butcher Terrace")&amp;":"&amp;ADDRESS(130,3+18*2+(7))),'J1 B - Butcher Terrace'!$A$12:$A$130,"&gt;="&amp;Diagram!$O20,'J1 B - Butcher Terrace'!$A$12:$A$130,"&lt;"&amp;Diagram!$P20),SUMIFS(INDIRECT(ADDRESS(12,3+18*2+(15),,,"J1 B - Butcher Terrace")&amp;":"&amp;ADDRESS(130,3+18*2+(15))),'J1 B - Butcher Terrace'!$A$12:$A$130,"&gt;="&amp;Diagram!$O20,'J1 B - Butcher Terrace'!$A$12:$A$130,"&lt;"&amp;Diagram!$P20)))</f>
        <v>0</v>
      </c>
      <c r="EM20" s="42">
        <f ca="1">IF(OR($I$10="",$O20="",$P20="",$J$42&lt;&gt;"Yes"),0,IF($K$10=0,SUMIFS(INDIRECT(ADDRESS(12,3+18*3+(7),,,"J1 B - Butcher Terrace")&amp;":"&amp;ADDRESS(130,3+18*3+(7))),'J1 B - Butcher Terrace'!$A$12:$A$130,"&gt;="&amp;Diagram!$O20,'J1 B - Butcher Terrace'!$A$12:$A$130,"&lt;"&amp;Diagram!$P20),SUMIFS(INDIRECT(ADDRESS(12,3+18*3+(15),,,"J1 B - Butcher Terrace")&amp;":"&amp;ADDRESS(130,3+18*3+(15))),'J1 B - Butcher Terrace'!$A$12:$A$130,"&gt;="&amp;Diagram!$O20,'J1 B - Butcher Terrace'!$A$12:$A$130,"&lt;"&amp;Diagram!$P20)))</f>
        <v>0</v>
      </c>
      <c r="EN20" s="42">
        <f ca="1">IF(OR($I$10="",$O20="",$P20="",$J$42&lt;&gt;"Yes"),0,IF($K$10=0,SUMIFS(INDIRECT(ADDRESS(12,3+18*0+(7),,,"J1 B - Butcher Terrace")&amp;":"&amp;ADDRESS(130,3+18*0+(7))),'J1 B - Butcher Terrace'!$A$12:$A$130,"&gt;="&amp;Diagram!$O20,'J1 B - Butcher Terrace'!$A$12:$A$130,"&lt;"&amp;Diagram!$P20),SUMIFS(INDIRECT(ADDRESS(12,3+18*0+(15),,,"J1 B - Butcher Terrace")&amp;":"&amp;ADDRESS(130,3+18*0+(15))),'J1 B - Butcher Terrace'!$A$12:$A$130,"&gt;="&amp;Diagram!$O20,'J1 B - Butcher Terrace'!$A$12:$A$130,"&lt;"&amp;Diagram!$P20)))</f>
        <v>0</v>
      </c>
      <c r="EO20" s="42">
        <f ca="1">IF(OR($I$10="",$O20="",$P20="",$J$42&lt;&gt;"Yes"),0,IF($K$10=0,SUMIFS(INDIRECT(ADDRESS(12,3+18*1+(7),,,"J1 B - Butcher Terrace")&amp;":"&amp;ADDRESS(130,3+18*1+(7))),'J1 B - Butcher Terrace'!$A$12:$A$130,"&gt;="&amp;Diagram!$O20,'J1 B - Butcher Terrace'!$A$12:$A$130,"&lt;"&amp;Diagram!$P20),SUMIFS(INDIRECT(ADDRESS(12,3+18*1+(15),,,"J1 B - Butcher Terrace")&amp;":"&amp;ADDRESS(130,3+18*1+(15))),'J1 B - Butcher Terrace'!$A$12:$A$130,"&gt;="&amp;Diagram!$O20,'J1 B - Butcher Terrace'!$A$12:$A$130,"&lt;"&amp;Diagram!$P20)))</f>
        <v>0</v>
      </c>
      <c r="EP20" s="42">
        <f ca="1">IF(OR($I$10="",$O20="",$P20="",$J$42&lt;&gt;"Yes"),0,IF($K$10=0,SUMIFS(INDIRECT(ADDRESS(12,3+18*1+(7),,,"J1 C - (South) Bishopthorpe Roa")&amp;":"&amp;ADDRESS(130,3+18*1+(7))),'J1 C - (South) Bishopthorpe Roa'!$A$12:$A$130,"&gt;="&amp;Diagram!$O20,'J1 C - (South) Bishopthorpe Roa'!$A$12:$A$130,"&lt;"&amp;Diagram!$P20),SUMIFS(INDIRECT(ADDRESS(12,3+18*1+(15),,,"J1 C - (South) Bishopthorpe Roa")&amp;":"&amp;ADDRESS(130,3+18*1+(15))),'J1 C - (South) Bishopthorpe Roa'!$A$12:$A$130,"&gt;="&amp;Diagram!$O20,'J1 C - (South) Bishopthorpe Roa'!$A$12:$A$130,"&lt;"&amp;Diagram!$P20)))</f>
        <v>0</v>
      </c>
      <c r="EQ20" s="42">
        <f ca="1">IF(OR($I$10="",$O20="",$P20="",$J$42&lt;&gt;"Yes"),0,IF($K$10=0,SUMIFS(INDIRECT(ADDRESS(12,3+18*2+(7),,,"J1 C - (South) Bishopthorpe Roa")&amp;":"&amp;ADDRESS(130,3+18*2+(7))),'J1 C - (South) Bishopthorpe Roa'!$A$12:$A$130,"&gt;="&amp;Diagram!$O20,'J1 C - (South) Bishopthorpe Roa'!$A$12:$A$130,"&lt;"&amp;Diagram!$P20),SUMIFS(INDIRECT(ADDRESS(12,3+18*2+(15),,,"J1 C - (South) Bishopthorpe Roa")&amp;":"&amp;ADDRESS(130,3+18*2+(15))),'J1 C - (South) Bishopthorpe Roa'!$A$12:$A$130,"&gt;="&amp;Diagram!$O20,'J1 C - (South) Bishopthorpe Roa'!$A$12:$A$130,"&lt;"&amp;Diagram!$P20)))</f>
        <v>0</v>
      </c>
      <c r="ER20" s="42">
        <f ca="1">IF(OR($I$10="",$O20="",$P20="",$J$42&lt;&gt;"Yes"),0,IF($K$10=0,SUMIFS(INDIRECT(ADDRESS(12,3+18*3+(7),,,"J1 C - (South) Bishopthorpe Roa")&amp;":"&amp;ADDRESS(130,3+18*3+(7))),'J1 C - (South) Bishopthorpe Roa'!$A$12:$A$130,"&gt;="&amp;Diagram!$O20,'J1 C - (South) Bishopthorpe Roa'!$A$12:$A$130,"&lt;"&amp;Diagram!$P20),SUMIFS(INDIRECT(ADDRESS(12,3+18*3+(15),,,"J1 C - (South) Bishopthorpe Roa")&amp;":"&amp;ADDRESS(130,3+18*3+(15))),'J1 C - (South) Bishopthorpe Roa'!$A$12:$A$130,"&gt;="&amp;Diagram!$O20,'J1 C - (South) Bishopthorpe Roa'!$A$12:$A$130,"&lt;"&amp;Diagram!$P20)))</f>
        <v>0</v>
      </c>
      <c r="ES20" s="42">
        <f ca="1">IF(OR($I$10="",$O20="",$P20="",$J$42&lt;&gt;"Yes"),0,IF($K$10=0,SUMIFS(INDIRECT(ADDRESS(12,3+18*0+(7),,,"J1 C - (South) Bishopthorpe Roa")&amp;":"&amp;ADDRESS(130,3+18*0+(7))),'J1 C - (South) Bishopthorpe Roa'!$A$12:$A$130,"&gt;="&amp;Diagram!$O20,'J1 C - (South) Bishopthorpe Roa'!$A$12:$A$130,"&lt;"&amp;Diagram!$P20),SUMIFS(INDIRECT(ADDRESS(12,3+18*0+(15),,,"J1 C - (South) Bishopthorpe Roa")&amp;":"&amp;ADDRESS(130,3+18*0+(15))),'J1 C - (South) Bishopthorpe Roa'!$A$12:$A$130,"&gt;="&amp;Diagram!$O20,'J1 C - (South) Bishopthorpe Roa'!$A$12:$A$130,"&lt;"&amp;Diagram!$P20)))</f>
        <v>0</v>
      </c>
      <c r="ET20" s="42">
        <f ca="1">IF(OR($I$10="",$O20="",$P20="",$J$42&lt;&gt;"Yes"),0,IF($K$10=0,SUMIFS(INDIRECT(ADDRESS(12,3+18*0+(7),,,"J1 D - South Bank Avenue")&amp;":"&amp;ADDRESS(130,3+18*0+(7))),'J1 D - South Bank Avenue'!$A$12:$A$130,"&gt;="&amp;Diagram!$O20,'J1 D - South Bank Avenue'!$A$12:$A$130,"&lt;"&amp;Diagram!$P20),SUMIFS(INDIRECT(ADDRESS(12,3+18*0+(15),,,"J1 D - South Bank Avenue")&amp;":"&amp;ADDRESS(130,3+18*0+(15))),'J1 D - South Bank Avenue'!$A$12:$A$130,"&gt;="&amp;Diagram!$O20,'J1 D - South Bank Avenue'!$A$12:$A$130,"&lt;"&amp;Diagram!$P20)))</f>
        <v>0</v>
      </c>
      <c r="EU20" s="42">
        <f ca="1">IF(OR($I$10="",$O20="",$P20="",$J$42&lt;&gt;"Yes"),0,IF($K$10=0,SUMIFS(INDIRECT(ADDRESS(12,3+18*1+(7),,,"J1 D - South Bank Avenue")&amp;":"&amp;ADDRESS(130,3+18*1+(7))),'J1 D - South Bank Avenue'!$A$12:$A$130,"&gt;="&amp;Diagram!$O20,'J1 D - South Bank Avenue'!$A$12:$A$130,"&lt;"&amp;Diagram!$P20),SUMIFS(INDIRECT(ADDRESS(12,3+18*1+(15),,,"J1 D - South Bank Avenue")&amp;":"&amp;ADDRESS(130,3+18*1+(15))),'J1 D - South Bank Avenue'!$A$12:$A$130,"&gt;="&amp;Diagram!$O20,'J1 D - South Bank Avenue'!$A$12:$A$130,"&lt;"&amp;Diagram!$P20)))</f>
        <v>0</v>
      </c>
      <c r="EV20" s="42">
        <f ca="1">IF(OR($I$10="",$O20="",$P20="",$J$42&lt;&gt;"Yes"),0,IF($K$10=0,SUMIFS(INDIRECT(ADDRESS(12,3+18*2+(7),,,"J1 D - South Bank Avenue")&amp;":"&amp;ADDRESS(130,3+18*2+(7))),'J1 D - South Bank Avenue'!$A$12:$A$130,"&gt;="&amp;Diagram!$O20,'J1 D - South Bank Avenue'!$A$12:$A$130,"&lt;"&amp;Diagram!$P20),SUMIFS(INDIRECT(ADDRESS(12,3+18*2+(15),,,"J1 D - South Bank Avenue")&amp;":"&amp;ADDRESS(130,3+18*2+(15))),'J1 D - South Bank Avenue'!$A$12:$A$130,"&gt;="&amp;Diagram!$O20,'J1 D - South Bank Avenue'!$A$12:$A$130,"&lt;"&amp;Diagram!$P20)))</f>
        <v>0</v>
      </c>
      <c r="EW20" s="42">
        <f ca="1">IF(OR($I$10="",$O20="",$P20="",$J$42&lt;&gt;"Yes"),0,IF($K$10=0,SUMIFS(INDIRECT(ADDRESS(12,3+18*3+(7),,,"J1 D - South Bank Avenue")&amp;":"&amp;ADDRESS(130,3+18*3+(7))),'J1 D - South Bank Avenue'!$A$12:$A$130,"&gt;="&amp;Diagram!$O20,'J1 D - South Bank Avenue'!$A$12:$A$130,"&lt;"&amp;Diagram!$P20),SUMIFS(INDIRECT(ADDRESS(12,3+18*3+(15),,,"J1 D - South Bank Avenue")&amp;":"&amp;ADDRESS(130,3+18*3+(15))),'J1 D - South Bank Avenue'!$A$12:$A$130,"&gt;="&amp;Diagram!$O20,'J1 D - South Bank Avenue'!$A$12:$A$130,"&lt;"&amp;Diagram!$P20)))</f>
        <v>0</v>
      </c>
    </row>
    <row r="21" spans="1:153" ht="18" customHeight="1">
      <c r="A21" s="1">
        <v>44395.208333333299</v>
      </c>
      <c r="B21" s="1">
        <v>44395.21875</v>
      </c>
      <c r="H21" s="9"/>
      <c r="I21" s="17" t="s">
        <v>157</v>
      </c>
      <c r="J21" s="17" t="s">
        <v>158</v>
      </c>
      <c r="K21" s="17" t="s">
        <v>159</v>
      </c>
      <c r="L21" s="17" t="s">
        <v>160</v>
      </c>
      <c r="M21" s="18" t="s">
        <v>161</v>
      </c>
      <c r="N21" s="19" t="s">
        <v>162</v>
      </c>
      <c r="O21" s="3">
        <v>44395.208333333299</v>
      </c>
      <c r="P21" s="3">
        <v>44395.25</v>
      </c>
      <c r="Q21" s="42">
        <f t="shared" ca="1" si="0"/>
        <v>49</v>
      </c>
      <c r="R21" s="42">
        <f t="shared" ca="1" si="1"/>
        <v>38</v>
      </c>
      <c r="S21" s="42">
        <f ca="1">IF(OR($I$10="",$O21="",$P21="",$J$35&lt;&gt;"Yes"),0,IF($K$10=0,SUMIFS(INDIRECT(ADDRESS(12,3+18*3+(0),,,"J1 A - (North) Bishopthorpe Roa")&amp;":"&amp;ADDRESS(130,3+18*3+(0))),'J1 A - (North) Bishopthorpe Roa'!$A$12:$A$130,"&gt;="&amp;Diagram!$O21,'J1 A - (North) Bishopthorpe Roa'!$A$12:$A$130,"&lt;"&amp;Diagram!$P21),SUMIFS(INDIRECT(ADDRESS(12,3+18*3+(8),,,"J1 A - (North) Bishopthorpe Roa")&amp;":"&amp;ADDRESS(130,3+18*3+(8))),'J1 A - (North) Bishopthorpe Roa'!$A$12:$A$130,"&gt;="&amp;Diagram!$O21,'J1 A - (North) Bishopthorpe Roa'!$A$12:$A$130,"&lt;"&amp;Diagram!$P21)))</f>
        <v>1</v>
      </c>
      <c r="T21" s="42">
        <f ca="1">IF(OR($I$10="",$O21="",$P21="",$J$35&lt;&gt;"Yes"),0,IF($K$10=0,SUMIFS(INDIRECT(ADDRESS(12,3+18*0+(0),,,"J1 A - (North) Bishopthorpe Roa")&amp;":"&amp;ADDRESS(130,3+18*0+(0))),'J1 A - (North) Bishopthorpe Roa'!$A$12:$A$130,"&gt;="&amp;Diagram!$O21,'J1 A - (North) Bishopthorpe Roa'!$A$12:$A$130,"&lt;"&amp;Diagram!$P21),SUMIFS(INDIRECT(ADDRESS(12,3+18*0+(8),,,"J1 A - (North) Bishopthorpe Roa")&amp;":"&amp;ADDRESS(130,3+18*0+(8))),'J1 A - (North) Bishopthorpe Roa'!$A$12:$A$130,"&gt;="&amp;Diagram!$O21,'J1 A - (North) Bishopthorpe Roa'!$A$12:$A$130,"&lt;"&amp;Diagram!$P21)))</f>
        <v>0</v>
      </c>
      <c r="U21" s="42">
        <f ca="1">IF(OR($I$10="",$O21="",$P21="",$J$35&lt;&gt;"Yes"),0,IF($K$10=0,SUMIFS(INDIRECT(ADDRESS(12,3+18*1+(0),,,"J1 A - (North) Bishopthorpe Roa")&amp;":"&amp;ADDRESS(130,3+18*1+(0))),'J1 A - (North) Bishopthorpe Roa'!$A$12:$A$130,"&gt;="&amp;Diagram!$O21,'J1 A - (North) Bishopthorpe Roa'!$A$12:$A$130,"&lt;"&amp;Diagram!$P21),SUMIFS(INDIRECT(ADDRESS(12,3+18*1+(8),,,"J1 A - (North) Bishopthorpe Roa")&amp;":"&amp;ADDRESS(130,3+18*1+(8))),'J1 A - (North) Bishopthorpe Roa'!$A$12:$A$130,"&gt;="&amp;Diagram!$O21,'J1 A - (North) Bishopthorpe Roa'!$A$12:$A$130,"&lt;"&amp;Diagram!$P21)))</f>
        <v>8</v>
      </c>
      <c r="V21" s="42">
        <f ca="1">IF(OR($I$10="",$O21="",$P21="",$J$35&lt;&gt;"Yes"),0,IF($K$10=0,SUMIFS(INDIRECT(ADDRESS(12,3+18*2+(0),,,"J1 A - (North) Bishopthorpe Roa")&amp;":"&amp;ADDRESS(130,3+18*2+(0))),'J1 A - (North) Bishopthorpe Roa'!$A$12:$A$130,"&gt;="&amp;Diagram!$O21,'J1 A - (North) Bishopthorpe Roa'!$A$12:$A$130,"&lt;"&amp;Diagram!$P21),SUMIFS(INDIRECT(ADDRESS(12,3+18*2+(8),,,"J1 A - (North) Bishopthorpe Roa")&amp;":"&amp;ADDRESS(130,3+18*2+(8))),'J1 A - (North) Bishopthorpe Roa'!$A$12:$A$130,"&gt;="&amp;Diagram!$O21,'J1 A - (North) Bishopthorpe Roa'!$A$12:$A$130,"&lt;"&amp;Diagram!$P21)))</f>
        <v>0</v>
      </c>
      <c r="W21" s="42">
        <f ca="1">IF(OR($I$10="",$O21="",$P21="",$J$35&lt;&gt;"Yes"),0,IF($K$10=0,SUMIFS(INDIRECT(ADDRESS(12,3+18*2+(0),,,"J1 B - Butcher Terrace")&amp;":"&amp;ADDRESS(130,3+18*2+(0))),'J1 B - Butcher Terrace'!$A$12:$A$130,"&gt;="&amp;Diagram!$O21,'J1 B - Butcher Terrace'!$A$12:$A$130,"&lt;"&amp;Diagram!$P21),SUMIFS(INDIRECT(ADDRESS(12,3+18*2+(8),,,"J1 B - Butcher Terrace")&amp;":"&amp;ADDRESS(130,3+18*2+(8))),'J1 B - Butcher Terrace'!$A$12:$A$130,"&gt;="&amp;Diagram!$O21,'J1 B - Butcher Terrace'!$A$12:$A$130,"&lt;"&amp;Diagram!$P21)))</f>
        <v>2</v>
      </c>
      <c r="X21" s="42">
        <f ca="1">IF(OR($I$10="",$O21="",$P21="",$J$35&lt;&gt;"Yes"),0,IF($K$10=0,SUMIFS(INDIRECT(ADDRESS(12,3+18*3+(0),,,"J1 B - Butcher Terrace")&amp;":"&amp;ADDRESS(130,3+18*3+(0))),'J1 B - Butcher Terrace'!$A$12:$A$130,"&gt;="&amp;Diagram!$O21,'J1 B - Butcher Terrace'!$A$12:$A$130,"&lt;"&amp;Diagram!$P21),SUMIFS(INDIRECT(ADDRESS(12,3+18*3+(8),,,"J1 B - Butcher Terrace")&amp;":"&amp;ADDRESS(130,3+18*3+(8))),'J1 B - Butcher Terrace'!$A$12:$A$130,"&gt;="&amp;Diagram!$O21,'J1 B - Butcher Terrace'!$A$12:$A$130,"&lt;"&amp;Diagram!$P21)))</f>
        <v>0</v>
      </c>
      <c r="Y21" s="42">
        <f ca="1">IF(OR($I$10="",$O21="",$P21="",$J$35&lt;&gt;"Yes"),0,IF($K$10=0,SUMIFS(INDIRECT(ADDRESS(12,3+18*0+(0),,,"J1 B - Butcher Terrace")&amp;":"&amp;ADDRESS(130,3+18*0+(0))),'J1 B - Butcher Terrace'!$A$12:$A$130,"&gt;="&amp;Diagram!$O21,'J1 B - Butcher Terrace'!$A$12:$A$130,"&lt;"&amp;Diagram!$P21),SUMIFS(INDIRECT(ADDRESS(12,3+18*0+(8),,,"J1 B - Butcher Terrace")&amp;":"&amp;ADDRESS(130,3+18*0+(8))),'J1 B - Butcher Terrace'!$A$12:$A$130,"&gt;="&amp;Diagram!$O21,'J1 B - Butcher Terrace'!$A$12:$A$130,"&lt;"&amp;Diagram!$P21)))</f>
        <v>1</v>
      </c>
      <c r="Z21" s="42">
        <f ca="1">IF(OR($I$10="",$O21="",$P21="",$J$35&lt;&gt;"Yes"),0,IF($K$10=0,SUMIFS(INDIRECT(ADDRESS(12,3+18*1+(0),,,"J1 B - Butcher Terrace")&amp;":"&amp;ADDRESS(130,3+18*1+(0))),'J1 B - Butcher Terrace'!$A$12:$A$130,"&gt;="&amp;Diagram!$O21,'J1 B - Butcher Terrace'!$A$12:$A$130,"&lt;"&amp;Diagram!$P21),SUMIFS(INDIRECT(ADDRESS(12,3+18*1+(8),,,"J1 B - Butcher Terrace")&amp;":"&amp;ADDRESS(130,3+18*1+(8))),'J1 B - Butcher Terrace'!$A$12:$A$130,"&gt;="&amp;Diagram!$O21,'J1 B - Butcher Terrace'!$A$12:$A$130,"&lt;"&amp;Diagram!$P21)))</f>
        <v>0</v>
      </c>
      <c r="AA21" s="42">
        <f ca="1">IF(OR($I$10="",$O21="",$P21="",$J$35&lt;&gt;"Yes"),0,IF($K$10=0,SUMIFS(INDIRECT(ADDRESS(12,3+18*1+(0),,,"J1 C - (South) Bishopthorpe Roa")&amp;":"&amp;ADDRESS(130,3+18*1+(0))),'J1 C - (South) Bishopthorpe Roa'!$A$12:$A$130,"&gt;="&amp;Diagram!$O21,'J1 C - (South) Bishopthorpe Roa'!$A$12:$A$130,"&lt;"&amp;Diagram!$P21),SUMIFS(INDIRECT(ADDRESS(12,3+18*1+(8),,,"J1 C - (South) Bishopthorpe Roa")&amp;":"&amp;ADDRESS(130,3+18*1+(8))),'J1 C - (South) Bishopthorpe Roa'!$A$12:$A$130,"&gt;="&amp;Diagram!$O21,'J1 C - (South) Bishopthorpe Roa'!$A$12:$A$130,"&lt;"&amp;Diagram!$P21)))</f>
        <v>18</v>
      </c>
      <c r="AB21" s="42">
        <f ca="1">IF(OR($I$10="",$O21="",$P21="",$J$35&lt;&gt;"Yes"),0,IF($K$10=0,SUMIFS(INDIRECT(ADDRESS(12,3+18*2+(0),,,"J1 C - (South) Bishopthorpe Roa")&amp;":"&amp;ADDRESS(130,3+18*2+(0))),'J1 C - (South) Bishopthorpe Roa'!$A$12:$A$130,"&gt;="&amp;Diagram!$O21,'J1 C - (South) Bishopthorpe Roa'!$A$12:$A$130,"&lt;"&amp;Diagram!$P21),SUMIFS(INDIRECT(ADDRESS(12,3+18*2+(8),,,"J1 C - (South) Bishopthorpe Roa")&amp;":"&amp;ADDRESS(130,3+18*2+(8))),'J1 C - (South) Bishopthorpe Roa'!$A$12:$A$130,"&gt;="&amp;Diagram!$O21,'J1 C - (South) Bishopthorpe Roa'!$A$12:$A$130,"&lt;"&amp;Diagram!$P21)))</f>
        <v>0</v>
      </c>
      <c r="AC21" s="42">
        <f ca="1">IF(OR($I$10="",$O21="",$P21="",$J$35&lt;&gt;"Yes"),0,IF($K$10=0,SUMIFS(INDIRECT(ADDRESS(12,3+18*3+(0),,,"J1 C - (South) Bishopthorpe Roa")&amp;":"&amp;ADDRESS(130,3+18*3+(0))),'J1 C - (South) Bishopthorpe Roa'!$A$12:$A$130,"&gt;="&amp;Diagram!$O21,'J1 C - (South) Bishopthorpe Roa'!$A$12:$A$130,"&lt;"&amp;Diagram!$P21),SUMIFS(INDIRECT(ADDRESS(12,3+18*3+(8),,,"J1 C - (South) Bishopthorpe Roa")&amp;":"&amp;ADDRESS(130,3+18*3+(8))),'J1 C - (South) Bishopthorpe Roa'!$A$12:$A$130,"&gt;="&amp;Diagram!$O21,'J1 C - (South) Bishopthorpe Roa'!$A$12:$A$130,"&lt;"&amp;Diagram!$P21)))</f>
        <v>0</v>
      </c>
      <c r="AD21" s="42">
        <f ca="1">IF(OR($I$10="",$O21="",$P21="",$J$35&lt;&gt;"Yes"),0,IF($K$10=0,SUMIFS(INDIRECT(ADDRESS(12,3+18*0+(0),,,"J1 C - (South) Bishopthorpe Roa")&amp;":"&amp;ADDRESS(130,3+18*0+(0))),'J1 C - (South) Bishopthorpe Roa'!$A$12:$A$130,"&gt;="&amp;Diagram!$O21,'J1 C - (South) Bishopthorpe Roa'!$A$12:$A$130,"&lt;"&amp;Diagram!$P21),SUMIFS(INDIRECT(ADDRESS(12,3+18*0+(8),,,"J1 C - (South) Bishopthorpe Roa")&amp;":"&amp;ADDRESS(130,3+18*0+(8))),'J1 C - (South) Bishopthorpe Roa'!$A$12:$A$130,"&gt;="&amp;Diagram!$O21,'J1 C - (South) Bishopthorpe Roa'!$A$12:$A$130,"&lt;"&amp;Diagram!$P21)))</f>
        <v>0</v>
      </c>
      <c r="AE21" s="42">
        <f ca="1">IF(OR($I$10="",$O21="",$P21="",$J$35&lt;&gt;"Yes"),0,IF($K$10=0,SUMIFS(INDIRECT(ADDRESS(12,3+18*0+(0),,,"J1 D - South Bank Avenue")&amp;":"&amp;ADDRESS(130,3+18*0+(0))),'J1 D - South Bank Avenue'!$A$12:$A$130,"&gt;="&amp;Diagram!$O21,'J1 D - South Bank Avenue'!$A$12:$A$130,"&lt;"&amp;Diagram!$P21),SUMIFS(INDIRECT(ADDRESS(12,3+18*0+(8),,,"J1 D - South Bank Avenue")&amp;":"&amp;ADDRESS(130,3+18*0+(8))),'J1 D - South Bank Avenue'!$A$12:$A$130,"&gt;="&amp;Diagram!$O21,'J1 D - South Bank Avenue'!$A$12:$A$130,"&lt;"&amp;Diagram!$P21)))</f>
        <v>8</v>
      </c>
      <c r="AF21" s="42">
        <f ca="1">IF(OR($I$10="",$O21="",$P21="",$J$35&lt;&gt;"Yes"),0,IF($K$10=0,SUMIFS(INDIRECT(ADDRESS(12,3+18*1+(0),,,"J1 D - South Bank Avenue")&amp;":"&amp;ADDRESS(130,3+18*1+(0))),'J1 D - South Bank Avenue'!$A$12:$A$130,"&gt;="&amp;Diagram!$O21,'J1 D - South Bank Avenue'!$A$12:$A$130,"&lt;"&amp;Diagram!$P21),SUMIFS(INDIRECT(ADDRESS(12,3+18*1+(8),,,"J1 D - South Bank Avenue")&amp;":"&amp;ADDRESS(130,3+18*1+(8))),'J1 D - South Bank Avenue'!$A$12:$A$130,"&gt;="&amp;Diagram!$O21,'J1 D - South Bank Avenue'!$A$12:$A$130,"&lt;"&amp;Diagram!$P21)))</f>
        <v>0</v>
      </c>
      <c r="AG21" s="42">
        <f ca="1">IF(OR($I$10="",$O21="",$P21="",$J$35&lt;&gt;"Yes"),0,IF($K$10=0,SUMIFS(INDIRECT(ADDRESS(12,3+18*2+(0),,,"J1 D - South Bank Avenue")&amp;":"&amp;ADDRESS(130,3+18*2+(0))),'J1 D - South Bank Avenue'!$A$12:$A$130,"&gt;="&amp;Diagram!$O21,'J1 D - South Bank Avenue'!$A$12:$A$130,"&lt;"&amp;Diagram!$P21),SUMIFS(INDIRECT(ADDRESS(12,3+18*2+(8),,,"J1 D - South Bank Avenue")&amp;":"&amp;ADDRESS(130,3+18*2+(8))),'J1 D - South Bank Avenue'!$A$12:$A$130,"&gt;="&amp;Diagram!$O21,'J1 D - South Bank Avenue'!$A$12:$A$130,"&lt;"&amp;Diagram!$P21)))</f>
        <v>0</v>
      </c>
      <c r="AH21" s="42">
        <f ca="1">IF(OR($I$10="",$O21="",$P21="",$J$35&lt;&gt;"Yes"),0,IF($K$10=0,SUMIFS(INDIRECT(ADDRESS(12,3+18*3+(0),,,"J1 D - South Bank Avenue")&amp;":"&amp;ADDRESS(130,3+18*3+(0))),'J1 D - South Bank Avenue'!$A$12:$A$130,"&gt;="&amp;Diagram!$O21,'J1 D - South Bank Avenue'!$A$12:$A$130,"&lt;"&amp;Diagram!$P21),SUMIFS(INDIRECT(ADDRESS(12,3+18*3+(8),,,"J1 D - South Bank Avenue")&amp;":"&amp;ADDRESS(130,3+18*3+(8))),'J1 D - South Bank Avenue'!$A$12:$A$130,"&gt;="&amp;Diagram!$O21,'J1 D - South Bank Avenue'!$A$12:$A$130,"&lt;"&amp;Diagram!$P21)))</f>
        <v>0</v>
      </c>
      <c r="AI21" s="42">
        <f t="shared" ca="1" si="2"/>
        <v>3</v>
      </c>
      <c r="AJ21" s="42">
        <f ca="1">IF(OR($I$10="",$O21="",$P21="",$J$36&lt;&gt;"Yes"),0,IF($K$10=0,SUMIFS(INDIRECT(ADDRESS(12,3+18*3+(1),,,"J1 A - (North) Bishopthorpe Roa")&amp;":"&amp;ADDRESS(130,3+18*3+(1))),'J1 A - (North) Bishopthorpe Roa'!$A$12:$A$130,"&gt;="&amp;Diagram!$O21,'J1 A - (North) Bishopthorpe Roa'!$A$12:$A$130,"&lt;"&amp;Diagram!$P21),SUMIFS(INDIRECT(ADDRESS(12,3+18*3+(9),,,"J1 A - (North) Bishopthorpe Roa")&amp;":"&amp;ADDRESS(130,3+18*3+(9))),'J1 A - (North) Bishopthorpe Roa'!$A$12:$A$130,"&gt;="&amp;Diagram!$O21,'J1 A - (North) Bishopthorpe Roa'!$A$12:$A$130,"&lt;"&amp;Diagram!$P21)))</f>
        <v>0</v>
      </c>
      <c r="AK21" s="42">
        <f ca="1">IF(OR($I$10="",$O21="",$P21="",$J$36&lt;&gt;"Yes"),0,IF($K$10=0,SUMIFS(INDIRECT(ADDRESS(12,3+18*0+(1),,,"J1 A - (North) Bishopthorpe Roa")&amp;":"&amp;ADDRESS(130,3+18*0+(1))),'J1 A - (North) Bishopthorpe Roa'!$A$12:$A$130,"&gt;="&amp;Diagram!$O21,'J1 A - (North) Bishopthorpe Roa'!$A$12:$A$130,"&lt;"&amp;Diagram!$P21),SUMIFS(INDIRECT(ADDRESS(12,3+18*0+(9),,,"J1 A - (North) Bishopthorpe Roa")&amp;":"&amp;ADDRESS(130,3+18*0+(9))),'J1 A - (North) Bishopthorpe Roa'!$A$12:$A$130,"&gt;="&amp;Diagram!$O21,'J1 A - (North) Bishopthorpe Roa'!$A$12:$A$130,"&lt;"&amp;Diagram!$P21)))</f>
        <v>0</v>
      </c>
      <c r="AL21" s="42">
        <f ca="1">IF(OR($I$10="",$O21="",$P21="",$J$36&lt;&gt;"Yes"),0,IF($K$10=0,SUMIFS(INDIRECT(ADDRESS(12,3+18*1+(1),,,"J1 A - (North) Bishopthorpe Roa")&amp;":"&amp;ADDRESS(130,3+18*1+(1))),'J1 A - (North) Bishopthorpe Roa'!$A$12:$A$130,"&gt;="&amp;Diagram!$O21,'J1 A - (North) Bishopthorpe Roa'!$A$12:$A$130,"&lt;"&amp;Diagram!$P21),SUMIFS(INDIRECT(ADDRESS(12,3+18*1+(9),,,"J1 A - (North) Bishopthorpe Roa")&amp;":"&amp;ADDRESS(130,3+18*1+(9))),'J1 A - (North) Bishopthorpe Roa'!$A$12:$A$130,"&gt;="&amp;Diagram!$O21,'J1 A - (North) Bishopthorpe Roa'!$A$12:$A$130,"&lt;"&amp;Diagram!$P21)))</f>
        <v>2</v>
      </c>
      <c r="AM21" s="42">
        <f ca="1">IF(OR($I$10="",$O21="",$P21="",$J$36&lt;&gt;"Yes"),0,IF($K$10=0,SUMIFS(INDIRECT(ADDRESS(12,3+18*2+(1),,,"J1 A - (North) Bishopthorpe Roa")&amp;":"&amp;ADDRESS(130,3+18*2+(1))),'J1 A - (North) Bishopthorpe Roa'!$A$12:$A$130,"&gt;="&amp;Diagram!$O21,'J1 A - (North) Bishopthorpe Roa'!$A$12:$A$130,"&lt;"&amp;Diagram!$P21),SUMIFS(INDIRECT(ADDRESS(12,3+18*2+(9),,,"J1 A - (North) Bishopthorpe Roa")&amp;":"&amp;ADDRESS(130,3+18*2+(9))),'J1 A - (North) Bishopthorpe Roa'!$A$12:$A$130,"&gt;="&amp;Diagram!$O21,'J1 A - (North) Bishopthorpe Roa'!$A$12:$A$130,"&lt;"&amp;Diagram!$P21)))</f>
        <v>0</v>
      </c>
      <c r="AN21" s="42">
        <f ca="1">IF(OR($I$10="",$O21="",$P21="",$J$36&lt;&gt;"Yes"),0,IF($K$10=0,SUMIFS(INDIRECT(ADDRESS(12,3+18*2+(1),,,"J1 B - Butcher Terrace")&amp;":"&amp;ADDRESS(130,3+18*2+(1))),'J1 B - Butcher Terrace'!$A$12:$A$130,"&gt;="&amp;Diagram!$O21,'J1 B - Butcher Terrace'!$A$12:$A$130,"&lt;"&amp;Diagram!$P21),SUMIFS(INDIRECT(ADDRESS(12,3+18*2+(9),,,"J1 B - Butcher Terrace")&amp;":"&amp;ADDRESS(130,3+18*2+(9))),'J1 B - Butcher Terrace'!$A$12:$A$130,"&gt;="&amp;Diagram!$O21,'J1 B - Butcher Terrace'!$A$12:$A$130,"&lt;"&amp;Diagram!$P21)))</f>
        <v>0</v>
      </c>
      <c r="AO21" s="42">
        <f ca="1">IF(OR($I$10="",$O21="",$P21="",$J$36&lt;&gt;"Yes"),0,IF($K$10=0,SUMIFS(INDIRECT(ADDRESS(12,3+18*3+(1),,,"J1 B - Butcher Terrace")&amp;":"&amp;ADDRESS(130,3+18*3+(1))),'J1 B - Butcher Terrace'!$A$12:$A$130,"&gt;="&amp;Diagram!$O21,'J1 B - Butcher Terrace'!$A$12:$A$130,"&lt;"&amp;Diagram!$P21),SUMIFS(INDIRECT(ADDRESS(12,3+18*3+(9),,,"J1 B - Butcher Terrace")&amp;":"&amp;ADDRESS(130,3+18*3+(9))),'J1 B - Butcher Terrace'!$A$12:$A$130,"&gt;="&amp;Diagram!$O21,'J1 B - Butcher Terrace'!$A$12:$A$130,"&lt;"&amp;Diagram!$P21)))</f>
        <v>0</v>
      </c>
      <c r="AP21" s="42">
        <f ca="1">IF(OR($I$10="",$O21="",$P21="",$J$36&lt;&gt;"Yes"),0,IF($K$10=0,SUMIFS(INDIRECT(ADDRESS(12,3+18*0+(1),,,"J1 B - Butcher Terrace")&amp;":"&amp;ADDRESS(130,3+18*0+(1))),'J1 B - Butcher Terrace'!$A$12:$A$130,"&gt;="&amp;Diagram!$O21,'J1 B - Butcher Terrace'!$A$12:$A$130,"&lt;"&amp;Diagram!$P21),SUMIFS(INDIRECT(ADDRESS(12,3+18*0+(9),,,"J1 B - Butcher Terrace")&amp;":"&amp;ADDRESS(130,3+18*0+(9))),'J1 B - Butcher Terrace'!$A$12:$A$130,"&gt;="&amp;Diagram!$O21,'J1 B - Butcher Terrace'!$A$12:$A$130,"&lt;"&amp;Diagram!$P21)))</f>
        <v>0</v>
      </c>
      <c r="AQ21" s="42">
        <f ca="1">IF(OR($I$10="",$O21="",$P21="",$J$36&lt;&gt;"Yes"),0,IF($K$10=0,SUMIFS(INDIRECT(ADDRESS(12,3+18*1+(1),,,"J1 B - Butcher Terrace")&amp;":"&amp;ADDRESS(130,3+18*1+(1))),'J1 B - Butcher Terrace'!$A$12:$A$130,"&gt;="&amp;Diagram!$O21,'J1 B - Butcher Terrace'!$A$12:$A$130,"&lt;"&amp;Diagram!$P21),SUMIFS(INDIRECT(ADDRESS(12,3+18*1+(9),,,"J1 B - Butcher Terrace")&amp;":"&amp;ADDRESS(130,3+18*1+(9))),'J1 B - Butcher Terrace'!$A$12:$A$130,"&gt;="&amp;Diagram!$O21,'J1 B - Butcher Terrace'!$A$12:$A$130,"&lt;"&amp;Diagram!$P21)))</f>
        <v>0</v>
      </c>
      <c r="AR21" s="42">
        <f ca="1">IF(OR($I$10="",$O21="",$P21="",$J$36&lt;&gt;"Yes"),0,IF($K$10=0,SUMIFS(INDIRECT(ADDRESS(12,3+18*1+(1),,,"J1 C - (South) Bishopthorpe Roa")&amp;":"&amp;ADDRESS(130,3+18*1+(1))),'J1 C - (South) Bishopthorpe Roa'!$A$12:$A$130,"&gt;="&amp;Diagram!$O21,'J1 C - (South) Bishopthorpe Roa'!$A$12:$A$130,"&lt;"&amp;Diagram!$P21),SUMIFS(INDIRECT(ADDRESS(12,3+18*1+(9),,,"J1 C - (South) Bishopthorpe Roa")&amp;":"&amp;ADDRESS(130,3+18*1+(9))),'J1 C - (South) Bishopthorpe Roa'!$A$12:$A$130,"&gt;="&amp;Diagram!$O21,'J1 C - (South) Bishopthorpe Roa'!$A$12:$A$130,"&lt;"&amp;Diagram!$P21)))</f>
        <v>1</v>
      </c>
      <c r="AS21" s="42">
        <f ca="1">IF(OR($I$10="",$O21="",$P21="",$J$36&lt;&gt;"Yes"),0,IF($K$10=0,SUMIFS(INDIRECT(ADDRESS(12,3+18*2+(1),,,"J1 C - (South) Bishopthorpe Roa")&amp;":"&amp;ADDRESS(130,3+18*2+(1))),'J1 C - (South) Bishopthorpe Roa'!$A$12:$A$130,"&gt;="&amp;Diagram!$O21,'J1 C - (South) Bishopthorpe Roa'!$A$12:$A$130,"&lt;"&amp;Diagram!$P21),SUMIFS(INDIRECT(ADDRESS(12,3+18*2+(9),,,"J1 C - (South) Bishopthorpe Roa")&amp;":"&amp;ADDRESS(130,3+18*2+(9))),'J1 C - (South) Bishopthorpe Roa'!$A$12:$A$130,"&gt;="&amp;Diagram!$O21,'J1 C - (South) Bishopthorpe Roa'!$A$12:$A$130,"&lt;"&amp;Diagram!$P21)))</f>
        <v>0</v>
      </c>
      <c r="AT21" s="42">
        <f ca="1">IF(OR($I$10="",$O21="",$P21="",$J$36&lt;&gt;"Yes"),0,IF($K$10=0,SUMIFS(INDIRECT(ADDRESS(12,3+18*3+(1),,,"J1 C - (South) Bishopthorpe Roa")&amp;":"&amp;ADDRESS(130,3+18*3+(1))),'J1 C - (South) Bishopthorpe Roa'!$A$12:$A$130,"&gt;="&amp;Diagram!$O21,'J1 C - (South) Bishopthorpe Roa'!$A$12:$A$130,"&lt;"&amp;Diagram!$P21),SUMIFS(INDIRECT(ADDRESS(12,3+18*3+(9),,,"J1 C - (South) Bishopthorpe Roa")&amp;":"&amp;ADDRESS(130,3+18*3+(9))),'J1 C - (South) Bishopthorpe Roa'!$A$12:$A$130,"&gt;="&amp;Diagram!$O21,'J1 C - (South) Bishopthorpe Roa'!$A$12:$A$130,"&lt;"&amp;Diagram!$P21)))</f>
        <v>0</v>
      </c>
      <c r="AU21" s="42">
        <f ca="1">IF(OR($I$10="",$O21="",$P21="",$J$36&lt;&gt;"Yes"),0,IF($K$10=0,SUMIFS(INDIRECT(ADDRESS(12,3+18*0+(1),,,"J1 C - (South) Bishopthorpe Roa")&amp;":"&amp;ADDRESS(130,3+18*0+(1))),'J1 C - (South) Bishopthorpe Roa'!$A$12:$A$130,"&gt;="&amp;Diagram!$O21,'J1 C - (South) Bishopthorpe Roa'!$A$12:$A$130,"&lt;"&amp;Diagram!$P21),SUMIFS(INDIRECT(ADDRESS(12,3+18*0+(9),,,"J1 C - (South) Bishopthorpe Roa")&amp;":"&amp;ADDRESS(130,3+18*0+(9))),'J1 C - (South) Bishopthorpe Roa'!$A$12:$A$130,"&gt;="&amp;Diagram!$O21,'J1 C - (South) Bishopthorpe Roa'!$A$12:$A$130,"&lt;"&amp;Diagram!$P21)))</f>
        <v>0</v>
      </c>
      <c r="AV21" s="42">
        <f ca="1">IF(OR($I$10="",$O21="",$P21="",$J$36&lt;&gt;"Yes"),0,IF($K$10=0,SUMIFS(INDIRECT(ADDRESS(12,3+18*0+(1),,,"J1 D - South Bank Avenue")&amp;":"&amp;ADDRESS(130,3+18*0+(1))),'J1 D - South Bank Avenue'!$A$12:$A$130,"&gt;="&amp;Diagram!$O21,'J1 D - South Bank Avenue'!$A$12:$A$130,"&lt;"&amp;Diagram!$P21),SUMIFS(INDIRECT(ADDRESS(12,3+18*0+(9),,,"J1 D - South Bank Avenue")&amp;":"&amp;ADDRESS(130,3+18*0+(9))),'J1 D - South Bank Avenue'!$A$12:$A$130,"&gt;="&amp;Diagram!$O21,'J1 D - South Bank Avenue'!$A$12:$A$130,"&lt;"&amp;Diagram!$P21)))</f>
        <v>0</v>
      </c>
      <c r="AW21" s="42">
        <f ca="1">IF(OR($I$10="",$O21="",$P21="",$J$36&lt;&gt;"Yes"),0,IF($K$10=0,SUMIFS(INDIRECT(ADDRESS(12,3+18*1+(1),,,"J1 D - South Bank Avenue")&amp;":"&amp;ADDRESS(130,3+18*1+(1))),'J1 D - South Bank Avenue'!$A$12:$A$130,"&gt;="&amp;Diagram!$O21,'J1 D - South Bank Avenue'!$A$12:$A$130,"&lt;"&amp;Diagram!$P21),SUMIFS(INDIRECT(ADDRESS(12,3+18*1+(9),,,"J1 D - South Bank Avenue")&amp;":"&amp;ADDRESS(130,3+18*1+(9))),'J1 D - South Bank Avenue'!$A$12:$A$130,"&gt;="&amp;Diagram!$O21,'J1 D - South Bank Avenue'!$A$12:$A$130,"&lt;"&amp;Diagram!$P21)))</f>
        <v>0</v>
      </c>
      <c r="AX21" s="42">
        <f ca="1">IF(OR($I$10="",$O21="",$P21="",$J$36&lt;&gt;"Yes"),0,IF($K$10=0,SUMIFS(INDIRECT(ADDRESS(12,3+18*2+(1),,,"J1 D - South Bank Avenue")&amp;":"&amp;ADDRESS(130,3+18*2+(1))),'J1 D - South Bank Avenue'!$A$12:$A$130,"&gt;="&amp;Diagram!$O21,'J1 D - South Bank Avenue'!$A$12:$A$130,"&lt;"&amp;Diagram!$P21),SUMIFS(INDIRECT(ADDRESS(12,3+18*2+(9),,,"J1 D - South Bank Avenue")&amp;":"&amp;ADDRESS(130,3+18*2+(9))),'J1 D - South Bank Avenue'!$A$12:$A$130,"&gt;="&amp;Diagram!$O21,'J1 D - South Bank Avenue'!$A$12:$A$130,"&lt;"&amp;Diagram!$P21)))</f>
        <v>0</v>
      </c>
      <c r="AY21" s="42">
        <f ca="1">IF(OR($I$10="",$O21="",$P21="",$J$36&lt;&gt;"Yes"),0,IF($K$10=0,SUMIFS(INDIRECT(ADDRESS(12,3+18*3+(1),,,"J1 D - South Bank Avenue")&amp;":"&amp;ADDRESS(130,3+18*3+(1))),'J1 D - South Bank Avenue'!$A$12:$A$130,"&gt;="&amp;Diagram!$O21,'J1 D - South Bank Avenue'!$A$12:$A$130,"&lt;"&amp;Diagram!$P21),SUMIFS(INDIRECT(ADDRESS(12,3+18*3+(9),,,"J1 D - South Bank Avenue")&amp;":"&amp;ADDRESS(130,3+18*3+(9))),'J1 D - South Bank Avenue'!$A$12:$A$130,"&gt;="&amp;Diagram!$O21,'J1 D - South Bank Avenue'!$A$12:$A$130,"&lt;"&amp;Diagram!$P21)))</f>
        <v>0</v>
      </c>
      <c r="AZ21" s="42">
        <f t="shared" ca="1" si="3"/>
        <v>0</v>
      </c>
      <c r="BA21" s="42">
        <f ca="1">IF(OR($I$10="",$O21="",$P21="",$J$37&lt;&gt;"Yes"),0,IF($K$10=0,SUMIFS(INDIRECT(ADDRESS(12,3+18*3+(2),,,"J1 A - (North) Bishopthorpe Roa")&amp;":"&amp;ADDRESS(130,3+18*3+(2))),'J1 A - (North) Bishopthorpe Roa'!$A$12:$A$130,"&gt;="&amp;Diagram!$O21,'J1 A - (North) Bishopthorpe Roa'!$A$12:$A$130,"&lt;"&amp;Diagram!$P21),SUMIFS(INDIRECT(ADDRESS(12,3+18*3+(10),,,"J1 A - (North) Bishopthorpe Roa")&amp;":"&amp;ADDRESS(130,3+18*3+(10))),'J1 A - (North) Bishopthorpe Roa'!$A$12:$A$130,"&gt;="&amp;Diagram!$O21,'J1 A - (North) Bishopthorpe Roa'!$A$12:$A$130,"&lt;"&amp;Diagram!$P21)))</f>
        <v>0</v>
      </c>
      <c r="BB21" s="42">
        <f ca="1">IF(OR($I$10="",$O21="",$P21="",$J$37&lt;&gt;"Yes"),0,IF($K$10=0,SUMIFS(INDIRECT(ADDRESS(12,3+18*0+(2),,,"J1 A - (North) Bishopthorpe Roa")&amp;":"&amp;ADDRESS(130,3+18*0+(2))),'J1 A - (North) Bishopthorpe Roa'!$A$12:$A$130,"&gt;="&amp;Diagram!$O21,'J1 A - (North) Bishopthorpe Roa'!$A$12:$A$130,"&lt;"&amp;Diagram!$P21),SUMIFS(INDIRECT(ADDRESS(12,3+18*0+(10),,,"J1 A - (North) Bishopthorpe Roa")&amp;":"&amp;ADDRESS(130,3+18*0+(10))),'J1 A - (North) Bishopthorpe Roa'!$A$12:$A$130,"&gt;="&amp;Diagram!$O21,'J1 A - (North) Bishopthorpe Roa'!$A$12:$A$130,"&lt;"&amp;Diagram!$P21)))</f>
        <v>0</v>
      </c>
      <c r="BC21" s="42">
        <f ca="1">IF(OR($I$10="",$O21="",$P21="",$J$37&lt;&gt;"Yes"),0,IF($K$10=0,SUMIFS(INDIRECT(ADDRESS(12,3+18*1+(2),,,"J1 A - (North) Bishopthorpe Roa")&amp;":"&amp;ADDRESS(130,3+18*1+(2))),'J1 A - (North) Bishopthorpe Roa'!$A$12:$A$130,"&gt;="&amp;Diagram!$O21,'J1 A - (North) Bishopthorpe Roa'!$A$12:$A$130,"&lt;"&amp;Diagram!$P21),SUMIFS(INDIRECT(ADDRESS(12,3+18*1+(10),,,"J1 A - (North) Bishopthorpe Roa")&amp;":"&amp;ADDRESS(130,3+18*1+(10))),'J1 A - (North) Bishopthorpe Roa'!$A$12:$A$130,"&gt;="&amp;Diagram!$O21,'J1 A - (North) Bishopthorpe Roa'!$A$12:$A$130,"&lt;"&amp;Diagram!$P21)))</f>
        <v>0</v>
      </c>
      <c r="BD21" s="42">
        <f ca="1">IF(OR($I$10="",$O21="",$P21="",$J$37&lt;&gt;"Yes"),0,IF($K$10=0,SUMIFS(INDIRECT(ADDRESS(12,3+18*2+(2),,,"J1 A - (North) Bishopthorpe Roa")&amp;":"&amp;ADDRESS(130,3+18*2+(2))),'J1 A - (North) Bishopthorpe Roa'!$A$12:$A$130,"&gt;="&amp;Diagram!$O21,'J1 A - (North) Bishopthorpe Roa'!$A$12:$A$130,"&lt;"&amp;Diagram!$P21),SUMIFS(INDIRECT(ADDRESS(12,3+18*2+(10),,,"J1 A - (North) Bishopthorpe Roa")&amp;":"&amp;ADDRESS(130,3+18*2+(10))),'J1 A - (North) Bishopthorpe Roa'!$A$12:$A$130,"&gt;="&amp;Diagram!$O21,'J1 A - (North) Bishopthorpe Roa'!$A$12:$A$130,"&lt;"&amp;Diagram!$P21)))</f>
        <v>0</v>
      </c>
      <c r="BE21" s="42">
        <f ca="1">IF(OR($I$10="",$O21="",$P21="",$J$37&lt;&gt;"Yes"),0,IF($K$10=0,SUMIFS(INDIRECT(ADDRESS(12,3+18*2+(2),,,"J1 B - Butcher Terrace")&amp;":"&amp;ADDRESS(130,3+18*2+(2))),'J1 B - Butcher Terrace'!$A$12:$A$130,"&gt;="&amp;Diagram!$O21,'J1 B - Butcher Terrace'!$A$12:$A$130,"&lt;"&amp;Diagram!$P21),SUMIFS(INDIRECT(ADDRESS(12,3+18*2+(10),,,"J1 B - Butcher Terrace")&amp;":"&amp;ADDRESS(130,3+18*2+(10))),'J1 B - Butcher Terrace'!$A$12:$A$130,"&gt;="&amp;Diagram!$O21,'J1 B - Butcher Terrace'!$A$12:$A$130,"&lt;"&amp;Diagram!$P21)))</f>
        <v>0</v>
      </c>
      <c r="BF21" s="42">
        <f ca="1">IF(OR($I$10="",$O21="",$P21="",$J$37&lt;&gt;"Yes"),0,IF($K$10=0,SUMIFS(INDIRECT(ADDRESS(12,3+18*3+(2),,,"J1 B - Butcher Terrace")&amp;":"&amp;ADDRESS(130,3+18*3+(2))),'J1 B - Butcher Terrace'!$A$12:$A$130,"&gt;="&amp;Diagram!$O21,'J1 B - Butcher Terrace'!$A$12:$A$130,"&lt;"&amp;Diagram!$P21),SUMIFS(INDIRECT(ADDRESS(12,3+18*3+(10),,,"J1 B - Butcher Terrace")&amp;":"&amp;ADDRESS(130,3+18*3+(10))),'J1 B - Butcher Terrace'!$A$12:$A$130,"&gt;="&amp;Diagram!$O21,'J1 B - Butcher Terrace'!$A$12:$A$130,"&lt;"&amp;Diagram!$P21)))</f>
        <v>0</v>
      </c>
      <c r="BG21" s="42">
        <f ca="1">IF(OR($I$10="",$O21="",$P21="",$J$37&lt;&gt;"Yes"),0,IF($K$10=0,SUMIFS(INDIRECT(ADDRESS(12,3+18*0+(2),,,"J1 B - Butcher Terrace")&amp;":"&amp;ADDRESS(130,3+18*0+(2))),'J1 B - Butcher Terrace'!$A$12:$A$130,"&gt;="&amp;Diagram!$O21,'J1 B - Butcher Terrace'!$A$12:$A$130,"&lt;"&amp;Diagram!$P21),SUMIFS(INDIRECT(ADDRESS(12,3+18*0+(10),,,"J1 B - Butcher Terrace")&amp;":"&amp;ADDRESS(130,3+18*0+(10))),'J1 B - Butcher Terrace'!$A$12:$A$130,"&gt;="&amp;Diagram!$O21,'J1 B - Butcher Terrace'!$A$12:$A$130,"&lt;"&amp;Diagram!$P21)))</f>
        <v>0</v>
      </c>
      <c r="BH21" s="42">
        <f ca="1">IF(OR($I$10="",$O21="",$P21="",$J$37&lt;&gt;"Yes"),0,IF($K$10=0,SUMIFS(INDIRECT(ADDRESS(12,3+18*1+(2),,,"J1 B - Butcher Terrace")&amp;":"&amp;ADDRESS(130,3+18*1+(2))),'J1 B - Butcher Terrace'!$A$12:$A$130,"&gt;="&amp;Diagram!$O21,'J1 B - Butcher Terrace'!$A$12:$A$130,"&lt;"&amp;Diagram!$P21),SUMIFS(INDIRECT(ADDRESS(12,3+18*1+(10),,,"J1 B - Butcher Terrace")&amp;":"&amp;ADDRESS(130,3+18*1+(10))),'J1 B - Butcher Terrace'!$A$12:$A$130,"&gt;="&amp;Diagram!$O21,'J1 B - Butcher Terrace'!$A$12:$A$130,"&lt;"&amp;Diagram!$P21)))</f>
        <v>0</v>
      </c>
      <c r="BI21" s="42">
        <f ca="1">IF(OR($I$10="",$O21="",$P21="",$J$37&lt;&gt;"Yes"),0,IF($K$10=0,SUMIFS(INDIRECT(ADDRESS(12,3+18*1+(2),,,"J1 C - (South) Bishopthorpe Roa")&amp;":"&amp;ADDRESS(130,3+18*1+(2))),'J1 C - (South) Bishopthorpe Roa'!$A$12:$A$130,"&gt;="&amp;Diagram!$O21,'J1 C - (South) Bishopthorpe Roa'!$A$12:$A$130,"&lt;"&amp;Diagram!$P21),SUMIFS(INDIRECT(ADDRESS(12,3+18*1+(10),,,"J1 C - (South) Bishopthorpe Roa")&amp;":"&amp;ADDRESS(130,3+18*1+(10))),'J1 C - (South) Bishopthorpe Roa'!$A$12:$A$130,"&gt;="&amp;Diagram!$O21,'J1 C - (South) Bishopthorpe Roa'!$A$12:$A$130,"&lt;"&amp;Diagram!$P21)))</f>
        <v>0</v>
      </c>
      <c r="BJ21" s="42">
        <f ca="1">IF(OR($I$10="",$O21="",$P21="",$J$37&lt;&gt;"Yes"),0,IF($K$10=0,SUMIFS(INDIRECT(ADDRESS(12,3+18*2+(2),,,"J1 C - (South) Bishopthorpe Roa")&amp;":"&amp;ADDRESS(130,3+18*2+(2))),'J1 C - (South) Bishopthorpe Roa'!$A$12:$A$130,"&gt;="&amp;Diagram!$O21,'J1 C - (South) Bishopthorpe Roa'!$A$12:$A$130,"&lt;"&amp;Diagram!$P21),SUMIFS(INDIRECT(ADDRESS(12,3+18*2+(10),,,"J1 C - (South) Bishopthorpe Roa")&amp;":"&amp;ADDRESS(130,3+18*2+(10))),'J1 C - (South) Bishopthorpe Roa'!$A$12:$A$130,"&gt;="&amp;Diagram!$O21,'J1 C - (South) Bishopthorpe Roa'!$A$12:$A$130,"&lt;"&amp;Diagram!$P21)))</f>
        <v>0</v>
      </c>
      <c r="BK21" s="42">
        <f ca="1">IF(OR($I$10="",$O21="",$P21="",$J$37&lt;&gt;"Yes"),0,IF($K$10=0,SUMIFS(INDIRECT(ADDRESS(12,3+18*3+(2),,,"J1 C - (South) Bishopthorpe Roa")&amp;":"&amp;ADDRESS(130,3+18*3+(2))),'J1 C - (South) Bishopthorpe Roa'!$A$12:$A$130,"&gt;="&amp;Diagram!$O21,'J1 C - (South) Bishopthorpe Roa'!$A$12:$A$130,"&lt;"&amp;Diagram!$P21),SUMIFS(INDIRECT(ADDRESS(12,3+18*3+(10),,,"J1 C - (South) Bishopthorpe Roa")&amp;":"&amp;ADDRESS(130,3+18*3+(10))),'J1 C - (South) Bishopthorpe Roa'!$A$12:$A$130,"&gt;="&amp;Diagram!$O21,'J1 C - (South) Bishopthorpe Roa'!$A$12:$A$130,"&lt;"&amp;Diagram!$P21)))</f>
        <v>0</v>
      </c>
      <c r="BL21" s="42">
        <f ca="1">IF(OR($I$10="",$O21="",$P21="",$J$37&lt;&gt;"Yes"),0,IF($K$10=0,SUMIFS(INDIRECT(ADDRESS(12,3+18*0+(2),,,"J1 C - (South) Bishopthorpe Roa")&amp;":"&amp;ADDRESS(130,3+18*0+(2))),'J1 C - (South) Bishopthorpe Roa'!$A$12:$A$130,"&gt;="&amp;Diagram!$O21,'J1 C - (South) Bishopthorpe Roa'!$A$12:$A$130,"&lt;"&amp;Diagram!$P21),SUMIFS(INDIRECT(ADDRESS(12,3+18*0+(10),,,"J1 C - (South) Bishopthorpe Roa")&amp;":"&amp;ADDRESS(130,3+18*0+(10))),'J1 C - (South) Bishopthorpe Roa'!$A$12:$A$130,"&gt;="&amp;Diagram!$O21,'J1 C - (South) Bishopthorpe Roa'!$A$12:$A$130,"&lt;"&amp;Diagram!$P21)))</f>
        <v>0</v>
      </c>
      <c r="BM21" s="42">
        <f ca="1">IF(OR($I$10="",$O21="",$P21="",$J$37&lt;&gt;"Yes"),0,IF($K$10=0,SUMIFS(INDIRECT(ADDRESS(12,3+18*0+(2),,,"J1 D - South Bank Avenue")&amp;":"&amp;ADDRESS(130,3+18*0+(2))),'J1 D - South Bank Avenue'!$A$12:$A$130,"&gt;="&amp;Diagram!$O21,'J1 D - South Bank Avenue'!$A$12:$A$130,"&lt;"&amp;Diagram!$P21),SUMIFS(INDIRECT(ADDRESS(12,3+18*0+(10),,,"J1 D - South Bank Avenue")&amp;":"&amp;ADDRESS(130,3+18*0+(10))),'J1 D - South Bank Avenue'!$A$12:$A$130,"&gt;="&amp;Diagram!$O21,'J1 D - South Bank Avenue'!$A$12:$A$130,"&lt;"&amp;Diagram!$P21)))</f>
        <v>0</v>
      </c>
      <c r="BN21" s="42">
        <f ca="1">IF(OR($I$10="",$O21="",$P21="",$J$37&lt;&gt;"Yes"),0,IF($K$10=0,SUMIFS(INDIRECT(ADDRESS(12,3+18*1+(2),,,"J1 D - South Bank Avenue")&amp;":"&amp;ADDRESS(130,3+18*1+(2))),'J1 D - South Bank Avenue'!$A$12:$A$130,"&gt;="&amp;Diagram!$O21,'J1 D - South Bank Avenue'!$A$12:$A$130,"&lt;"&amp;Diagram!$P21),SUMIFS(INDIRECT(ADDRESS(12,3+18*1+(10),,,"J1 D - South Bank Avenue")&amp;":"&amp;ADDRESS(130,3+18*1+(10))),'J1 D - South Bank Avenue'!$A$12:$A$130,"&gt;="&amp;Diagram!$O21,'J1 D - South Bank Avenue'!$A$12:$A$130,"&lt;"&amp;Diagram!$P21)))</f>
        <v>0</v>
      </c>
      <c r="BO21" s="42">
        <f ca="1">IF(OR($I$10="",$O21="",$P21="",$J$37&lt;&gt;"Yes"),0,IF($K$10=0,SUMIFS(INDIRECT(ADDRESS(12,3+18*2+(2),,,"J1 D - South Bank Avenue")&amp;":"&amp;ADDRESS(130,3+18*2+(2))),'J1 D - South Bank Avenue'!$A$12:$A$130,"&gt;="&amp;Diagram!$O21,'J1 D - South Bank Avenue'!$A$12:$A$130,"&lt;"&amp;Diagram!$P21),SUMIFS(INDIRECT(ADDRESS(12,3+18*2+(10),,,"J1 D - South Bank Avenue")&amp;":"&amp;ADDRESS(130,3+18*2+(10))),'J1 D - South Bank Avenue'!$A$12:$A$130,"&gt;="&amp;Diagram!$O21,'J1 D - South Bank Avenue'!$A$12:$A$130,"&lt;"&amp;Diagram!$P21)))</f>
        <v>0</v>
      </c>
      <c r="BP21" s="42">
        <f ca="1">IF(OR($I$10="",$O21="",$P21="",$J$37&lt;&gt;"Yes"),0,IF($K$10=0,SUMIFS(INDIRECT(ADDRESS(12,3+18*3+(2),,,"J1 D - South Bank Avenue")&amp;":"&amp;ADDRESS(130,3+18*3+(2))),'J1 D - South Bank Avenue'!$A$12:$A$130,"&gt;="&amp;Diagram!$O21,'J1 D - South Bank Avenue'!$A$12:$A$130,"&lt;"&amp;Diagram!$P21),SUMIFS(INDIRECT(ADDRESS(12,3+18*3+(10),,,"J1 D - South Bank Avenue")&amp;":"&amp;ADDRESS(130,3+18*3+(10))),'J1 D - South Bank Avenue'!$A$12:$A$130,"&gt;="&amp;Diagram!$O21,'J1 D - South Bank Avenue'!$A$12:$A$130,"&lt;"&amp;Diagram!$P21)))</f>
        <v>0</v>
      </c>
      <c r="BQ21" s="42">
        <f t="shared" ca="1" si="4"/>
        <v>0</v>
      </c>
      <c r="BR21" s="42">
        <f ca="1">IF(OR($I$10="",$O21="",$P21="",$J$38&lt;&gt;"Yes"),0,IF($K$10=0,SUMIFS(INDIRECT(ADDRESS(12,3+18*3+(3),,,"J1 A - (North) Bishopthorpe Roa")&amp;":"&amp;ADDRESS(130,3+18*3+(3))),'J1 A - (North) Bishopthorpe Roa'!$A$12:$A$130,"&gt;="&amp;Diagram!$O21,'J1 A - (North) Bishopthorpe Roa'!$A$12:$A$130,"&lt;"&amp;Diagram!$P21),SUMIFS(INDIRECT(ADDRESS(12,3+18*3+(11),,,"J1 A - (North) Bishopthorpe Roa")&amp;":"&amp;ADDRESS(130,3+18*3+(11))),'J1 A - (North) Bishopthorpe Roa'!$A$12:$A$130,"&gt;="&amp;Diagram!$O21,'J1 A - (North) Bishopthorpe Roa'!$A$12:$A$130,"&lt;"&amp;Diagram!$P21)))</f>
        <v>0</v>
      </c>
      <c r="BS21" s="42">
        <f ca="1">IF(OR($I$10="",$O21="",$P21="",$J$38&lt;&gt;"Yes"),0,IF($K$10=0,SUMIFS(INDIRECT(ADDRESS(12,3+18*0+(3),,,"J1 A - (North) Bishopthorpe Roa")&amp;":"&amp;ADDRESS(130,3+18*0+(3))),'J1 A - (North) Bishopthorpe Roa'!$A$12:$A$130,"&gt;="&amp;Diagram!$O21,'J1 A - (North) Bishopthorpe Roa'!$A$12:$A$130,"&lt;"&amp;Diagram!$P21),SUMIFS(INDIRECT(ADDRESS(12,3+18*0+(11),,,"J1 A - (North) Bishopthorpe Roa")&amp;":"&amp;ADDRESS(130,3+18*0+(11))),'J1 A - (North) Bishopthorpe Roa'!$A$12:$A$130,"&gt;="&amp;Diagram!$O21,'J1 A - (North) Bishopthorpe Roa'!$A$12:$A$130,"&lt;"&amp;Diagram!$P21)))</f>
        <v>0</v>
      </c>
      <c r="BT21" s="42">
        <f ca="1">IF(OR($I$10="",$O21="",$P21="",$J$38&lt;&gt;"Yes"),0,IF($K$10=0,SUMIFS(INDIRECT(ADDRESS(12,3+18*1+(3),,,"J1 A - (North) Bishopthorpe Roa")&amp;":"&amp;ADDRESS(130,3+18*1+(3))),'J1 A - (North) Bishopthorpe Roa'!$A$12:$A$130,"&gt;="&amp;Diagram!$O21,'J1 A - (North) Bishopthorpe Roa'!$A$12:$A$130,"&lt;"&amp;Diagram!$P21),SUMIFS(INDIRECT(ADDRESS(12,3+18*1+(11),,,"J1 A - (North) Bishopthorpe Roa")&amp;":"&amp;ADDRESS(130,3+18*1+(11))),'J1 A - (North) Bishopthorpe Roa'!$A$12:$A$130,"&gt;="&amp;Diagram!$O21,'J1 A - (North) Bishopthorpe Roa'!$A$12:$A$130,"&lt;"&amp;Diagram!$P21)))</f>
        <v>0</v>
      </c>
      <c r="BU21" s="42">
        <f ca="1">IF(OR($I$10="",$O21="",$P21="",$J$38&lt;&gt;"Yes"),0,IF($K$10=0,SUMIFS(INDIRECT(ADDRESS(12,3+18*2+(3),,,"J1 A - (North) Bishopthorpe Roa")&amp;":"&amp;ADDRESS(130,3+18*2+(3))),'J1 A - (North) Bishopthorpe Roa'!$A$12:$A$130,"&gt;="&amp;Diagram!$O21,'J1 A - (North) Bishopthorpe Roa'!$A$12:$A$130,"&lt;"&amp;Diagram!$P21),SUMIFS(INDIRECT(ADDRESS(12,3+18*2+(11),,,"J1 A - (North) Bishopthorpe Roa")&amp;":"&amp;ADDRESS(130,3+18*2+(11))),'J1 A - (North) Bishopthorpe Roa'!$A$12:$A$130,"&gt;="&amp;Diagram!$O21,'J1 A - (North) Bishopthorpe Roa'!$A$12:$A$130,"&lt;"&amp;Diagram!$P21)))</f>
        <v>0</v>
      </c>
      <c r="BV21" s="42">
        <f ca="1">IF(OR($I$10="",$O21="",$P21="",$J$38&lt;&gt;"Yes"),0,IF($K$10=0,SUMIFS(INDIRECT(ADDRESS(12,3+18*2+(3),,,"J1 B - Butcher Terrace")&amp;":"&amp;ADDRESS(130,3+18*2+(3))),'J1 B - Butcher Terrace'!$A$12:$A$130,"&gt;="&amp;Diagram!$O21,'J1 B - Butcher Terrace'!$A$12:$A$130,"&lt;"&amp;Diagram!$P21),SUMIFS(INDIRECT(ADDRESS(12,3+18*2+(11),,,"J1 B - Butcher Terrace")&amp;":"&amp;ADDRESS(130,3+18*2+(11))),'J1 B - Butcher Terrace'!$A$12:$A$130,"&gt;="&amp;Diagram!$O21,'J1 B - Butcher Terrace'!$A$12:$A$130,"&lt;"&amp;Diagram!$P21)))</f>
        <v>0</v>
      </c>
      <c r="BW21" s="42">
        <f ca="1">IF(OR($I$10="",$O21="",$P21="",$J$38&lt;&gt;"Yes"),0,IF($K$10=0,SUMIFS(INDIRECT(ADDRESS(12,3+18*3+(3),,,"J1 B - Butcher Terrace")&amp;":"&amp;ADDRESS(130,3+18*3+(3))),'J1 B - Butcher Terrace'!$A$12:$A$130,"&gt;="&amp;Diagram!$O21,'J1 B - Butcher Terrace'!$A$12:$A$130,"&lt;"&amp;Diagram!$P21),SUMIFS(INDIRECT(ADDRESS(12,3+18*3+(11),,,"J1 B - Butcher Terrace")&amp;":"&amp;ADDRESS(130,3+18*3+(11))),'J1 B - Butcher Terrace'!$A$12:$A$130,"&gt;="&amp;Diagram!$O21,'J1 B - Butcher Terrace'!$A$12:$A$130,"&lt;"&amp;Diagram!$P21)))</f>
        <v>0</v>
      </c>
      <c r="BX21" s="42">
        <f ca="1">IF(OR($I$10="",$O21="",$P21="",$J$38&lt;&gt;"Yes"),0,IF($K$10=0,SUMIFS(INDIRECT(ADDRESS(12,3+18*0+(3),,,"J1 B - Butcher Terrace")&amp;":"&amp;ADDRESS(130,3+18*0+(3))),'J1 B - Butcher Terrace'!$A$12:$A$130,"&gt;="&amp;Diagram!$O21,'J1 B - Butcher Terrace'!$A$12:$A$130,"&lt;"&amp;Diagram!$P21),SUMIFS(INDIRECT(ADDRESS(12,3+18*0+(11),,,"J1 B - Butcher Terrace")&amp;":"&amp;ADDRESS(130,3+18*0+(11))),'J1 B - Butcher Terrace'!$A$12:$A$130,"&gt;="&amp;Diagram!$O21,'J1 B - Butcher Terrace'!$A$12:$A$130,"&lt;"&amp;Diagram!$P21)))</f>
        <v>0</v>
      </c>
      <c r="BY21" s="42">
        <f ca="1">IF(OR($I$10="",$O21="",$P21="",$J$38&lt;&gt;"Yes"),0,IF($K$10=0,SUMIFS(INDIRECT(ADDRESS(12,3+18*1+(3),,,"J1 B - Butcher Terrace")&amp;":"&amp;ADDRESS(130,3+18*1+(3))),'J1 B - Butcher Terrace'!$A$12:$A$130,"&gt;="&amp;Diagram!$O21,'J1 B - Butcher Terrace'!$A$12:$A$130,"&lt;"&amp;Diagram!$P21),SUMIFS(INDIRECT(ADDRESS(12,3+18*1+(11),,,"J1 B - Butcher Terrace")&amp;":"&amp;ADDRESS(130,3+18*1+(11))),'J1 B - Butcher Terrace'!$A$12:$A$130,"&gt;="&amp;Diagram!$O21,'J1 B - Butcher Terrace'!$A$12:$A$130,"&lt;"&amp;Diagram!$P21)))</f>
        <v>0</v>
      </c>
      <c r="BZ21" s="42">
        <f ca="1">IF(OR($I$10="",$O21="",$P21="",$J$38&lt;&gt;"Yes"),0,IF($K$10=0,SUMIFS(INDIRECT(ADDRESS(12,3+18*1+(3),,,"J1 C - (South) Bishopthorpe Roa")&amp;":"&amp;ADDRESS(130,3+18*1+(3))),'J1 C - (South) Bishopthorpe Roa'!$A$12:$A$130,"&gt;="&amp;Diagram!$O21,'J1 C - (South) Bishopthorpe Roa'!$A$12:$A$130,"&lt;"&amp;Diagram!$P21),SUMIFS(INDIRECT(ADDRESS(12,3+18*1+(11),,,"J1 C - (South) Bishopthorpe Roa")&amp;":"&amp;ADDRESS(130,3+18*1+(11))),'J1 C - (South) Bishopthorpe Roa'!$A$12:$A$130,"&gt;="&amp;Diagram!$O21,'J1 C - (South) Bishopthorpe Roa'!$A$12:$A$130,"&lt;"&amp;Diagram!$P21)))</f>
        <v>0</v>
      </c>
      <c r="CA21" s="42">
        <f ca="1">IF(OR($I$10="",$O21="",$P21="",$J$38&lt;&gt;"Yes"),0,IF($K$10=0,SUMIFS(INDIRECT(ADDRESS(12,3+18*2+(3),,,"J1 C - (South) Bishopthorpe Roa")&amp;":"&amp;ADDRESS(130,3+18*2+(3))),'J1 C - (South) Bishopthorpe Roa'!$A$12:$A$130,"&gt;="&amp;Diagram!$O21,'J1 C - (South) Bishopthorpe Roa'!$A$12:$A$130,"&lt;"&amp;Diagram!$P21),SUMIFS(INDIRECT(ADDRESS(12,3+18*2+(11),,,"J1 C - (South) Bishopthorpe Roa")&amp;":"&amp;ADDRESS(130,3+18*2+(11))),'J1 C - (South) Bishopthorpe Roa'!$A$12:$A$130,"&gt;="&amp;Diagram!$O21,'J1 C - (South) Bishopthorpe Roa'!$A$12:$A$130,"&lt;"&amp;Diagram!$P21)))</f>
        <v>0</v>
      </c>
      <c r="CB21" s="42">
        <f ca="1">IF(OR($I$10="",$O21="",$P21="",$J$38&lt;&gt;"Yes"),0,IF($K$10=0,SUMIFS(INDIRECT(ADDRESS(12,3+18*3+(3),,,"J1 C - (South) Bishopthorpe Roa")&amp;":"&amp;ADDRESS(130,3+18*3+(3))),'J1 C - (South) Bishopthorpe Roa'!$A$12:$A$130,"&gt;="&amp;Diagram!$O21,'J1 C - (South) Bishopthorpe Roa'!$A$12:$A$130,"&lt;"&amp;Diagram!$P21),SUMIFS(INDIRECT(ADDRESS(12,3+18*3+(11),,,"J1 C - (South) Bishopthorpe Roa")&amp;":"&amp;ADDRESS(130,3+18*3+(11))),'J1 C - (South) Bishopthorpe Roa'!$A$12:$A$130,"&gt;="&amp;Diagram!$O21,'J1 C - (South) Bishopthorpe Roa'!$A$12:$A$130,"&lt;"&amp;Diagram!$P21)))</f>
        <v>0</v>
      </c>
      <c r="CC21" s="42">
        <f ca="1">IF(OR($I$10="",$O21="",$P21="",$J$38&lt;&gt;"Yes"),0,IF($K$10=0,SUMIFS(INDIRECT(ADDRESS(12,3+18*0+(3),,,"J1 C - (South) Bishopthorpe Roa")&amp;":"&amp;ADDRESS(130,3+18*0+(3))),'J1 C - (South) Bishopthorpe Roa'!$A$12:$A$130,"&gt;="&amp;Diagram!$O21,'J1 C - (South) Bishopthorpe Roa'!$A$12:$A$130,"&lt;"&amp;Diagram!$P21),SUMIFS(INDIRECT(ADDRESS(12,3+18*0+(11),,,"J1 C - (South) Bishopthorpe Roa")&amp;":"&amp;ADDRESS(130,3+18*0+(11))),'J1 C - (South) Bishopthorpe Roa'!$A$12:$A$130,"&gt;="&amp;Diagram!$O21,'J1 C - (South) Bishopthorpe Roa'!$A$12:$A$130,"&lt;"&amp;Diagram!$P21)))</f>
        <v>0</v>
      </c>
      <c r="CD21" s="42">
        <f ca="1">IF(OR($I$10="",$O21="",$P21="",$J$38&lt;&gt;"Yes"),0,IF($K$10=0,SUMIFS(INDIRECT(ADDRESS(12,3+18*0+(3),,,"J1 D - South Bank Avenue")&amp;":"&amp;ADDRESS(130,3+18*0+(3))),'J1 D - South Bank Avenue'!$A$12:$A$130,"&gt;="&amp;Diagram!$O21,'J1 D - South Bank Avenue'!$A$12:$A$130,"&lt;"&amp;Diagram!$P21),SUMIFS(INDIRECT(ADDRESS(12,3+18*0+(11),,,"J1 D - South Bank Avenue")&amp;":"&amp;ADDRESS(130,3+18*0+(11))),'J1 D - South Bank Avenue'!$A$12:$A$130,"&gt;="&amp;Diagram!$O21,'J1 D - South Bank Avenue'!$A$12:$A$130,"&lt;"&amp;Diagram!$P21)))</f>
        <v>0</v>
      </c>
      <c r="CE21" s="42">
        <f ca="1">IF(OR($I$10="",$O21="",$P21="",$J$38&lt;&gt;"Yes"),0,IF($K$10=0,SUMIFS(INDIRECT(ADDRESS(12,3+18*1+(3),,,"J1 D - South Bank Avenue")&amp;":"&amp;ADDRESS(130,3+18*1+(3))),'J1 D - South Bank Avenue'!$A$12:$A$130,"&gt;="&amp;Diagram!$O21,'J1 D - South Bank Avenue'!$A$12:$A$130,"&lt;"&amp;Diagram!$P21),SUMIFS(INDIRECT(ADDRESS(12,3+18*1+(11),,,"J1 D - South Bank Avenue")&amp;":"&amp;ADDRESS(130,3+18*1+(11))),'J1 D - South Bank Avenue'!$A$12:$A$130,"&gt;="&amp;Diagram!$O21,'J1 D - South Bank Avenue'!$A$12:$A$130,"&lt;"&amp;Diagram!$P21)))</f>
        <v>0</v>
      </c>
      <c r="CF21" s="42">
        <f ca="1">IF(OR($I$10="",$O21="",$P21="",$J$38&lt;&gt;"Yes"),0,IF($K$10=0,SUMIFS(INDIRECT(ADDRESS(12,3+18*2+(3),,,"J1 D - South Bank Avenue")&amp;":"&amp;ADDRESS(130,3+18*2+(3))),'J1 D - South Bank Avenue'!$A$12:$A$130,"&gt;="&amp;Diagram!$O21,'J1 D - South Bank Avenue'!$A$12:$A$130,"&lt;"&amp;Diagram!$P21),SUMIFS(INDIRECT(ADDRESS(12,3+18*2+(11),,,"J1 D - South Bank Avenue")&amp;":"&amp;ADDRESS(130,3+18*2+(11))),'J1 D - South Bank Avenue'!$A$12:$A$130,"&gt;="&amp;Diagram!$O21,'J1 D - South Bank Avenue'!$A$12:$A$130,"&lt;"&amp;Diagram!$P21)))</f>
        <v>0</v>
      </c>
      <c r="CG21" s="42">
        <f ca="1">IF(OR($I$10="",$O21="",$P21="",$J$38&lt;&gt;"Yes"),0,IF($K$10=0,SUMIFS(INDIRECT(ADDRESS(12,3+18*3+(3),,,"J1 D - South Bank Avenue")&amp;":"&amp;ADDRESS(130,3+18*3+(3))),'J1 D - South Bank Avenue'!$A$12:$A$130,"&gt;="&amp;Diagram!$O21,'J1 D - South Bank Avenue'!$A$12:$A$130,"&lt;"&amp;Diagram!$P21),SUMIFS(INDIRECT(ADDRESS(12,3+18*3+(11),,,"J1 D - South Bank Avenue")&amp;":"&amp;ADDRESS(130,3+18*3+(11))),'J1 D - South Bank Avenue'!$A$12:$A$130,"&gt;="&amp;Diagram!$O21,'J1 D - South Bank Avenue'!$A$12:$A$130,"&lt;"&amp;Diagram!$P21)))</f>
        <v>0</v>
      </c>
      <c r="CH21" s="42">
        <f t="shared" ca="1" si="5"/>
        <v>0</v>
      </c>
      <c r="CI21" s="42">
        <f ca="1">IF(OR($I$10="",$O21="",$P21="",$J$39&lt;&gt;"Yes"),0,IF($K$10=0,SUMIFS(INDIRECT(ADDRESS(12,3+18*3+(4),,,"J1 A - (North) Bishopthorpe Roa")&amp;":"&amp;ADDRESS(130,3+18*3+(4))),'J1 A - (North) Bishopthorpe Roa'!$A$12:$A$130,"&gt;="&amp;Diagram!$O21,'J1 A - (North) Bishopthorpe Roa'!$A$12:$A$130,"&lt;"&amp;Diagram!$P21),SUMIFS(INDIRECT(ADDRESS(12,3+18*3+(12),,,"J1 A - (North) Bishopthorpe Roa")&amp;":"&amp;ADDRESS(130,3+18*3+(12))),'J1 A - (North) Bishopthorpe Roa'!$A$12:$A$130,"&gt;="&amp;Diagram!$O21,'J1 A - (North) Bishopthorpe Roa'!$A$12:$A$130,"&lt;"&amp;Diagram!$P21)))</f>
        <v>0</v>
      </c>
      <c r="CJ21" s="42">
        <f ca="1">IF(OR($I$10="",$O21="",$P21="",$J$39&lt;&gt;"Yes"),0,IF($K$10=0,SUMIFS(INDIRECT(ADDRESS(12,3+18*0+(4),,,"J1 A - (North) Bishopthorpe Roa")&amp;":"&amp;ADDRESS(130,3+18*0+(4))),'J1 A - (North) Bishopthorpe Roa'!$A$12:$A$130,"&gt;="&amp;Diagram!$O21,'J1 A - (North) Bishopthorpe Roa'!$A$12:$A$130,"&lt;"&amp;Diagram!$P21),SUMIFS(INDIRECT(ADDRESS(12,3+18*0+(12),,,"J1 A - (North) Bishopthorpe Roa")&amp;":"&amp;ADDRESS(130,3+18*0+(12))),'J1 A - (North) Bishopthorpe Roa'!$A$12:$A$130,"&gt;="&amp;Diagram!$O21,'J1 A - (North) Bishopthorpe Roa'!$A$12:$A$130,"&lt;"&amp;Diagram!$P21)))</f>
        <v>0</v>
      </c>
      <c r="CK21" s="42">
        <f ca="1">IF(OR($I$10="",$O21="",$P21="",$J$39&lt;&gt;"Yes"),0,IF($K$10=0,SUMIFS(INDIRECT(ADDRESS(12,3+18*1+(4),,,"J1 A - (North) Bishopthorpe Roa")&amp;":"&amp;ADDRESS(130,3+18*1+(4))),'J1 A - (North) Bishopthorpe Roa'!$A$12:$A$130,"&gt;="&amp;Diagram!$O21,'J1 A - (North) Bishopthorpe Roa'!$A$12:$A$130,"&lt;"&amp;Diagram!$P21),SUMIFS(INDIRECT(ADDRESS(12,3+18*1+(12),,,"J1 A - (North) Bishopthorpe Roa")&amp;":"&amp;ADDRESS(130,3+18*1+(12))),'J1 A - (North) Bishopthorpe Roa'!$A$12:$A$130,"&gt;="&amp;Diagram!$O21,'J1 A - (North) Bishopthorpe Roa'!$A$12:$A$130,"&lt;"&amp;Diagram!$P21)))</f>
        <v>0</v>
      </c>
      <c r="CL21" s="42">
        <f ca="1">IF(OR($I$10="",$O21="",$P21="",$J$39&lt;&gt;"Yes"),0,IF($K$10=0,SUMIFS(INDIRECT(ADDRESS(12,3+18*2+(4),,,"J1 A - (North) Bishopthorpe Roa")&amp;":"&amp;ADDRESS(130,3+18*2+(4))),'J1 A - (North) Bishopthorpe Roa'!$A$12:$A$130,"&gt;="&amp;Diagram!$O21,'J1 A - (North) Bishopthorpe Roa'!$A$12:$A$130,"&lt;"&amp;Diagram!$P21),SUMIFS(INDIRECT(ADDRESS(12,3+18*2+(12),,,"J1 A - (North) Bishopthorpe Roa")&amp;":"&amp;ADDRESS(130,3+18*2+(12))),'J1 A - (North) Bishopthorpe Roa'!$A$12:$A$130,"&gt;="&amp;Diagram!$O21,'J1 A - (North) Bishopthorpe Roa'!$A$12:$A$130,"&lt;"&amp;Diagram!$P21)))</f>
        <v>0</v>
      </c>
      <c r="CM21" s="42">
        <f ca="1">IF(OR($I$10="",$O21="",$P21="",$J$39&lt;&gt;"Yes"),0,IF($K$10=0,SUMIFS(INDIRECT(ADDRESS(12,3+18*2+(4),,,"J1 B - Butcher Terrace")&amp;":"&amp;ADDRESS(130,3+18*2+(4))),'J1 B - Butcher Terrace'!$A$12:$A$130,"&gt;="&amp;Diagram!$O21,'J1 B - Butcher Terrace'!$A$12:$A$130,"&lt;"&amp;Diagram!$P21),SUMIFS(INDIRECT(ADDRESS(12,3+18*2+(12),,,"J1 B - Butcher Terrace")&amp;":"&amp;ADDRESS(130,3+18*2+(12))),'J1 B - Butcher Terrace'!$A$12:$A$130,"&gt;="&amp;Diagram!$O21,'J1 B - Butcher Terrace'!$A$12:$A$130,"&lt;"&amp;Diagram!$P21)))</f>
        <v>0</v>
      </c>
      <c r="CN21" s="42">
        <f ca="1">IF(OR($I$10="",$O21="",$P21="",$J$39&lt;&gt;"Yes"),0,IF($K$10=0,SUMIFS(INDIRECT(ADDRESS(12,3+18*3+(4),,,"J1 B - Butcher Terrace")&amp;":"&amp;ADDRESS(130,3+18*3+(4))),'J1 B - Butcher Terrace'!$A$12:$A$130,"&gt;="&amp;Diagram!$O21,'J1 B - Butcher Terrace'!$A$12:$A$130,"&lt;"&amp;Diagram!$P21),SUMIFS(INDIRECT(ADDRESS(12,3+18*3+(12),,,"J1 B - Butcher Terrace")&amp;":"&amp;ADDRESS(130,3+18*3+(12))),'J1 B - Butcher Terrace'!$A$12:$A$130,"&gt;="&amp;Diagram!$O21,'J1 B - Butcher Terrace'!$A$12:$A$130,"&lt;"&amp;Diagram!$P21)))</f>
        <v>0</v>
      </c>
      <c r="CO21" s="42">
        <f ca="1">IF(OR($I$10="",$O21="",$P21="",$J$39&lt;&gt;"Yes"),0,IF($K$10=0,SUMIFS(INDIRECT(ADDRESS(12,3+18*0+(4),,,"J1 B - Butcher Terrace")&amp;":"&amp;ADDRESS(130,3+18*0+(4))),'J1 B - Butcher Terrace'!$A$12:$A$130,"&gt;="&amp;Diagram!$O21,'J1 B - Butcher Terrace'!$A$12:$A$130,"&lt;"&amp;Diagram!$P21),SUMIFS(INDIRECT(ADDRESS(12,3+18*0+(12),,,"J1 B - Butcher Terrace")&amp;":"&amp;ADDRESS(130,3+18*0+(12))),'J1 B - Butcher Terrace'!$A$12:$A$130,"&gt;="&amp;Diagram!$O21,'J1 B - Butcher Terrace'!$A$12:$A$130,"&lt;"&amp;Diagram!$P21)))</f>
        <v>0</v>
      </c>
      <c r="CP21" s="42">
        <f ca="1">IF(OR($I$10="",$O21="",$P21="",$J$39&lt;&gt;"Yes"),0,IF($K$10=0,SUMIFS(INDIRECT(ADDRESS(12,3+18*1+(4),,,"J1 B - Butcher Terrace")&amp;":"&amp;ADDRESS(130,3+18*1+(4))),'J1 B - Butcher Terrace'!$A$12:$A$130,"&gt;="&amp;Diagram!$O21,'J1 B - Butcher Terrace'!$A$12:$A$130,"&lt;"&amp;Diagram!$P21),SUMIFS(INDIRECT(ADDRESS(12,3+18*1+(12),,,"J1 B - Butcher Terrace")&amp;":"&amp;ADDRESS(130,3+18*1+(12))),'J1 B - Butcher Terrace'!$A$12:$A$130,"&gt;="&amp;Diagram!$O21,'J1 B - Butcher Terrace'!$A$12:$A$130,"&lt;"&amp;Diagram!$P21)))</f>
        <v>0</v>
      </c>
      <c r="CQ21" s="42">
        <f ca="1">IF(OR($I$10="",$O21="",$P21="",$J$39&lt;&gt;"Yes"),0,IF($K$10=0,SUMIFS(INDIRECT(ADDRESS(12,3+18*1+(4),,,"J1 C - (South) Bishopthorpe Roa")&amp;":"&amp;ADDRESS(130,3+18*1+(4))),'J1 C - (South) Bishopthorpe Roa'!$A$12:$A$130,"&gt;="&amp;Diagram!$O21,'J1 C - (South) Bishopthorpe Roa'!$A$12:$A$130,"&lt;"&amp;Diagram!$P21),SUMIFS(INDIRECT(ADDRESS(12,3+18*1+(12),,,"J1 C - (South) Bishopthorpe Roa")&amp;":"&amp;ADDRESS(130,3+18*1+(12))),'J1 C - (South) Bishopthorpe Roa'!$A$12:$A$130,"&gt;="&amp;Diagram!$O21,'J1 C - (South) Bishopthorpe Roa'!$A$12:$A$130,"&lt;"&amp;Diagram!$P21)))</f>
        <v>0</v>
      </c>
      <c r="CR21" s="42">
        <f ca="1">IF(OR($I$10="",$O21="",$P21="",$J$39&lt;&gt;"Yes"),0,IF($K$10=0,SUMIFS(INDIRECT(ADDRESS(12,3+18*2+(4),,,"J1 C - (South) Bishopthorpe Roa")&amp;":"&amp;ADDRESS(130,3+18*2+(4))),'J1 C - (South) Bishopthorpe Roa'!$A$12:$A$130,"&gt;="&amp;Diagram!$O21,'J1 C - (South) Bishopthorpe Roa'!$A$12:$A$130,"&lt;"&amp;Diagram!$P21),SUMIFS(INDIRECT(ADDRESS(12,3+18*2+(12),,,"J1 C - (South) Bishopthorpe Roa")&amp;":"&amp;ADDRESS(130,3+18*2+(12))),'J1 C - (South) Bishopthorpe Roa'!$A$12:$A$130,"&gt;="&amp;Diagram!$O21,'J1 C - (South) Bishopthorpe Roa'!$A$12:$A$130,"&lt;"&amp;Diagram!$P21)))</f>
        <v>0</v>
      </c>
      <c r="CS21" s="42">
        <f ca="1">IF(OR($I$10="",$O21="",$P21="",$J$39&lt;&gt;"Yes"),0,IF($K$10=0,SUMIFS(INDIRECT(ADDRESS(12,3+18*3+(4),,,"J1 C - (South) Bishopthorpe Roa")&amp;":"&amp;ADDRESS(130,3+18*3+(4))),'J1 C - (South) Bishopthorpe Roa'!$A$12:$A$130,"&gt;="&amp;Diagram!$O21,'J1 C - (South) Bishopthorpe Roa'!$A$12:$A$130,"&lt;"&amp;Diagram!$P21),SUMIFS(INDIRECT(ADDRESS(12,3+18*3+(12),,,"J1 C - (South) Bishopthorpe Roa")&amp;":"&amp;ADDRESS(130,3+18*3+(12))),'J1 C - (South) Bishopthorpe Roa'!$A$12:$A$130,"&gt;="&amp;Diagram!$O21,'J1 C - (South) Bishopthorpe Roa'!$A$12:$A$130,"&lt;"&amp;Diagram!$P21)))</f>
        <v>0</v>
      </c>
      <c r="CT21" s="42">
        <f ca="1">IF(OR($I$10="",$O21="",$P21="",$J$39&lt;&gt;"Yes"),0,IF($K$10=0,SUMIFS(INDIRECT(ADDRESS(12,3+18*0+(4),,,"J1 C - (South) Bishopthorpe Roa")&amp;":"&amp;ADDRESS(130,3+18*0+(4))),'J1 C - (South) Bishopthorpe Roa'!$A$12:$A$130,"&gt;="&amp;Diagram!$O21,'J1 C - (South) Bishopthorpe Roa'!$A$12:$A$130,"&lt;"&amp;Diagram!$P21),SUMIFS(INDIRECT(ADDRESS(12,3+18*0+(12),,,"J1 C - (South) Bishopthorpe Roa")&amp;":"&amp;ADDRESS(130,3+18*0+(12))),'J1 C - (South) Bishopthorpe Roa'!$A$12:$A$130,"&gt;="&amp;Diagram!$O21,'J1 C - (South) Bishopthorpe Roa'!$A$12:$A$130,"&lt;"&amp;Diagram!$P21)))</f>
        <v>0</v>
      </c>
      <c r="CU21" s="42">
        <f ca="1">IF(OR($I$10="",$O21="",$P21="",$J$39&lt;&gt;"Yes"),0,IF($K$10=0,SUMIFS(INDIRECT(ADDRESS(12,3+18*0+(4),,,"J1 D - South Bank Avenue")&amp;":"&amp;ADDRESS(130,3+18*0+(4))),'J1 D - South Bank Avenue'!$A$12:$A$130,"&gt;="&amp;Diagram!$O21,'J1 D - South Bank Avenue'!$A$12:$A$130,"&lt;"&amp;Diagram!$P21),SUMIFS(INDIRECT(ADDRESS(12,3+18*0+(12),,,"J1 D - South Bank Avenue")&amp;":"&amp;ADDRESS(130,3+18*0+(12))),'J1 D - South Bank Avenue'!$A$12:$A$130,"&gt;="&amp;Diagram!$O21,'J1 D - South Bank Avenue'!$A$12:$A$130,"&lt;"&amp;Diagram!$P21)))</f>
        <v>0</v>
      </c>
      <c r="CV21" s="42">
        <f ca="1">IF(OR($I$10="",$O21="",$P21="",$J$39&lt;&gt;"Yes"),0,IF($K$10=0,SUMIFS(INDIRECT(ADDRESS(12,3+18*1+(4),,,"J1 D - South Bank Avenue")&amp;":"&amp;ADDRESS(130,3+18*1+(4))),'J1 D - South Bank Avenue'!$A$12:$A$130,"&gt;="&amp;Diagram!$O21,'J1 D - South Bank Avenue'!$A$12:$A$130,"&lt;"&amp;Diagram!$P21),SUMIFS(INDIRECT(ADDRESS(12,3+18*1+(12),,,"J1 D - South Bank Avenue")&amp;":"&amp;ADDRESS(130,3+18*1+(12))),'J1 D - South Bank Avenue'!$A$12:$A$130,"&gt;="&amp;Diagram!$O21,'J1 D - South Bank Avenue'!$A$12:$A$130,"&lt;"&amp;Diagram!$P21)))</f>
        <v>0</v>
      </c>
      <c r="CW21" s="42">
        <f ca="1">IF(OR($I$10="",$O21="",$P21="",$J$39&lt;&gt;"Yes"),0,IF($K$10=0,SUMIFS(INDIRECT(ADDRESS(12,3+18*2+(4),,,"J1 D - South Bank Avenue")&amp;":"&amp;ADDRESS(130,3+18*2+(4))),'J1 D - South Bank Avenue'!$A$12:$A$130,"&gt;="&amp;Diagram!$O21,'J1 D - South Bank Avenue'!$A$12:$A$130,"&lt;"&amp;Diagram!$P21),SUMIFS(INDIRECT(ADDRESS(12,3+18*2+(12),,,"J1 D - South Bank Avenue")&amp;":"&amp;ADDRESS(130,3+18*2+(12))),'J1 D - South Bank Avenue'!$A$12:$A$130,"&gt;="&amp;Diagram!$O21,'J1 D - South Bank Avenue'!$A$12:$A$130,"&lt;"&amp;Diagram!$P21)))</f>
        <v>0</v>
      </c>
      <c r="CX21" s="42">
        <f ca="1">IF(OR($I$10="",$O21="",$P21="",$J$39&lt;&gt;"Yes"),0,IF($K$10=0,SUMIFS(INDIRECT(ADDRESS(12,3+18*3+(4),,,"J1 D - South Bank Avenue")&amp;":"&amp;ADDRESS(130,3+18*3+(4))),'J1 D - South Bank Avenue'!$A$12:$A$130,"&gt;="&amp;Diagram!$O21,'J1 D - South Bank Avenue'!$A$12:$A$130,"&lt;"&amp;Diagram!$P21),SUMIFS(INDIRECT(ADDRESS(12,3+18*3+(12),,,"J1 D - South Bank Avenue")&amp;":"&amp;ADDRESS(130,3+18*3+(12))),'J1 D - South Bank Avenue'!$A$12:$A$130,"&gt;="&amp;Diagram!$O21,'J1 D - South Bank Avenue'!$A$12:$A$130,"&lt;"&amp;Diagram!$P21)))</f>
        <v>0</v>
      </c>
      <c r="CY21" s="42">
        <f t="shared" ca="1" si="6"/>
        <v>8</v>
      </c>
      <c r="CZ21" s="42">
        <f ca="1">IF(OR($I$10="",$O21="",$P21="",$J$40&lt;&gt;"Yes"),0,IF($K$10=0,SUMIFS(INDIRECT(ADDRESS(12,3+18*3+(5),,,"J1 A - (North) Bishopthorpe Roa")&amp;":"&amp;ADDRESS(130,3+18*3+(5))),'J1 A - (North) Bishopthorpe Roa'!$A$12:$A$130,"&gt;="&amp;Diagram!$O21,'J1 A - (North) Bishopthorpe Roa'!$A$12:$A$130,"&lt;"&amp;Diagram!$P21),SUMIFS(INDIRECT(ADDRESS(12,3+18*3+(13),,,"J1 A - (North) Bishopthorpe Roa")&amp;":"&amp;ADDRESS(130,3+18*3+(13))),'J1 A - (North) Bishopthorpe Roa'!$A$12:$A$130,"&gt;="&amp;Diagram!$O21,'J1 A - (North) Bishopthorpe Roa'!$A$12:$A$130,"&lt;"&amp;Diagram!$P21)))</f>
        <v>0</v>
      </c>
      <c r="DA21" s="42">
        <f ca="1">IF(OR($I$10="",$O21="",$P21="",$J$40&lt;&gt;"Yes"),0,IF($K$10=0,SUMIFS(INDIRECT(ADDRESS(12,3+18*0+(5),,,"J1 A - (North) Bishopthorpe Roa")&amp;":"&amp;ADDRESS(130,3+18*0+(5))),'J1 A - (North) Bishopthorpe Roa'!$A$12:$A$130,"&gt;="&amp;Diagram!$O21,'J1 A - (North) Bishopthorpe Roa'!$A$12:$A$130,"&lt;"&amp;Diagram!$P21),SUMIFS(INDIRECT(ADDRESS(12,3+18*0+(13),,,"J1 A - (North) Bishopthorpe Roa")&amp;":"&amp;ADDRESS(130,3+18*0+(13))),'J1 A - (North) Bishopthorpe Roa'!$A$12:$A$130,"&gt;="&amp;Diagram!$O21,'J1 A - (North) Bishopthorpe Roa'!$A$12:$A$130,"&lt;"&amp;Diagram!$P21)))</f>
        <v>0</v>
      </c>
      <c r="DB21" s="42">
        <f ca="1">IF(OR($I$10="",$O21="",$P21="",$J$40&lt;&gt;"Yes"),0,IF($K$10=0,SUMIFS(INDIRECT(ADDRESS(12,3+18*1+(5),,,"J1 A - (North) Bishopthorpe Roa")&amp;":"&amp;ADDRESS(130,3+18*1+(5))),'J1 A - (North) Bishopthorpe Roa'!$A$12:$A$130,"&gt;="&amp;Diagram!$O21,'J1 A - (North) Bishopthorpe Roa'!$A$12:$A$130,"&lt;"&amp;Diagram!$P21),SUMIFS(INDIRECT(ADDRESS(12,3+18*1+(13),,,"J1 A - (North) Bishopthorpe Roa")&amp;":"&amp;ADDRESS(130,3+18*1+(13))),'J1 A - (North) Bishopthorpe Roa'!$A$12:$A$130,"&gt;="&amp;Diagram!$O21,'J1 A - (North) Bishopthorpe Roa'!$A$12:$A$130,"&lt;"&amp;Diagram!$P21)))</f>
        <v>2</v>
      </c>
      <c r="DC21" s="42">
        <f ca="1">IF(OR($I$10="",$O21="",$P21="",$J$40&lt;&gt;"Yes"),0,IF($K$10=0,SUMIFS(INDIRECT(ADDRESS(12,3+18*2+(5),,,"J1 A - (North) Bishopthorpe Roa")&amp;":"&amp;ADDRESS(130,3+18*2+(5))),'J1 A - (North) Bishopthorpe Roa'!$A$12:$A$130,"&gt;="&amp;Diagram!$O21,'J1 A - (North) Bishopthorpe Roa'!$A$12:$A$130,"&lt;"&amp;Diagram!$P21),SUMIFS(INDIRECT(ADDRESS(12,3+18*2+(13),,,"J1 A - (North) Bishopthorpe Roa")&amp;":"&amp;ADDRESS(130,3+18*2+(13))),'J1 A - (North) Bishopthorpe Roa'!$A$12:$A$130,"&gt;="&amp;Diagram!$O21,'J1 A - (North) Bishopthorpe Roa'!$A$12:$A$130,"&lt;"&amp;Diagram!$P21)))</f>
        <v>0</v>
      </c>
      <c r="DD21" s="42">
        <f ca="1">IF(OR($I$10="",$O21="",$P21="",$J$40&lt;&gt;"Yes"),0,IF($K$10=0,SUMIFS(INDIRECT(ADDRESS(12,3+18*2+(5),,,"J1 B - Butcher Terrace")&amp;":"&amp;ADDRESS(130,3+18*2+(5))),'J1 B - Butcher Terrace'!$A$12:$A$130,"&gt;="&amp;Diagram!$O21,'J1 B - Butcher Terrace'!$A$12:$A$130,"&lt;"&amp;Diagram!$P21),SUMIFS(INDIRECT(ADDRESS(12,3+18*2+(13),,,"J1 B - Butcher Terrace")&amp;":"&amp;ADDRESS(130,3+18*2+(13))),'J1 B - Butcher Terrace'!$A$12:$A$130,"&gt;="&amp;Diagram!$O21,'J1 B - Butcher Terrace'!$A$12:$A$130,"&lt;"&amp;Diagram!$P21)))</f>
        <v>1</v>
      </c>
      <c r="DE21" s="42">
        <f ca="1">IF(OR($I$10="",$O21="",$P21="",$J$40&lt;&gt;"Yes"),0,IF($K$10=0,SUMIFS(INDIRECT(ADDRESS(12,3+18*3+(5),,,"J1 B - Butcher Terrace")&amp;":"&amp;ADDRESS(130,3+18*3+(5))),'J1 B - Butcher Terrace'!$A$12:$A$130,"&gt;="&amp;Diagram!$O21,'J1 B - Butcher Terrace'!$A$12:$A$130,"&lt;"&amp;Diagram!$P21),SUMIFS(INDIRECT(ADDRESS(12,3+18*3+(13),,,"J1 B - Butcher Terrace")&amp;":"&amp;ADDRESS(130,3+18*3+(13))),'J1 B - Butcher Terrace'!$A$12:$A$130,"&gt;="&amp;Diagram!$O21,'J1 B - Butcher Terrace'!$A$12:$A$130,"&lt;"&amp;Diagram!$P21)))</f>
        <v>0</v>
      </c>
      <c r="DF21" s="42">
        <f ca="1">IF(OR($I$10="",$O21="",$P21="",$J$40&lt;&gt;"Yes"),0,IF($K$10=0,SUMIFS(INDIRECT(ADDRESS(12,3+18*0+(5),,,"J1 B - Butcher Terrace")&amp;":"&amp;ADDRESS(130,3+18*0+(5))),'J1 B - Butcher Terrace'!$A$12:$A$130,"&gt;="&amp;Diagram!$O21,'J1 B - Butcher Terrace'!$A$12:$A$130,"&lt;"&amp;Diagram!$P21),SUMIFS(INDIRECT(ADDRESS(12,3+18*0+(13),,,"J1 B - Butcher Terrace")&amp;":"&amp;ADDRESS(130,3+18*0+(13))),'J1 B - Butcher Terrace'!$A$12:$A$130,"&gt;="&amp;Diagram!$O21,'J1 B - Butcher Terrace'!$A$12:$A$130,"&lt;"&amp;Diagram!$P21)))</f>
        <v>3</v>
      </c>
      <c r="DG21" s="42">
        <f ca="1">IF(OR($I$10="",$O21="",$P21="",$J$40&lt;&gt;"Yes"),0,IF($K$10=0,SUMIFS(INDIRECT(ADDRESS(12,3+18*1+(5),,,"J1 B - Butcher Terrace")&amp;":"&amp;ADDRESS(130,3+18*1+(5))),'J1 B - Butcher Terrace'!$A$12:$A$130,"&gt;="&amp;Diagram!$O21,'J1 B - Butcher Terrace'!$A$12:$A$130,"&lt;"&amp;Diagram!$P21),SUMIFS(INDIRECT(ADDRESS(12,3+18*1+(13),,,"J1 B - Butcher Terrace")&amp;":"&amp;ADDRESS(130,3+18*1+(13))),'J1 B - Butcher Terrace'!$A$12:$A$130,"&gt;="&amp;Diagram!$O21,'J1 B - Butcher Terrace'!$A$12:$A$130,"&lt;"&amp;Diagram!$P21)))</f>
        <v>0</v>
      </c>
      <c r="DH21" s="42">
        <f ca="1">IF(OR($I$10="",$O21="",$P21="",$J$40&lt;&gt;"Yes"),0,IF($K$10=0,SUMIFS(INDIRECT(ADDRESS(12,3+18*1+(5),,,"J1 C - (South) Bishopthorpe Roa")&amp;":"&amp;ADDRESS(130,3+18*1+(5))),'J1 C - (South) Bishopthorpe Roa'!$A$12:$A$130,"&gt;="&amp;Diagram!$O21,'J1 C - (South) Bishopthorpe Roa'!$A$12:$A$130,"&lt;"&amp;Diagram!$P21),SUMIFS(INDIRECT(ADDRESS(12,3+18*1+(13),,,"J1 C - (South) Bishopthorpe Roa")&amp;":"&amp;ADDRESS(130,3+18*1+(13))),'J1 C - (South) Bishopthorpe Roa'!$A$12:$A$130,"&gt;="&amp;Diagram!$O21,'J1 C - (South) Bishopthorpe Roa'!$A$12:$A$130,"&lt;"&amp;Diagram!$P21)))</f>
        <v>2</v>
      </c>
      <c r="DI21" s="42">
        <f ca="1">IF(OR($I$10="",$O21="",$P21="",$J$40&lt;&gt;"Yes"),0,IF($K$10=0,SUMIFS(INDIRECT(ADDRESS(12,3+18*2+(5),,,"J1 C - (South) Bishopthorpe Roa")&amp;":"&amp;ADDRESS(130,3+18*2+(5))),'J1 C - (South) Bishopthorpe Roa'!$A$12:$A$130,"&gt;="&amp;Diagram!$O21,'J1 C - (South) Bishopthorpe Roa'!$A$12:$A$130,"&lt;"&amp;Diagram!$P21),SUMIFS(INDIRECT(ADDRESS(12,3+18*2+(13),,,"J1 C - (South) Bishopthorpe Roa")&amp;":"&amp;ADDRESS(130,3+18*2+(13))),'J1 C - (South) Bishopthorpe Roa'!$A$12:$A$130,"&gt;="&amp;Diagram!$O21,'J1 C - (South) Bishopthorpe Roa'!$A$12:$A$130,"&lt;"&amp;Diagram!$P21)))</f>
        <v>0</v>
      </c>
      <c r="DJ21" s="42">
        <f ca="1">IF(OR($I$10="",$O21="",$P21="",$J$40&lt;&gt;"Yes"),0,IF($K$10=0,SUMIFS(INDIRECT(ADDRESS(12,3+18*3+(5),,,"J1 C - (South) Bishopthorpe Roa")&amp;":"&amp;ADDRESS(130,3+18*3+(5))),'J1 C - (South) Bishopthorpe Roa'!$A$12:$A$130,"&gt;="&amp;Diagram!$O21,'J1 C - (South) Bishopthorpe Roa'!$A$12:$A$130,"&lt;"&amp;Diagram!$P21),SUMIFS(INDIRECT(ADDRESS(12,3+18*3+(13),,,"J1 C - (South) Bishopthorpe Roa")&amp;":"&amp;ADDRESS(130,3+18*3+(13))),'J1 C - (South) Bishopthorpe Roa'!$A$12:$A$130,"&gt;="&amp;Diagram!$O21,'J1 C - (South) Bishopthorpe Roa'!$A$12:$A$130,"&lt;"&amp;Diagram!$P21)))</f>
        <v>0</v>
      </c>
      <c r="DK21" s="42">
        <f ca="1">IF(OR($I$10="",$O21="",$P21="",$J$40&lt;&gt;"Yes"),0,IF($K$10=0,SUMIFS(INDIRECT(ADDRESS(12,3+18*0+(5),,,"J1 C - (South) Bishopthorpe Roa")&amp;":"&amp;ADDRESS(130,3+18*0+(5))),'J1 C - (South) Bishopthorpe Roa'!$A$12:$A$130,"&gt;="&amp;Diagram!$O21,'J1 C - (South) Bishopthorpe Roa'!$A$12:$A$130,"&lt;"&amp;Diagram!$P21),SUMIFS(INDIRECT(ADDRESS(12,3+18*0+(13),,,"J1 C - (South) Bishopthorpe Roa")&amp;":"&amp;ADDRESS(130,3+18*0+(13))),'J1 C - (South) Bishopthorpe Roa'!$A$12:$A$130,"&gt;="&amp;Diagram!$O21,'J1 C - (South) Bishopthorpe Roa'!$A$12:$A$130,"&lt;"&amp;Diagram!$P21)))</f>
        <v>0</v>
      </c>
      <c r="DL21" s="42">
        <f ca="1">IF(OR($I$10="",$O21="",$P21="",$J$40&lt;&gt;"Yes"),0,IF($K$10=0,SUMIFS(INDIRECT(ADDRESS(12,3+18*0+(5),,,"J1 D - South Bank Avenue")&amp;":"&amp;ADDRESS(130,3+18*0+(5))),'J1 D - South Bank Avenue'!$A$12:$A$130,"&gt;="&amp;Diagram!$O21,'J1 D - South Bank Avenue'!$A$12:$A$130,"&lt;"&amp;Diagram!$P21),SUMIFS(INDIRECT(ADDRESS(12,3+18*0+(13),,,"J1 D - South Bank Avenue")&amp;":"&amp;ADDRESS(130,3+18*0+(13))),'J1 D - South Bank Avenue'!$A$12:$A$130,"&gt;="&amp;Diagram!$O21,'J1 D - South Bank Avenue'!$A$12:$A$130,"&lt;"&amp;Diagram!$P21)))</f>
        <v>0</v>
      </c>
      <c r="DM21" s="42">
        <f ca="1">IF(OR($I$10="",$O21="",$P21="",$J$40&lt;&gt;"Yes"),0,IF($K$10=0,SUMIFS(INDIRECT(ADDRESS(12,3+18*1+(5),,,"J1 D - South Bank Avenue")&amp;":"&amp;ADDRESS(130,3+18*1+(5))),'J1 D - South Bank Avenue'!$A$12:$A$130,"&gt;="&amp;Diagram!$O21,'J1 D - South Bank Avenue'!$A$12:$A$130,"&lt;"&amp;Diagram!$P21),SUMIFS(INDIRECT(ADDRESS(12,3+18*1+(13),,,"J1 D - South Bank Avenue")&amp;":"&amp;ADDRESS(130,3+18*1+(13))),'J1 D - South Bank Avenue'!$A$12:$A$130,"&gt;="&amp;Diagram!$O21,'J1 D - South Bank Avenue'!$A$12:$A$130,"&lt;"&amp;Diagram!$P21)))</f>
        <v>0</v>
      </c>
      <c r="DN21" s="42">
        <f ca="1">IF(OR($I$10="",$O21="",$P21="",$J$40&lt;&gt;"Yes"),0,IF($K$10=0,SUMIFS(INDIRECT(ADDRESS(12,3+18*2+(5),,,"J1 D - South Bank Avenue")&amp;":"&amp;ADDRESS(130,3+18*2+(5))),'J1 D - South Bank Avenue'!$A$12:$A$130,"&gt;="&amp;Diagram!$O21,'J1 D - South Bank Avenue'!$A$12:$A$130,"&lt;"&amp;Diagram!$P21),SUMIFS(INDIRECT(ADDRESS(12,3+18*2+(13),,,"J1 D - South Bank Avenue")&amp;":"&amp;ADDRESS(130,3+18*2+(13))),'J1 D - South Bank Avenue'!$A$12:$A$130,"&gt;="&amp;Diagram!$O21,'J1 D - South Bank Avenue'!$A$12:$A$130,"&lt;"&amp;Diagram!$P21)))</f>
        <v>0</v>
      </c>
      <c r="DO21" s="42">
        <f ca="1">IF(OR($I$10="",$O21="",$P21="",$J$40&lt;&gt;"Yes"),0,IF($K$10=0,SUMIFS(INDIRECT(ADDRESS(12,3+18*3+(5),,,"J1 D - South Bank Avenue")&amp;":"&amp;ADDRESS(130,3+18*3+(5))),'J1 D - South Bank Avenue'!$A$12:$A$130,"&gt;="&amp;Diagram!$O21,'J1 D - South Bank Avenue'!$A$12:$A$130,"&lt;"&amp;Diagram!$P21),SUMIFS(INDIRECT(ADDRESS(12,3+18*3+(13),,,"J1 D - South Bank Avenue")&amp;":"&amp;ADDRESS(130,3+18*3+(13))),'J1 D - South Bank Avenue'!$A$12:$A$130,"&gt;="&amp;Diagram!$O21,'J1 D - South Bank Avenue'!$A$12:$A$130,"&lt;"&amp;Diagram!$P21)))</f>
        <v>0</v>
      </c>
      <c r="DP21" s="42">
        <f t="shared" ca="1" si="7"/>
        <v>0</v>
      </c>
      <c r="DQ21" s="42">
        <f ca="1">IF(OR($I$10="",$O21="",$P21="",$J$41&lt;&gt;"Yes"),0,IF($K$10=0,SUMIFS(INDIRECT(ADDRESS(12,3+18*3+(6),,,"J1 A - (North) Bishopthorpe Roa")&amp;":"&amp;ADDRESS(130,3+18*3+(6))),'J1 A - (North) Bishopthorpe Roa'!$A$12:$A$130,"&gt;="&amp;Diagram!$O21,'J1 A - (North) Bishopthorpe Roa'!$A$12:$A$130,"&lt;"&amp;Diagram!$P21),SUMIFS(INDIRECT(ADDRESS(12,3+18*3+(14),,,"J1 A - (North) Bishopthorpe Roa")&amp;":"&amp;ADDRESS(130,3+18*3+(14))),'J1 A - (North) Bishopthorpe Roa'!$A$12:$A$130,"&gt;="&amp;Diagram!$O21,'J1 A - (North) Bishopthorpe Roa'!$A$12:$A$130,"&lt;"&amp;Diagram!$P21)))</f>
        <v>0</v>
      </c>
      <c r="DR21" s="42">
        <f ca="1">IF(OR($I$10="",$O21="",$P21="",$J$41&lt;&gt;"Yes"),0,IF($K$10=0,SUMIFS(INDIRECT(ADDRESS(12,3+18*0+(6),,,"J1 A - (North) Bishopthorpe Roa")&amp;":"&amp;ADDRESS(130,3+18*0+(6))),'J1 A - (North) Bishopthorpe Roa'!$A$12:$A$130,"&gt;="&amp;Diagram!$O21,'J1 A - (North) Bishopthorpe Roa'!$A$12:$A$130,"&lt;"&amp;Diagram!$P21),SUMIFS(INDIRECT(ADDRESS(12,3+18*0+(14),,,"J1 A - (North) Bishopthorpe Roa")&amp;":"&amp;ADDRESS(130,3+18*0+(14))),'J1 A - (North) Bishopthorpe Roa'!$A$12:$A$130,"&gt;="&amp;Diagram!$O21,'J1 A - (North) Bishopthorpe Roa'!$A$12:$A$130,"&lt;"&amp;Diagram!$P21)))</f>
        <v>0</v>
      </c>
      <c r="DS21" s="42">
        <f ca="1">IF(OR($I$10="",$O21="",$P21="",$J$41&lt;&gt;"Yes"),0,IF($K$10=0,SUMIFS(INDIRECT(ADDRESS(12,3+18*1+(6),,,"J1 A - (North) Bishopthorpe Roa")&amp;":"&amp;ADDRESS(130,3+18*1+(6))),'J1 A - (North) Bishopthorpe Roa'!$A$12:$A$130,"&gt;="&amp;Diagram!$O21,'J1 A - (North) Bishopthorpe Roa'!$A$12:$A$130,"&lt;"&amp;Diagram!$P21),SUMIFS(INDIRECT(ADDRESS(12,3+18*1+(14),,,"J1 A - (North) Bishopthorpe Roa")&amp;":"&amp;ADDRESS(130,3+18*1+(14))),'J1 A - (North) Bishopthorpe Roa'!$A$12:$A$130,"&gt;="&amp;Diagram!$O21,'J1 A - (North) Bishopthorpe Roa'!$A$12:$A$130,"&lt;"&amp;Diagram!$P21)))</f>
        <v>0</v>
      </c>
      <c r="DT21" s="42">
        <f ca="1">IF(OR($I$10="",$O21="",$P21="",$J$41&lt;&gt;"Yes"),0,IF($K$10=0,SUMIFS(INDIRECT(ADDRESS(12,3+18*2+(6),,,"J1 A - (North) Bishopthorpe Roa")&amp;":"&amp;ADDRESS(130,3+18*2+(6))),'J1 A - (North) Bishopthorpe Roa'!$A$12:$A$130,"&gt;="&amp;Diagram!$O21,'J1 A - (North) Bishopthorpe Roa'!$A$12:$A$130,"&lt;"&amp;Diagram!$P21),SUMIFS(INDIRECT(ADDRESS(12,3+18*2+(14),,,"J1 A - (North) Bishopthorpe Roa")&amp;":"&amp;ADDRESS(130,3+18*2+(14))),'J1 A - (North) Bishopthorpe Roa'!$A$12:$A$130,"&gt;="&amp;Diagram!$O21,'J1 A - (North) Bishopthorpe Roa'!$A$12:$A$130,"&lt;"&amp;Diagram!$P21)))</f>
        <v>0</v>
      </c>
      <c r="DU21" s="42">
        <f ca="1">IF(OR($I$10="",$O21="",$P21="",$J$41&lt;&gt;"Yes"),0,IF($K$10=0,SUMIFS(INDIRECT(ADDRESS(12,3+18*2+(6),,,"J1 B - Butcher Terrace")&amp;":"&amp;ADDRESS(130,3+18*2+(6))),'J1 B - Butcher Terrace'!$A$12:$A$130,"&gt;="&amp;Diagram!$O21,'J1 B - Butcher Terrace'!$A$12:$A$130,"&lt;"&amp;Diagram!$P21),SUMIFS(INDIRECT(ADDRESS(12,3+18*2+(14),,,"J1 B - Butcher Terrace")&amp;":"&amp;ADDRESS(130,3+18*2+(14))),'J1 B - Butcher Terrace'!$A$12:$A$130,"&gt;="&amp;Diagram!$O21,'J1 B - Butcher Terrace'!$A$12:$A$130,"&lt;"&amp;Diagram!$P21)))</f>
        <v>0</v>
      </c>
      <c r="DV21" s="42">
        <f ca="1">IF(OR($I$10="",$O21="",$P21="",$J$41&lt;&gt;"Yes"),0,IF($K$10=0,SUMIFS(INDIRECT(ADDRESS(12,3+18*3+(6),,,"J1 B - Butcher Terrace")&amp;":"&amp;ADDRESS(130,3+18*3+(6))),'J1 B - Butcher Terrace'!$A$12:$A$130,"&gt;="&amp;Diagram!$O21,'J1 B - Butcher Terrace'!$A$12:$A$130,"&lt;"&amp;Diagram!$P21),SUMIFS(INDIRECT(ADDRESS(12,3+18*3+(14),,,"J1 B - Butcher Terrace")&amp;":"&amp;ADDRESS(130,3+18*3+(14))),'J1 B - Butcher Terrace'!$A$12:$A$130,"&gt;="&amp;Diagram!$O21,'J1 B - Butcher Terrace'!$A$12:$A$130,"&lt;"&amp;Diagram!$P21)))</f>
        <v>0</v>
      </c>
      <c r="DW21" s="42">
        <f ca="1">IF(OR($I$10="",$O21="",$P21="",$J$41&lt;&gt;"Yes"),0,IF($K$10=0,SUMIFS(INDIRECT(ADDRESS(12,3+18*0+(6),,,"J1 B - Butcher Terrace")&amp;":"&amp;ADDRESS(130,3+18*0+(6))),'J1 B - Butcher Terrace'!$A$12:$A$130,"&gt;="&amp;Diagram!$O21,'J1 B - Butcher Terrace'!$A$12:$A$130,"&lt;"&amp;Diagram!$P21),SUMIFS(INDIRECT(ADDRESS(12,3+18*0+(14),,,"J1 B - Butcher Terrace")&amp;":"&amp;ADDRESS(130,3+18*0+(14))),'J1 B - Butcher Terrace'!$A$12:$A$130,"&gt;="&amp;Diagram!$O21,'J1 B - Butcher Terrace'!$A$12:$A$130,"&lt;"&amp;Diagram!$P21)))</f>
        <v>0</v>
      </c>
      <c r="DX21" s="42">
        <f ca="1">IF(OR($I$10="",$O21="",$P21="",$J$41&lt;&gt;"Yes"),0,IF($K$10=0,SUMIFS(INDIRECT(ADDRESS(12,3+18*1+(6),,,"J1 B - Butcher Terrace")&amp;":"&amp;ADDRESS(130,3+18*1+(6))),'J1 B - Butcher Terrace'!$A$12:$A$130,"&gt;="&amp;Diagram!$O21,'J1 B - Butcher Terrace'!$A$12:$A$130,"&lt;"&amp;Diagram!$P21),SUMIFS(INDIRECT(ADDRESS(12,3+18*1+(14),,,"J1 B - Butcher Terrace")&amp;":"&amp;ADDRESS(130,3+18*1+(14))),'J1 B - Butcher Terrace'!$A$12:$A$130,"&gt;="&amp;Diagram!$O21,'J1 B - Butcher Terrace'!$A$12:$A$130,"&lt;"&amp;Diagram!$P21)))</f>
        <v>0</v>
      </c>
      <c r="DY21" s="42">
        <f ca="1">IF(OR($I$10="",$O21="",$P21="",$J$41&lt;&gt;"Yes"),0,IF($K$10=0,SUMIFS(INDIRECT(ADDRESS(12,3+18*1+(6),,,"J1 C - (South) Bishopthorpe Roa")&amp;":"&amp;ADDRESS(130,3+18*1+(6))),'J1 C - (South) Bishopthorpe Roa'!$A$12:$A$130,"&gt;="&amp;Diagram!$O21,'J1 C - (South) Bishopthorpe Roa'!$A$12:$A$130,"&lt;"&amp;Diagram!$P21),SUMIFS(INDIRECT(ADDRESS(12,3+18*1+(14),,,"J1 C - (South) Bishopthorpe Roa")&amp;":"&amp;ADDRESS(130,3+18*1+(14))),'J1 C - (South) Bishopthorpe Roa'!$A$12:$A$130,"&gt;="&amp;Diagram!$O21,'J1 C - (South) Bishopthorpe Roa'!$A$12:$A$130,"&lt;"&amp;Diagram!$P21)))</f>
        <v>0</v>
      </c>
      <c r="DZ21" s="42">
        <f ca="1">IF(OR($I$10="",$O21="",$P21="",$J$41&lt;&gt;"Yes"),0,IF($K$10=0,SUMIFS(INDIRECT(ADDRESS(12,3+18*2+(6),,,"J1 C - (South) Bishopthorpe Roa")&amp;":"&amp;ADDRESS(130,3+18*2+(6))),'J1 C - (South) Bishopthorpe Roa'!$A$12:$A$130,"&gt;="&amp;Diagram!$O21,'J1 C - (South) Bishopthorpe Roa'!$A$12:$A$130,"&lt;"&amp;Diagram!$P21),SUMIFS(INDIRECT(ADDRESS(12,3+18*2+(14),,,"J1 C - (South) Bishopthorpe Roa")&amp;":"&amp;ADDRESS(130,3+18*2+(14))),'J1 C - (South) Bishopthorpe Roa'!$A$12:$A$130,"&gt;="&amp;Diagram!$O21,'J1 C - (South) Bishopthorpe Roa'!$A$12:$A$130,"&lt;"&amp;Diagram!$P21)))</f>
        <v>0</v>
      </c>
      <c r="EA21" s="42">
        <f ca="1">IF(OR($I$10="",$O21="",$P21="",$J$41&lt;&gt;"Yes"),0,IF($K$10=0,SUMIFS(INDIRECT(ADDRESS(12,3+18*3+(6),,,"J1 C - (South) Bishopthorpe Roa")&amp;":"&amp;ADDRESS(130,3+18*3+(6))),'J1 C - (South) Bishopthorpe Roa'!$A$12:$A$130,"&gt;="&amp;Diagram!$O21,'J1 C - (South) Bishopthorpe Roa'!$A$12:$A$130,"&lt;"&amp;Diagram!$P21),SUMIFS(INDIRECT(ADDRESS(12,3+18*3+(14),,,"J1 C - (South) Bishopthorpe Roa")&amp;":"&amp;ADDRESS(130,3+18*3+(14))),'J1 C - (South) Bishopthorpe Roa'!$A$12:$A$130,"&gt;="&amp;Diagram!$O21,'J1 C - (South) Bishopthorpe Roa'!$A$12:$A$130,"&lt;"&amp;Diagram!$P21)))</f>
        <v>0</v>
      </c>
      <c r="EB21" s="42">
        <f ca="1">IF(OR($I$10="",$O21="",$P21="",$J$41&lt;&gt;"Yes"),0,IF($K$10=0,SUMIFS(INDIRECT(ADDRESS(12,3+18*0+(6),,,"J1 C - (South) Bishopthorpe Roa")&amp;":"&amp;ADDRESS(130,3+18*0+(6))),'J1 C - (South) Bishopthorpe Roa'!$A$12:$A$130,"&gt;="&amp;Diagram!$O21,'J1 C - (South) Bishopthorpe Roa'!$A$12:$A$130,"&lt;"&amp;Diagram!$P21),SUMIFS(INDIRECT(ADDRESS(12,3+18*0+(14),,,"J1 C - (South) Bishopthorpe Roa")&amp;":"&amp;ADDRESS(130,3+18*0+(14))),'J1 C - (South) Bishopthorpe Roa'!$A$12:$A$130,"&gt;="&amp;Diagram!$O21,'J1 C - (South) Bishopthorpe Roa'!$A$12:$A$130,"&lt;"&amp;Diagram!$P21)))</f>
        <v>0</v>
      </c>
      <c r="EC21" s="42">
        <f ca="1">IF(OR($I$10="",$O21="",$P21="",$J$41&lt;&gt;"Yes"),0,IF($K$10=0,SUMIFS(INDIRECT(ADDRESS(12,3+18*0+(6),,,"J1 D - South Bank Avenue")&amp;":"&amp;ADDRESS(130,3+18*0+(6))),'J1 D - South Bank Avenue'!$A$12:$A$130,"&gt;="&amp;Diagram!$O21,'J1 D - South Bank Avenue'!$A$12:$A$130,"&lt;"&amp;Diagram!$P21),SUMIFS(INDIRECT(ADDRESS(12,3+18*0+(14),,,"J1 D - South Bank Avenue")&amp;":"&amp;ADDRESS(130,3+18*0+(14))),'J1 D - South Bank Avenue'!$A$12:$A$130,"&gt;="&amp;Diagram!$O21,'J1 D - South Bank Avenue'!$A$12:$A$130,"&lt;"&amp;Diagram!$P21)))</f>
        <v>0</v>
      </c>
      <c r="ED21" s="42">
        <f ca="1">IF(OR($I$10="",$O21="",$P21="",$J$41&lt;&gt;"Yes"),0,IF($K$10=0,SUMIFS(INDIRECT(ADDRESS(12,3+18*1+(6),,,"J1 D - South Bank Avenue")&amp;":"&amp;ADDRESS(130,3+18*1+(6))),'J1 D - South Bank Avenue'!$A$12:$A$130,"&gt;="&amp;Diagram!$O21,'J1 D - South Bank Avenue'!$A$12:$A$130,"&lt;"&amp;Diagram!$P21),SUMIFS(INDIRECT(ADDRESS(12,3+18*1+(14),,,"J1 D - South Bank Avenue")&amp;":"&amp;ADDRESS(130,3+18*1+(14))),'J1 D - South Bank Avenue'!$A$12:$A$130,"&gt;="&amp;Diagram!$O21,'J1 D - South Bank Avenue'!$A$12:$A$130,"&lt;"&amp;Diagram!$P21)))</f>
        <v>0</v>
      </c>
      <c r="EE21" s="42">
        <f ca="1">IF(OR($I$10="",$O21="",$P21="",$J$41&lt;&gt;"Yes"),0,IF($K$10=0,SUMIFS(INDIRECT(ADDRESS(12,3+18*2+(6),,,"J1 D - South Bank Avenue")&amp;":"&amp;ADDRESS(130,3+18*2+(6))),'J1 D - South Bank Avenue'!$A$12:$A$130,"&gt;="&amp;Diagram!$O21,'J1 D - South Bank Avenue'!$A$12:$A$130,"&lt;"&amp;Diagram!$P21),SUMIFS(INDIRECT(ADDRESS(12,3+18*2+(14),,,"J1 D - South Bank Avenue")&amp;":"&amp;ADDRESS(130,3+18*2+(14))),'J1 D - South Bank Avenue'!$A$12:$A$130,"&gt;="&amp;Diagram!$O21,'J1 D - South Bank Avenue'!$A$12:$A$130,"&lt;"&amp;Diagram!$P21)))</f>
        <v>0</v>
      </c>
      <c r="EF21" s="42">
        <f ca="1">IF(OR($I$10="",$O21="",$P21="",$J$41&lt;&gt;"Yes"),0,IF($K$10=0,SUMIFS(INDIRECT(ADDRESS(12,3+18*3+(6),,,"J1 D - South Bank Avenue")&amp;":"&amp;ADDRESS(130,3+18*3+(6))),'J1 D - South Bank Avenue'!$A$12:$A$130,"&gt;="&amp;Diagram!$O21,'J1 D - South Bank Avenue'!$A$12:$A$130,"&lt;"&amp;Diagram!$P21),SUMIFS(INDIRECT(ADDRESS(12,3+18*3+(14),,,"J1 D - South Bank Avenue")&amp;":"&amp;ADDRESS(130,3+18*3+(14))),'J1 D - South Bank Avenue'!$A$12:$A$130,"&gt;="&amp;Diagram!$O21,'J1 D - South Bank Avenue'!$A$12:$A$130,"&lt;"&amp;Diagram!$P21)))</f>
        <v>0</v>
      </c>
      <c r="EG21" s="42">
        <f t="shared" ca="1" si="8"/>
        <v>0</v>
      </c>
      <c r="EH21" s="42">
        <f ca="1">IF(OR($I$10="",$O21="",$P21="",$J$42&lt;&gt;"Yes"),0,IF($K$10=0,SUMIFS(INDIRECT(ADDRESS(12,3+18*3+(7),,,"J1 A - (North) Bishopthorpe Roa")&amp;":"&amp;ADDRESS(130,3+18*3+(7))),'J1 A - (North) Bishopthorpe Roa'!$A$12:$A$130,"&gt;="&amp;Diagram!$O21,'J1 A - (North) Bishopthorpe Roa'!$A$12:$A$130,"&lt;"&amp;Diagram!$P21),SUMIFS(INDIRECT(ADDRESS(12,3+18*3+(15),,,"J1 A - (North) Bishopthorpe Roa")&amp;":"&amp;ADDRESS(130,3+18*3+(15))),'J1 A - (North) Bishopthorpe Roa'!$A$12:$A$130,"&gt;="&amp;Diagram!$O21,'J1 A - (North) Bishopthorpe Roa'!$A$12:$A$130,"&lt;"&amp;Diagram!$P21)))</f>
        <v>0</v>
      </c>
      <c r="EI21" s="42">
        <f ca="1">IF(OR($I$10="",$O21="",$P21="",$J$42&lt;&gt;"Yes"),0,IF($K$10=0,SUMIFS(INDIRECT(ADDRESS(12,3+18*0+(7),,,"J1 A - (North) Bishopthorpe Roa")&amp;":"&amp;ADDRESS(130,3+18*0+(7))),'J1 A - (North) Bishopthorpe Roa'!$A$12:$A$130,"&gt;="&amp;Diagram!$O21,'J1 A - (North) Bishopthorpe Roa'!$A$12:$A$130,"&lt;"&amp;Diagram!$P21),SUMIFS(INDIRECT(ADDRESS(12,3+18*0+(15),,,"J1 A - (North) Bishopthorpe Roa")&amp;":"&amp;ADDRESS(130,3+18*0+(15))),'J1 A - (North) Bishopthorpe Roa'!$A$12:$A$130,"&gt;="&amp;Diagram!$O21,'J1 A - (North) Bishopthorpe Roa'!$A$12:$A$130,"&lt;"&amp;Diagram!$P21)))</f>
        <v>0</v>
      </c>
      <c r="EJ21" s="42">
        <f ca="1">IF(OR($I$10="",$O21="",$P21="",$J$42&lt;&gt;"Yes"),0,IF($K$10=0,SUMIFS(INDIRECT(ADDRESS(12,3+18*1+(7),,,"J1 A - (North) Bishopthorpe Roa")&amp;":"&amp;ADDRESS(130,3+18*1+(7))),'J1 A - (North) Bishopthorpe Roa'!$A$12:$A$130,"&gt;="&amp;Diagram!$O21,'J1 A - (North) Bishopthorpe Roa'!$A$12:$A$130,"&lt;"&amp;Diagram!$P21),SUMIFS(INDIRECT(ADDRESS(12,3+18*1+(15),,,"J1 A - (North) Bishopthorpe Roa")&amp;":"&amp;ADDRESS(130,3+18*1+(15))),'J1 A - (North) Bishopthorpe Roa'!$A$12:$A$130,"&gt;="&amp;Diagram!$O21,'J1 A - (North) Bishopthorpe Roa'!$A$12:$A$130,"&lt;"&amp;Diagram!$P21)))</f>
        <v>0</v>
      </c>
      <c r="EK21" s="42">
        <f ca="1">IF(OR($I$10="",$O21="",$P21="",$J$42&lt;&gt;"Yes"),0,IF($K$10=0,SUMIFS(INDIRECT(ADDRESS(12,3+18*2+(7),,,"J1 A - (North) Bishopthorpe Roa")&amp;":"&amp;ADDRESS(130,3+18*2+(7))),'J1 A - (North) Bishopthorpe Roa'!$A$12:$A$130,"&gt;="&amp;Diagram!$O21,'J1 A - (North) Bishopthorpe Roa'!$A$12:$A$130,"&lt;"&amp;Diagram!$P21),SUMIFS(INDIRECT(ADDRESS(12,3+18*2+(15),,,"J1 A - (North) Bishopthorpe Roa")&amp;":"&amp;ADDRESS(130,3+18*2+(15))),'J1 A - (North) Bishopthorpe Roa'!$A$12:$A$130,"&gt;="&amp;Diagram!$O21,'J1 A - (North) Bishopthorpe Roa'!$A$12:$A$130,"&lt;"&amp;Diagram!$P21)))</f>
        <v>0</v>
      </c>
      <c r="EL21" s="42">
        <f ca="1">IF(OR($I$10="",$O21="",$P21="",$J$42&lt;&gt;"Yes"),0,IF($K$10=0,SUMIFS(INDIRECT(ADDRESS(12,3+18*2+(7),,,"J1 B - Butcher Terrace")&amp;":"&amp;ADDRESS(130,3+18*2+(7))),'J1 B - Butcher Terrace'!$A$12:$A$130,"&gt;="&amp;Diagram!$O21,'J1 B - Butcher Terrace'!$A$12:$A$130,"&lt;"&amp;Diagram!$P21),SUMIFS(INDIRECT(ADDRESS(12,3+18*2+(15),,,"J1 B - Butcher Terrace")&amp;":"&amp;ADDRESS(130,3+18*2+(15))),'J1 B - Butcher Terrace'!$A$12:$A$130,"&gt;="&amp;Diagram!$O21,'J1 B - Butcher Terrace'!$A$12:$A$130,"&lt;"&amp;Diagram!$P21)))</f>
        <v>0</v>
      </c>
      <c r="EM21" s="42">
        <f ca="1">IF(OR($I$10="",$O21="",$P21="",$J$42&lt;&gt;"Yes"),0,IF($K$10=0,SUMIFS(INDIRECT(ADDRESS(12,3+18*3+(7),,,"J1 B - Butcher Terrace")&amp;":"&amp;ADDRESS(130,3+18*3+(7))),'J1 B - Butcher Terrace'!$A$12:$A$130,"&gt;="&amp;Diagram!$O21,'J1 B - Butcher Terrace'!$A$12:$A$130,"&lt;"&amp;Diagram!$P21),SUMIFS(INDIRECT(ADDRESS(12,3+18*3+(15),,,"J1 B - Butcher Terrace")&amp;":"&amp;ADDRESS(130,3+18*3+(15))),'J1 B - Butcher Terrace'!$A$12:$A$130,"&gt;="&amp;Diagram!$O21,'J1 B - Butcher Terrace'!$A$12:$A$130,"&lt;"&amp;Diagram!$P21)))</f>
        <v>0</v>
      </c>
      <c r="EN21" s="42">
        <f ca="1">IF(OR($I$10="",$O21="",$P21="",$J$42&lt;&gt;"Yes"),0,IF($K$10=0,SUMIFS(INDIRECT(ADDRESS(12,3+18*0+(7),,,"J1 B - Butcher Terrace")&amp;":"&amp;ADDRESS(130,3+18*0+(7))),'J1 B - Butcher Terrace'!$A$12:$A$130,"&gt;="&amp;Diagram!$O21,'J1 B - Butcher Terrace'!$A$12:$A$130,"&lt;"&amp;Diagram!$P21),SUMIFS(INDIRECT(ADDRESS(12,3+18*0+(15),,,"J1 B - Butcher Terrace")&amp;":"&amp;ADDRESS(130,3+18*0+(15))),'J1 B - Butcher Terrace'!$A$12:$A$130,"&gt;="&amp;Diagram!$O21,'J1 B - Butcher Terrace'!$A$12:$A$130,"&lt;"&amp;Diagram!$P21)))</f>
        <v>0</v>
      </c>
      <c r="EO21" s="42">
        <f ca="1">IF(OR($I$10="",$O21="",$P21="",$J$42&lt;&gt;"Yes"),0,IF($K$10=0,SUMIFS(INDIRECT(ADDRESS(12,3+18*1+(7),,,"J1 B - Butcher Terrace")&amp;":"&amp;ADDRESS(130,3+18*1+(7))),'J1 B - Butcher Terrace'!$A$12:$A$130,"&gt;="&amp;Diagram!$O21,'J1 B - Butcher Terrace'!$A$12:$A$130,"&lt;"&amp;Diagram!$P21),SUMIFS(INDIRECT(ADDRESS(12,3+18*1+(15),,,"J1 B - Butcher Terrace")&amp;":"&amp;ADDRESS(130,3+18*1+(15))),'J1 B - Butcher Terrace'!$A$12:$A$130,"&gt;="&amp;Diagram!$O21,'J1 B - Butcher Terrace'!$A$12:$A$130,"&lt;"&amp;Diagram!$P21)))</f>
        <v>0</v>
      </c>
      <c r="EP21" s="42">
        <f ca="1">IF(OR($I$10="",$O21="",$P21="",$J$42&lt;&gt;"Yes"),0,IF($K$10=0,SUMIFS(INDIRECT(ADDRESS(12,3+18*1+(7),,,"J1 C - (South) Bishopthorpe Roa")&amp;":"&amp;ADDRESS(130,3+18*1+(7))),'J1 C - (South) Bishopthorpe Roa'!$A$12:$A$130,"&gt;="&amp;Diagram!$O21,'J1 C - (South) Bishopthorpe Roa'!$A$12:$A$130,"&lt;"&amp;Diagram!$P21),SUMIFS(INDIRECT(ADDRESS(12,3+18*1+(15),,,"J1 C - (South) Bishopthorpe Roa")&amp;":"&amp;ADDRESS(130,3+18*1+(15))),'J1 C - (South) Bishopthorpe Roa'!$A$12:$A$130,"&gt;="&amp;Diagram!$O21,'J1 C - (South) Bishopthorpe Roa'!$A$12:$A$130,"&lt;"&amp;Diagram!$P21)))</f>
        <v>0</v>
      </c>
      <c r="EQ21" s="42">
        <f ca="1">IF(OR($I$10="",$O21="",$P21="",$J$42&lt;&gt;"Yes"),0,IF($K$10=0,SUMIFS(INDIRECT(ADDRESS(12,3+18*2+(7),,,"J1 C - (South) Bishopthorpe Roa")&amp;":"&amp;ADDRESS(130,3+18*2+(7))),'J1 C - (South) Bishopthorpe Roa'!$A$12:$A$130,"&gt;="&amp;Diagram!$O21,'J1 C - (South) Bishopthorpe Roa'!$A$12:$A$130,"&lt;"&amp;Diagram!$P21),SUMIFS(INDIRECT(ADDRESS(12,3+18*2+(15),,,"J1 C - (South) Bishopthorpe Roa")&amp;":"&amp;ADDRESS(130,3+18*2+(15))),'J1 C - (South) Bishopthorpe Roa'!$A$12:$A$130,"&gt;="&amp;Diagram!$O21,'J1 C - (South) Bishopthorpe Roa'!$A$12:$A$130,"&lt;"&amp;Diagram!$P21)))</f>
        <v>0</v>
      </c>
      <c r="ER21" s="42">
        <f ca="1">IF(OR($I$10="",$O21="",$P21="",$J$42&lt;&gt;"Yes"),0,IF($K$10=0,SUMIFS(INDIRECT(ADDRESS(12,3+18*3+(7),,,"J1 C - (South) Bishopthorpe Roa")&amp;":"&amp;ADDRESS(130,3+18*3+(7))),'J1 C - (South) Bishopthorpe Roa'!$A$12:$A$130,"&gt;="&amp;Diagram!$O21,'J1 C - (South) Bishopthorpe Roa'!$A$12:$A$130,"&lt;"&amp;Diagram!$P21),SUMIFS(INDIRECT(ADDRESS(12,3+18*3+(15),,,"J1 C - (South) Bishopthorpe Roa")&amp;":"&amp;ADDRESS(130,3+18*3+(15))),'J1 C - (South) Bishopthorpe Roa'!$A$12:$A$130,"&gt;="&amp;Diagram!$O21,'J1 C - (South) Bishopthorpe Roa'!$A$12:$A$130,"&lt;"&amp;Diagram!$P21)))</f>
        <v>0</v>
      </c>
      <c r="ES21" s="42">
        <f ca="1">IF(OR($I$10="",$O21="",$P21="",$J$42&lt;&gt;"Yes"),0,IF($K$10=0,SUMIFS(INDIRECT(ADDRESS(12,3+18*0+(7),,,"J1 C - (South) Bishopthorpe Roa")&amp;":"&amp;ADDRESS(130,3+18*0+(7))),'J1 C - (South) Bishopthorpe Roa'!$A$12:$A$130,"&gt;="&amp;Diagram!$O21,'J1 C - (South) Bishopthorpe Roa'!$A$12:$A$130,"&lt;"&amp;Diagram!$P21),SUMIFS(INDIRECT(ADDRESS(12,3+18*0+(15),,,"J1 C - (South) Bishopthorpe Roa")&amp;":"&amp;ADDRESS(130,3+18*0+(15))),'J1 C - (South) Bishopthorpe Roa'!$A$12:$A$130,"&gt;="&amp;Diagram!$O21,'J1 C - (South) Bishopthorpe Roa'!$A$12:$A$130,"&lt;"&amp;Diagram!$P21)))</f>
        <v>0</v>
      </c>
      <c r="ET21" s="42">
        <f ca="1">IF(OR($I$10="",$O21="",$P21="",$J$42&lt;&gt;"Yes"),0,IF($K$10=0,SUMIFS(INDIRECT(ADDRESS(12,3+18*0+(7),,,"J1 D - South Bank Avenue")&amp;":"&amp;ADDRESS(130,3+18*0+(7))),'J1 D - South Bank Avenue'!$A$12:$A$130,"&gt;="&amp;Diagram!$O21,'J1 D - South Bank Avenue'!$A$12:$A$130,"&lt;"&amp;Diagram!$P21),SUMIFS(INDIRECT(ADDRESS(12,3+18*0+(15),,,"J1 D - South Bank Avenue")&amp;":"&amp;ADDRESS(130,3+18*0+(15))),'J1 D - South Bank Avenue'!$A$12:$A$130,"&gt;="&amp;Diagram!$O21,'J1 D - South Bank Avenue'!$A$12:$A$130,"&lt;"&amp;Diagram!$P21)))</f>
        <v>0</v>
      </c>
      <c r="EU21" s="42">
        <f ca="1">IF(OR($I$10="",$O21="",$P21="",$J$42&lt;&gt;"Yes"),0,IF($K$10=0,SUMIFS(INDIRECT(ADDRESS(12,3+18*1+(7),,,"J1 D - South Bank Avenue")&amp;":"&amp;ADDRESS(130,3+18*1+(7))),'J1 D - South Bank Avenue'!$A$12:$A$130,"&gt;="&amp;Diagram!$O21,'J1 D - South Bank Avenue'!$A$12:$A$130,"&lt;"&amp;Diagram!$P21),SUMIFS(INDIRECT(ADDRESS(12,3+18*1+(15),,,"J1 D - South Bank Avenue")&amp;":"&amp;ADDRESS(130,3+18*1+(15))),'J1 D - South Bank Avenue'!$A$12:$A$130,"&gt;="&amp;Diagram!$O21,'J1 D - South Bank Avenue'!$A$12:$A$130,"&lt;"&amp;Diagram!$P21)))</f>
        <v>0</v>
      </c>
      <c r="EV21" s="42">
        <f ca="1">IF(OR($I$10="",$O21="",$P21="",$J$42&lt;&gt;"Yes"),0,IF($K$10=0,SUMIFS(INDIRECT(ADDRESS(12,3+18*2+(7),,,"J1 D - South Bank Avenue")&amp;":"&amp;ADDRESS(130,3+18*2+(7))),'J1 D - South Bank Avenue'!$A$12:$A$130,"&gt;="&amp;Diagram!$O21,'J1 D - South Bank Avenue'!$A$12:$A$130,"&lt;"&amp;Diagram!$P21),SUMIFS(INDIRECT(ADDRESS(12,3+18*2+(15),,,"J1 D - South Bank Avenue")&amp;":"&amp;ADDRESS(130,3+18*2+(15))),'J1 D - South Bank Avenue'!$A$12:$A$130,"&gt;="&amp;Diagram!$O21,'J1 D - South Bank Avenue'!$A$12:$A$130,"&lt;"&amp;Diagram!$P21)))</f>
        <v>0</v>
      </c>
      <c r="EW21" s="42">
        <f ca="1">IF(OR($I$10="",$O21="",$P21="",$J$42&lt;&gt;"Yes"),0,IF($K$10=0,SUMIFS(INDIRECT(ADDRESS(12,3+18*3+(7),,,"J1 D - South Bank Avenue")&amp;":"&amp;ADDRESS(130,3+18*3+(7))),'J1 D - South Bank Avenue'!$A$12:$A$130,"&gt;="&amp;Diagram!$O21,'J1 D - South Bank Avenue'!$A$12:$A$130,"&lt;"&amp;Diagram!$P21),SUMIFS(INDIRECT(ADDRESS(12,3+18*3+(15),,,"J1 D - South Bank Avenue")&amp;":"&amp;ADDRESS(130,3+18*3+(15))),'J1 D - South Bank Avenue'!$A$12:$A$130,"&gt;="&amp;Diagram!$O21,'J1 D - South Bank Avenue'!$A$12:$A$130,"&lt;"&amp;Diagram!$P21)))</f>
        <v>0</v>
      </c>
    </row>
    <row r="22" spans="1:153" ht="21" customHeight="1">
      <c r="A22" s="1">
        <v>44395.21875</v>
      </c>
      <c r="B22" s="1">
        <v>44395.229166666701</v>
      </c>
      <c r="G22" s="110" t="s">
        <v>163</v>
      </c>
      <c r="H22" s="10" t="s">
        <v>157</v>
      </c>
      <c r="I22" s="20">
        <f ca="1">SUM($R$99,$Z$99,$AH$99,$AP$99,$AX$99,$BF$99,$BN$99,$BV$99)</f>
        <v>25</v>
      </c>
      <c r="J22" s="21">
        <f ca="1">SUM($S$99,$AA$99,$AI$99,$AQ$99,$AY$99,$BG$99,$BO$99,$BW$99)</f>
        <v>483</v>
      </c>
      <c r="K22" s="21">
        <f ca="1">SUM($T$99,$AB$99,$AJ$99,$AR$99,$AZ$99,$BH$99,$BP$99,$BX$99)</f>
        <v>3659</v>
      </c>
      <c r="L22" s="21">
        <f ca="1">SUM($U$99,$AC$99,$AK$99,$AS$99,$BA$99,$BI$99,$BQ$99,$BY$99)</f>
        <v>451</v>
      </c>
      <c r="M22" s="22">
        <f ca="1">SUM($I$22:$L$22)</f>
        <v>4618</v>
      </c>
      <c r="N22" s="23">
        <f ca="1">IF($M$28=0,0,$M$22/$M$28)</f>
        <v>1</v>
      </c>
      <c r="O22" s="3">
        <v>44395.21875</v>
      </c>
      <c r="P22" s="3">
        <v>44395.260416666701</v>
      </c>
      <c r="Q22" s="42">
        <f t="shared" ca="1" si="0"/>
        <v>61</v>
      </c>
      <c r="R22" s="42">
        <f t="shared" ca="1" si="1"/>
        <v>45</v>
      </c>
      <c r="S22" s="42">
        <f ca="1">IF(OR($I$10="",$O22="",$P22="",$J$35&lt;&gt;"Yes"),0,IF($K$10=0,SUMIFS(INDIRECT(ADDRESS(12,3+18*3+(0),,,"J1 A - (North) Bishopthorpe Roa")&amp;":"&amp;ADDRESS(130,3+18*3+(0))),'J1 A - (North) Bishopthorpe Roa'!$A$12:$A$130,"&gt;="&amp;Diagram!$O22,'J1 A - (North) Bishopthorpe Roa'!$A$12:$A$130,"&lt;"&amp;Diagram!$P22),SUMIFS(INDIRECT(ADDRESS(12,3+18*3+(8),,,"J1 A - (North) Bishopthorpe Roa")&amp;":"&amp;ADDRESS(130,3+18*3+(8))),'J1 A - (North) Bishopthorpe Roa'!$A$12:$A$130,"&gt;="&amp;Diagram!$O22,'J1 A - (North) Bishopthorpe Roa'!$A$12:$A$130,"&lt;"&amp;Diagram!$P22)))</f>
        <v>1</v>
      </c>
      <c r="T22" s="42">
        <f ca="1">IF(OR($I$10="",$O22="",$P22="",$J$35&lt;&gt;"Yes"),0,IF($K$10=0,SUMIFS(INDIRECT(ADDRESS(12,3+18*0+(0),,,"J1 A - (North) Bishopthorpe Roa")&amp;":"&amp;ADDRESS(130,3+18*0+(0))),'J1 A - (North) Bishopthorpe Roa'!$A$12:$A$130,"&gt;="&amp;Diagram!$O22,'J1 A - (North) Bishopthorpe Roa'!$A$12:$A$130,"&lt;"&amp;Diagram!$P22),SUMIFS(INDIRECT(ADDRESS(12,3+18*0+(8),,,"J1 A - (North) Bishopthorpe Roa")&amp;":"&amp;ADDRESS(130,3+18*0+(8))),'J1 A - (North) Bishopthorpe Roa'!$A$12:$A$130,"&gt;="&amp;Diagram!$O22,'J1 A - (North) Bishopthorpe Roa'!$A$12:$A$130,"&lt;"&amp;Diagram!$P22)))</f>
        <v>0</v>
      </c>
      <c r="U22" s="42">
        <f ca="1">IF(OR($I$10="",$O22="",$P22="",$J$35&lt;&gt;"Yes"),0,IF($K$10=0,SUMIFS(INDIRECT(ADDRESS(12,3+18*1+(0),,,"J1 A - (North) Bishopthorpe Roa")&amp;":"&amp;ADDRESS(130,3+18*1+(0))),'J1 A - (North) Bishopthorpe Roa'!$A$12:$A$130,"&gt;="&amp;Diagram!$O22,'J1 A - (North) Bishopthorpe Roa'!$A$12:$A$130,"&lt;"&amp;Diagram!$P22),SUMIFS(INDIRECT(ADDRESS(12,3+18*1+(8),,,"J1 A - (North) Bishopthorpe Roa")&amp;":"&amp;ADDRESS(130,3+18*1+(8))),'J1 A - (North) Bishopthorpe Roa'!$A$12:$A$130,"&gt;="&amp;Diagram!$O22,'J1 A - (North) Bishopthorpe Roa'!$A$12:$A$130,"&lt;"&amp;Diagram!$P22)))</f>
        <v>9</v>
      </c>
      <c r="V22" s="42">
        <f ca="1">IF(OR($I$10="",$O22="",$P22="",$J$35&lt;&gt;"Yes"),0,IF($K$10=0,SUMIFS(INDIRECT(ADDRESS(12,3+18*2+(0),,,"J1 A - (North) Bishopthorpe Roa")&amp;":"&amp;ADDRESS(130,3+18*2+(0))),'J1 A - (North) Bishopthorpe Roa'!$A$12:$A$130,"&gt;="&amp;Diagram!$O22,'J1 A - (North) Bishopthorpe Roa'!$A$12:$A$130,"&lt;"&amp;Diagram!$P22),SUMIFS(INDIRECT(ADDRESS(12,3+18*2+(8),,,"J1 A - (North) Bishopthorpe Roa")&amp;":"&amp;ADDRESS(130,3+18*2+(8))),'J1 A - (North) Bishopthorpe Roa'!$A$12:$A$130,"&gt;="&amp;Diagram!$O22,'J1 A - (North) Bishopthorpe Roa'!$A$12:$A$130,"&lt;"&amp;Diagram!$P22)))</f>
        <v>0</v>
      </c>
      <c r="W22" s="42">
        <f ca="1">IF(OR($I$10="",$O22="",$P22="",$J$35&lt;&gt;"Yes"),0,IF($K$10=0,SUMIFS(INDIRECT(ADDRESS(12,3+18*2+(0),,,"J1 B - Butcher Terrace")&amp;":"&amp;ADDRESS(130,3+18*2+(0))),'J1 B - Butcher Terrace'!$A$12:$A$130,"&gt;="&amp;Diagram!$O22,'J1 B - Butcher Terrace'!$A$12:$A$130,"&lt;"&amp;Diagram!$P22),SUMIFS(INDIRECT(ADDRESS(12,3+18*2+(8),,,"J1 B - Butcher Terrace")&amp;":"&amp;ADDRESS(130,3+18*2+(8))),'J1 B - Butcher Terrace'!$A$12:$A$130,"&gt;="&amp;Diagram!$O22,'J1 B - Butcher Terrace'!$A$12:$A$130,"&lt;"&amp;Diagram!$P22)))</f>
        <v>2</v>
      </c>
      <c r="X22" s="42">
        <f ca="1">IF(OR($I$10="",$O22="",$P22="",$J$35&lt;&gt;"Yes"),0,IF($K$10=0,SUMIFS(INDIRECT(ADDRESS(12,3+18*3+(0),,,"J1 B - Butcher Terrace")&amp;":"&amp;ADDRESS(130,3+18*3+(0))),'J1 B - Butcher Terrace'!$A$12:$A$130,"&gt;="&amp;Diagram!$O22,'J1 B - Butcher Terrace'!$A$12:$A$130,"&lt;"&amp;Diagram!$P22),SUMIFS(INDIRECT(ADDRESS(12,3+18*3+(8),,,"J1 B - Butcher Terrace")&amp;":"&amp;ADDRESS(130,3+18*3+(8))),'J1 B - Butcher Terrace'!$A$12:$A$130,"&gt;="&amp;Diagram!$O22,'J1 B - Butcher Terrace'!$A$12:$A$130,"&lt;"&amp;Diagram!$P22)))</f>
        <v>0</v>
      </c>
      <c r="Y22" s="42">
        <f ca="1">IF(OR($I$10="",$O22="",$P22="",$J$35&lt;&gt;"Yes"),0,IF($K$10=0,SUMIFS(INDIRECT(ADDRESS(12,3+18*0+(0),,,"J1 B - Butcher Terrace")&amp;":"&amp;ADDRESS(130,3+18*0+(0))),'J1 B - Butcher Terrace'!$A$12:$A$130,"&gt;="&amp;Diagram!$O22,'J1 B - Butcher Terrace'!$A$12:$A$130,"&lt;"&amp;Diagram!$P22),SUMIFS(INDIRECT(ADDRESS(12,3+18*0+(8),,,"J1 B - Butcher Terrace")&amp;":"&amp;ADDRESS(130,3+18*0+(8))),'J1 B - Butcher Terrace'!$A$12:$A$130,"&gt;="&amp;Diagram!$O22,'J1 B - Butcher Terrace'!$A$12:$A$130,"&lt;"&amp;Diagram!$P22)))</f>
        <v>1</v>
      </c>
      <c r="Z22" s="42">
        <f ca="1">IF(OR($I$10="",$O22="",$P22="",$J$35&lt;&gt;"Yes"),0,IF($K$10=0,SUMIFS(INDIRECT(ADDRESS(12,3+18*1+(0),,,"J1 B - Butcher Terrace")&amp;":"&amp;ADDRESS(130,3+18*1+(0))),'J1 B - Butcher Terrace'!$A$12:$A$130,"&gt;="&amp;Diagram!$O22,'J1 B - Butcher Terrace'!$A$12:$A$130,"&lt;"&amp;Diagram!$P22),SUMIFS(INDIRECT(ADDRESS(12,3+18*1+(8),,,"J1 B - Butcher Terrace")&amp;":"&amp;ADDRESS(130,3+18*1+(8))),'J1 B - Butcher Terrace'!$A$12:$A$130,"&gt;="&amp;Diagram!$O22,'J1 B - Butcher Terrace'!$A$12:$A$130,"&lt;"&amp;Diagram!$P22)))</f>
        <v>0</v>
      </c>
      <c r="AA22" s="42">
        <f ca="1">IF(OR($I$10="",$O22="",$P22="",$J$35&lt;&gt;"Yes"),0,IF($K$10=0,SUMIFS(INDIRECT(ADDRESS(12,3+18*1+(0),,,"J1 C - (South) Bishopthorpe Roa")&amp;":"&amp;ADDRESS(130,3+18*1+(0))),'J1 C - (South) Bishopthorpe Roa'!$A$12:$A$130,"&gt;="&amp;Diagram!$O22,'J1 C - (South) Bishopthorpe Roa'!$A$12:$A$130,"&lt;"&amp;Diagram!$P22),SUMIFS(INDIRECT(ADDRESS(12,3+18*1+(8),,,"J1 C - (South) Bishopthorpe Roa")&amp;":"&amp;ADDRESS(130,3+18*1+(8))),'J1 C - (South) Bishopthorpe Roa'!$A$12:$A$130,"&gt;="&amp;Diagram!$O22,'J1 C - (South) Bishopthorpe Roa'!$A$12:$A$130,"&lt;"&amp;Diagram!$P22)))</f>
        <v>24</v>
      </c>
      <c r="AB22" s="42">
        <f ca="1">IF(OR($I$10="",$O22="",$P22="",$J$35&lt;&gt;"Yes"),0,IF($K$10=0,SUMIFS(INDIRECT(ADDRESS(12,3+18*2+(0),,,"J1 C - (South) Bishopthorpe Roa")&amp;":"&amp;ADDRESS(130,3+18*2+(0))),'J1 C - (South) Bishopthorpe Roa'!$A$12:$A$130,"&gt;="&amp;Diagram!$O22,'J1 C - (South) Bishopthorpe Roa'!$A$12:$A$130,"&lt;"&amp;Diagram!$P22),SUMIFS(INDIRECT(ADDRESS(12,3+18*2+(8),,,"J1 C - (South) Bishopthorpe Roa")&amp;":"&amp;ADDRESS(130,3+18*2+(8))),'J1 C - (South) Bishopthorpe Roa'!$A$12:$A$130,"&gt;="&amp;Diagram!$O22,'J1 C - (South) Bishopthorpe Roa'!$A$12:$A$130,"&lt;"&amp;Diagram!$P22)))</f>
        <v>0</v>
      </c>
      <c r="AC22" s="42">
        <f ca="1">IF(OR($I$10="",$O22="",$P22="",$J$35&lt;&gt;"Yes"),0,IF($K$10=0,SUMIFS(INDIRECT(ADDRESS(12,3+18*3+(0),,,"J1 C - (South) Bishopthorpe Roa")&amp;":"&amp;ADDRESS(130,3+18*3+(0))),'J1 C - (South) Bishopthorpe Roa'!$A$12:$A$130,"&gt;="&amp;Diagram!$O22,'J1 C - (South) Bishopthorpe Roa'!$A$12:$A$130,"&lt;"&amp;Diagram!$P22),SUMIFS(INDIRECT(ADDRESS(12,3+18*3+(8),,,"J1 C - (South) Bishopthorpe Roa")&amp;":"&amp;ADDRESS(130,3+18*3+(8))),'J1 C - (South) Bishopthorpe Roa'!$A$12:$A$130,"&gt;="&amp;Diagram!$O22,'J1 C - (South) Bishopthorpe Roa'!$A$12:$A$130,"&lt;"&amp;Diagram!$P22)))</f>
        <v>0</v>
      </c>
      <c r="AD22" s="42">
        <f ca="1">IF(OR($I$10="",$O22="",$P22="",$J$35&lt;&gt;"Yes"),0,IF($K$10=0,SUMIFS(INDIRECT(ADDRESS(12,3+18*0+(0),,,"J1 C - (South) Bishopthorpe Roa")&amp;":"&amp;ADDRESS(130,3+18*0+(0))),'J1 C - (South) Bishopthorpe Roa'!$A$12:$A$130,"&gt;="&amp;Diagram!$O22,'J1 C - (South) Bishopthorpe Roa'!$A$12:$A$130,"&lt;"&amp;Diagram!$P22),SUMIFS(INDIRECT(ADDRESS(12,3+18*0+(8),,,"J1 C - (South) Bishopthorpe Roa")&amp;":"&amp;ADDRESS(130,3+18*0+(8))),'J1 C - (South) Bishopthorpe Roa'!$A$12:$A$130,"&gt;="&amp;Diagram!$O22,'J1 C - (South) Bishopthorpe Roa'!$A$12:$A$130,"&lt;"&amp;Diagram!$P22)))</f>
        <v>0</v>
      </c>
      <c r="AE22" s="42">
        <f ca="1">IF(OR($I$10="",$O22="",$P22="",$J$35&lt;&gt;"Yes"),0,IF($K$10=0,SUMIFS(INDIRECT(ADDRESS(12,3+18*0+(0),,,"J1 D - South Bank Avenue")&amp;":"&amp;ADDRESS(130,3+18*0+(0))),'J1 D - South Bank Avenue'!$A$12:$A$130,"&gt;="&amp;Diagram!$O22,'J1 D - South Bank Avenue'!$A$12:$A$130,"&lt;"&amp;Diagram!$P22),SUMIFS(INDIRECT(ADDRESS(12,3+18*0+(8),,,"J1 D - South Bank Avenue")&amp;":"&amp;ADDRESS(130,3+18*0+(8))),'J1 D - South Bank Avenue'!$A$12:$A$130,"&gt;="&amp;Diagram!$O22,'J1 D - South Bank Avenue'!$A$12:$A$130,"&lt;"&amp;Diagram!$P22)))</f>
        <v>8</v>
      </c>
      <c r="AF22" s="42">
        <f ca="1">IF(OR($I$10="",$O22="",$P22="",$J$35&lt;&gt;"Yes"),0,IF($K$10=0,SUMIFS(INDIRECT(ADDRESS(12,3+18*1+(0),,,"J1 D - South Bank Avenue")&amp;":"&amp;ADDRESS(130,3+18*1+(0))),'J1 D - South Bank Avenue'!$A$12:$A$130,"&gt;="&amp;Diagram!$O22,'J1 D - South Bank Avenue'!$A$12:$A$130,"&lt;"&amp;Diagram!$P22),SUMIFS(INDIRECT(ADDRESS(12,3+18*1+(8),,,"J1 D - South Bank Avenue")&amp;":"&amp;ADDRESS(130,3+18*1+(8))),'J1 D - South Bank Avenue'!$A$12:$A$130,"&gt;="&amp;Diagram!$O22,'J1 D - South Bank Avenue'!$A$12:$A$130,"&lt;"&amp;Diagram!$P22)))</f>
        <v>0</v>
      </c>
      <c r="AG22" s="42">
        <f ca="1">IF(OR($I$10="",$O22="",$P22="",$J$35&lt;&gt;"Yes"),0,IF($K$10=0,SUMIFS(INDIRECT(ADDRESS(12,3+18*2+(0),,,"J1 D - South Bank Avenue")&amp;":"&amp;ADDRESS(130,3+18*2+(0))),'J1 D - South Bank Avenue'!$A$12:$A$130,"&gt;="&amp;Diagram!$O22,'J1 D - South Bank Avenue'!$A$12:$A$130,"&lt;"&amp;Diagram!$P22),SUMIFS(INDIRECT(ADDRESS(12,3+18*2+(8),,,"J1 D - South Bank Avenue")&amp;":"&amp;ADDRESS(130,3+18*2+(8))),'J1 D - South Bank Avenue'!$A$12:$A$130,"&gt;="&amp;Diagram!$O22,'J1 D - South Bank Avenue'!$A$12:$A$130,"&lt;"&amp;Diagram!$P22)))</f>
        <v>0</v>
      </c>
      <c r="AH22" s="42">
        <f ca="1">IF(OR($I$10="",$O22="",$P22="",$J$35&lt;&gt;"Yes"),0,IF($K$10=0,SUMIFS(INDIRECT(ADDRESS(12,3+18*3+(0),,,"J1 D - South Bank Avenue")&amp;":"&amp;ADDRESS(130,3+18*3+(0))),'J1 D - South Bank Avenue'!$A$12:$A$130,"&gt;="&amp;Diagram!$O22,'J1 D - South Bank Avenue'!$A$12:$A$130,"&lt;"&amp;Diagram!$P22),SUMIFS(INDIRECT(ADDRESS(12,3+18*3+(8),,,"J1 D - South Bank Avenue")&amp;":"&amp;ADDRESS(130,3+18*3+(8))),'J1 D - South Bank Avenue'!$A$12:$A$130,"&gt;="&amp;Diagram!$O22,'J1 D - South Bank Avenue'!$A$12:$A$130,"&lt;"&amp;Diagram!$P22)))</f>
        <v>0</v>
      </c>
      <c r="AI22" s="42">
        <f t="shared" ca="1" si="2"/>
        <v>3</v>
      </c>
      <c r="AJ22" s="42">
        <f ca="1">IF(OR($I$10="",$O22="",$P22="",$J$36&lt;&gt;"Yes"),0,IF($K$10=0,SUMIFS(INDIRECT(ADDRESS(12,3+18*3+(1),,,"J1 A - (North) Bishopthorpe Roa")&amp;":"&amp;ADDRESS(130,3+18*3+(1))),'J1 A - (North) Bishopthorpe Roa'!$A$12:$A$130,"&gt;="&amp;Diagram!$O22,'J1 A - (North) Bishopthorpe Roa'!$A$12:$A$130,"&lt;"&amp;Diagram!$P22),SUMIFS(INDIRECT(ADDRESS(12,3+18*3+(9),,,"J1 A - (North) Bishopthorpe Roa")&amp;":"&amp;ADDRESS(130,3+18*3+(9))),'J1 A - (North) Bishopthorpe Roa'!$A$12:$A$130,"&gt;="&amp;Diagram!$O22,'J1 A - (North) Bishopthorpe Roa'!$A$12:$A$130,"&lt;"&amp;Diagram!$P22)))</f>
        <v>0</v>
      </c>
      <c r="AK22" s="42">
        <f ca="1">IF(OR($I$10="",$O22="",$P22="",$J$36&lt;&gt;"Yes"),0,IF($K$10=0,SUMIFS(INDIRECT(ADDRESS(12,3+18*0+(1),,,"J1 A - (North) Bishopthorpe Roa")&amp;":"&amp;ADDRESS(130,3+18*0+(1))),'J1 A - (North) Bishopthorpe Roa'!$A$12:$A$130,"&gt;="&amp;Diagram!$O22,'J1 A - (North) Bishopthorpe Roa'!$A$12:$A$130,"&lt;"&amp;Diagram!$P22),SUMIFS(INDIRECT(ADDRESS(12,3+18*0+(9),,,"J1 A - (North) Bishopthorpe Roa")&amp;":"&amp;ADDRESS(130,3+18*0+(9))),'J1 A - (North) Bishopthorpe Roa'!$A$12:$A$130,"&gt;="&amp;Diagram!$O22,'J1 A - (North) Bishopthorpe Roa'!$A$12:$A$130,"&lt;"&amp;Diagram!$P22)))</f>
        <v>0</v>
      </c>
      <c r="AL22" s="42">
        <f ca="1">IF(OR($I$10="",$O22="",$P22="",$J$36&lt;&gt;"Yes"),0,IF($K$10=0,SUMIFS(INDIRECT(ADDRESS(12,3+18*1+(1),,,"J1 A - (North) Bishopthorpe Roa")&amp;":"&amp;ADDRESS(130,3+18*1+(1))),'J1 A - (North) Bishopthorpe Roa'!$A$12:$A$130,"&gt;="&amp;Diagram!$O22,'J1 A - (North) Bishopthorpe Roa'!$A$12:$A$130,"&lt;"&amp;Diagram!$P22),SUMIFS(INDIRECT(ADDRESS(12,3+18*1+(9),,,"J1 A - (North) Bishopthorpe Roa")&amp;":"&amp;ADDRESS(130,3+18*1+(9))),'J1 A - (North) Bishopthorpe Roa'!$A$12:$A$130,"&gt;="&amp;Diagram!$O22,'J1 A - (North) Bishopthorpe Roa'!$A$12:$A$130,"&lt;"&amp;Diagram!$P22)))</f>
        <v>2</v>
      </c>
      <c r="AM22" s="42">
        <f ca="1">IF(OR($I$10="",$O22="",$P22="",$J$36&lt;&gt;"Yes"),0,IF($K$10=0,SUMIFS(INDIRECT(ADDRESS(12,3+18*2+(1),,,"J1 A - (North) Bishopthorpe Roa")&amp;":"&amp;ADDRESS(130,3+18*2+(1))),'J1 A - (North) Bishopthorpe Roa'!$A$12:$A$130,"&gt;="&amp;Diagram!$O22,'J1 A - (North) Bishopthorpe Roa'!$A$12:$A$130,"&lt;"&amp;Diagram!$P22),SUMIFS(INDIRECT(ADDRESS(12,3+18*2+(9),,,"J1 A - (North) Bishopthorpe Roa")&amp;":"&amp;ADDRESS(130,3+18*2+(9))),'J1 A - (North) Bishopthorpe Roa'!$A$12:$A$130,"&gt;="&amp;Diagram!$O22,'J1 A - (North) Bishopthorpe Roa'!$A$12:$A$130,"&lt;"&amp;Diagram!$P22)))</f>
        <v>0</v>
      </c>
      <c r="AN22" s="42">
        <f ca="1">IF(OR($I$10="",$O22="",$P22="",$J$36&lt;&gt;"Yes"),0,IF($K$10=0,SUMIFS(INDIRECT(ADDRESS(12,3+18*2+(1),,,"J1 B - Butcher Terrace")&amp;":"&amp;ADDRESS(130,3+18*2+(1))),'J1 B - Butcher Terrace'!$A$12:$A$130,"&gt;="&amp;Diagram!$O22,'J1 B - Butcher Terrace'!$A$12:$A$130,"&lt;"&amp;Diagram!$P22),SUMIFS(INDIRECT(ADDRESS(12,3+18*2+(9),,,"J1 B - Butcher Terrace")&amp;":"&amp;ADDRESS(130,3+18*2+(9))),'J1 B - Butcher Terrace'!$A$12:$A$130,"&gt;="&amp;Diagram!$O22,'J1 B - Butcher Terrace'!$A$12:$A$130,"&lt;"&amp;Diagram!$P22)))</f>
        <v>0</v>
      </c>
      <c r="AO22" s="42">
        <f ca="1">IF(OR($I$10="",$O22="",$P22="",$J$36&lt;&gt;"Yes"),0,IF($K$10=0,SUMIFS(INDIRECT(ADDRESS(12,3+18*3+(1),,,"J1 B - Butcher Terrace")&amp;":"&amp;ADDRESS(130,3+18*3+(1))),'J1 B - Butcher Terrace'!$A$12:$A$130,"&gt;="&amp;Diagram!$O22,'J1 B - Butcher Terrace'!$A$12:$A$130,"&lt;"&amp;Diagram!$P22),SUMIFS(INDIRECT(ADDRESS(12,3+18*3+(9),,,"J1 B - Butcher Terrace")&amp;":"&amp;ADDRESS(130,3+18*3+(9))),'J1 B - Butcher Terrace'!$A$12:$A$130,"&gt;="&amp;Diagram!$O22,'J1 B - Butcher Terrace'!$A$12:$A$130,"&lt;"&amp;Diagram!$P22)))</f>
        <v>0</v>
      </c>
      <c r="AP22" s="42">
        <f ca="1">IF(OR($I$10="",$O22="",$P22="",$J$36&lt;&gt;"Yes"),0,IF($K$10=0,SUMIFS(INDIRECT(ADDRESS(12,3+18*0+(1),,,"J1 B - Butcher Terrace")&amp;":"&amp;ADDRESS(130,3+18*0+(1))),'J1 B - Butcher Terrace'!$A$12:$A$130,"&gt;="&amp;Diagram!$O22,'J1 B - Butcher Terrace'!$A$12:$A$130,"&lt;"&amp;Diagram!$P22),SUMIFS(INDIRECT(ADDRESS(12,3+18*0+(9),,,"J1 B - Butcher Terrace")&amp;":"&amp;ADDRESS(130,3+18*0+(9))),'J1 B - Butcher Terrace'!$A$12:$A$130,"&gt;="&amp;Diagram!$O22,'J1 B - Butcher Terrace'!$A$12:$A$130,"&lt;"&amp;Diagram!$P22)))</f>
        <v>0</v>
      </c>
      <c r="AQ22" s="42">
        <f ca="1">IF(OR($I$10="",$O22="",$P22="",$J$36&lt;&gt;"Yes"),0,IF($K$10=0,SUMIFS(INDIRECT(ADDRESS(12,3+18*1+(1),,,"J1 B - Butcher Terrace")&amp;":"&amp;ADDRESS(130,3+18*1+(1))),'J1 B - Butcher Terrace'!$A$12:$A$130,"&gt;="&amp;Diagram!$O22,'J1 B - Butcher Terrace'!$A$12:$A$130,"&lt;"&amp;Diagram!$P22),SUMIFS(INDIRECT(ADDRESS(12,3+18*1+(9),,,"J1 B - Butcher Terrace")&amp;":"&amp;ADDRESS(130,3+18*1+(9))),'J1 B - Butcher Terrace'!$A$12:$A$130,"&gt;="&amp;Diagram!$O22,'J1 B - Butcher Terrace'!$A$12:$A$130,"&lt;"&amp;Diagram!$P22)))</f>
        <v>0</v>
      </c>
      <c r="AR22" s="42">
        <f ca="1">IF(OR($I$10="",$O22="",$P22="",$J$36&lt;&gt;"Yes"),0,IF($K$10=0,SUMIFS(INDIRECT(ADDRESS(12,3+18*1+(1),,,"J1 C - (South) Bishopthorpe Roa")&amp;":"&amp;ADDRESS(130,3+18*1+(1))),'J1 C - (South) Bishopthorpe Roa'!$A$12:$A$130,"&gt;="&amp;Diagram!$O22,'J1 C - (South) Bishopthorpe Roa'!$A$12:$A$130,"&lt;"&amp;Diagram!$P22),SUMIFS(INDIRECT(ADDRESS(12,3+18*1+(9),,,"J1 C - (South) Bishopthorpe Roa")&amp;":"&amp;ADDRESS(130,3+18*1+(9))),'J1 C - (South) Bishopthorpe Roa'!$A$12:$A$130,"&gt;="&amp;Diagram!$O22,'J1 C - (South) Bishopthorpe Roa'!$A$12:$A$130,"&lt;"&amp;Diagram!$P22)))</f>
        <v>1</v>
      </c>
      <c r="AS22" s="42">
        <f ca="1">IF(OR($I$10="",$O22="",$P22="",$J$36&lt;&gt;"Yes"),0,IF($K$10=0,SUMIFS(INDIRECT(ADDRESS(12,3+18*2+(1),,,"J1 C - (South) Bishopthorpe Roa")&amp;":"&amp;ADDRESS(130,3+18*2+(1))),'J1 C - (South) Bishopthorpe Roa'!$A$12:$A$130,"&gt;="&amp;Diagram!$O22,'J1 C - (South) Bishopthorpe Roa'!$A$12:$A$130,"&lt;"&amp;Diagram!$P22),SUMIFS(INDIRECT(ADDRESS(12,3+18*2+(9),,,"J1 C - (South) Bishopthorpe Roa")&amp;":"&amp;ADDRESS(130,3+18*2+(9))),'J1 C - (South) Bishopthorpe Roa'!$A$12:$A$130,"&gt;="&amp;Diagram!$O22,'J1 C - (South) Bishopthorpe Roa'!$A$12:$A$130,"&lt;"&amp;Diagram!$P22)))</f>
        <v>0</v>
      </c>
      <c r="AT22" s="42">
        <f ca="1">IF(OR($I$10="",$O22="",$P22="",$J$36&lt;&gt;"Yes"),0,IF($K$10=0,SUMIFS(INDIRECT(ADDRESS(12,3+18*3+(1),,,"J1 C - (South) Bishopthorpe Roa")&amp;":"&amp;ADDRESS(130,3+18*3+(1))),'J1 C - (South) Bishopthorpe Roa'!$A$12:$A$130,"&gt;="&amp;Diagram!$O22,'J1 C - (South) Bishopthorpe Roa'!$A$12:$A$130,"&lt;"&amp;Diagram!$P22),SUMIFS(INDIRECT(ADDRESS(12,3+18*3+(9),,,"J1 C - (South) Bishopthorpe Roa")&amp;":"&amp;ADDRESS(130,3+18*3+(9))),'J1 C - (South) Bishopthorpe Roa'!$A$12:$A$130,"&gt;="&amp;Diagram!$O22,'J1 C - (South) Bishopthorpe Roa'!$A$12:$A$130,"&lt;"&amp;Diagram!$P22)))</f>
        <v>0</v>
      </c>
      <c r="AU22" s="42">
        <f ca="1">IF(OR($I$10="",$O22="",$P22="",$J$36&lt;&gt;"Yes"),0,IF($K$10=0,SUMIFS(INDIRECT(ADDRESS(12,3+18*0+(1),,,"J1 C - (South) Bishopthorpe Roa")&amp;":"&amp;ADDRESS(130,3+18*0+(1))),'J1 C - (South) Bishopthorpe Roa'!$A$12:$A$130,"&gt;="&amp;Diagram!$O22,'J1 C - (South) Bishopthorpe Roa'!$A$12:$A$130,"&lt;"&amp;Diagram!$P22),SUMIFS(INDIRECT(ADDRESS(12,3+18*0+(9),,,"J1 C - (South) Bishopthorpe Roa")&amp;":"&amp;ADDRESS(130,3+18*0+(9))),'J1 C - (South) Bishopthorpe Roa'!$A$12:$A$130,"&gt;="&amp;Diagram!$O22,'J1 C - (South) Bishopthorpe Roa'!$A$12:$A$130,"&lt;"&amp;Diagram!$P22)))</f>
        <v>0</v>
      </c>
      <c r="AV22" s="42">
        <f ca="1">IF(OR($I$10="",$O22="",$P22="",$J$36&lt;&gt;"Yes"),0,IF($K$10=0,SUMIFS(INDIRECT(ADDRESS(12,3+18*0+(1),,,"J1 D - South Bank Avenue")&amp;":"&amp;ADDRESS(130,3+18*0+(1))),'J1 D - South Bank Avenue'!$A$12:$A$130,"&gt;="&amp;Diagram!$O22,'J1 D - South Bank Avenue'!$A$12:$A$130,"&lt;"&amp;Diagram!$P22),SUMIFS(INDIRECT(ADDRESS(12,3+18*0+(9),,,"J1 D - South Bank Avenue")&amp;":"&amp;ADDRESS(130,3+18*0+(9))),'J1 D - South Bank Avenue'!$A$12:$A$130,"&gt;="&amp;Diagram!$O22,'J1 D - South Bank Avenue'!$A$12:$A$130,"&lt;"&amp;Diagram!$P22)))</f>
        <v>0</v>
      </c>
      <c r="AW22" s="42">
        <f ca="1">IF(OR($I$10="",$O22="",$P22="",$J$36&lt;&gt;"Yes"),0,IF($K$10=0,SUMIFS(INDIRECT(ADDRESS(12,3+18*1+(1),,,"J1 D - South Bank Avenue")&amp;":"&amp;ADDRESS(130,3+18*1+(1))),'J1 D - South Bank Avenue'!$A$12:$A$130,"&gt;="&amp;Diagram!$O22,'J1 D - South Bank Avenue'!$A$12:$A$130,"&lt;"&amp;Diagram!$P22),SUMIFS(INDIRECT(ADDRESS(12,3+18*1+(9),,,"J1 D - South Bank Avenue")&amp;":"&amp;ADDRESS(130,3+18*1+(9))),'J1 D - South Bank Avenue'!$A$12:$A$130,"&gt;="&amp;Diagram!$O22,'J1 D - South Bank Avenue'!$A$12:$A$130,"&lt;"&amp;Diagram!$P22)))</f>
        <v>0</v>
      </c>
      <c r="AX22" s="42">
        <f ca="1">IF(OR($I$10="",$O22="",$P22="",$J$36&lt;&gt;"Yes"),0,IF($K$10=0,SUMIFS(INDIRECT(ADDRESS(12,3+18*2+(1),,,"J1 D - South Bank Avenue")&amp;":"&amp;ADDRESS(130,3+18*2+(1))),'J1 D - South Bank Avenue'!$A$12:$A$130,"&gt;="&amp;Diagram!$O22,'J1 D - South Bank Avenue'!$A$12:$A$130,"&lt;"&amp;Diagram!$P22),SUMIFS(INDIRECT(ADDRESS(12,3+18*2+(9),,,"J1 D - South Bank Avenue")&amp;":"&amp;ADDRESS(130,3+18*2+(9))),'J1 D - South Bank Avenue'!$A$12:$A$130,"&gt;="&amp;Diagram!$O22,'J1 D - South Bank Avenue'!$A$12:$A$130,"&lt;"&amp;Diagram!$P22)))</f>
        <v>0</v>
      </c>
      <c r="AY22" s="42">
        <f ca="1">IF(OR($I$10="",$O22="",$P22="",$J$36&lt;&gt;"Yes"),0,IF($K$10=0,SUMIFS(INDIRECT(ADDRESS(12,3+18*3+(1),,,"J1 D - South Bank Avenue")&amp;":"&amp;ADDRESS(130,3+18*3+(1))),'J1 D - South Bank Avenue'!$A$12:$A$130,"&gt;="&amp;Diagram!$O22,'J1 D - South Bank Avenue'!$A$12:$A$130,"&lt;"&amp;Diagram!$P22),SUMIFS(INDIRECT(ADDRESS(12,3+18*3+(9),,,"J1 D - South Bank Avenue")&amp;":"&amp;ADDRESS(130,3+18*3+(9))),'J1 D - South Bank Avenue'!$A$12:$A$130,"&gt;="&amp;Diagram!$O22,'J1 D - South Bank Avenue'!$A$12:$A$130,"&lt;"&amp;Diagram!$P22)))</f>
        <v>0</v>
      </c>
      <c r="AZ22" s="42">
        <f t="shared" ca="1" si="3"/>
        <v>0</v>
      </c>
      <c r="BA22" s="42">
        <f ca="1">IF(OR($I$10="",$O22="",$P22="",$J$37&lt;&gt;"Yes"),0,IF($K$10=0,SUMIFS(INDIRECT(ADDRESS(12,3+18*3+(2),,,"J1 A - (North) Bishopthorpe Roa")&amp;":"&amp;ADDRESS(130,3+18*3+(2))),'J1 A - (North) Bishopthorpe Roa'!$A$12:$A$130,"&gt;="&amp;Diagram!$O22,'J1 A - (North) Bishopthorpe Roa'!$A$12:$A$130,"&lt;"&amp;Diagram!$P22),SUMIFS(INDIRECT(ADDRESS(12,3+18*3+(10),,,"J1 A - (North) Bishopthorpe Roa")&amp;":"&amp;ADDRESS(130,3+18*3+(10))),'J1 A - (North) Bishopthorpe Roa'!$A$12:$A$130,"&gt;="&amp;Diagram!$O22,'J1 A - (North) Bishopthorpe Roa'!$A$12:$A$130,"&lt;"&amp;Diagram!$P22)))</f>
        <v>0</v>
      </c>
      <c r="BB22" s="42">
        <f ca="1">IF(OR($I$10="",$O22="",$P22="",$J$37&lt;&gt;"Yes"),0,IF($K$10=0,SUMIFS(INDIRECT(ADDRESS(12,3+18*0+(2),,,"J1 A - (North) Bishopthorpe Roa")&amp;":"&amp;ADDRESS(130,3+18*0+(2))),'J1 A - (North) Bishopthorpe Roa'!$A$12:$A$130,"&gt;="&amp;Diagram!$O22,'J1 A - (North) Bishopthorpe Roa'!$A$12:$A$130,"&lt;"&amp;Diagram!$P22),SUMIFS(INDIRECT(ADDRESS(12,3+18*0+(10),,,"J1 A - (North) Bishopthorpe Roa")&amp;":"&amp;ADDRESS(130,3+18*0+(10))),'J1 A - (North) Bishopthorpe Roa'!$A$12:$A$130,"&gt;="&amp;Diagram!$O22,'J1 A - (North) Bishopthorpe Roa'!$A$12:$A$130,"&lt;"&amp;Diagram!$P22)))</f>
        <v>0</v>
      </c>
      <c r="BC22" s="42">
        <f ca="1">IF(OR($I$10="",$O22="",$P22="",$J$37&lt;&gt;"Yes"),0,IF($K$10=0,SUMIFS(INDIRECT(ADDRESS(12,3+18*1+(2),,,"J1 A - (North) Bishopthorpe Roa")&amp;":"&amp;ADDRESS(130,3+18*1+(2))),'J1 A - (North) Bishopthorpe Roa'!$A$12:$A$130,"&gt;="&amp;Diagram!$O22,'J1 A - (North) Bishopthorpe Roa'!$A$12:$A$130,"&lt;"&amp;Diagram!$P22),SUMIFS(INDIRECT(ADDRESS(12,3+18*1+(10),,,"J1 A - (North) Bishopthorpe Roa")&amp;":"&amp;ADDRESS(130,3+18*1+(10))),'J1 A - (North) Bishopthorpe Roa'!$A$12:$A$130,"&gt;="&amp;Diagram!$O22,'J1 A - (North) Bishopthorpe Roa'!$A$12:$A$130,"&lt;"&amp;Diagram!$P22)))</f>
        <v>0</v>
      </c>
      <c r="BD22" s="42">
        <f ca="1">IF(OR($I$10="",$O22="",$P22="",$J$37&lt;&gt;"Yes"),0,IF($K$10=0,SUMIFS(INDIRECT(ADDRESS(12,3+18*2+(2),,,"J1 A - (North) Bishopthorpe Roa")&amp;":"&amp;ADDRESS(130,3+18*2+(2))),'J1 A - (North) Bishopthorpe Roa'!$A$12:$A$130,"&gt;="&amp;Diagram!$O22,'J1 A - (North) Bishopthorpe Roa'!$A$12:$A$130,"&lt;"&amp;Diagram!$P22),SUMIFS(INDIRECT(ADDRESS(12,3+18*2+(10),,,"J1 A - (North) Bishopthorpe Roa")&amp;":"&amp;ADDRESS(130,3+18*2+(10))),'J1 A - (North) Bishopthorpe Roa'!$A$12:$A$130,"&gt;="&amp;Diagram!$O22,'J1 A - (North) Bishopthorpe Roa'!$A$12:$A$130,"&lt;"&amp;Diagram!$P22)))</f>
        <v>0</v>
      </c>
      <c r="BE22" s="42">
        <f ca="1">IF(OR($I$10="",$O22="",$P22="",$J$37&lt;&gt;"Yes"),0,IF($K$10=0,SUMIFS(INDIRECT(ADDRESS(12,3+18*2+(2),,,"J1 B - Butcher Terrace")&amp;":"&amp;ADDRESS(130,3+18*2+(2))),'J1 B - Butcher Terrace'!$A$12:$A$130,"&gt;="&amp;Diagram!$O22,'J1 B - Butcher Terrace'!$A$12:$A$130,"&lt;"&amp;Diagram!$P22),SUMIFS(INDIRECT(ADDRESS(12,3+18*2+(10),,,"J1 B - Butcher Terrace")&amp;":"&amp;ADDRESS(130,3+18*2+(10))),'J1 B - Butcher Terrace'!$A$12:$A$130,"&gt;="&amp;Diagram!$O22,'J1 B - Butcher Terrace'!$A$12:$A$130,"&lt;"&amp;Diagram!$P22)))</f>
        <v>0</v>
      </c>
      <c r="BF22" s="42">
        <f ca="1">IF(OR($I$10="",$O22="",$P22="",$J$37&lt;&gt;"Yes"),0,IF($K$10=0,SUMIFS(INDIRECT(ADDRESS(12,3+18*3+(2),,,"J1 B - Butcher Terrace")&amp;":"&amp;ADDRESS(130,3+18*3+(2))),'J1 B - Butcher Terrace'!$A$12:$A$130,"&gt;="&amp;Diagram!$O22,'J1 B - Butcher Terrace'!$A$12:$A$130,"&lt;"&amp;Diagram!$P22),SUMIFS(INDIRECT(ADDRESS(12,3+18*3+(10),,,"J1 B - Butcher Terrace")&amp;":"&amp;ADDRESS(130,3+18*3+(10))),'J1 B - Butcher Terrace'!$A$12:$A$130,"&gt;="&amp;Diagram!$O22,'J1 B - Butcher Terrace'!$A$12:$A$130,"&lt;"&amp;Diagram!$P22)))</f>
        <v>0</v>
      </c>
      <c r="BG22" s="42">
        <f ca="1">IF(OR($I$10="",$O22="",$P22="",$J$37&lt;&gt;"Yes"),0,IF($K$10=0,SUMIFS(INDIRECT(ADDRESS(12,3+18*0+(2),,,"J1 B - Butcher Terrace")&amp;":"&amp;ADDRESS(130,3+18*0+(2))),'J1 B - Butcher Terrace'!$A$12:$A$130,"&gt;="&amp;Diagram!$O22,'J1 B - Butcher Terrace'!$A$12:$A$130,"&lt;"&amp;Diagram!$P22),SUMIFS(INDIRECT(ADDRESS(12,3+18*0+(10),,,"J1 B - Butcher Terrace")&amp;":"&amp;ADDRESS(130,3+18*0+(10))),'J1 B - Butcher Terrace'!$A$12:$A$130,"&gt;="&amp;Diagram!$O22,'J1 B - Butcher Terrace'!$A$12:$A$130,"&lt;"&amp;Diagram!$P22)))</f>
        <v>0</v>
      </c>
      <c r="BH22" s="42">
        <f ca="1">IF(OR($I$10="",$O22="",$P22="",$J$37&lt;&gt;"Yes"),0,IF($K$10=0,SUMIFS(INDIRECT(ADDRESS(12,3+18*1+(2),,,"J1 B - Butcher Terrace")&amp;":"&amp;ADDRESS(130,3+18*1+(2))),'J1 B - Butcher Terrace'!$A$12:$A$130,"&gt;="&amp;Diagram!$O22,'J1 B - Butcher Terrace'!$A$12:$A$130,"&lt;"&amp;Diagram!$P22),SUMIFS(INDIRECT(ADDRESS(12,3+18*1+(10),,,"J1 B - Butcher Terrace")&amp;":"&amp;ADDRESS(130,3+18*1+(10))),'J1 B - Butcher Terrace'!$A$12:$A$130,"&gt;="&amp;Diagram!$O22,'J1 B - Butcher Terrace'!$A$12:$A$130,"&lt;"&amp;Diagram!$P22)))</f>
        <v>0</v>
      </c>
      <c r="BI22" s="42">
        <f ca="1">IF(OR($I$10="",$O22="",$P22="",$J$37&lt;&gt;"Yes"),0,IF($K$10=0,SUMIFS(INDIRECT(ADDRESS(12,3+18*1+(2),,,"J1 C - (South) Bishopthorpe Roa")&amp;":"&amp;ADDRESS(130,3+18*1+(2))),'J1 C - (South) Bishopthorpe Roa'!$A$12:$A$130,"&gt;="&amp;Diagram!$O22,'J1 C - (South) Bishopthorpe Roa'!$A$12:$A$130,"&lt;"&amp;Diagram!$P22),SUMIFS(INDIRECT(ADDRESS(12,3+18*1+(10),,,"J1 C - (South) Bishopthorpe Roa")&amp;":"&amp;ADDRESS(130,3+18*1+(10))),'J1 C - (South) Bishopthorpe Roa'!$A$12:$A$130,"&gt;="&amp;Diagram!$O22,'J1 C - (South) Bishopthorpe Roa'!$A$12:$A$130,"&lt;"&amp;Diagram!$P22)))</f>
        <v>0</v>
      </c>
      <c r="BJ22" s="42">
        <f ca="1">IF(OR($I$10="",$O22="",$P22="",$J$37&lt;&gt;"Yes"),0,IF($K$10=0,SUMIFS(INDIRECT(ADDRESS(12,3+18*2+(2),,,"J1 C - (South) Bishopthorpe Roa")&amp;":"&amp;ADDRESS(130,3+18*2+(2))),'J1 C - (South) Bishopthorpe Roa'!$A$12:$A$130,"&gt;="&amp;Diagram!$O22,'J1 C - (South) Bishopthorpe Roa'!$A$12:$A$130,"&lt;"&amp;Diagram!$P22),SUMIFS(INDIRECT(ADDRESS(12,3+18*2+(10),,,"J1 C - (South) Bishopthorpe Roa")&amp;":"&amp;ADDRESS(130,3+18*2+(10))),'J1 C - (South) Bishopthorpe Roa'!$A$12:$A$130,"&gt;="&amp;Diagram!$O22,'J1 C - (South) Bishopthorpe Roa'!$A$12:$A$130,"&lt;"&amp;Diagram!$P22)))</f>
        <v>0</v>
      </c>
      <c r="BK22" s="42">
        <f ca="1">IF(OR($I$10="",$O22="",$P22="",$J$37&lt;&gt;"Yes"),0,IF($K$10=0,SUMIFS(INDIRECT(ADDRESS(12,3+18*3+(2),,,"J1 C - (South) Bishopthorpe Roa")&amp;":"&amp;ADDRESS(130,3+18*3+(2))),'J1 C - (South) Bishopthorpe Roa'!$A$12:$A$130,"&gt;="&amp;Diagram!$O22,'J1 C - (South) Bishopthorpe Roa'!$A$12:$A$130,"&lt;"&amp;Diagram!$P22),SUMIFS(INDIRECT(ADDRESS(12,3+18*3+(10),,,"J1 C - (South) Bishopthorpe Roa")&amp;":"&amp;ADDRESS(130,3+18*3+(10))),'J1 C - (South) Bishopthorpe Roa'!$A$12:$A$130,"&gt;="&amp;Diagram!$O22,'J1 C - (South) Bishopthorpe Roa'!$A$12:$A$130,"&lt;"&amp;Diagram!$P22)))</f>
        <v>0</v>
      </c>
      <c r="BL22" s="42">
        <f ca="1">IF(OR($I$10="",$O22="",$P22="",$J$37&lt;&gt;"Yes"),0,IF($K$10=0,SUMIFS(INDIRECT(ADDRESS(12,3+18*0+(2),,,"J1 C - (South) Bishopthorpe Roa")&amp;":"&amp;ADDRESS(130,3+18*0+(2))),'J1 C - (South) Bishopthorpe Roa'!$A$12:$A$130,"&gt;="&amp;Diagram!$O22,'J1 C - (South) Bishopthorpe Roa'!$A$12:$A$130,"&lt;"&amp;Diagram!$P22),SUMIFS(INDIRECT(ADDRESS(12,3+18*0+(10),,,"J1 C - (South) Bishopthorpe Roa")&amp;":"&amp;ADDRESS(130,3+18*0+(10))),'J1 C - (South) Bishopthorpe Roa'!$A$12:$A$130,"&gt;="&amp;Diagram!$O22,'J1 C - (South) Bishopthorpe Roa'!$A$12:$A$130,"&lt;"&amp;Diagram!$P22)))</f>
        <v>0</v>
      </c>
      <c r="BM22" s="42">
        <f ca="1">IF(OR($I$10="",$O22="",$P22="",$J$37&lt;&gt;"Yes"),0,IF($K$10=0,SUMIFS(INDIRECT(ADDRESS(12,3+18*0+(2),,,"J1 D - South Bank Avenue")&amp;":"&amp;ADDRESS(130,3+18*0+(2))),'J1 D - South Bank Avenue'!$A$12:$A$130,"&gt;="&amp;Diagram!$O22,'J1 D - South Bank Avenue'!$A$12:$A$130,"&lt;"&amp;Diagram!$P22),SUMIFS(INDIRECT(ADDRESS(12,3+18*0+(10),,,"J1 D - South Bank Avenue")&amp;":"&amp;ADDRESS(130,3+18*0+(10))),'J1 D - South Bank Avenue'!$A$12:$A$130,"&gt;="&amp;Diagram!$O22,'J1 D - South Bank Avenue'!$A$12:$A$130,"&lt;"&amp;Diagram!$P22)))</f>
        <v>0</v>
      </c>
      <c r="BN22" s="42">
        <f ca="1">IF(OR($I$10="",$O22="",$P22="",$J$37&lt;&gt;"Yes"),0,IF($K$10=0,SUMIFS(INDIRECT(ADDRESS(12,3+18*1+(2),,,"J1 D - South Bank Avenue")&amp;":"&amp;ADDRESS(130,3+18*1+(2))),'J1 D - South Bank Avenue'!$A$12:$A$130,"&gt;="&amp;Diagram!$O22,'J1 D - South Bank Avenue'!$A$12:$A$130,"&lt;"&amp;Diagram!$P22),SUMIFS(INDIRECT(ADDRESS(12,3+18*1+(10),,,"J1 D - South Bank Avenue")&amp;":"&amp;ADDRESS(130,3+18*1+(10))),'J1 D - South Bank Avenue'!$A$12:$A$130,"&gt;="&amp;Diagram!$O22,'J1 D - South Bank Avenue'!$A$12:$A$130,"&lt;"&amp;Diagram!$P22)))</f>
        <v>0</v>
      </c>
      <c r="BO22" s="42">
        <f ca="1">IF(OR($I$10="",$O22="",$P22="",$J$37&lt;&gt;"Yes"),0,IF($K$10=0,SUMIFS(INDIRECT(ADDRESS(12,3+18*2+(2),,,"J1 D - South Bank Avenue")&amp;":"&amp;ADDRESS(130,3+18*2+(2))),'J1 D - South Bank Avenue'!$A$12:$A$130,"&gt;="&amp;Diagram!$O22,'J1 D - South Bank Avenue'!$A$12:$A$130,"&lt;"&amp;Diagram!$P22),SUMIFS(INDIRECT(ADDRESS(12,3+18*2+(10),,,"J1 D - South Bank Avenue")&amp;":"&amp;ADDRESS(130,3+18*2+(10))),'J1 D - South Bank Avenue'!$A$12:$A$130,"&gt;="&amp;Diagram!$O22,'J1 D - South Bank Avenue'!$A$12:$A$130,"&lt;"&amp;Diagram!$P22)))</f>
        <v>0</v>
      </c>
      <c r="BP22" s="42">
        <f ca="1">IF(OR($I$10="",$O22="",$P22="",$J$37&lt;&gt;"Yes"),0,IF($K$10=0,SUMIFS(INDIRECT(ADDRESS(12,3+18*3+(2),,,"J1 D - South Bank Avenue")&amp;":"&amp;ADDRESS(130,3+18*3+(2))),'J1 D - South Bank Avenue'!$A$12:$A$130,"&gt;="&amp;Diagram!$O22,'J1 D - South Bank Avenue'!$A$12:$A$130,"&lt;"&amp;Diagram!$P22),SUMIFS(INDIRECT(ADDRESS(12,3+18*3+(10),,,"J1 D - South Bank Avenue")&amp;":"&amp;ADDRESS(130,3+18*3+(10))),'J1 D - South Bank Avenue'!$A$12:$A$130,"&gt;="&amp;Diagram!$O22,'J1 D - South Bank Avenue'!$A$12:$A$130,"&lt;"&amp;Diagram!$P22)))</f>
        <v>0</v>
      </c>
      <c r="BQ22" s="42">
        <f t="shared" ca="1" si="4"/>
        <v>0</v>
      </c>
      <c r="BR22" s="42">
        <f ca="1">IF(OR($I$10="",$O22="",$P22="",$J$38&lt;&gt;"Yes"),0,IF($K$10=0,SUMIFS(INDIRECT(ADDRESS(12,3+18*3+(3),,,"J1 A - (North) Bishopthorpe Roa")&amp;":"&amp;ADDRESS(130,3+18*3+(3))),'J1 A - (North) Bishopthorpe Roa'!$A$12:$A$130,"&gt;="&amp;Diagram!$O22,'J1 A - (North) Bishopthorpe Roa'!$A$12:$A$130,"&lt;"&amp;Diagram!$P22),SUMIFS(INDIRECT(ADDRESS(12,3+18*3+(11),,,"J1 A - (North) Bishopthorpe Roa")&amp;":"&amp;ADDRESS(130,3+18*3+(11))),'J1 A - (North) Bishopthorpe Roa'!$A$12:$A$130,"&gt;="&amp;Diagram!$O22,'J1 A - (North) Bishopthorpe Roa'!$A$12:$A$130,"&lt;"&amp;Diagram!$P22)))</f>
        <v>0</v>
      </c>
      <c r="BS22" s="42">
        <f ca="1">IF(OR($I$10="",$O22="",$P22="",$J$38&lt;&gt;"Yes"),0,IF($K$10=0,SUMIFS(INDIRECT(ADDRESS(12,3+18*0+(3),,,"J1 A - (North) Bishopthorpe Roa")&amp;":"&amp;ADDRESS(130,3+18*0+(3))),'J1 A - (North) Bishopthorpe Roa'!$A$12:$A$130,"&gt;="&amp;Diagram!$O22,'J1 A - (North) Bishopthorpe Roa'!$A$12:$A$130,"&lt;"&amp;Diagram!$P22),SUMIFS(INDIRECT(ADDRESS(12,3+18*0+(11),,,"J1 A - (North) Bishopthorpe Roa")&amp;":"&amp;ADDRESS(130,3+18*0+(11))),'J1 A - (North) Bishopthorpe Roa'!$A$12:$A$130,"&gt;="&amp;Diagram!$O22,'J1 A - (North) Bishopthorpe Roa'!$A$12:$A$130,"&lt;"&amp;Diagram!$P22)))</f>
        <v>0</v>
      </c>
      <c r="BT22" s="42">
        <f ca="1">IF(OR($I$10="",$O22="",$P22="",$J$38&lt;&gt;"Yes"),0,IF($K$10=0,SUMIFS(INDIRECT(ADDRESS(12,3+18*1+(3),,,"J1 A - (North) Bishopthorpe Roa")&amp;":"&amp;ADDRESS(130,3+18*1+(3))),'J1 A - (North) Bishopthorpe Roa'!$A$12:$A$130,"&gt;="&amp;Diagram!$O22,'J1 A - (North) Bishopthorpe Roa'!$A$12:$A$130,"&lt;"&amp;Diagram!$P22),SUMIFS(INDIRECT(ADDRESS(12,3+18*1+(11),,,"J1 A - (North) Bishopthorpe Roa")&amp;":"&amp;ADDRESS(130,3+18*1+(11))),'J1 A - (North) Bishopthorpe Roa'!$A$12:$A$130,"&gt;="&amp;Diagram!$O22,'J1 A - (North) Bishopthorpe Roa'!$A$12:$A$130,"&lt;"&amp;Diagram!$P22)))</f>
        <v>0</v>
      </c>
      <c r="BU22" s="42">
        <f ca="1">IF(OR($I$10="",$O22="",$P22="",$J$38&lt;&gt;"Yes"),0,IF($K$10=0,SUMIFS(INDIRECT(ADDRESS(12,3+18*2+(3),,,"J1 A - (North) Bishopthorpe Roa")&amp;":"&amp;ADDRESS(130,3+18*2+(3))),'J1 A - (North) Bishopthorpe Roa'!$A$12:$A$130,"&gt;="&amp;Diagram!$O22,'J1 A - (North) Bishopthorpe Roa'!$A$12:$A$130,"&lt;"&amp;Diagram!$P22),SUMIFS(INDIRECT(ADDRESS(12,3+18*2+(11),,,"J1 A - (North) Bishopthorpe Roa")&amp;":"&amp;ADDRESS(130,3+18*2+(11))),'J1 A - (North) Bishopthorpe Roa'!$A$12:$A$130,"&gt;="&amp;Diagram!$O22,'J1 A - (North) Bishopthorpe Roa'!$A$12:$A$130,"&lt;"&amp;Diagram!$P22)))</f>
        <v>0</v>
      </c>
      <c r="BV22" s="42">
        <f ca="1">IF(OR($I$10="",$O22="",$P22="",$J$38&lt;&gt;"Yes"),0,IF($K$10=0,SUMIFS(INDIRECT(ADDRESS(12,3+18*2+(3),,,"J1 B - Butcher Terrace")&amp;":"&amp;ADDRESS(130,3+18*2+(3))),'J1 B - Butcher Terrace'!$A$12:$A$130,"&gt;="&amp;Diagram!$O22,'J1 B - Butcher Terrace'!$A$12:$A$130,"&lt;"&amp;Diagram!$P22),SUMIFS(INDIRECT(ADDRESS(12,3+18*2+(11),,,"J1 B - Butcher Terrace")&amp;":"&amp;ADDRESS(130,3+18*2+(11))),'J1 B - Butcher Terrace'!$A$12:$A$130,"&gt;="&amp;Diagram!$O22,'J1 B - Butcher Terrace'!$A$12:$A$130,"&lt;"&amp;Diagram!$P22)))</f>
        <v>0</v>
      </c>
      <c r="BW22" s="42">
        <f ca="1">IF(OR($I$10="",$O22="",$P22="",$J$38&lt;&gt;"Yes"),0,IF($K$10=0,SUMIFS(INDIRECT(ADDRESS(12,3+18*3+(3),,,"J1 B - Butcher Terrace")&amp;":"&amp;ADDRESS(130,3+18*3+(3))),'J1 B - Butcher Terrace'!$A$12:$A$130,"&gt;="&amp;Diagram!$O22,'J1 B - Butcher Terrace'!$A$12:$A$130,"&lt;"&amp;Diagram!$P22),SUMIFS(INDIRECT(ADDRESS(12,3+18*3+(11),,,"J1 B - Butcher Terrace")&amp;":"&amp;ADDRESS(130,3+18*3+(11))),'J1 B - Butcher Terrace'!$A$12:$A$130,"&gt;="&amp;Diagram!$O22,'J1 B - Butcher Terrace'!$A$12:$A$130,"&lt;"&amp;Diagram!$P22)))</f>
        <v>0</v>
      </c>
      <c r="BX22" s="42">
        <f ca="1">IF(OR($I$10="",$O22="",$P22="",$J$38&lt;&gt;"Yes"),0,IF($K$10=0,SUMIFS(INDIRECT(ADDRESS(12,3+18*0+(3),,,"J1 B - Butcher Terrace")&amp;":"&amp;ADDRESS(130,3+18*0+(3))),'J1 B - Butcher Terrace'!$A$12:$A$130,"&gt;="&amp;Diagram!$O22,'J1 B - Butcher Terrace'!$A$12:$A$130,"&lt;"&amp;Diagram!$P22),SUMIFS(INDIRECT(ADDRESS(12,3+18*0+(11),,,"J1 B - Butcher Terrace")&amp;":"&amp;ADDRESS(130,3+18*0+(11))),'J1 B - Butcher Terrace'!$A$12:$A$130,"&gt;="&amp;Diagram!$O22,'J1 B - Butcher Terrace'!$A$12:$A$130,"&lt;"&amp;Diagram!$P22)))</f>
        <v>0</v>
      </c>
      <c r="BY22" s="42">
        <f ca="1">IF(OR($I$10="",$O22="",$P22="",$J$38&lt;&gt;"Yes"),0,IF($K$10=0,SUMIFS(INDIRECT(ADDRESS(12,3+18*1+(3),,,"J1 B - Butcher Terrace")&amp;":"&amp;ADDRESS(130,3+18*1+(3))),'J1 B - Butcher Terrace'!$A$12:$A$130,"&gt;="&amp;Diagram!$O22,'J1 B - Butcher Terrace'!$A$12:$A$130,"&lt;"&amp;Diagram!$P22),SUMIFS(INDIRECT(ADDRESS(12,3+18*1+(11),,,"J1 B - Butcher Terrace")&amp;":"&amp;ADDRESS(130,3+18*1+(11))),'J1 B - Butcher Terrace'!$A$12:$A$130,"&gt;="&amp;Diagram!$O22,'J1 B - Butcher Terrace'!$A$12:$A$130,"&lt;"&amp;Diagram!$P22)))</f>
        <v>0</v>
      </c>
      <c r="BZ22" s="42">
        <f ca="1">IF(OR($I$10="",$O22="",$P22="",$J$38&lt;&gt;"Yes"),0,IF($K$10=0,SUMIFS(INDIRECT(ADDRESS(12,3+18*1+(3),,,"J1 C - (South) Bishopthorpe Roa")&amp;":"&amp;ADDRESS(130,3+18*1+(3))),'J1 C - (South) Bishopthorpe Roa'!$A$12:$A$130,"&gt;="&amp;Diagram!$O22,'J1 C - (South) Bishopthorpe Roa'!$A$12:$A$130,"&lt;"&amp;Diagram!$P22),SUMIFS(INDIRECT(ADDRESS(12,3+18*1+(11),,,"J1 C - (South) Bishopthorpe Roa")&amp;":"&amp;ADDRESS(130,3+18*1+(11))),'J1 C - (South) Bishopthorpe Roa'!$A$12:$A$130,"&gt;="&amp;Diagram!$O22,'J1 C - (South) Bishopthorpe Roa'!$A$12:$A$130,"&lt;"&amp;Diagram!$P22)))</f>
        <v>0</v>
      </c>
      <c r="CA22" s="42">
        <f ca="1">IF(OR($I$10="",$O22="",$P22="",$J$38&lt;&gt;"Yes"),0,IF($K$10=0,SUMIFS(INDIRECT(ADDRESS(12,3+18*2+(3),,,"J1 C - (South) Bishopthorpe Roa")&amp;":"&amp;ADDRESS(130,3+18*2+(3))),'J1 C - (South) Bishopthorpe Roa'!$A$12:$A$130,"&gt;="&amp;Diagram!$O22,'J1 C - (South) Bishopthorpe Roa'!$A$12:$A$130,"&lt;"&amp;Diagram!$P22),SUMIFS(INDIRECT(ADDRESS(12,3+18*2+(11),,,"J1 C - (South) Bishopthorpe Roa")&amp;":"&amp;ADDRESS(130,3+18*2+(11))),'J1 C - (South) Bishopthorpe Roa'!$A$12:$A$130,"&gt;="&amp;Diagram!$O22,'J1 C - (South) Bishopthorpe Roa'!$A$12:$A$130,"&lt;"&amp;Diagram!$P22)))</f>
        <v>0</v>
      </c>
      <c r="CB22" s="42">
        <f ca="1">IF(OR($I$10="",$O22="",$P22="",$J$38&lt;&gt;"Yes"),0,IF($K$10=0,SUMIFS(INDIRECT(ADDRESS(12,3+18*3+(3),,,"J1 C - (South) Bishopthorpe Roa")&amp;":"&amp;ADDRESS(130,3+18*3+(3))),'J1 C - (South) Bishopthorpe Roa'!$A$12:$A$130,"&gt;="&amp;Diagram!$O22,'J1 C - (South) Bishopthorpe Roa'!$A$12:$A$130,"&lt;"&amp;Diagram!$P22),SUMIFS(INDIRECT(ADDRESS(12,3+18*3+(11),,,"J1 C - (South) Bishopthorpe Roa")&amp;":"&amp;ADDRESS(130,3+18*3+(11))),'J1 C - (South) Bishopthorpe Roa'!$A$12:$A$130,"&gt;="&amp;Diagram!$O22,'J1 C - (South) Bishopthorpe Roa'!$A$12:$A$130,"&lt;"&amp;Diagram!$P22)))</f>
        <v>0</v>
      </c>
      <c r="CC22" s="42">
        <f ca="1">IF(OR($I$10="",$O22="",$P22="",$J$38&lt;&gt;"Yes"),0,IF($K$10=0,SUMIFS(INDIRECT(ADDRESS(12,3+18*0+(3),,,"J1 C - (South) Bishopthorpe Roa")&amp;":"&amp;ADDRESS(130,3+18*0+(3))),'J1 C - (South) Bishopthorpe Roa'!$A$12:$A$130,"&gt;="&amp;Diagram!$O22,'J1 C - (South) Bishopthorpe Roa'!$A$12:$A$130,"&lt;"&amp;Diagram!$P22),SUMIFS(INDIRECT(ADDRESS(12,3+18*0+(11),,,"J1 C - (South) Bishopthorpe Roa")&amp;":"&amp;ADDRESS(130,3+18*0+(11))),'J1 C - (South) Bishopthorpe Roa'!$A$12:$A$130,"&gt;="&amp;Diagram!$O22,'J1 C - (South) Bishopthorpe Roa'!$A$12:$A$130,"&lt;"&amp;Diagram!$P22)))</f>
        <v>0</v>
      </c>
      <c r="CD22" s="42">
        <f ca="1">IF(OR($I$10="",$O22="",$P22="",$J$38&lt;&gt;"Yes"),0,IF($K$10=0,SUMIFS(INDIRECT(ADDRESS(12,3+18*0+(3),,,"J1 D - South Bank Avenue")&amp;":"&amp;ADDRESS(130,3+18*0+(3))),'J1 D - South Bank Avenue'!$A$12:$A$130,"&gt;="&amp;Diagram!$O22,'J1 D - South Bank Avenue'!$A$12:$A$130,"&lt;"&amp;Diagram!$P22),SUMIFS(INDIRECT(ADDRESS(12,3+18*0+(11),,,"J1 D - South Bank Avenue")&amp;":"&amp;ADDRESS(130,3+18*0+(11))),'J1 D - South Bank Avenue'!$A$12:$A$130,"&gt;="&amp;Diagram!$O22,'J1 D - South Bank Avenue'!$A$12:$A$130,"&lt;"&amp;Diagram!$P22)))</f>
        <v>0</v>
      </c>
      <c r="CE22" s="42">
        <f ca="1">IF(OR($I$10="",$O22="",$P22="",$J$38&lt;&gt;"Yes"),0,IF($K$10=0,SUMIFS(INDIRECT(ADDRESS(12,3+18*1+(3),,,"J1 D - South Bank Avenue")&amp;":"&amp;ADDRESS(130,3+18*1+(3))),'J1 D - South Bank Avenue'!$A$12:$A$130,"&gt;="&amp;Diagram!$O22,'J1 D - South Bank Avenue'!$A$12:$A$130,"&lt;"&amp;Diagram!$P22),SUMIFS(INDIRECT(ADDRESS(12,3+18*1+(11),,,"J1 D - South Bank Avenue")&amp;":"&amp;ADDRESS(130,3+18*1+(11))),'J1 D - South Bank Avenue'!$A$12:$A$130,"&gt;="&amp;Diagram!$O22,'J1 D - South Bank Avenue'!$A$12:$A$130,"&lt;"&amp;Diagram!$P22)))</f>
        <v>0</v>
      </c>
      <c r="CF22" s="42">
        <f ca="1">IF(OR($I$10="",$O22="",$P22="",$J$38&lt;&gt;"Yes"),0,IF($K$10=0,SUMIFS(INDIRECT(ADDRESS(12,3+18*2+(3),,,"J1 D - South Bank Avenue")&amp;":"&amp;ADDRESS(130,3+18*2+(3))),'J1 D - South Bank Avenue'!$A$12:$A$130,"&gt;="&amp;Diagram!$O22,'J1 D - South Bank Avenue'!$A$12:$A$130,"&lt;"&amp;Diagram!$P22),SUMIFS(INDIRECT(ADDRESS(12,3+18*2+(11),,,"J1 D - South Bank Avenue")&amp;":"&amp;ADDRESS(130,3+18*2+(11))),'J1 D - South Bank Avenue'!$A$12:$A$130,"&gt;="&amp;Diagram!$O22,'J1 D - South Bank Avenue'!$A$12:$A$130,"&lt;"&amp;Diagram!$P22)))</f>
        <v>0</v>
      </c>
      <c r="CG22" s="42">
        <f ca="1">IF(OR($I$10="",$O22="",$P22="",$J$38&lt;&gt;"Yes"),0,IF($K$10=0,SUMIFS(INDIRECT(ADDRESS(12,3+18*3+(3),,,"J1 D - South Bank Avenue")&amp;":"&amp;ADDRESS(130,3+18*3+(3))),'J1 D - South Bank Avenue'!$A$12:$A$130,"&gt;="&amp;Diagram!$O22,'J1 D - South Bank Avenue'!$A$12:$A$130,"&lt;"&amp;Diagram!$P22),SUMIFS(INDIRECT(ADDRESS(12,3+18*3+(11),,,"J1 D - South Bank Avenue")&amp;":"&amp;ADDRESS(130,3+18*3+(11))),'J1 D - South Bank Avenue'!$A$12:$A$130,"&gt;="&amp;Diagram!$O22,'J1 D - South Bank Avenue'!$A$12:$A$130,"&lt;"&amp;Diagram!$P22)))</f>
        <v>0</v>
      </c>
      <c r="CH22" s="42">
        <f t="shared" ca="1" si="5"/>
        <v>1</v>
      </c>
      <c r="CI22" s="42">
        <f ca="1">IF(OR($I$10="",$O22="",$P22="",$J$39&lt;&gt;"Yes"),0,IF($K$10=0,SUMIFS(INDIRECT(ADDRESS(12,3+18*3+(4),,,"J1 A - (North) Bishopthorpe Roa")&amp;":"&amp;ADDRESS(130,3+18*3+(4))),'J1 A - (North) Bishopthorpe Roa'!$A$12:$A$130,"&gt;="&amp;Diagram!$O22,'J1 A - (North) Bishopthorpe Roa'!$A$12:$A$130,"&lt;"&amp;Diagram!$P22),SUMIFS(INDIRECT(ADDRESS(12,3+18*3+(12),,,"J1 A - (North) Bishopthorpe Roa")&amp;":"&amp;ADDRESS(130,3+18*3+(12))),'J1 A - (North) Bishopthorpe Roa'!$A$12:$A$130,"&gt;="&amp;Diagram!$O22,'J1 A - (North) Bishopthorpe Roa'!$A$12:$A$130,"&lt;"&amp;Diagram!$P22)))</f>
        <v>0</v>
      </c>
      <c r="CJ22" s="42">
        <f ca="1">IF(OR($I$10="",$O22="",$P22="",$J$39&lt;&gt;"Yes"),0,IF($K$10=0,SUMIFS(INDIRECT(ADDRESS(12,3+18*0+(4),,,"J1 A - (North) Bishopthorpe Roa")&amp;":"&amp;ADDRESS(130,3+18*0+(4))),'J1 A - (North) Bishopthorpe Roa'!$A$12:$A$130,"&gt;="&amp;Diagram!$O22,'J1 A - (North) Bishopthorpe Roa'!$A$12:$A$130,"&lt;"&amp;Diagram!$P22),SUMIFS(INDIRECT(ADDRESS(12,3+18*0+(12),,,"J1 A - (North) Bishopthorpe Roa")&amp;":"&amp;ADDRESS(130,3+18*0+(12))),'J1 A - (North) Bishopthorpe Roa'!$A$12:$A$130,"&gt;="&amp;Diagram!$O22,'J1 A - (North) Bishopthorpe Roa'!$A$12:$A$130,"&lt;"&amp;Diagram!$P22)))</f>
        <v>0</v>
      </c>
      <c r="CK22" s="42">
        <f ca="1">IF(OR($I$10="",$O22="",$P22="",$J$39&lt;&gt;"Yes"),0,IF($K$10=0,SUMIFS(INDIRECT(ADDRESS(12,3+18*1+(4),,,"J1 A - (North) Bishopthorpe Roa")&amp;":"&amp;ADDRESS(130,3+18*1+(4))),'J1 A - (North) Bishopthorpe Roa'!$A$12:$A$130,"&gt;="&amp;Diagram!$O22,'J1 A - (North) Bishopthorpe Roa'!$A$12:$A$130,"&lt;"&amp;Diagram!$P22),SUMIFS(INDIRECT(ADDRESS(12,3+18*1+(12),,,"J1 A - (North) Bishopthorpe Roa")&amp;":"&amp;ADDRESS(130,3+18*1+(12))),'J1 A - (North) Bishopthorpe Roa'!$A$12:$A$130,"&gt;="&amp;Diagram!$O22,'J1 A - (North) Bishopthorpe Roa'!$A$12:$A$130,"&lt;"&amp;Diagram!$P22)))</f>
        <v>1</v>
      </c>
      <c r="CL22" s="42">
        <f ca="1">IF(OR($I$10="",$O22="",$P22="",$J$39&lt;&gt;"Yes"),0,IF($K$10=0,SUMIFS(INDIRECT(ADDRESS(12,3+18*2+(4),,,"J1 A - (North) Bishopthorpe Roa")&amp;":"&amp;ADDRESS(130,3+18*2+(4))),'J1 A - (North) Bishopthorpe Roa'!$A$12:$A$130,"&gt;="&amp;Diagram!$O22,'J1 A - (North) Bishopthorpe Roa'!$A$12:$A$130,"&lt;"&amp;Diagram!$P22),SUMIFS(INDIRECT(ADDRESS(12,3+18*2+(12),,,"J1 A - (North) Bishopthorpe Roa")&amp;":"&amp;ADDRESS(130,3+18*2+(12))),'J1 A - (North) Bishopthorpe Roa'!$A$12:$A$130,"&gt;="&amp;Diagram!$O22,'J1 A - (North) Bishopthorpe Roa'!$A$12:$A$130,"&lt;"&amp;Diagram!$P22)))</f>
        <v>0</v>
      </c>
      <c r="CM22" s="42">
        <f ca="1">IF(OR($I$10="",$O22="",$P22="",$J$39&lt;&gt;"Yes"),0,IF($K$10=0,SUMIFS(INDIRECT(ADDRESS(12,3+18*2+(4),,,"J1 B - Butcher Terrace")&amp;":"&amp;ADDRESS(130,3+18*2+(4))),'J1 B - Butcher Terrace'!$A$12:$A$130,"&gt;="&amp;Diagram!$O22,'J1 B - Butcher Terrace'!$A$12:$A$130,"&lt;"&amp;Diagram!$P22),SUMIFS(INDIRECT(ADDRESS(12,3+18*2+(12),,,"J1 B - Butcher Terrace")&amp;":"&amp;ADDRESS(130,3+18*2+(12))),'J1 B - Butcher Terrace'!$A$12:$A$130,"&gt;="&amp;Diagram!$O22,'J1 B - Butcher Terrace'!$A$12:$A$130,"&lt;"&amp;Diagram!$P22)))</f>
        <v>0</v>
      </c>
      <c r="CN22" s="42">
        <f ca="1">IF(OR($I$10="",$O22="",$P22="",$J$39&lt;&gt;"Yes"),0,IF($K$10=0,SUMIFS(INDIRECT(ADDRESS(12,3+18*3+(4),,,"J1 B - Butcher Terrace")&amp;":"&amp;ADDRESS(130,3+18*3+(4))),'J1 B - Butcher Terrace'!$A$12:$A$130,"&gt;="&amp;Diagram!$O22,'J1 B - Butcher Terrace'!$A$12:$A$130,"&lt;"&amp;Diagram!$P22),SUMIFS(INDIRECT(ADDRESS(12,3+18*3+(12),,,"J1 B - Butcher Terrace")&amp;":"&amp;ADDRESS(130,3+18*3+(12))),'J1 B - Butcher Terrace'!$A$12:$A$130,"&gt;="&amp;Diagram!$O22,'J1 B - Butcher Terrace'!$A$12:$A$130,"&lt;"&amp;Diagram!$P22)))</f>
        <v>0</v>
      </c>
      <c r="CO22" s="42">
        <f ca="1">IF(OR($I$10="",$O22="",$P22="",$J$39&lt;&gt;"Yes"),0,IF($K$10=0,SUMIFS(INDIRECT(ADDRESS(12,3+18*0+(4),,,"J1 B - Butcher Terrace")&amp;":"&amp;ADDRESS(130,3+18*0+(4))),'J1 B - Butcher Terrace'!$A$12:$A$130,"&gt;="&amp;Diagram!$O22,'J1 B - Butcher Terrace'!$A$12:$A$130,"&lt;"&amp;Diagram!$P22),SUMIFS(INDIRECT(ADDRESS(12,3+18*0+(12),,,"J1 B - Butcher Terrace")&amp;":"&amp;ADDRESS(130,3+18*0+(12))),'J1 B - Butcher Terrace'!$A$12:$A$130,"&gt;="&amp;Diagram!$O22,'J1 B - Butcher Terrace'!$A$12:$A$130,"&lt;"&amp;Diagram!$P22)))</f>
        <v>0</v>
      </c>
      <c r="CP22" s="42">
        <f ca="1">IF(OR($I$10="",$O22="",$P22="",$J$39&lt;&gt;"Yes"),0,IF($K$10=0,SUMIFS(INDIRECT(ADDRESS(12,3+18*1+(4),,,"J1 B - Butcher Terrace")&amp;":"&amp;ADDRESS(130,3+18*1+(4))),'J1 B - Butcher Terrace'!$A$12:$A$130,"&gt;="&amp;Diagram!$O22,'J1 B - Butcher Terrace'!$A$12:$A$130,"&lt;"&amp;Diagram!$P22),SUMIFS(INDIRECT(ADDRESS(12,3+18*1+(12),,,"J1 B - Butcher Terrace")&amp;":"&amp;ADDRESS(130,3+18*1+(12))),'J1 B - Butcher Terrace'!$A$12:$A$130,"&gt;="&amp;Diagram!$O22,'J1 B - Butcher Terrace'!$A$12:$A$130,"&lt;"&amp;Diagram!$P22)))</f>
        <v>0</v>
      </c>
      <c r="CQ22" s="42">
        <f ca="1">IF(OR($I$10="",$O22="",$P22="",$J$39&lt;&gt;"Yes"),0,IF($K$10=0,SUMIFS(INDIRECT(ADDRESS(12,3+18*1+(4),,,"J1 C - (South) Bishopthorpe Roa")&amp;":"&amp;ADDRESS(130,3+18*1+(4))),'J1 C - (South) Bishopthorpe Roa'!$A$12:$A$130,"&gt;="&amp;Diagram!$O22,'J1 C - (South) Bishopthorpe Roa'!$A$12:$A$130,"&lt;"&amp;Diagram!$P22),SUMIFS(INDIRECT(ADDRESS(12,3+18*1+(12),,,"J1 C - (South) Bishopthorpe Roa")&amp;":"&amp;ADDRESS(130,3+18*1+(12))),'J1 C - (South) Bishopthorpe Roa'!$A$12:$A$130,"&gt;="&amp;Diagram!$O22,'J1 C - (South) Bishopthorpe Roa'!$A$12:$A$130,"&lt;"&amp;Diagram!$P22)))</f>
        <v>0</v>
      </c>
      <c r="CR22" s="42">
        <f ca="1">IF(OR($I$10="",$O22="",$P22="",$J$39&lt;&gt;"Yes"),0,IF($K$10=0,SUMIFS(INDIRECT(ADDRESS(12,3+18*2+(4),,,"J1 C - (South) Bishopthorpe Roa")&amp;":"&amp;ADDRESS(130,3+18*2+(4))),'J1 C - (South) Bishopthorpe Roa'!$A$12:$A$130,"&gt;="&amp;Diagram!$O22,'J1 C - (South) Bishopthorpe Roa'!$A$12:$A$130,"&lt;"&amp;Diagram!$P22),SUMIFS(INDIRECT(ADDRESS(12,3+18*2+(12),,,"J1 C - (South) Bishopthorpe Roa")&amp;":"&amp;ADDRESS(130,3+18*2+(12))),'J1 C - (South) Bishopthorpe Roa'!$A$12:$A$130,"&gt;="&amp;Diagram!$O22,'J1 C - (South) Bishopthorpe Roa'!$A$12:$A$130,"&lt;"&amp;Diagram!$P22)))</f>
        <v>0</v>
      </c>
      <c r="CS22" s="42">
        <f ca="1">IF(OR($I$10="",$O22="",$P22="",$J$39&lt;&gt;"Yes"),0,IF($K$10=0,SUMIFS(INDIRECT(ADDRESS(12,3+18*3+(4),,,"J1 C - (South) Bishopthorpe Roa")&amp;":"&amp;ADDRESS(130,3+18*3+(4))),'J1 C - (South) Bishopthorpe Roa'!$A$12:$A$130,"&gt;="&amp;Diagram!$O22,'J1 C - (South) Bishopthorpe Roa'!$A$12:$A$130,"&lt;"&amp;Diagram!$P22),SUMIFS(INDIRECT(ADDRESS(12,3+18*3+(12),,,"J1 C - (South) Bishopthorpe Roa")&amp;":"&amp;ADDRESS(130,3+18*3+(12))),'J1 C - (South) Bishopthorpe Roa'!$A$12:$A$130,"&gt;="&amp;Diagram!$O22,'J1 C - (South) Bishopthorpe Roa'!$A$12:$A$130,"&lt;"&amp;Diagram!$P22)))</f>
        <v>0</v>
      </c>
      <c r="CT22" s="42">
        <f ca="1">IF(OR($I$10="",$O22="",$P22="",$J$39&lt;&gt;"Yes"),0,IF($K$10=0,SUMIFS(INDIRECT(ADDRESS(12,3+18*0+(4),,,"J1 C - (South) Bishopthorpe Roa")&amp;":"&amp;ADDRESS(130,3+18*0+(4))),'J1 C - (South) Bishopthorpe Roa'!$A$12:$A$130,"&gt;="&amp;Diagram!$O22,'J1 C - (South) Bishopthorpe Roa'!$A$12:$A$130,"&lt;"&amp;Diagram!$P22),SUMIFS(INDIRECT(ADDRESS(12,3+18*0+(12),,,"J1 C - (South) Bishopthorpe Roa")&amp;":"&amp;ADDRESS(130,3+18*0+(12))),'J1 C - (South) Bishopthorpe Roa'!$A$12:$A$130,"&gt;="&amp;Diagram!$O22,'J1 C - (South) Bishopthorpe Roa'!$A$12:$A$130,"&lt;"&amp;Diagram!$P22)))</f>
        <v>0</v>
      </c>
      <c r="CU22" s="42">
        <f ca="1">IF(OR($I$10="",$O22="",$P22="",$J$39&lt;&gt;"Yes"),0,IF($K$10=0,SUMIFS(INDIRECT(ADDRESS(12,3+18*0+(4),,,"J1 D - South Bank Avenue")&amp;":"&amp;ADDRESS(130,3+18*0+(4))),'J1 D - South Bank Avenue'!$A$12:$A$130,"&gt;="&amp;Diagram!$O22,'J1 D - South Bank Avenue'!$A$12:$A$130,"&lt;"&amp;Diagram!$P22),SUMIFS(INDIRECT(ADDRESS(12,3+18*0+(12),,,"J1 D - South Bank Avenue")&amp;":"&amp;ADDRESS(130,3+18*0+(12))),'J1 D - South Bank Avenue'!$A$12:$A$130,"&gt;="&amp;Diagram!$O22,'J1 D - South Bank Avenue'!$A$12:$A$130,"&lt;"&amp;Diagram!$P22)))</f>
        <v>0</v>
      </c>
      <c r="CV22" s="42">
        <f ca="1">IF(OR($I$10="",$O22="",$P22="",$J$39&lt;&gt;"Yes"),0,IF($K$10=0,SUMIFS(INDIRECT(ADDRESS(12,3+18*1+(4),,,"J1 D - South Bank Avenue")&amp;":"&amp;ADDRESS(130,3+18*1+(4))),'J1 D - South Bank Avenue'!$A$12:$A$130,"&gt;="&amp;Diagram!$O22,'J1 D - South Bank Avenue'!$A$12:$A$130,"&lt;"&amp;Diagram!$P22),SUMIFS(INDIRECT(ADDRESS(12,3+18*1+(12),,,"J1 D - South Bank Avenue")&amp;":"&amp;ADDRESS(130,3+18*1+(12))),'J1 D - South Bank Avenue'!$A$12:$A$130,"&gt;="&amp;Diagram!$O22,'J1 D - South Bank Avenue'!$A$12:$A$130,"&lt;"&amp;Diagram!$P22)))</f>
        <v>0</v>
      </c>
      <c r="CW22" s="42">
        <f ca="1">IF(OR($I$10="",$O22="",$P22="",$J$39&lt;&gt;"Yes"),0,IF($K$10=0,SUMIFS(INDIRECT(ADDRESS(12,3+18*2+(4),,,"J1 D - South Bank Avenue")&amp;":"&amp;ADDRESS(130,3+18*2+(4))),'J1 D - South Bank Avenue'!$A$12:$A$130,"&gt;="&amp;Diagram!$O22,'J1 D - South Bank Avenue'!$A$12:$A$130,"&lt;"&amp;Diagram!$P22),SUMIFS(INDIRECT(ADDRESS(12,3+18*2+(12),,,"J1 D - South Bank Avenue")&amp;":"&amp;ADDRESS(130,3+18*2+(12))),'J1 D - South Bank Avenue'!$A$12:$A$130,"&gt;="&amp;Diagram!$O22,'J1 D - South Bank Avenue'!$A$12:$A$130,"&lt;"&amp;Diagram!$P22)))</f>
        <v>0</v>
      </c>
      <c r="CX22" s="42">
        <f ca="1">IF(OR($I$10="",$O22="",$P22="",$J$39&lt;&gt;"Yes"),0,IF($K$10=0,SUMIFS(INDIRECT(ADDRESS(12,3+18*3+(4),,,"J1 D - South Bank Avenue")&amp;":"&amp;ADDRESS(130,3+18*3+(4))),'J1 D - South Bank Avenue'!$A$12:$A$130,"&gt;="&amp;Diagram!$O22,'J1 D - South Bank Avenue'!$A$12:$A$130,"&lt;"&amp;Diagram!$P22),SUMIFS(INDIRECT(ADDRESS(12,3+18*3+(12),,,"J1 D - South Bank Avenue")&amp;":"&amp;ADDRESS(130,3+18*3+(12))),'J1 D - South Bank Avenue'!$A$12:$A$130,"&gt;="&amp;Diagram!$O22,'J1 D - South Bank Avenue'!$A$12:$A$130,"&lt;"&amp;Diagram!$P22)))</f>
        <v>0</v>
      </c>
      <c r="CY22" s="42">
        <f t="shared" ca="1" si="6"/>
        <v>12</v>
      </c>
      <c r="CZ22" s="42">
        <f ca="1">IF(OR($I$10="",$O22="",$P22="",$J$40&lt;&gt;"Yes"),0,IF($K$10=0,SUMIFS(INDIRECT(ADDRESS(12,3+18*3+(5),,,"J1 A - (North) Bishopthorpe Roa")&amp;":"&amp;ADDRESS(130,3+18*3+(5))),'J1 A - (North) Bishopthorpe Roa'!$A$12:$A$130,"&gt;="&amp;Diagram!$O22,'J1 A - (North) Bishopthorpe Roa'!$A$12:$A$130,"&lt;"&amp;Diagram!$P22),SUMIFS(INDIRECT(ADDRESS(12,3+18*3+(13),,,"J1 A - (North) Bishopthorpe Roa")&amp;":"&amp;ADDRESS(130,3+18*3+(13))),'J1 A - (North) Bishopthorpe Roa'!$A$12:$A$130,"&gt;="&amp;Diagram!$O22,'J1 A - (North) Bishopthorpe Roa'!$A$12:$A$130,"&lt;"&amp;Diagram!$P22)))</f>
        <v>0</v>
      </c>
      <c r="DA22" s="42">
        <f ca="1">IF(OR($I$10="",$O22="",$P22="",$J$40&lt;&gt;"Yes"),0,IF($K$10=0,SUMIFS(INDIRECT(ADDRESS(12,3+18*0+(5),,,"J1 A - (North) Bishopthorpe Roa")&amp;":"&amp;ADDRESS(130,3+18*0+(5))),'J1 A - (North) Bishopthorpe Roa'!$A$12:$A$130,"&gt;="&amp;Diagram!$O22,'J1 A - (North) Bishopthorpe Roa'!$A$12:$A$130,"&lt;"&amp;Diagram!$P22),SUMIFS(INDIRECT(ADDRESS(12,3+18*0+(13),,,"J1 A - (North) Bishopthorpe Roa")&amp;":"&amp;ADDRESS(130,3+18*0+(13))),'J1 A - (North) Bishopthorpe Roa'!$A$12:$A$130,"&gt;="&amp;Diagram!$O22,'J1 A - (North) Bishopthorpe Roa'!$A$12:$A$130,"&lt;"&amp;Diagram!$P22)))</f>
        <v>0</v>
      </c>
      <c r="DB22" s="42">
        <f ca="1">IF(OR($I$10="",$O22="",$P22="",$J$40&lt;&gt;"Yes"),0,IF($K$10=0,SUMIFS(INDIRECT(ADDRESS(12,3+18*1+(5),,,"J1 A - (North) Bishopthorpe Roa")&amp;":"&amp;ADDRESS(130,3+18*1+(5))),'J1 A - (North) Bishopthorpe Roa'!$A$12:$A$130,"&gt;="&amp;Diagram!$O22,'J1 A - (North) Bishopthorpe Roa'!$A$12:$A$130,"&lt;"&amp;Diagram!$P22),SUMIFS(INDIRECT(ADDRESS(12,3+18*1+(13),,,"J1 A - (North) Bishopthorpe Roa")&amp;":"&amp;ADDRESS(130,3+18*1+(13))),'J1 A - (North) Bishopthorpe Roa'!$A$12:$A$130,"&gt;="&amp;Diagram!$O22,'J1 A - (North) Bishopthorpe Roa'!$A$12:$A$130,"&lt;"&amp;Diagram!$P22)))</f>
        <v>2</v>
      </c>
      <c r="DC22" s="42">
        <f ca="1">IF(OR($I$10="",$O22="",$P22="",$J$40&lt;&gt;"Yes"),0,IF($K$10=0,SUMIFS(INDIRECT(ADDRESS(12,3+18*2+(5),,,"J1 A - (North) Bishopthorpe Roa")&amp;":"&amp;ADDRESS(130,3+18*2+(5))),'J1 A - (North) Bishopthorpe Roa'!$A$12:$A$130,"&gt;="&amp;Diagram!$O22,'J1 A - (North) Bishopthorpe Roa'!$A$12:$A$130,"&lt;"&amp;Diagram!$P22),SUMIFS(INDIRECT(ADDRESS(12,3+18*2+(13),,,"J1 A - (North) Bishopthorpe Roa")&amp;":"&amp;ADDRESS(130,3+18*2+(13))),'J1 A - (North) Bishopthorpe Roa'!$A$12:$A$130,"&gt;="&amp;Diagram!$O22,'J1 A - (North) Bishopthorpe Roa'!$A$12:$A$130,"&lt;"&amp;Diagram!$P22)))</f>
        <v>0</v>
      </c>
      <c r="DD22" s="42">
        <f ca="1">IF(OR($I$10="",$O22="",$P22="",$J$40&lt;&gt;"Yes"),0,IF($K$10=0,SUMIFS(INDIRECT(ADDRESS(12,3+18*2+(5),,,"J1 B - Butcher Terrace")&amp;":"&amp;ADDRESS(130,3+18*2+(5))),'J1 B - Butcher Terrace'!$A$12:$A$130,"&gt;="&amp;Diagram!$O22,'J1 B - Butcher Terrace'!$A$12:$A$130,"&lt;"&amp;Diagram!$P22),SUMIFS(INDIRECT(ADDRESS(12,3+18*2+(13),,,"J1 B - Butcher Terrace")&amp;":"&amp;ADDRESS(130,3+18*2+(13))),'J1 B - Butcher Terrace'!$A$12:$A$130,"&gt;="&amp;Diagram!$O22,'J1 B - Butcher Terrace'!$A$12:$A$130,"&lt;"&amp;Diagram!$P22)))</f>
        <v>1</v>
      </c>
      <c r="DE22" s="42">
        <f ca="1">IF(OR($I$10="",$O22="",$P22="",$J$40&lt;&gt;"Yes"),0,IF($K$10=0,SUMIFS(INDIRECT(ADDRESS(12,3+18*3+(5),,,"J1 B - Butcher Terrace")&amp;":"&amp;ADDRESS(130,3+18*3+(5))),'J1 B - Butcher Terrace'!$A$12:$A$130,"&gt;="&amp;Diagram!$O22,'J1 B - Butcher Terrace'!$A$12:$A$130,"&lt;"&amp;Diagram!$P22),SUMIFS(INDIRECT(ADDRESS(12,3+18*3+(13),,,"J1 B - Butcher Terrace")&amp;":"&amp;ADDRESS(130,3+18*3+(13))),'J1 B - Butcher Terrace'!$A$12:$A$130,"&gt;="&amp;Diagram!$O22,'J1 B - Butcher Terrace'!$A$12:$A$130,"&lt;"&amp;Diagram!$P22)))</f>
        <v>0</v>
      </c>
      <c r="DF22" s="42">
        <f ca="1">IF(OR($I$10="",$O22="",$P22="",$J$40&lt;&gt;"Yes"),0,IF($K$10=0,SUMIFS(INDIRECT(ADDRESS(12,3+18*0+(5),,,"J1 B - Butcher Terrace")&amp;":"&amp;ADDRESS(130,3+18*0+(5))),'J1 B - Butcher Terrace'!$A$12:$A$130,"&gt;="&amp;Diagram!$O22,'J1 B - Butcher Terrace'!$A$12:$A$130,"&lt;"&amp;Diagram!$P22),SUMIFS(INDIRECT(ADDRESS(12,3+18*0+(13),,,"J1 B - Butcher Terrace")&amp;":"&amp;ADDRESS(130,3+18*0+(13))),'J1 B - Butcher Terrace'!$A$12:$A$130,"&gt;="&amp;Diagram!$O22,'J1 B - Butcher Terrace'!$A$12:$A$130,"&lt;"&amp;Diagram!$P22)))</f>
        <v>4</v>
      </c>
      <c r="DG22" s="42">
        <f ca="1">IF(OR($I$10="",$O22="",$P22="",$J$40&lt;&gt;"Yes"),0,IF($K$10=0,SUMIFS(INDIRECT(ADDRESS(12,3+18*1+(5),,,"J1 B - Butcher Terrace")&amp;":"&amp;ADDRESS(130,3+18*1+(5))),'J1 B - Butcher Terrace'!$A$12:$A$130,"&gt;="&amp;Diagram!$O22,'J1 B - Butcher Terrace'!$A$12:$A$130,"&lt;"&amp;Diagram!$P22),SUMIFS(INDIRECT(ADDRESS(12,3+18*1+(13),,,"J1 B - Butcher Terrace")&amp;":"&amp;ADDRESS(130,3+18*1+(13))),'J1 B - Butcher Terrace'!$A$12:$A$130,"&gt;="&amp;Diagram!$O22,'J1 B - Butcher Terrace'!$A$12:$A$130,"&lt;"&amp;Diagram!$P22)))</f>
        <v>2</v>
      </c>
      <c r="DH22" s="42">
        <f ca="1">IF(OR($I$10="",$O22="",$P22="",$J$40&lt;&gt;"Yes"),0,IF($K$10=0,SUMIFS(INDIRECT(ADDRESS(12,3+18*1+(5),,,"J1 C - (South) Bishopthorpe Roa")&amp;":"&amp;ADDRESS(130,3+18*1+(5))),'J1 C - (South) Bishopthorpe Roa'!$A$12:$A$130,"&gt;="&amp;Diagram!$O22,'J1 C - (South) Bishopthorpe Roa'!$A$12:$A$130,"&lt;"&amp;Diagram!$P22),SUMIFS(INDIRECT(ADDRESS(12,3+18*1+(13),,,"J1 C - (South) Bishopthorpe Roa")&amp;":"&amp;ADDRESS(130,3+18*1+(13))),'J1 C - (South) Bishopthorpe Roa'!$A$12:$A$130,"&gt;="&amp;Diagram!$O22,'J1 C - (South) Bishopthorpe Roa'!$A$12:$A$130,"&lt;"&amp;Diagram!$P22)))</f>
        <v>2</v>
      </c>
      <c r="DI22" s="42">
        <f ca="1">IF(OR($I$10="",$O22="",$P22="",$J$40&lt;&gt;"Yes"),0,IF($K$10=0,SUMIFS(INDIRECT(ADDRESS(12,3+18*2+(5),,,"J1 C - (South) Bishopthorpe Roa")&amp;":"&amp;ADDRESS(130,3+18*2+(5))),'J1 C - (South) Bishopthorpe Roa'!$A$12:$A$130,"&gt;="&amp;Diagram!$O22,'J1 C - (South) Bishopthorpe Roa'!$A$12:$A$130,"&lt;"&amp;Diagram!$P22),SUMIFS(INDIRECT(ADDRESS(12,3+18*2+(13),,,"J1 C - (South) Bishopthorpe Roa")&amp;":"&amp;ADDRESS(130,3+18*2+(13))),'J1 C - (South) Bishopthorpe Roa'!$A$12:$A$130,"&gt;="&amp;Diagram!$O22,'J1 C - (South) Bishopthorpe Roa'!$A$12:$A$130,"&lt;"&amp;Diagram!$P22)))</f>
        <v>0</v>
      </c>
      <c r="DJ22" s="42">
        <f ca="1">IF(OR($I$10="",$O22="",$P22="",$J$40&lt;&gt;"Yes"),0,IF($K$10=0,SUMIFS(INDIRECT(ADDRESS(12,3+18*3+(5),,,"J1 C - (South) Bishopthorpe Roa")&amp;":"&amp;ADDRESS(130,3+18*3+(5))),'J1 C - (South) Bishopthorpe Roa'!$A$12:$A$130,"&gt;="&amp;Diagram!$O22,'J1 C - (South) Bishopthorpe Roa'!$A$12:$A$130,"&lt;"&amp;Diagram!$P22),SUMIFS(INDIRECT(ADDRESS(12,3+18*3+(13),,,"J1 C - (South) Bishopthorpe Roa")&amp;":"&amp;ADDRESS(130,3+18*3+(13))),'J1 C - (South) Bishopthorpe Roa'!$A$12:$A$130,"&gt;="&amp;Diagram!$O22,'J1 C - (South) Bishopthorpe Roa'!$A$12:$A$130,"&lt;"&amp;Diagram!$P22)))</f>
        <v>0</v>
      </c>
      <c r="DK22" s="42">
        <f ca="1">IF(OR($I$10="",$O22="",$P22="",$J$40&lt;&gt;"Yes"),0,IF($K$10=0,SUMIFS(INDIRECT(ADDRESS(12,3+18*0+(5),,,"J1 C - (South) Bishopthorpe Roa")&amp;":"&amp;ADDRESS(130,3+18*0+(5))),'J1 C - (South) Bishopthorpe Roa'!$A$12:$A$130,"&gt;="&amp;Diagram!$O22,'J1 C - (South) Bishopthorpe Roa'!$A$12:$A$130,"&lt;"&amp;Diagram!$P22),SUMIFS(INDIRECT(ADDRESS(12,3+18*0+(13),,,"J1 C - (South) Bishopthorpe Roa")&amp;":"&amp;ADDRESS(130,3+18*0+(13))),'J1 C - (South) Bishopthorpe Roa'!$A$12:$A$130,"&gt;="&amp;Diagram!$O22,'J1 C - (South) Bishopthorpe Roa'!$A$12:$A$130,"&lt;"&amp;Diagram!$P22)))</f>
        <v>0</v>
      </c>
      <c r="DL22" s="42">
        <f ca="1">IF(OR($I$10="",$O22="",$P22="",$J$40&lt;&gt;"Yes"),0,IF($K$10=0,SUMIFS(INDIRECT(ADDRESS(12,3+18*0+(5),,,"J1 D - South Bank Avenue")&amp;":"&amp;ADDRESS(130,3+18*0+(5))),'J1 D - South Bank Avenue'!$A$12:$A$130,"&gt;="&amp;Diagram!$O22,'J1 D - South Bank Avenue'!$A$12:$A$130,"&lt;"&amp;Diagram!$P22),SUMIFS(INDIRECT(ADDRESS(12,3+18*0+(13),,,"J1 D - South Bank Avenue")&amp;":"&amp;ADDRESS(130,3+18*0+(13))),'J1 D - South Bank Avenue'!$A$12:$A$130,"&gt;="&amp;Diagram!$O22,'J1 D - South Bank Avenue'!$A$12:$A$130,"&lt;"&amp;Diagram!$P22)))</f>
        <v>0</v>
      </c>
      <c r="DM22" s="42">
        <f ca="1">IF(OR($I$10="",$O22="",$P22="",$J$40&lt;&gt;"Yes"),0,IF($K$10=0,SUMIFS(INDIRECT(ADDRESS(12,3+18*1+(5),,,"J1 D - South Bank Avenue")&amp;":"&amp;ADDRESS(130,3+18*1+(5))),'J1 D - South Bank Avenue'!$A$12:$A$130,"&gt;="&amp;Diagram!$O22,'J1 D - South Bank Avenue'!$A$12:$A$130,"&lt;"&amp;Diagram!$P22),SUMIFS(INDIRECT(ADDRESS(12,3+18*1+(13),,,"J1 D - South Bank Avenue")&amp;":"&amp;ADDRESS(130,3+18*1+(13))),'J1 D - South Bank Avenue'!$A$12:$A$130,"&gt;="&amp;Diagram!$O22,'J1 D - South Bank Avenue'!$A$12:$A$130,"&lt;"&amp;Diagram!$P22)))</f>
        <v>1</v>
      </c>
      <c r="DN22" s="42">
        <f ca="1">IF(OR($I$10="",$O22="",$P22="",$J$40&lt;&gt;"Yes"),0,IF($K$10=0,SUMIFS(INDIRECT(ADDRESS(12,3+18*2+(5),,,"J1 D - South Bank Avenue")&amp;":"&amp;ADDRESS(130,3+18*2+(5))),'J1 D - South Bank Avenue'!$A$12:$A$130,"&gt;="&amp;Diagram!$O22,'J1 D - South Bank Avenue'!$A$12:$A$130,"&lt;"&amp;Diagram!$P22),SUMIFS(INDIRECT(ADDRESS(12,3+18*2+(13),,,"J1 D - South Bank Avenue")&amp;":"&amp;ADDRESS(130,3+18*2+(13))),'J1 D - South Bank Avenue'!$A$12:$A$130,"&gt;="&amp;Diagram!$O22,'J1 D - South Bank Avenue'!$A$12:$A$130,"&lt;"&amp;Diagram!$P22)))</f>
        <v>0</v>
      </c>
      <c r="DO22" s="42">
        <f ca="1">IF(OR($I$10="",$O22="",$P22="",$J$40&lt;&gt;"Yes"),0,IF($K$10=0,SUMIFS(INDIRECT(ADDRESS(12,3+18*3+(5),,,"J1 D - South Bank Avenue")&amp;":"&amp;ADDRESS(130,3+18*3+(5))),'J1 D - South Bank Avenue'!$A$12:$A$130,"&gt;="&amp;Diagram!$O22,'J1 D - South Bank Avenue'!$A$12:$A$130,"&lt;"&amp;Diagram!$P22),SUMIFS(INDIRECT(ADDRESS(12,3+18*3+(13),,,"J1 D - South Bank Avenue")&amp;":"&amp;ADDRESS(130,3+18*3+(13))),'J1 D - South Bank Avenue'!$A$12:$A$130,"&gt;="&amp;Diagram!$O22,'J1 D - South Bank Avenue'!$A$12:$A$130,"&lt;"&amp;Diagram!$P22)))</f>
        <v>0</v>
      </c>
      <c r="DP22" s="42">
        <f t="shared" ca="1" si="7"/>
        <v>0</v>
      </c>
      <c r="DQ22" s="42">
        <f ca="1">IF(OR($I$10="",$O22="",$P22="",$J$41&lt;&gt;"Yes"),0,IF($K$10=0,SUMIFS(INDIRECT(ADDRESS(12,3+18*3+(6),,,"J1 A - (North) Bishopthorpe Roa")&amp;":"&amp;ADDRESS(130,3+18*3+(6))),'J1 A - (North) Bishopthorpe Roa'!$A$12:$A$130,"&gt;="&amp;Diagram!$O22,'J1 A - (North) Bishopthorpe Roa'!$A$12:$A$130,"&lt;"&amp;Diagram!$P22),SUMIFS(INDIRECT(ADDRESS(12,3+18*3+(14),,,"J1 A - (North) Bishopthorpe Roa")&amp;":"&amp;ADDRESS(130,3+18*3+(14))),'J1 A - (North) Bishopthorpe Roa'!$A$12:$A$130,"&gt;="&amp;Diagram!$O22,'J1 A - (North) Bishopthorpe Roa'!$A$12:$A$130,"&lt;"&amp;Diagram!$P22)))</f>
        <v>0</v>
      </c>
      <c r="DR22" s="42">
        <f ca="1">IF(OR($I$10="",$O22="",$P22="",$J$41&lt;&gt;"Yes"),0,IF($K$10=0,SUMIFS(INDIRECT(ADDRESS(12,3+18*0+(6),,,"J1 A - (North) Bishopthorpe Roa")&amp;":"&amp;ADDRESS(130,3+18*0+(6))),'J1 A - (North) Bishopthorpe Roa'!$A$12:$A$130,"&gt;="&amp;Diagram!$O22,'J1 A - (North) Bishopthorpe Roa'!$A$12:$A$130,"&lt;"&amp;Diagram!$P22),SUMIFS(INDIRECT(ADDRESS(12,3+18*0+(14),,,"J1 A - (North) Bishopthorpe Roa")&amp;":"&amp;ADDRESS(130,3+18*0+(14))),'J1 A - (North) Bishopthorpe Roa'!$A$12:$A$130,"&gt;="&amp;Diagram!$O22,'J1 A - (North) Bishopthorpe Roa'!$A$12:$A$130,"&lt;"&amp;Diagram!$P22)))</f>
        <v>0</v>
      </c>
      <c r="DS22" s="42">
        <f ca="1">IF(OR($I$10="",$O22="",$P22="",$J$41&lt;&gt;"Yes"),0,IF($K$10=0,SUMIFS(INDIRECT(ADDRESS(12,3+18*1+(6),,,"J1 A - (North) Bishopthorpe Roa")&amp;":"&amp;ADDRESS(130,3+18*1+(6))),'J1 A - (North) Bishopthorpe Roa'!$A$12:$A$130,"&gt;="&amp;Diagram!$O22,'J1 A - (North) Bishopthorpe Roa'!$A$12:$A$130,"&lt;"&amp;Diagram!$P22),SUMIFS(INDIRECT(ADDRESS(12,3+18*1+(14),,,"J1 A - (North) Bishopthorpe Roa")&amp;":"&amp;ADDRESS(130,3+18*1+(14))),'J1 A - (North) Bishopthorpe Roa'!$A$12:$A$130,"&gt;="&amp;Diagram!$O22,'J1 A - (North) Bishopthorpe Roa'!$A$12:$A$130,"&lt;"&amp;Diagram!$P22)))</f>
        <v>0</v>
      </c>
      <c r="DT22" s="42">
        <f ca="1">IF(OR($I$10="",$O22="",$P22="",$J$41&lt;&gt;"Yes"),0,IF($K$10=0,SUMIFS(INDIRECT(ADDRESS(12,3+18*2+(6),,,"J1 A - (North) Bishopthorpe Roa")&amp;":"&amp;ADDRESS(130,3+18*2+(6))),'J1 A - (North) Bishopthorpe Roa'!$A$12:$A$130,"&gt;="&amp;Diagram!$O22,'J1 A - (North) Bishopthorpe Roa'!$A$12:$A$130,"&lt;"&amp;Diagram!$P22),SUMIFS(INDIRECT(ADDRESS(12,3+18*2+(14),,,"J1 A - (North) Bishopthorpe Roa")&amp;":"&amp;ADDRESS(130,3+18*2+(14))),'J1 A - (North) Bishopthorpe Roa'!$A$12:$A$130,"&gt;="&amp;Diagram!$O22,'J1 A - (North) Bishopthorpe Roa'!$A$12:$A$130,"&lt;"&amp;Diagram!$P22)))</f>
        <v>0</v>
      </c>
      <c r="DU22" s="42">
        <f ca="1">IF(OR($I$10="",$O22="",$P22="",$J$41&lt;&gt;"Yes"),0,IF($K$10=0,SUMIFS(INDIRECT(ADDRESS(12,3+18*2+(6),,,"J1 B - Butcher Terrace")&amp;":"&amp;ADDRESS(130,3+18*2+(6))),'J1 B - Butcher Terrace'!$A$12:$A$130,"&gt;="&amp;Diagram!$O22,'J1 B - Butcher Terrace'!$A$12:$A$130,"&lt;"&amp;Diagram!$P22),SUMIFS(INDIRECT(ADDRESS(12,3+18*2+(14),,,"J1 B - Butcher Terrace")&amp;":"&amp;ADDRESS(130,3+18*2+(14))),'J1 B - Butcher Terrace'!$A$12:$A$130,"&gt;="&amp;Diagram!$O22,'J1 B - Butcher Terrace'!$A$12:$A$130,"&lt;"&amp;Diagram!$P22)))</f>
        <v>0</v>
      </c>
      <c r="DV22" s="42">
        <f ca="1">IF(OR($I$10="",$O22="",$P22="",$J$41&lt;&gt;"Yes"),0,IF($K$10=0,SUMIFS(INDIRECT(ADDRESS(12,3+18*3+(6),,,"J1 B - Butcher Terrace")&amp;":"&amp;ADDRESS(130,3+18*3+(6))),'J1 B - Butcher Terrace'!$A$12:$A$130,"&gt;="&amp;Diagram!$O22,'J1 B - Butcher Terrace'!$A$12:$A$130,"&lt;"&amp;Diagram!$P22),SUMIFS(INDIRECT(ADDRESS(12,3+18*3+(14),,,"J1 B - Butcher Terrace")&amp;":"&amp;ADDRESS(130,3+18*3+(14))),'J1 B - Butcher Terrace'!$A$12:$A$130,"&gt;="&amp;Diagram!$O22,'J1 B - Butcher Terrace'!$A$12:$A$130,"&lt;"&amp;Diagram!$P22)))</f>
        <v>0</v>
      </c>
      <c r="DW22" s="42">
        <f ca="1">IF(OR($I$10="",$O22="",$P22="",$J$41&lt;&gt;"Yes"),0,IF($K$10=0,SUMIFS(INDIRECT(ADDRESS(12,3+18*0+(6),,,"J1 B - Butcher Terrace")&amp;":"&amp;ADDRESS(130,3+18*0+(6))),'J1 B - Butcher Terrace'!$A$12:$A$130,"&gt;="&amp;Diagram!$O22,'J1 B - Butcher Terrace'!$A$12:$A$130,"&lt;"&amp;Diagram!$P22),SUMIFS(INDIRECT(ADDRESS(12,3+18*0+(14),,,"J1 B - Butcher Terrace")&amp;":"&amp;ADDRESS(130,3+18*0+(14))),'J1 B - Butcher Terrace'!$A$12:$A$130,"&gt;="&amp;Diagram!$O22,'J1 B - Butcher Terrace'!$A$12:$A$130,"&lt;"&amp;Diagram!$P22)))</f>
        <v>0</v>
      </c>
      <c r="DX22" s="42">
        <f ca="1">IF(OR($I$10="",$O22="",$P22="",$J$41&lt;&gt;"Yes"),0,IF($K$10=0,SUMIFS(INDIRECT(ADDRESS(12,3+18*1+(6),,,"J1 B - Butcher Terrace")&amp;":"&amp;ADDRESS(130,3+18*1+(6))),'J1 B - Butcher Terrace'!$A$12:$A$130,"&gt;="&amp;Diagram!$O22,'J1 B - Butcher Terrace'!$A$12:$A$130,"&lt;"&amp;Diagram!$P22),SUMIFS(INDIRECT(ADDRESS(12,3+18*1+(14),,,"J1 B - Butcher Terrace")&amp;":"&amp;ADDRESS(130,3+18*1+(14))),'J1 B - Butcher Terrace'!$A$12:$A$130,"&gt;="&amp;Diagram!$O22,'J1 B - Butcher Terrace'!$A$12:$A$130,"&lt;"&amp;Diagram!$P22)))</f>
        <v>0</v>
      </c>
      <c r="DY22" s="42">
        <f ca="1">IF(OR($I$10="",$O22="",$P22="",$J$41&lt;&gt;"Yes"),0,IF($K$10=0,SUMIFS(INDIRECT(ADDRESS(12,3+18*1+(6),,,"J1 C - (South) Bishopthorpe Roa")&amp;":"&amp;ADDRESS(130,3+18*1+(6))),'J1 C - (South) Bishopthorpe Roa'!$A$12:$A$130,"&gt;="&amp;Diagram!$O22,'J1 C - (South) Bishopthorpe Roa'!$A$12:$A$130,"&lt;"&amp;Diagram!$P22),SUMIFS(INDIRECT(ADDRESS(12,3+18*1+(14),,,"J1 C - (South) Bishopthorpe Roa")&amp;":"&amp;ADDRESS(130,3+18*1+(14))),'J1 C - (South) Bishopthorpe Roa'!$A$12:$A$130,"&gt;="&amp;Diagram!$O22,'J1 C - (South) Bishopthorpe Roa'!$A$12:$A$130,"&lt;"&amp;Diagram!$P22)))</f>
        <v>0</v>
      </c>
      <c r="DZ22" s="42">
        <f ca="1">IF(OR($I$10="",$O22="",$P22="",$J$41&lt;&gt;"Yes"),0,IF($K$10=0,SUMIFS(INDIRECT(ADDRESS(12,3+18*2+(6),,,"J1 C - (South) Bishopthorpe Roa")&amp;":"&amp;ADDRESS(130,3+18*2+(6))),'J1 C - (South) Bishopthorpe Roa'!$A$12:$A$130,"&gt;="&amp;Diagram!$O22,'J1 C - (South) Bishopthorpe Roa'!$A$12:$A$130,"&lt;"&amp;Diagram!$P22),SUMIFS(INDIRECT(ADDRESS(12,3+18*2+(14),,,"J1 C - (South) Bishopthorpe Roa")&amp;":"&amp;ADDRESS(130,3+18*2+(14))),'J1 C - (South) Bishopthorpe Roa'!$A$12:$A$130,"&gt;="&amp;Diagram!$O22,'J1 C - (South) Bishopthorpe Roa'!$A$12:$A$130,"&lt;"&amp;Diagram!$P22)))</f>
        <v>0</v>
      </c>
      <c r="EA22" s="42">
        <f ca="1">IF(OR($I$10="",$O22="",$P22="",$J$41&lt;&gt;"Yes"),0,IF($K$10=0,SUMIFS(INDIRECT(ADDRESS(12,3+18*3+(6),,,"J1 C - (South) Bishopthorpe Roa")&amp;":"&amp;ADDRESS(130,3+18*3+(6))),'J1 C - (South) Bishopthorpe Roa'!$A$12:$A$130,"&gt;="&amp;Diagram!$O22,'J1 C - (South) Bishopthorpe Roa'!$A$12:$A$130,"&lt;"&amp;Diagram!$P22),SUMIFS(INDIRECT(ADDRESS(12,3+18*3+(14),,,"J1 C - (South) Bishopthorpe Roa")&amp;":"&amp;ADDRESS(130,3+18*3+(14))),'J1 C - (South) Bishopthorpe Roa'!$A$12:$A$130,"&gt;="&amp;Diagram!$O22,'J1 C - (South) Bishopthorpe Roa'!$A$12:$A$130,"&lt;"&amp;Diagram!$P22)))</f>
        <v>0</v>
      </c>
      <c r="EB22" s="42">
        <f ca="1">IF(OR($I$10="",$O22="",$P22="",$J$41&lt;&gt;"Yes"),0,IF($K$10=0,SUMIFS(INDIRECT(ADDRESS(12,3+18*0+(6),,,"J1 C - (South) Bishopthorpe Roa")&amp;":"&amp;ADDRESS(130,3+18*0+(6))),'J1 C - (South) Bishopthorpe Roa'!$A$12:$A$130,"&gt;="&amp;Diagram!$O22,'J1 C - (South) Bishopthorpe Roa'!$A$12:$A$130,"&lt;"&amp;Diagram!$P22),SUMIFS(INDIRECT(ADDRESS(12,3+18*0+(14),,,"J1 C - (South) Bishopthorpe Roa")&amp;":"&amp;ADDRESS(130,3+18*0+(14))),'J1 C - (South) Bishopthorpe Roa'!$A$12:$A$130,"&gt;="&amp;Diagram!$O22,'J1 C - (South) Bishopthorpe Roa'!$A$12:$A$130,"&lt;"&amp;Diagram!$P22)))</f>
        <v>0</v>
      </c>
      <c r="EC22" s="42">
        <f ca="1">IF(OR($I$10="",$O22="",$P22="",$J$41&lt;&gt;"Yes"),0,IF($K$10=0,SUMIFS(INDIRECT(ADDRESS(12,3+18*0+(6),,,"J1 D - South Bank Avenue")&amp;":"&amp;ADDRESS(130,3+18*0+(6))),'J1 D - South Bank Avenue'!$A$12:$A$130,"&gt;="&amp;Diagram!$O22,'J1 D - South Bank Avenue'!$A$12:$A$130,"&lt;"&amp;Diagram!$P22),SUMIFS(INDIRECT(ADDRESS(12,3+18*0+(14),,,"J1 D - South Bank Avenue")&amp;":"&amp;ADDRESS(130,3+18*0+(14))),'J1 D - South Bank Avenue'!$A$12:$A$130,"&gt;="&amp;Diagram!$O22,'J1 D - South Bank Avenue'!$A$12:$A$130,"&lt;"&amp;Diagram!$P22)))</f>
        <v>0</v>
      </c>
      <c r="ED22" s="42">
        <f ca="1">IF(OR($I$10="",$O22="",$P22="",$J$41&lt;&gt;"Yes"),0,IF($K$10=0,SUMIFS(INDIRECT(ADDRESS(12,3+18*1+(6),,,"J1 D - South Bank Avenue")&amp;":"&amp;ADDRESS(130,3+18*1+(6))),'J1 D - South Bank Avenue'!$A$12:$A$130,"&gt;="&amp;Diagram!$O22,'J1 D - South Bank Avenue'!$A$12:$A$130,"&lt;"&amp;Diagram!$P22),SUMIFS(INDIRECT(ADDRESS(12,3+18*1+(14),,,"J1 D - South Bank Avenue")&amp;":"&amp;ADDRESS(130,3+18*1+(14))),'J1 D - South Bank Avenue'!$A$12:$A$130,"&gt;="&amp;Diagram!$O22,'J1 D - South Bank Avenue'!$A$12:$A$130,"&lt;"&amp;Diagram!$P22)))</f>
        <v>0</v>
      </c>
      <c r="EE22" s="42">
        <f ca="1">IF(OR($I$10="",$O22="",$P22="",$J$41&lt;&gt;"Yes"),0,IF($K$10=0,SUMIFS(INDIRECT(ADDRESS(12,3+18*2+(6),,,"J1 D - South Bank Avenue")&amp;":"&amp;ADDRESS(130,3+18*2+(6))),'J1 D - South Bank Avenue'!$A$12:$A$130,"&gt;="&amp;Diagram!$O22,'J1 D - South Bank Avenue'!$A$12:$A$130,"&lt;"&amp;Diagram!$P22),SUMIFS(INDIRECT(ADDRESS(12,3+18*2+(14),,,"J1 D - South Bank Avenue")&amp;":"&amp;ADDRESS(130,3+18*2+(14))),'J1 D - South Bank Avenue'!$A$12:$A$130,"&gt;="&amp;Diagram!$O22,'J1 D - South Bank Avenue'!$A$12:$A$130,"&lt;"&amp;Diagram!$P22)))</f>
        <v>0</v>
      </c>
      <c r="EF22" s="42">
        <f ca="1">IF(OR($I$10="",$O22="",$P22="",$J$41&lt;&gt;"Yes"),0,IF($K$10=0,SUMIFS(INDIRECT(ADDRESS(12,3+18*3+(6),,,"J1 D - South Bank Avenue")&amp;":"&amp;ADDRESS(130,3+18*3+(6))),'J1 D - South Bank Avenue'!$A$12:$A$130,"&gt;="&amp;Diagram!$O22,'J1 D - South Bank Avenue'!$A$12:$A$130,"&lt;"&amp;Diagram!$P22),SUMIFS(INDIRECT(ADDRESS(12,3+18*3+(14),,,"J1 D - South Bank Avenue")&amp;":"&amp;ADDRESS(130,3+18*3+(14))),'J1 D - South Bank Avenue'!$A$12:$A$130,"&gt;="&amp;Diagram!$O22,'J1 D - South Bank Avenue'!$A$12:$A$130,"&lt;"&amp;Diagram!$P22)))</f>
        <v>0</v>
      </c>
      <c r="EG22" s="42">
        <f t="shared" ca="1" si="8"/>
        <v>0</v>
      </c>
      <c r="EH22" s="42">
        <f ca="1">IF(OR($I$10="",$O22="",$P22="",$J$42&lt;&gt;"Yes"),0,IF($K$10=0,SUMIFS(INDIRECT(ADDRESS(12,3+18*3+(7),,,"J1 A - (North) Bishopthorpe Roa")&amp;":"&amp;ADDRESS(130,3+18*3+(7))),'J1 A - (North) Bishopthorpe Roa'!$A$12:$A$130,"&gt;="&amp;Diagram!$O22,'J1 A - (North) Bishopthorpe Roa'!$A$12:$A$130,"&lt;"&amp;Diagram!$P22),SUMIFS(INDIRECT(ADDRESS(12,3+18*3+(15),,,"J1 A - (North) Bishopthorpe Roa")&amp;":"&amp;ADDRESS(130,3+18*3+(15))),'J1 A - (North) Bishopthorpe Roa'!$A$12:$A$130,"&gt;="&amp;Diagram!$O22,'J1 A - (North) Bishopthorpe Roa'!$A$12:$A$130,"&lt;"&amp;Diagram!$P22)))</f>
        <v>0</v>
      </c>
      <c r="EI22" s="42">
        <f ca="1">IF(OR($I$10="",$O22="",$P22="",$J$42&lt;&gt;"Yes"),0,IF($K$10=0,SUMIFS(INDIRECT(ADDRESS(12,3+18*0+(7),,,"J1 A - (North) Bishopthorpe Roa")&amp;":"&amp;ADDRESS(130,3+18*0+(7))),'J1 A - (North) Bishopthorpe Roa'!$A$12:$A$130,"&gt;="&amp;Diagram!$O22,'J1 A - (North) Bishopthorpe Roa'!$A$12:$A$130,"&lt;"&amp;Diagram!$P22),SUMIFS(INDIRECT(ADDRESS(12,3+18*0+(15),,,"J1 A - (North) Bishopthorpe Roa")&amp;":"&amp;ADDRESS(130,3+18*0+(15))),'J1 A - (North) Bishopthorpe Roa'!$A$12:$A$130,"&gt;="&amp;Diagram!$O22,'J1 A - (North) Bishopthorpe Roa'!$A$12:$A$130,"&lt;"&amp;Diagram!$P22)))</f>
        <v>0</v>
      </c>
      <c r="EJ22" s="42">
        <f ca="1">IF(OR($I$10="",$O22="",$P22="",$J$42&lt;&gt;"Yes"),0,IF($K$10=0,SUMIFS(INDIRECT(ADDRESS(12,3+18*1+(7),,,"J1 A - (North) Bishopthorpe Roa")&amp;":"&amp;ADDRESS(130,3+18*1+(7))),'J1 A - (North) Bishopthorpe Roa'!$A$12:$A$130,"&gt;="&amp;Diagram!$O22,'J1 A - (North) Bishopthorpe Roa'!$A$12:$A$130,"&lt;"&amp;Diagram!$P22),SUMIFS(INDIRECT(ADDRESS(12,3+18*1+(15),,,"J1 A - (North) Bishopthorpe Roa")&amp;":"&amp;ADDRESS(130,3+18*1+(15))),'J1 A - (North) Bishopthorpe Roa'!$A$12:$A$130,"&gt;="&amp;Diagram!$O22,'J1 A - (North) Bishopthorpe Roa'!$A$12:$A$130,"&lt;"&amp;Diagram!$P22)))</f>
        <v>0</v>
      </c>
      <c r="EK22" s="42">
        <f ca="1">IF(OR($I$10="",$O22="",$P22="",$J$42&lt;&gt;"Yes"),0,IF($K$10=0,SUMIFS(INDIRECT(ADDRESS(12,3+18*2+(7),,,"J1 A - (North) Bishopthorpe Roa")&amp;":"&amp;ADDRESS(130,3+18*2+(7))),'J1 A - (North) Bishopthorpe Roa'!$A$12:$A$130,"&gt;="&amp;Diagram!$O22,'J1 A - (North) Bishopthorpe Roa'!$A$12:$A$130,"&lt;"&amp;Diagram!$P22),SUMIFS(INDIRECT(ADDRESS(12,3+18*2+(15),,,"J1 A - (North) Bishopthorpe Roa")&amp;":"&amp;ADDRESS(130,3+18*2+(15))),'J1 A - (North) Bishopthorpe Roa'!$A$12:$A$130,"&gt;="&amp;Diagram!$O22,'J1 A - (North) Bishopthorpe Roa'!$A$12:$A$130,"&lt;"&amp;Diagram!$P22)))</f>
        <v>0</v>
      </c>
      <c r="EL22" s="42">
        <f ca="1">IF(OR($I$10="",$O22="",$P22="",$J$42&lt;&gt;"Yes"),0,IF($K$10=0,SUMIFS(INDIRECT(ADDRESS(12,3+18*2+(7),,,"J1 B - Butcher Terrace")&amp;":"&amp;ADDRESS(130,3+18*2+(7))),'J1 B - Butcher Terrace'!$A$12:$A$130,"&gt;="&amp;Diagram!$O22,'J1 B - Butcher Terrace'!$A$12:$A$130,"&lt;"&amp;Diagram!$P22),SUMIFS(INDIRECT(ADDRESS(12,3+18*2+(15),,,"J1 B - Butcher Terrace")&amp;":"&amp;ADDRESS(130,3+18*2+(15))),'J1 B - Butcher Terrace'!$A$12:$A$130,"&gt;="&amp;Diagram!$O22,'J1 B - Butcher Terrace'!$A$12:$A$130,"&lt;"&amp;Diagram!$P22)))</f>
        <v>0</v>
      </c>
      <c r="EM22" s="42">
        <f ca="1">IF(OR($I$10="",$O22="",$P22="",$J$42&lt;&gt;"Yes"),0,IF($K$10=0,SUMIFS(INDIRECT(ADDRESS(12,3+18*3+(7),,,"J1 B - Butcher Terrace")&amp;":"&amp;ADDRESS(130,3+18*3+(7))),'J1 B - Butcher Terrace'!$A$12:$A$130,"&gt;="&amp;Diagram!$O22,'J1 B - Butcher Terrace'!$A$12:$A$130,"&lt;"&amp;Diagram!$P22),SUMIFS(INDIRECT(ADDRESS(12,3+18*3+(15),,,"J1 B - Butcher Terrace")&amp;":"&amp;ADDRESS(130,3+18*3+(15))),'J1 B - Butcher Terrace'!$A$12:$A$130,"&gt;="&amp;Diagram!$O22,'J1 B - Butcher Terrace'!$A$12:$A$130,"&lt;"&amp;Diagram!$P22)))</f>
        <v>0</v>
      </c>
      <c r="EN22" s="42">
        <f ca="1">IF(OR($I$10="",$O22="",$P22="",$J$42&lt;&gt;"Yes"),0,IF($K$10=0,SUMIFS(INDIRECT(ADDRESS(12,3+18*0+(7),,,"J1 B - Butcher Terrace")&amp;":"&amp;ADDRESS(130,3+18*0+(7))),'J1 B - Butcher Terrace'!$A$12:$A$130,"&gt;="&amp;Diagram!$O22,'J1 B - Butcher Terrace'!$A$12:$A$130,"&lt;"&amp;Diagram!$P22),SUMIFS(INDIRECT(ADDRESS(12,3+18*0+(15),,,"J1 B - Butcher Terrace")&amp;":"&amp;ADDRESS(130,3+18*0+(15))),'J1 B - Butcher Terrace'!$A$12:$A$130,"&gt;="&amp;Diagram!$O22,'J1 B - Butcher Terrace'!$A$12:$A$130,"&lt;"&amp;Diagram!$P22)))</f>
        <v>0</v>
      </c>
      <c r="EO22" s="42">
        <f ca="1">IF(OR($I$10="",$O22="",$P22="",$J$42&lt;&gt;"Yes"),0,IF($K$10=0,SUMIFS(INDIRECT(ADDRESS(12,3+18*1+(7),,,"J1 B - Butcher Terrace")&amp;":"&amp;ADDRESS(130,3+18*1+(7))),'J1 B - Butcher Terrace'!$A$12:$A$130,"&gt;="&amp;Diagram!$O22,'J1 B - Butcher Terrace'!$A$12:$A$130,"&lt;"&amp;Diagram!$P22),SUMIFS(INDIRECT(ADDRESS(12,3+18*1+(15),,,"J1 B - Butcher Terrace")&amp;":"&amp;ADDRESS(130,3+18*1+(15))),'J1 B - Butcher Terrace'!$A$12:$A$130,"&gt;="&amp;Diagram!$O22,'J1 B - Butcher Terrace'!$A$12:$A$130,"&lt;"&amp;Diagram!$P22)))</f>
        <v>0</v>
      </c>
      <c r="EP22" s="42">
        <f ca="1">IF(OR($I$10="",$O22="",$P22="",$J$42&lt;&gt;"Yes"),0,IF($K$10=0,SUMIFS(INDIRECT(ADDRESS(12,3+18*1+(7),,,"J1 C - (South) Bishopthorpe Roa")&amp;":"&amp;ADDRESS(130,3+18*1+(7))),'J1 C - (South) Bishopthorpe Roa'!$A$12:$A$130,"&gt;="&amp;Diagram!$O22,'J1 C - (South) Bishopthorpe Roa'!$A$12:$A$130,"&lt;"&amp;Diagram!$P22),SUMIFS(INDIRECT(ADDRESS(12,3+18*1+(15),,,"J1 C - (South) Bishopthorpe Roa")&amp;":"&amp;ADDRESS(130,3+18*1+(15))),'J1 C - (South) Bishopthorpe Roa'!$A$12:$A$130,"&gt;="&amp;Diagram!$O22,'J1 C - (South) Bishopthorpe Roa'!$A$12:$A$130,"&lt;"&amp;Diagram!$P22)))</f>
        <v>0</v>
      </c>
      <c r="EQ22" s="42">
        <f ca="1">IF(OR($I$10="",$O22="",$P22="",$J$42&lt;&gt;"Yes"),0,IF($K$10=0,SUMIFS(INDIRECT(ADDRESS(12,3+18*2+(7),,,"J1 C - (South) Bishopthorpe Roa")&amp;":"&amp;ADDRESS(130,3+18*2+(7))),'J1 C - (South) Bishopthorpe Roa'!$A$12:$A$130,"&gt;="&amp;Diagram!$O22,'J1 C - (South) Bishopthorpe Roa'!$A$12:$A$130,"&lt;"&amp;Diagram!$P22),SUMIFS(INDIRECT(ADDRESS(12,3+18*2+(15),,,"J1 C - (South) Bishopthorpe Roa")&amp;":"&amp;ADDRESS(130,3+18*2+(15))),'J1 C - (South) Bishopthorpe Roa'!$A$12:$A$130,"&gt;="&amp;Diagram!$O22,'J1 C - (South) Bishopthorpe Roa'!$A$12:$A$130,"&lt;"&amp;Diagram!$P22)))</f>
        <v>0</v>
      </c>
      <c r="ER22" s="42">
        <f ca="1">IF(OR($I$10="",$O22="",$P22="",$J$42&lt;&gt;"Yes"),0,IF($K$10=0,SUMIFS(INDIRECT(ADDRESS(12,3+18*3+(7),,,"J1 C - (South) Bishopthorpe Roa")&amp;":"&amp;ADDRESS(130,3+18*3+(7))),'J1 C - (South) Bishopthorpe Roa'!$A$12:$A$130,"&gt;="&amp;Diagram!$O22,'J1 C - (South) Bishopthorpe Roa'!$A$12:$A$130,"&lt;"&amp;Diagram!$P22),SUMIFS(INDIRECT(ADDRESS(12,3+18*3+(15),,,"J1 C - (South) Bishopthorpe Roa")&amp;":"&amp;ADDRESS(130,3+18*3+(15))),'J1 C - (South) Bishopthorpe Roa'!$A$12:$A$130,"&gt;="&amp;Diagram!$O22,'J1 C - (South) Bishopthorpe Roa'!$A$12:$A$130,"&lt;"&amp;Diagram!$P22)))</f>
        <v>0</v>
      </c>
      <c r="ES22" s="42">
        <f ca="1">IF(OR($I$10="",$O22="",$P22="",$J$42&lt;&gt;"Yes"),0,IF($K$10=0,SUMIFS(INDIRECT(ADDRESS(12,3+18*0+(7),,,"J1 C - (South) Bishopthorpe Roa")&amp;":"&amp;ADDRESS(130,3+18*0+(7))),'J1 C - (South) Bishopthorpe Roa'!$A$12:$A$130,"&gt;="&amp;Diagram!$O22,'J1 C - (South) Bishopthorpe Roa'!$A$12:$A$130,"&lt;"&amp;Diagram!$P22),SUMIFS(INDIRECT(ADDRESS(12,3+18*0+(15),,,"J1 C - (South) Bishopthorpe Roa")&amp;":"&amp;ADDRESS(130,3+18*0+(15))),'J1 C - (South) Bishopthorpe Roa'!$A$12:$A$130,"&gt;="&amp;Diagram!$O22,'J1 C - (South) Bishopthorpe Roa'!$A$12:$A$130,"&lt;"&amp;Diagram!$P22)))</f>
        <v>0</v>
      </c>
      <c r="ET22" s="42">
        <f ca="1">IF(OR($I$10="",$O22="",$P22="",$J$42&lt;&gt;"Yes"),0,IF($K$10=0,SUMIFS(INDIRECT(ADDRESS(12,3+18*0+(7),,,"J1 D - South Bank Avenue")&amp;":"&amp;ADDRESS(130,3+18*0+(7))),'J1 D - South Bank Avenue'!$A$12:$A$130,"&gt;="&amp;Diagram!$O22,'J1 D - South Bank Avenue'!$A$12:$A$130,"&lt;"&amp;Diagram!$P22),SUMIFS(INDIRECT(ADDRESS(12,3+18*0+(15),,,"J1 D - South Bank Avenue")&amp;":"&amp;ADDRESS(130,3+18*0+(15))),'J1 D - South Bank Avenue'!$A$12:$A$130,"&gt;="&amp;Diagram!$O22,'J1 D - South Bank Avenue'!$A$12:$A$130,"&lt;"&amp;Diagram!$P22)))</f>
        <v>0</v>
      </c>
      <c r="EU22" s="42">
        <f ca="1">IF(OR($I$10="",$O22="",$P22="",$J$42&lt;&gt;"Yes"),0,IF($K$10=0,SUMIFS(INDIRECT(ADDRESS(12,3+18*1+(7),,,"J1 D - South Bank Avenue")&amp;":"&amp;ADDRESS(130,3+18*1+(7))),'J1 D - South Bank Avenue'!$A$12:$A$130,"&gt;="&amp;Diagram!$O22,'J1 D - South Bank Avenue'!$A$12:$A$130,"&lt;"&amp;Diagram!$P22),SUMIFS(INDIRECT(ADDRESS(12,3+18*1+(15),,,"J1 D - South Bank Avenue")&amp;":"&amp;ADDRESS(130,3+18*1+(15))),'J1 D - South Bank Avenue'!$A$12:$A$130,"&gt;="&amp;Diagram!$O22,'J1 D - South Bank Avenue'!$A$12:$A$130,"&lt;"&amp;Diagram!$P22)))</f>
        <v>0</v>
      </c>
      <c r="EV22" s="42">
        <f ca="1">IF(OR($I$10="",$O22="",$P22="",$J$42&lt;&gt;"Yes"),0,IF($K$10=0,SUMIFS(INDIRECT(ADDRESS(12,3+18*2+(7),,,"J1 D - South Bank Avenue")&amp;":"&amp;ADDRESS(130,3+18*2+(7))),'J1 D - South Bank Avenue'!$A$12:$A$130,"&gt;="&amp;Diagram!$O22,'J1 D - South Bank Avenue'!$A$12:$A$130,"&lt;"&amp;Diagram!$P22),SUMIFS(INDIRECT(ADDRESS(12,3+18*2+(15),,,"J1 D - South Bank Avenue")&amp;":"&amp;ADDRESS(130,3+18*2+(15))),'J1 D - South Bank Avenue'!$A$12:$A$130,"&gt;="&amp;Diagram!$O22,'J1 D - South Bank Avenue'!$A$12:$A$130,"&lt;"&amp;Diagram!$P22)))</f>
        <v>0</v>
      </c>
      <c r="EW22" s="42">
        <f ca="1">IF(OR($I$10="",$O22="",$P22="",$J$42&lt;&gt;"Yes"),0,IF($K$10=0,SUMIFS(INDIRECT(ADDRESS(12,3+18*3+(7),,,"J1 D - South Bank Avenue")&amp;":"&amp;ADDRESS(130,3+18*3+(7))),'J1 D - South Bank Avenue'!$A$12:$A$130,"&gt;="&amp;Diagram!$O22,'J1 D - South Bank Avenue'!$A$12:$A$130,"&lt;"&amp;Diagram!$P22),SUMIFS(INDIRECT(ADDRESS(12,3+18*3+(15),,,"J1 D - South Bank Avenue")&amp;":"&amp;ADDRESS(130,3+18*3+(15))),'J1 D - South Bank Avenue'!$A$12:$A$130,"&gt;="&amp;Diagram!$O22,'J1 D - South Bank Avenue'!$A$12:$A$130,"&lt;"&amp;Diagram!$P22)))</f>
        <v>0</v>
      </c>
    </row>
    <row r="23" spans="1:153" ht="21" customHeight="1">
      <c r="A23" s="1">
        <v>44395.229166666701</v>
      </c>
      <c r="B23" s="1">
        <v>44395.239583333299</v>
      </c>
      <c r="G23" s="110"/>
      <c r="H23" s="10" t="s">
        <v>158</v>
      </c>
      <c r="I23" s="24">
        <f ca="1">SUM($R$100,$Z$100,$AH$100,$AP$100,$AX$100,$BF$100,$BN$100,$BV$100)</f>
        <v>390</v>
      </c>
      <c r="J23" s="20">
        <f ca="1">SUM($S$100,$AA$100,$AI$100,$AQ$100,$AY$100,$BG$100,$BO$100,$BW$100)</f>
        <v>0</v>
      </c>
      <c r="K23" s="24">
        <f ca="1">SUM($T$100,$AB$100,$AJ$100,$AR$100,$AZ$100,$BH$100,$BP$100,$BX$100)</f>
        <v>256</v>
      </c>
      <c r="L23" s="24">
        <f ca="1">SUM($U$100,$AC$100,$AK$100,$AS$100,$BA$100,$BI$100,$BQ$100,$BY$100)</f>
        <v>365</v>
      </c>
      <c r="M23" s="25">
        <f ca="1">SUM($I$23:$L$23)</f>
        <v>1011</v>
      </c>
      <c r="N23" s="26">
        <f ca="1">IF($M$29=0,0,$M$23/$M$29)</f>
        <v>1</v>
      </c>
      <c r="O23" s="3">
        <v>44395.229166666701</v>
      </c>
      <c r="P23" s="3">
        <v>44395.270833333299</v>
      </c>
      <c r="Q23" s="42">
        <f t="shared" ca="1" si="0"/>
        <v>73</v>
      </c>
      <c r="R23" s="42">
        <f t="shared" ca="1" si="1"/>
        <v>50</v>
      </c>
      <c r="S23" s="42">
        <f ca="1">IF(OR($I$10="",$O23="",$P23="",$J$35&lt;&gt;"Yes"),0,IF($K$10=0,SUMIFS(INDIRECT(ADDRESS(12,3+18*3+(0),,,"J1 A - (North) Bishopthorpe Roa")&amp;":"&amp;ADDRESS(130,3+18*3+(0))),'J1 A - (North) Bishopthorpe Roa'!$A$12:$A$130,"&gt;="&amp;Diagram!$O23,'J1 A - (North) Bishopthorpe Roa'!$A$12:$A$130,"&lt;"&amp;Diagram!$P23),SUMIFS(INDIRECT(ADDRESS(12,3+18*3+(8),,,"J1 A - (North) Bishopthorpe Roa")&amp;":"&amp;ADDRESS(130,3+18*3+(8))),'J1 A - (North) Bishopthorpe Roa'!$A$12:$A$130,"&gt;="&amp;Diagram!$O23,'J1 A - (North) Bishopthorpe Roa'!$A$12:$A$130,"&lt;"&amp;Diagram!$P23)))</f>
        <v>1</v>
      </c>
      <c r="T23" s="42">
        <f ca="1">IF(OR($I$10="",$O23="",$P23="",$J$35&lt;&gt;"Yes"),0,IF($K$10=0,SUMIFS(INDIRECT(ADDRESS(12,3+18*0+(0),,,"J1 A - (North) Bishopthorpe Roa")&amp;":"&amp;ADDRESS(130,3+18*0+(0))),'J1 A - (North) Bishopthorpe Roa'!$A$12:$A$130,"&gt;="&amp;Diagram!$O23,'J1 A - (North) Bishopthorpe Roa'!$A$12:$A$130,"&lt;"&amp;Diagram!$P23),SUMIFS(INDIRECT(ADDRESS(12,3+18*0+(8),,,"J1 A - (North) Bishopthorpe Roa")&amp;":"&amp;ADDRESS(130,3+18*0+(8))),'J1 A - (North) Bishopthorpe Roa'!$A$12:$A$130,"&gt;="&amp;Diagram!$O23,'J1 A - (North) Bishopthorpe Roa'!$A$12:$A$130,"&lt;"&amp;Diagram!$P23)))</f>
        <v>0</v>
      </c>
      <c r="U23" s="42">
        <f ca="1">IF(OR($I$10="",$O23="",$P23="",$J$35&lt;&gt;"Yes"),0,IF($K$10=0,SUMIFS(INDIRECT(ADDRESS(12,3+18*1+(0),,,"J1 A - (North) Bishopthorpe Roa")&amp;":"&amp;ADDRESS(130,3+18*1+(0))),'J1 A - (North) Bishopthorpe Roa'!$A$12:$A$130,"&gt;="&amp;Diagram!$O23,'J1 A - (North) Bishopthorpe Roa'!$A$12:$A$130,"&lt;"&amp;Diagram!$P23),SUMIFS(INDIRECT(ADDRESS(12,3+18*1+(8),,,"J1 A - (North) Bishopthorpe Roa")&amp;":"&amp;ADDRESS(130,3+18*1+(8))),'J1 A - (North) Bishopthorpe Roa'!$A$12:$A$130,"&gt;="&amp;Diagram!$O23,'J1 A - (North) Bishopthorpe Roa'!$A$12:$A$130,"&lt;"&amp;Diagram!$P23)))</f>
        <v>9</v>
      </c>
      <c r="V23" s="42">
        <f ca="1">IF(OR($I$10="",$O23="",$P23="",$J$35&lt;&gt;"Yes"),0,IF($K$10=0,SUMIFS(INDIRECT(ADDRESS(12,3+18*2+(0),,,"J1 A - (North) Bishopthorpe Roa")&amp;":"&amp;ADDRESS(130,3+18*2+(0))),'J1 A - (North) Bishopthorpe Roa'!$A$12:$A$130,"&gt;="&amp;Diagram!$O23,'J1 A - (North) Bishopthorpe Roa'!$A$12:$A$130,"&lt;"&amp;Diagram!$P23),SUMIFS(INDIRECT(ADDRESS(12,3+18*2+(8),,,"J1 A - (North) Bishopthorpe Roa")&amp;":"&amp;ADDRESS(130,3+18*2+(8))),'J1 A - (North) Bishopthorpe Roa'!$A$12:$A$130,"&gt;="&amp;Diagram!$O23,'J1 A - (North) Bishopthorpe Roa'!$A$12:$A$130,"&lt;"&amp;Diagram!$P23)))</f>
        <v>1</v>
      </c>
      <c r="W23" s="42">
        <f ca="1">IF(OR($I$10="",$O23="",$P23="",$J$35&lt;&gt;"Yes"),0,IF($K$10=0,SUMIFS(INDIRECT(ADDRESS(12,3+18*2+(0),,,"J1 B - Butcher Terrace")&amp;":"&amp;ADDRESS(130,3+18*2+(0))),'J1 B - Butcher Terrace'!$A$12:$A$130,"&gt;="&amp;Diagram!$O23,'J1 B - Butcher Terrace'!$A$12:$A$130,"&lt;"&amp;Diagram!$P23),SUMIFS(INDIRECT(ADDRESS(12,3+18*2+(8),,,"J1 B - Butcher Terrace")&amp;":"&amp;ADDRESS(130,3+18*2+(8))),'J1 B - Butcher Terrace'!$A$12:$A$130,"&gt;="&amp;Diagram!$O23,'J1 B - Butcher Terrace'!$A$12:$A$130,"&lt;"&amp;Diagram!$P23)))</f>
        <v>4</v>
      </c>
      <c r="X23" s="42">
        <f ca="1">IF(OR($I$10="",$O23="",$P23="",$J$35&lt;&gt;"Yes"),0,IF($K$10=0,SUMIFS(INDIRECT(ADDRESS(12,3+18*3+(0),,,"J1 B - Butcher Terrace")&amp;":"&amp;ADDRESS(130,3+18*3+(0))),'J1 B - Butcher Terrace'!$A$12:$A$130,"&gt;="&amp;Diagram!$O23,'J1 B - Butcher Terrace'!$A$12:$A$130,"&lt;"&amp;Diagram!$P23),SUMIFS(INDIRECT(ADDRESS(12,3+18*3+(8),,,"J1 B - Butcher Terrace")&amp;":"&amp;ADDRESS(130,3+18*3+(8))),'J1 B - Butcher Terrace'!$A$12:$A$130,"&gt;="&amp;Diagram!$O23,'J1 B - Butcher Terrace'!$A$12:$A$130,"&lt;"&amp;Diagram!$P23)))</f>
        <v>0</v>
      </c>
      <c r="Y23" s="42">
        <f ca="1">IF(OR($I$10="",$O23="",$P23="",$J$35&lt;&gt;"Yes"),0,IF($K$10=0,SUMIFS(INDIRECT(ADDRESS(12,3+18*0+(0),,,"J1 B - Butcher Terrace")&amp;":"&amp;ADDRESS(130,3+18*0+(0))),'J1 B - Butcher Terrace'!$A$12:$A$130,"&gt;="&amp;Diagram!$O23,'J1 B - Butcher Terrace'!$A$12:$A$130,"&lt;"&amp;Diagram!$P23),SUMIFS(INDIRECT(ADDRESS(12,3+18*0+(8),,,"J1 B - Butcher Terrace")&amp;":"&amp;ADDRESS(130,3+18*0+(8))),'J1 B - Butcher Terrace'!$A$12:$A$130,"&gt;="&amp;Diagram!$O23,'J1 B - Butcher Terrace'!$A$12:$A$130,"&lt;"&amp;Diagram!$P23)))</f>
        <v>1</v>
      </c>
      <c r="Z23" s="42">
        <f ca="1">IF(OR($I$10="",$O23="",$P23="",$J$35&lt;&gt;"Yes"),0,IF($K$10=0,SUMIFS(INDIRECT(ADDRESS(12,3+18*1+(0),,,"J1 B - Butcher Terrace")&amp;":"&amp;ADDRESS(130,3+18*1+(0))),'J1 B - Butcher Terrace'!$A$12:$A$130,"&gt;="&amp;Diagram!$O23,'J1 B - Butcher Terrace'!$A$12:$A$130,"&lt;"&amp;Diagram!$P23),SUMIFS(INDIRECT(ADDRESS(12,3+18*1+(8),,,"J1 B - Butcher Terrace")&amp;":"&amp;ADDRESS(130,3+18*1+(8))),'J1 B - Butcher Terrace'!$A$12:$A$130,"&gt;="&amp;Diagram!$O23,'J1 B - Butcher Terrace'!$A$12:$A$130,"&lt;"&amp;Diagram!$P23)))</f>
        <v>0</v>
      </c>
      <c r="AA23" s="42">
        <f ca="1">IF(OR($I$10="",$O23="",$P23="",$J$35&lt;&gt;"Yes"),0,IF($K$10=0,SUMIFS(INDIRECT(ADDRESS(12,3+18*1+(0),,,"J1 C - (South) Bishopthorpe Roa")&amp;":"&amp;ADDRESS(130,3+18*1+(0))),'J1 C - (South) Bishopthorpe Roa'!$A$12:$A$130,"&gt;="&amp;Diagram!$O23,'J1 C - (South) Bishopthorpe Roa'!$A$12:$A$130,"&lt;"&amp;Diagram!$P23),SUMIFS(INDIRECT(ADDRESS(12,3+18*1+(8),,,"J1 C - (South) Bishopthorpe Roa")&amp;":"&amp;ADDRESS(130,3+18*1+(8))),'J1 C - (South) Bishopthorpe Roa'!$A$12:$A$130,"&gt;="&amp;Diagram!$O23,'J1 C - (South) Bishopthorpe Roa'!$A$12:$A$130,"&lt;"&amp;Diagram!$P23)))</f>
        <v>25</v>
      </c>
      <c r="AB23" s="42">
        <f ca="1">IF(OR($I$10="",$O23="",$P23="",$J$35&lt;&gt;"Yes"),0,IF($K$10=0,SUMIFS(INDIRECT(ADDRESS(12,3+18*2+(0),,,"J1 C - (South) Bishopthorpe Roa")&amp;":"&amp;ADDRESS(130,3+18*2+(0))),'J1 C - (South) Bishopthorpe Roa'!$A$12:$A$130,"&gt;="&amp;Diagram!$O23,'J1 C - (South) Bishopthorpe Roa'!$A$12:$A$130,"&lt;"&amp;Diagram!$P23),SUMIFS(INDIRECT(ADDRESS(12,3+18*2+(8),,,"J1 C - (South) Bishopthorpe Roa")&amp;":"&amp;ADDRESS(130,3+18*2+(8))),'J1 C - (South) Bishopthorpe Roa'!$A$12:$A$130,"&gt;="&amp;Diagram!$O23,'J1 C - (South) Bishopthorpe Roa'!$A$12:$A$130,"&lt;"&amp;Diagram!$P23)))</f>
        <v>0</v>
      </c>
      <c r="AC23" s="42">
        <f ca="1">IF(OR($I$10="",$O23="",$P23="",$J$35&lt;&gt;"Yes"),0,IF($K$10=0,SUMIFS(INDIRECT(ADDRESS(12,3+18*3+(0),,,"J1 C - (South) Bishopthorpe Roa")&amp;":"&amp;ADDRESS(130,3+18*3+(0))),'J1 C - (South) Bishopthorpe Roa'!$A$12:$A$130,"&gt;="&amp;Diagram!$O23,'J1 C - (South) Bishopthorpe Roa'!$A$12:$A$130,"&lt;"&amp;Diagram!$P23),SUMIFS(INDIRECT(ADDRESS(12,3+18*3+(8),,,"J1 C - (South) Bishopthorpe Roa")&amp;":"&amp;ADDRESS(130,3+18*3+(8))),'J1 C - (South) Bishopthorpe Roa'!$A$12:$A$130,"&gt;="&amp;Diagram!$O23,'J1 C - (South) Bishopthorpe Roa'!$A$12:$A$130,"&lt;"&amp;Diagram!$P23)))</f>
        <v>1</v>
      </c>
      <c r="AD23" s="42">
        <f ca="1">IF(OR($I$10="",$O23="",$P23="",$J$35&lt;&gt;"Yes"),0,IF($K$10=0,SUMIFS(INDIRECT(ADDRESS(12,3+18*0+(0),,,"J1 C - (South) Bishopthorpe Roa")&amp;":"&amp;ADDRESS(130,3+18*0+(0))),'J1 C - (South) Bishopthorpe Roa'!$A$12:$A$130,"&gt;="&amp;Diagram!$O23,'J1 C - (South) Bishopthorpe Roa'!$A$12:$A$130,"&lt;"&amp;Diagram!$P23),SUMIFS(INDIRECT(ADDRESS(12,3+18*0+(8),,,"J1 C - (South) Bishopthorpe Roa")&amp;":"&amp;ADDRESS(130,3+18*0+(8))),'J1 C - (South) Bishopthorpe Roa'!$A$12:$A$130,"&gt;="&amp;Diagram!$O23,'J1 C - (South) Bishopthorpe Roa'!$A$12:$A$130,"&lt;"&amp;Diagram!$P23)))</f>
        <v>0</v>
      </c>
      <c r="AE23" s="42">
        <f ca="1">IF(OR($I$10="",$O23="",$P23="",$J$35&lt;&gt;"Yes"),0,IF($K$10=0,SUMIFS(INDIRECT(ADDRESS(12,3+18*0+(0),,,"J1 D - South Bank Avenue")&amp;":"&amp;ADDRESS(130,3+18*0+(0))),'J1 D - South Bank Avenue'!$A$12:$A$130,"&gt;="&amp;Diagram!$O23,'J1 D - South Bank Avenue'!$A$12:$A$130,"&lt;"&amp;Diagram!$P23),SUMIFS(INDIRECT(ADDRESS(12,3+18*0+(8),,,"J1 D - South Bank Avenue")&amp;":"&amp;ADDRESS(130,3+18*0+(8))),'J1 D - South Bank Avenue'!$A$12:$A$130,"&gt;="&amp;Diagram!$O23,'J1 D - South Bank Avenue'!$A$12:$A$130,"&lt;"&amp;Diagram!$P23)))</f>
        <v>7</v>
      </c>
      <c r="AF23" s="42">
        <f ca="1">IF(OR($I$10="",$O23="",$P23="",$J$35&lt;&gt;"Yes"),0,IF($K$10=0,SUMIFS(INDIRECT(ADDRESS(12,3+18*1+(0),,,"J1 D - South Bank Avenue")&amp;":"&amp;ADDRESS(130,3+18*1+(0))),'J1 D - South Bank Avenue'!$A$12:$A$130,"&gt;="&amp;Diagram!$O23,'J1 D - South Bank Avenue'!$A$12:$A$130,"&lt;"&amp;Diagram!$P23),SUMIFS(INDIRECT(ADDRESS(12,3+18*1+(8),,,"J1 D - South Bank Avenue")&amp;":"&amp;ADDRESS(130,3+18*1+(8))),'J1 D - South Bank Avenue'!$A$12:$A$130,"&gt;="&amp;Diagram!$O23,'J1 D - South Bank Avenue'!$A$12:$A$130,"&lt;"&amp;Diagram!$P23)))</f>
        <v>0</v>
      </c>
      <c r="AG23" s="42">
        <f ca="1">IF(OR($I$10="",$O23="",$P23="",$J$35&lt;&gt;"Yes"),0,IF($K$10=0,SUMIFS(INDIRECT(ADDRESS(12,3+18*2+(0),,,"J1 D - South Bank Avenue")&amp;":"&amp;ADDRESS(130,3+18*2+(0))),'J1 D - South Bank Avenue'!$A$12:$A$130,"&gt;="&amp;Diagram!$O23,'J1 D - South Bank Avenue'!$A$12:$A$130,"&lt;"&amp;Diagram!$P23),SUMIFS(INDIRECT(ADDRESS(12,3+18*2+(8),,,"J1 D - South Bank Avenue")&amp;":"&amp;ADDRESS(130,3+18*2+(8))),'J1 D - South Bank Avenue'!$A$12:$A$130,"&gt;="&amp;Diagram!$O23,'J1 D - South Bank Avenue'!$A$12:$A$130,"&lt;"&amp;Diagram!$P23)))</f>
        <v>1</v>
      </c>
      <c r="AH23" s="42">
        <f ca="1">IF(OR($I$10="",$O23="",$P23="",$J$35&lt;&gt;"Yes"),0,IF($K$10=0,SUMIFS(INDIRECT(ADDRESS(12,3+18*3+(0),,,"J1 D - South Bank Avenue")&amp;":"&amp;ADDRESS(130,3+18*3+(0))),'J1 D - South Bank Avenue'!$A$12:$A$130,"&gt;="&amp;Diagram!$O23,'J1 D - South Bank Avenue'!$A$12:$A$130,"&lt;"&amp;Diagram!$P23),SUMIFS(INDIRECT(ADDRESS(12,3+18*3+(8),,,"J1 D - South Bank Avenue")&amp;":"&amp;ADDRESS(130,3+18*3+(8))),'J1 D - South Bank Avenue'!$A$12:$A$130,"&gt;="&amp;Diagram!$O23,'J1 D - South Bank Avenue'!$A$12:$A$130,"&lt;"&amp;Diagram!$P23)))</f>
        <v>0</v>
      </c>
      <c r="AI23" s="42">
        <f t="shared" ca="1" si="2"/>
        <v>6</v>
      </c>
      <c r="AJ23" s="42">
        <f ca="1">IF(OR($I$10="",$O23="",$P23="",$J$36&lt;&gt;"Yes"),0,IF($K$10=0,SUMIFS(INDIRECT(ADDRESS(12,3+18*3+(1),,,"J1 A - (North) Bishopthorpe Roa")&amp;":"&amp;ADDRESS(130,3+18*3+(1))),'J1 A - (North) Bishopthorpe Roa'!$A$12:$A$130,"&gt;="&amp;Diagram!$O23,'J1 A - (North) Bishopthorpe Roa'!$A$12:$A$130,"&lt;"&amp;Diagram!$P23),SUMIFS(INDIRECT(ADDRESS(12,3+18*3+(9),,,"J1 A - (North) Bishopthorpe Roa")&amp;":"&amp;ADDRESS(130,3+18*3+(9))),'J1 A - (North) Bishopthorpe Roa'!$A$12:$A$130,"&gt;="&amp;Diagram!$O23,'J1 A - (North) Bishopthorpe Roa'!$A$12:$A$130,"&lt;"&amp;Diagram!$P23)))</f>
        <v>0</v>
      </c>
      <c r="AK23" s="42">
        <f ca="1">IF(OR($I$10="",$O23="",$P23="",$J$36&lt;&gt;"Yes"),0,IF($K$10=0,SUMIFS(INDIRECT(ADDRESS(12,3+18*0+(1),,,"J1 A - (North) Bishopthorpe Roa")&amp;":"&amp;ADDRESS(130,3+18*0+(1))),'J1 A - (North) Bishopthorpe Roa'!$A$12:$A$130,"&gt;="&amp;Diagram!$O23,'J1 A - (North) Bishopthorpe Roa'!$A$12:$A$130,"&lt;"&amp;Diagram!$P23),SUMIFS(INDIRECT(ADDRESS(12,3+18*0+(9),,,"J1 A - (North) Bishopthorpe Roa")&amp;":"&amp;ADDRESS(130,3+18*0+(9))),'J1 A - (North) Bishopthorpe Roa'!$A$12:$A$130,"&gt;="&amp;Diagram!$O23,'J1 A - (North) Bishopthorpe Roa'!$A$12:$A$130,"&lt;"&amp;Diagram!$P23)))</f>
        <v>0</v>
      </c>
      <c r="AL23" s="42">
        <f ca="1">IF(OR($I$10="",$O23="",$P23="",$J$36&lt;&gt;"Yes"),0,IF($K$10=0,SUMIFS(INDIRECT(ADDRESS(12,3+18*1+(1),,,"J1 A - (North) Bishopthorpe Roa")&amp;":"&amp;ADDRESS(130,3+18*1+(1))),'J1 A - (North) Bishopthorpe Roa'!$A$12:$A$130,"&gt;="&amp;Diagram!$O23,'J1 A - (North) Bishopthorpe Roa'!$A$12:$A$130,"&lt;"&amp;Diagram!$P23),SUMIFS(INDIRECT(ADDRESS(12,3+18*1+(9),,,"J1 A - (North) Bishopthorpe Roa")&amp;":"&amp;ADDRESS(130,3+18*1+(9))),'J1 A - (North) Bishopthorpe Roa'!$A$12:$A$130,"&gt;="&amp;Diagram!$O23,'J1 A - (North) Bishopthorpe Roa'!$A$12:$A$130,"&lt;"&amp;Diagram!$P23)))</f>
        <v>2</v>
      </c>
      <c r="AM23" s="42">
        <f ca="1">IF(OR($I$10="",$O23="",$P23="",$J$36&lt;&gt;"Yes"),0,IF($K$10=0,SUMIFS(INDIRECT(ADDRESS(12,3+18*2+(1),,,"J1 A - (North) Bishopthorpe Roa")&amp;":"&amp;ADDRESS(130,3+18*2+(1))),'J1 A - (North) Bishopthorpe Roa'!$A$12:$A$130,"&gt;="&amp;Diagram!$O23,'J1 A - (North) Bishopthorpe Roa'!$A$12:$A$130,"&lt;"&amp;Diagram!$P23),SUMIFS(INDIRECT(ADDRESS(12,3+18*2+(9),,,"J1 A - (North) Bishopthorpe Roa")&amp;":"&amp;ADDRESS(130,3+18*2+(9))),'J1 A - (North) Bishopthorpe Roa'!$A$12:$A$130,"&gt;="&amp;Diagram!$O23,'J1 A - (North) Bishopthorpe Roa'!$A$12:$A$130,"&lt;"&amp;Diagram!$P23)))</f>
        <v>0</v>
      </c>
      <c r="AN23" s="42">
        <f ca="1">IF(OR($I$10="",$O23="",$P23="",$J$36&lt;&gt;"Yes"),0,IF($K$10=0,SUMIFS(INDIRECT(ADDRESS(12,3+18*2+(1),,,"J1 B - Butcher Terrace")&amp;":"&amp;ADDRESS(130,3+18*2+(1))),'J1 B - Butcher Terrace'!$A$12:$A$130,"&gt;="&amp;Diagram!$O23,'J1 B - Butcher Terrace'!$A$12:$A$130,"&lt;"&amp;Diagram!$P23),SUMIFS(INDIRECT(ADDRESS(12,3+18*2+(9),,,"J1 B - Butcher Terrace")&amp;":"&amp;ADDRESS(130,3+18*2+(9))),'J1 B - Butcher Terrace'!$A$12:$A$130,"&gt;="&amp;Diagram!$O23,'J1 B - Butcher Terrace'!$A$12:$A$130,"&lt;"&amp;Diagram!$P23)))</f>
        <v>1</v>
      </c>
      <c r="AO23" s="42">
        <f ca="1">IF(OR($I$10="",$O23="",$P23="",$J$36&lt;&gt;"Yes"),0,IF($K$10=0,SUMIFS(INDIRECT(ADDRESS(12,3+18*3+(1),,,"J1 B - Butcher Terrace")&amp;":"&amp;ADDRESS(130,3+18*3+(1))),'J1 B - Butcher Terrace'!$A$12:$A$130,"&gt;="&amp;Diagram!$O23,'J1 B - Butcher Terrace'!$A$12:$A$130,"&lt;"&amp;Diagram!$P23),SUMIFS(INDIRECT(ADDRESS(12,3+18*3+(9),,,"J1 B - Butcher Terrace")&amp;":"&amp;ADDRESS(130,3+18*3+(9))),'J1 B - Butcher Terrace'!$A$12:$A$130,"&gt;="&amp;Diagram!$O23,'J1 B - Butcher Terrace'!$A$12:$A$130,"&lt;"&amp;Diagram!$P23)))</f>
        <v>0</v>
      </c>
      <c r="AP23" s="42">
        <f ca="1">IF(OR($I$10="",$O23="",$P23="",$J$36&lt;&gt;"Yes"),0,IF($K$10=0,SUMIFS(INDIRECT(ADDRESS(12,3+18*0+(1),,,"J1 B - Butcher Terrace")&amp;":"&amp;ADDRESS(130,3+18*0+(1))),'J1 B - Butcher Terrace'!$A$12:$A$130,"&gt;="&amp;Diagram!$O23,'J1 B - Butcher Terrace'!$A$12:$A$130,"&lt;"&amp;Diagram!$P23),SUMIFS(INDIRECT(ADDRESS(12,3+18*0+(9),,,"J1 B - Butcher Terrace")&amp;":"&amp;ADDRESS(130,3+18*0+(9))),'J1 B - Butcher Terrace'!$A$12:$A$130,"&gt;="&amp;Diagram!$O23,'J1 B - Butcher Terrace'!$A$12:$A$130,"&lt;"&amp;Diagram!$P23)))</f>
        <v>1</v>
      </c>
      <c r="AQ23" s="42">
        <f ca="1">IF(OR($I$10="",$O23="",$P23="",$J$36&lt;&gt;"Yes"),0,IF($K$10=0,SUMIFS(INDIRECT(ADDRESS(12,3+18*1+(1),,,"J1 B - Butcher Terrace")&amp;":"&amp;ADDRESS(130,3+18*1+(1))),'J1 B - Butcher Terrace'!$A$12:$A$130,"&gt;="&amp;Diagram!$O23,'J1 B - Butcher Terrace'!$A$12:$A$130,"&lt;"&amp;Diagram!$P23),SUMIFS(INDIRECT(ADDRESS(12,3+18*1+(9),,,"J1 B - Butcher Terrace")&amp;":"&amp;ADDRESS(130,3+18*1+(9))),'J1 B - Butcher Terrace'!$A$12:$A$130,"&gt;="&amp;Diagram!$O23,'J1 B - Butcher Terrace'!$A$12:$A$130,"&lt;"&amp;Diagram!$P23)))</f>
        <v>0</v>
      </c>
      <c r="AR23" s="42">
        <f ca="1">IF(OR($I$10="",$O23="",$P23="",$J$36&lt;&gt;"Yes"),0,IF($K$10=0,SUMIFS(INDIRECT(ADDRESS(12,3+18*1+(1),,,"J1 C - (South) Bishopthorpe Roa")&amp;":"&amp;ADDRESS(130,3+18*1+(1))),'J1 C - (South) Bishopthorpe Roa'!$A$12:$A$130,"&gt;="&amp;Diagram!$O23,'J1 C - (South) Bishopthorpe Roa'!$A$12:$A$130,"&lt;"&amp;Diagram!$P23),SUMIFS(INDIRECT(ADDRESS(12,3+18*1+(9),,,"J1 C - (South) Bishopthorpe Roa")&amp;":"&amp;ADDRESS(130,3+18*1+(9))),'J1 C - (South) Bishopthorpe Roa'!$A$12:$A$130,"&gt;="&amp;Diagram!$O23,'J1 C - (South) Bishopthorpe Roa'!$A$12:$A$130,"&lt;"&amp;Diagram!$P23)))</f>
        <v>2</v>
      </c>
      <c r="AS23" s="42">
        <f ca="1">IF(OR($I$10="",$O23="",$P23="",$J$36&lt;&gt;"Yes"),0,IF($K$10=0,SUMIFS(INDIRECT(ADDRESS(12,3+18*2+(1),,,"J1 C - (South) Bishopthorpe Roa")&amp;":"&amp;ADDRESS(130,3+18*2+(1))),'J1 C - (South) Bishopthorpe Roa'!$A$12:$A$130,"&gt;="&amp;Diagram!$O23,'J1 C - (South) Bishopthorpe Roa'!$A$12:$A$130,"&lt;"&amp;Diagram!$P23),SUMIFS(INDIRECT(ADDRESS(12,3+18*2+(9),,,"J1 C - (South) Bishopthorpe Roa")&amp;":"&amp;ADDRESS(130,3+18*2+(9))),'J1 C - (South) Bishopthorpe Roa'!$A$12:$A$130,"&gt;="&amp;Diagram!$O23,'J1 C - (South) Bishopthorpe Roa'!$A$12:$A$130,"&lt;"&amp;Diagram!$P23)))</f>
        <v>0</v>
      </c>
      <c r="AT23" s="42">
        <f ca="1">IF(OR($I$10="",$O23="",$P23="",$J$36&lt;&gt;"Yes"),0,IF($K$10=0,SUMIFS(INDIRECT(ADDRESS(12,3+18*3+(1),,,"J1 C - (South) Bishopthorpe Roa")&amp;":"&amp;ADDRESS(130,3+18*3+(1))),'J1 C - (South) Bishopthorpe Roa'!$A$12:$A$130,"&gt;="&amp;Diagram!$O23,'J1 C - (South) Bishopthorpe Roa'!$A$12:$A$130,"&lt;"&amp;Diagram!$P23),SUMIFS(INDIRECT(ADDRESS(12,3+18*3+(9),,,"J1 C - (South) Bishopthorpe Roa")&amp;":"&amp;ADDRESS(130,3+18*3+(9))),'J1 C - (South) Bishopthorpe Roa'!$A$12:$A$130,"&gt;="&amp;Diagram!$O23,'J1 C - (South) Bishopthorpe Roa'!$A$12:$A$130,"&lt;"&amp;Diagram!$P23)))</f>
        <v>0</v>
      </c>
      <c r="AU23" s="42">
        <f ca="1">IF(OR($I$10="",$O23="",$P23="",$J$36&lt;&gt;"Yes"),0,IF($K$10=0,SUMIFS(INDIRECT(ADDRESS(12,3+18*0+(1),,,"J1 C - (South) Bishopthorpe Roa")&amp;":"&amp;ADDRESS(130,3+18*0+(1))),'J1 C - (South) Bishopthorpe Roa'!$A$12:$A$130,"&gt;="&amp;Diagram!$O23,'J1 C - (South) Bishopthorpe Roa'!$A$12:$A$130,"&lt;"&amp;Diagram!$P23),SUMIFS(INDIRECT(ADDRESS(12,3+18*0+(9),,,"J1 C - (South) Bishopthorpe Roa")&amp;":"&amp;ADDRESS(130,3+18*0+(9))),'J1 C - (South) Bishopthorpe Roa'!$A$12:$A$130,"&gt;="&amp;Diagram!$O23,'J1 C - (South) Bishopthorpe Roa'!$A$12:$A$130,"&lt;"&amp;Diagram!$P23)))</f>
        <v>0</v>
      </c>
      <c r="AV23" s="42">
        <f ca="1">IF(OR($I$10="",$O23="",$P23="",$J$36&lt;&gt;"Yes"),0,IF($K$10=0,SUMIFS(INDIRECT(ADDRESS(12,3+18*0+(1),,,"J1 D - South Bank Avenue")&amp;":"&amp;ADDRESS(130,3+18*0+(1))),'J1 D - South Bank Avenue'!$A$12:$A$130,"&gt;="&amp;Diagram!$O23,'J1 D - South Bank Avenue'!$A$12:$A$130,"&lt;"&amp;Diagram!$P23),SUMIFS(INDIRECT(ADDRESS(12,3+18*0+(9),,,"J1 D - South Bank Avenue")&amp;":"&amp;ADDRESS(130,3+18*0+(9))),'J1 D - South Bank Avenue'!$A$12:$A$130,"&gt;="&amp;Diagram!$O23,'J1 D - South Bank Avenue'!$A$12:$A$130,"&lt;"&amp;Diagram!$P23)))</f>
        <v>0</v>
      </c>
      <c r="AW23" s="42">
        <f ca="1">IF(OR($I$10="",$O23="",$P23="",$J$36&lt;&gt;"Yes"),0,IF($K$10=0,SUMIFS(INDIRECT(ADDRESS(12,3+18*1+(1),,,"J1 D - South Bank Avenue")&amp;":"&amp;ADDRESS(130,3+18*1+(1))),'J1 D - South Bank Avenue'!$A$12:$A$130,"&gt;="&amp;Diagram!$O23,'J1 D - South Bank Avenue'!$A$12:$A$130,"&lt;"&amp;Diagram!$P23),SUMIFS(INDIRECT(ADDRESS(12,3+18*1+(9),,,"J1 D - South Bank Avenue")&amp;":"&amp;ADDRESS(130,3+18*1+(9))),'J1 D - South Bank Avenue'!$A$12:$A$130,"&gt;="&amp;Diagram!$O23,'J1 D - South Bank Avenue'!$A$12:$A$130,"&lt;"&amp;Diagram!$P23)))</f>
        <v>0</v>
      </c>
      <c r="AX23" s="42">
        <f ca="1">IF(OR($I$10="",$O23="",$P23="",$J$36&lt;&gt;"Yes"),0,IF($K$10=0,SUMIFS(INDIRECT(ADDRESS(12,3+18*2+(1),,,"J1 D - South Bank Avenue")&amp;":"&amp;ADDRESS(130,3+18*2+(1))),'J1 D - South Bank Avenue'!$A$12:$A$130,"&gt;="&amp;Diagram!$O23,'J1 D - South Bank Avenue'!$A$12:$A$130,"&lt;"&amp;Diagram!$P23),SUMIFS(INDIRECT(ADDRESS(12,3+18*2+(9),,,"J1 D - South Bank Avenue")&amp;":"&amp;ADDRESS(130,3+18*2+(9))),'J1 D - South Bank Avenue'!$A$12:$A$130,"&gt;="&amp;Diagram!$O23,'J1 D - South Bank Avenue'!$A$12:$A$130,"&lt;"&amp;Diagram!$P23)))</f>
        <v>0</v>
      </c>
      <c r="AY23" s="42">
        <f ca="1">IF(OR($I$10="",$O23="",$P23="",$J$36&lt;&gt;"Yes"),0,IF($K$10=0,SUMIFS(INDIRECT(ADDRESS(12,3+18*3+(1),,,"J1 D - South Bank Avenue")&amp;":"&amp;ADDRESS(130,3+18*3+(1))),'J1 D - South Bank Avenue'!$A$12:$A$130,"&gt;="&amp;Diagram!$O23,'J1 D - South Bank Avenue'!$A$12:$A$130,"&lt;"&amp;Diagram!$P23),SUMIFS(INDIRECT(ADDRESS(12,3+18*3+(9),,,"J1 D - South Bank Avenue")&amp;":"&amp;ADDRESS(130,3+18*3+(9))),'J1 D - South Bank Avenue'!$A$12:$A$130,"&gt;="&amp;Diagram!$O23,'J1 D - South Bank Avenue'!$A$12:$A$130,"&lt;"&amp;Diagram!$P23)))</f>
        <v>0</v>
      </c>
      <c r="AZ23" s="42">
        <f t="shared" ca="1" si="3"/>
        <v>0</v>
      </c>
      <c r="BA23" s="42">
        <f ca="1">IF(OR($I$10="",$O23="",$P23="",$J$37&lt;&gt;"Yes"),0,IF($K$10=0,SUMIFS(INDIRECT(ADDRESS(12,3+18*3+(2),,,"J1 A - (North) Bishopthorpe Roa")&amp;":"&amp;ADDRESS(130,3+18*3+(2))),'J1 A - (North) Bishopthorpe Roa'!$A$12:$A$130,"&gt;="&amp;Diagram!$O23,'J1 A - (North) Bishopthorpe Roa'!$A$12:$A$130,"&lt;"&amp;Diagram!$P23),SUMIFS(INDIRECT(ADDRESS(12,3+18*3+(10),,,"J1 A - (North) Bishopthorpe Roa")&amp;":"&amp;ADDRESS(130,3+18*3+(10))),'J1 A - (North) Bishopthorpe Roa'!$A$12:$A$130,"&gt;="&amp;Diagram!$O23,'J1 A - (North) Bishopthorpe Roa'!$A$12:$A$130,"&lt;"&amp;Diagram!$P23)))</f>
        <v>0</v>
      </c>
      <c r="BB23" s="42">
        <f ca="1">IF(OR($I$10="",$O23="",$P23="",$J$37&lt;&gt;"Yes"),0,IF($K$10=0,SUMIFS(INDIRECT(ADDRESS(12,3+18*0+(2),,,"J1 A - (North) Bishopthorpe Roa")&amp;":"&amp;ADDRESS(130,3+18*0+(2))),'J1 A - (North) Bishopthorpe Roa'!$A$12:$A$130,"&gt;="&amp;Diagram!$O23,'J1 A - (North) Bishopthorpe Roa'!$A$12:$A$130,"&lt;"&amp;Diagram!$P23),SUMIFS(INDIRECT(ADDRESS(12,3+18*0+(10),,,"J1 A - (North) Bishopthorpe Roa")&amp;":"&amp;ADDRESS(130,3+18*0+(10))),'J1 A - (North) Bishopthorpe Roa'!$A$12:$A$130,"&gt;="&amp;Diagram!$O23,'J1 A - (North) Bishopthorpe Roa'!$A$12:$A$130,"&lt;"&amp;Diagram!$P23)))</f>
        <v>0</v>
      </c>
      <c r="BC23" s="42">
        <f ca="1">IF(OR($I$10="",$O23="",$P23="",$J$37&lt;&gt;"Yes"),0,IF($K$10=0,SUMIFS(INDIRECT(ADDRESS(12,3+18*1+(2),,,"J1 A - (North) Bishopthorpe Roa")&amp;":"&amp;ADDRESS(130,3+18*1+(2))),'J1 A - (North) Bishopthorpe Roa'!$A$12:$A$130,"&gt;="&amp;Diagram!$O23,'J1 A - (North) Bishopthorpe Roa'!$A$12:$A$130,"&lt;"&amp;Diagram!$P23),SUMIFS(INDIRECT(ADDRESS(12,3+18*1+(10),,,"J1 A - (North) Bishopthorpe Roa")&amp;":"&amp;ADDRESS(130,3+18*1+(10))),'J1 A - (North) Bishopthorpe Roa'!$A$12:$A$130,"&gt;="&amp;Diagram!$O23,'J1 A - (North) Bishopthorpe Roa'!$A$12:$A$130,"&lt;"&amp;Diagram!$P23)))</f>
        <v>0</v>
      </c>
      <c r="BD23" s="42">
        <f ca="1">IF(OR($I$10="",$O23="",$P23="",$J$37&lt;&gt;"Yes"),0,IF($K$10=0,SUMIFS(INDIRECT(ADDRESS(12,3+18*2+(2),,,"J1 A - (North) Bishopthorpe Roa")&amp;":"&amp;ADDRESS(130,3+18*2+(2))),'J1 A - (North) Bishopthorpe Roa'!$A$12:$A$130,"&gt;="&amp;Diagram!$O23,'J1 A - (North) Bishopthorpe Roa'!$A$12:$A$130,"&lt;"&amp;Diagram!$P23),SUMIFS(INDIRECT(ADDRESS(12,3+18*2+(10),,,"J1 A - (North) Bishopthorpe Roa")&amp;":"&amp;ADDRESS(130,3+18*2+(10))),'J1 A - (North) Bishopthorpe Roa'!$A$12:$A$130,"&gt;="&amp;Diagram!$O23,'J1 A - (North) Bishopthorpe Roa'!$A$12:$A$130,"&lt;"&amp;Diagram!$P23)))</f>
        <v>0</v>
      </c>
      <c r="BE23" s="42">
        <f ca="1">IF(OR($I$10="",$O23="",$P23="",$J$37&lt;&gt;"Yes"),0,IF($K$10=0,SUMIFS(INDIRECT(ADDRESS(12,3+18*2+(2),,,"J1 B - Butcher Terrace")&amp;":"&amp;ADDRESS(130,3+18*2+(2))),'J1 B - Butcher Terrace'!$A$12:$A$130,"&gt;="&amp;Diagram!$O23,'J1 B - Butcher Terrace'!$A$12:$A$130,"&lt;"&amp;Diagram!$P23),SUMIFS(INDIRECT(ADDRESS(12,3+18*2+(10),,,"J1 B - Butcher Terrace")&amp;":"&amp;ADDRESS(130,3+18*2+(10))),'J1 B - Butcher Terrace'!$A$12:$A$130,"&gt;="&amp;Diagram!$O23,'J1 B - Butcher Terrace'!$A$12:$A$130,"&lt;"&amp;Diagram!$P23)))</f>
        <v>0</v>
      </c>
      <c r="BF23" s="42">
        <f ca="1">IF(OR($I$10="",$O23="",$P23="",$J$37&lt;&gt;"Yes"),0,IF($K$10=0,SUMIFS(INDIRECT(ADDRESS(12,3+18*3+(2),,,"J1 B - Butcher Terrace")&amp;":"&amp;ADDRESS(130,3+18*3+(2))),'J1 B - Butcher Terrace'!$A$12:$A$130,"&gt;="&amp;Diagram!$O23,'J1 B - Butcher Terrace'!$A$12:$A$130,"&lt;"&amp;Diagram!$P23),SUMIFS(INDIRECT(ADDRESS(12,3+18*3+(10),,,"J1 B - Butcher Terrace")&amp;":"&amp;ADDRESS(130,3+18*3+(10))),'J1 B - Butcher Terrace'!$A$12:$A$130,"&gt;="&amp;Diagram!$O23,'J1 B - Butcher Terrace'!$A$12:$A$130,"&lt;"&amp;Diagram!$P23)))</f>
        <v>0</v>
      </c>
      <c r="BG23" s="42">
        <f ca="1">IF(OR($I$10="",$O23="",$P23="",$J$37&lt;&gt;"Yes"),0,IF($K$10=0,SUMIFS(INDIRECT(ADDRESS(12,3+18*0+(2),,,"J1 B - Butcher Terrace")&amp;":"&amp;ADDRESS(130,3+18*0+(2))),'J1 B - Butcher Terrace'!$A$12:$A$130,"&gt;="&amp;Diagram!$O23,'J1 B - Butcher Terrace'!$A$12:$A$130,"&lt;"&amp;Diagram!$P23),SUMIFS(INDIRECT(ADDRESS(12,3+18*0+(10),,,"J1 B - Butcher Terrace")&amp;":"&amp;ADDRESS(130,3+18*0+(10))),'J1 B - Butcher Terrace'!$A$12:$A$130,"&gt;="&amp;Diagram!$O23,'J1 B - Butcher Terrace'!$A$12:$A$130,"&lt;"&amp;Diagram!$P23)))</f>
        <v>0</v>
      </c>
      <c r="BH23" s="42">
        <f ca="1">IF(OR($I$10="",$O23="",$P23="",$J$37&lt;&gt;"Yes"),0,IF($K$10=0,SUMIFS(INDIRECT(ADDRESS(12,3+18*1+(2),,,"J1 B - Butcher Terrace")&amp;":"&amp;ADDRESS(130,3+18*1+(2))),'J1 B - Butcher Terrace'!$A$12:$A$130,"&gt;="&amp;Diagram!$O23,'J1 B - Butcher Terrace'!$A$12:$A$130,"&lt;"&amp;Diagram!$P23),SUMIFS(INDIRECT(ADDRESS(12,3+18*1+(10),,,"J1 B - Butcher Terrace")&amp;":"&amp;ADDRESS(130,3+18*1+(10))),'J1 B - Butcher Terrace'!$A$12:$A$130,"&gt;="&amp;Diagram!$O23,'J1 B - Butcher Terrace'!$A$12:$A$130,"&lt;"&amp;Diagram!$P23)))</f>
        <v>0</v>
      </c>
      <c r="BI23" s="42">
        <f ca="1">IF(OR($I$10="",$O23="",$P23="",$J$37&lt;&gt;"Yes"),0,IF($K$10=0,SUMIFS(INDIRECT(ADDRESS(12,3+18*1+(2),,,"J1 C - (South) Bishopthorpe Roa")&amp;":"&amp;ADDRESS(130,3+18*1+(2))),'J1 C - (South) Bishopthorpe Roa'!$A$12:$A$130,"&gt;="&amp;Diagram!$O23,'J1 C - (South) Bishopthorpe Roa'!$A$12:$A$130,"&lt;"&amp;Diagram!$P23),SUMIFS(INDIRECT(ADDRESS(12,3+18*1+(10),,,"J1 C - (South) Bishopthorpe Roa")&amp;":"&amp;ADDRESS(130,3+18*1+(10))),'J1 C - (South) Bishopthorpe Roa'!$A$12:$A$130,"&gt;="&amp;Diagram!$O23,'J1 C - (South) Bishopthorpe Roa'!$A$12:$A$130,"&lt;"&amp;Diagram!$P23)))</f>
        <v>0</v>
      </c>
      <c r="BJ23" s="42">
        <f ca="1">IF(OR($I$10="",$O23="",$P23="",$J$37&lt;&gt;"Yes"),0,IF($K$10=0,SUMIFS(INDIRECT(ADDRESS(12,3+18*2+(2),,,"J1 C - (South) Bishopthorpe Roa")&amp;":"&amp;ADDRESS(130,3+18*2+(2))),'J1 C - (South) Bishopthorpe Roa'!$A$12:$A$130,"&gt;="&amp;Diagram!$O23,'J1 C - (South) Bishopthorpe Roa'!$A$12:$A$130,"&lt;"&amp;Diagram!$P23),SUMIFS(INDIRECT(ADDRESS(12,3+18*2+(10),,,"J1 C - (South) Bishopthorpe Roa")&amp;":"&amp;ADDRESS(130,3+18*2+(10))),'J1 C - (South) Bishopthorpe Roa'!$A$12:$A$130,"&gt;="&amp;Diagram!$O23,'J1 C - (South) Bishopthorpe Roa'!$A$12:$A$130,"&lt;"&amp;Diagram!$P23)))</f>
        <v>0</v>
      </c>
      <c r="BK23" s="42">
        <f ca="1">IF(OR($I$10="",$O23="",$P23="",$J$37&lt;&gt;"Yes"),0,IF($K$10=0,SUMIFS(INDIRECT(ADDRESS(12,3+18*3+(2),,,"J1 C - (South) Bishopthorpe Roa")&amp;":"&amp;ADDRESS(130,3+18*3+(2))),'J1 C - (South) Bishopthorpe Roa'!$A$12:$A$130,"&gt;="&amp;Diagram!$O23,'J1 C - (South) Bishopthorpe Roa'!$A$12:$A$130,"&lt;"&amp;Diagram!$P23),SUMIFS(INDIRECT(ADDRESS(12,3+18*3+(10),,,"J1 C - (South) Bishopthorpe Roa")&amp;":"&amp;ADDRESS(130,3+18*3+(10))),'J1 C - (South) Bishopthorpe Roa'!$A$12:$A$130,"&gt;="&amp;Diagram!$O23,'J1 C - (South) Bishopthorpe Roa'!$A$12:$A$130,"&lt;"&amp;Diagram!$P23)))</f>
        <v>0</v>
      </c>
      <c r="BL23" s="42">
        <f ca="1">IF(OR($I$10="",$O23="",$P23="",$J$37&lt;&gt;"Yes"),0,IF($K$10=0,SUMIFS(INDIRECT(ADDRESS(12,3+18*0+(2),,,"J1 C - (South) Bishopthorpe Roa")&amp;":"&amp;ADDRESS(130,3+18*0+(2))),'J1 C - (South) Bishopthorpe Roa'!$A$12:$A$130,"&gt;="&amp;Diagram!$O23,'J1 C - (South) Bishopthorpe Roa'!$A$12:$A$130,"&lt;"&amp;Diagram!$P23),SUMIFS(INDIRECT(ADDRESS(12,3+18*0+(10),,,"J1 C - (South) Bishopthorpe Roa")&amp;":"&amp;ADDRESS(130,3+18*0+(10))),'J1 C - (South) Bishopthorpe Roa'!$A$12:$A$130,"&gt;="&amp;Diagram!$O23,'J1 C - (South) Bishopthorpe Roa'!$A$12:$A$130,"&lt;"&amp;Diagram!$P23)))</f>
        <v>0</v>
      </c>
      <c r="BM23" s="42">
        <f ca="1">IF(OR($I$10="",$O23="",$P23="",$J$37&lt;&gt;"Yes"),0,IF($K$10=0,SUMIFS(INDIRECT(ADDRESS(12,3+18*0+(2),,,"J1 D - South Bank Avenue")&amp;":"&amp;ADDRESS(130,3+18*0+(2))),'J1 D - South Bank Avenue'!$A$12:$A$130,"&gt;="&amp;Diagram!$O23,'J1 D - South Bank Avenue'!$A$12:$A$130,"&lt;"&amp;Diagram!$P23),SUMIFS(INDIRECT(ADDRESS(12,3+18*0+(10),,,"J1 D - South Bank Avenue")&amp;":"&amp;ADDRESS(130,3+18*0+(10))),'J1 D - South Bank Avenue'!$A$12:$A$130,"&gt;="&amp;Diagram!$O23,'J1 D - South Bank Avenue'!$A$12:$A$130,"&lt;"&amp;Diagram!$P23)))</f>
        <v>0</v>
      </c>
      <c r="BN23" s="42">
        <f ca="1">IF(OR($I$10="",$O23="",$P23="",$J$37&lt;&gt;"Yes"),0,IF($K$10=0,SUMIFS(INDIRECT(ADDRESS(12,3+18*1+(2),,,"J1 D - South Bank Avenue")&amp;":"&amp;ADDRESS(130,3+18*1+(2))),'J1 D - South Bank Avenue'!$A$12:$A$130,"&gt;="&amp;Diagram!$O23,'J1 D - South Bank Avenue'!$A$12:$A$130,"&lt;"&amp;Diagram!$P23),SUMIFS(INDIRECT(ADDRESS(12,3+18*1+(10),,,"J1 D - South Bank Avenue")&amp;":"&amp;ADDRESS(130,3+18*1+(10))),'J1 D - South Bank Avenue'!$A$12:$A$130,"&gt;="&amp;Diagram!$O23,'J1 D - South Bank Avenue'!$A$12:$A$130,"&lt;"&amp;Diagram!$P23)))</f>
        <v>0</v>
      </c>
      <c r="BO23" s="42">
        <f ca="1">IF(OR($I$10="",$O23="",$P23="",$J$37&lt;&gt;"Yes"),0,IF($K$10=0,SUMIFS(INDIRECT(ADDRESS(12,3+18*2+(2),,,"J1 D - South Bank Avenue")&amp;":"&amp;ADDRESS(130,3+18*2+(2))),'J1 D - South Bank Avenue'!$A$12:$A$130,"&gt;="&amp;Diagram!$O23,'J1 D - South Bank Avenue'!$A$12:$A$130,"&lt;"&amp;Diagram!$P23),SUMIFS(INDIRECT(ADDRESS(12,3+18*2+(10),,,"J1 D - South Bank Avenue")&amp;":"&amp;ADDRESS(130,3+18*2+(10))),'J1 D - South Bank Avenue'!$A$12:$A$130,"&gt;="&amp;Diagram!$O23,'J1 D - South Bank Avenue'!$A$12:$A$130,"&lt;"&amp;Diagram!$P23)))</f>
        <v>0</v>
      </c>
      <c r="BP23" s="42">
        <f ca="1">IF(OR($I$10="",$O23="",$P23="",$J$37&lt;&gt;"Yes"),0,IF($K$10=0,SUMIFS(INDIRECT(ADDRESS(12,3+18*3+(2),,,"J1 D - South Bank Avenue")&amp;":"&amp;ADDRESS(130,3+18*3+(2))),'J1 D - South Bank Avenue'!$A$12:$A$130,"&gt;="&amp;Diagram!$O23,'J1 D - South Bank Avenue'!$A$12:$A$130,"&lt;"&amp;Diagram!$P23),SUMIFS(INDIRECT(ADDRESS(12,3+18*3+(10),,,"J1 D - South Bank Avenue")&amp;":"&amp;ADDRESS(130,3+18*3+(10))),'J1 D - South Bank Avenue'!$A$12:$A$130,"&gt;="&amp;Diagram!$O23,'J1 D - South Bank Avenue'!$A$12:$A$130,"&lt;"&amp;Diagram!$P23)))</f>
        <v>0</v>
      </c>
      <c r="BQ23" s="42">
        <f t="shared" ca="1" si="4"/>
        <v>1</v>
      </c>
      <c r="BR23" s="42">
        <f ca="1">IF(OR($I$10="",$O23="",$P23="",$J$38&lt;&gt;"Yes"),0,IF($K$10=0,SUMIFS(INDIRECT(ADDRESS(12,3+18*3+(3),,,"J1 A - (North) Bishopthorpe Roa")&amp;":"&amp;ADDRESS(130,3+18*3+(3))),'J1 A - (North) Bishopthorpe Roa'!$A$12:$A$130,"&gt;="&amp;Diagram!$O23,'J1 A - (North) Bishopthorpe Roa'!$A$12:$A$130,"&lt;"&amp;Diagram!$P23),SUMIFS(INDIRECT(ADDRESS(12,3+18*3+(11),,,"J1 A - (North) Bishopthorpe Roa")&amp;":"&amp;ADDRESS(130,3+18*3+(11))),'J1 A - (North) Bishopthorpe Roa'!$A$12:$A$130,"&gt;="&amp;Diagram!$O23,'J1 A - (North) Bishopthorpe Roa'!$A$12:$A$130,"&lt;"&amp;Diagram!$P23)))</f>
        <v>0</v>
      </c>
      <c r="BS23" s="42">
        <f ca="1">IF(OR($I$10="",$O23="",$P23="",$J$38&lt;&gt;"Yes"),0,IF($K$10=0,SUMIFS(INDIRECT(ADDRESS(12,3+18*0+(3),,,"J1 A - (North) Bishopthorpe Roa")&amp;":"&amp;ADDRESS(130,3+18*0+(3))),'J1 A - (North) Bishopthorpe Roa'!$A$12:$A$130,"&gt;="&amp;Diagram!$O23,'J1 A - (North) Bishopthorpe Roa'!$A$12:$A$130,"&lt;"&amp;Diagram!$P23),SUMIFS(INDIRECT(ADDRESS(12,3+18*0+(11),,,"J1 A - (North) Bishopthorpe Roa")&amp;":"&amp;ADDRESS(130,3+18*0+(11))),'J1 A - (North) Bishopthorpe Roa'!$A$12:$A$130,"&gt;="&amp;Diagram!$O23,'J1 A - (North) Bishopthorpe Roa'!$A$12:$A$130,"&lt;"&amp;Diagram!$P23)))</f>
        <v>1</v>
      </c>
      <c r="BT23" s="42">
        <f ca="1">IF(OR($I$10="",$O23="",$P23="",$J$38&lt;&gt;"Yes"),0,IF($K$10=0,SUMIFS(INDIRECT(ADDRESS(12,3+18*1+(3),,,"J1 A - (North) Bishopthorpe Roa")&amp;":"&amp;ADDRESS(130,3+18*1+(3))),'J1 A - (North) Bishopthorpe Roa'!$A$12:$A$130,"&gt;="&amp;Diagram!$O23,'J1 A - (North) Bishopthorpe Roa'!$A$12:$A$130,"&lt;"&amp;Diagram!$P23),SUMIFS(INDIRECT(ADDRESS(12,3+18*1+(11),,,"J1 A - (North) Bishopthorpe Roa")&amp;":"&amp;ADDRESS(130,3+18*1+(11))),'J1 A - (North) Bishopthorpe Roa'!$A$12:$A$130,"&gt;="&amp;Diagram!$O23,'J1 A - (North) Bishopthorpe Roa'!$A$12:$A$130,"&lt;"&amp;Diagram!$P23)))</f>
        <v>0</v>
      </c>
      <c r="BU23" s="42">
        <f ca="1">IF(OR($I$10="",$O23="",$P23="",$J$38&lt;&gt;"Yes"),0,IF($K$10=0,SUMIFS(INDIRECT(ADDRESS(12,3+18*2+(3),,,"J1 A - (North) Bishopthorpe Roa")&amp;":"&amp;ADDRESS(130,3+18*2+(3))),'J1 A - (North) Bishopthorpe Roa'!$A$12:$A$130,"&gt;="&amp;Diagram!$O23,'J1 A - (North) Bishopthorpe Roa'!$A$12:$A$130,"&lt;"&amp;Diagram!$P23),SUMIFS(INDIRECT(ADDRESS(12,3+18*2+(11),,,"J1 A - (North) Bishopthorpe Roa")&amp;":"&amp;ADDRESS(130,3+18*2+(11))),'J1 A - (North) Bishopthorpe Roa'!$A$12:$A$130,"&gt;="&amp;Diagram!$O23,'J1 A - (North) Bishopthorpe Roa'!$A$12:$A$130,"&lt;"&amp;Diagram!$P23)))</f>
        <v>0</v>
      </c>
      <c r="BV23" s="42">
        <f ca="1">IF(OR($I$10="",$O23="",$P23="",$J$38&lt;&gt;"Yes"),0,IF($K$10=0,SUMIFS(INDIRECT(ADDRESS(12,3+18*2+(3),,,"J1 B - Butcher Terrace")&amp;":"&amp;ADDRESS(130,3+18*2+(3))),'J1 B - Butcher Terrace'!$A$12:$A$130,"&gt;="&amp;Diagram!$O23,'J1 B - Butcher Terrace'!$A$12:$A$130,"&lt;"&amp;Diagram!$P23),SUMIFS(INDIRECT(ADDRESS(12,3+18*2+(11),,,"J1 B - Butcher Terrace")&amp;":"&amp;ADDRESS(130,3+18*2+(11))),'J1 B - Butcher Terrace'!$A$12:$A$130,"&gt;="&amp;Diagram!$O23,'J1 B - Butcher Terrace'!$A$12:$A$130,"&lt;"&amp;Diagram!$P23)))</f>
        <v>0</v>
      </c>
      <c r="BW23" s="42">
        <f ca="1">IF(OR($I$10="",$O23="",$P23="",$J$38&lt;&gt;"Yes"),0,IF($K$10=0,SUMIFS(INDIRECT(ADDRESS(12,3+18*3+(3),,,"J1 B - Butcher Terrace")&amp;":"&amp;ADDRESS(130,3+18*3+(3))),'J1 B - Butcher Terrace'!$A$12:$A$130,"&gt;="&amp;Diagram!$O23,'J1 B - Butcher Terrace'!$A$12:$A$130,"&lt;"&amp;Diagram!$P23),SUMIFS(INDIRECT(ADDRESS(12,3+18*3+(11),,,"J1 B - Butcher Terrace")&amp;":"&amp;ADDRESS(130,3+18*3+(11))),'J1 B - Butcher Terrace'!$A$12:$A$130,"&gt;="&amp;Diagram!$O23,'J1 B - Butcher Terrace'!$A$12:$A$130,"&lt;"&amp;Diagram!$P23)))</f>
        <v>0</v>
      </c>
      <c r="BX23" s="42">
        <f ca="1">IF(OR($I$10="",$O23="",$P23="",$J$38&lt;&gt;"Yes"),0,IF($K$10=0,SUMIFS(INDIRECT(ADDRESS(12,3+18*0+(3),,,"J1 B - Butcher Terrace")&amp;":"&amp;ADDRESS(130,3+18*0+(3))),'J1 B - Butcher Terrace'!$A$12:$A$130,"&gt;="&amp;Diagram!$O23,'J1 B - Butcher Terrace'!$A$12:$A$130,"&lt;"&amp;Diagram!$P23),SUMIFS(INDIRECT(ADDRESS(12,3+18*0+(11),,,"J1 B - Butcher Terrace")&amp;":"&amp;ADDRESS(130,3+18*0+(11))),'J1 B - Butcher Terrace'!$A$12:$A$130,"&gt;="&amp;Diagram!$O23,'J1 B - Butcher Terrace'!$A$12:$A$130,"&lt;"&amp;Diagram!$P23)))</f>
        <v>0</v>
      </c>
      <c r="BY23" s="42">
        <f ca="1">IF(OR($I$10="",$O23="",$P23="",$J$38&lt;&gt;"Yes"),0,IF($K$10=0,SUMIFS(INDIRECT(ADDRESS(12,3+18*1+(3),,,"J1 B - Butcher Terrace")&amp;":"&amp;ADDRESS(130,3+18*1+(3))),'J1 B - Butcher Terrace'!$A$12:$A$130,"&gt;="&amp;Diagram!$O23,'J1 B - Butcher Terrace'!$A$12:$A$130,"&lt;"&amp;Diagram!$P23),SUMIFS(INDIRECT(ADDRESS(12,3+18*1+(11),,,"J1 B - Butcher Terrace")&amp;":"&amp;ADDRESS(130,3+18*1+(11))),'J1 B - Butcher Terrace'!$A$12:$A$130,"&gt;="&amp;Diagram!$O23,'J1 B - Butcher Terrace'!$A$12:$A$130,"&lt;"&amp;Diagram!$P23)))</f>
        <v>0</v>
      </c>
      <c r="BZ23" s="42">
        <f ca="1">IF(OR($I$10="",$O23="",$P23="",$J$38&lt;&gt;"Yes"),0,IF($K$10=0,SUMIFS(INDIRECT(ADDRESS(12,3+18*1+(3),,,"J1 C - (South) Bishopthorpe Roa")&amp;":"&amp;ADDRESS(130,3+18*1+(3))),'J1 C - (South) Bishopthorpe Roa'!$A$12:$A$130,"&gt;="&amp;Diagram!$O23,'J1 C - (South) Bishopthorpe Roa'!$A$12:$A$130,"&lt;"&amp;Diagram!$P23),SUMIFS(INDIRECT(ADDRESS(12,3+18*1+(11),,,"J1 C - (South) Bishopthorpe Roa")&amp;":"&amp;ADDRESS(130,3+18*1+(11))),'J1 C - (South) Bishopthorpe Roa'!$A$12:$A$130,"&gt;="&amp;Diagram!$O23,'J1 C - (South) Bishopthorpe Roa'!$A$12:$A$130,"&lt;"&amp;Diagram!$P23)))</f>
        <v>0</v>
      </c>
      <c r="CA23" s="42">
        <f ca="1">IF(OR($I$10="",$O23="",$P23="",$J$38&lt;&gt;"Yes"),0,IF($K$10=0,SUMIFS(INDIRECT(ADDRESS(12,3+18*2+(3),,,"J1 C - (South) Bishopthorpe Roa")&amp;":"&amp;ADDRESS(130,3+18*2+(3))),'J1 C - (South) Bishopthorpe Roa'!$A$12:$A$130,"&gt;="&amp;Diagram!$O23,'J1 C - (South) Bishopthorpe Roa'!$A$12:$A$130,"&lt;"&amp;Diagram!$P23),SUMIFS(INDIRECT(ADDRESS(12,3+18*2+(11),,,"J1 C - (South) Bishopthorpe Roa")&amp;":"&amp;ADDRESS(130,3+18*2+(11))),'J1 C - (South) Bishopthorpe Roa'!$A$12:$A$130,"&gt;="&amp;Diagram!$O23,'J1 C - (South) Bishopthorpe Roa'!$A$12:$A$130,"&lt;"&amp;Diagram!$P23)))</f>
        <v>0</v>
      </c>
      <c r="CB23" s="42">
        <f ca="1">IF(OR($I$10="",$O23="",$P23="",$J$38&lt;&gt;"Yes"),0,IF($K$10=0,SUMIFS(INDIRECT(ADDRESS(12,3+18*3+(3),,,"J1 C - (South) Bishopthorpe Roa")&amp;":"&amp;ADDRESS(130,3+18*3+(3))),'J1 C - (South) Bishopthorpe Roa'!$A$12:$A$130,"&gt;="&amp;Diagram!$O23,'J1 C - (South) Bishopthorpe Roa'!$A$12:$A$130,"&lt;"&amp;Diagram!$P23),SUMIFS(INDIRECT(ADDRESS(12,3+18*3+(11),,,"J1 C - (South) Bishopthorpe Roa")&amp;":"&amp;ADDRESS(130,3+18*3+(11))),'J1 C - (South) Bishopthorpe Roa'!$A$12:$A$130,"&gt;="&amp;Diagram!$O23,'J1 C - (South) Bishopthorpe Roa'!$A$12:$A$130,"&lt;"&amp;Diagram!$P23)))</f>
        <v>0</v>
      </c>
      <c r="CC23" s="42">
        <f ca="1">IF(OR($I$10="",$O23="",$P23="",$J$38&lt;&gt;"Yes"),0,IF($K$10=0,SUMIFS(INDIRECT(ADDRESS(12,3+18*0+(3),,,"J1 C - (South) Bishopthorpe Roa")&amp;":"&amp;ADDRESS(130,3+18*0+(3))),'J1 C - (South) Bishopthorpe Roa'!$A$12:$A$130,"&gt;="&amp;Diagram!$O23,'J1 C - (South) Bishopthorpe Roa'!$A$12:$A$130,"&lt;"&amp;Diagram!$P23),SUMIFS(INDIRECT(ADDRESS(12,3+18*0+(11),,,"J1 C - (South) Bishopthorpe Roa")&amp;":"&amp;ADDRESS(130,3+18*0+(11))),'J1 C - (South) Bishopthorpe Roa'!$A$12:$A$130,"&gt;="&amp;Diagram!$O23,'J1 C - (South) Bishopthorpe Roa'!$A$12:$A$130,"&lt;"&amp;Diagram!$P23)))</f>
        <v>0</v>
      </c>
      <c r="CD23" s="42">
        <f ca="1">IF(OR($I$10="",$O23="",$P23="",$J$38&lt;&gt;"Yes"),0,IF($K$10=0,SUMIFS(INDIRECT(ADDRESS(12,3+18*0+(3),,,"J1 D - South Bank Avenue")&amp;":"&amp;ADDRESS(130,3+18*0+(3))),'J1 D - South Bank Avenue'!$A$12:$A$130,"&gt;="&amp;Diagram!$O23,'J1 D - South Bank Avenue'!$A$12:$A$130,"&lt;"&amp;Diagram!$P23),SUMIFS(INDIRECT(ADDRESS(12,3+18*0+(11),,,"J1 D - South Bank Avenue")&amp;":"&amp;ADDRESS(130,3+18*0+(11))),'J1 D - South Bank Avenue'!$A$12:$A$130,"&gt;="&amp;Diagram!$O23,'J1 D - South Bank Avenue'!$A$12:$A$130,"&lt;"&amp;Diagram!$P23)))</f>
        <v>0</v>
      </c>
      <c r="CE23" s="42">
        <f ca="1">IF(OR($I$10="",$O23="",$P23="",$J$38&lt;&gt;"Yes"),0,IF($K$10=0,SUMIFS(INDIRECT(ADDRESS(12,3+18*1+(3),,,"J1 D - South Bank Avenue")&amp;":"&amp;ADDRESS(130,3+18*1+(3))),'J1 D - South Bank Avenue'!$A$12:$A$130,"&gt;="&amp;Diagram!$O23,'J1 D - South Bank Avenue'!$A$12:$A$130,"&lt;"&amp;Diagram!$P23),SUMIFS(INDIRECT(ADDRESS(12,3+18*1+(11),,,"J1 D - South Bank Avenue")&amp;":"&amp;ADDRESS(130,3+18*1+(11))),'J1 D - South Bank Avenue'!$A$12:$A$130,"&gt;="&amp;Diagram!$O23,'J1 D - South Bank Avenue'!$A$12:$A$130,"&lt;"&amp;Diagram!$P23)))</f>
        <v>0</v>
      </c>
      <c r="CF23" s="42">
        <f ca="1">IF(OR($I$10="",$O23="",$P23="",$J$38&lt;&gt;"Yes"),0,IF($K$10=0,SUMIFS(INDIRECT(ADDRESS(12,3+18*2+(3),,,"J1 D - South Bank Avenue")&amp;":"&amp;ADDRESS(130,3+18*2+(3))),'J1 D - South Bank Avenue'!$A$12:$A$130,"&gt;="&amp;Diagram!$O23,'J1 D - South Bank Avenue'!$A$12:$A$130,"&lt;"&amp;Diagram!$P23),SUMIFS(INDIRECT(ADDRESS(12,3+18*2+(11),,,"J1 D - South Bank Avenue")&amp;":"&amp;ADDRESS(130,3+18*2+(11))),'J1 D - South Bank Avenue'!$A$12:$A$130,"&gt;="&amp;Diagram!$O23,'J1 D - South Bank Avenue'!$A$12:$A$130,"&lt;"&amp;Diagram!$P23)))</f>
        <v>0</v>
      </c>
      <c r="CG23" s="42">
        <f ca="1">IF(OR($I$10="",$O23="",$P23="",$J$38&lt;&gt;"Yes"),0,IF($K$10=0,SUMIFS(INDIRECT(ADDRESS(12,3+18*3+(3),,,"J1 D - South Bank Avenue")&amp;":"&amp;ADDRESS(130,3+18*3+(3))),'J1 D - South Bank Avenue'!$A$12:$A$130,"&gt;="&amp;Diagram!$O23,'J1 D - South Bank Avenue'!$A$12:$A$130,"&lt;"&amp;Diagram!$P23),SUMIFS(INDIRECT(ADDRESS(12,3+18*3+(11),,,"J1 D - South Bank Avenue")&amp;":"&amp;ADDRESS(130,3+18*3+(11))),'J1 D - South Bank Avenue'!$A$12:$A$130,"&gt;="&amp;Diagram!$O23,'J1 D - South Bank Avenue'!$A$12:$A$130,"&lt;"&amp;Diagram!$P23)))</f>
        <v>0</v>
      </c>
      <c r="CH23" s="42">
        <f t="shared" ca="1" si="5"/>
        <v>1</v>
      </c>
      <c r="CI23" s="42">
        <f ca="1">IF(OR($I$10="",$O23="",$P23="",$J$39&lt;&gt;"Yes"),0,IF($K$10=0,SUMIFS(INDIRECT(ADDRESS(12,3+18*3+(4),,,"J1 A - (North) Bishopthorpe Roa")&amp;":"&amp;ADDRESS(130,3+18*3+(4))),'J1 A - (North) Bishopthorpe Roa'!$A$12:$A$130,"&gt;="&amp;Diagram!$O23,'J1 A - (North) Bishopthorpe Roa'!$A$12:$A$130,"&lt;"&amp;Diagram!$P23),SUMIFS(INDIRECT(ADDRESS(12,3+18*3+(12),,,"J1 A - (North) Bishopthorpe Roa")&amp;":"&amp;ADDRESS(130,3+18*3+(12))),'J1 A - (North) Bishopthorpe Roa'!$A$12:$A$130,"&gt;="&amp;Diagram!$O23,'J1 A - (North) Bishopthorpe Roa'!$A$12:$A$130,"&lt;"&amp;Diagram!$P23)))</f>
        <v>0</v>
      </c>
      <c r="CJ23" s="42">
        <f ca="1">IF(OR($I$10="",$O23="",$P23="",$J$39&lt;&gt;"Yes"),0,IF($K$10=0,SUMIFS(INDIRECT(ADDRESS(12,3+18*0+(4),,,"J1 A - (North) Bishopthorpe Roa")&amp;":"&amp;ADDRESS(130,3+18*0+(4))),'J1 A - (North) Bishopthorpe Roa'!$A$12:$A$130,"&gt;="&amp;Diagram!$O23,'J1 A - (North) Bishopthorpe Roa'!$A$12:$A$130,"&lt;"&amp;Diagram!$P23),SUMIFS(INDIRECT(ADDRESS(12,3+18*0+(12),,,"J1 A - (North) Bishopthorpe Roa")&amp;":"&amp;ADDRESS(130,3+18*0+(12))),'J1 A - (North) Bishopthorpe Roa'!$A$12:$A$130,"&gt;="&amp;Diagram!$O23,'J1 A - (North) Bishopthorpe Roa'!$A$12:$A$130,"&lt;"&amp;Diagram!$P23)))</f>
        <v>0</v>
      </c>
      <c r="CK23" s="42">
        <f ca="1">IF(OR($I$10="",$O23="",$P23="",$J$39&lt;&gt;"Yes"),0,IF($K$10=0,SUMIFS(INDIRECT(ADDRESS(12,3+18*1+(4),,,"J1 A - (North) Bishopthorpe Roa")&amp;":"&amp;ADDRESS(130,3+18*1+(4))),'J1 A - (North) Bishopthorpe Roa'!$A$12:$A$130,"&gt;="&amp;Diagram!$O23,'J1 A - (North) Bishopthorpe Roa'!$A$12:$A$130,"&lt;"&amp;Diagram!$P23),SUMIFS(INDIRECT(ADDRESS(12,3+18*1+(12),,,"J1 A - (North) Bishopthorpe Roa")&amp;":"&amp;ADDRESS(130,3+18*1+(12))),'J1 A - (North) Bishopthorpe Roa'!$A$12:$A$130,"&gt;="&amp;Diagram!$O23,'J1 A - (North) Bishopthorpe Roa'!$A$12:$A$130,"&lt;"&amp;Diagram!$P23)))</f>
        <v>1</v>
      </c>
      <c r="CL23" s="42">
        <f ca="1">IF(OR($I$10="",$O23="",$P23="",$J$39&lt;&gt;"Yes"),0,IF($K$10=0,SUMIFS(INDIRECT(ADDRESS(12,3+18*2+(4),,,"J1 A - (North) Bishopthorpe Roa")&amp;":"&amp;ADDRESS(130,3+18*2+(4))),'J1 A - (North) Bishopthorpe Roa'!$A$12:$A$130,"&gt;="&amp;Diagram!$O23,'J1 A - (North) Bishopthorpe Roa'!$A$12:$A$130,"&lt;"&amp;Diagram!$P23),SUMIFS(INDIRECT(ADDRESS(12,3+18*2+(12),,,"J1 A - (North) Bishopthorpe Roa")&amp;":"&amp;ADDRESS(130,3+18*2+(12))),'J1 A - (North) Bishopthorpe Roa'!$A$12:$A$130,"&gt;="&amp;Diagram!$O23,'J1 A - (North) Bishopthorpe Roa'!$A$12:$A$130,"&lt;"&amp;Diagram!$P23)))</f>
        <v>0</v>
      </c>
      <c r="CM23" s="42">
        <f ca="1">IF(OR($I$10="",$O23="",$P23="",$J$39&lt;&gt;"Yes"),0,IF($K$10=0,SUMIFS(INDIRECT(ADDRESS(12,3+18*2+(4),,,"J1 B - Butcher Terrace")&amp;":"&amp;ADDRESS(130,3+18*2+(4))),'J1 B - Butcher Terrace'!$A$12:$A$130,"&gt;="&amp;Diagram!$O23,'J1 B - Butcher Terrace'!$A$12:$A$130,"&lt;"&amp;Diagram!$P23),SUMIFS(INDIRECT(ADDRESS(12,3+18*2+(12),,,"J1 B - Butcher Terrace")&amp;":"&amp;ADDRESS(130,3+18*2+(12))),'J1 B - Butcher Terrace'!$A$12:$A$130,"&gt;="&amp;Diagram!$O23,'J1 B - Butcher Terrace'!$A$12:$A$130,"&lt;"&amp;Diagram!$P23)))</f>
        <v>0</v>
      </c>
      <c r="CN23" s="42">
        <f ca="1">IF(OR($I$10="",$O23="",$P23="",$J$39&lt;&gt;"Yes"),0,IF($K$10=0,SUMIFS(INDIRECT(ADDRESS(12,3+18*3+(4),,,"J1 B - Butcher Terrace")&amp;":"&amp;ADDRESS(130,3+18*3+(4))),'J1 B - Butcher Terrace'!$A$12:$A$130,"&gt;="&amp;Diagram!$O23,'J1 B - Butcher Terrace'!$A$12:$A$130,"&lt;"&amp;Diagram!$P23),SUMIFS(INDIRECT(ADDRESS(12,3+18*3+(12),,,"J1 B - Butcher Terrace")&amp;":"&amp;ADDRESS(130,3+18*3+(12))),'J1 B - Butcher Terrace'!$A$12:$A$130,"&gt;="&amp;Diagram!$O23,'J1 B - Butcher Terrace'!$A$12:$A$130,"&lt;"&amp;Diagram!$P23)))</f>
        <v>0</v>
      </c>
      <c r="CO23" s="42">
        <f ca="1">IF(OR($I$10="",$O23="",$P23="",$J$39&lt;&gt;"Yes"),0,IF($K$10=0,SUMIFS(INDIRECT(ADDRESS(12,3+18*0+(4),,,"J1 B - Butcher Terrace")&amp;":"&amp;ADDRESS(130,3+18*0+(4))),'J1 B - Butcher Terrace'!$A$12:$A$130,"&gt;="&amp;Diagram!$O23,'J1 B - Butcher Terrace'!$A$12:$A$130,"&lt;"&amp;Diagram!$P23),SUMIFS(INDIRECT(ADDRESS(12,3+18*0+(12),,,"J1 B - Butcher Terrace")&amp;":"&amp;ADDRESS(130,3+18*0+(12))),'J1 B - Butcher Terrace'!$A$12:$A$130,"&gt;="&amp;Diagram!$O23,'J1 B - Butcher Terrace'!$A$12:$A$130,"&lt;"&amp;Diagram!$P23)))</f>
        <v>0</v>
      </c>
      <c r="CP23" s="42">
        <f ca="1">IF(OR($I$10="",$O23="",$P23="",$J$39&lt;&gt;"Yes"),0,IF($K$10=0,SUMIFS(INDIRECT(ADDRESS(12,3+18*1+(4),,,"J1 B - Butcher Terrace")&amp;":"&amp;ADDRESS(130,3+18*1+(4))),'J1 B - Butcher Terrace'!$A$12:$A$130,"&gt;="&amp;Diagram!$O23,'J1 B - Butcher Terrace'!$A$12:$A$130,"&lt;"&amp;Diagram!$P23),SUMIFS(INDIRECT(ADDRESS(12,3+18*1+(12),,,"J1 B - Butcher Terrace")&amp;":"&amp;ADDRESS(130,3+18*1+(12))),'J1 B - Butcher Terrace'!$A$12:$A$130,"&gt;="&amp;Diagram!$O23,'J1 B - Butcher Terrace'!$A$12:$A$130,"&lt;"&amp;Diagram!$P23)))</f>
        <v>0</v>
      </c>
      <c r="CQ23" s="42">
        <f ca="1">IF(OR($I$10="",$O23="",$P23="",$J$39&lt;&gt;"Yes"),0,IF($K$10=0,SUMIFS(INDIRECT(ADDRESS(12,3+18*1+(4),,,"J1 C - (South) Bishopthorpe Roa")&amp;":"&amp;ADDRESS(130,3+18*1+(4))),'J1 C - (South) Bishopthorpe Roa'!$A$12:$A$130,"&gt;="&amp;Diagram!$O23,'J1 C - (South) Bishopthorpe Roa'!$A$12:$A$130,"&lt;"&amp;Diagram!$P23),SUMIFS(INDIRECT(ADDRESS(12,3+18*1+(12),,,"J1 C - (South) Bishopthorpe Roa")&amp;":"&amp;ADDRESS(130,3+18*1+(12))),'J1 C - (South) Bishopthorpe Roa'!$A$12:$A$130,"&gt;="&amp;Diagram!$O23,'J1 C - (South) Bishopthorpe Roa'!$A$12:$A$130,"&lt;"&amp;Diagram!$P23)))</f>
        <v>0</v>
      </c>
      <c r="CR23" s="42">
        <f ca="1">IF(OR($I$10="",$O23="",$P23="",$J$39&lt;&gt;"Yes"),0,IF($K$10=0,SUMIFS(INDIRECT(ADDRESS(12,3+18*2+(4),,,"J1 C - (South) Bishopthorpe Roa")&amp;":"&amp;ADDRESS(130,3+18*2+(4))),'J1 C - (South) Bishopthorpe Roa'!$A$12:$A$130,"&gt;="&amp;Diagram!$O23,'J1 C - (South) Bishopthorpe Roa'!$A$12:$A$130,"&lt;"&amp;Diagram!$P23),SUMIFS(INDIRECT(ADDRESS(12,3+18*2+(12),,,"J1 C - (South) Bishopthorpe Roa")&amp;":"&amp;ADDRESS(130,3+18*2+(12))),'J1 C - (South) Bishopthorpe Roa'!$A$12:$A$130,"&gt;="&amp;Diagram!$O23,'J1 C - (South) Bishopthorpe Roa'!$A$12:$A$130,"&lt;"&amp;Diagram!$P23)))</f>
        <v>0</v>
      </c>
      <c r="CS23" s="42">
        <f ca="1">IF(OR($I$10="",$O23="",$P23="",$J$39&lt;&gt;"Yes"),0,IF($K$10=0,SUMIFS(INDIRECT(ADDRESS(12,3+18*3+(4),,,"J1 C - (South) Bishopthorpe Roa")&amp;":"&amp;ADDRESS(130,3+18*3+(4))),'J1 C - (South) Bishopthorpe Roa'!$A$12:$A$130,"&gt;="&amp;Diagram!$O23,'J1 C - (South) Bishopthorpe Roa'!$A$12:$A$130,"&lt;"&amp;Diagram!$P23),SUMIFS(INDIRECT(ADDRESS(12,3+18*3+(12),,,"J1 C - (South) Bishopthorpe Roa")&amp;":"&amp;ADDRESS(130,3+18*3+(12))),'J1 C - (South) Bishopthorpe Roa'!$A$12:$A$130,"&gt;="&amp;Diagram!$O23,'J1 C - (South) Bishopthorpe Roa'!$A$12:$A$130,"&lt;"&amp;Diagram!$P23)))</f>
        <v>0</v>
      </c>
      <c r="CT23" s="42">
        <f ca="1">IF(OR($I$10="",$O23="",$P23="",$J$39&lt;&gt;"Yes"),0,IF($K$10=0,SUMIFS(INDIRECT(ADDRESS(12,3+18*0+(4),,,"J1 C - (South) Bishopthorpe Roa")&amp;":"&amp;ADDRESS(130,3+18*0+(4))),'J1 C - (South) Bishopthorpe Roa'!$A$12:$A$130,"&gt;="&amp;Diagram!$O23,'J1 C - (South) Bishopthorpe Roa'!$A$12:$A$130,"&lt;"&amp;Diagram!$P23),SUMIFS(INDIRECT(ADDRESS(12,3+18*0+(12),,,"J1 C - (South) Bishopthorpe Roa")&amp;":"&amp;ADDRESS(130,3+18*0+(12))),'J1 C - (South) Bishopthorpe Roa'!$A$12:$A$130,"&gt;="&amp;Diagram!$O23,'J1 C - (South) Bishopthorpe Roa'!$A$12:$A$130,"&lt;"&amp;Diagram!$P23)))</f>
        <v>0</v>
      </c>
      <c r="CU23" s="42">
        <f ca="1">IF(OR($I$10="",$O23="",$P23="",$J$39&lt;&gt;"Yes"),0,IF($K$10=0,SUMIFS(INDIRECT(ADDRESS(12,3+18*0+(4),,,"J1 D - South Bank Avenue")&amp;":"&amp;ADDRESS(130,3+18*0+(4))),'J1 D - South Bank Avenue'!$A$12:$A$130,"&gt;="&amp;Diagram!$O23,'J1 D - South Bank Avenue'!$A$12:$A$130,"&lt;"&amp;Diagram!$P23),SUMIFS(INDIRECT(ADDRESS(12,3+18*0+(12),,,"J1 D - South Bank Avenue")&amp;":"&amp;ADDRESS(130,3+18*0+(12))),'J1 D - South Bank Avenue'!$A$12:$A$130,"&gt;="&amp;Diagram!$O23,'J1 D - South Bank Avenue'!$A$12:$A$130,"&lt;"&amp;Diagram!$P23)))</f>
        <v>0</v>
      </c>
      <c r="CV23" s="42">
        <f ca="1">IF(OR($I$10="",$O23="",$P23="",$J$39&lt;&gt;"Yes"),0,IF($K$10=0,SUMIFS(INDIRECT(ADDRESS(12,3+18*1+(4),,,"J1 D - South Bank Avenue")&amp;":"&amp;ADDRESS(130,3+18*1+(4))),'J1 D - South Bank Avenue'!$A$12:$A$130,"&gt;="&amp;Diagram!$O23,'J1 D - South Bank Avenue'!$A$12:$A$130,"&lt;"&amp;Diagram!$P23),SUMIFS(INDIRECT(ADDRESS(12,3+18*1+(12),,,"J1 D - South Bank Avenue")&amp;":"&amp;ADDRESS(130,3+18*1+(12))),'J1 D - South Bank Avenue'!$A$12:$A$130,"&gt;="&amp;Diagram!$O23,'J1 D - South Bank Avenue'!$A$12:$A$130,"&lt;"&amp;Diagram!$P23)))</f>
        <v>0</v>
      </c>
      <c r="CW23" s="42">
        <f ca="1">IF(OR($I$10="",$O23="",$P23="",$J$39&lt;&gt;"Yes"),0,IF($K$10=0,SUMIFS(INDIRECT(ADDRESS(12,3+18*2+(4),,,"J1 D - South Bank Avenue")&amp;":"&amp;ADDRESS(130,3+18*2+(4))),'J1 D - South Bank Avenue'!$A$12:$A$130,"&gt;="&amp;Diagram!$O23,'J1 D - South Bank Avenue'!$A$12:$A$130,"&lt;"&amp;Diagram!$P23),SUMIFS(INDIRECT(ADDRESS(12,3+18*2+(12),,,"J1 D - South Bank Avenue")&amp;":"&amp;ADDRESS(130,3+18*2+(12))),'J1 D - South Bank Avenue'!$A$12:$A$130,"&gt;="&amp;Diagram!$O23,'J1 D - South Bank Avenue'!$A$12:$A$130,"&lt;"&amp;Diagram!$P23)))</f>
        <v>0</v>
      </c>
      <c r="CX23" s="42">
        <f ca="1">IF(OR($I$10="",$O23="",$P23="",$J$39&lt;&gt;"Yes"),0,IF($K$10=0,SUMIFS(INDIRECT(ADDRESS(12,3+18*3+(4),,,"J1 D - South Bank Avenue")&amp;":"&amp;ADDRESS(130,3+18*3+(4))),'J1 D - South Bank Avenue'!$A$12:$A$130,"&gt;="&amp;Diagram!$O23,'J1 D - South Bank Avenue'!$A$12:$A$130,"&lt;"&amp;Diagram!$P23),SUMIFS(INDIRECT(ADDRESS(12,3+18*3+(12),,,"J1 D - South Bank Avenue")&amp;":"&amp;ADDRESS(130,3+18*3+(12))),'J1 D - South Bank Avenue'!$A$12:$A$130,"&gt;="&amp;Diagram!$O23,'J1 D - South Bank Avenue'!$A$12:$A$130,"&lt;"&amp;Diagram!$P23)))</f>
        <v>0</v>
      </c>
      <c r="CY23" s="42">
        <f t="shared" ca="1" si="6"/>
        <v>15</v>
      </c>
      <c r="CZ23" s="42">
        <f ca="1">IF(OR($I$10="",$O23="",$P23="",$J$40&lt;&gt;"Yes"),0,IF($K$10=0,SUMIFS(INDIRECT(ADDRESS(12,3+18*3+(5),,,"J1 A - (North) Bishopthorpe Roa")&amp;":"&amp;ADDRESS(130,3+18*3+(5))),'J1 A - (North) Bishopthorpe Roa'!$A$12:$A$130,"&gt;="&amp;Diagram!$O23,'J1 A - (North) Bishopthorpe Roa'!$A$12:$A$130,"&lt;"&amp;Diagram!$P23),SUMIFS(INDIRECT(ADDRESS(12,3+18*3+(13),,,"J1 A - (North) Bishopthorpe Roa")&amp;":"&amp;ADDRESS(130,3+18*3+(13))),'J1 A - (North) Bishopthorpe Roa'!$A$12:$A$130,"&gt;="&amp;Diagram!$O23,'J1 A - (North) Bishopthorpe Roa'!$A$12:$A$130,"&lt;"&amp;Diagram!$P23)))</f>
        <v>0</v>
      </c>
      <c r="DA23" s="42">
        <f ca="1">IF(OR($I$10="",$O23="",$P23="",$J$40&lt;&gt;"Yes"),0,IF($K$10=0,SUMIFS(INDIRECT(ADDRESS(12,3+18*0+(5),,,"J1 A - (North) Bishopthorpe Roa")&amp;":"&amp;ADDRESS(130,3+18*0+(5))),'J1 A - (North) Bishopthorpe Roa'!$A$12:$A$130,"&gt;="&amp;Diagram!$O23,'J1 A - (North) Bishopthorpe Roa'!$A$12:$A$130,"&lt;"&amp;Diagram!$P23),SUMIFS(INDIRECT(ADDRESS(12,3+18*0+(13),,,"J1 A - (North) Bishopthorpe Roa")&amp;":"&amp;ADDRESS(130,3+18*0+(13))),'J1 A - (North) Bishopthorpe Roa'!$A$12:$A$130,"&gt;="&amp;Diagram!$O23,'J1 A - (North) Bishopthorpe Roa'!$A$12:$A$130,"&lt;"&amp;Diagram!$P23)))</f>
        <v>2</v>
      </c>
      <c r="DB23" s="42">
        <f ca="1">IF(OR($I$10="",$O23="",$P23="",$J$40&lt;&gt;"Yes"),0,IF($K$10=0,SUMIFS(INDIRECT(ADDRESS(12,3+18*1+(5),,,"J1 A - (North) Bishopthorpe Roa")&amp;":"&amp;ADDRESS(130,3+18*1+(5))),'J1 A - (North) Bishopthorpe Roa'!$A$12:$A$130,"&gt;="&amp;Diagram!$O23,'J1 A - (North) Bishopthorpe Roa'!$A$12:$A$130,"&lt;"&amp;Diagram!$P23),SUMIFS(INDIRECT(ADDRESS(12,3+18*1+(13),,,"J1 A - (North) Bishopthorpe Roa")&amp;":"&amp;ADDRESS(130,3+18*1+(13))),'J1 A - (North) Bishopthorpe Roa'!$A$12:$A$130,"&gt;="&amp;Diagram!$O23,'J1 A - (North) Bishopthorpe Roa'!$A$12:$A$130,"&lt;"&amp;Diagram!$P23)))</f>
        <v>2</v>
      </c>
      <c r="DC23" s="42">
        <f ca="1">IF(OR($I$10="",$O23="",$P23="",$J$40&lt;&gt;"Yes"),0,IF($K$10=0,SUMIFS(INDIRECT(ADDRESS(12,3+18*2+(5),,,"J1 A - (North) Bishopthorpe Roa")&amp;":"&amp;ADDRESS(130,3+18*2+(5))),'J1 A - (North) Bishopthorpe Roa'!$A$12:$A$130,"&gt;="&amp;Diagram!$O23,'J1 A - (North) Bishopthorpe Roa'!$A$12:$A$130,"&lt;"&amp;Diagram!$P23),SUMIFS(INDIRECT(ADDRESS(12,3+18*2+(13),,,"J1 A - (North) Bishopthorpe Roa")&amp;":"&amp;ADDRESS(130,3+18*2+(13))),'J1 A - (North) Bishopthorpe Roa'!$A$12:$A$130,"&gt;="&amp;Diagram!$O23,'J1 A - (North) Bishopthorpe Roa'!$A$12:$A$130,"&lt;"&amp;Diagram!$P23)))</f>
        <v>0</v>
      </c>
      <c r="DD23" s="42">
        <f ca="1">IF(OR($I$10="",$O23="",$P23="",$J$40&lt;&gt;"Yes"),0,IF($K$10=0,SUMIFS(INDIRECT(ADDRESS(12,3+18*2+(5),,,"J1 B - Butcher Terrace")&amp;":"&amp;ADDRESS(130,3+18*2+(5))),'J1 B - Butcher Terrace'!$A$12:$A$130,"&gt;="&amp;Diagram!$O23,'J1 B - Butcher Terrace'!$A$12:$A$130,"&lt;"&amp;Diagram!$P23),SUMIFS(INDIRECT(ADDRESS(12,3+18*2+(13),,,"J1 B - Butcher Terrace")&amp;":"&amp;ADDRESS(130,3+18*2+(13))),'J1 B - Butcher Terrace'!$A$12:$A$130,"&gt;="&amp;Diagram!$O23,'J1 B - Butcher Terrace'!$A$12:$A$130,"&lt;"&amp;Diagram!$P23)))</f>
        <v>0</v>
      </c>
      <c r="DE23" s="42">
        <f ca="1">IF(OR($I$10="",$O23="",$P23="",$J$40&lt;&gt;"Yes"),0,IF($K$10=0,SUMIFS(INDIRECT(ADDRESS(12,3+18*3+(5),,,"J1 B - Butcher Terrace")&amp;":"&amp;ADDRESS(130,3+18*3+(5))),'J1 B - Butcher Terrace'!$A$12:$A$130,"&gt;="&amp;Diagram!$O23,'J1 B - Butcher Terrace'!$A$12:$A$130,"&lt;"&amp;Diagram!$P23),SUMIFS(INDIRECT(ADDRESS(12,3+18*3+(13),,,"J1 B - Butcher Terrace")&amp;":"&amp;ADDRESS(130,3+18*3+(13))),'J1 B - Butcher Terrace'!$A$12:$A$130,"&gt;="&amp;Diagram!$O23,'J1 B - Butcher Terrace'!$A$12:$A$130,"&lt;"&amp;Diagram!$P23)))</f>
        <v>0</v>
      </c>
      <c r="DF23" s="42">
        <f ca="1">IF(OR($I$10="",$O23="",$P23="",$J$40&lt;&gt;"Yes"),0,IF($K$10=0,SUMIFS(INDIRECT(ADDRESS(12,3+18*0+(5),,,"J1 B - Butcher Terrace")&amp;":"&amp;ADDRESS(130,3+18*0+(5))),'J1 B - Butcher Terrace'!$A$12:$A$130,"&gt;="&amp;Diagram!$O23,'J1 B - Butcher Terrace'!$A$12:$A$130,"&lt;"&amp;Diagram!$P23),SUMIFS(INDIRECT(ADDRESS(12,3+18*0+(13),,,"J1 B - Butcher Terrace")&amp;":"&amp;ADDRESS(130,3+18*0+(13))),'J1 B - Butcher Terrace'!$A$12:$A$130,"&gt;="&amp;Diagram!$O23,'J1 B - Butcher Terrace'!$A$12:$A$130,"&lt;"&amp;Diagram!$P23)))</f>
        <v>4</v>
      </c>
      <c r="DG23" s="42">
        <f ca="1">IF(OR($I$10="",$O23="",$P23="",$J$40&lt;&gt;"Yes"),0,IF($K$10=0,SUMIFS(INDIRECT(ADDRESS(12,3+18*1+(5),,,"J1 B - Butcher Terrace")&amp;":"&amp;ADDRESS(130,3+18*1+(5))),'J1 B - Butcher Terrace'!$A$12:$A$130,"&gt;="&amp;Diagram!$O23,'J1 B - Butcher Terrace'!$A$12:$A$130,"&lt;"&amp;Diagram!$P23),SUMIFS(INDIRECT(ADDRESS(12,3+18*1+(13),,,"J1 B - Butcher Terrace")&amp;":"&amp;ADDRESS(130,3+18*1+(13))),'J1 B - Butcher Terrace'!$A$12:$A$130,"&gt;="&amp;Diagram!$O23,'J1 B - Butcher Terrace'!$A$12:$A$130,"&lt;"&amp;Diagram!$P23)))</f>
        <v>2</v>
      </c>
      <c r="DH23" s="42">
        <f ca="1">IF(OR($I$10="",$O23="",$P23="",$J$40&lt;&gt;"Yes"),0,IF($K$10=0,SUMIFS(INDIRECT(ADDRESS(12,3+18*1+(5),,,"J1 C - (South) Bishopthorpe Roa")&amp;":"&amp;ADDRESS(130,3+18*1+(5))),'J1 C - (South) Bishopthorpe Roa'!$A$12:$A$130,"&gt;="&amp;Diagram!$O23,'J1 C - (South) Bishopthorpe Roa'!$A$12:$A$130,"&lt;"&amp;Diagram!$P23),SUMIFS(INDIRECT(ADDRESS(12,3+18*1+(13),,,"J1 C - (South) Bishopthorpe Roa")&amp;":"&amp;ADDRESS(130,3+18*1+(13))),'J1 C - (South) Bishopthorpe Roa'!$A$12:$A$130,"&gt;="&amp;Diagram!$O23,'J1 C - (South) Bishopthorpe Roa'!$A$12:$A$130,"&lt;"&amp;Diagram!$P23)))</f>
        <v>3</v>
      </c>
      <c r="DI23" s="42">
        <f ca="1">IF(OR($I$10="",$O23="",$P23="",$J$40&lt;&gt;"Yes"),0,IF($K$10=0,SUMIFS(INDIRECT(ADDRESS(12,3+18*2+(5),,,"J1 C - (South) Bishopthorpe Roa")&amp;":"&amp;ADDRESS(130,3+18*2+(5))),'J1 C - (South) Bishopthorpe Roa'!$A$12:$A$130,"&gt;="&amp;Diagram!$O23,'J1 C - (South) Bishopthorpe Roa'!$A$12:$A$130,"&lt;"&amp;Diagram!$P23),SUMIFS(INDIRECT(ADDRESS(12,3+18*2+(13),,,"J1 C - (South) Bishopthorpe Roa")&amp;":"&amp;ADDRESS(130,3+18*2+(13))),'J1 C - (South) Bishopthorpe Roa'!$A$12:$A$130,"&gt;="&amp;Diagram!$O23,'J1 C - (South) Bishopthorpe Roa'!$A$12:$A$130,"&lt;"&amp;Diagram!$P23)))</f>
        <v>1</v>
      </c>
      <c r="DJ23" s="42">
        <f ca="1">IF(OR($I$10="",$O23="",$P23="",$J$40&lt;&gt;"Yes"),0,IF($K$10=0,SUMIFS(INDIRECT(ADDRESS(12,3+18*3+(5),,,"J1 C - (South) Bishopthorpe Roa")&amp;":"&amp;ADDRESS(130,3+18*3+(5))),'J1 C - (South) Bishopthorpe Roa'!$A$12:$A$130,"&gt;="&amp;Diagram!$O23,'J1 C - (South) Bishopthorpe Roa'!$A$12:$A$130,"&lt;"&amp;Diagram!$P23),SUMIFS(INDIRECT(ADDRESS(12,3+18*3+(13),,,"J1 C - (South) Bishopthorpe Roa")&amp;":"&amp;ADDRESS(130,3+18*3+(13))),'J1 C - (South) Bishopthorpe Roa'!$A$12:$A$130,"&gt;="&amp;Diagram!$O23,'J1 C - (South) Bishopthorpe Roa'!$A$12:$A$130,"&lt;"&amp;Diagram!$P23)))</f>
        <v>0</v>
      </c>
      <c r="DK23" s="42">
        <f ca="1">IF(OR($I$10="",$O23="",$P23="",$J$40&lt;&gt;"Yes"),0,IF($K$10=0,SUMIFS(INDIRECT(ADDRESS(12,3+18*0+(5),,,"J1 C - (South) Bishopthorpe Roa")&amp;":"&amp;ADDRESS(130,3+18*0+(5))),'J1 C - (South) Bishopthorpe Roa'!$A$12:$A$130,"&gt;="&amp;Diagram!$O23,'J1 C - (South) Bishopthorpe Roa'!$A$12:$A$130,"&lt;"&amp;Diagram!$P23),SUMIFS(INDIRECT(ADDRESS(12,3+18*0+(13),,,"J1 C - (South) Bishopthorpe Roa")&amp;":"&amp;ADDRESS(130,3+18*0+(13))),'J1 C - (South) Bishopthorpe Roa'!$A$12:$A$130,"&gt;="&amp;Diagram!$O23,'J1 C - (South) Bishopthorpe Roa'!$A$12:$A$130,"&lt;"&amp;Diagram!$P23)))</f>
        <v>0</v>
      </c>
      <c r="DL23" s="42">
        <f ca="1">IF(OR($I$10="",$O23="",$P23="",$J$40&lt;&gt;"Yes"),0,IF($K$10=0,SUMIFS(INDIRECT(ADDRESS(12,3+18*0+(5),,,"J1 D - South Bank Avenue")&amp;":"&amp;ADDRESS(130,3+18*0+(5))),'J1 D - South Bank Avenue'!$A$12:$A$130,"&gt;="&amp;Diagram!$O23,'J1 D - South Bank Avenue'!$A$12:$A$130,"&lt;"&amp;Diagram!$P23),SUMIFS(INDIRECT(ADDRESS(12,3+18*0+(13),,,"J1 D - South Bank Avenue")&amp;":"&amp;ADDRESS(130,3+18*0+(13))),'J1 D - South Bank Avenue'!$A$12:$A$130,"&gt;="&amp;Diagram!$O23,'J1 D - South Bank Avenue'!$A$12:$A$130,"&lt;"&amp;Diagram!$P23)))</f>
        <v>0</v>
      </c>
      <c r="DM23" s="42">
        <f ca="1">IF(OR($I$10="",$O23="",$P23="",$J$40&lt;&gt;"Yes"),0,IF($K$10=0,SUMIFS(INDIRECT(ADDRESS(12,3+18*1+(5),,,"J1 D - South Bank Avenue")&amp;":"&amp;ADDRESS(130,3+18*1+(5))),'J1 D - South Bank Avenue'!$A$12:$A$130,"&gt;="&amp;Diagram!$O23,'J1 D - South Bank Avenue'!$A$12:$A$130,"&lt;"&amp;Diagram!$P23),SUMIFS(INDIRECT(ADDRESS(12,3+18*1+(13),,,"J1 D - South Bank Avenue")&amp;":"&amp;ADDRESS(130,3+18*1+(13))),'J1 D - South Bank Avenue'!$A$12:$A$130,"&gt;="&amp;Diagram!$O23,'J1 D - South Bank Avenue'!$A$12:$A$130,"&lt;"&amp;Diagram!$P23)))</f>
        <v>1</v>
      </c>
      <c r="DN23" s="42">
        <f ca="1">IF(OR($I$10="",$O23="",$P23="",$J$40&lt;&gt;"Yes"),0,IF($K$10=0,SUMIFS(INDIRECT(ADDRESS(12,3+18*2+(5),,,"J1 D - South Bank Avenue")&amp;":"&amp;ADDRESS(130,3+18*2+(5))),'J1 D - South Bank Avenue'!$A$12:$A$130,"&gt;="&amp;Diagram!$O23,'J1 D - South Bank Avenue'!$A$12:$A$130,"&lt;"&amp;Diagram!$P23),SUMIFS(INDIRECT(ADDRESS(12,3+18*2+(13),,,"J1 D - South Bank Avenue")&amp;":"&amp;ADDRESS(130,3+18*2+(13))),'J1 D - South Bank Avenue'!$A$12:$A$130,"&gt;="&amp;Diagram!$O23,'J1 D - South Bank Avenue'!$A$12:$A$130,"&lt;"&amp;Diagram!$P23)))</f>
        <v>0</v>
      </c>
      <c r="DO23" s="42">
        <f ca="1">IF(OR($I$10="",$O23="",$P23="",$J$40&lt;&gt;"Yes"),0,IF($K$10=0,SUMIFS(INDIRECT(ADDRESS(12,3+18*3+(5),,,"J1 D - South Bank Avenue")&amp;":"&amp;ADDRESS(130,3+18*3+(5))),'J1 D - South Bank Avenue'!$A$12:$A$130,"&gt;="&amp;Diagram!$O23,'J1 D - South Bank Avenue'!$A$12:$A$130,"&lt;"&amp;Diagram!$P23),SUMIFS(INDIRECT(ADDRESS(12,3+18*3+(13),,,"J1 D - South Bank Avenue")&amp;":"&amp;ADDRESS(130,3+18*3+(13))),'J1 D - South Bank Avenue'!$A$12:$A$130,"&gt;="&amp;Diagram!$O23,'J1 D - South Bank Avenue'!$A$12:$A$130,"&lt;"&amp;Diagram!$P23)))</f>
        <v>0</v>
      </c>
      <c r="DP23" s="42">
        <f t="shared" ca="1" si="7"/>
        <v>0</v>
      </c>
      <c r="DQ23" s="42">
        <f ca="1">IF(OR($I$10="",$O23="",$P23="",$J$41&lt;&gt;"Yes"),0,IF($K$10=0,SUMIFS(INDIRECT(ADDRESS(12,3+18*3+(6),,,"J1 A - (North) Bishopthorpe Roa")&amp;":"&amp;ADDRESS(130,3+18*3+(6))),'J1 A - (North) Bishopthorpe Roa'!$A$12:$A$130,"&gt;="&amp;Diagram!$O23,'J1 A - (North) Bishopthorpe Roa'!$A$12:$A$130,"&lt;"&amp;Diagram!$P23),SUMIFS(INDIRECT(ADDRESS(12,3+18*3+(14),,,"J1 A - (North) Bishopthorpe Roa")&amp;":"&amp;ADDRESS(130,3+18*3+(14))),'J1 A - (North) Bishopthorpe Roa'!$A$12:$A$130,"&gt;="&amp;Diagram!$O23,'J1 A - (North) Bishopthorpe Roa'!$A$12:$A$130,"&lt;"&amp;Diagram!$P23)))</f>
        <v>0</v>
      </c>
      <c r="DR23" s="42">
        <f ca="1">IF(OR($I$10="",$O23="",$P23="",$J$41&lt;&gt;"Yes"),0,IF($K$10=0,SUMIFS(INDIRECT(ADDRESS(12,3+18*0+(6),,,"J1 A - (North) Bishopthorpe Roa")&amp;":"&amp;ADDRESS(130,3+18*0+(6))),'J1 A - (North) Bishopthorpe Roa'!$A$12:$A$130,"&gt;="&amp;Diagram!$O23,'J1 A - (North) Bishopthorpe Roa'!$A$12:$A$130,"&lt;"&amp;Diagram!$P23),SUMIFS(INDIRECT(ADDRESS(12,3+18*0+(14),,,"J1 A - (North) Bishopthorpe Roa")&amp;":"&amp;ADDRESS(130,3+18*0+(14))),'J1 A - (North) Bishopthorpe Roa'!$A$12:$A$130,"&gt;="&amp;Diagram!$O23,'J1 A - (North) Bishopthorpe Roa'!$A$12:$A$130,"&lt;"&amp;Diagram!$P23)))</f>
        <v>0</v>
      </c>
      <c r="DS23" s="42">
        <f ca="1">IF(OR($I$10="",$O23="",$P23="",$J$41&lt;&gt;"Yes"),0,IF($K$10=0,SUMIFS(INDIRECT(ADDRESS(12,3+18*1+(6),,,"J1 A - (North) Bishopthorpe Roa")&amp;":"&amp;ADDRESS(130,3+18*1+(6))),'J1 A - (North) Bishopthorpe Roa'!$A$12:$A$130,"&gt;="&amp;Diagram!$O23,'J1 A - (North) Bishopthorpe Roa'!$A$12:$A$130,"&lt;"&amp;Diagram!$P23),SUMIFS(INDIRECT(ADDRESS(12,3+18*1+(14),,,"J1 A - (North) Bishopthorpe Roa")&amp;":"&amp;ADDRESS(130,3+18*1+(14))),'J1 A - (North) Bishopthorpe Roa'!$A$12:$A$130,"&gt;="&amp;Diagram!$O23,'J1 A - (North) Bishopthorpe Roa'!$A$12:$A$130,"&lt;"&amp;Diagram!$P23)))</f>
        <v>0</v>
      </c>
      <c r="DT23" s="42">
        <f ca="1">IF(OR($I$10="",$O23="",$P23="",$J$41&lt;&gt;"Yes"),0,IF($K$10=0,SUMIFS(INDIRECT(ADDRESS(12,3+18*2+(6),,,"J1 A - (North) Bishopthorpe Roa")&amp;":"&amp;ADDRESS(130,3+18*2+(6))),'J1 A - (North) Bishopthorpe Roa'!$A$12:$A$130,"&gt;="&amp;Diagram!$O23,'J1 A - (North) Bishopthorpe Roa'!$A$12:$A$130,"&lt;"&amp;Diagram!$P23),SUMIFS(INDIRECT(ADDRESS(12,3+18*2+(14),,,"J1 A - (North) Bishopthorpe Roa")&amp;":"&amp;ADDRESS(130,3+18*2+(14))),'J1 A - (North) Bishopthorpe Roa'!$A$12:$A$130,"&gt;="&amp;Diagram!$O23,'J1 A - (North) Bishopthorpe Roa'!$A$12:$A$130,"&lt;"&amp;Diagram!$P23)))</f>
        <v>0</v>
      </c>
      <c r="DU23" s="42">
        <f ca="1">IF(OR($I$10="",$O23="",$P23="",$J$41&lt;&gt;"Yes"),0,IF($K$10=0,SUMIFS(INDIRECT(ADDRESS(12,3+18*2+(6),,,"J1 B - Butcher Terrace")&amp;":"&amp;ADDRESS(130,3+18*2+(6))),'J1 B - Butcher Terrace'!$A$12:$A$130,"&gt;="&amp;Diagram!$O23,'J1 B - Butcher Terrace'!$A$12:$A$130,"&lt;"&amp;Diagram!$P23),SUMIFS(INDIRECT(ADDRESS(12,3+18*2+(14),,,"J1 B - Butcher Terrace")&amp;":"&amp;ADDRESS(130,3+18*2+(14))),'J1 B - Butcher Terrace'!$A$12:$A$130,"&gt;="&amp;Diagram!$O23,'J1 B - Butcher Terrace'!$A$12:$A$130,"&lt;"&amp;Diagram!$P23)))</f>
        <v>0</v>
      </c>
      <c r="DV23" s="42">
        <f ca="1">IF(OR($I$10="",$O23="",$P23="",$J$41&lt;&gt;"Yes"),0,IF($K$10=0,SUMIFS(INDIRECT(ADDRESS(12,3+18*3+(6),,,"J1 B - Butcher Terrace")&amp;":"&amp;ADDRESS(130,3+18*3+(6))),'J1 B - Butcher Terrace'!$A$12:$A$130,"&gt;="&amp;Diagram!$O23,'J1 B - Butcher Terrace'!$A$12:$A$130,"&lt;"&amp;Diagram!$P23),SUMIFS(INDIRECT(ADDRESS(12,3+18*3+(14),,,"J1 B - Butcher Terrace")&amp;":"&amp;ADDRESS(130,3+18*3+(14))),'J1 B - Butcher Terrace'!$A$12:$A$130,"&gt;="&amp;Diagram!$O23,'J1 B - Butcher Terrace'!$A$12:$A$130,"&lt;"&amp;Diagram!$P23)))</f>
        <v>0</v>
      </c>
      <c r="DW23" s="42">
        <f ca="1">IF(OR($I$10="",$O23="",$P23="",$J$41&lt;&gt;"Yes"),0,IF($K$10=0,SUMIFS(INDIRECT(ADDRESS(12,3+18*0+(6),,,"J1 B - Butcher Terrace")&amp;":"&amp;ADDRESS(130,3+18*0+(6))),'J1 B - Butcher Terrace'!$A$12:$A$130,"&gt;="&amp;Diagram!$O23,'J1 B - Butcher Terrace'!$A$12:$A$130,"&lt;"&amp;Diagram!$P23),SUMIFS(INDIRECT(ADDRESS(12,3+18*0+(14),,,"J1 B - Butcher Terrace")&amp;":"&amp;ADDRESS(130,3+18*0+(14))),'J1 B - Butcher Terrace'!$A$12:$A$130,"&gt;="&amp;Diagram!$O23,'J1 B - Butcher Terrace'!$A$12:$A$130,"&lt;"&amp;Diagram!$P23)))</f>
        <v>0</v>
      </c>
      <c r="DX23" s="42">
        <f ca="1">IF(OR($I$10="",$O23="",$P23="",$J$41&lt;&gt;"Yes"),0,IF($K$10=0,SUMIFS(INDIRECT(ADDRESS(12,3+18*1+(6),,,"J1 B - Butcher Terrace")&amp;":"&amp;ADDRESS(130,3+18*1+(6))),'J1 B - Butcher Terrace'!$A$12:$A$130,"&gt;="&amp;Diagram!$O23,'J1 B - Butcher Terrace'!$A$12:$A$130,"&lt;"&amp;Diagram!$P23),SUMIFS(INDIRECT(ADDRESS(12,3+18*1+(14),,,"J1 B - Butcher Terrace")&amp;":"&amp;ADDRESS(130,3+18*1+(14))),'J1 B - Butcher Terrace'!$A$12:$A$130,"&gt;="&amp;Diagram!$O23,'J1 B - Butcher Terrace'!$A$12:$A$130,"&lt;"&amp;Diagram!$P23)))</f>
        <v>0</v>
      </c>
      <c r="DY23" s="42">
        <f ca="1">IF(OR($I$10="",$O23="",$P23="",$J$41&lt;&gt;"Yes"),0,IF($K$10=0,SUMIFS(INDIRECT(ADDRESS(12,3+18*1+(6),,,"J1 C - (South) Bishopthorpe Roa")&amp;":"&amp;ADDRESS(130,3+18*1+(6))),'J1 C - (South) Bishopthorpe Roa'!$A$12:$A$130,"&gt;="&amp;Diagram!$O23,'J1 C - (South) Bishopthorpe Roa'!$A$12:$A$130,"&lt;"&amp;Diagram!$P23),SUMIFS(INDIRECT(ADDRESS(12,3+18*1+(14),,,"J1 C - (South) Bishopthorpe Roa")&amp;":"&amp;ADDRESS(130,3+18*1+(14))),'J1 C - (South) Bishopthorpe Roa'!$A$12:$A$130,"&gt;="&amp;Diagram!$O23,'J1 C - (South) Bishopthorpe Roa'!$A$12:$A$130,"&lt;"&amp;Diagram!$P23)))</f>
        <v>0</v>
      </c>
      <c r="DZ23" s="42">
        <f ca="1">IF(OR($I$10="",$O23="",$P23="",$J$41&lt;&gt;"Yes"),0,IF($K$10=0,SUMIFS(INDIRECT(ADDRESS(12,3+18*2+(6),,,"J1 C - (South) Bishopthorpe Roa")&amp;":"&amp;ADDRESS(130,3+18*2+(6))),'J1 C - (South) Bishopthorpe Roa'!$A$12:$A$130,"&gt;="&amp;Diagram!$O23,'J1 C - (South) Bishopthorpe Roa'!$A$12:$A$130,"&lt;"&amp;Diagram!$P23),SUMIFS(INDIRECT(ADDRESS(12,3+18*2+(14),,,"J1 C - (South) Bishopthorpe Roa")&amp;":"&amp;ADDRESS(130,3+18*2+(14))),'J1 C - (South) Bishopthorpe Roa'!$A$12:$A$130,"&gt;="&amp;Diagram!$O23,'J1 C - (South) Bishopthorpe Roa'!$A$12:$A$130,"&lt;"&amp;Diagram!$P23)))</f>
        <v>0</v>
      </c>
      <c r="EA23" s="42">
        <f ca="1">IF(OR($I$10="",$O23="",$P23="",$J$41&lt;&gt;"Yes"),0,IF($K$10=0,SUMIFS(INDIRECT(ADDRESS(12,3+18*3+(6),,,"J1 C - (South) Bishopthorpe Roa")&amp;":"&amp;ADDRESS(130,3+18*3+(6))),'J1 C - (South) Bishopthorpe Roa'!$A$12:$A$130,"&gt;="&amp;Diagram!$O23,'J1 C - (South) Bishopthorpe Roa'!$A$12:$A$130,"&lt;"&amp;Diagram!$P23),SUMIFS(INDIRECT(ADDRESS(12,3+18*3+(14),,,"J1 C - (South) Bishopthorpe Roa")&amp;":"&amp;ADDRESS(130,3+18*3+(14))),'J1 C - (South) Bishopthorpe Roa'!$A$12:$A$130,"&gt;="&amp;Diagram!$O23,'J1 C - (South) Bishopthorpe Roa'!$A$12:$A$130,"&lt;"&amp;Diagram!$P23)))</f>
        <v>0</v>
      </c>
      <c r="EB23" s="42">
        <f ca="1">IF(OR($I$10="",$O23="",$P23="",$J$41&lt;&gt;"Yes"),0,IF($K$10=0,SUMIFS(INDIRECT(ADDRESS(12,3+18*0+(6),,,"J1 C - (South) Bishopthorpe Roa")&amp;":"&amp;ADDRESS(130,3+18*0+(6))),'J1 C - (South) Bishopthorpe Roa'!$A$12:$A$130,"&gt;="&amp;Diagram!$O23,'J1 C - (South) Bishopthorpe Roa'!$A$12:$A$130,"&lt;"&amp;Diagram!$P23),SUMIFS(INDIRECT(ADDRESS(12,3+18*0+(14),,,"J1 C - (South) Bishopthorpe Roa")&amp;":"&amp;ADDRESS(130,3+18*0+(14))),'J1 C - (South) Bishopthorpe Roa'!$A$12:$A$130,"&gt;="&amp;Diagram!$O23,'J1 C - (South) Bishopthorpe Roa'!$A$12:$A$130,"&lt;"&amp;Diagram!$P23)))</f>
        <v>0</v>
      </c>
      <c r="EC23" s="42">
        <f ca="1">IF(OR($I$10="",$O23="",$P23="",$J$41&lt;&gt;"Yes"),0,IF($K$10=0,SUMIFS(INDIRECT(ADDRESS(12,3+18*0+(6),,,"J1 D - South Bank Avenue")&amp;":"&amp;ADDRESS(130,3+18*0+(6))),'J1 D - South Bank Avenue'!$A$12:$A$130,"&gt;="&amp;Diagram!$O23,'J1 D - South Bank Avenue'!$A$12:$A$130,"&lt;"&amp;Diagram!$P23),SUMIFS(INDIRECT(ADDRESS(12,3+18*0+(14),,,"J1 D - South Bank Avenue")&amp;":"&amp;ADDRESS(130,3+18*0+(14))),'J1 D - South Bank Avenue'!$A$12:$A$130,"&gt;="&amp;Diagram!$O23,'J1 D - South Bank Avenue'!$A$12:$A$130,"&lt;"&amp;Diagram!$P23)))</f>
        <v>0</v>
      </c>
      <c r="ED23" s="42">
        <f ca="1">IF(OR($I$10="",$O23="",$P23="",$J$41&lt;&gt;"Yes"),0,IF($K$10=0,SUMIFS(INDIRECT(ADDRESS(12,3+18*1+(6),,,"J1 D - South Bank Avenue")&amp;":"&amp;ADDRESS(130,3+18*1+(6))),'J1 D - South Bank Avenue'!$A$12:$A$130,"&gt;="&amp;Diagram!$O23,'J1 D - South Bank Avenue'!$A$12:$A$130,"&lt;"&amp;Diagram!$P23),SUMIFS(INDIRECT(ADDRESS(12,3+18*1+(14),,,"J1 D - South Bank Avenue")&amp;":"&amp;ADDRESS(130,3+18*1+(14))),'J1 D - South Bank Avenue'!$A$12:$A$130,"&gt;="&amp;Diagram!$O23,'J1 D - South Bank Avenue'!$A$12:$A$130,"&lt;"&amp;Diagram!$P23)))</f>
        <v>0</v>
      </c>
      <c r="EE23" s="42">
        <f ca="1">IF(OR($I$10="",$O23="",$P23="",$J$41&lt;&gt;"Yes"),0,IF($K$10=0,SUMIFS(INDIRECT(ADDRESS(12,3+18*2+(6),,,"J1 D - South Bank Avenue")&amp;":"&amp;ADDRESS(130,3+18*2+(6))),'J1 D - South Bank Avenue'!$A$12:$A$130,"&gt;="&amp;Diagram!$O23,'J1 D - South Bank Avenue'!$A$12:$A$130,"&lt;"&amp;Diagram!$P23),SUMIFS(INDIRECT(ADDRESS(12,3+18*2+(14),,,"J1 D - South Bank Avenue")&amp;":"&amp;ADDRESS(130,3+18*2+(14))),'J1 D - South Bank Avenue'!$A$12:$A$130,"&gt;="&amp;Diagram!$O23,'J1 D - South Bank Avenue'!$A$12:$A$130,"&lt;"&amp;Diagram!$P23)))</f>
        <v>0</v>
      </c>
      <c r="EF23" s="42">
        <f ca="1">IF(OR($I$10="",$O23="",$P23="",$J$41&lt;&gt;"Yes"),0,IF($K$10=0,SUMIFS(INDIRECT(ADDRESS(12,3+18*3+(6),,,"J1 D - South Bank Avenue")&amp;":"&amp;ADDRESS(130,3+18*3+(6))),'J1 D - South Bank Avenue'!$A$12:$A$130,"&gt;="&amp;Diagram!$O23,'J1 D - South Bank Avenue'!$A$12:$A$130,"&lt;"&amp;Diagram!$P23),SUMIFS(INDIRECT(ADDRESS(12,3+18*3+(14),,,"J1 D - South Bank Avenue")&amp;":"&amp;ADDRESS(130,3+18*3+(14))),'J1 D - South Bank Avenue'!$A$12:$A$130,"&gt;="&amp;Diagram!$O23,'J1 D - South Bank Avenue'!$A$12:$A$130,"&lt;"&amp;Diagram!$P23)))</f>
        <v>0</v>
      </c>
      <c r="EG23" s="42">
        <f t="shared" ca="1" si="8"/>
        <v>0</v>
      </c>
      <c r="EH23" s="42">
        <f ca="1">IF(OR($I$10="",$O23="",$P23="",$J$42&lt;&gt;"Yes"),0,IF($K$10=0,SUMIFS(INDIRECT(ADDRESS(12,3+18*3+(7),,,"J1 A - (North) Bishopthorpe Roa")&amp;":"&amp;ADDRESS(130,3+18*3+(7))),'J1 A - (North) Bishopthorpe Roa'!$A$12:$A$130,"&gt;="&amp;Diagram!$O23,'J1 A - (North) Bishopthorpe Roa'!$A$12:$A$130,"&lt;"&amp;Diagram!$P23),SUMIFS(INDIRECT(ADDRESS(12,3+18*3+(15),,,"J1 A - (North) Bishopthorpe Roa")&amp;":"&amp;ADDRESS(130,3+18*3+(15))),'J1 A - (North) Bishopthorpe Roa'!$A$12:$A$130,"&gt;="&amp;Diagram!$O23,'J1 A - (North) Bishopthorpe Roa'!$A$12:$A$130,"&lt;"&amp;Diagram!$P23)))</f>
        <v>0</v>
      </c>
      <c r="EI23" s="42">
        <f ca="1">IF(OR($I$10="",$O23="",$P23="",$J$42&lt;&gt;"Yes"),0,IF($K$10=0,SUMIFS(INDIRECT(ADDRESS(12,3+18*0+(7),,,"J1 A - (North) Bishopthorpe Roa")&amp;":"&amp;ADDRESS(130,3+18*0+(7))),'J1 A - (North) Bishopthorpe Roa'!$A$12:$A$130,"&gt;="&amp;Diagram!$O23,'J1 A - (North) Bishopthorpe Roa'!$A$12:$A$130,"&lt;"&amp;Diagram!$P23),SUMIFS(INDIRECT(ADDRESS(12,3+18*0+(15),,,"J1 A - (North) Bishopthorpe Roa")&amp;":"&amp;ADDRESS(130,3+18*0+(15))),'J1 A - (North) Bishopthorpe Roa'!$A$12:$A$130,"&gt;="&amp;Diagram!$O23,'J1 A - (North) Bishopthorpe Roa'!$A$12:$A$130,"&lt;"&amp;Diagram!$P23)))</f>
        <v>0</v>
      </c>
      <c r="EJ23" s="42">
        <f ca="1">IF(OR($I$10="",$O23="",$P23="",$J$42&lt;&gt;"Yes"),0,IF($K$10=0,SUMIFS(INDIRECT(ADDRESS(12,3+18*1+(7),,,"J1 A - (North) Bishopthorpe Roa")&amp;":"&amp;ADDRESS(130,3+18*1+(7))),'J1 A - (North) Bishopthorpe Roa'!$A$12:$A$130,"&gt;="&amp;Diagram!$O23,'J1 A - (North) Bishopthorpe Roa'!$A$12:$A$130,"&lt;"&amp;Diagram!$P23),SUMIFS(INDIRECT(ADDRESS(12,3+18*1+(15),,,"J1 A - (North) Bishopthorpe Roa")&amp;":"&amp;ADDRESS(130,3+18*1+(15))),'J1 A - (North) Bishopthorpe Roa'!$A$12:$A$130,"&gt;="&amp;Diagram!$O23,'J1 A - (North) Bishopthorpe Roa'!$A$12:$A$130,"&lt;"&amp;Diagram!$P23)))</f>
        <v>0</v>
      </c>
      <c r="EK23" s="42">
        <f ca="1">IF(OR($I$10="",$O23="",$P23="",$J$42&lt;&gt;"Yes"),0,IF($K$10=0,SUMIFS(INDIRECT(ADDRESS(12,3+18*2+(7),,,"J1 A - (North) Bishopthorpe Roa")&amp;":"&amp;ADDRESS(130,3+18*2+(7))),'J1 A - (North) Bishopthorpe Roa'!$A$12:$A$130,"&gt;="&amp;Diagram!$O23,'J1 A - (North) Bishopthorpe Roa'!$A$12:$A$130,"&lt;"&amp;Diagram!$P23),SUMIFS(INDIRECT(ADDRESS(12,3+18*2+(15),,,"J1 A - (North) Bishopthorpe Roa")&amp;":"&amp;ADDRESS(130,3+18*2+(15))),'J1 A - (North) Bishopthorpe Roa'!$A$12:$A$130,"&gt;="&amp;Diagram!$O23,'J1 A - (North) Bishopthorpe Roa'!$A$12:$A$130,"&lt;"&amp;Diagram!$P23)))</f>
        <v>0</v>
      </c>
      <c r="EL23" s="42">
        <f ca="1">IF(OR($I$10="",$O23="",$P23="",$J$42&lt;&gt;"Yes"),0,IF($K$10=0,SUMIFS(INDIRECT(ADDRESS(12,3+18*2+(7),,,"J1 B - Butcher Terrace")&amp;":"&amp;ADDRESS(130,3+18*2+(7))),'J1 B - Butcher Terrace'!$A$12:$A$130,"&gt;="&amp;Diagram!$O23,'J1 B - Butcher Terrace'!$A$12:$A$130,"&lt;"&amp;Diagram!$P23),SUMIFS(INDIRECT(ADDRESS(12,3+18*2+(15),,,"J1 B - Butcher Terrace")&amp;":"&amp;ADDRESS(130,3+18*2+(15))),'J1 B - Butcher Terrace'!$A$12:$A$130,"&gt;="&amp;Diagram!$O23,'J1 B - Butcher Terrace'!$A$12:$A$130,"&lt;"&amp;Diagram!$P23)))</f>
        <v>0</v>
      </c>
      <c r="EM23" s="42">
        <f ca="1">IF(OR($I$10="",$O23="",$P23="",$J$42&lt;&gt;"Yes"),0,IF($K$10=0,SUMIFS(INDIRECT(ADDRESS(12,3+18*3+(7),,,"J1 B - Butcher Terrace")&amp;":"&amp;ADDRESS(130,3+18*3+(7))),'J1 B - Butcher Terrace'!$A$12:$A$130,"&gt;="&amp;Diagram!$O23,'J1 B - Butcher Terrace'!$A$12:$A$130,"&lt;"&amp;Diagram!$P23),SUMIFS(INDIRECT(ADDRESS(12,3+18*3+(15),,,"J1 B - Butcher Terrace")&amp;":"&amp;ADDRESS(130,3+18*3+(15))),'J1 B - Butcher Terrace'!$A$12:$A$130,"&gt;="&amp;Diagram!$O23,'J1 B - Butcher Terrace'!$A$12:$A$130,"&lt;"&amp;Diagram!$P23)))</f>
        <v>0</v>
      </c>
      <c r="EN23" s="42">
        <f ca="1">IF(OR($I$10="",$O23="",$P23="",$J$42&lt;&gt;"Yes"),0,IF($K$10=0,SUMIFS(INDIRECT(ADDRESS(12,3+18*0+(7),,,"J1 B - Butcher Terrace")&amp;":"&amp;ADDRESS(130,3+18*0+(7))),'J1 B - Butcher Terrace'!$A$12:$A$130,"&gt;="&amp;Diagram!$O23,'J1 B - Butcher Terrace'!$A$12:$A$130,"&lt;"&amp;Diagram!$P23),SUMIFS(INDIRECT(ADDRESS(12,3+18*0+(15),,,"J1 B - Butcher Terrace")&amp;":"&amp;ADDRESS(130,3+18*0+(15))),'J1 B - Butcher Terrace'!$A$12:$A$130,"&gt;="&amp;Diagram!$O23,'J1 B - Butcher Terrace'!$A$12:$A$130,"&lt;"&amp;Diagram!$P23)))</f>
        <v>0</v>
      </c>
      <c r="EO23" s="42">
        <f ca="1">IF(OR($I$10="",$O23="",$P23="",$J$42&lt;&gt;"Yes"),0,IF($K$10=0,SUMIFS(INDIRECT(ADDRESS(12,3+18*1+(7),,,"J1 B - Butcher Terrace")&amp;":"&amp;ADDRESS(130,3+18*1+(7))),'J1 B - Butcher Terrace'!$A$12:$A$130,"&gt;="&amp;Diagram!$O23,'J1 B - Butcher Terrace'!$A$12:$A$130,"&lt;"&amp;Diagram!$P23),SUMIFS(INDIRECT(ADDRESS(12,3+18*1+(15),,,"J1 B - Butcher Terrace")&amp;":"&amp;ADDRESS(130,3+18*1+(15))),'J1 B - Butcher Terrace'!$A$12:$A$130,"&gt;="&amp;Diagram!$O23,'J1 B - Butcher Terrace'!$A$12:$A$130,"&lt;"&amp;Diagram!$P23)))</f>
        <v>0</v>
      </c>
      <c r="EP23" s="42">
        <f ca="1">IF(OR($I$10="",$O23="",$P23="",$J$42&lt;&gt;"Yes"),0,IF($K$10=0,SUMIFS(INDIRECT(ADDRESS(12,3+18*1+(7),,,"J1 C - (South) Bishopthorpe Roa")&amp;":"&amp;ADDRESS(130,3+18*1+(7))),'J1 C - (South) Bishopthorpe Roa'!$A$12:$A$130,"&gt;="&amp;Diagram!$O23,'J1 C - (South) Bishopthorpe Roa'!$A$12:$A$130,"&lt;"&amp;Diagram!$P23),SUMIFS(INDIRECT(ADDRESS(12,3+18*1+(15),,,"J1 C - (South) Bishopthorpe Roa")&amp;":"&amp;ADDRESS(130,3+18*1+(15))),'J1 C - (South) Bishopthorpe Roa'!$A$12:$A$130,"&gt;="&amp;Diagram!$O23,'J1 C - (South) Bishopthorpe Roa'!$A$12:$A$130,"&lt;"&amp;Diagram!$P23)))</f>
        <v>0</v>
      </c>
      <c r="EQ23" s="42">
        <f ca="1">IF(OR($I$10="",$O23="",$P23="",$J$42&lt;&gt;"Yes"),0,IF($K$10=0,SUMIFS(INDIRECT(ADDRESS(12,3+18*2+(7),,,"J1 C - (South) Bishopthorpe Roa")&amp;":"&amp;ADDRESS(130,3+18*2+(7))),'J1 C - (South) Bishopthorpe Roa'!$A$12:$A$130,"&gt;="&amp;Diagram!$O23,'J1 C - (South) Bishopthorpe Roa'!$A$12:$A$130,"&lt;"&amp;Diagram!$P23),SUMIFS(INDIRECT(ADDRESS(12,3+18*2+(15),,,"J1 C - (South) Bishopthorpe Roa")&amp;":"&amp;ADDRESS(130,3+18*2+(15))),'J1 C - (South) Bishopthorpe Roa'!$A$12:$A$130,"&gt;="&amp;Diagram!$O23,'J1 C - (South) Bishopthorpe Roa'!$A$12:$A$130,"&lt;"&amp;Diagram!$P23)))</f>
        <v>0</v>
      </c>
      <c r="ER23" s="42">
        <f ca="1">IF(OR($I$10="",$O23="",$P23="",$J$42&lt;&gt;"Yes"),0,IF($K$10=0,SUMIFS(INDIRECT(ADDRESS(12,3+18*3+(7),,,"J1 C - (South) Bishopthorpe Roa")&amp;":"&amp;ADDRESS(130,3+18*3+(7))),'J1 C - (South) Bishopthorpe Roa'!$A$12:$A$130,"&gt;="&amp;Diagram!$O23,'J1 C - (South) Bishopthorpe Roa'!$A$12:$A$130,"&lt;"&amp;Diagram!$P23),SUMIFS(INDIRECT(ADDRESS(12,3+18*3+(15),,,"J1 C - (South) Bishopthorpe Roa")&amp;":"&amp;ADDRESS(130,3+18*3+(15))),'J1 C - (South) Bishopthorpe Roa'!$A$12:$A$130,"&gt;="&amp;Diagram!$O23,'J1 C - (South) Bishopthorpe Roa'!$A$12:$A$130,"&lt;"&amp;Diagram!$P23)))</f>
        <v>0</v>
      </c>
      <c r="ES23" s="42">
        <f ca="1">IF(OR($I$10="",$O23="",$P23="",$J$42&lt;&gt;"Yes"),0,IF($K$10=0,SUMIFS(INDIRECT(ADDRESS(12,3+18*0+(7),,,"J1 C - (South) Bishopthorpe Roa")&amp;":"&amp;ADDRESS(130,3+18*0+(7))),'J1 C - (South) Bishopthorpe Roa'!$A$12:$A$130,"&gt;="&amp;Diagram!$O23,'J1 C - (South) Bishopthorpe Roa'!$A$12:$A$130,"&lt;"&amp;Diagram!$P23),SUMIFS(INDIRECT(ADDRESS(12,3+18*0+(15),,,"J1 C - (South) Bishopthorpe Roa")&amp;":"&amp;ADDRESS(130,3+18*0+(15))),'J1 C - (South) Bishopthorpe Roa'!$A$12:$A$130,"&gt;="&amp;Diagram!$O23,'J1 C - (South) Bishopthorpe Roa'!$A$12:$A$130,"&lt;"&amp;Diagram!$P23)))</f>
        <v>0</v>
      </c>
      <c r="ET23" s="42">
        <f ca="1">IF(OR($I$10="",$O23="",$P23="",$J$42&lt;&gt;"Yes"),0,IF($K$10=0,SUMIFS(INDIRECT(ADDRESS(12,3+18*0+(7),,,"J1 D - South Bank Avenue")&amp;":"&amp;ADDRESS(130,3+18*0+(7))),'J1 D - South Bank Avenue'!$A$12:$A$130,"&gt;="&amp;Diagram!$O23,'J1 D - South Bank Avenue'!$A$12:$A$130,"&lt;"&amp;Diagram!$P23),SUMIFS(INDIRECT(ADDRESS(12,3+18*0+(15),,,"J1 D - South Bank Avenue")&amp;":"&amp;ADDRESS(130,3+18*0+(15))),'J1 D - South Bank Avenue'!$A$12:$A$130,"&gt;="&amp;Diagram!$O23,'J1 D - South Bank Avenue'!$A$12:$A$130,"&lt;"&amp;Diagram!$P23)))</f>
        <v>0</v>
      </c>
      <c r="EU23" s="42">
        <f ca="1">IF(OR($I$10="",$O23="",$P23="",$J$42&lt;&gt;"Yes"),0,IF($K$10=0,SUMIFS(INDIRECT(ADDRESS(12,3+18*1+(7),,,"J1 D - South Bank Avenue")&amp;":"&amp;ADDRESS(130,3+18*1+(7))),'J1 D - South Bank Avenue'!$A$12:$A$130,"&gt;="&amp;Diagram!$O23,'J1 D - South Bank Avenue'!$A$12:$A$130,"&lt;"&amp;Diagram!$P23),SUMIFS(INDIRECT(ADDRESS(12,3+18*1+(15),,,"J1 D - South Bank Avenue")&amp;":"&amp;ADDRESS(130,3+18*1+(15))),'J1 D - South Bank Avenue'!$A$12:$A$130,"&gt;="&amp;Diagram!$O23,'J1 D - South Bank Avenue'!$A$12:$A$130,"&lt;"&amp;Diagram!$P23)))</f>
        <v>0</v>
      </c>
      <c r="EV23" s="42">
        <f ca="1">IF(OR($I$10="",$O23="",$P23="",$J$42&lt;&gt;"Yes"),0,IF($K$10=0,SUMIFS(INDIRECT(ADDRESS(12,3+18*2+(7),,,"J1 D - South Bank Avenue")&amp;":"&amp;ADDRESS(130,3+18*2+(7))),'J1 D - South Bank Avenue'!$A$12:$A$130,"&gt;="&amp;Diagram!$O23,'J1 D - South Bank Avenue'!$A$12:$A$130,"&lt;"&amp;Diagram!$P23),SUMIFS(INDIRECT(ADDRESS(12,3+18*2+(15),,,"J1 D - South Bank Avenue")&amp;":"&amp;ADDRESS(130,3+18*2+(15))),'J1 D - South Bank Avenue'!$A$12:$A$130,"&gt;="&amp;Diagram!$O23,'J1 D - South Bank Avenue'!$A$12:$A$130,"&lt;"&amp;Diagram!$P23)))</f>
        <v>0</v>
      </c>
      <c r="EW23" s="42">
        <f ca="1">IF(OR($I$10="",$O23="",$P23="",$J$42&lt;&gt;"Yes"),0,IF($K$10=0,SUMIFS(INDIRECT(ADDRESS(12,3+18*3+(7),,,"J1 D - South Bank Avenue")&amp;":"&amp;ADDRESS(130,3+18*3+(7))),'J1 D - South Bank Avenue'!$A$12:$A$130,"&gt;="&amp;Diagram!$O23,'J1 D - South Bank Avenue'!$A$12:$A$130,"&lt;"&amp;Diagram!$P23),SUMIFS(INDIRECT(ADDRESS(12,3+18*3+(15),,,"J1 D - South Bank Avenue")&amp;":"&amp;ADDRESS(130,3+18*3+(15))),'J1 D - South Bank Avenue'!$A$12:$A$130,"&gt;="&amp;Diagram!$O23,'J1 D - South Bank Avenue'!$A$12:$A$130,"&lt;"&amp;Diagram!$P23)))</f>
        <v>0</v>
      </c>
    </row>
    <row r="24" spans="1:153" ht="21" customHeight="1">
      <c r="A24" s="1">
        <v>44395.239583333299</v>
      </c>
      <c r="B24" s="1">
        <v>44395.25</v>
      </c>
      <c r="G24" s="110"/>
      <c r="H24" s="10" t="s">
        <v>159</v>
      </c>
      <c r="I24" s="24">
        <f ca="1">SUM($R$101,$Z$101,$AH$101,$AP$101,$AX$101,$BF$101,$BN$101,$BV$101)</f>
        <v>3459</v>
      </c>
      <c r="J24" s="24">
        <f ca="1">SUM($S$101,$AA$101,$AI$101,$AQ$101,$AY$101,$BG$101,$BO$101,$BW$101)</f>
        <v>207</v>
      </c>
      <c r="K24" s="20">
        <f ca="1">SUM($T$101,$AB$101,$AJ$101,$AR$101,$AZ$101,$BH$101,$BP$101,$BX$101)</f>
        <v>5</v>
      </c>
      <c r="L24" s="24">
        <f ca="1">SUM($U$101,$AC$101,$AK$101,$AS$101,$BA$101,$BI$101,$BQ$101,$BY$101)</f>
        <v>128</v>
      </c>
      <c r="M24" s="25">
        <f ca="1">SUM($I$24:$L$24)</f>
        <v>3799</v>
      </c>
      <c r="N24" s="26">
        <f ca="1">IF($M$30=0,0,$M$24/$M$30)</f>
        <v>1</v>
      </c>
      <c r="O24" s="3">
        <v>44395.239583333299</v>
      </c>
      <c r="P24" s="3">
        <v>44395.28125</v>
      </c>
      <c r="Q24" s="42">
        <f t="shared" ca="1" si="0"/>
        <v>106</v>
      </c>
      <c r="R24" s="42">
        <f t="shared" ca="1" si="1"/>
        <v>73</v>
      </c>
      <c r="S24" s="42">
        <f ca="1">IF(OR($I$10="",$O24="",$P24="",$J$35&lt;&gt;"Yes"),0,IF($K$10=0,SUMIFS(INDIRECT(ADDRESS(12,3+18*3+(0),,,"J1 A - (North) Bishopthorpe Roa")&amp;":"&amp;ADDRESS(130,3+18*3+(0))),'J1 A - (North) Bishopthorpe Roa'!$A$12:$A$130,"&gt;="&amp;Diagram!$O24,'J1 A - (North) Bishopthorpe Roa'!$A$12:$A$130,"&lt;"&amp;Diagram!$P24),SUMIFS(INDIRECT(ADDRESS(12,3+18*3+(8),,,"J1 A - (North) Bishopthorpe Roa")&amp;":"&amp;ADDRESS(130,3+18*3+(8))),'J1 A - (North) Bishopthorpe Roa'!$A$12:$A$130,"&gt;="&amp;Diagram!$O24,'J1 A - (North) Bishopthorpe Roa'!$A$12:$A$130,"&lt;"&amp;Diagram!$P24)))</f>
        <v>1</v>
      </c>
      <c r="T24" s="42">
        <f ca="1">IF(OR($I$10="",$O24="",$P24="",$J$35&lt;&gt;"Yes"),0,IF($K$10=0,SUMIFS(INDIRECT(ADDRESS(12,3+18*0+(0),,,"J1 A - (North) Bishopthorpe Roa")&amp;":"&amp;ADDRESS(130,3+18*0+(0))),'J1 A - (North) Bishopthorpe Roa'!$A$12:$A$130,"&gt;="&amp;Diagram!$O24,'J1 A - (North) Bishopthorpe Roa'!$A$12:$A$130,"&lt;"&amp;Diagram!$P24),SUMIFS(INDIRECT(ADDRESS(12,3+18*0+(8),,,"J1 A - (North) Bishopthorpe Roa")&amp;":"&amp;ADDRESS(130,3+18*0+(8))),'J1 A - (North) Bishopthorpe Roa'!$A$12:$A$130,"&gt;="&amp;Diagram!$O24,'J1 A - (North) Bishopthorpe Roa'!$A$12:$A$130,"&lt;"&amp;Diagram!$P24)))</f>
        <v>0</v>
      </c>
      <c r="U24" s="42">
        <f ca="1">IF(OR($I$10="",$O24="",$P24="",$J$35&lt;&gt;"Yes"),0,IF($K$10=0,SUMIFS(INDIRECT(ADDRESS(12,3+18*1+(0),,,"J1 A - (North) Bishopthorpe Roa")&amp;":"&amp;ADDRESS(130,3+18*1+(0))),'J1 A - (North) Bishopthorpe Roa'!$A$12:$A$130,"&gt;="&amp;Diagram!$O24,'J1 A - (North) Bishopthorpe Roa'!$A$12:$A$130,"&lt;"&amp;Diagram!$P24),SUMIFS(INDIRECT(ADDRESS(12,3+18*1+(8),,,"J1 A - (North) Bishopthorpe Roa")&amp;":"&amp;ADDRESS(130,3+18*1+(8))),'J1 A - (North) Bishopthorpe Roa'!$A$12:$A$130,"&gt;="&amp;Diagram!$O24,'J1 A - (North) Bishopthorpe Roa'!$A$12:$A$130,"&lt;"&amp;Diagram!$P24)))</f>
        <v>15</v>
      </c>
      <c r="V24" s="42">
        <f ca="1">IF(OR($I$10="",$O24="",$P24="",$J$35&lt;&gt;"Yes"),0,IF($K$10=0,SUMIFS(INDIRECT(ADDRESS(12,3+18*2+(0),,,"J1 A - (North) Bishopthorpe Roa")&amp;":"&amp;ADDRESS(130,3+18*2+(0))),'J1 A - (North) Bishopthorpe Roa'!$A$12:$A$130,"&gt;="&amp;Diagram!$O24,'J1 A - (North) Bishopthorpe Roa'!$A$12:$A$130,"&lt;"&amp;Diagram!$P24),SUMIFS(INDIRECT(ADDRESS(12,3+18*2+(8),,,"J1 A - (North) Bishopthorpe Roa")&amp;":"&amp;ADDRESS(130,3+18*2+(8))),'J1 A - (North) Bishopthorpe Roa'!$A$12:$A$130,"&gt;="&amp;Diagram!$O24,'J1 A - (North) Bishopthorpe Roa'!$A$12:$A$130,"&lt;"&amp;Diagram!$P24)))</f>
        <v>1</v>
      </c>
      <c r="W24" s="42">
        <f ca="1">IF(OR($I$10="",$O24="",$P24="",$J$35&lt;&gt;"Yes"),0,IF($K$10=0,SUMIFS(INDIRECT(ADDRESS(12,3+18*2+(0),,,"J1 B - Butcher Terrace")&amp;":"&amp;ADDRESS(130,3+18*2+(0))),'J1 B - Butcher Terrace'!$A$12:$A$130,"&gt;="&amp;Diagram!$O24,'J1 B - Butcher Terrace'!$A$12:$A$130,"&lt;"&amp;Diagram!$P24),SUMIFS(INDIRECT(ADDRESS(12,3+18*2+(8),,,"J1 B - Butcher Terrace")&amp;":"&amp;ADDRESS(130,3+18*2+(8))),'J1 B - Butcher Terrace'!$A$12:$A$130,"&gt;="&amp;Diagram!$O24,'J1 B - Butcher Terrace'!$A$12:$A$130,"&lt;"&amp;Diagram!$P24)))</f>
        <v>3</v>
      </c>
      <c r="X24" s="42">
        <f ca="1">IF(OR($I$10="",$O24="",$P24="",$J$35&lt;&gt;"Yes"),0,IF($K$10=0,SUMIFS(INDIRECT(ADDRESS(12,3+18*3+(0),,,"J1 B - Butcher Terrace")&amp;":"&amp;ADDRESS(130,3+18*3+(0))),'J1 B - Butcher Terrace'!$A$12:$A$130,"&gt;="&amp;Diagram!$O24,'J1 B - Butcher Terrace'!$A$12:$A$130,"&lt;"&amp;Diagram!$P24),SUMIFS(INDIRECT(ADDRESS(12,3+18*3+(8),,,"J1 B - Butcher Terrace")&amp;":"&amp;ADDRESS(130,3+18*3+(8))),'J1 B - Butcher Terrace'!$A$12:$A$130,"&gt;="&amp;Diagram!$O24,'J1 B - Butcher Terrace'!$A$12:$A$130,"&lt;"&amp;Diagram!$P24)))</f>
        <v>0</v>
      </c>
      <c r="Y24" s="42">
        <f ca="1">IF(OR($I$10="",$O24="",$P24="",$J$35&lt;&gt;"Yes"),0,IF($K$10=0,SUMIFS(INDIRECT(ADDRESS(12,3+18*0+(0),,,"J1 B - Butcher Terrace")&amp;":"&amp;ADDRESS(130,3+18*0+(0))),'J1 B - Butcher Terrace'!$A$12:$A$130,"&gt;="&amp;Diagram!$O24,'J1 B - Butcher Terrace'!$A$12:$A$130,"&lt;"&amp;Diagram!$P24),SUMIFS(INDIRECT(ADDRESS(12,3+18*0+(8),,,"J1 B - Butcher Terrace")&amp;":"&amp;ADDRESS(130,3+18*0+(8))),'J1 B - Butcher Terrace'!$A$12:$A$130,"&gt;="&amp;Diagram!$O24,'J1 B - Butcher Terrace'!$A$12:$A$130,"&lt;"&amp;Diagram!$P24)))</f>
        <v>1</v>
      </c>
      <c r="Z24" s="42">
        <f ca="1">IF(OR($I$10="",$O24="",$P24="",$J$35&lt;&gt;"Yes"),0,IF($K$10=0,SUMIFS(INDIRECT(ADDRESS(12,3+18*1+(0),,,"J1 B - Butcher Terrace")&amp;":"&amp;ADDRESS(130,3+18*1+(0))),'J1 B - Butcher Terrace'!$A$12:$A$130,"&gt;="&amp;Diagram!$O24,'J1 B - Butcher Terrace'!$A$12:$A$130,"&lt;"&amp;Diagram!$P24),SUMIFS(INDIRECT(ADDRESS(12,3+18*1+(8),,,"J1 B - Butcher Terrace")&amp;":"&amp;ADDRESS(130,3+18*1+(8))),'J1 B - Butcher Terrace'!$A$12:$A$130,"&gt;="&amp;Diagram!$O24,'J1 B - Butcher Terrace'!$A$12:$A$130,"&lt;"&amp;Diagram!$P24)))</f>
        <v>0</v>
      </c>
      <c r="AA24" s="42">
        <f ca="1">IF(OR($I$10="",$O24="",$P24="",$J$35&lt;&gt;"Yes"),0,IF($K$10=0,SUMIFS(INDIRECT(ADDRESS(12,3+18*1+(0),,,"J1 C - (South) Bishopthorpe Roa")&amp;":"&amp;ADDRESS(130,3+18*1+(0))),'J1 C - (South) Bishopthorpe Roa'!$A$12:$A$130,"&gt;="&amp;Diagram!$O24,'J1 C - (South) Bishopthorpe Roa'!$A$12:$A$130,"&lt;"&amp;Diagram!$P24),SUMIFS(INDIRECT(ADDRESS(12,3+18*1+(8),,,"J1 C - (South) Bishopthorpe Roa")&amp;":"&amp;ADDRESS(130,3+18*1+(8))),'J1 C - (South) Bishopthorpe Roa'!$A$12:$A$130,"&gt;="&amp;Diagram!$O24,'J1 C - (South) Bishopthorpe Roa'!$A$12:$A$130,"&lt;"&amp;Diagram!$P24)))</f>
        <v>37</v>
      </c>
      <c r="AB24" s="42">
        <f ca="1">IF(OR($I$10="",$O24="",$P24="",$J$35&lt;&gt;"Yes"),0,IF($K$10=0,SUMIFS(INDIRECT(ADDRESS(12,3+18*2+(0),,,"J1 C - (South) Bishopthorpe Roa")&amp;":"&amp;ADDRESS(130,3+18*2+(0))),'J1 C - (South) Bishopthorpe Roa'!$A$12:$A$130,"&gt;="&amp;Diagram!$O24,'J1 C - (South) Bishopthorpe Roa'!$A$12:$A$130,"&lt;"&amp;Diagram!$P24),SUMIFS(INDIRECT(ADDRESS(12,3+18*2+(8),,,"J1 C - (South) Bishopthorpe Roa")&amp;":"&amp;ADDRESS(130,3+18*2+(8))),'J1 C - (South) Bishopthorpe Roa'!$A$12:$A$130,"&gt;="&amp;Diagram!$O24,'J1 C - (South) Bishopthorpe Roa'!$A$12:$A$130,"&lt;"&amp;Diagram!$P24)))</f>
        <v>1</v>
      </c>
      <c r="AC24" s="42">
        <f ca="1">IF(OR($I$10="",$O24="",$P24="",$J$35&lt;&gt;"Yes"),0,IF($K$10=0,SUMIFS(INDIRECT(ADDRESS(12,3+18*3+(0),,,"J1 C - (South) Bishopthorpe Roa")&amp;":"&amp;ADDRESS(130,3+18*3+(0))),'J1 C - (South) Bishopthorpe Roa'!$A$12:$A$130,"&gt;="&amp;Diagram!$O24,'J1 C - (South) Bishopthorpe Roa'!$A$12:$A$130,"&lt;"&amp;Diagram!$P24),SUMIFS(INDIRECT(ADDRESS(12,3+18*3+(8),,,"J1 C - (South) Bishopthorpe Roa")&amp;":"&amp;ADDRESS(130,3+18*3+(8))),'J1 C - (South) Bishopthorpe Roa'!$A$12:$A$130,"&gt;="&amp;Diagram!$O24,'J1 C - (South) Bishopthorpe Roa'!$A$12:$A$130,"&lt;"&amp;Diagram!$P24)))</f>
        <v>1</v>
      </c>
      <c r="AD24" s="42">
        <f ca="1">IF(OR($I$10="",$O24="",$P24="",$J$35&lt;&gt;"Yes"),0,IF($K$10=0,SUMIFS(INDIRECT(ADDRESS(12,3+18*0+(0),,,"J1 C - (South) Bishopthorpe Roa")&amp;":"&amp;ADDRESS(130,3+18*0+(0))),'J1 C - (South) Bishopthorpe Roa'!$A$12:$A$130,"&gt;="&amp;Diagram!$O24,'J1 C - (South) Bishopthorpe Roa'!$A$12:$A$130,"&lt;"&amp;Diagram!$P24),SUMIFS(INDIRECT(ADDRESS(12,3+18*0+(8),,,"J1 C - (South) Bishopthorpe Roa")&amp;":"&amp;ADDRESS(130,3+18*0+(8))),'J1 C - (South) Bishopthorpe Roa'!$A$12:$A$130,"&gt;="&amp;Diagram!$O24,'J1 C - (South) Bishopthorpe Roa'!$A$12:$A$130,"&lt;"&amp;Diagram!$P24)))</f>
        <v>0</v>
      </c>
      <c r="AE24" s="42">
        <f ca="1">IF(OR($I$10="",$O24="",$P24="",$J$35&lt;&gt;"Yes"),0,IF($K$10=0,SUMIFS(INDIRECT(ADDRESS(12,3+18*0+(0),,,"J1 D - South Bank Avenue")&amp;":"&amp;ADDRESS(130,3+18*0+(0))),'J1 D - South Bank Avenue'!$A$12:$A$130,"&gt;="&amp;Diagram!$O24,'J1 D - South Bank Avenue'!$A$12:$A$130,"&lt;"&amp;Diagram!$P24),SUMIFS(INDIRECT(ADDRESS(12,3+18*0+(8),,,"J1 D - South Bank Avenue")&amp;":"&amp;ADDRESS(130,3+18*0+(8))),'J1 D - South Bank Avenue'!$A$12:$A$130,"&gt;="&amp;Diagram!$O24,'J1 D - South Bank Avenue'!$A$12:$A$130,"&lt;"&amp;Diagram!$P24)))</f>
        <v>11</v>
      </c>
      <c r="AF24" s="42">
        <f ca="1">IF(OR($I$10="",$O24="",$P24="",$J$35&lt;&gt;"Yes"),0,IF($K$10=0,SUMIFS(INDIRECT(ADDRESS(12,3+18*1+(0),,,"J1 D - South Bank Avenue")&amp;":"&amp;ADDRESS(130,3+18*1+(0))),'J1 D - South Bank Avenue'!$A$12:$A$130,"&gt;="&amp;Diagram!$O24,'J1 D - South Bank Avenue'!$A$12:$A$130,"&lt;"&amp;Diagram!$P24),SUMIFS(INDIRECT(ADDRESS(12,3+18*1+(8),,,"J1 D - South Bank Avenue")&amp;":"&amp;ADDRESS(130,3+18*1+(8))),'J1 D - South Bank Avenue'!$A$12:$A$130,"&gt;="&amp;Diagram!$O24,'J1 D - South Bank Avenue'!$A$12:$A$130,"&lt;"&amp;Diagram!$P24)))</f>
        <v>0</v>
      </c>
      <c r="AG24" s="42">
        <f ca="1">IF(OR($I$10="",$O24="",$P24="",$J$35&lt;&gt;"Yes"),0,IF($K$10=0,SUMIFS(INDIRECT(ADDRESS(12,3+18*2+(0),,,"J1 D - South Bank Avenue")&amp;":"&amp;ADDRESS(130,3+18*2+(0))),'J1 D - South Bank Avenue'!$A$12:$A$130,"&gt;="&amp;Diagram!$O24,'J1 D - South Bank Avenue'!$A$12:$A$130,"&lt;"&amp;Diagram!$P24),SUMIFS(INDIRECT(ADDRESS(12,3+18*2+(8),,,"J1 D - South Bank Avenue")&amp;":"&amp;ADDRESS(130,3+18*2+(8))),'J1 D - South Bank Avenue'!$A$12:$A$130,"&gt;="&amp;Diagram!$O24,'J1 D - South Bank Avenue'!$A$12:$A$130,"&lt;"&amp;Diagram!$P24)))</f>
        <v>2</v>
      </c>
      <c r="AH24" s="42">
        <f ca="1">IF(OR($I$10="",$O24="",$P24="",$J$35&lt;&gt;"Yes"),0,IF($K$10=0,SUMIFS(INDIRECT(ADDRESS(12,3+18*3+(0),,,"J1 D - South Bank Avenue")&amp;":"&amp;ADDRESS(130,3+18*3+(0))),'J1 D - South Bank Avenue'!$A$12:$A$130,"&gt;="&amp;Diagram!$O24,'J1 D - South Bank Avenue'!$A$12:$A$130,"&lt;"&amp;Diagram!$P24),SUMIFS(INDIRECT(ADDRESS(12,3+18*3+(8),,,"J1 D - South Bank Avenue")&amp;":"&amp;ADDRESS(130,3+18*3+(8))),'J1 D - South Bank Avenue'!$A$12:$A$130,"&gt;="&amp;Diagram!$O24,'J1 D - South Bank Avenue'!$A$12:$A$130,"&lt;"&amp;Diagram!$P24)))</f>
        <v>0</v>
      </c>
      <c r="AI24" s="42">
        <f t="shared" ca="1" si="2"/>
        <v>7</v>
      </c>
      <c r="AJ24" s="42">
        <f ca="1">IF(OR($I$10="",$O24="",$P24="",$J$36&lt;&gt;"Yes"),0,IF($K$10=0,SUMIFS(INDIRECT(ADDRESS(12,3+18*3+(1),,,"J1 A - (North) Bishopthorpe Roa")&amp;":"&amp;ADDRESS(130,3+18*3+(1))),'J1 A - (North) Bishopthorpe Roa'!$A$12:$A$130,"&gt;="&amp;Diagram!$O24,'J1 A - (North) Bishopthorpe Roa'!$A$12:$A$130,"&lt;"&amp;Diagram!$P24),SUMIFS(INDIRECT(ADDRESS(12,3+18*3+(9),,,"J1 A - (North) Bishopthorpe Roa")&amp;":"&amp;ADDRESS(130,3+18*3+(9))),'J1 A - (North) Bishopthorpe Roa'!$A$12:$A$130,"&gt;="&amp;Diagram!$O24,'J1 A - (North) Bishopthorpe Roa'!$A$12:$A$130,"&lt;"&amp;Diagram!$P24)))</f>
        <v>0</v>
      </c>
      <c r="AK24" s="42">
        <f ca="1">IF(OR($I$10="",$O24="",$P24="",$J$36&lt;&gt;"Yes"),0,IF($K$10=0,SUMIFS(INDIRECT(ADDRESS(12,3+18*0+(1),,,"J1 A - (North) Bishopthorpe Roa")&amp;":"&amp;ADDRESS(130,3+18*0+(1))),'J1 A - (North) Bishopthorpe Roa'!$A$12:$A$130,"&gt;="&amp;Diagram!$O24,'J1 A - (North) Bishopthorpe Roa'!$A$12:$A$130,"&lt;"&amp;Diagram!$P24),SUMIFS(INDIRECT(ADDRESS(12,3+18*0+(9),,,"J1 A - (North) Bishopthorpe Roa")&amp;":"&amp;ADDRESS(130,3+18*0+(9))),'J1 A - (North) Bishopthorpe Roa'!$A$12:$A$130,"&gt;="&amp;Diagram!$O24,'J1 A - (North) Bishopthorpe Roa'!$A$12:$A$130,"&lt;"&amp;Diagram!$P24)))</f>
        <v>1</v>
      </c>
      <c r="AL24" s="42">
        <f ca="1">IF(OR($I$10="",$O24="",$P24="",$J$36&lt;&gt;"Yes"),0,IF($K$10=0,SUMIFS(INDIRECT(ADDRESS(12,3+18*1+(1),,,"J1 A - (North) Bishopthorpe Roa")&amp;":"&amp;ADDRESS(130,3+18*1+(1))),'J1 A - (North) Bishopthorpe Roa'!$A$12:$A$130,"&gt;="&amp;Diagram!$O24,'J1 A - (North) Bishopthorpe Roa'!$A$12:$A$130,"&lt;"&amp;Diagram!$P24),SUMIFS(INDIRECT(ADDRESS(12,3+18*1+(9),,,"J1 A - (North) Bishopthorpe Roa")&amp;":"&amp;ADDRESS(130,3+18*1+(9))),'J1 A - (North) Bishopthorpe Roa'!$A$12:$A$130,"&gt;="&amp;Diagram!$O24,'J1 A - (North) Bishopthorpe Roa'!$A$12:$A$130,"&lt;"&amp;Diagram!$P24)))</f>
        <v>3</v>
      </c>
      <c r="AM24" s="42">
        <f ca="1">IF(OR($I$10="",$O24="",$P24="",$J$36&lt;&gt;"Yes"),0,IF($K$10=0,SUMIFS(INDIRECT(ADDRESS(12,3+18*2+(1),,,"J1 A - (North) Bishopthorpe Roa")&amp;":"&amp;ADDRESS(130,3+18*2+(1))),'J1 A - (North) Bishopthorpe Roa'!$A$12:$A$130,"&gt;="&amp;Diagram!$O24,'J1 A - (North) Bishopthorpe Roa'!$A$12:$A$130,"&lt;"&amp;Diagram!$P24),SUMIFS(INDIRECT(ADDRESS(12,3+18*2+(9),,,"J1 A - (North) Bishopthorpe Roa")&amp;":"&amp;ADDRESS(130,3+18*2+(9))),'J1 A - (North) Bishopthorpe Roa'!$A$12:$A$130,"&gt;="&amp;Diagram!$O24,'J1 A - (North) Bishopthorpe Roa'!$A$12:$A$130,"&lt;"&amp;Diagram!$P24)))</f>
        <v>0</v>
      </c>
      <c r="AN24" s="42">
        <f ca="1">IF(OR($I$10="",$O24="",$P24="",$J$36&lt;&gt;"Yes"),0,IF($K$10=0,SUMIFS(INDIRECT(ADDRESS(12,3+18*2+(1),,,"J1 B - Butcher Terrace")&amp;":"&amp;ADDRESS(130,3+18*2+(1))),'J1 B - Butcher Terrace'!$A$12:$A$130,"&gt;="&amp;Diagram!$O24,'J1 B - Butcher Terrace'!$A$12:$A$130,"&lt;"&amp;Diagram!$P24),SUMIFS(INDIRECT(ADDRESS(12,3+18*2+(9),,,"J1 B - Butcher Terrace")&amp;":"&amp;ADDRESS(130,3+18*2+(9))),'J1 B - Butcher Terrace'!$A$12:$A$130,"&gt;="&amp;Diagram!$O24,'J1 B - Butcher Terrace'!$A$12:$A$130,"&lt;"&amp;Diagram!$P24)))</f>
        <v>1</v>
      </c>
      <c r="AO24" s="42">
        <f ca="1">IF(OR($I$10="",$O24="",$P24="",$J$36&lt;&gt;"Yes"),0,IF($K$10=0,SUMIFS(INDIRECT(ADDRESS(12,3+18*3+(1),,,"J1 B - Butcher Terrace")&amp;":"&amp;ADDRESS(130,3+18*3+(1))),'J1 B - Butcher Terrace'!$A$12:$A$130,"&gt;="&amp;Diagram!$O24,'J1 B - Butcher Terrace'!$A$12:$A$130,"&lt;"&amp;Diagram!$P24),SUMIFS(INDIRECT(ADDRESS(12,3+18*3+(9),,,"J1 B - Butcher Terrace")&amp;":"&amp;ADDRESS(130,3+18*3+(9))),'J1 B - Butcher Terrace'!$A$12:$A$130,"&gt;="&amp;Diagram!$O24,'J1 B - Butcher Terrace'!$A$12:$A$130,"&lt;"&amp;Diagram!$P24)))</f>
        <v>0</v>
      </c>
      <c r="AP24" s="42">
        <f ca="1">IF(OR($I$10="",$O24="",$P24="",$J$36&lt;&gt;"Yes"),0,IF($K$10=0,SUMIFS(INDIRECT(ADDRESS(12,3+18*0+(1),,,"J1 B - Butcher Terrace")&amp;":"&amp;ADDRESS(130,3+18*0+(1))),'J1 B - Butcher Terrace'!$A$12:$A$130,"&gt;="&amp;Diagram!$O24,'J1 B - Butcher Terrace'!$A$12:$A$130,"&lt;"&amp;Diagram!$P24),SUMIFS(INDIRECT(ADDRESS(12,3+18*0+(9),,,"J1 B - Butcher Terrace")&amp;":"&amp;ADDRESS(130,3+18*0+(9))),'J1 B - Butcher Terrace'!$A$12:$A$130,"&gt;="&amp;Diagram!$O24,'J1 B - Butcher Terrace'!$A$12:$A$130,"&lt;"&amp;Diagram!$P24)))</f>
        <v>1</v>
      </c>
      <c r="AQ24" s="42">
        <f ca="1">IF(OR($I$10="",$O24="",$P24="",$J$36&lt;&gt;"Yes"),0,IF($K$10=0,SUMIFS(INDIRECT(ADDRESS(12,3+18*1+(1),,,"J1 B - Butcher Terrace")&amp;":"&amp;ADDRESS(130,3+18*1+(1))),'J1 B - Butcher Terrace'!$A$12:$A$130,"&gt;="&amp;Diagram!$O24,'J1 B - Butcher Terrace'!$A$12:$A$130,"&lt;"&amp;Diagram!$P24),SUMIFS(INDIRECT(ADDRESS(12,3+18*1+(9),,,"J1 B - Butcher Terrace")&amp;":"&amp;ADDRESS(130,3+18*1+(9))),'J1 B - Butcher Terrace'!$A$12:$A$130,"&gt;="&amp;Diagram!$O24,'J1 B - Butcher Terrace'!$A$12:$A$130,"&lt;"&amp;Diagram!$P24)))</f>
        <v>0</v>
      </c>
      <c r="AR24" s="42">
        <f ca="1">IF(OR($I$10="",$O24="",$P24="",$J$36&lt;&gt;"Yes"),0,IF($K$10=0,SUMIFS(INDIRECT(ADDRESS(12,3+18*1+(1),,,"J1 C - (South) Bishopthorpe Roa")&amp;":"&amp;ADDRESS(130,3+18*1+(1))),'J1 C - (South) Bishopthorpe Roa'!$A$12:$A$130,"&gt;="&amp;Diagram!$O24,'J1 C - (South) Bishopthorpe Roa'!$A$12:$A$130,"&lt;"&amp;Diagram!$P24),SUMIFS(INDIRECT(ADDRESS(12,3+18*1+(9),,,"J1 C - (South) Bishopthorpe Roa")&amp;":"&amp;ADDRESS(130,3+18*1+(9))),'J1 C - (South) Bishopthorpe Roa'!$A$12:$A$130,"&gt;="&amp;Diagram!$O24,'J1 C - (South) Bishopthorpe Roa'!$A$12:$A$130,"&lt;"&amp;Diagram!$P24)))</f>
        <v>1</v>
      </c>
      <c r="AS24" s="42">
        <f ca="1">IF(OR($I$10="",$O24="",$P24="",$J$36&lt;&gt;"Yes"),0,IF($K$10=0,SUMIFS(INDIRECT(ADDRESS(12,3+18*2+(1),,,"J1 C - (South) Bishopthorpe Roa")&amp;":"&amp;ADDRESS(130,3+18*2+(1))),'J1 C - (South) Bishopthorpe Roa'!$A$12:$A$130,"&gt;="&amp;Diagram!$O24,'J1 C - (South) Bishopthorpe Roa'!$A$12:$A$130,"&lt;"&amp;Diagram!$P24),SUMIFS(INDIRECT(ADDRESS(12,3+18*2+(9),,,"J1 C - (South) Bishopthorpe Roa")&amp;":"&amp;ADDRESS(130,3+18*2+(9))),'J1 C - (South) Bishopthorpe Roa'!$A$12:$A$130,"&gt;="&amp;Diagram!$O24,'J1 C - (South) Bishopthorpe Roa'!$A$12:$A$130,"&lt;"&amp;Diagram!$P24)))</f>
        <v>0</v>
      </c>
      <c r="AT24" s="42">
        <f ca="1">IF(OR($I$10="",$O24="",$P24="",$J$36&lt;&gt;"Yes"),0,IF($K$10=0,SUMIFS(INDIRECT(ADDRESS(12,3+18*3+(1),,,"J1 C - (South) Bishopthorpe Roa")&amp;":"&amp;ADDRESS(130,3+18*3+(1))),'J1 C - (South) Bishopthorpe Roa'!$A$12:$A$130,"&gt;="&amp;Diagram!$O24,'J1 C - (South) Bishopthorpe Roa'!$A$12:$A$130,"&lt;"&amp;Diagram!$P24),SUMIFS(INDIRECT(ADDRESS(12,3+18*3+(9),,,"J1 C - (South) Bishopthorpe Roa")&amp;":"&amp;ADDRESS(130,3+18*3+(9))),'J1 C - (South) Bishopthorpe Roa'!$A$12:$A$130,"&gt;="&amp;Diagram!$O24,'J1 C - (South) Bishopthorpe Roa'!$A$12:$A$130,"&lt;"&amp;Diagram!$P24)))</f>
        <v>0</v>
      </c>
      <c r="AU24" s="42">
        <f ca="1">IF(OR($I$10="",$O24="",$P24="",$J$36&lt;&gt;"Yes"),0,IF($K$10=0,SUMIFS(INDIRECT(ADDRESS(12,3+18*0+(1),,,"J1 C - (South) Bishopthorpe Roa")&amp;":"&amp;ADDRESS(130,3+18*0+(1))),'J1 C - (South) Bishopthorpe Roa'!$A$12:$A$130,"&gt;="&amp;Diagram!$O24,'J1 C - (South) Bishopthorpe Roa'!$A$12:$A$130,"&lt;"&amp;Diagram!$P24),SUMIFS(INDIRECT(ADDRESS(12,3+18*0+(9),,,"J1 C - (South) Bishopthorpe Roa")&amp;":"&amp;ADDRESS(130,3+18*0+(9))),'J1 C - (South) Bishopthorpe Roa'!$A$12:$A$130,"&gt;="&amp;Diagram!$O24,'J1 C - (South) Bishopthorpe Roa'!$A$12:$A$130,"&lt;"&amp;Diagram!$P24)))</f>
        <v>0</v>
      </c>
      <c r="AV24" s="42">
        <f ca="1">IF(OR($I$10="",$O24="",$P24="",$J$36&lt;&gt;"Yes"),0,IF($K$10=0,SUMIFS(INDIRECT(ADDRESS(12,3+18*0+(1),,,"J1 D - South Bank Avenue")&amp;":"&amp;ADDRESS(130,3+18*0+(1))),'J1 D - South Bank Avenue'!$A$12:$A$130,"&gt;="&amp;Diagram!$O24,'J1 D - South Bank Avenue'!$A$12:$A$130,"&lt;"&amp;Diagram!$P24),SUMIFS(INDIRECT(ADDRESS(12,3+18*0+(9),,,"J1 D - South Bank Avenue")&amp;":"&amp;ADDRESS(130,3+18*0+(9))),'J1 D - South Bank Avenue'!$A$12:$A$130,"&gt;="&amp;Diagram!$O24,'J1 D - South Bank Avenue'!$A$12:$A$130,"&lt;"&amp;Diagram!$P24)))</f>
        <v>0</v>
      </c>
      <c r="AW24" s="42">
        <f ca="1">IF(OR($I$10="",$O24="",$P24="",$J$36&lt;&gt;"Yes"),0,IF($K$10=0,SUMIFS(INDIRECT(ADDRESS(12,3+18*1+(1),,,"J1 D - South Bank Avenue")&amp;":"&amp;ADDRESS(130,3+18*1+(1))),'J1 D - South Bank Avenue'!$A$12:$A$130,"&gt;="&amp;Diagram!$O24,'J1 D - South Bank Avenue'!$A$12:$A$130,"&lt;"&amp;Diagram!$P24),SUMIFS(INDIRECT(ADDRESS(12,3+18*1+(9),,,"J1 D - South Bank Avenue")&amp;":"&amp;ADDRESS(130,3+18*1+(9))),'J1 D - South Bank Avenue'!$A$12:$A$130,"&gt;="&amp;Diagram!$O24,'J1 D - South Bank Avenue'!$A$12:$A$130,"&lt;"&amp;Diagram!$P24)))</f>
        <v>0</v>
      </c>
      <c r="AX24" s="42">
        <f ca="1">IF(OR($I$10="",$O24="",$P24="",$J$36&lt;&gt;"Yes"),0,IF($K$10=0,SUMIFS(INDIRECT(ADDRESS(12,3+18*2+(1),,,"J1 D - South Bank Avenue")&amp;":"&amp;ADDRESS(130,3+18*2+(1))),'J1 D - South Bank Avenue'!$A$12:$A$130,"&gt;="&amp;Diagram!$O24,'J1 D - South Bank Avenue'!$A$12:$A$130,"&lt;"&amp;Diagram!$P24),SUMIFS(INDIRECT(ADDRESS(12,3+18*2+(9),,,"J1 D - South Bank Avenue")&amp;":"&amp;ADDRESS(130,3+18*2+(9))),'J1 D - South Bank Avenue'!$A$12:$A$130,"&gt;="&amp;Diagram!$O24,'J1 D - South Bank Avenue'!$A$12:$A$130,"&lt;"&amp;Diagram!$P24)))</f>
        <v>0</v>
      </c>
      <c r="AY24" s="42">
        <f ca="1">IF(OR($I$10="",$O24="",$P24="",$J$36&lt;&gt;"Yes"),0,IF($K$10=0,SUMIFS(INDIRECT(ADDRESS(12,3+18*3+(1),,,"J1 D - South Bank Avenue")&amp;":"&amp;ADDRESS(130,3+18*3+(1))),'J1 D - South Bank Avenue'!$A$12:$A$130,"&gt;="&amp;Diagram!$O24,'J1 D - South Bank Avenue'!$A$12:$A$130,"&lt;"&amp;Diagram!$P24),SUMIFS(INDIRECT(ADDRESS(12,3+18*3+(9),,,"J1 D - South Bank Avenue")&amp;":"&amp;ADDRESS(130,3+18*3+(9))),'J1 D - South Bank Avenue'!$A$12:$A$130,"&gt;="&amp;Diagram!$O24,'J1 D - South Bank Avenue'!$A$12:$A$130,"&lt;"&amp;Diagram!$P24)))</f>
        <v>0</v>
      </c>
      <c r="AZ24" s="42">
        <f t="shared" ca="1" si="3"/>
        <v>0</v>
      </c>
      <c r="BA24" s="42">
        <f ca="1">IF(OR($I$10="",$O24="",$P24="",$J$37&lt;&gt;"Yes"),0,IF($K$10=0,SUMIFS(INDIRECT(ADDRESS(12,3+18*3+(2),,,"J1 A - (North) Bishopthorpe Roa")&amp;":"&amp;ADDRESS(130,3+18*3+(2))),'J1 A - (North) Bishopthorpe Roa'!$A$12:$A$130,"&gt;="&amp;Diagram!$O24,'J1 A - (North) Bishopthorpe Roa'!$A$12:$A$130,"&lt;"&amp;Diagram!$P24),SUMIFS(INDIRECT(ADDRESS(12,3+18*3+(10),,,"J1 A - (North) Bishopthorpe Roa")&amp;":"&amp;ADDRESS(130,3+18*3+(10))),'J1 A - (North) Bishopthorpe Roa'!$A$12:$A$130,"&gt;="&amp;Diagram!$O24,'J1 A - (North) Bishopthorpe Roa'!$A$12:$A$130,"&lt;"&amp;Diagram!$P24)))</f>
        <v>0</v>
      </c>
      <c r="BB24" s="42">
        <f ca="1">IF(OR($I$10="",$O24="",$P24="",$J$37&lt;&gt;"Yes"),0,IF($K$10=0,SUMIFS(INDIRECT(ADDRESS(12,3+18*0+(2),,,"J1 A - (North) Bishopthorpe Roa")&amp;":"&amp;ADDRESS(130,3+18*0+(2))),'J1 A - (North) Bishopthorpe Roa'!$A$12:$A$130,"&gt;="&amp;Diagram!$O24,'J1 A - (North) Bishopthorpe Roa'!$A$12:$A$130,"&lt;"&amp;Diagram!$P24),SUMIFS(INDIRECT(ADDRESS(12,3+18*0+(10),,,"J1 A - (North) Bishopthorpe Roa")&amp;":"&amp;ADDRESS(130,3+18*0+(10))),'J1 A - (North) Bishopthorpe Roa'!$A$12:$A$130,"&gt;="&amp;Diagram!$O24,'J1 A - (North) Bishopthorpe Roa'!$A$12:$A$130,"&lt;"&amp;Diagram!$P24)))</f>
        <v>0</v>
      </c>
      <c r="BC24" s="42">
        <f ca="1">IF(OR($I$10="",$O24="",$P24="",$J$37&lt;&gt;"Yes"),0,IF($K$10=0,SUMIFS(INDIRECT(ADDRESS(12,3+18*1+(2),,,"J1 A - (North) Bishopthorpe Roa")&amp;":"&amp;ADDRESS(130,3+18*1+(2))),'J1 A - (North) Bishopthorpe Roa'!$A$12:$A$130,"&gt;="&amp;Diagram!$O24,'J1 A - (North) Bishopthorpe Roa'!$A$12:$A$130,"&lt;"&amp;Diagram!$P24),SUMIFS(INDIRECT(ADDRESS(12,3+18*1+(10),,,"J1 A - (North) Bishopthorpe Roa")&amp;":"&amp;ADDRESS(130,3+18*1+(10))),'J1 A - (North) Bishopthorpe Roa'!$A$12:$A$130,"&gt;="&amp;Diagram!$O24,'J1 A - (North) Bishopthorpe Roa'!$A$12:$A$130,"&lt;"&amp;Diagram!$P24)))</f>
        <v>0</v>
      </c>
      <c r="BD24" s="42">
        <f ca="1">IF(OR($I$10="",$O24="",$P24="",$J$37&lt;&gt;"Yes"),0,IF($K$10=0,SUMIFS(INDIRECT(ADDRESS(12,3+18*2+(2),,,"J1 A - (North) Bishopthorpe Roa")&amp;":"&amp;ADDRESS(130,3+18*2+(2))),'J1 A - (North) Bishopthorpe Roa'!$A$12:$A$130,"&gt;="&amp;Diagram!$O24,'J1 A - (North) Bishopthorpe Roa'!$A$12:$A$130,"&lt;"&amp;Diagram!$P24),SUMIFS(INDIRECT(ADDRESS(12,3+18*2+(10),,,"J1 A - (North) Bishopthorpe Roa")&amp;":"&amp;ADDRESS(130,3+18*2+(10))),'J1 A - (North) Bishopthorpe Roa'!$A$12:$A$130,"&gt;="&amp;Diagram!$O24,'J1 A - (North) Bishopthorpe Roa'!$A$12:$A$130,"&lt;"&amp;Diagram!$P24)))</f>
        <v>0</v>
      </c>
      <c r="BE24" s="42">
        <f ca="1">IF(OR($I$10="",$O24="",$P24="",$J$37&lt;&gt;"Yes"),0,IF($K$10=0,SUMIFS(INDIRECT(ADDRESS(12,3+18*2+(2),,,"J1 B - Butcher Terrace")&amp;":"&amp;ADDRESS(130,3+18*2+(2))),'J1 B - Butcher Terrace'!$A$12:$A$130,"&gt;="&amp;Diagram!$O24,'J1 B - Butcher Terrace'!$A$12:$A$130,"&lt;"&amp;Diagram!$P24),SUMIFS(INDIRECT(ADDRESS(12,3+18*2+(10),,,"J1 B - Butcher Terrace")&amp;":"&amp;ADDRESS(130,3+18*2+(10))),'J1 B - Butcher Terrace'!$A$12:$A$130,"&gt;="&amp;Diagram!$O24,'J1 B - Butcher Terrace'!$A$12:$A$130,"&lt;"&amp;Diagram!$P24)))</f>
        <v>0</v>
      </c>
      <c r="BF24" s="42">
        <f ca="1">IF(OR($I$10="",$O24="",$P24="",$J$37&lt;&gt;"Yes"),0,IF($K$10=0,SUMIFS(INDIRECT(ADDRESS(12,3+18*3+(2),,,"J1 B - Butcher Terrace")&amp;":"&amp;ADDRESS(130,3+18*3+(2))),'J1 B - Butcher Terrace'!$A$12:$A$130,"&gt;="&amp;Diagram!$O24,'J1 B - Butcher Terrace'!$A$12:$A$130,"&lt;"&amp;Diagram!$P24),SUMIFS(INDIRECT(ADDRESS(12,3+18*3+(10),,,"J1 B - Butcher Terrace")&amp;":"&amp;ADDRESS(130,3+18*3+(10))),'J1 B - Butcher Terrace'!$A$12:$A$130,"&gt;="&amp;Diagram!$O24,'J1 B - Butcher Terrace'!$A$12:$A$130,"&lt;"&amp;Diagram!$P24)))</f>
        <v>0</v>
      </c>
      <c r="BG24" s="42">
        <f ca="1">IF(OR($I$10="",$O24="",$P24="",$J$37&lt;&gt;"Yes"),0,IF($K$10=0,SUMIFS(INDIRECT(ADDRESS(12,3+18*0+(2),,,"J1 B - Butcher Terrace")&amp;":"&amp;ADDRESS(130,3+18*0+(2))),'J1 B - Butcher Terrace'!$A$12:$A$130,"&gt;="&amp;Diagram!$O24,'J1 B - Butcher Terrace'!$A$12:$A$130,"&lt;"&amp;Diagram!$P24),SUMIFS(INDIRECT(ADDRESS(12,3+18*0+(10),,,"J1 B - Butcher Terrace")&amp;":"&amp;ADDRESS(130,3+18*0+(10))),'J1 B - Butcher Terrace'!$A$12:$A$130,"&gt;="&amp;Diagram!$O24,'J1 B - Butcher Terrace'!$A$12:$A$130,"&lt;"&amp;Diagram!$P24)))</f>
        <v>0</v>
      </c>
      <c r="BH24" s="42">
        <f ca="1">IF(OR($I$10="",$O24="",$P24="",$J$37&lt;&gt;"Yes"),0,IF($K$10=0,SUMIFS(INDIRECT(ADDRESS(12,3+18*1+(2),,,"J1 B - Butcher Terrace")&amp;":"&amp;ADDRESS(130,3+18*1+(2))),'J1 B - Butcher Terrace'!$A$12:$A$130,"&gt;="&amp;Diagram!$O24,'J1 B - Butcher Terrace'!$A$12:$A$130,"&lt;"&amp;Diagram!$P24),SUMIFS(INDIRECT(ADDRESS(12,3+18*1+(10),,,"J1 B - Butcher Terrace")&amp;":"&amp;ADDRESS(130,3+18*1+(10))),'J1 B - Butcher Terrace'!$A$12:$A$130,"&gt;="&amp;Diagram!$O24,'J1 B - Butcher Terrace'!$A$12:$A$130,"&lt;"&amp;Diagram!$P24)))</f>
        <v>0</v>
      </c>
      <c r="BI24" s="42">
        <f ca="1">IF(OR($I$10="",$O24="",$P24="",$J$37&lt;&gt;"Yes"),0,IF($K$10=0,SUMIFS(INDIRECT(ADDRESS(12,3+18*1+(2),,,"J1 C - (South) Bishopthorpe Roa")&amp;":"&amp;ADDRESS(130,3+18*1+(2))),'J1 C - (South) Bishopthorpe Roa'!$A$12:$A$130,"&gt;="&amp;Diagram!$O24,'J1 C - (South) Bishopthorpe Roa'!$A$12:$A$130,"&lt;"&amp;Diagram!$P24),SUMIFS(INDIRECT(ADDRESS(12,3+18*1+(10),,,"J1 C - (South) Bishopthorpe Roa")&amp;":"&amp;ADDRESS(130,3+18*1+(10))),'J1 C - (South) Bishopthorpe Roa'!$A$12:$A$130,"&gt;="&amp;Diagram!$O24,'J1 C - (South) Bishopthorpe Roa'!$A$12:$A$130,"&lt;"&amp;Diagram!$P24)))</f>
        <v>0</v>
      </c>
      <c r="BJ24" s="42">
        <f ca="1">IF(OR($I$10="",$O24="",$P24="",$J$37&lt;&gt;"Yes"),0,IF($K$10=0,SUMIFS(INDIRECT(ADDRESS(12,3+18*2+(2),,,"J1 C - (South) Bishopthorpe Roa")&amp;":"&amp;ADDRESS(130,3+18*2+(2))),'J1 C - (South) Bishopthorpe Roa'!$A$12:$A$130,"&gt;="&amp;Diagram!$O24,'J1 C - (South) Bishopthorpe Roa'!$A$12:$A$130,"&lt;"&amp;Diagram!$P24),SUMIFS(INDIRECT(ADDRESS(12,3+18*2+(10),,,"J1 C - (South) Bishopthorpe Roa")&amp;":"&amp;ADDRESS(130,3+18*2+(10))),'J1 C - (South) Bishopthorpe Roa'!$A$12:$A$130,"&gt;="&amp;Diagram!$O24,'J1 C - (South) Bishopthorpe Roa'!$A$12:$A$130,"&lt;"&amp;Diagram!$P24)))</f>
        <v>0</v>
      </c>
      <c r="BK24" s="42">
        <f ca="1">IF(OR($I$10="",$O24="",$P24="",$J$37&lt;&gt;"Yes"),0,IF($K$10=0,SUMIFS(INDIRECT(ADDRESS(12,3+18*3+(2),,,"J1 C - (South) Bishopthorpe Roa")&amp;":"&amp;ADDRESS(130,3+18*3+(2))),'J1 C - (South) Bishopthorpe Roa'!$A$12:$A$130,"&gt;="&amp;Diagram!$O24,'J1 C - (South) Bishopthorpe Roa'!$A$12:$A$130,"&lt;"&amp;Diagram!$P24),SUMIFS(INDIRECT(ADDRESS(12,3+18*3+(10),,,"J1 C - (South) Bishopthorpe Roa")&amp;":"&amp;ADDRESS(130,3+18*3+(10))),'J1 C - (South) Bishopthorpe Roa'!$A$12:$A$130,"&gt;="&amp;Diagram!$O24,'J1 C - (South) Bishopthorpe Roa'!$A$12:$A$130,"&lt;"&amp;Diagram!$P24)))</f>
        <v>0</v>
      </c>
      <c r="BL24" s="42">
        <f ca="1">IF(OR($I$10="",$O24="",$P24="",$J$37&lt;&gt;"Yes"),0,IF($K$10=0,SUMIFS(INDIRECT(ADDRESS(12,3+18*0+(2),,,"J1 C - (South) Bishopthorpe Roa")&amp;":"&amp;ADDRESS(130,3+18*0+(2))),'J1 C - (South) Bishopthorpe Roa'!$A$12:$A$130,"&gt;="&amp;Diagram!$O24,'J1 C - (South) Bishopthorpe Roa'!$A$12:$A$130,"&lt;"&amp;Diagram!$P24),SUMIFS(INDIRECT(ADDRESS(12,3+18*0+(10),,,"J1 C - (South) Bishopthorpe Roa")&amp;":"&amp;ADDRESS(130,3+18*0+(10))),'J1 C - (South) Bishopthorpe Roa'!$A$12:$A$130,"&gt;="&amp;Diagram!$O24,'J1 C - (South) Bishopthorpe Roa'!$A$12:$A$130,"&lt;"&amp;Diagram!$P24)))</f>
        <v>0</v>
      </c>
      <c r="BM24" s="42">
        <f ca="1">IF(OR($I$10="",$O24="",$P24="",$J$37&lt;&gt;"Yes"),0,IF($K$10=0,SUMIFS(INDIRECT(ADDRESS(12,3+18*0+(2),,,"J1 D - South Bank Avenue")&amp;":"&amp;ADDRESS(130,3+18*0+(2))),'J1 D - South Bank Avenue'!$A$12:$A$130,"&gt;="&amp;Diagram!$O24,'J1 D - South Bank Avenue'!$A$12:$A$130,"&lt;"&amp;Diagram!$P24),SUMIFS(INDIRECT(ADDRESS(12,3+18*0+(10),,,"J1 D - South Bank Avenue")&amp;":"&amp;ADDRESS(130,3+18*0+(10))),'J1 D - South Bank Avenue'!$A$12:$A$130,"&gt;="&amp;Diagram!$O24,'J1 D - South Bank Avenue'!$A$12:$A$130,"&lt;"&amp;Diagram!$P24)))</f>
        <v>0</v>
      </c>
      <c r="BN24" s="42">
        <f ca="1">IF(OR($I$10="",$O24="",$P24="",$J$37&lt;&gt;"Yes"),0,IF($K$10=0,SUMIFS(INDIRECT(ADDRESS(12,3+18*1+(2),,,"J1 D - South Bank Avenue")&amp;":"&amp;ADDRESS(130,3+18*1+(2))),'J1 D - South Bank Avenue'!$A$12:$A$130,"&gt;="&amp;Diagram!$O24,'J1 D - South Bank Avenue'!$A$12:$A$130,"&lt;"&amp;Diagram!$P24),SUMIFS(INDIRECT(ADDRESS(12,3+18*1+(10),,,"J1 D - South Bank Avenue")&amp;":"&amp;ADDRESS(130,3+18*1+(10))),'J1 D - South Bank Avenue'!$A$12:$A$130,"&gt;="&amp;Diagram!$O24,'J1 D - South Bank Avenue'!$A$12:$A$130,"&lt;"&amp;Diagram!$P24)))</f>
        <v>0</v>
      </c>
      <c r="BO24" s="42">
        <f ca="1">IF(OR($I$10="",$O24="",$P24="",$J$37&lt;&gt;"Yes"),0,IF($K$10=0,SUMIFS(INDIRECT(ADDRESS(12,3+18*2+(2),,,"J1 D - South Bank Avenue")&amp;":"&amp;ADDRESS(130,3+18*2+(2))),'J1 D - South Bank Avenue'!$A$12:$A$130,"&gt;="&amp;Diagram!$O24,'J1 D - South Bank Avenue'!$A$12:$A$130,"&lt;"&amp;Diagram!$P24),SUMIFS(INDIRECT(ADDRESS(12,3+18*2+(10),,,"J1 D - South Bank Avenue")&amp;":"&amp;ADDRESS(130,3+18*2+(10))),'J1 D - South Bank Avenue'!$A$12:$A$130,"&gt;="&amp;Diagram!$O24,'J1 D - South Bank Avenue'!$A$12:$A$130,"&lt;"&amp;Diagram!$P24)))</f>
        <v>0</v>
      </c>
      <c r="BP24" s="42">
        <f ca="1">IF(OR($I$10="",$O24="",$P24="",$J$37&lt;&gt;"Yes"),0,IF($K$10=0,SUMIFS(INDIRECT(ADDRESS(12,3+18*3+(2),,,"J1 D - South Bank Avenue")&amp;":"&amp;ADDRESS(130,3+18*3+(2))),'J1 D - South Bank Avenue'!$A$12:$A$130,"&gt;="&amp;Diagram!$O24,'J1 D - South Bank Avenue'!$A$12:$A$130,"&lt;"&amp;Diagram!$P24),SUMIFS(INDIRECT(ADDRESS(12,3+18*3+(10),,,"J1 D - South Bank Avenue")&amp;":"&amp;ADDRESS(130,3+18*3+(10))),'J1 D - South Bank Avenue'!$A$12:$A$130,"&gt;="&amp;Diagram!$O24,'J1 D - South Bank Avenue'!$A$12:$A$130,"&lt;"&amp;Diagram!$P24)))</f>
        <v>0</v>
      </c>
      <c r="BQ24" s="42">
        <f t="shared" ca="1" si="4"/>
        <v>2</v>
      </c>
      <c r="BR24" s="42">
        <f ca="1">IF(OR($I$10="",$O24="",$P24="",$J$38&lt;&gt;"Yes"),0,IF($K$10=0,SUMIFS(INDIRECT(ADDRESS(12,3+18*3+(3),,,"J1 A - (North) Bishopthorpe Roa")&amp;":"&amp;ADDRESS(130,3+18*3+(3))),'J1 A - (North) Bishopthorpe Roa'!$A$12:$A$130,"&gt;="&amp;Diagram!$O24,'J1 A - (North) Bishopthorpe Roa'!$A$12:$A$130,"&lt;"&amp;Diagram!$P24),SUMIFS(INDIRECT(ADDRESS(12,3+18*3+(11),,,"J1 A - (North) Bishopthorpe Roa")&amp;":"&amp;ADDRESS(130,3+18*3+(11))),'J1 A - (North) Bishopthorpe Roa'!$A$12:$A$130,"&gt;="&amp;Diagram!$O24,'J1 A - (North) Bishopthorpe Roa'!$A$12:$A$130,"&lt;"&amp;Diagram!$P24)))</f>
        <v>0</v>
      </c>
      <c r="BS24" s="42">
        <f ca="1">IF(OR($I$10="",$O24="",$P24="",$J$38&lt;&gt;"Yes"),0,IF($K$10=0,SUMIFS(INDIRECT(ADDRESS(12,3+18*0+(3),,,"J1 A - (North) Bishopthorpe Roa")&amp;":"&amp;ADDRESS(130,3+18*0+(3))),'J1 A - (North) Bishopthorpe Roa'!$A$12:$A$130,"&gt;="&amp;Diagram!$O24,'J1 A - (North) Bishopthorpe Roa'!$A$12:$A$130,"&lt;"&amp;Diagram!$P24),SUMIFS(INDIRECT(ADDRESS(12,3+18*0+(11),,,"J1 A - (North) Bishopthorpe Roa")&amp;":"&amp;ADDRESS(130,3+18*0+(11))),'J1 A - (North) Bishopthorpe Roa'!$A$12:$A$130,"&gt;="&amp;Diagram!$O24,'J1 A - (North) Bishopthorpe Roa'!$A$12:$A$130,"&lt;"&amp;Diagram!$P24)))</f>
        <v>1</v>
      </c>
      <c r="BT24" s="42">
        <f ca="1">IF(OR($I$10="",$O24="",$P24="",$J$38&lt;&gt;"Yes"),0,IF($K$10=0,SUMIFS(INDIRECT(ADDRESS(12,3+18*1+(3),,,"J1 A - (North) Bishopthorpe Roa")&amp;":"&amp;ADDRESS(130,3+18*1+(3))),'J1 A - (North) Bishopthorpe Roa'!$A$12:$A$130,"&gt;="&amp;Diagram!$O24,'J1 A - (North) Bishopthorpe Roa'!$A$12:$A$130,"&lt;"&amp;Diagram!$P24),SUMIFS(INDIRECT(ADDRESS(12,3+18*1+(11),,,"J1 A - (North) Bishopthorpe Roa")&amp;":"&amp;ADDRESS(130,3+18*1+(11))),'J1 A - (North) Bishopthorpe Roa'!$A$12:$A$130,"&gt;="&amp;Diagram!$O24,'J1 A - (North) Bishopthorpe Roa'!$A$12:$A$130,"&lt;"&amp;Diagram!$P24)))</f>
        <v>0</v>
      </c>
      <c r="BU24" s="42">
        <f ca="1">IF(OR($I$10="",$O24="",$P24="",$J$38&lt;&gt;"Yes"),0,IF($K$10=0,SUMIFS(INDIRECT(ADDRESS(12,3+18*2+(3),,,"J1 A - (North) Bishopthorpe Roa")&amp;":"&amp;ADDRESS(130,3+18*2+(3))),'J1 A - (North) Bishopthorpe Roa'!$A$12:$A$130,"&gt;="&amp;Diagram!$O24,'J1 A - (North) Bishopthorpe Roa'!$A$12:$A$130,"&lt;"&amp;Diagram!$P24),SUMIFS(INDIRECT(ADDRESS(12,3+18*2+(11),,,"J1 A - (North) Bishopthorpe Roa")&amp;":"&amp;ADDRESS(130,3+18*2+(11))),'J1 A - (North) Bishopthorpe Roa'!$A$12:$A$130,"&gt;="&amp;Diagram!$O24,'J1 A - (North) Bishopthorpe Roa'!$A$12:$A$130,"&lt;"&amp;Diagram!$P24)))</f>
        <v>0</v>
      </c>
      <c r="BV24" s="42">
        <f ca="1">IF(OR($I$10="",$O24="",$P24="",$J$38&lt;&gt;"Yes"),0,IF($K$10=0,SUMIFS(INDIRECT(ADDRESS(12,3+18*2+(3),,,"J1 B - Butcher Terrace")&amp;":"&amp;ADDRESS(130,3+18*2+(3))),'J1 B - Butcher Terrace'!$A$12:$A$130,"&gt;="&amp;Diagram!$O24,'J1 B - Butcher Terrace'!$A$12:$A$130,"&lt;"&amp;Diagram!$P24),SUMIFS(INDIRECT(ADDRESS(12,3+18*2+(11),,,"J1 B - Butcher Terrace")&amp;":"&amp;ADDRESS(130,3+18*2+(11))),'J1 B - Butcher Terrace'!$A$12:$A$130,"&gt;="&amp;Diagram!$O24,'J1 B - Butcher Terrace'!$A$12:$A$130,"&lt;"&amp;Diagram!$P24)))</f>
        <v>1</v>
      </c>
      <c r="BW24" s="42">
        <f ca="1">IF(OR($I$10="",$O24="",$P24="",$J$38&lt;&gt;"Yes"),0,IF($K$10=0,SUMIFS(INDIRECT(ADDRESS(12,3+18*3+(3),,,"J1 B - Butcher Terrace")&amp;":"&amp;ADDRESS(130,3+18*3+(3))),'J1 B - Butcher Terrace'!$A$12:$A$130,"&gt;="&amp;Diagram!$O24,'J1 B - Butcher Terrace'!$A$12:$A$130,"&lt;"&amp;Diagram!$P24),SUMIFS(INDIRECT(ADDRESS(12,3+18*3+(11),,,"J1 B - Butcher Terrace")&amp;":"&amp;ADDRESS(130,3+18*3+(11))),'J1 B - Butcher Terrace'!$A$12:$A$130,"&gt;="&amp;Diagram!$O24,'J1 B - Butcher Terrace'!$A$12:$A$130,"&lt;"&amp;Diagram!$P24)))</f>
        <v>0</v>
      </c>
      <c r="BX24" s="42">
        <f ca="1">IF(OR($I$10="",$O24="",$P24="",$J$38&lt;&gt;"Yes"),0,IF($K$10=0,SUMIFS(INDIRECT(ADDRESS(12,3+18*0+(3),,,"J1 B - Butcher Terrace")&amp;":"&amp;ADDRESS(130,3+18*0+(3))),'J1 B - Butcher Terrace'!$A$12:$A$130,"&gt;="&amp;Diagram!$O24,'J1 B - Butcher Terrace'!$A$12:$A$130,"&lt;"&amp;Diagram!$P24),SUMIFS(INDIRECT(ADDRESS(12,3+18*0+(11),,,"J1 B - Butcher Terrace")&amp;":"&amp;ADDRESS(130,3+18*0+(11))),'J1 B - Butcher Terrace'!$A$12:$A$130,"&gt;="&amp;Diagram!$O24,'J1 B - Butcher Terrace'!$A$12:$A$130,"&lt;"&amp;Diagram!$P24)))</f>
        <v>0</v>
      </c>
      <c r="BY24" s="42">
        <f ca="1">IF(OR($I$10="",$O24="",$P24="",$J$38&lt;&gt;"Yes"),0,IF($K$10=0,SUMIFS(INDIRECT(ADDRESS(12,3+18*1+(3),,,"J1 B - Butcher Terrace")&amp;":"&amp;ADDRESS(130,3+18*1+(3))),'J1 B - Butcher Terrace'!$A$12:$A$130,"&gt;="&amp;Diagram!$O24,'J1 B - Butcher Terrace'!$A$12:$A$130,"&lt;"&amp;Diagram!$P24),SUMIFS(INDIRECT(ADDRESS(12,3+18*1+(11),,,"J1 B - Butcher Terrace")&amp;":"&amp;ADDRESS(130,3+18*1+(11))),'J1 B - Butcher Terrace'!$A$12:$A$130,"&gt;="&amp;Diagram!$O24,'J1 B - Butcher Terrace'!$A$12:$A$130,"&lt;"&amp;Diagram!$P24)))</f>
        <v>0</v>
      </c>
      <c r="BZ24" s="42">
        <f ca="1">IF(OR($I$10="",$O24="",$P24="",$J$38&lt;&gt;"Yes"),0,IF($K$10=0,SUMIFS(INDIRECT(ADDRESS(12,3+18*1+(3),,,"J1 C - (South) Bishopthorpe Roa")&amp;":"&amp;ADDRESS(130,3+18*1+(3))),'J1 C - (South) Bishopthorpe Roa'!$A$12:$A$130,"&gt;="&amp;Diagram!$O24,'J1 C - (South) Bishopthorpe Roa'!$A$12:$A$130,"&lt;"&amp;Diagram!$P24),SUMIFS(INDIRECT(ADDRESS(12,3+18*1+(11),,,"J1 C - (South) Bishopthorpe Roa")&amp;":"&amp;ADDRESS(130,3+18*1+(11))),'J1 C - (South) Bishopthorpe Roa'!$A$12:$A$130,"&gt;="&amp;Diagram!$O24,'J1 C - (South) Bishopthorpe Roa'!$A$12:$A$130,"&lt;"&amp;Diagram!$P24)))</f>
        <v>0</v>
      </c>
      <c r="CA24" s="42">
        <f ca="1">IF(OR($I$10="",$O24="",$P24="",$J$38&lt;&gt;"Yes"),0,IF($K$10=0,SUMIFS(INDIRECT(ADDRESS(12,3+18*2+(3),,,"J1 C - (South) Bishopthorpe Roa")&amp;":"&amp;ADDRESS(130,3+18*2+(3))),'J1 C - (South) Bishopthorpe Roa'!$A$12:$A$130,"&gt;="&amp;Diagram!$O24,'J1 C - (South) Bishopthorpe Roa'!$A$12:$A$130,"&lt;"&amp;Diagram!$P24),SUMIFS(INDIRECT(ADDRESS(12,3+18*2+(11),,,"J1 C - (South) Bishopthorpe Roa")&amp;":"&amp;ADDRESS(130,3+18*2+(11))),'J1 C - (South) Bishopthorpe Roa'!$A$12:$A$130,"&gt;="&amp;Diagram!$O24,'J1 C - (South) Bishopthorpe Roa'!$A$12:$A$130,"&lt;"&amp;Diagram!$P24)))</f>
        <v>0</v>
      </c>
      <c r="CB24" s="42">
        <f ca="1">IF(OR($I$10="",$O24="",$P24="",$J$38&lt;&gt;"Yes"),0,IF($K$10=0,SUMIFS(INDIRECT(ADDRESS(12,3+18*3+(3),,,"J1 C - (South) Bishopthorpe Roa")&amp;":"&amp;ADDRESS(130,3+18*3+(3))),'J1 C - (South) Bishopthorpe Roa'!$A$12:$A$130,"&gt;="&amp;Diagram!$O24,'J1 C - (South) Bishopthorpe Roa'!$A$12:$A$130,"&lt;"&amp;Diagram!$P24),SUMIFS(INDIRECT(ADDRESS(12,3+18*3+(11),,,"J1 C - (South) Bishopthorpe Roa")&amp;":"&amp;ADDRESS(130,3+18*3+(11))),'J1 C - (South) Bishopthorpe Roa'!$A$12:$A$130,"&gt;="&amp;Diagram!$O24,'J1 C - (South) Bishopthorpe Roa'!$A$12:$A$130,"&lt;"&amp;Diagram!$P24)))</f>
        <v>0</v>
      </c>
      <c r="CC24" s="42">
        <f ca="1">IF(OR($I$10="",$O24="",$P24="",$J$38&lt;&gt;"Yes"),0,IF($K$10=0,SUMIFS(INDIRECT(ADDRESS(12,3+18*0+(3),,,"J1 C - (South) Bishopthorpe Roa")&amp;":"&amp;ADDRESS(130,3+18*0+(3))),'J1 C - (South) Bishopthorpe Roa'!$A$12:$A$130,"&gt;="&amp;Diagram!$O24,'J1 C - (South) Bishopthorpe Roa'!$A$12:$A$130,"&lt;"&amp;Diagram!$P24),SUMIFS(INDIRECT(ADDRESS(12,3+18*0+(11),,,"J1 C - (South) Bishopthorpe Roa")&amp;":"&amp;ADDRESS(130,3+18*0+(11))),'J1 C - (South) Bishopthorpe Roa'!$A$12:$A$130,"&gt;="&amp;Diagram!$O24,'J1 C - (South) Bishopthorpe Roa'!$A$12:$A$130,"&lt;"&amp;Diagram!$P24)))</f>
        <v>0</v>
      </c>
      <c r="CD24" s="42">
        <f ca="1">IF(OR($I$10="",$O24="",$P24="",$J$38&lt;&gt;"Yes"),0,IF($K$10=0,SUMIFS(INDIRECT(ADDRESS(12,3+18*0+(3),,,"J1 D - South Bank Avenue")&amp;":"&amp;ADDRESS(130,3+18*0+(3))),'J1 D - South Bank Avenue'!$A$12:$A$130,"&gt;="&amp;Diagram!$O24,'J1 D - South Bank Avenue'!$A$12:$A$130,"&lt;"&amp;Diagram!$P24),SUMIFS(INDIRECT(ADDRESS(12,3+18*0+(11),,,"J1 D - South Bank Avenue")&amp;":"&amp;ADDRESS(130,3+18*0+(11))),'J1 D - South Bank Avenue'!$A$12:$A$130,"&gt;="&amp;Diagram!$O24,'J1 D - South Bank Avenue'!$A$12:$A$130,"&lt;"&amp;Diagram!$P24)))</f>
        <v>0</v>
      </c>
      <c r="CE24" s="42">
        <f ca="1">IF(OR($I$10="",$O24="",$P24="",$J$38&lt;&gt;"Yes"),0,IF($K$10=0,SUMIFS(INDIRECT(ADDRESS(12,3+18*1+(3),,,"J1 D - South Bank Avenue")&amp;":"&amp;ADDRESS(130,3+18*1+(3))),'J1 D - South Bank Avenue'!$A$12:$A$130,"&gt;="&amp;Diagram!$O24,'J1 D - South Bank Avenue'!$A$12:$A$130,"&lt;"&amp;Diagram!$P24),SUMIFS(INDIRECT(ADDRESS(12,3+18*1+(11),,,"J1 D - South Bank Avenue")&amp;":"&amp;ADDRESS(130,3+18*1+(11))),'J1 D - South Bank Avenue'!$A$12:$A$130,"&gt;="&amp;Diagram!$O24,'J1 D - South Bank Avenue'!$A$12:$A$130,"&lt;"&amp;Diagram!$P24)))</f>
        <v>0</v>
      </c>
      <c r="CF24" s="42">
        <f ca="1">IF(OR($I$10="",$O24="",$P24="",$J$38&lt;&gt;"Yes"),0,IF($K$10=0,SUMIFS(INDIRECT(ADDRESS(12,3+18*2+(3),,,"J1 D - South Bank Avenue")&amp;":"&amp;ADDRESS(130,3+18*2+(3))),'J1 D - South Bank Avenue'!$A$12:$A$130,"&gt;="&amp;Diagram!$O24,'J1 D - South Bank Avenue'!$A$12:$A$130,"&lt;"&amp;Diagram!$P24),SUMIFS(INDIRECT(ADDRESS(12,3+18*2+(11),,,"J1 D - South Bank Avenue")&amp;":"&amp;ADDRESS(130,3+18*2+(11))),'J1 D - South Bank Avenue'!$A$12:$A$130,"&gt;="&amp;Diagram!$O24,'J1 D - South Bank Avenue'!$A$12:$A$130,"&lt;"&amp;Diagram!$P24)))</f>
        <v>0</v>
      </c>
      <c r="CG24" s="42">
        <f ca="1">IF(OR($I$10="",$O24="",$P24="",$J$38&lt;&gt;"Yes"),0,IF($K$10=0,SUMIFS(INDIRECT(ADDRESS(12,3+18*3+(3),,,"J1 D - South Bank Avenue")&amp;":"&amp;ADDRESS(130,3+18*3+(3))),'J1 D - South Bank Avenue'!$A$12:$A$130,"&gt;="&amp;Diagram!$O24,'J1 D - South Bank Avenue'!$A$12:$A$130,"&lt;"&amp;Diagram!$P24),SUMIFS(INDIRECT(ADDRESS(12,3+18*3+(11),,,"J1 D - South Bank Avenue")&amp;":"&amp;ADDRESS(130,3+18*3+(11))),'J1 D - South Bank Avenue'!$A$12:$A$130,"&gt;="&amp;Diagram!$O24,'J1 D - South Bank Avenue'!$A$12:$A$130,"&lt;"&amp;Diagram!$P24)))</f>
        <v>0</v>
      </c>
      <c r="CH24" s="42">
        <f t="shared" ca="1" si="5"/>
        <v>3</v>
      </c>
      <c r="CI24" s="42">
        <f ca="1">IF(OR($I$10="",$O24="",$P24="",$J$39&lt;&gt;"Yes"),0,IF($K$10=0,SUMIFS(INDIRECT(ADDRESS(12,3+18*3+(4),,,"J1 A - (North) Bishopthorpe Roa")&amp;":"&amp;ADDRESS(130,3+18*3+(4))),'J1 A - (North) Bishopthorpe Roa'!$A$12:$A$130,"&gt;="&amp;Diagram!$O24,'J1 A - (North) Bishopthorpe Roa'!$A$12:$A$130,"&lt;"&amp;Diagram!$P24),SUMIFS(INDIRECT(ADDRESS(12,3+18*3+(12),,,"J1 A - (North) Bishopthorpe Roa")&amp;":"&amp;ADDRESS(130,3+18*3+(12))),'J1 A - (North) Bishopthorpe Roa'!$A$12:$A$130,"&gt;="&amp;Diagram!$O24,'J1 A - (North) Bishopthorpe Roa'!$A$12:$A$130,"&lt;"&amp;Diagram!$P24)))</f>
        <v>0</v>
      </c>
      <c r="CJ24" s="42">
        <f ca="1">IF(OR($I$10="",$O24="",$P24="",$J$39&lt;&gt;"Yes"),0,IF($K$10=0,SUMIFS(INDIRECT(ADDRESS(12,3+18*0+(4),,,"J1 A - (North) Bishopthorpe Roa")&amp;":"&amp;ADDRESS(130,3+18*0+(4))),'J1 A - (North) Bishopthorpe Roa'!$A$12:$A$130,"&gt;="&amp;Diagram!$O24,'J1 A - (North) Bishopthorpe Roa'!$A$12:$A$130,"&lt;"&amp;Diagram!$P24),SUMIFS(INDIRECT(ADDRESS(12,3+18*0+(12),,,"J1 A - (North) Bishopthorpe Roa")&amp;":"&amp;ADDRESS(130,3+18*0+(12))),'J1 A - (North) Bishopthorpe Roa'!$A$12:$A$130,"&gt;="&amp;Diagram!$O24,'J1 A - (North) Bishopthorpe Roa'!$A$12:$A$130,"&lt;"&amp;Diagram!$P24)))</f>
        <v>0</v>
      </c>
      <c r="CK24" s="42">
        <f ca="1">IF(OR($I$10="",$O24="",$P24="",$J$39&lt;&gt;"Yes"),0,IF($K$10=0,SUMIFS(INDIRECT(ADDRESS(12,3+18*1+(4),,,"J1 A - (North) Bishopthorpe Roa")&amp;":"&amp;ADDRESS(130,3+18*1+(4))),'J1 A - (North) Bishopthorpe Roa'!$A$12:$A$130,"&gt;="&amp;Diagram!$O24,'J1 A - (North) Bishopthorpe Roa'!$A$12:$A$130,"&lt;"&amp;Diagram!$P24),SUMIFS(INDIRECT(ADDRESS(12,3+18*1+(12),,,"J1 A - (North) Bishopthorpe Roa")&amp;":"&amp;ADDRESS(130,3+18*1+(12))),'J1 A - (North) Bishopthorpe Roa'!$A$12:$A$130,"&gt;="&amp;Diagram!$O24,'J1 A - (North) Bishopthorpe Roa'!$A$12:$A$130,"&lt;"&amp;Diagram!$P24)))</f>
        <v>2</v>
      </c>
      <c r="CL24" s="42">
        <f ca="1">IF(OR($I$10="",$O24="",$P24="",$J$39&lt;&gt;"Yes"),0,IF($K$10=0,SUMIFS(INDIRECT(ADDRESS(12,3+18*2+(4),,,"J1 A - (North) Bishopthorpe Roa")&amp;":"&amp;ADDRESS(130,3+18*2+(4))),'J1 A - (North) Bishopthorpe Roa'!$A$12:$A$130,"&gt;="&amp;Diagram!$O24,'J1 A - (North) Bishopthorpe Roa'!$A$12:$A$130,"&lt;"&amp;Diagram!$P24),SUMIFS(INDIRECT(ADDRESS(12,3+18*2+(12),,,"J1 A - (North) Bishopthorpe Roa")&amp;":"&amp;ADDRESS(130,3+18*2+(12))),'J1 A - (North) Bishopthorpe Roa'!$A$12:$A$130,"&gt;="&amp;Diagram!$O24,'J1 A - (North) Bishopthorpe Roa'!$A$12:$A$130,"&lt;"&amp;Diagram!$P24)))</f>
        <v>0</v>
      </c>
      <c r="CM24" s="42">
        <f ca="1">IF(OR($I$10="",$O24="",$P24="",$J$39&lt;&gt;"Yes"),0,IF($K$10=0,SUMIFS(INDIRECT(ADDRESS(12,3+18*2+(4),,,"J1 B - Butcher Terrace")&amp;":"&amp;ADDRESS(130,3+18*2+(4))),'J1 B - Butcher Terrace'!$A$12:$A$130,"&gt;="&amp;Diagram!$O24,'J1 B - Butcher Terrace'!$A$12:$A$130,"&lt;"&amp;Diagram!$P24),SUMIFS(INDIRECT(ADDRESS(12,3+18*2+(12),,,"J1 B - Butcher Terrace")&amp;":"&amp;ADDRESS(130,3+18*2+(12))),'J1 B - Butcher Terrace'!$A$12:$A$130,"&gt;="&amp;Diagram!$O24,'J1 B - Butcher Terrace'!$A$12:$A$130,"&lt;"&amp;Diagram!$P24)))</f>
        <v>0</v>
      </c>
      <c r="CN24" s="42">
        <f ca="1">IF(OR($I$10="",$O24="",$P24="",$J$39&lt;&gt;"Yes"),0,IF($K$10=0,SUMIFS(INDIRECT(ADDRESS(12,3+18*3+(4),,,"J1 B - Butcher Terrace")&amp;":"&amp;ADDRESS(130,3+18*3+(4))),'J1 B - Butcher Terrace'!$A$12:$A$130,"&gt;="&amp;Diagram!$O24,'J1 B - Butcher Terrace'!$A$12:$A$130,"&lt;"&amp;Diagram!$P24),SUMIFS(INDIRECT(ADDRESS(12,3+18*3+(12),,,"J1 B - Butcher Terrace")&amp;":"&amp;ADDRESS(130,3+18*3+(12))),'J1 B - Butcher Terrace'!$A$12:$A$130,"&gt;="&amp;Diagram!$O24,'J1 B - Butcher Terrace'!$A$12:$A$130,"&lt;"&amp;Diagram!$P24)))</f>
        <v>0</v>
      </c>
      <c r="CO24" s="42">
        <f ca="1">IF(OR($I$10="",$O24="",$P24="",$J$39&lt;&gt;"Yes"),0,IF($K$10=0,SUMIFS(INDIRECT(ADDRESS(12,3+18*0+(4),,,"J1 B - Butcher Terrace")&amp;":"&amp;ADDRESS(130,3+18*0+(4))),'J1 B - Butcher Terrace'!$A$12:$A$130,"&gt;="&amp;Diagram!$O24,'J1 B - Butcher Terrace'!$A$12:$A$130,"&lt;"&amp;Diagram!$P24),SUMIFS(INDIRECT(ADDRESS(12,3+18*0+(12),,,"J1 B - Butcher Terrace")&amp;":"&amp;ADDRESS(130,3+18*0+(12))),'J1 B - Butcher Terrace'!$A$12:$A$130,"&gt;="&amp;Diagram!$O24,'J1 B - Butcher Terrace'!$A$12:$A$130,"&lt;"&amp;Diagram!$P24)))</f>
        <v>0</v>
      </c>
      <c r="CP24" s="42">
        <f ca="1">IF(OR($I$10="",$O24="",$P24="",$J$39&lt;&gt;"Yes"),0,IF($K$10=0,SUMIFS(INDIRECT(ADDRESS(12,3+18*1+(4),,,"J1 B - Butcher Terrace")&amp;":"&amp;ADDRESS(130,3+18*1+(4))),'J1 B - Butcher Terrace'!$A$12:$A$130,"&gt;="&amp;Diagram!$O24,'J1 B - Butcher Terrace'!$A$12:$A$130,"&lt;"&amp;Diagram!$P24),SUMIFS(INDIRECT(ADDRESS(12,3+18*1+(12),,,"J1 B - Butcher Terrace")&amp;":"&amp;ADDRESS(130,3+18*1+(12))),'J1 B - Butcher Terrace'!$A$12:$A$130,"&gt;="&amp;Diagram!$O24,'J1 B - Butcher Terrace'!$A$12:$A$130,"&lt;"&amp;Diagram!$P24)))</f>
        <v>0</v>
      </c>
      <c r="CQ24" s="42">
        <f ca="1">IF(OR($I$10="",$O24="",$P24="",$J$39&lt;&gt;"Yes"),0,IF($K$10=0,SUMIFS(INDIRECT(ADDRESS(12,3+18*1+(4),,,"J1 C - (South) Bishopthorpe Roa")&amp;":"&amp;ADDRESS(130,3+18*1+(4))),'J1 C - (South) Bishopthorpe Roa'!$A$12:$A$130,"&gt;="&amp;Diagram!$O24,'J1 C - (South) Bishopthorpe Roa'!$A$12:$A$130,"&lt;"&amp;Diagram!$P24),SUMIFS(INDIRECT(ADDRESS(12,3+18*1+(12),,,"J1 C - (South) Bishopthorpe Roa")&amp;":"&amp;ADDRESS(130,3+18*1+(12))),'J1 C - (South) Bishopthorpe Roa'!$A$12:$A$130,"&gt;="&amp;Diagram!$O24,'J1 C - (South) Bishopthorpe Roa'!$A$12:$A$130,"&lt;"&amp;Diagram!$P24)))</f>
        <v>1</v>
      </c>
      <c r="CR24" s="42">
        <f ca="1">IF(OR($I$10="",$O24="",$P24="",$J$39&lt;&gt;"Yes"),0,IF($K$10=0,SUMIFS(INDIRECT(ADDRESS(12,3+18*2+(4),,,"J1 C - (South) Bishopthorpe Roa")&amp;":"&amp;ADDRESS(130,3+18*2+(4))),'J1 C - (South) Bishopthorpe Roa'!$A$12:$A$130,"&gt;="&amp;Diagram!$O24,'J1 C - (South) Bishopthorpe Roa'!$A$12:$A$130,"&lt;"&amp;Diagram!$P24),SUMIFS(INDIRECT(ADDRESS(12,3+18*2+(12),,,"J1 C - (South) Bishopthorpe Roa")&amp;":"&amp;ADDRESS(130,3+18*2+(12))),'J1 C - (South) Bishopthorpe Roa'!$A$12:$A$130,"&gt;="&amp;Diagram!$O24,'J1 C - (South) Bishopthorpe Roa'!$A$12:$A$130,"&lt;"&amp;Diagram!$P24)))</f>
        <v>0</v>
      </c>
      <c r="CS24" s="42">
        <f ca="1">IF(OR($I$10="",$O24="",$P24="",$J$39&lt;&gt;"Yes"),0,IF($K$10=0,SUMIFS(INDIRECT(ADDRESS(12,3+18*3+(4),,,"J1 C - (South) Bishopthorpe Roa")&amp;":"&amp;ADDRESS(130,3+18*3+(4))),'J1 C - (South) Bishopthorpe Roa'!$A$12:$A$130,"&gt;="&amp;Diagram!$O24,'J1 C - (South) Bishopthorpe Roa'!$A$12:$A$130,"&lt;"&amp;Diagram!$P24),SUMIFS(INDIRECT(ADDRESS(12,3+18*3+(12),,,"J1 C - (South) Bishopthorpe Roa")&amp;":"&amp;ADDRESS(130,3+18*3+(12))),'J1 C - (South) Bishopthorpe Roa'!$A$12:$A$130,"&gt;="&amp;Diagram!$O24,'J1 C - (South) Bishopthorpe Roa'!$A$12:$A$130,"&lt;"&amp;Diagram!$P24)))</f>
        <v>0</v>
      </c>
      <c r="CT24" s="42">
        <f ca="1">IF(OR($I$10="",$O24="",$P24="",$J$39&lt;&gt;"Yes"),0,IF($K$10=0,SUMIFS(INDIRECT(ADDRESS(12,3+18*0+(4),,,"J1 C - (South) Bishopthorpe Roa")&amp;":"&amp;ADDRESS(130,3+18*0+(4))),'J1 C - (South) Bishopthorpe Roa'!$A$12:$A$130,"&gt;="&amp;Diagram!$O24,'J1 C - (South) Bishopthorpe Roa'!$A$12:$A$130,"&lt;"&amp;Diagram!$P24),SUMIFS(INDIRECT(ADDRESS(12,3+18*0+(12),,,"J1 C - (South) Bishopthorpe Roa")&amp;":"&amp;ADDRESS(130,3+18*0+(12))),'J1 C - (South) Bishopthorpe Roa'!$A$12:$A$130,"&gt;="&amp;Diagram!$O24,'J1 C - (South) Bishopthorpe Roa'!$A$12:$A$130,"&lt;"&amp;Diagram!$P24)))</f>
        <v>0</v>
      </c>
      <c r="CU24" s="42">
        <f ca="1">IF(OR($I$10="",$O24="",$P24="",$J$39&lt;&gt;"Yes"),0,IF($K$10=0,SUMIFS(INDIRECT(ADDRESS(12,3+18*0+(4),,,"J1 D - South Bank Avenue")&amp;":"&amp;ADDRESS(130,3+18*0+(4))),'J1 D - South Bank Avenue'!$A$12:$A$130,"&gt;="&amp;Diagram!$O24,'J1 D - South Bank Avenue'!$A$12:$A$130,"&lt;"&amp;Diagram!$P24),SUMIFS(INDIRECT(ADDRESS(12,3+18*0+(12),,,"J1 D - South Bank Avenue")&amp;":"&amp;ADDRESS(130,3+18*0+(12))),'J1 D - South Bank Avenue'!$A$12:$A$130,"&gt;="&amp;Diagram!$O24,'J1 D - South Bank Avenue'!$A$12:$A$130,"&lt;"&amp;Diagram!$P24)))</f>
        <v>0</v>
      </c>
      <c r="CV24" s="42">
        <f ca="1">IF(OR($I$10="",$O24="",$P24="",$J$39&lt;&gt;"Yes"),0,IF($K$10=0,SUMIFS(INDIRECT(ADDRESS(12,3+18*1+(4),,,"J1 D - South Bank Avenue")&amp;":"&amp;ADDRESS(130,3+18*1+(4))),'J1 D - South Bank Avenue'!$A$12:$A$130,"&gt;="&amp;Diagram!$O24,'J1 D - South Bank Avenue'!$A$12:$A$130,"&lt;"&amp;Diagram!$P24),SUMIFS(INDIRECT(ADDRESS(12,3+18*1+(12),,,"J1 D - South Bank Avenue")&amp;":"&amp;ADDRESS(130,3+18*1+(12))),'J1 D - South Bank Avenue'!$A$12:$A$130,"&gt;="&amp;Diagram!$O24,'J1 D - South Bank Avenue'!$A$12:$A$130,"&lt;"&amp;Diagram!$P24)))</f>
        <v>0</v>
      </c>
      <c r="CW24" s="42">
        <f ca="1">IF(OR($I$10="",$O24="",$P24="",$J$39&lt;&gt;"Yes"),0,IF($K$10=0,SUMIFS(INDIRECT(ADDRESS(12,3+18*2+(4),,,"J1 D - South Bank Avenue")&amp;":"&amp;ADDRESS(130,3+18*2+(4))),'J1 D - South Bank Avenue'!$A$12:$A$130,"&gt;="&amp;Diagram!$O24,'J1 D - South Bank Avenue'!$A$12:$A$130,"&lt;"&amp;Diagram!$P24),SUMIFS(INDIRECT(ADDRESS(12,3+18*2+(12),,,"J1 D - South Bank Avenue")&amp;":"&amp;ADDRESS(130,3+18*2+(12))),'J1 D - South Bank Avenue'!$A$12:$A$130,"&gt;="&amp;Diagram!$O24,'J1 D - South Bank Avenue'!$A$12:$A$130,"&lt;"&amp;Diagram!$P24)))</f>
        <v>0</v>
      </c>
      <c r="CX24" s="42">
        <f ca="1">IF(OR($I$10="",$O24="",$P24="",$J$39&lt;&gt;"Yes"),0,IF($K$10=0,SUMIFS(INDIRECT(ADDRESS(12,3+18*3+(4),,,"J1 D - South Bank Avenue")&amp;":"&amp;ADDRESS(130,3+18*3+(4))),'J1 D - South Bank Avenue'!$A$12:$A$130,"&gt;="&amp;Diagram!$O24,'J1 D - South Bank Avenue'!$A$12:$A$130,"&lt;"&amp;Diagram!$P24),SUMIFS(INDIRECT(ADDRESS(12,3+18*3+(12),,,"J1 D - South Bank Avenue")&amp;":"&amp;ADDRESS(130,3+18*3+(12))),'J1 D - South Bank Avenue'!$A$12:$A$130,"&gt;="&amp;Diagram!$O24,'J1 D - South Bank Avenue'!$A$12:$A$130,"&lt;"&amp;Diagram!$P24)))</f>
        <v>0</v>
      </c>
      <c r="CY24" s="42">
        <f t="shared" ca="1" si="6"/>
        <v>21</v>
      </c>
      <c r="CZ24" s="42">
        <f ca="1">IF(OR($I$10="",$O24="",$P24="",$J$40&lt;&gt;"Yes"),0,IF($K$10=0,SUMIFS(INDIRECT(ADDRESS(12,3+18*3+(5),,,"J1 A - (North) Bishopthorpe Roa")&amp;":"&amp;ADDRESS(130,3+18*3+(5))),'J1 A - (North) Bishopthorpe Roa'!$A$12:$A$130,"&gt;="&amp;Diagram!$O24,'J1 A - (North) Bishopthorpe Roa'!$A$12:$A$130,"&lt;"&amp;Diagram!$P24),SUMIFS(INDIRECT(ADDRESS(12,3+18*3+(13),,,"J1 A - (North) Bishopthorpe Roa")&amp;":"&amp;ADDRESS(130,3+18*3+(13))),'J1 A - (North) Bishopthorpe Roa'!$A$12:$A$130,"&gt;="&amp;Diagram!$O24,'J1 A - (North) Bishopthorpe Roa'!$A$12:$A$130,"&lt;"&amp;Diagram!$P24)))</f>
        <v>0</v>
      </c>
      <c r="DA24" s="42">
        <f ca="1">IF(OR($I$10="",$O24="",$P24="",$J$40&lt;&gt;"Yes"),0,IF($K$10=0,SUMIFS(INDIRECT(ADDRESS(12,3+18*0+(5),,,"J1 A - (North) Bishopthorpe Roa")&amp;":"&amp;ADDRESS(130,3+18*0+(5))),'J1 A - (North) Bishopthorpe Roa'!$A$12:$A$130,"&gt;="&amp;Diagram!$O24,'J1 A - (North) Bishopthorpe Roa'!$A$12:$A$130,"&lt;"&amp;Diagram!$P24),SUMIFS(INDIRECT(ADDRESS(12,3+18*0+(13),,,"J1 A - (North) Bishopthorpe Roa")&amp;":"&amp;ADDRESS(130,3+18*0+(13))),'J1 A - (North) Bishopthorpe Roa'!$A$12:$A$130,"&gt;="&amp;Diagram!$O24,'J1 A - (North) Bishopthorpe Roa'!$A$12:$A$130,"&lt;"&amp;Diagram!$P24)))</f>
        <v>3</v>
      </c>
      <c r="DB24" s="42">
        <f ca="1">IF(OR($I$10="",$O24="",$P24="",$J$40&lt;&gt;"Yes"),0,IF($K$10=0,SUMIFS(INDIRECT(ADDRESS(12,3+18*1+(5),,,"J1 A - (North) Bishopthorpe Roa")&amp;":"&amp;ADDRESS(130,3+18*1+(5))),'J1 A - (North) Bishopthorpe Roa'!$A$12:$A$130,"&gt;="&amp;Diagram!$O24,'J1 A - (North) Bishopthorpe Roa'!$A$12:$A$130,"&lt;"&amp;Diagram!$P24),SUMIFS(INDIRECT(ADDRESS(12,3+18*1+(13),,,"J1 A - (North) Bishopthorpe Roa")&amp;":"&amp;ADDRESS(130,3+18*1+(13))),'J1 A - (North) Bishopthorpe Roa'!$A$12:$A$130,"&gt;="&amp;Diagram!$O24,'J1 A - (North) Bishopthorpe Roa'!$A$12:$A$130,"&lt;"&amp;Diagram!$P24)))</f>
        <v>1</v>
      </c>
      <c r="DC24" s="42">
        <f ca="1">IF(OR($I$10="",$O24="",$P24="",$J$40&lt;&gt;"Yes"),0,IF($K$10=0,SUMIFS(INDIRECT(ADDRESS(12,3+18*2+(5),,,"J1 A - (North) Bishopthorpe Roa")&amp;":"&amp;ADDRESS(130,3+18*2+(5))),'J1 A - (North) Bishopthorpe Roa'!$A$12:$A$130,"&gt;="&amp;Diagram!$O24,'J1 A - (North) Bishopthorpe Roa'!$A$12:$A$130,"&lt;"&amp;Diagram!$P24),SUMIFS(INDIRECT(ADDRESS(12,3+18*2+(13),,,"J1 A - (North) Bishopthorpe Roa")&amp;":"&amp;ADDRESS(130,3+18*2+(13))),'J1 A - (North) Bishopthorpe Roa'!$A$12:$A$130,"&gt;="&amp;Diagram!$O24,'J1 A - (North) Bishopthorpe Roa'!$A$12:$A$130,"&lt;"&amp;Diagram!$P24)))</f>
        <v>0</v>
      </c>
      <c r="DD24" s="42">
        <f ca="1">IF(OR($I$10="",$O24="",$P24="",$J$40&lt;&gt;"Yes"),0,IF($K$10=0,SUMIFS(INDIRECT(ADDRESS(12,3+18*2+(5),,,"J1 B - Butcher Terrace")&amp;":"&amp;ADDRESS(130,3+18*2+(5))),'J1 B - Butcher Terrace'!$A$12:$A$130,"&gt;="&amp;Diagram!$O24,'J1 B - Butcher Terrace'!$A$12:$A$130,"&lt;"&amp;Diagram!$P24),SUMIFS(INDIRECT(ADDRESS(12,3+18*2+(13),,,"J1 B - Butcher Terrace")&amp;":"&amp;ADDRESS(130,3+18*2+(13))),'J1 B - Butcher Terrace'!$A$12:$A$130,"&gt;="&amp;Diagram!$O24,'J1 B - Butcher Terrace'!$A$12:$A$130,"&lt;"&amp;Diagram!$P24)))</f>
        <v>0</v>
      </c>
      <c r="DE24" s="42">
        <f ca="1">IF(OR($I$10="",$O24="",$P24="",$J$40&lt;&gt;"Yes"),0,IF($K$10=0,SUMIFS(INDIRECT(ADDRESS(12,3+18*3+(5),,,"J1 B - Butcher Terrace")&amp;":"&amp;ADDRESS(130,3+18*3+(5))),'J1 B - Butcher Terrace'!$A$12:$A$130,"&gt;="&amp;Diagram!$O24,'J1 B - Butcher Terrace'!$A$12:$A$130,"&lt;"&amp;Diagram!$P24),SUMIFS(INDIRECT(ADDRESS(12,3+18*3+(13),,,"J1 B - Butcher Terrace")&amp;":"&amp;ADDRESS(130,3+18*3+(13))),'J1 B - Butcher Terrace'!$A$12:$A$130,"&gt;="&amp;Diagram!$O24,'J1 B - Butcher Terrace'!$A$12:$A$130,"&lt;"&amp;Diagram!$P24)))</f>
        <v>0</v>
      </c>
      <c r="DF24" s="42">
        <f ca="1">IF(OR($I$10="",$O24="",$P24="",$J$40&lt;&gt;"Yes"),0,IF($K$10=0,SUMIFS(INDIRECT(ADDRESS(12,3+18*0+(5),,,"J1 B - Butcher Terrace")&amp;":"&amp;ADDRESS(130,3+18*0+(5))),'J1 B - Butcher Terrace'!$A$12:$A$130,"&gt;="&amp;Diagram!$O24,'J1 B - Butcher Terrace'!$A$12:$A$130,"&lt;"&amp;Diagram!$P24),SUMIFS(INDIRECT(ADDRESS(12,3+18*0+(13),,,"J1 B - Butcher Terrace")&amp;":"&amp;ADDRESS(130,3+18*0+(13))),'J1 B - Butcher Terrace'!$A$12:$A$130,"&gt;="&amp;Diagram!$O24,'J1 B - Butcher Terrace'!$A$12:$A$130,"&lt;"&amp;Diagram!$P24)))</f>
        <v>2</v>
      </c>
      <c r="DG24" s="42">
        <f ca="1">IF(OR($I$10="",$O24="",$P24="",$J$40&lt;&gt;"Yes"),0,IF($K$10=0,SUMIFS(INDIRECT(ADDRESS(12,3+18*1+(5),,,"J1 B - Butcher Terrace")&amp;":"&amp;ADDRESS(130,3+18*1+(5))),'J1 B - Butcher Terrace'!$A$12:$A$130,"&gt;="&amp;Diagram!$O24,'J1 B - Butcher Terrace'!$A$12:$A$130,"&lt;"&amp;Diagram!$P24),SUMIFS(INDIRECT(ADDRESS(12,3+18*1+(13),,,"J1 B - Butcher Terrace")&amp;":"&amp;ADDRESS(130,3+18*1+(13))),'J1 B - Butcher Terrace'!$A$12:$A$130,"&gt;="&amp;Diagram!$O24,'J1 B - Butcher Terrace'!$A$12:$A$130,"&lt;"&amp;Diagram!$P24)))</f>
        <v>5</v>
      </c>
      <c r="DH24" s="42">
        <f ca="1">IF(OR($I$10="",$O24="",$P24="",$J$40&lt;&gt;"Yes"),0,IF($K$10=0,SUMIFS(INDIRECT(ADDRESS(12,3+18*1+(5),,,"J1 C - (South) Bishopthorpe Roa")&amp;":"&amp;ADDRESS(130,3+18*1+(5))),'J1 C - (South) Bishopthorpe Roa'!$A$12:$A$130,"&gt;="&amp;Diagram!$O24,'J1 C - (South) Bishopthorpe Roa'!$A$12:$A$130,"&lt;"&amp;Diagram!$P24),SUMIFS(INDIRECT(ADDRESS(12,3+18*1+(13),,,"J1 C - (South) Bishopthorpe Roa")&amp;":"&amp;ADDRESS(130,3+18*1+(13))),'J1 C - (South) Bishopthorpe Roa'!$A$12:$A$130,"&gt;="&amp;Diagram!$O24,'J1 C - (South) Bishopthorpe Roa'!$A$12:$A$130,"&lt;"&amp;Diagram!$P24)))</f>
        <v>4</v>
      </c>
      <c r="DI24" s="42">
        <f ca="1">IF(OR($I$10="",$O24="",$P24="",$J$40&lt;&gt;"Yes"),0,IF($K$10=0,SUMIFS(INDIRECT(ADDRESS(12,3+18*2+(5),,,"J1 C - (South) Bishopthorpe Roa")&amp;":"&amp;ADDRESS(130,3+18*2+(5))),'J1 C - (South) Bishopthorpe Roa'!$A$12:$A$130,"&gt;="&amp;Diagram!$O24,'J1 C - (South) Bishopthorpe Roa'!$A$12:$A$130,"&lt;"&amp;Diagram!$P24),SUMIFS(INDIRECT(ADDRESS(12,3+18*2+(13),,,"J1 C - (South) Bishopthorpe Roa")&amp;":"&amp;ADDRESS(130,3+18*2+(13))),'J1 C - (South) Bishopthorpe Roa'!$A$12:$A$130,"&gt;="&amp;Diagram!$O24,'J1 C - (South) Bishopthorpe Roa'!$A$12:$A$130,"&lt;"&amp;Diagram!$P24)))</f>
        <v>1</v>
      </c>
      <c r="DJ24" s="42">
        <f ca="1">IF(OR($I$10="",$O24="",$P24="",$J$40&lt;&gt;"Yes"),0,IF($K$10=0,SUMIFS(INDIRECT(ADDRESS(12,3+18*3+(5),,,"J1 C - (South) Bishopthorpe Roa")&amp;":"&amp;ADDRESS(130,3+18*3+(5))),'J1 C - (South) Bishopthorpe Roa'!$A$12:$A$130,"&gt;="&amp;Diagram!$O24,'J1 C - (South) Bishopthorpe Roa'!$A$12:$A$130,"&lt;"&amp;Diagram!$P24),SUMIFS(INDIRECT(ADDRESS(12,3+18*3+(13),,,"J1 C - (South) Bishopthorpe Roa")&amp;":"&amp;ADDRESS(130,3+18*3+(13))),'J1 C - (South) Bishopthorpe Roa'!$A$12:$A$130,"&gt;="&amp;Diagram!$O24,'J1 C - (South) Bishopthorpe Roa'!$A$12:$A$130,"&lt;"&amp;Diagram!$P24)))</f>
        <v>0</v>
      </c>
      <c r="DK24" s="42">
        <f ca="1">IF(OR($I$10="",$O24="",$P24="",$J$40&lt;&gt;"Yes"),0,IF($K$10=0,SUMIFS(INDIRECT(ADDRESS(12,3+18*0+(5),,,"J1 C - (South) Bishopthorpe Roa")&amp;":"&amp;ADDRESS(130,3+18*0+(5))),'J1 C - (South) Bishopthorpe Roa'!$A$12:$A$130,"&gt;="&amp;Diagram!$O24,'J1 C - (South) Bishopthorpe Roa'!$A$12:$A$130,"&lt;"&amp;Diagram!$P24),SUMIFS(INDIRECT(ADDRESS(12,3+18*0+(13),,,"J1 C - (South) Bishopthorpe Roa")&amp;":"&amp;ADDRESS(130,3+18*0+(13))),'J1 C - (South) Bishopthorpe Roa'!$A$12:$A$130,"&gt;="&amp;Diagram!$O24,'J1 C - (South) Bishopthorpe Roa'!$A$12:$A$130,"&lt;"&amp;Diagram!$P24)))</f>
        <v>0</v>
      </c>
      <c r="DL24" s="42">
        <f ca="1">IF(OR($I$10="",$O24="",$P24="",$J$40&lt;&gt;"Yes"),0,IF($K$10=0,SUMIFS(INDIRECT(ADDRESS(12,3+18*0+(5),,,"J1 D - South Bank Avenue")&amp;":"&amp;ADDRESS(130,3+18*0+(5))),'J1 D - South Bank Avenue'!$A$12:$A$130,"&gt;="&amp;Diagram!$O24,'J1 D - South Bank Avenue'!$A$12:$A$130,"&lt;"&amp;Diagram!$P24),SUMIFS(INDIRECT(ADDRESS(12,3+18*0+(13),,,"J1 D - South Bank Avenue")&amp;":"&amp;ADDRESS(130,3+18*0+(13))),'J1 D - South Bank Avenue'!$A$12:$A$130,"&gt;="&amp;Diagram!$O24,'J1 D - South Bank Avenue'!$A$12:$A$130,"&lt;"&amp;Diagram!$P24)))</f>
        <v>0</v>
      </c>
      <c r="DM24" s="42">
        <f ca="1">IF(OR($I$10="",$O24="",$P24="",$J$40&lt;&gt;"Yes"),0,IF($K$10=0,SUMIFS(INDIRECT(ADDRESS(12,3+18*1+(5),,,"J1 D - South Bank Avenue")&amp;":"&amp;ADDRESS(130,3+18*1+(5))),'J1 D - South Bank Avenue'!$A$12:$A$130,"&gt;="&amp;Diagram!$O24,'J1 D - South Bank Avenue'!$A$12:$A$130,"&lt;"&amp;Diagram!$P24),SUMIFS(INDIRECT(ADDRESS(12,3+18*1+(13),,,"J1 D - South Bank Avenue")&amp;":"&amp;ADDRESS(130,3+18*1+(13))),'J1 D - South Bank Avenue'!$A$12:$A$130,"&gt;="&amp;Diagram!$O24,'J1 D - South Bank Avenue'!$A$12:$A$130,"&lt;"&amp;Diagram!$P24)))</f>
        <v>5</v>
      </c>
      <c r="DN24" s="42">
        <f ca="1">IF(OR($I$10="",$O24="",$P24="",$J$40&lt;&gt;"Yes"),0,IF($K$10=0,SUMIFS(INDIRECT(ADDRESS(12,3+18*2+(5),,,"J1 D - South Bank Avenue")&amp;":"&amp;ADDRESS(130,3+18*2+(5))),'J1 D - South Bank Avenue'!$A$12:$A$130,"&gt;="&amp;Diagram!$O24,'J1 D - South Bank Avenue'!$A$12:$A$130,"&lt;"&amp;Diagram!$P24),SUMIFS(INDIRECT(ADDRESS(12,3+18*2+(13),,,"J1 D - South Bank Avenue")&amp;":"&amp;ADDRESS(130,3+18*2+(13))),'J1 D - South Bank Avenue'!$A$12:$A$130,"&gt;="&amp;Diagram!$O24,'J1 D - South Bank Avenue'!$A$12:$A$130,"&lt;"&amp;Diagram!$P24)))</f>
        <v>0</v>
      </c>
      <c r="DO24" s="42">
        <f ca="1">IF(OR($I$10="",$O24="",$P24="",$J$40&lt;&gt;"Yes"),0,IF($K$10=0,SUMIFS(INDIRECT(ADDRESS(12,3+18*3+(5),,,"J1 D - South Bank Avenue")&amp;":"&amp;ADDRESS(130,3+18*3+(5))),'J1 D - South Bank Avenue'!$A$12:$A$130,"&gt;="&amp;Diagram!$O24,'J1 D - South Bank Avenue'!$A$12:$A$130,"&lt;"&amp;Diagram!$P24),SUMIFS(INDIRECT(ADDRESS(12,3+18*3+(13),,,"J1 D - South Bank Avenue")&amp;":"&amp;ADDRESS(130,3+18*3+(13))),'J1 D - South Bank Avenue'!$A$12:$A$130,"&gt;="&amp;Diagram!$O24,'J1 D - South Bank Avenue'!$A$12:$A$130,"&lt;"&amp;Diagram!$P24)))</f>
        <v>0</v>
      </c>
      <c r="DP24" s="42">
        <f t="shared" ca="1" si="7"/>
        <v>0</v>
      </c>
      <c r="DQ24" s="42">
        <f ca="1">IF(OR($I$10="",$O24="",$P24="",$J$41&lt;&gt;"Yes"),0,IF($K$10=0,SUMIFS(INDIRECT(ADDRESS(12,3+18*3+(6),,,"J1 A - (North) Bishopthorpe Roa")&amp;":"&amp;ADDRESS(130,3+18*3+(6))),'J1 A - (North) Bishopthorpe Roa'!$A$12:$A$130,"&gt;="&amp;Diagram!$O24,'J1 A - (North) Bishopthorpe Roa'!$A$12:$A$130,"&lt;"&amp;Diagram!$P24),SUMIFS(INDIRECT(ADDRESS(12,3+18*3+(14),,,"J1 A - (North) Bishopthorpe Roa")&amp;":"&amp;ADDRESS(130,3+18*3+(14))),'J1 A - (North) Bishopthorpe Roa'!$A$12:$A$130,"&gt;="&amp;Diagram!$O24,'J1 A - (North) Bishopthorpe Roa'!$A$12:$A$130,"&lt;"&amp;Diagram!$P24)))</f>
        <v>0</v>
      </c>
      <c r="DR24" s="42">
        <f ca="1">IF(OR($I$10="",$O24="",$P24="",$J$41&lt;&gt;"Yes"),0,IF($K$10=0,SUMIFS(INDIRECT(ADDRESS(12,3+18*0+(6),,,"J1 A - (North) Bishopthorpe Roa")&amp;":"&amp;ADDRESS(130,3+18*0+(6))),'J1 A - (North) Bishopthorpe Roa'!$A$12:$A$130,"&gt;="&amp;Diagram!$O24,'J1 A - (North) Bishopthorpe Roa'!$A$12:$A$130,"&lt;"&amp;Diagram!$P24),SUMIFS(INDIRECT(ADDRESS(12,3+18*0+(14),,,"J1 A - (North) Bishopthorpe Roa")&amp;":"&amp;ADDRESS(130,3+18*0+(14))),'J1 A - (North) Bishopthorpe Roa'!$A$12:$A$130,"&gt;="&amp;Diagram!$O24,'J1 A - (North) Bishopthorpe Roa'!$A$12:$A$130,"&lt;"&amp;Diagram!$P24)))</f>
        <v>0</v>
      </c>
      <c r="DS24" s="42">
        <f ca="1">IF(OR($I$10="",$O24="",$P24="",$J$41&lt;&gt;"Yes"),0,IF($K$10=0,SUMIFS(INDIRECT(ADDRESS(12,3+18*1+(6),,,"J1 A - (North) Bishopthorpe Roa")&amp;":"&amp;ADDRESS(130,3+18*1+(6))),'J1 A - (North) Bishopthorpe Roa'!$A$12:$A$130,"&gt;="&amp;Diagram!$O24,'J1 A - (North) Bishopthorpe Roa'!$A$12:$A$130,"&lt;"&amp;Diagram!$P24),SUMIFS(INDIRECT(ADDRESS(12,3+18*1+(14),,,"J1 A - (North) Bishopthorpe Roa")&amp;":"&amp;ADDRESS(130,3+18*1+(14))),'J1 A - (North) Bishopthorpe Roa'!$A$12:$A$130,"&gt;="&amp;Diagram!$O24,'J1 A - (North) Bishopthorpe Roa'!$A$12:$A$130,"&lt;"&amp;Diagram!$P24)))</f>
        <v>0</v>
      </c>
      <c r="DT24" s="42">
        <f ca="1">IF(OR($I$10="",$O24="",$P24="",$J$41&lt;&gt;"Yes"),0,IF($K$10=0,SUMIFS(INDIRECT(ADDRESS(12,3+18*2+(6),,,"J1 A - (North) Bishopthorpe Roa")&amp;":"&amp;ADDRESS(130,3+18*2+(6))),'J1 A - (North) Bishopthorpe Roa'!$A$12:$A$130,"&gt;="&amp;Diagram!$O24,'J1 A - (North) Bishopthorpe Roa'!$A$12:$A$130,"&lt;"&amp;Diagram!$P24),SUMIFS(INDIRECT(ADDRESS(12,3+18*2+(14),,,"J1 A - (North) Bishopthorpe Roa")&amp;":"&amp;ADDRESS(130,3+18*2+(14))),'J1 A - (North) Bishopthorpe Roa'!$A$12:$A$130,"&gt;="&amp;Diagram!$O24,'J1 A - (North) Bishopthorpe Roa'!$A$12:$A$130,"&lt;"&amp;Diagram!$P24)))</f>
        <v>0</v>
      </c>
      <c r="DU24" s="42">
        <f ca="1">IF(OR($I$10="",$O24="",$P24="",$J$41&lt;&gt;"Yes"),0,IF($K$10=0,SUMIFS(INDIRECT(ADDRESS(12,3+18*2+(6),,,"J1 B - Butcher Terrace")&amp;":"&amp;ADDRESS(130,3+18*2+(6))),'J1 B - Butcher Terrace'!$A$12:$A$130,"&gt;="&amp;Diagram!$O24,'J1 B - Butcher Terrace'!$A$12:$A$130,"&lt;"&amp;Diagram!$P24),SUMIFS(INDIRECT(ADDRESS(12,3+18*2+(14),,,"J1 B - Butcher Terrace")&amp;":"&amp;ADDRESS(130,3+18*2+(14))),'J1 B - Butcher Terrace'!$A$12:$A$130,"&gt;="&amp;Diagram!$O24,'J1 B - Butcher Terrace'!$A$12:$A$130,"&lt;"&amp;Diagram!$P24)))</f>
        <v>0</v>
      </c>
      <c r="DV24" s="42">
        <f ca="1">IF(OR($I$10="",$O24="",$P24="",$J$41&lt;&gt;"Yes"),0,IF($K$10=0,SUMIFS(INDIRECT(ADDRESS(12,3+18*3+(6),,,"J1 B - Butcher Terrace")&amp;":"&amp;ADDRESS(130,3+18*3+(6))),'J1 B - Butcher Terrace'!$A$12:$A$130,"&gt;="&amp;Diagram!$O24,'J1 B - Butcher Terrace'!$A$12:$A$130,"&lt;"&amp;Diagram!$P24),SUMIFS(INDIRECT(ADDRESS(12,3+18*3+(14),,,"J1 B - Butcher Terrace")&amp;":"&amp;ADDRESS(130,3+18*3+(14))),'J1 B - Butcher Terrace'!$A$12:$A$130,"&gt;="&amp;Diagram!$O24,'J1 B - Butcher Terrace'!$A$12:$A$130,"&lt;"&amp;Diagram!$P24)))</f>
        <v>0</v>
      </c>
      <c r="DW24" s="42">
        <f ca="1">IF(OR($I$10="",$O24="",$P24="",$J$41&lt;&gt;"Yes"),0,IF($K$10=0,SUMIFS(INDIRECT(ADDRESS(12,3+18*0+(6),,,"J1 B - Butcher Terrace")&amp;":"&amp;ADDRESS(130,3+18*0+(6))),'J1 B - Butcher Terrace'!$A$12:$A$130,"&gt;="&amp;Diagram!$O24,'J1 B - Butcher Terrace'!$A$12:$A$130,"&lt;"&amp;Diagram!$P24),SUMIFS(INDIRECT(ADDRESS(12,3+18*0+(14),,,"J1 B - Butcher Terrace")&amp;":"&amp;ADDRESS(130,3+18*0+(14))),'J1 B - Butcher Terrace'!$A$12:$A$130,"&gt;="&amp;Diagram!$O24,'J1 B - Butcher Terrace'!$A$12:$A$130,"&lt;"&amp;Diagram!$P24)))</f>
        <v>0</v>
      </c>
      <c r="DX24" s="42">
        <f ca="1">IF(OR($I$10="",$O24="",$P24="",$J$41&lt;&gt;"Yes"),0,IF($K$10=0,SUMIFS(INDIRECT(ADDRESS(12,3+18*1+(6),,,"J1 B - Butcher Terrace")&amp;":"&amp;ADDRESS(130,3+18*1+(6))),'J1 B - Butcher Terrace'!$A$12:$A$130,"&gt;="&amp;Diagram!$O24,'J1 B - Butcher Terrace'!$A$12:$A$130,"&lt;"&amp;Diagram!$P24),SUMIFS(INDIRECT(ADDRESS(12,3+18*1+(14),,,"J1 B - Butcher Terrace")&amp;":"&amp;ADDRESS(130,3+18*1+(14))),'J1 B - Butcher Terrace'!$A$12:$A$130,"&gt;="&amp;Diagram!$O24,'J1 B - Butcher Terrace'!$A$12:$A$130,"&lt;"&amp;Diagram!$P24)))</f>
        <v>0</v>
      </c>
      <c r="DY24" s="42">
        <f ca="1">IF(OR($I$10="",$O24="",$P24="",$J$41&lt;&gt;"Yes"),0,IF($K$10=0,SUMIFS(INDIRECT(ADDRESS(12,3+18*1+(6),,,"J1 C - (South) Bishopthorpe Roa")&amp;":"&amp;ADDRESS(130,3+18*1+(6))),'J1 C - (South) Bishopthorpe Roa'!$A$12:$A$130,"&gt;="&amp;Diagram!$O24,'J1 C - (South) Bishopthorpe Roa'!$A$12:$A$130,"&lt;"&amp;Diagram!$P24),SUMIFS(INDIRECT(ADDRESS(12,3+18*1+(14),,,"J1 C - (South) Bishopthorpe Roa")&amp;":"&amp;ADDRESS(130,3+18*1+(14))),'J1 C - (South) Bishopthorpe Roa'!$A$12:$A$130,"&gt;="&amp;Diagram!$O24,'J1 C - (South) Bishopthorpe Roa'!$A$12:$A$130,"&lt;"&amp;Diagram!$P24)))</f>
        <v>0</v>
      </c>
      <c r="DZ24" s="42">
        <f ca="1">IF(OR($I$10="",$O24="",$P24="",$J$41&lt;&gt;"Yes"),0,IF($K$10=0,SUMIFS(INDIRECT(ADDRESS(12,3+18*2+(6),,,"J1 C - (South) Bishopthorpe Roa")&amp;":"&amp;ADDRESS(130,3+18*2+(6))),'J1 C - (South) Bishopthorpe Roa'!$A$12:$A$130,"&gt;="&amp;Diagram!$O24,'J1 C - (South) Bishopthorpe Roa'!$A$12:$A$130,"&lt;"&amp;Diagram!$P24),SUMIFS(INDIRECT(ADDRESS(12,3+18*2+(14),,,"J1 C - (South) Bishopthorpe Roa")&amp;":"&amp;ADDRESS(130,3+18*2+(14))),'J1 C - (South) Bishopthorpe Roa'!$A$12:$A$130,"&gt;="&amp;Diagram!$O24,'J1 C - (South) Bishopthorpe Roa'!$A$12:$A$130,"&lt;"&amp;Diagram!$P24)))</f>
        <v>0</v>
      </c>
      <c r="EA24" s="42">
        <f ca="1">IF(OR($I$10="",$O24="",$P24="",$J$41&lt;&gt;"Yes"),0,IF($K$10=0,SUMIFS(INDIRECT(ADDRESS(12,3+18*3+(6),,,"J1 C - (South) Bishopthorpe Roa")&amp;":"&amp;ADDRESS(130,3+18*3+(6))),'J1 C - (South) Bishopthorpe Roa'!$A$12:$A$130,"&gt;="&amp;Diagram!$O24,'J1 C - (South) Bishopthorpe Roa'!$A$12:$A$130,"&lt;"&amp;Diagram!$P24),SUMIFS(INDIRECT(ADDRESS(12,3+18*3+(14),,,"J1 C - (South) Bishopthorpe Roa")&amp;":"&amp;ADDRESS(130,3+18*3+(14))),'J1 C - (South) Bishopthorpe Roa'!$A$12:$A$130,"&gt;="&amp;Diagram!$O24,'J1 C - (South) Bishopthorpe Roa'!$A$12:$A$130,"&lt;"&amp;Diagram!$P24)))</f>
        <v>0</v>
      </c>
      <c r="EB24" s="42">
        <f ca="1">IF(OR($I$10="",$O24="",$P24="",$J$41&lt;&gt;"Yes"),0,IF($K$10=0,SUMIFS(INDIRECT(ADDRESS(12,3+18*0+(6),,,"J1 C - (South) Bishopthorpe Roa")&amp;":"&amp;ADDRESS(130,3+18*0+(6))),'J1 C - (South) Bishopthorpe Roa'!$A$12:$A$130,"&gt;="&amp;Diagram!$O24,'J1 C - (South) Bishopthorpe Roa'!$A$12:$A$130,"&lt;"&amp;Diagram!$P24),SUMIFS(INDIRECT(ADDRESS(12,3+18*0+(14),,,"J1 C - (South) Bishopthorpe Roa")&amp;":"&amp;ADDRESS(130,3+18*0+(14))),'J1 C - (South) Bishopthorpe Roa'!$A$12:$A$130,"&gt;="&amp;Diagram!$O24,'J1 C - (South) Bishopthorpe Roa'!$A$12:$A$130,"&lt;"&amp;Diagram!$P24)))</f>
        <v>0</v>
      </c>
      <c r="EC24" s="42">
        <f ca="1">IF(OR($I$10="",$O24="",$P24="",$J$41&lt;&gt;"Yes"),0,IF($K$10=0,SUMIFS(INDIRECT(ADDRESS(12,3+18*0+(6),,,"J1 D - South Bank Avenue")&amp;":"&amp;ADDRESS(130,3+18*0+(6))),'J1 D - South Bank Avenue'!$A$12:$A$130,"&gt;="&amp;Diagram!$O24,'J1 D - South Bank Avenue'!$A$12:$A$130,"&lt;"&amp;Diagram!$P24),SUMIFS(INDIRECT(ADDRESS(12,3+18*0+(14),,,"J1 D - South Bank Avenue")&amp;":"&amp;ADDRESS(130,3+18*0+(14))),'J1 D - South Bank Avenue'!$A$12:$A$130,"&gt;="&amp;Diagram!$O24,'J1 D - South Bank Avenue'!$A$12:$A$130,"&lt;"&amp;Diagram!$P24)))</f>
        <v>0</v>
      </c>
      <c r="ED24" s="42">
        <f ca="1">IF(OR($I$10="",$O24="",$P24="",$J$41&lt;&gt;"Yes"),0,IF($K$10=0,SUMIFS(INDIRECT(ADDRESS(12,3+18*1+(6),,,"J1 D - South Bank Avenue")&amp;":"&amp;ADDRESS(130,3+18*1+(6))),'J1 D - South Bank Avenue'!$A$12:$A$130,"&gt;="&amp;Diagram!$O24,'J1 D - South Bank Avenue'!$A$12:$A$130,"&lt;"&amp;Diagram!$P24),SUMIFS(INDIRECT(ADDRESS(12,3+18*1+(14),,,"J1 D - South Bank Avenue")&amp;":"&amp;ADDRESS(130,3+18*1+(14))),'J1 D - South Bank Avenue'!$A$12:$A$130,"&gt;="&amp;Diagram!$O24,'J1 D - South Bank Avenue'!$A$12:$A$130,"&lt;"&amp;Diagram!$P24)))</f>
        <v>0</v>
      </c>
      <c r="EE24" s="42">
        <f ca="1">IF(OR($I$10="",$O24="",$P24="",$J$41&lt;&gt;"Yes"),0,IF($K$10=0,SUMIFS(INDIRECT(ADDRESS(12,3+18*2+(6),,,"J1 D - South Bank Avenue")&amp;":"&amp;ADDRESS(130,3+18*2+(6))),'J1 D - South Bank Avenue'!$A$12:$A$130,"&gt;="&amp;Diagram!$O24,'J1 D - South Bank Avenue'!$A$12:$A$130,"&lt;"&amp;Diagram!$P24),SUMIFS(INDIRECT(ADDRESS(12,3+18*2+(14),,,"J1 D - South Bank Avenue")&amp;":"&amp;ADDRESS(130,3+18*2+(14))),'J1 D - South Bank Avenue'!$A$12:$A$130,"&gt;="&amp;Diagram!$O24,'J1 D - South Bank Avenue'!$A$12:$A$130,"&lt;"&amp;Diagram!$P24)))</f>
        <v>0</v>
      </c>
      <c r="EF24" s="42">
        <f ca="1">IF(OR($I$10="",$O24="",$P24="",$J$41&lt;&gt;"Yes"),0,IF($K$10=0,SUMIFS(INDIRECT(ADDRESS(12,3+18*3+(6),,,"J1 D - South Bank Avenue")&amp;":"&amp;ADDRESS(130,3+18*3+(6))),'J1 D - South Bank Avenue'!$A$12:$A$130,"&gt;="&amp;Diagram!$O24,'J1 D - South Bank Avenue'!$A$12:$A$130,"&lt;"&amp;Diagram!$P24),SUMIFS(INDIRECT(ADDRESS(12,3+18*3+(14),,,"J1 D - South Bank Avenue")&amp;":"&amp;ADDRESS(130,3+18*3+(14))),'J1 D - South Bank Avenue'!$A$12:$A$130,"&gt;="&amp;Diagram!$O24,'J1 D - South Bank Avenue'!$A$12:$A$130,"&lt;"&amp;Diagram!$P24)))</f>
        <v>0</v>
      </c>
      <c r="EG24" s="42">
        <f t="shared" ca="1" si="8"/>
        <v>0</v>
      </c>
      <c r="EH24" s="42">
        <f ca="1">IF(OR($I$10="",$O24="",$P24="",$J$42&lt;&gt;"Yes"),0,IF($K$10=0,SUMIFS(INDIRECT(ADDRESS(12,3+18*3+(7),,,"J1 A - (North) Bishopthorpe Roa")&amp;":"&amp;ADDRESS(130,3+18*3+(7))),'J1 A - (North) Bishopthorpe Roa'!$A$12:$A$130,"&gt;="&amp;Diagram!$O24,'J1 A - (North) Bishopthorpe Roa'!$A$12:$A$130,"&lt;"&amp;Diagram!$P24),SUMIFS(INDIRECT(ADDRESS(12,3+18*3+(15),,,"J1 A - (North) Bishopthorpe Roa")&amp;":"&amp;ADDRESS(130,3+18*3+(15))),'J1 A - (North) Bishopthorpe Roa'!$A$12:$A$130,"&gt;="&amp;Diagram!$O24,'J1 A - (North) Bishopthorpe Roa'!$A$12:$A$130,"&lt;"&amp;Diagram!$P24)))</f>
        <v>0</v>
      </c>
      <c r="EI24" s="42">
        <f ca="1">IF(OR($I$10="",$O24="",$P24="",$J$42&lt;&gt;"Yes"),0,IF($K$10=0,SUMIFS(INDIRECT(ADDRESS(12,3+18*0+(7),,,"J1 A - (North) Bishopthorpe Roa")&amp;":"&amp;ADDRESS(130,3+18*0+(7))),'J1 A - (North) Bishopthorpe Roa'!$A$12:$A$130,"&gt;="&amp;Diagram!$O24,'J1 A - (North) Bishopthorpe Roa'!$A$12:$A$130,"&lt;"&amp;Diagram!$P24),SUMIFS(INDIRECT(ADDRESS(12,3+18*0+(15),,,"J1 A - (North) Bishopthorpe Roa")&amp;":"&amp;ADDRESS(130,3+18*0+(15))),'J1 A - (North) Bishopthorpe Roa'!$A$12:$A$130,"&gt;="&amp;Diagram!$O24,'J1 A - (North) Bishopthorpe Roa'!$A$12:$A$130,"&lt;"&amp;Diagram!$P24)))</f>
        <v>0</v>
      </c>
      <c r="EJ24" s="42">
        <f ca="1">IF(OR($I$10="",$O24="",$P24="",$J$42&lt;&gt;"Yes"),0,IF($K$10=0,SUMIFS(INDIRECT(ADDRESS(12,3+18*1+(7),,,"J1 A - (North) Bishopthorpe Roa")&amp;":"&amp;ADDRESS(130,3+18*1+(7))),'J1 A - (North) Bishopthorpe Roa'!$A$12:$A$130,"&gt;="&amp;Diagram!$O24,'J1 A - (North) Bishopthorpe Roa'!$A$12:$A$130,"&lt;"&amp;Diagram!$P24),SUMIFS(INDIRECT(ADDRESS(12,3+18*1+(15),,,"J1 A - (North) Bishopthorpe Roa")&amp;":"&amp;ADDRESS(130,3+18*1+(15))),'J1 A - (North) Bishopthorpe Roa'!$A$12:$A$130,"&gt;="&amp;Diagram!$O24,'J1 A - (North) Bishopthorpe Roa'!$A$12:$A$130,"&lt;"&amp;Diagram!$P24)))</f>
        <v>0</v>
      </c>
      <c r="EK24" s="42">
        <f ca="1">IF(OR($I$10="",$O24="",$P24="",$J$42&lt;&gt;"Yes"),0,IF($K$10=0,SUMIFS(INDIRECT(ADDRESS(12,3+18*2+(7),,,"J1 A - (North) Bishopthorpe Roa")&amp;":"&amp;ADDRESS(130,3+18*2+(7))),'J1 A - (North) Bishopthorpe Roa'!$A$12:$A$130,"&gt;="&amp;Diagram!$O24,'J1 A - (North) Bishopthorpe Roa'!$A$12:$A$130,"&lt;"&amp;Diagram!$P24),SUMIFS(INDIRECT(ADDRESS(12,3+18*2+(15),,,"J1 A - (North) Bishopthorpe Roa")&amp;":"&amp;ADDRESS(130,3+18*2+(15))),'J1 A - (North) Bishopthorpe Roa'!$A$12:$A$130,"&gt;="&amp;Diagram!$O24,'J1 A - (North) Bishopthorpe Roa'!$A$12:$A$130,"&lt;"&amp;Diagram!$P24)))</f>
        <v>0</v>
      </c>
      <c r="EL24" s="42">
        <f ca="1">IF(OR($I$10="",$O24="",$P24="",$J$42&lt;&gt;"Yes"),0,IF($K$10=0,SUMIFS(INDIRECT(ADDRESS(12,3+18*2+(7),,,"J1 B - Butcher Terrace")&amp;":"&amp;ADDRESS(130,3+18*2+(7))),'J1 B - Butcher Terrace'!$A$12:$A$130,"&gt;="&amp;Diagram!$O24,'J1 B - Butcher Terrace'!$A$12:$A$130,"&lt;"&amp;Diagram!$P24),SUMIFS(INDIRECT(ADDRESS(12,3+18*2+(15),,,"J1 B - Butcher Terrace")&amp;":"&amp;ADDRESS(130,3+18*2+(15))),'J1 B - Butcher Terrace'!$A$12:$A$130,"&gt;="&amp;Diagram!$O24,'J1 B - Butcher Terrace'!$A$12:$A$130,"&lt;"&amp;Diagram!$P24)))</f>
        <v>0</v>
      </c>
      <c r="EM24" s="42">
        <f ca="1">IF(OR($I$10="",$O24="",$P24="",$J$42&lt;&gt;"Yes"),0,IF($K$10=0,SUMIFS(INDIRECT(ADDRESS(12,3+18*3+(7),,,"J1 B - Butcher Terrace")&amp;":"&amp;ADDRESS(130,3+18*3+(7))),'J1 B - Butcher Terrace'!$A$12:$A$130,"&gt;="&amp;Diagram!$O24,'J1 B - Butcher Terrace'!$A$12:$A$130,"&lt;"&amp;Diagram!$P24),SUMIFS(INDIRECT(ADDRESS(12,3+18*3+(15),,,"J1 B - Butcher Terrace")&amp;":"&amp;ADDRESS(130,3+18*3+(15))),'J1 B - Butcher Terrace'!$A$12:$A$130,"&gt;="&amp;Diagram!$O24,'J1 B - Butcher Terrace'!$A$12:$A$130,"&lt;"&amp;Diagram!$P24)))</f>
        <v>0</v>
      </c>
      <c r="EN24" s="42">
        <f ca="1">IF(OR($I$10="",$O24="",$P24="",$J$42&lt;&gt;"Yes"),0,IF($K$10=0,SUMIFS(INDIRECT(ADDRESS(12,3+18*0+(7),,,"J1 B - Butcher Terrace")&amp;":"&amp;ADDRESS(130,3+18*0+(7))),'J1 B - Butcher Terrace'!$A$12:$A$130,"&gt;="&amp;Diagram!$O24,'J1 B - Butcher Terrace'!$A$12:$A$130,"&lt;"&amp;Diagram!$P24),SUMIFS(INDIRECT(ADDRESS(12,3+18*0+(15),,,"J1 B - Butcher Terrace")&amp;":"&amp;ADDRESS(130,3+18*0+(15))),'J1 B - Butcher Terrace'!$A$12:$A$130,"&gt;="&amp;Diagram!$O24,'J1 B - Butcher Terrace'!$A$12:$A$130,"&lt;"&amp;Diagram!$P24)))</f>
        <v>0</v>
      </c>
      <c r="EO24" s="42">
        <f ca="1">IF(OR($I$10="",$O24="",$P24="",$J$42&lt;&gt;"Yes"),0,IF($K$10=0,SUMIFS(INDIRECT(ADDRESS(12,3+18*1+(7),,,"J1 B - Butcher Terrace")&amp;":"&amp;ADDRESS(130,3+18*1+(7))),'J1 B - Butcher Terrace'!$A$12:$A$130,"&gt;="&amp;Diagram!$O24,'J1 B - Butcher Terrace'!$A$12:$A$130,"&lt;"&amp;Diagram!$P24),SUMIFS(INDIRECT(ADDRESS(12,3+18*1+(15),,,"J1 B - Butcher Terrace")&amp;":"&amp;ADDRESS(130,3+18*1+(15))),'J1 B - Butcher Terrace'!$A$12:$A$130,"&gt;="&amp;Diagram!$O24,'J1 B - Butcher Terrace'!$A$12:$A$130,"&lt;"&amp;Diagram!$P24)))</f>
        <v>0</v>
      </c>
      <c r="EP24" s="42">
        <f ca="1">IF(OR($I$10="",$O24="",$P24="",$J$42&lt;&gt;"Yes"),0,IF($K$10=0,SUMIFS(INDIRECT(ADDRESS(12,3+18*1+(7),,,"J1 C - (South) Bishopthorpe Roa")&amp;":"&amp;ADDRESS(130,3+18*1+(7))),'J1 C - (South) Bishopthorpe Roa'!$A$12:$A$130,"&gt;="&amp;Diagram!$O24,'J1 C - (South) Bishopthorpe Roa'!$A$12:$A$130,"&lt;"&amp;Diagram!$P24),SUMIFS(INDIRECT(ADDRESS(12,3+18*1+(15),,,"J1 C - (South) Bishopthorpe Roa")&amp;":"&amp;ADDRESS(130,3+18*1+(15))),'J1 C - (South) Bishopthorpe Roa'!$A$12:$A$130,"&gt;="&amp;Diagram!$O24,'J1 C - (South) Bishopthorpe Roa'!$A$12:$A$130,"&lt;"&amp;Diagram!$P24)))</f>
        <v>0</v>
      </c>
      <c r="EQ24" s="42">
        <f ca="1">IF(OR($I$10="",$O24="",$P24="",$J$42&lt;&gt;"Yes"),0,IF($K$10=0,SUMIFS(INDIRECT(ADDRESS(12,3+18*2+(7),,,"J1 C - (South) Bishopthorpe Roa")&amp;":"&amp;ADDRESS(130,3+18*2+(7))),'J1 C - (South) Bishopthorpe Roa'!$A$12:$A$130,"&gt;="&amp;Diagram!$O24,'J1 C - (South) Bishopthorpe Roa'!$A$12:$A$130,"&lt;"&amp;Diagram!$P24),SUMIFS(INDIRECT(ADDRESS(12,3+18*2+(15),,,"J1 C - (South) Bishopthorpe Roa")&amp;":"&amp;ADDRESS(130,3+18*2+(15))),'J1 C - (South) Bishopthorpe Roa'!$A$12:$A$130,"&gt;="&amp;Diagram!$O24,'J1 C - (South) Bishopthorpe Roa'!$A$12:$A$130,"&lt;"&amp;Diagram!$P24)))</f>
        <v>0</v>
      </c>
      <c r="ER24" s="42">
        <f ca="1">IF(OR($I$10="",$O24="",$P24="",$J$42&lt;&gt;"Yes"),0,IF($K$10=0,SUMIFS(INDIRECT(ADDRESS(12,3+18*3+(7),,,"J1 C - (South) Bishopthorpe Roa")&amp;":"&amp;ADDRESS(130,3+18*3+(7))),'J1 C - (South) Bishopthorpe Roa'!$A$12:$A$130,"&gt;="&amp;Diagram!$O24,'J1 C - (South) Bishopthorpe Roa'!$A$12:$A$130,"&lt;"&amp;Diagram!$P24),SUMIFS(INDIRECT(ADDRESS(12,3+18*3+(15),,,"J1 C - (South) Bishopthorpe Roa")&amp;":"&amp;ADDRESS(130,3+18*3+(15))),'J1 C - (South) Bishopthorpe Roa'!$A$12:$A$130,"&gt;="&amp;Diagram!$O24,'J1 C - (South) Bishopthorpe Roa'!$A$12:$A$130,"&lt;"&amp;Diagram!$P24)))</f>
        <v>0</v>
      </c>
      <c r="ES24" s="42">
        <f ca="1">IF(OR($I$10="",$O24="",$P24="",$J$42&lt;&gt;"Yes"),0,IF($K$10=0,SUMIFS(INDIRECT(ADDRESS(12,3+18*0+(7),,,"J1 C - (South) Bishopthorpe Roa")&amp;":"&amp;ADDRESS(130,3+18*0+(7))),'J1 C - (South) Bishopthorpe Roa'!$A$12:$A$130,"&gt;="&amp;Diagram!$O24,'J1 C - (South) Bishopthorpe Roa'!$A$12:$A$130,"&lt;"&amp;Diagram!$P24),SUMIFS(INDIRECT(ADDRESS(12,3+18*0+(15),,,"J1 C - (South) Bishopthorpe Roa")&amp;":"&amp;ADDRESS(130,3+18*0+(15))),'J1 C - (South) Bishopthorpe Roa'!$A$12:$A$130,"&gt;="&amp;Diagram!$O24,'J1 C - (South) Bishopthorpe Roa'!$A$12:$A$130,"&lt;"&amp;Diagram!$P24)))</f>
        <v>0</v>
      </c>
      <c r="ET24" s="42">
        <f ca="1">IF(OR($I$10="",$O24="",$P24="",$J$42&lt;&gt;"Yes"),0,IF($K$10=0,SUMIFS(INDIRECT(ADDRESS(12,3+18*0+(7),,,"J1 D - South Bank Avenue")&amp;":"&amp;ADDRESS(130,3+18*0+(7))),'J1 D - South Bank Avenue'!$A$12:$A$130,"&gt;="&amp;Diagram!$O24,'J1 D - South Bank Avenue'!$A$12:$A$130,"&lt;"&amp;Diagram!$P24),SUMIFS(INDIRECT(ADDRESS(12,3+18*0+(15),,,"J1 D - South Bank Avenue")&amp;":"&amp;ADDRESS(130,3+18*0+(15))),'J1 D - South Bank Avenue'!$A$12:$A$130,"&gt;="&amp;Diagram!$O24,'J1 D - South Bank Avenue'!$A$12:$A$130,"&lt;"&amp;Diagram!$P24)))</f>
        <v>0</v>
      </c>
      <c r="EU24" s="42">
        <f ca="1">IF(OR($I$10="",$O24="",$P24="",$J$42&lt;&gt;"Yes"),0,IF($K$10=0,SUMIFS(INDIRECT(ADDRESS(12,3+18*1+(7),,,"J1 D - South Bank Avenue")&amp;":"&amp;ADDRESS(130,3+18*1+(7))),'J1 D - South Bank Avenue'!$A$12:$A$130,"&gt;="&amp;Diagram!$O24,'J1 D - South Bank Avenue'!$A$12:$A$130,"&lt;"&amp;Diagram!$P24),SUMIFS(INDIRECT(ADDRESS(12,3+18*1+(15),,,"J1 D - South Bank Avenue")&amp;":"&amp;ADDRESS(130,3+18*1+(15))),'J1 D - South Bank Avenue'!$A$12:$A$130,"&gt;="&amp;Diagram!$O24,'J1 D - South Bank Avenue'!$A$12:$A$130,"&lt;"&amp;Diagram!$P24)))</f>
        <v>0</v>
      </c>
      <c r="EV24" s="42">
        <f ca="1">IF(OR($I$10="",$O24="",$P24="",$J$42&lt;&gt;"Yes"),0,IF($K$10=0,SUMIFS(INDIRECT(ADDRESS(12,3+18*2+(7),,,"J1 D - South Bank Avenue")&amp;":"&amp;ADDRESS(130,3+18*2+(7))),'J1 D - South Bank Avenue'!$A$12:$A$130,"&gt;="&amp;Diagram!$O24,'J1 D - South Bank Avenue'!$A$12:$A$130,"&lt;"&amp;Diagram!$P24),SUMIFS(INDIRECT(ADDRESS(12,3+18*2+(15),,,"J1 D - South Bank Avenue")&amp;":"&amp;ADDRESS(130,3+18*2+(15))),'J1 D - South Bank Avenue'!$A$12:$A$130,"&gt;="&amp;Diagram!$O24,'J1 D - South Bank Avenue'!$A$12:$A$130,"&lt;"&amp;Diagram!$P24)))</f>
        <v>0</v>
      </c>
      <c r="EW24" s="42">
        <f ca="1">IF(OR($I$10="",$O24="",$P24="",$J$42&lt;&gt;"Yes"),0,IF($K$10=0,SUMIFS(INDIRECT(ADDRESS(12,3+18*3+(7),,,"J1 D - South Bank Avenue")&amp;":"&amp;ADDRESS(130,3+18*3+(7))),'J1 D - South Bank Avenue'!$A$12:$A$130,"&gt;="&amp;Diagram!$O24,'J1 D - South Bank Avenue'!$A$12:$A$130,"&lt;"&amp;Diagram!$P24),SUMIFS(INDIRECT(ADDRESS(12,3+18*3+(15),,,"J1 D - South Bank Avenue")&amp;":"&amp;ADDRESS(130,3+18*3+(15))),'J1 D - South Bank Avenue'!$A$12:$A$130,"&gt;="&amp;Diagram!$O24,'J1 D - South Bank Avenue'!$A$12:$A$130,"&lt;"&amp;Diagram!$P24)))</f>
        <v>0</v>
      </c>
    </row>
    <row r="25" spans="1:153" ht="21" customHeight="1">
      <c r="A25" s="1">
        <v>44395.25</v>
      </c>
      <c r="B25" s="1">
        <v>44395.260416666701</v>
      </c>
      <c r="G25" s="110"/>
      <c r="H25" s="10" t="s">
        <v>160</v>
      </c>
      <c r="I25" s="24">
        <f ca="1">SUM($R$102,$Z$102,$AH$102,$AP$102,$AX$102,$BF$102,$BN$102,$BV$102)</f>
        <v>496</v>
      </c>
      <c r="J25" s="24">
        <f ca="1">SUM($S$102,$AA$102,$AI$102,$AQ$102,$AY$102,$BG$102,$BO$102,$BW$102)</f>
        <v>264</v>
      </c>
      <c r="K25" s="24">
        <f ca="1">SUM($T$102,$AB$102,$AJ$102,$AR$102,$AZ$102,$BH$102,$BP$102,$BX$102)</f>
        <v>121</v>
      </c>
      <c r="L25" s="20">
        <f ca="1">SUM($U$102,$AC$102,$AK$102,$AS$102,$BA$102,$BI$102,$BQ$102,$BY$102)</f>
        <v>0</v>
      </c>
      <c r="M25" s="27">
        <f ca="1">SUM($I$25:$L$25)</f>
        <v>881</v>
      </c>
      <c r="N25" s="28">
        <f ca="1">IF($M$31=0,0,$M$25/$M$31)</f>
        <v>1</v>
      </c>
      <c r="O25" s="3">
        <v>44395.25</v>
      </c>
      <c r="P25" s="3">
        <v>44395.291666666701</v>
      </c>
      <c r="Q25" s="42">
        <f t="shared" ca="1" si="0"/>
        <v>140</v>
      </c>
      <c r="R25" s="42">
        <f t="shared" ca="1" si="1"/>
        <v>95</v>
      </c>
      <c r="S25" s="42">
        <f ca="1">IF(OR($I$10="",$O25="",$P25="",$J$35&lt;&gt;"Yes"),0,IF($K$10=0,SUMIFS(INDIRECT(ADDRESS(12,3+18*3+(0),,,"J1 A - (North) Bishopthorpe Roa")&amp;":"&amp;ADDRESS(130,3+18*3+(0))),'J1 A - (North) Bishopthorpe Roa'!$A$12:$A$130,"&gt;="&amp;Diagram!$O25,'J1 A - (North) Bishopthorpe Roa'!$A$12:$A$130,"&lt;"&amp;Diagram!$P25),SUMIFS(INDIRECT(ADDRESS(12,3+18*3+(8),,,"J1 A - (North) Bishopthorpe Roa")&amp;":"&amp;ADDRESS(130,3+18*3+(8))),'J1 A - (North) Bishopthorpe Roa'!$A$12:$A$130,"&gt;="&amp;Diagram!$O25,'J1 A - (North) Bishopthorpe Roa'!$A$12:$A$130,"&lt;"&amp;Diagram!$P25)))</f>
        <v>0</v>
      </c>
      <c r="T25" s="42">
        <f ca="1">IF(OR($I$10="",$O25="",$P25="",$J$35&lt;&gt;"Yes"),0,IF($K$10=0,SUMIFS(INDIRECT(ADDRESS(12,3+18*0+(0),,,"J1 A - (North) Bishopthorpe Roa")&amp;":"&amp;ADDRESS(130,3+18*0+(0))),'J1 A - (North) Bishopthorpe Roa'!$A$12:$A$130,"&gt;="&amp;Diagram!$O25,'J1 A - (North) Bishopthorpe Roa'!$A$12:$A$130,"&lt;"&amp;Diagram!$P25),SUMIFS(INDIRECT(ADDRESS(12,3+18*0+(8),,,"J1 A - (North) Bishopthorpe Roa")&amp;":"&amp;ADDRESS(130,3+18*0+(8))),'J1 A - (North) Bishopthorpe Roa'!$A$12:$A$130,"&gt;="&amp;Diagram!$O25,'J1 A - (North) Bishopthorpe Roa'!$A$12:$A$130,"&lt;"&amp;Diagram!$P25)))</f>
        <v>1</v>
      </c>
      <c r="U25" s="42">
        <f ca="1">IF(OR($I$10="",$O25="",$P25="",$J$35&lt;&gt;"Yes"),0,IF($K$10=0,SUMIFS(INDIRECT(ADDRESS(12,3+18*1+(0),,,"J1 A - (North) Bishopthorpe Roa")&amp;":"&amp;ADDRESS(130,3+18*1+(0))),'J1 A - (North) Bishopthorpe Roa'!$A$12:$A$130,"&gt;="&amp;Diagram!$O25,'J1 A - (North) Bishopthorpe Roa'!$A$12:$A$130,"&lt;"&amp;Diagram!$P25),SUMIFS(INDIRECT(ADDRESS(12,3+18*1+(8),,,"J1 A - (North) Bishopthorpe Roa")&amp;":"&amp;ADDRESS(130,3+18*1+(8))),'J1 A - (North) Bishopthorpe Roa'!$A$12:$A$130,"&gt;="&amp;Diagram!$O25,'J1 A - (North) Bishopthorpe Roa'!$A$12:$A$130,"&lt;"&amp;Diagram!$P25)))</f>
        <v>29</v>
      </c>
      <c r="V25" s="42">
        <f ca="1">IF(OR($I$10="",$O25="",$P25="",$J$35&lt;&gt;"Yes"),0,IF($K$10=0,SUMIFS(INDIRECT(ADDRESS(12,3+18*2+(0),,,"J1 A - (North) Bishopthorpe Roa")&amp;":"&amp;ADDRESS(130,3+18*2+(0))),'J1 A - (North) Bishopthorpe Roa'!$A$12:$A$130,"&gt;="&amp;Diagram!$O25,'J1 A - (North) Bishopthorpe Roa'!$A$12:$A$130,"&lt;"&amp;Diagram!$P25),SUMIFS(INDIRECT(ADDRESS(12,3+18*2+(8),,,"J1 A - (North) Bishopthorpe Roa")&amp;":"&amp;ADDRESS(130,3+18*2+(8))),'J1 A - (North) Bishopthorpe Roa'!$A$12:$A$130,"&gt;="&amp;Diagram!$O25,'J1 A - (North) Bishopthorpe Roa'!$A$12:$A$130,"&lt;"&amp;Diagram!$P25)))</f>
        <v>1</v>
      </c>
      <c r="W25" s="42">
        <f ca="1">IF(OR($I$10="",$O25="",$P25="",$J$35&lt;&gt;"Yes"),0,IF($K$10=0,SUMIFS(INDIRECT(ADDRESS(12,3+18*2+(0),,,"J1 B - Butcher Terrace")&amp;":"&amp;ADDRESS(130,3+18*2+(0))),'J1 B - Butcher Terrace'!$A$12:$A$130,"&gt;="&amp;Diagram!$O25,'J1 B - Butcher Terrace'!$A$12:$A$130,"&lt;"&amp;Diagram!$P25),SUMIFS(INDIRECT(ADDRESS(12,3+18*2+(8),,,"J1 B - Butcher Terrace")&amp;":"&amp;ADDRESS(130,3+18*2+(8))),'J1 B - Butcher Terrace'!$A$12:$A$130,"&gt;="&amp;Diagram!$O25,'J1 B - Butcher Terrace'!$A$12:$A$130,"&lt;"&amp;Diagram!$P25)))</f>
        <v>4</v>
      </c>
      <c r="X25" s="42">
        <f ca="1">IF(OR($I$10="",$O25="",$P25="",$J$35&lt;&gt;"Yes"),0,IF($K$10=0,SUMIFS(INDIRECT(ADDRESS(12,3+18*3+(0),,,"J1 B - Butcher Terrace")&amp;":"&amp;ADDRESS(130,3+18*3+(0))),'J1 B - Butcher Terrace'!$A$12:$A$130,"&gt;="&amp;Diagram!$O25,'J1 B - Butcher Terrace'!$A$12:$A$130,"&lt;"&amp;Diagram!$P25),SUMIFS(INDIRECT(ADDRESS(12,3+18*3+(8),,,"J1 B - Butcher Terrace")&amp;":"&amp;ADDRESS(130,3+18*3+(8))),'J1 B - Butcher Terrace'!$A$12:$A$130,"&gt;="&amp;Diagram!$O25,'J1 B - Butcher Terrace'!$A$12:$A$130,"&lt;"&amp;Diagram!$P25)))</f>
        <v>0</v>
      </c>
      <c r="Y25" s="42">
        <f ca="1">IF(OR($I$10="",$O25="",$P25="",$J$35&lt;&gt;"Yes"),0,IF($K$10=0,SUMIFS(INDIRECT(ADDRESS(12,3+18*0+(0),,,"J1 B - Butcher Terrace")&amp;":"&amp;ADDRESS(130,3+18*0+(0))),'J1 B - Butcher Terrace'!$A$12:$A$130,"&gt;="&amp;Diagram!$O25,'J1 B - Butcher Terrace'!$A$12:$A$130,"&lt;"&amp;Diagram!$P25),SUMIFS(INDIRECT(ADDRESS(12,3+18*0+(8),,,"J1 B - Butcher Terrace")&amp;":"&amp;ADDRESS(130,3+18*0+(8))),'J1 B - Butcher Terrace'!$A$12:$A$130,"&gt;="&amp;Diagram!$O25,'J1 B - Butcher Terrace'!$A$12:$A$130,"&lt;"&amp;Diagram!$P25)))</f>
        <v>3</v>
      </c>
      <c r="Z25" s="42">
        <f ca="1">IF(OR($I$10="",$O25="",$P25="",$J$35&lt;&gt;"Yes"),0,IF($K$10=0,SUMIFS(INDIRECT(ADDRESS(12,3+18*1+(0),,,"J1 B - Butcher Terrace")&amp;":"&amp;ADDRESS(130,3+18*1+(0))),'J1 B - Butcher Terrace'!$A$12:$A$130,"&gt;="&amp;Diagram!$O25,'J1 B - Butcher Terrace'!$A$12:$A$130,"&lt;"&amp;Diagram!$P25),SUMIFS(INDIRECT(ADDRESS(12,3+18*1+(8),,,"J1 B - Butcher Terrace")&amp;":"&amp;ADDRESS(130,3+18*1+(8))),'J1 B - Butcher Terrace'!$A$12:$A$130,"&gt;="&amp;Diagram!$O25,'J1 B - Butcher Terrace'!$A$12:$A$130,"&lt;"&amp;Diagram!$P25)))</f>
        <v>0</v>
      </c>
      <c r="AA25" s="42">
        <f ca="1">IF(OR($I$10="",$O25="",$P25="",$J$35&lt;&gt;"Yes"),0,IF($K$10=0,SUMIFS(INDIRECT(ADDRESS(12,3+18*1+(0),,,"J1 C - (South) Bishopthorpe Roa")&amp;":"&amp;ADDRESS(130,3+18*1+(0))),'J1 C - (South) Bishopthorpe Roa'!$A$12:$A$130,"&gt;="&amp;Diagram!$O25,'J1 C - (South) Bishopthorpe Roa'!$A$12:$A$130,"&lt;"&amp;Diagram!$P25),SUMIFS(INDIRECT(ADDRESS(12,3+18*1+(8),,,"J1 C - (South) Bishopthorpe Roa")&amp;":"&amp;ADDRESS(130,3+18*1+(8))),'J1 C - (South) Bishopthorpe Roa'!$A$12:$A$130,"&gt;="&amp;Diagram!$O25,'J1 C - (South) Bishopthorpe Roa'!$A$12:$A$130,"&lt;"&amp;Diagram!$P25)))</f>
        <v>45</v>
      </c>
      <c r="AB25" s="42">
        <f ca="1">IF(OR($I$10="",$O25="",$P25="",$J$35&lt;&gt;"Yes"),0,IF($K$10=0,SUMIFS(INDIRECT(ADDRESS(12,3+18*2+(0),,,"J1 C - (South) Bishopthorpe Roa")&amp;":"&amp;ADDRESS(130,3+18*2+(0))),'J1 C - (South) Bishopthorpe Roa'!$A$12:$A$130,"&gt;="&amp;Diagram!$O25,'J1 C - (South) Bishopthorpe Roa'!$A$12:$A$130,"&lt;"&amp;Diagram!$P25),SUMIFS(INDIRECT(ADDRESS(12,3+18*2+(8),,,"J1 C - (South) Bishopthorpe Roa")&amp;":"&amp;ADDRESS(130,3+18*2+(8))),'J1 C - (South) Bishopthorpe Roa'!$A$12:$A$130,"&gt;="&amp;Diagram!$O25,'J1 C - (South) Bishopthorpe Roa'!$A$12:$A$130,"&lt;"&amp;Diagram!$P25)))</f>
        <v>1</v>
      </c>
      <c r="AC25" s="42">
        <f ca="1">IF(OR($I$10="",$O25="",$P25="",$J$35&lt;&gt;"Yes"),0,IF($K$10=0,SUMIFS(INDIRECT(ADDRESS(12,3+18*3+(0),,,"J1 C - (South) Bishopthorpe Roa")&amp;":"&amp;ADDRESS(130,3+18*3+(0))),'J1 C - (South) Bishopthorpe Roa'!$A$12:$A$130,"&gt;="&amp;Diagram!$O25,'J1 C - (South) Bishopthorpe Roa'!$A$12:$A$130,"&lt;"&amp;Diagram!$P25),SUMIFS(INDIRECT(ADDRESS(12,3+18*3+(8),,,"J1 C - (South) Bishopthorpe Roa")&amp;":"&amp;ADDRESS(130,3+18*3+(8))),'J1 C - (South) Bishopthorpe Roa'!$A$12:$A$130,"&gt;="&amp;Diagram!$O25,'J1 C - (South) Bishopthorpe Roa'!$A$12:$A$130,"&lt;"&amp;Diagram!$P25)))</f>
        <v>1</v>
      </c>
      <c r="AD25" s="42">
        <f ca="1">IF(OR($I$10="",$O25="",$P25="",$J$35&lt;&gt;"Yes"),0,IF($K$10=0,SUMIFS(INDIRECT(ADDRESS(12,3+18*0+(0),,,"J1 C - (South) Bishopthorpe Roa")&amp;":"&amp;ADDRESS(130,3+18*0+(0))),'J1 C - (South) Bishopthorpe Roa'!$A$12:$A$130,"&gt;="&amp;Diagram!$O25,'J1 C - (South) Bishopthorpe Roa'!$A$12:$A$130,"&lt;"&amp;Diagram!$P25),SUMIFS(INDIRECT(ADDRESS(12,3+18*0+(8),,,"J1 C - (South) Bishopthorpe Roa")&amp;":"&amp;ADDRESS(130,3+18*0+(8))),'J1 C - (South) Bishopthorpe Roa'!$A$12:$A$130,"&gt;="&amp;Diagram!$O25,'J1 C - (South) Bishopthorpe Roa'!$A$12:$A$130,"&lt;"&amp;Diagram!$P25)))</f>
        <v>0</v>
      </c>
      <c r="AE25" s="42">
        <f ca="1">IF(OR($I$10="",$O25="",$P25="",$J$35&lt;&gt;"Yes"),0,IF($K$10=0,SUMIFS(INDIRECT(ADDRESS(12,3+18*0+(0),,,"J1 D - South Bank Avenue")&amp;":"&amp;ADDRESS(130,3+18*0+(0))),'J1 D - South Bank Avenue'!$A$12:$A$130,"&gt;="&amp;Diagram!$O25,'J1 D - South Bank Avenue'!$A$12:$A$130,"&lt;"&amp;Diagram!$P25),SUMIFS(INDIRECT(ADDRESS(12,3+18*0+(8),,,"J1 D - South Bank Avenue")&amp;":"&amp;ADDRESS(130,3+18*0+(8))),'J1 D - South Bank Avenue'!$A$12:$A$130,"&gt;="&amp;Diagram!$O25,'J1 D - South Bank Avenue'!$A$12:$A$130,"&lt;"&amp;Diagram!$P25)))</f>
        <v>8</v>
      </c>
      <c r="AF25" s="42">
        <f ca="1">IF(OR($I$10="",$O25="",$P25="",$J$35&lt;&gt;"Yes"),0,IF($K$10=0,SUMIFS(INDIRECT(ADDRESS(12,3+18*1+(0),,,"J1 D - South Bank Avenue")&amp;":"&amp;ADDRESS(130,3+18*1+(0))),'J1 D - South Bank Avenue'!$A$12:$A$130,"&gt;="&amp;Diagram!$O25,'J1 D - South Bank Avenue'!$A$12:$A$130,"&lt;"&amp;Diagram!$P25),SUMIFS(INDIRECT(ADDRESS(12,3+18*1+(8),,,"J1 D - South Bank Avenue")&amp;":"&amp;ADDRESS(130,3+18*1+(8))),'J1 D - South Bank Avenue'!$A$12:$A$130,"&gt;="&amp;Diagram!$O25,'J1 D - South Bank Avenue'!$A$12:$A$130,"&lt;"&amp;Diagram!$P25)))</f>
        <v>0</v>
      </c>
      <c r="AG25" s="42">
        <f ca="1">IF(OR($I$10="",$O25="",$P25="",$J$35&lt;&gt;"Yes"),0,IF($K$10=0,SUMIFS(INDIRECT(ADDRESS(12,3+18*2+(0),,,"J1 D - South Bank Avenue")&amp;":"&amp;ADDRESS(130,3+18*2+(0))),'J1 D - South Bank Avenue'!$A$12:$A$130,"&gt;="&amp;Diagram!$O25,'J1 D - South Bank Avenue'!$A$12:$A$130,"&lt;"&amp;Diagram!$P25),SUMIFS(INDIRECT(ADDRESS(12,3+18*2+(8),,,"J1 D - South Bank Avenue")&amp;":"&amp;ADDRESS(130,3+18*2+(8))),'J1 D - South Bank Avenue'!$A$12:$A$130,"&gt;="&amp;Diagram!$O25,'J1 D - South Bank Avenue'!$A$12:$A$130,"&lt;"&amp;Diagram!$P25)))</f>
        <v>2</v>
      </c>
      <c r="AH25" s="42">
        <f ca="1">IF(OR($I$10="",$O25="",$P25="",$J$35&lt;&gt;"Yes"),0,IF($K$10=0,SUMIFS(INDIRECT(ADDRESS(12,3+18*3+(0),,,"J1 D - South Bank Avenue")&amp;":"&amp;ADDRESS(130,3+18*3+(0))),'J1 D - South Bank Avenue'!$A$12:$A$130,"&gt;="&amp;Diagram!$O25,'J1 D - South Bank Avenue'!$A$12:$A$130,"&lt;"&amp;Diagram!$P25),SUMIFS(INDIRECT(ADDRESS(12,3+18*3+(8),,,"J1 D - South Bank Avenue")&amp;":"&amp;ADDRESS(130,3+18*3+(8))),'J1 D - South Bank Avenue'!$A$12:$A$130,"&gt;="&amp;Diagram!$O25,'J1 D - South Bank Avenue'!$A$12:$A$130,"&lt;"&amp;Diagram!$P25)))</f>
        <v>0</v>
      </c>
      <c r="AI25" s="42">
        <f t="shared" ca="1" si="2"/>
        <v>11</v>
      </c>
      <c r="AJ25" s="42">
        <f ca="1">IF(OR($I$10="",$O25="",$P25="",$J$36&lt;&gt;"Yes"),0,IF($K$10=0,SUMIFS(INDIRECT(ADDRESS(12,3+18*3+(1),,,"J1 A - (North) Bishopthorpe Roa")&amp;":"&amp;ADDRESS(130,3+18*3+(1))),'J1 A - (North) Bishopthorpe Roa'!$A$12:$A$130,"&gt;="&amp;Diagram!$O25,'J1 A - (North) Bishopthorpe Roa'!$A$12:$A$130,"&lt;"&amp;Diagram!$P25),SUMIFS(INDIRECT(ADDRESS(12,3+18*3+(9),,,"J1 A - (North) Bishopthorpe Roa")&amp;":"&amp;ADDRESS(130,3+18*3+(9))),'J1 A - (North) Bishopthorpe Roa'!$A$12:$A$130,"&gt;="&amp;Diagram!$O25,'J1 A - (North) Bishopthorpe Roa'!$A$12:$A$130,"&lt;"&amp;Diagram!$P25)))</f>
        <v>0</v>
      </c>
      <c r="AK25" s="42">
        <f ca="1">IF(OR($I$10="",$O25="",$P25="",$J$36&lt;&gt;"Yes"),0,IF($K$10=0,SUMIFS(INDIRECT(ADDRESS(12,3+18*0+(1),,,"J1 A - (North) Bishopthorpe Roa")&amp;":"&amp;ADDRESS(130,3+18*0+(1))),'J1 A - (North) Bishopthorpe Roa'!$A$12:$A$130,"&gt;="&amp;Diagram!$O25,'J1 A - (North) Bishopthorpe Roa'!$A$12:$A$130,"&lt;"&amp;Diagram!$P25),SUMIFS(INDIRECT(ADDRESS(12,3+18*0+(9),,,"J1 A - (North) Bishopthorpe Roa")&amp;":"&amp;ADDRESS(130,3+18*0+(9))),'J1 A - (North) Bishopthorpe Roa'!$A$12:$A$130,"&gt;="&amp;Diagram!$O25,'J1 A - (North) Bishopthorpe Roa'!$A$12:$A$130,"&lt;"&amp;Diagram!$P25)))</f>
        <v>1</v>
      </c>
      <c r="AL25" s="42">
        <f ca="1">IF(OR($I$10="",$O25="",$P25="",$J$36&lt;&gt;"Yes"),0,IF($K$10=0,SUMIFS(INDIRECT(ADDRESS(12,3+18*1+(1),,,"J1 A - (North) Bishopthorpe Roa")&amp;":"&amp;ADDRESS(130,3+18*1+(1))),'J1 A - (North) Bishopthorpe Roa'!$A$12:$A$130,"&gt;="&amp;Diagram!$O25,'J1 A - (North) Bishopthorpe Roa'!$A$12:$A$130,"&lt;"&amp;Diagram!$P25),SUMIFS(INDIRECT(ADDRESS(12,3+18*1+(9),,,"J1 A - (North) Bishopthorpe Roa")&amp;":"&amp;ADDRESS(130,3+18*1+(9))),'J1 A - (North) Bishopthorpe Roa'!$A$12:$A$130,"&gt;="&amp;Diagram!$O25,'J1 A - (North) Bishopthorpe Roa'!$A$12:$A$130,"&lt;"&amp;Diagram!$P25)))</f>
        <v>3</v>
      </c>
      <c r="AM25" s="42">
        <f ca="1">IF(OR($I$10="",$O25="",$P25="",$J$36&lt;&gt;"Yes"),0,IF($K$10=0,SUMIFS(INDIRECT(ADDRESS(12,3+18*2+(1),,,"J1 A - (North) Bishopthorpe Roa")&amp;":"&amp;ADDRESS(130,3+18*2+(1))),'J1 A - (North) Bishopthorpe Roa'!$A$12:$A$130,"&gt;="&amp;Diagram!$O25,'J1 A - (North) Bishopthorpe Roa'!$A$12:$A$130,"&lt;"&amp;Diagram!$P25),SUMIFS(INDIRECT(ADDRESS(12,3+18*2+(9),,,"J1 A - (North) Bishopthorpe Roa")&amp;":"&amp;ADDRESS(130,3+18*2+(9))),'J1 A - (North) Bishopthorpe Roa'!$A$12:$A$130,"&gt;="&amp;Diagram!$O25,'J1 A - (North) Bishopthorpe Roa'!$A$12:$A$130,"&lt;"&amp;Diagram!$P25)))</f>
        <v>0</v>
      </c>
      <c r="AN25" s="42">
        <f ca="1">IF(OR($I$10="",$O25="",$P25="",$J$36&lt;&gt;"Yes"),0,IF($K$10=0,SUMIFS(INDIRECT(ADDRESS(12,3+18*2+(1),,,"J1 B - Butcher Terrace")&amp;":"&amp;ADDRESS(130,3+18*2+(1))),'J1 B - Butcher Terrace'!$A$12:$A$130,"&gt;="&amp;Diagram!$O25,'J1 B - Butcher Terrace'!$A$12:$A$130,"&lt;"&amp;Diagram!$P25),SUMIFS(INDIRECT(ADDRESS(12,3+18*2+(9),,,"J1 B - Butcher Terrace")&amp;":"&amp;ADDRESS(130,3+18*2+(9))),'J1 B - Butcher Terrace'!$A$12:$A$130,"&gt;="&amp;Diagram!$O25,'J1 B - Butcher Terrace'!$A$12:$A$130,"&lt;"&amp;Diagram!$P25)))</f>
        <v>2</v>
      </c>
      <c r="AO25" s="42">
        <f ca="1">IF(OR($I$10="",$O25="",$P25="",$J$36&lt;&gt;"Yes"),0,IF($K$10=0,SUMIFS(INDIRECT(ADDRESS(12,3+18*3+(1),,,"J1 B - Butcher Terrace")&amp;":"&amp;ADDRESS(130,3+18*3+(1))),'J1 B - Butcher Terrace'!$A$12:$A$130,"&gt;="&amp;Diagram!$O25,'J1 B - Butcher Terrace'!$A$12:$A$130,"&lt;"&amp;Diagram!$P25),SUMIFS(INDIRECT(ADDRESS(12,3+18*3+(9),,,"J1 B - Butcher Terrace")&amp;":"&amp;ADDRESS(130,3+18*3+(9))),'J1 B - Butcher Terrace'!$A$12:$A$130,"&gt;="&amp;Diagram!$O25,'J1 B - Butcher Terrace'!$A$12:$A$130,"&lt;"&amp;Diagram!$P25)))</f>
        <v>0</v>
      </c>
      <c r="AP25" s="42">
        <f ca="1">IF(OR($I$10="",$O25="",$P25="",$J$36&lt;&gt;"Yes"),0,IF($K$10=0,SUMIFS(INDIRECT(ADDRESS(12,3+18*0+(1),,,"J1 B - Butcher Terrace")&amp;":"&amp;ADDRESS(130,3+18*0+(1))),'J1 B - Butcher Terrace'!$A$12:$A$130,"&gt;="&amp;Diagram!$O25,'J1 B - Butcher Terrace'!$A$12:$A$130,"&lt;"&amp;Diagram!$P25),SUMIFS(INDIRECT(ADDRESS(12,3+18*0+(9),,,"J1 B - Butcher Terrace")&amp;":"&amp;ADDRESS(130,3+18*0+(9))),'J1 B - Butcher Terrace'!$A$12:$A$130,"&gt;="&amp;Diagram!$O25,'J1 B - Butcher Terrace'!$A$12:$A$130,"&lt;"&amp;Diagram!$P25)))</f>
        <v>1</v>
      </c>
      <c r="AQ25" s="42">
        <f ca="1">IF(OR($I$10="",$O25="",$P25="",$J$36&lt;&gt;"Yes"),0,IF($K$10=0,SUMIFS(INDIRECT(ADDRESS(12,3+18*1+(1),,,"J1 B - Butcher Terrace")&amp;":"&amp;ADDRESS(130,3+18*1+(1))),'J1 B - Butcher Terrace'!$A$12:$A$130,"&gt;="&amp;Diagram!$O25,'J1 B - Butcher Terrace'!$A$12:$A$130,"&lt;"&amp;Diagram!$P25),SUMIFS(INDIRECT(ADDRESS(12,3+18*1+(9),,,"J1 B - Butcher Terrace")&amp;":"&amp;ADDRESS(130,3+18*1+(9))),'J1 B - Butcher Terrace'!$A$12:$A$130,"&gt;="&amp;Diagram!$O25,'J1 B - Butcher Terrace'!$A$12:$A$130,"&lt;"&amp;Diagram!$P25)))</f>
        <v>0</v>
      </c>
      <c r="AR25" s="42">
        <f ca="1">IF(OR($I$10="",$O25="",$P25="",$J$36&lt;&gt;"Yes"),0,IF($K$10=0,SUMIFS(INDIRECT(ADDRESS(12,3+18*1+(1),,,"J1 C - (South) Bishopthorpe Roa")&amp;":"&amp;ADDRESS(130,3+18*1+(1))),'J1 C - (South) Bishopthorpe Roa'!$A$12:$A$130,"&gt;="&amp;Diagram!$O25,'J1 C - (South) Bishopthorpe Roa'!$A$12:$A$130,"&lt;"&amp;Diagram!$P25),SUMIFS(INDIRECT(ADDRESS(12,3+18*1+(9),,,"J1 C - (South) Bishopthorpe Roa")&amp;":"&amp;ADDRESS(130,3+18*1+(9))),'J1 C - (South) Bishopthorpe Roa'!$A$12:$A$130,"&gt;="&amp;Diagram!$O25,'J1 C - (South) Bishopthorpe Roa'!$A$12:$A$130,"&lt;"&amp;Diagram!$P25)))</f>
        <v>4</v>
      </c>
      <c r="AS25" s="42">
        <f ca="1">IF(OR($I$10="",$O25="",$P25="",$J$36&lt;&gt;"Yes"),0,IF($K$10=0,SUMIFS(INDIRECT(ADDRESS(12,3+18*2+(1),,,"J1 C - (South) Bishopthorpe Roa")&amp;":"&amp;ADDRESS(130,3+18*2+(1))),'J1 C - (South) Bishopthorpe Roa'!$A$12:$A$130,"&gt;="&amp;Diagram!$O25,'J1 C - (South) Bishopthorpe Roa'!$A$12:$A$130,"&lt;"&amp;Diagram!$P25),SUMIFS(INDIRECT(ADDRESS(12,3+18*2+(9),,,"J1 C - (South) Bishopthorpe Roa")&amp;":"&amp;ADDRESS(130,3+18*2+(9))),'J1 C - (South) Bishopthorpe Roa'!$A$12:$A$130,"&gt;="&amp;Diagram!$O25,'J1 C - (South) Bishopthorpe Roa'!$A$12:$A$130,"&lt;"&amp;Diagram!$P25)))</f>
        <v>0</v>
      </c>
      <c r="AT25" s="42">
        <f ca="1">IF(OR($I$10="",$O25="",$P25="",$J$36&lt;&gt;"Yes"),0,IF($K$10=0,SUMIFS(INDIRECT(ADDRESS(12,3+18*3+(1),,,"J1 C - (South) Bishopthorpe Roa")&amp;":"&amp;ADDRESS(130,3+18*3+(1))),'J1 C - (South) Bishopthorpe Roa'!$A$12:$A$130,"&gt;="&amp;Diagram!$O25,'J1 C - (South) Bishopthorpe Roa'!$A$12:$A$130,"&lt;"&amp;Diagram!$P25),SUMIFS(INDIRECT(ADDRESS(12,3+18*3+(9),,,"J1 C - (South) Bishopthorpe Roa")&amp;":"&amp;ADDRESS(130,3+18*3+(9))),'J1 C - (South) Bishopthorpe Roa'!$A$12:$A$130,"&gt;="&amp;Diagram!$O25,'J1 C - (South) Bishopthorpe Roa'!$A$12:$A$130,"&lt;"&amp;Diagram!$P25)))</f>
        <v>0</v>
      </c>
      <c r="AU25" s="42">
        <f ca="1">IF(OR($I$10="",$O25="",$P25="",$J$36&lt;&gt;"Yes"),0,IF($K$10=0,SUMIFS(INDIRECT(ADDRESS(12,3+18*0+(1),,,"J1 C - (South) Bishopthorpe Roa")&amp;":"&amp;ADDRESS(130,3+18*0+(1))),'J1 C - (South) Bishopthorpe Roa'!$A$12:$A$130,"&gt;="&amp;Diagram!$O25,'J1 C - (South) Bishopthorpe Roa'!$A$12:$A$130,"&lt;"&amp;Diagram!$P25),SUMIFS(INDIRECT(ADDRESS(12,3+18*0+(9),,,"J1 C - (South) Bishopthorpe Roa")&amp;":"&amp;ADDRESS(130,3+18*0+(9))),'J1 C - (South) Bishopthorpe Roa'!$A$12:$A$130,"&gt;="&amp;Diagram!$O25,'J1 C - (South) Bishopthorpe Roa'!$A$12:$A$130,"&lt;"&amp;Diagram!$P25)))</f>
        <v>0</v>
      </c>
      <c r="AV25" s="42">
        <f ca="1">IF(OR($I$10="",$O25="",$P25="",$J$36&lt;&gt;"Yes"),0,IF($K$10=0,SUMIFS(INDIRECT(ADDRESS(12,3+18*0+(1),,,"J1 D - South Bank Avenue")&amp;":"&amp;ADDRESS(130,3+18*0+(1))),'J1 D - South Bank Avenue'!$A$12:$A$130,"&gt;="&amp;Diagram!$O25,'J1 D - South Bank Avenue'!$A$12:$A$130,"&lt;"&amp;Diagram!$P25),SUMIFS(INDIRECT(ADDRESS(12,3+18*0+(9),,,"J1 D - South Bank Avenue")&amp;":"&amp;ADDRESS(130,3+18*0+(9))),'J1 D - South Bank Avenue'!$A$12:$A$130,"&gt;="&amp;Diagram!$O25,'J1 D - South Bank Avenue'!$A$12:$A$130,"&lt;"&amp;Diagram!$P25)))</f>
        <v>0</v>
      </c>
      <c r="AW25" s="42">
        <f ca="1">IF(OR($I$10="",$O25="",$P25="",$J$36&lt;&gt;"Yes"),0,IF($K$10=0,SUMIFS(INDIRECT(ADDRESS(12,3+18*1+(1),,,"J1 D - South Bank Avenue")&amp;":"&amp;ADDRESS(130,3+18*1+(1))),'J1 D - South Bank Avenue'!$A$12:$A$130,"&gt;="&amp;Diagram!$O25,'J1 D - South Bank Avenue'!$A$12:$A$130,"&lt;"&amp;Diagram!$P25),SUMIFS(INDIRECT(ADDRESS(12,3+18*1+(9),,,"J1 D - South Bank Avenue")&amp;":"&amp;ADDRESS(130,3+18*1+(9))),'J1 D - South Bank Avenue'!$A$12:$A$130,"&gt;="&amp;Diagram!$O25,'J1 D - South Bank Avenue'!$A$12:$A$130,"&lt;"&amp;Diagram!$P25)))</f>
        <v>0</v>
      </c>
      <c r="AX25" s="42">
        <f ca="1">IF(OR($I$10="",$O25="",$P25="",$J$36&lt;&gt;"Yes"),0,IF($K$10=0,SUMIFS(INDIRECT(ADDRESS(12,3+18*2+(1),,,"J1 D - South Bank Avenue")&amp;":"&amp;ADDRESS(130,3+18*2+(1))),'J1 D - South Bank Avenue'!$A$12:$A$130,"&gt;="&amp;Diagram!$O25,'J1 D - South Bank Avenue'!$A$12:$A$130,"&lt;"&amp;Diagram!$P25),SUMIFS(INDIRECT(ADDRESS(12,3+18*2+(9),,,"J1 D - South Bank Avenue")&amp;":"&amp;ADDRESS(130,3+18*2+(9))),'J1 D - South Bank Avenue'!$A$12:$A$130,"&gt;="&amp;Diagram!$O25,'J1 D - South Bank Avenue'!$A$12:$A$130,"&lt;"&amp;Diagram!$P25)))</f>
        <v>0</v>
      </c>
      <c r="AY25" s="42">
        <f ca="1">IF(OR($I$10="",$O25="",$P25="",$J$36&lt;&gt;"Yes"),0,IF($K$10=0,SUMIFS(INDIRECT(ADDRESS(12,3+18*3+(1),,,"J1 D - South Bank Avenue")&amp;":"&amp;ADDRESS(130,3+18*3+(1))),'J1 D - South Bank Avenue'!$A$12:$A$130,"&gt;="&amp;Diagram!$O25,'J1 D - South Bank Avenue'!$A$12:$A$130,"&lt;"&amp;Diagram!$P25),SUMIFS(INDIRECT(ADDRESS(12,3+18*3+(9),,,"J1 D - South Bank Avenue")&amp;":"&amp;ADDRESS(130,3+18*3+(9))),'J1 D - South Bank Avenue'!$A$12:$A$130,"&gt;="&amp;Diagram!$O25,'J1 D - South Bank Avenue'!$A$12:$A$130,"&lt;"&amp;Diagram!$P25)))</f>
        <v>0</v>
      </c>
      <c r="AZ25" s="42">
        <f t="shared" ca="1" si="3"/>
        <v>2</v>
      </c>
      <c r="BA25" s="42">
        <f ca="1">IF(OR($I$10="",$O25="",$P25="",$J$37&lt;&gt;"Yes"),0,IF($K$10=0,SUMIFS(INDIRECT(ADDRESS(12,3+18*3+(2),,,"J1 A - (North) Bishopthorpe Roa")&amp;":"&amp;ADDRESS(130,3+18*3+(2))),'J1 A - (North) Bishopthorpe Roa'!$A$12:$A$130,"&gt;="&amp;Diagram!$O25,'J1 A - (North) Bishopthorpe Roa'!$A$12:$A$130,"&lt;"&amp;Diagram!$P25),SUMIFS(INDIRECT(ADDRESS(12,3+18*3+(10),,,"J1 A - (North) Bishopthorpe Roa")&amp;":"&amp;ADDRESS(130,3+18*3+(10))),'J1 A - (North) Bishopthorpe Roa'!$A$12:$A$130,"&gt;="&amp;Diagram!$O25,'J1 A - (North) Bishopthorpe Roa'!$A$12:$A$130,"&lt;"&amp;Diagram!$P25)))</f>
        <v>0</v>
      </c>
      <c r="BB25" s="42">
        <f ca="1">IF(OR($I$10="",$O25="",$P25="",$J$37&lt;&gt;"Yes"),0,IF($K$10=0,SUMIFS(INDIRECT(ADDRESS(12,3+18*0+(2),,,"J1 A - (North) Bishopthorpe Roa")&amp;":"&amp;ADDRESS(130,3+18*0+(2))),'J1 A - (North) Bishopthorpe Roa'!$A$12:$A$130,"&gt;="&amp;Diagram!$O25,'J1 A - (North) Bishopthorpe Roa'!$A$12:$A$130,"&lt;"&amp;Diagram!$P25),SUMIFS(INDIRECT(ADDRESS(12,3+18*0+(10),,,"J1 A - (North) Bishopthorpe Roa")&amp;":"&amp;ADDRESS(130,3+18*0+(10))),'J1 A - (North) Bishopthorpe Roa'!$A$12:$A$130,"&gt;="&amp;Diagram!$O25,'J1 A - (North) Bishopthorpe Roa'!$A$12:$A$130,"&lt;"&amp;Diagram!$P25)))</f>
        <v>1</v>
      </c>
      <c r="BC25" s="42">
        <f ca="1">IF(OR($I$10="",$O25="",$P25="",$J$37&lt;&gt;"Yes"),0,IF($K$10=0,SUMIFS(INDIRECT(ADDRESS(12,3+18*1+(2),,,"J1 A - (North) Bishopthorpe Roa")&amp;":"&amp;ADDRESS(130,3+18*1+(2))),'J1 A - (North) Bishopthorpe Roa'!$A$12:$A$130,"&gt;="&amp;Diagram!$O25,'J1 A - (North) Bishopthorpe Roa'!$A$12:$A$130,"&lt;"&amp;Diagram!$P25),SUMIFS(INDIRECT(ADDRESS(12,3+18*1+(10),,,"J1 A - (North) Bishopthorpe Roa")&amp;":"&amp;ADDRESS(130,3+18*1+(10))),'J1 A - (North) Bishopthorpe Roa'!$A$12:$A$130,"&gt;="&amp;Diagram!$O25,'J1 A - (North) Bishopthorpe Roa'!$A$12:$A$130,"&lt;"&amp;Diagram!$P25)))</f>
        <v>0</v>
      </c>
      <c r="BD25" s="42">
        <f ca="1">IF(OR($I$10="",$O25="",$P25="",$J$37&lt;&gt;"Yes"),0,IF($K$10=0,SUMIFS(INDIRECT(ADDRESS(12,3+18*2+(2),,,"J1 A - (North) Bishopthorpe Roa")&amp;":"&amp;ADDRESS(130,3+18*2+(2))),'J1 A - (North) Bishopthorpe Roa'!$A$12:$A$130,"&gt;="&amp;Diagram!$O25,'J1 A - (North) Bishopthorpe Roa'!$A$12:$A$130,"&lt;"&amp;Diagram!$P25),SUMIFS(INDIRECT(ADDRESS(12,3+18*2+(10),,,"J1 A - (North) Bishopthorpe Roa")&amp;":"&amp;ADDRESS(130,3+18*2+(10))),'J1 A - (North) Bishopthorpe Roa'!$A$12:$A$130,"&gt;="&amp;Diagram!$O25,'J1 A - (North) Bishopthorpe Roa'!$A$12:$A$130,"&lt;"&amp;Diagram!$P25)))</f>
        <v>0</v>
      </c>
      <c r="BE25" s="42">
        <f ca="1">IF(OR($I$10="",$O25="",$P25="",$J$37&lt;&gt;"Yes"),0,IF($K$10=0,SUMIFS(INDIRECT(ADDRESS(12,3+18*2+(2),,,"J1 B - Butcher Terrace")&amp;":"&amp;ADDRESS(130,3+18*2+(2))),'J1 B - Butcher Terrace'!$A$12:$A$130,"&gt;="&amp;Diagram!$O25,'J1 B - Butcher Terrace'!$A$12:$A$130,"&lt;"&amp;Diagram!$P25),SUMIFS(INDIRECT(ADDRESS(12,3+18*2+(10),,,"J1 B - Butcher Terrace")&amp;":"&amp;ADDRESS(130,3+18*2+(10))),'J1 B - Butcher Terrace'!$A$12:$A$130,"&gt;="&amp;Diagram!$O25,'J1 B - Butcher Terrace'!$A$12:$A$130,"&lt;"&amp;Diagram!$P25)))</f>
        <v>0</v>
      </c>
      <c r="BF25" s="42">
        <f ca="1">IF(OR($I$10="",$O25="",$P25="",$J$37&lt;&gt;"Yes"),0,IF($K$10=0,SUMIFS(INDIRECT(ADDRESS(12,3+18*3+(2),,,"J1 B - Butcher Terrace")&amp;":"&amp;ADDRESS(130,3+18*3+(2))),'J1 B - Butcher Terrace'!$A$12:$A$130,"&gt;="&amp;Diagram!$O25,'J1 B - Butcher Terrace'!$A$12:$A$130,"&lt;"&amp;Diagram!$P25),SUMIFS(INDIRECT(ADDRESS(12,3+18*3+(10),,,"J1 B - Butcher Terrace")&amp;":"&amp;ADDRESS(130,3+18*3+(10))),'J1 B - Butcher Terrace'!$A$12:$A$130,"&gt;="&amp;Diagram!$O25,'J1 B - Butcher Terrace'!$A$12:$A$130,"&lt;"&amp;Diagram!$P25)))</f>
        <v>0</v>
      </c>
      <c r="BG25" s="42">
        <f ca="1">IF(OR($I$10="",$O25="",$P25="",$J$37&lt;&gt;"Yes"),0,IF($K$10=0,SUMIFS(INDIRECT(ADDRESS(12,3+18*0+(2),,,"J1 B - Butcher Terrace")&amp;":"&amp;ADDRESS(130,3+18*0+(2))),'J1 B - Butcher Terrace'!$A$12:$A$130,"&gt;="&amp;Diagram!$O25,'J1 B - Butcher Terrace'!$A$12:$A$130,"&lt;"&amp;Diagram!$P25),SUMIFS(INDIRECT(ADDRESS(12,3+18*0+(10),,,"J1 B - Butcher Terrace")&amp;":"&amp;ADDRESS(130,3+18*0+(10))),'J1 B - Butcher Terrace'!$A$12:$A$130,"&gt;="&amp;Diagram!$O25,'J1 B - Butcher Terrace'!$A$12:$A$130,"&lt;"&amp;Diagram!$P25)))</f>
        <v>0</v>
      </c>
      <c r="BH25" s="42">
        <f ca="1">IF(OR($I$10="",$O25="",$P25="",$J$37&lt;&gt;"Yes"),0,IF($K$10=0,SUMIFS(INDIRECT(ADDRESS(12,3+18*1+(2),,,"J1 B - Butcher Terrace")&amp;":"&amp;ADDRESS(130,3+18*1+(2))),'J1 B - Butcher Terrace'!$A$12:$A$130,"&gt;="&amp;Diagram!$O25,'J1 B - Butcher Terrace'!$A$12:$A$130,"&lt;"&amp;Diagram!$P25),SUMIFS(INDIRECT(ADDRESS(12,3+18*1+(10),,,"J1 B - Butcher Terrace")&amp;":"&amp;ADDRESS(130,3+18*1+(10))),'J1 B - Butcher Terrace'!$A$12:$A$130,"&gt;="&amp;Diagram!$O25,'J1 B - Butcher Terrace'!$A$12:$A$130,"&lt;"&amp;Diagram!$P25)))</f>
        <v>0</v>
      </c>
      <c r="BI25" s="42">
        <f ca="1">IF(OR($I$10="",$O25="",$P25="",$J$37&lt;&gt;"Yes"),0,IF($K$10=0,SUMIFS(INDIRECT(ADDRESS(12,3+18*1+(2),,,"J1 C - (South) Bishopthorpe Roa")&amp;":"&amp;ADDRESS(130,3+18*1+(2))),'J1 C - (South) Bishopthorpe Roa'!$A$12:$A$130,"&gt;="&amp;Diagram!$O25,'J1 C - (South) Bishopthorpe Roa'!$A$12:$A$130,"&lt;"&amp;Diagram!$P25),SUMIFS(INDIRECT(ADDRESS(12,3+18*1+(10),,,"J1 C - (South) Bishopthorpe Roa")&amp;":"&amp;ADDRESS(130,3+18*1+(10))),'J1 C - (South) Bishopthorpe Roa'!$A$12:$A$130,"&gt;="&amp;Diagram!$O25,'J1 C - (South) Bishopthorpe Roa'!$A$12:$A$130,"&lt;"&amp;Diagram!$P25)))</f>
        <v>1</v>
      </c>
      <c r="BJ25" s="42">
        <f ca="1">IF(OR($I$10="",$O25="",$P25="",$J$37&lt;&gt;"Yes"),0,IF($K$10=0,SUMIFS(INDIRECT(ADDRESS(12,3+18*2+(2),,,"J1 C - (South) Bishopthorpe Roa")&amp;":"&amp;ADDRESS(130,3+18*2+(2))),'J1 C - (South) Bishopthorpe Roa'!$A$12:$A$130,"&gt;="&amp;Diagram!$O25,'J1 C - (South) Bishopthorpe Roa'!$A$12:$A$130,"&lt;"&amp;Diagram!$P25),SUMIFS(INDIRECT(ADDRESS(12,3+18*2+(10),,,"J1 C - (South) Bishopthorpe Roa")&amp;":"&amp;ADDRESS(130,3+18*2+(10))),'J1 C - (South) Bishopthorpe Roa'!$A$12:$A$130,"&gt;="&amp;Diagram!$O25,'J1 C - (South) Bishopthorpe Roa'!$A$12:$A$130,"&lt;"&amp;Diagram!$P25)))</f>
        <v>0</v>
      </c>
      <c r="BK25" s="42">
        <f ca="1">IF(OR($I$10="",$O25="",$P25="",$J$37&lt;&gt;"Yes"),0,IF($K$10=0,SUMIFS(INDIRECT(ADDRESS(12,3+18*3+(2),,,"J1 C - (South) Bishopthorpe Roa")&amp;":"&amp;ADDRESS(130,3+18*3+(2))),'J1 C - (South) Bishopthorpe Roa'!$A$12:$A$130,"&gt;="&amp;Diagram!$O25,'J1 C - (South) Bishopthorpe Roa'!$A$12:$A$130,"&lt;"&amp;Diagram!$P25),SUMIFS(INDIRECT(ADDRESS(12,3+18*3+(10),,,"J1 C - (South) Bishopthorpe Roa")&amp;":"&amp;ADDRESS(130,3+18*3+(10))),'J1 C - (South) Bishopthorpe Roa'!$A$12:$A$130,"&gt;="&amp;Diagram!$O25,'J1 C - (South) Bishopthorpe Roa'!$A$12:$A$130,"&lt;"&amp;Diagram!$P25)))</f>
        <v>0</v>
      </c>
      <c r="BL25" s="42">
        <f ca="1">IF(OR($I$10="",$O25="",$P25="",$J$37&lt;&gt;"Yes"),0,IF($K$10=0,SUMIFS(INDIRECT(ADDRESS(12,3+18*0+(2),,,"J1 C - (South) Bishopthorpe Roa")&amp;":"&amp;ADDRESS(130,3+18*0+(2))),'J1 C - (South) Bishopthorpe Roa'!$A$12:$A$130,"&gt;="&amp;Diagram!$O25,'J1 C - (South) Bishopthorpe Roa'!$A$12:$A$130,"&lt;"&amp;Diagram!$P25),SUMIFS(INDIRECT(ADDRESS(12,3+18*0+(10),,,"J1 C - (South) Bishopthorpe Roa")&amp;":"&amp;ADDRESS(130,3+18*0+(10))),'J1 C - (South) Bishopthorpe Roa'!$A$12:$A$130,"&gt;="&amp;Diagram!$O25,'J1 C - (South) Bishopthorpe Roa'!$A$12:$A$130,"&lt;"&amp;Diagram!$P25)))</f>
        <v>0</v>
      </c>
      <c r="BM25" s="42">
        <f ca="1">IF(OR($I$10="",$O25="",$P25="",$J$37&lt;&gt;"Yes"),0,IF($K$10=0,SUMIFS(INDIRECT(ADDRESS(12,3+18*0+(2),,,"J1 D - South Bank Avenue")&amp;":"&amp;ADDRESS(130,3+18*0+(2))),'J1 D - South Bank Avenue'!$A$12:$A$130,"&gt;="&amp;Diagram!$O25,'J1 D - South Bank Avenue'!$A$12:$A$130,"&lt;"&amp;Diagram!$P25),SUMIFS(INDIRECT(ADDRESS(12,3+18*0+(10),,,"J1 D - South Bank Avenue")&amp;":"&amp;ADDRESS(130,3+18*0+(10))),'J1 D - South Bank Avenue'!$A$12:$A$130,"&gt;="&amp;Diagram!$O25,'J1 D - South Bank Avenue'!$A$12:$A$130,"&lt;"&amp;Diagram!$P25)))</f>
        <v>0</v>
      </c>
      <c r="BN25" s="42">
        <f ca="1">IF(OR($I$10="",$O25="",$P25="",$J$37&lt;&gt;"Yes"),0,IF($K$10=0,SUMIFS(INDIRECT(ADDRESS(12,3+18*1+(2),,,"J1 D - South Bank Avenue")&amp;":"&amp;ADDRESS(130,3+18*1+(2))),'J1 D - South Bank Avenue'!$A$12:$A$130,"&gt;="&amp;Diagram!$O25,'J1 D - South Bank Avenue'!$A$12:$A$130,"&lt;"&amp;Diagram!$P25),SUMIFS(INDIRECT(ADDRESS(12,3+18*1+(10),,,"J1 D - South Bank Avenue")&amp;":"&amp;ADDRESS(130,3+18*1+(10))),'J1 D - South Bank Avenue'!$A$12:$A$130,"&gt;="&amp;Diagram!$O25,'J1 D - South Bank Avenue'!$A$12:$A$130,"&lt;"&amp;Diagram!$P25)))</f>
        <v>0</v>
      </c>
      <c r="BO25" s="42">
        <f ca="1">IF(OR($I$10="",$O25="",$P25="",$J$37&lt;&gt;"Yes"),0,IF($K$10=0,SUMIFS(INDIRECT(ADDRESS(12,3+18*2+(2),,,"J1 D - South Bank Avenue")&amp;":"&amp;ADDRESS(130,3+18*2+(2))),'J1 D - South Bank Avenue'!$A$12:$A$130,"&gt;="&amp;Diagram!$O25,'J1 D - South Bank Avenue'!$A$12:$A$130,"&lt;"&amp;Diagram!$P25),SUMIFS(INDIRECT(ADDRESS(12,3+18*2+(10),,,"J1 D - South Bank Avenue")&amp;":"&amp;ADDRESS(130,3+18*2+(10))),'J1 D - South Bank Avenue'!$A$12:$A$130,"&gt;="&amp;Diagram!$O25,'J1 D - South Bank Avenue'!$A$12:$A$130,"&lt;"&amp;Diagram!$P25)))</f>
        <v>0</v>
      </c>
      <c r="BP25" s="42">
        <f ca="1">IF(OR($I$10="",$O25="",$P25="",$J$37&lt;&gt;"Yes"),0,IF($K$10=0,SUMIFS(INDIRECT(ADDRESS(12,3+18*3+(2),,,"J1 D - South Bank Avenue")&amp;":"&amp;ADDRESS(130,3+18*3+(2))),'J1 D - South Bank Avenue'!$A$12:$A$130,"&gt;="&amp;Diagram!$O25,'J1 D - South Bank Avenue'!$A$12:$A$130,"&lt;"&amp;Diagram!$P25),SUMIFS(INDIRECT(ADDRESS(12,3+18*3+(10),,,"J1 D - South Bank Avenue")&amp;":"&amp;ADDRESS(130,3+18*3+(10))),'J1 D - South Bank Avenue'!$A$12:$A$130,"&gt;="&amp;Diagram!$O25,'J1 D - South Bank Avenue'!$A$12:$A$130,"&lt;"&amp;Diagram!$P25)))</f>
        <v>0</v>
      </c>
      <c r="BQ25" s="42">
        <f t="shared" ca="1" si="4"/>
        <v>2</v>
      </c>
      <c r="BR25" s="42">
        <f ca="1">IF(OR($I$10="",$O25="",$P25="",$J$38&lt;&gt;"Yes"),0,IF($K$10=0,SUMIFS(INDIRECT(ADDRESS(12,3+18*3+(3),,,"J1 A - (North) Bishopthorpe Roa")&amp;":"&amp;ADDRESS(130,3+18*3+(3))),'J1 A - (North) Bishopthorpe Roa'!$A$12:$A$130,"&gt;="&amp;Diagram!$O25,'J1 A - (North) Bishopthorpe Roa'!$A$12:$A$130,"&lt;"&amp;Diagram!$P25),SUMIFS(INDIRECT(ADDRESS(12,3+18*3+(11),,,"J1 A - (North) Bishopthorpe Roa")&amp;":"&amp;ADDRESS(130,3+18*3+(11))),'J1 A - (North) Bishopthorpe Roa'!$A$12:$A$130,"&gt;="&amp;Diagram!$O25,'J1 A - (North) Bishopthorpe Roa'!$A$12:$A$130,"&lt;"&amp;Diagram!$P25)))</f>
        <v>0</v>
      </c>
      <c r="BS25" s="42">
        <f ca="1">IF(OR($I$10="",$O25="",$P25="",$J$38&lt;&gt;"Yes"),0,IF($K$10=0,SUMIFS(INDIRECT(ADDRESS(12,3+18*0+(3),,,"J1 A - (North) Bishopthorpe Roa")&amp;":"&amp;ADDRESS(130,3+18*0+(3))),'J1 A - (North) Bishopthorpe Roa'!$A$12:$A$130,"&gt;="&amp;Diagram!$O25,'J1 A - (North) Bishopthorpe Roa'!$A$12:$A$130,"&lt;"&amp;Diagram!$P25),SUMIFS(INDIRECT(ADDRESS(12,3+18*0+(11),,,"J1 A - (North) Bishopthorpe Roa")&amp;":"&amp;ADDRESS(130,3+18*0+(11))),'J1 A - (North) Bishopthorpe Roa'!$A$12:$A$130,"&gt;="&amp;Diagram!$O25,'J1 A - (North) Bishopthorpe Roa'!$A$12:$A$130,"&lt;"&amp;Diagram!$P25)))</f>
        <v>1</v>
      </c>
      <c r="BT25" s="42">
        <f ca="1">IF(OR($I$10="",$O25="",$P25="",$J$38&lt;&gt;"Yes"),0,IF($K$10=0,SUMIFS(INDIRECT(ADDRESS(12,3+18*1+(3),,,"J1 A - (North) Bishopthorpe Roa")&amp;":"&amp;ADDRESS(130,3+18*1+(3))),'J1 A - (North) Bishopthorpe Roa'!$A$12:$A$130,"&gt;="&amp;Diagram!$O25,'J1 A - (North) Bishopthorpe Roa'!$A$12:$A$130,"&lt;"&amp;Diagram!$P25),SUMIFS(INDIRECT(ADDRESS(12,3+18*1+(11),,,"J1 A - (North) Bishopthorpe Roa")&amp;":"&amp;ADDRESS(130,3+18*1+(11))),'J1 A - (North) Bishopthorpe Roa'!$A$12:$A$130,"&gt;="&amp;Diagram!$O25,'J1 A - (North) Bishopthorpe Roa'!$A$12:$A$130,"&lt;"&amp;Diagram!$P25)))</f>
        <v>0</v>
      </c>
      <c r="BU25" s="42">
        <f ca="1">IF(OR($I$10="",$O25="",$P25="",$J$38&lt;&gt;"Yes"),0,IF($K$10=0,SUMIFS(INDIRECT(ADDRESS(12,3+18*2+(3),,,"J1 A - (North) Bishopthorpe Roa")&amp;":"&amp;ADDRESS(130,3+18*2+(3))),'J1 A - (North) Bishopthorpe Roa'!$A$12:$A$130,"&gt;="&amp;Diagram!$O25,'J1 A - (North) Bishopthorpe Roa'!$A$12:$A$130,"&lt;"&amp;Diagram!$P25),SUMIFS(INDIRECT(ADDRESS(12,3+18*2+(11),,,"J1 A - (North) Bishopthorpe Roa")&amp;":"&amp;ADDRESS(130,3+18*2+(11))),'J1 A - (North) Bishopthorpe Roa'!$A$12:$A$130,"&gt;="&amp;Diagram!$O25,'J1 A - (North) Bishopthorpe Roa'!$A$12:$A$130,"&lt;"&amp;Diagram!$P25)))</f>
        <v>0</v>
      </c>
      <c r="BV25" s="42">
        <f ca="1">IF(OR($I$10="",$O25="",$P25="",$J$38&lt;&gt;"Yes"),0,IF($K$10=0,SUMIFS(INDIRECT(ADDRESS(12,3+18*2+(3),,,"J1 B - Butcher Terrace")&amp;":"&amp;ADDRESS(130,3+18*2+(3))),'J1 B - Butcher Terrace'!$A$12:$A$130,"&gt;="&amp;Diagram!$O25,'J1 B - Butcher Terrace'!$A$12:$A$130,"&lt;"&amp;Diagram!$P25),SUMIFS(INDIRECT(ADDRESS(12,3+18*2+(11),,,"J1 B - Butcher Terrace")&amp;":"&amp;ADDRESS(130,3+18*2+(11))),'J1 B - Butcher Terrace'!$A$12:$A$130,"&gt;="&amp;Diagram!$O25,'J1 B - Butcher Terrace'!$A$12:$A$130,"&lt;"&amp;Diagram!$P25)))</f>
        <v>1</v>
      </c>
      <c r="BW25" s="42">
        <f ca="1">IF(OR($I$10="",$O25="",$P25="",$J$38&lt;&gt;"Yes"),0,IF($K$10=0,SUMIFS(INDIRECT(ADDRESS(12,3+18*3+(3),,,"J1 B - Butcher Terrace")&amp;":"&amp;ADDRESS(130,3+18*3+(3))),'J1 B - Butcher Terrace'!$A$12:$A$130,"&gt;="&amp;Diagram!$O25,'J1 B - Butcher Terrace'!$A$12:$A$130,"&lt;"&amp;Diagram!$P25),SUMIFS(INDIRECT(ADDRESS(12,3+18*3+(11),,,"J1 B - Butcher Terrace")&amp;":"&amp;ADDRESS(130,3+18*3+(11))),'J1 B - Butcher Terrace'!$A$12:$A$130,"&gt;="&amp;Diagram!$O25,'J1 B - Butcher Terrace'!$A$12:$A$130,"&lt;"&amp;Diagram!$P25)))</f>
        <v>0</v>
      </c>
      <c r="BX25" s="42">
        <f ca="1">IF(OR($I$10="",$O25="",$P25="",$J$38&lt;&gt;"Yes"),0,IF($K$10=0,SUMIFS(INDIRECT(ADDRESS(12,3+18*0+(3),,,"J1 B - Butcher Terrace")&amp;":"&amp;ADDRESS(130,3+18*0+(3))),'J1 B - Butcher Terrace'!$A$12:$A$130,"&gt;="&amp;Diagram!$O25,'J1 B - Butcher Terrace'!$A$12:$A$130,"&lt;"&amp;Diagram!$P25),SUMIFS(INDIRECT(ADDRESS(12,3+18*0+(11),,,"J1 B - Butcher Terrace")&amp;":"&amp;ADDRESS(130,3+18*0+(11))),'J1 B - Butcher Terrace'!$A$12:$A$130,"&gt;="&amp;Diagram!$O25,'J1 B - Butcher Terrace'!$A$12:$A$130,"&lt;"&amp;Diagram!$P25)))</f>
        <v>0</v>
      </c>
      <c r="BY25" s="42">
        <f ca="1">IF(OR($I$10="",$O25="",$P25="",$J$38&lt;&gt;"Yes"),0,IF($K$10=0,SUMIFS(INDIRECT(ADDRESS(12,3+18*1+(3),,,"J1 B - Butcher Terrace")&amp;":"&amp;ADDRESS(130,3+18*1+(3))),'J1 B - Butcher Terrace'!$A$12:$A$130,"&gt;="&amp;Diagram!$O25,'J1 B - Butcher Terrace'!$A$12:$A$130,"&lt;"&amp;Diagram!$P25),SUMIFS(INDIRECT(ADDRESS(12,3+18*1+(11),,,"J1 B - Butcher Terrace")&amp;":"&amp;ADDRESS(130,3+18*1+(11))),'J1 B - Butcher Terrace'!$A$12:$A$130,"&gt;="&amp;Diagram!$O25,'J1 B - Butcher Terrace'!$A$12:$A$130,"&lt;"&amp;Diagram!$P25)))</f>
        <v>0</v>
      </c>
      <c r="BZ25" s="42">
        <f ca="1">IF(OR($I$10="",$O25="",$P25="",$J$38&lt;&gt;"Yes"),0,IF($K$10=0,SUMIFS(INDIRECT(ADDRESS(12,3+18*1+(3),,,"J1 C - (South) Bishopthorpe Roa")&amp;":"&amp;ADDRESS(130,3+18*1+(3))),'J1 C - (South) Bishopthorpe Roa'!$A$12:$A$130,"&gt;="&amp;Diagram!$O25,'J1 C - (South) Bishopthorpe Roa'!$A$12:$A$130,"&lt;"&amp;Diagram!$P25),SUMIFS(INDIRECT(ADDRESS(12,3+18*1+(11),,,"J1 C - (South) Bishopthorpe Roa")&amp;":"&amp;ADDRESS(130,3+18*1+(11))),'J1 C - (South) Bishopthorpe Roa'!$A$12:$A$130,"&gt;="&amp;Diagram!$O25,'J1 C - (South) Bishopthorpe Roa'!$A$12:$A$130,"&lt;"&amp;Diagram!$P25)))</f>
        <v>0</v>
      </c>
      <c r="CA25" s="42">
        <f ca="1">IF(OR($I$10="",$O25="",$P25="",$J$38&lt;&gt;"Yes"),0,IF($K$10=0,SUMIFS(INDIRECT(ADDRESS(12,3+18*2+(3),,,"J1 C - (South) Bishopthorpe Roa")&amp;":"&amp;ADDRESS(130,3+18*2+(3))),'J1 C - (South) Bishopthorpe Roa'!$A$12:$A$130,"&gt;="&amp;Diagram!$O25,'J1 C - (South) Bishopthorpe Roa'!$A$12:$A$130,"&lt;"&amp;Diagram!$P25),SUMIFS(INDIRECT(ADDRESS(12,3+18*2+(11),,,"J1 C - (South) Bishopthorpe Roa")&amp;":"&amp;ADDRESS(130,3+18*2+(11))),'J1 C - (South) Bishopthorpe Roa'!$A$12:$A$130,"&gt;="&amp;Diagram!$O25,'J1 C - (South) Bishopthorpe Roa'!$A$12:$A$130,"&lt;"&amp;Diagram!$P25)))</f>
        <v>0</v>
      </c>
      <c r="CB25" s="42">
        <f ca="1">IF(OR($I$10="",$O25="",$P25="",$J$38&lt;&gt;"Yes"),0,IF($K$10=0,SUMIFS(INDIRECT(ADDRESS(12,3+18*3+(3),,,"J1 C - (South) Bishopthorpe Roa")&amp;":"&amp;ADDRESS(130,3+18*3+(3))),'J1 C - (South) Bishopthorpe Roa'!$A$12:$A$130,"&gt;="&amp;Diagram!$O25,'J1 C - (South) Bishopthorpe Roa'!$A$12:$A$130,"&lt;"&amp;Diagram!$P25),SUMIFS(INDIRECT(ADDRESS(12,3+18*3+(11),,,"J1 C - (South) Bishopthorpe Roa")&amp;":"&amp;ADDRESS(130,3+18*3+(11))),'J1 C - (South) Bishopthorpe Roa'!$A$12:$A$130,"&gt;="&amp;Diagram!$O25,'J1 C - (South) Bishopthorpe Roa'!$A$12:$A$130,"&lt;"&amp;Diagram!$P25)))</f>
        <v>0</v>
      </c>
      <c r="CC25" s="42">
        <f ca="1">IF(OR($I$10="",$O25="",$P25="",$J$38&lt;&gt;"Yes"),0,IF($K$10=0,SUMIFS(INDIRECT(ADDRESS(12,3+18*0+(3),,,"J1 C - (South) Bishopthorpe Roa")&amp;":"&amp;ADDRESS(130,3+18*0+(3))),'J1 C - (South) Bishopthorpe Roa'!$A$12:$A$130,"&gt;="&amp;Diagram!$O25,'J1 C - (South) Bishopthorpe Roa'!$A$12:$A$130,"&lt;"&amp;Diagram!$P25),SUMIFS(INDIRECT(ADDRESS(12,3+18*0+(11),,,"J1 C - (South) Bishopthorpe Roa")&amp;":"&amp;ADDRESS(130,3+18*0+(11))),'J1 C - (South) Bishopthorpe Roa'!$A$12:$A$130,"&gt;="&amp;Diagram!$O25,'J1 C - (South) Bishopthorpe Roa'!$A$12:$A$130,"&lt;"&amp;Diagram!$P25)))</f>
        <v>0</v>
      </c>
      <c r="CD25" s="42">
        <f ca="1">IF(OR($I$10="",$O25="",$P25="",$J$38&lt;&gt;"Yes"),0,IF($K$10=0,SUMIFS(INDIRECT(ADDRESS(12,3+18*0+(3),,,"J1 D - South Bank Avenue")&amp;":"&amp;ADDRESS(130,3+18*0+(3))),'J1 D - South Bank Avenue'!$A$12:$A$130,"&gt;="&amp;Diagram!$O25,'J1 D - South Bank Avenue'!$A$12:$A$130,"&lt;"&amp;Diagram!$P25),SUMIFS(INDIRECT(ADDRESS(12,3+18*0+(11),,,"J1 D - South Bank Avenue")&amp;":"&amp;ADDRESS(130,3+18*0+(11))),'J1 D - South Bank Avenue'!$A$12:$A$130,"&gt;="&amp;Diagram!$O25,'J1 D - South Bank Avenue'!$A$12:$A$130,"&lt;"&amp;Diagram!$P25)))</f>
        <v>0</v>
      </c>
      <c r="CE25" s="42">
        <f ca="1">IF(OR($I$10="",$O25="",$P25="",$J$38&lt;&gt;"Yes"),0,IF($K$10=0,SUMIFS(INDIRECT(ADDRESS(12,3+18*1+(3),,,"J1 D - South Bank Avenue")&amp;":"&amp;ADDRESS(130,3+18*1+(3))),'J1 D - South Bank Avenue'!$A$12:$A$130,"&gt;="&amp;Diagram!$O25,'J1 D - South Bank Avenue'!$A$12:$A$130,"&lt;"&amp;Diagram!$P25),SUMIFS(INDIRECT(ADDRESS(12,3+18*1+(11),,,"J1 D - South Bank Avenue")&amp;":"&amp;ADDRESS(130,3+18*1+(11))),'J1 D - South Bank Avenue'!$A$12:$A$130,"&gt;="&amp;Diagram!$O25,'J1 D - South Bank Avenue'!$A$12:$A$130,"&lt;"&amp;Diagram!$P25)))</f>
        <v>0</v>
      </c>
      <c r="CF25" s="42">
        <f ca="1">IF(OR($I$10="",$O25="",$P25="",$J$38&lt;&gt;"Yes"),0,IF($K$10=0,SUMIFS(INDIRECT(ADDRESS(12,3+18*2+(3),,,"J1 D - South Bank Avenue")&amp;":"&amp;ADDRESS(130,3+18*2+(3))),'J1 D - South Bank Avenue'!$A$12:$A$130,"&gt;="&amp;Diagram!$O25,'J1 D - South Bank Avenue'!$A$12:$A$130,"&lt;"&amp;Diagram!$P25),SUMIFS(INDIRECT(ADDRESS(12,3+18*2+(11),,,"J1 D - South Bank Avenue")&amp;":"&amp;ADDRESS(130,3+18*2+(11))),'J1 D - South Bank Avenue'!$A$12:$A$130,"&gt;="&amp;Diagram!$O25,'J1 D - South Bank Avenue'!$A$12:$A$130,"&lt;"&amp;Diagram!$P25)))</f>
        <v>0</v>
      </c>
      <c r="CG25" s="42">
        <f ca="1">IF(OR($I$10="",$O25="",$P25="",$J$38&lt;&gt;"Yes"),0,IF($K$10=0,SUMIFS(INDIRECT(ADDRESS(12,3+18*3+(3),,,"J1 D - South Bank Avenue")&amp;":"&amp;ADDRESS(130,3+18*3+(3))),'J1 D - South Bank Avenue'!$A$12:$A$130,"&gt;="&amp;Diagram!$O25,'J1 D - South Bank Avenue'!$A$12:$A$130,"&lt;"&amp;Diagram!$P25),SUMIFS(INDIRECT(ADDRESS(12,3+18*3+(11),,,"J1 D - South Bank Avenue")&amp;":"&amp;ADDRESS(130,3+18*3+(11))),'J1 D - South Bank Avenue'!$A$12:$A$130,"&gt;="&amp;Diagram!$O25,'J1 D - South Bank Avenue'!$A$12:$A$130,"&lt;"&amp;Diagram!$P25)))</f>
        <v>0</v>
      </c>
      <c r="CH25" s="42">
        <f t="shared" ca="1" si="5"/>
        <v>3</v>
      </c>
      <c r="CI25" s="42">
        <f ca="1">IF(OR($I$10="",$O25="",$P25="",$J$39&lt;&gt;"Yes"),0,IF($K$10=0,SUMIFS(INDIRECT(ADDRESS(12,3+18*3+(4),,,"J1 A - (North) Bishopthorpe Roa")&amp;":"&amp;ADDRESS(130,3+18*3+(4))),'J1 A - (North) Bishopthorpe Roa'!$A$12:$A$130,"&gt;="&amp;Diagram!$O25,'J1 A - (North) Bishopthorpe Roa'!$A$12:$A$130,"&lt;"&amp;Diagram!$P25),SUMIFS(INDIRECT(ADDRESS(12,3+18*3+(12),,,"J1 A - (North) Bishopthorpe Roa")&amp;":"&amp;ADDRESS(130,3+18*3+(12))),'J1 A - (North) Bishopthorpe Roa'!$A$12:$A$130,"&gt;="&amp;Diagram!$O25,'J1 A - (North) Bishopthorpe Roa'!$A$12:$A$130,"&lt;"&amp;Diagram!$P25)))</f>
        <v>0</v>
      </c>
      <c r="CJ25" s="42">
        <f ca="1">IF(OR($I$10="",$O25="",$P25="",$J$39&lt;&gt;"Yes"),0,IF($K$10=0,SUMIFS(INDIRECT(ADDRESS(12,3+18*0+(4),,,"J1 A - (North) Bishopthorpe Roa")&amp;":"&amp;ADDRESS(130,3+18*0+(4))),'J1 A - (North) Bishopthorpe Roa'!$A$12:$A$130,"&gt;="&amp;Diagram!$O25,'J1 A - (North) Bishopthorpe Roa'!$A$12:$A$130,"&lt;"&amp;Diagram!$P25),SUMIFS(INDIRECT(ADDRESS(12,3+18*0+(12),,,"J1 A - (North) Bishopthorpe Roa")&amp;":"&amp;ADDRESS(130,3+18*0+(12))),'J1 A - (North) Bishopthorpe Roa'!$A$12:$A$130,"&gt;="&amp;Diagram!$O25,'J1 A - (North) Bishopthorpe Roa'!$A$12:$A$130,"&lt;"&amp;Diagram!$P25)))</f>
        <v>0</v>
      </c>
      <c r="CK25" s="42">
        <f ca="1">IF(OR($I$10="",$O25="",$P25="",$J$39&lt;&gt;"Yes"),0,IF($K$10=0,SUMIFS(INDIRECT(ADDRESS(12,3+18*1+(4),,,"J1 A - (North) Bishopthorpe Roa")&amp;":"&amp;ADDRESS(130,3+18*1+(4))),'J1 A - (North) Bishopthorpe Roa'!$A$12:$A$130,"&gt;="&amp;Diagram!$O25,'J1 A - (North) Bishopthorpe Roa'!$A$12:$A$130,"&lt;"&amp;Diagram!$P25),SUMIFS(INDIRECT(ADDRESS(12,3+18*1+(12),,,"J1 A - (North) Bishopthorpe Roa")&amp;":"&amp;ADDRESS(130,3+18*1+(12))),'J1 A - (North) Bishopthorpe Roa'!$A$12:$A$130,"&gt;="&amp;Diagram!$O25,'J1 A - (North) Bishopthorpe Roa'!$A$12:$A$130,"&lt;"&amp;Diagram!$P25)))</f>
        <v>2</v>
      </c>
      <c r="CL25" s="42">
        <f ca="1">IF(OR($I$10="",$O25="",$P25="",$J$39&lt;&gt;"Yes"),0,IF($K$10=0,SUMIFS(INDIRECT(ADDRESS(12,3+18*2+(4),,,"J1 A - (North) Bishopthorpe Roa")&amp;":"&amp;ADDRESS(130,3+18*2+(4))),'J1 A - (North) Bishopthorpe Roa'!$A$12:$A$130,"&gt;="&amp;Diagram!$O25,'J1 A - (North) Bishopthorpe Roa'!$A$12:$A$130,"&lt;"&amp;Diagram!$P25),SUMIFS(INDIRECT(ADDRESS(12,3+18*2+(12),,,"J1 A - (North) Bishopthorpe Roa")&amp;":"&amp;ADDRESS(130,3+18*2+(12))),'J1 A - (North) Bishopthorpe Roa'!$A$12:$A$130,"&gt;="&amp;Diagram!$O25,'J1 A - (North) Bishopthorpe Roa'!$A$12:$A$130,"&lt;"&amp;Diagram!$P25)))</f>
        <v>0</v>
      </c>
      <c r="CM25" s="42">
        <f ca="1">IF(OR($I$10="",$O25="",$P25="",$J$39&lt;&gt;"Yes"),0,IF($K$10=0,SUMIFS(INDIRECT(ADDRESS(12,3+18*2+(4),,,"J1 B - Butcher Terrace")&amp;":"&amp;ADDRESS(130,3+18*2+(4))),'J1 B - Butcher Terrace'!$A$12:$A$130,"&gt;="&amp;Diagram!$O25,'J1 B - Butcher Terrace'!$A$12:$A$130,"&lt;"&amp;Diagram!$P25),SUMIFS(INDIRECT(ADDRESS(12,3+18*2+(12),,,"J1 B - Butcher Terrace")&amp;":"&amp;ADDRESS(130,3+18*2+(12))),'J1 B - Butcher Terrace'!$A$12:$A$130,"&gt;="&amp;Diagram!$O25,'J1 B - Butcher Terrace'!$A$12:$A$130,"&lt;"&amp;Diagram!$P25)))</f>
        <v>0</v>
      </c>
      <c r="CN25" s="42">
        <f ca="1">IF(OR($I$10="",$O25="",$P25="",$J$39&lt;&gt;"Yes"),0,IF($K$10=0,SUMIFS(INDIRECT(ADDRESS(12,3+18*3+(4),,,"J1 B - Butcher Terrace")&amp;":"&amp;ADDRESS(130,3+18*3+(4))),'J1 B - Butcher Terrace'!$A$12:$A$130,"&gt;="&amp;Diagram!$O25,'J1 B - Butcher Terrace'!$A$12:$A$130,"&lt;"&amp;Diagram!$P25),SUMIFS(INDIRECT(ADDRESS(12,3+18*3+(12),,,"J1 B - Butcher Terrace")&amp;":"&amp;ADDRESS(130,3+18*3+(12))),'J1 B - Butcher Terrace'!$A$12:$A$130,"&gt;="&amp;Diagram!$O25,'J1 B - Butcher Terrace'!$A$12:$A$130,"&lt;"&amp;Diagram!$P25)))</f>
        <v>0</v>
      </c>
      <c r="CO25" s="42">
        <f ca="1">IF(OR($I$10="",$O25="",$P25="",$J$39&lt;&gt;"Yes"),0,IF($K$10=0,SUMIFS(INDIRECT(ADDRESS(12,3+18*0+(4),,,"J1 B - Butcher Terrace")&amp;":"&amp;ADDRESS(130,3+18*0+(4))),'J1 B - Butcher Terrace'!$A$12:$A$130,"&gt;="&amp;Diagram!$O25,'J1 B - Butcher Terrace'!$A$12:$A$130,"&lt;"&amp;Diagram!$P25),SUMIFS(INDIRECT(ADDRESS(12,3+18*0+(12),,,"J1 B - Butcher Terrace")&amp;":"&amp;ADDRESS(130,3+18*0+(12))),'J1 B - Butcher Terrace'!$A$12:$A$130,"&gt;="&amp;Diagram!$O25,'J1 B - Butcher Terrace'!$A$12:$A$130,"&lt;"&amp;Diagram!$P25)))</f>
        <v>0</v>
      </c>
      <c r="CP25" s="42">
        <f ca="1">IF(OR($I$10="",$O25="",$P25="",$J$39&lt;&gt;"Yes"),0,IF($K$10=0,SUMIFS(INDIRECT(ADDRESS(12,3+18*1+(4),,,"J1 B - Butcher Terrace")&amp;":"&amp;ADDRESS(130,3+18*1+(4))),'J1 B - Butcher Terrace'!$A$12:$A$130,"&gt;="&amp;Diagram!$O25,'J1 B - Butcher Terrace'!$A$12:$A$130,"&lt;"&amp;Diagram!$P25),SUMIFS(INDIRECT(ADDRESS(12,3+18*1+(12),,,"J1 B - Butcher Terrace")&amp;":"&amp;ADDRESS(130,3+18*1+(12))),'J1 B - Butcher Terrace'!$A$12:$A$130,"&gt;="&amp;Diagram!$O25,'J1 B - Butcher Terrace'!$A$12:$A$130,"&lt;"&amp;Diagram!$P25)))</f>
        <v>0</v>
      </c>
      <c r="CQ25" s="42">
        <f ca="1">IF(OR($I$10="",$O25="",$P25="",$J$39&lt;&gt;"Yes"),0,IF($K$10=0,SUMIFS(INDIRECT(ADDRESS(12,3+18*1+(4),,,"J1 C - (South) Bishopthorpe Roa")&amp;":"&amp;ADDRESS(130,3+18*1+(4))),'J1 C - (South) Bishopthorpe Roa'!$A$12:$A$130,"&gt;="&amp;Diagram!$O25,'J1 C - (South) Bishopthorpe Roa'!$A$12:$A$130,"&lt;"&amp;Diagram!$P25),SUMIFS(INDIRECT(ADDRESS(12,3+18*1+(12),,,"J1 C - (South) Bishopthorpe Roa")&amp;":"&amp;ADDRESS(130,3+18*1+(12))),'J1 C - (South) Bishopthorpe Roa'!$A$12:$A$130,"&gt;="&amp;Diagram!$O25,'J1 C - (South) Bishopthorpe Roa'!$A$12:$A$130,"&lt;"&amp;Diagram!$P25)))</f>
        <v>1</v>
      </c>
      <c r="CR25" s="42">
        <f ca="1">IF(OR($I$10="",$O25="",$P25="",$J$39&lt;&gt;"Yes"),0,IF($K$10=0,SUMIFS(INDIRECT(ADDRESS(12,3+18*2+(4),,,"J1 C - (South) Bishopthorpe Roa")&amp;":"&amp;ADDRESS(130,3+18*2+(4))),'J1 C - (South) Bishopthorpe Roa'!$A$12:$A$130,"&gt;="&amp;Diagram!$O25,'J1 C - (South) Bishopthorpe Roa'!$A$12:$A$130,"&lt;"&amp;Diagram!$P25),SUMIFS(INDIRECT(ADDRESS(12,3+18*2+(12),,,"J1 C - (South) Bishopthorpe Roa")&amp;":"&amp;ADDRESS(130,3+18*2+(12))),'J1 C - (South) Bishopthorpe Roa'!$A$12:$A$130,"&gt;="&amp;Diagram!$O25,'J1 C - (South) Bishopthorpe Roa'!$A$12:$A$130,"&lt;"&amp;Diagram!$P25)))</f>
        <v>0</v>
      </c>
      <c r="CS25" s="42">
        <f ca="1">IF(OR($I$10="",$O25="",$P25="",$J$39&lt;&gt;"Yes"),0,IF($K$10=0,SUMIFS(INDIRECT(ADDRESS(12,3+18*3+(4),,,"J1 C - (South) Bishopthorpe Roa")&amp;":"&amp;ADDRESS(130,3+18*3+(4))),'J1 C - (South) Bishopthorpe Roa'!$A$12:$A$130,"&gt;="&amp;Diagram!$O25,'J1 C - (South) Bishopthorpe Roa'!$A$12:$A$130,"&lt;"&amp;Diagram!$P25),SUMIFS(INDIRECT(ADDRESS(12,3+18*3+(12),,,"J1 C - (South) Bishopthorpe Roa")&amp;":"&amp;ADDRESS(130,3+18*3+(12))),'J1 C - (South) Bishopthorpe Roa'!$A$12:$A$130,"&gt;="&amp;Diagram!$O25,'J1 C - (South) Bishopthorpe Roa'!$A$12:$A$130,"&lt;"&amp;Diagram!$P25)))</f>
        <v>0</v>
      </c>
      <c r="CT25" s="42">
        <f ca="1">IF(OR($I$10="",$O25="",$P25="",$J$39&lt;&gt;"Yes"),0,IF($K$10=0,SUMIFS(INDIRECT(ADDRESS(12,3+18*0+(4),,,"J1 C - (South) Bishopthorpe Roa")&amp;":"&amp;ADDRESS(130,3+18*0+(4))),'J1 C - (South) Bishopthorpe Roa'!$A$12:$A$130,"&gt;="&amp;Diagram!$O25,'J1 C - (South) Bishopthorpe Roa'!$A$12:$A$130,"&lt;"&amp;Diagram!$P25),SUMIFS(INDIRECT(ADDRESS(12,3+18*0+(12),,,"J1 C - (South) Bishopthorpe Roa")&amp;":"&amp;ADDRESS(130,3+18*0+(12))),'J1 C - (South) Bishopthorpe Roa'!$A$12:$A$130,"&gt;="&amp;Diagram!$O25,'J1 C - (South) Bishopthorpe Roa'!$A$12:$A$130,"&lt;"&amp;Diagram!$P25)))</f>
        <v>0</v>
      </c>
      <c r="CU25" s="42">
        <f ca="1">IF(OR($I$10="",$O25="",$P25="",$J$39&lt;&gt;"Yes"),0,IF($K$10=0,SUMIFS(INDIRECT(ADDRESS(12,3+18*0+(4),,,"J1 D - South Bank Avenue")&amp;":"&amp;ADDRESS(130,3+18*0+(4))),'J1 D - South Bank Avenue'!$A$12:$A$130,"&gt;="&amp;Diagram!$O25,'J1 D - South Bank Avenue'!$A$12:$A$130,"&lt;"&amp;Diagram!$P25),SUMIFS(INDIRECT(ADDRESS(12,3+18*0+(12),,,"J1 D - South Bank Avenue")&amp;":"&amp;ADDRESS(130,3+18*0+(12))),'J1 D - South Bank Avenue'!$A$12:$A$130,"&gt;="&amp;Diagram!$O25,'J1 D - South Bank Avenue'!$A$12:$A$130,"&lt;"&amp;Diagram!$P25)))</f>
        <v>0</v>
      </c>
      <c r="CV25" s="42">
        <f ca="1">IF(OR($I$10="",$O25="",$P25="",$J$39&lt;&gt;"Yes"),0,IF($K$10=0,SUMIFS(INDIRECT(ADDRESS(12,3+18*1+(4),,,"J1 D - South Bank Avenue")&amp;":"&amp;ADDRESS(130,3+18*1+(4))),'J1 D - South Bank Avenue'!$A$12:$A$130,"&gt;="&amp;Diagram!$O25,'J1 D - South Bank Avenue'!$A$12:$A$130,"&lt;"&amp;Diagram!$P25),SUMIFS(INDIRECT(ADDRESS(12,3+18*1+(12),,,"J1 D - South Bank Avenue")&amp;":"&amp;ADDRESS(130,3+18*1+(12))),'J1 D - South Bank Avenue'!$A$12:$A$130,"&gt;="&amp;Diagram!$O25,'J1 D - South Bank Avenue'!$A$12:$A$130,"&lt;"&amp;Diagram!$P25)))</f>
        <v>0</v>
      </c>
      <c r="CW25" s="42">
        <f ca="1">IF(OR($I$10="",$O25="",$P25="",$J$39&lt;&gt;"Yes"),0,IF($K$10=0,SUMIFS(INDIRECT(ADDRESS(12,3+18*2+(4),,,"J1 D - South Bank Avenue")&amp;":"&amp;ADDRESS(130,3+18*2+(4))),'J1 D - South Bank Avenue'!$A$12:$A$130,"&gt;="&amp;Diagram!$O25,'J1 D - South Bank Avenue'!$A$12:$A$130,"&lt;"&amp;Diagram!$P25),SUMIFS(INDIRECT(ADDRESS(12,3+18*2+(12),,,"J1 D - South Bank Avenue")&amp;":"&amp;ADDRESS(130,3+18*2+(12))),'J1 D - South Bank Avenue'!$A$12:$A$130,"&gt;="&amp;Diagram!$O25,'J1 D - South Bank Avenue'!$A$12:$A$130,"&lt;"&amp;Diagram!$P25)))</f>
        <v>0</v>
      </c>
      <c r="CX25" s="42">
        <f ca="1">IF(OR($I$10="",$O25="",$P25="",$J$39&lt;&gt;"Yes"),0,IF($K$10=0,SUMIFS(INDIRECT(ADDRESS(12,3+18*3+(4),,,"J1 D - South Bank Avenue")&amp;":"&amp;ADDRESS(130,3+18*3+(4))),'J1 D - South Bank Avenue'!$A$12:$A$130,"&gt;="&amp;Diagram!$O25,'J1 D - South Bank Avenue'!$A$12:$A$130,"&lt;"&amp;Diagram!$P25),SUMIFS(INDIRECT(ADDRESS(12,3+18*3+(12),,,"J1 D - South Bank Avenue")&amp;":"&amp;ADDRESS(130,3+18*3+(12))),'J1 D - South Bank Avenue'!$A$12:$A$130,"&gt;="&amp;Diagram!$O25,'J1 D - South Bank Avenue'!$A$12:$A$130,"&lt;"&amp;Diagram!$P25)))</f>
        <v>0</v>
      </c>
      <c r="CY25" s="42">
        <f t="shared" ca="1" si="6"/>
        <v>27</v>
      </c>
      <c r="CZ25" s="42">
        <f ca="1">IF(OR($I$10="",$O25="",$P25="",$J$40&lt;&gt;"Yes"),0,IF($K$10=0,SUMIFS(INDIRECT(ADDRESS(12,3+18*3+(5),,,"J1 A - (North) Bishopthorpe Roa")&amp;":"&amp;ADDRESS(130,3+18*3+(5))),'J1 A - (North) Bishopthorpe Roa'!$A$12:$A$130,"&gt;="&amp;Diagram!$O25,'J1 A - (North) Bishopthorpe Roa'!$A$12:$A$130,"&lt;"&amp;Diagram!$P25),SUMIFS(INDIRECT(ADDRESS(12,3+18*3+(13),,,"J1 A - (North) Bishopthorpe Roa")&amp;":"&amp;ADDRESS(130,3+18*3+(13))),'J1 A - (North) Bishopthorpe Roa'!$A$12:$A$130,"&gt;="&amp;Diagram!$O25,'J1 A - (North) Bishopthorpe Roa'!$A$12:$A$130,"&lt;"&amp;Diagram!$P25)))</f>
        <v>0</v>
      </c>
      <c r="DA25" s="42">
        <f ca="1">IF(OR($I$10="",$O25="",$P25="",$J$40&lt;&gt;"Yes"),0,IF($K$10=0,SUMIFS(INDIRECT(ADDRESS(12,3+18*0+(5),,,"J1 A - (North) Bishopthorpe Roa")&amp;":"&amp;ADDRESS(130,3+18*0+(5))),'J1 A - (North) Bishopthorpe Roa'!$A$12:$A$130,"&gt;="&amp;Diagram!$O25,'J1 A - (North) Bishopthorpe Roa'!$A$12:$A$130,"&lt;"&amp;Diagram!$P25),SUMIFS(INDIRECT(ADDRESS(12,3+18*0+(13),,,"J1 A - (North) Bishopthorpe Roa")&amp;":"&amp;ADDRESS(130,3+18*0+(13))),'J1 A - (North) Bishopthorpe Roa'!$A$12:$A$130,"&gt;="&amp;Diagram!$O25,'J1 A - (North) Bishopthorpe Roa'!$A$12:$A$130,"&lt;"&amp;Diagram!$P25)))</f>
        <v>4</v>
      </c>
      <c r="DB25" s="42">
        <f ca="1">IF(OR($I$10="",$O25="",$P25="",$J$40&lt;&gt;"Yes"),0,IF($K$10=0,SUMIFS(INDIRECT(ADDRESS(12,3+18*1+(5),,,"J1 A - (North) Bishopthorpe Roa")&amp;":"&amp;ADDRESS(130,3+18*1+(5))),'J1 A - (North) Bishopthorpe Roa'!$A$12:$A$130,"&gt;="&amp;Diagram!$O25,'J1 A - (North) Bishopthorpe Roa'!$A$12:$A$130,"&lt;"&amp;Diagram!$P25),SUMIFS(INDIRECT(ADDRESS(12,3+18*1+(13),,,"J1 A - (North) Bishopthorpe Roa")&amp;":"&amp;ADDRESS(130,3+18*1+(13))),'J1 A - (North) Bishopthorpe Roa'!$A$12:$A$130,"&gt;="&amp;Diagram!$O25,'J1 A - (North) Bishopthorpe Roa'!$A$12:$A$130,"&lt;"&amp;Diagram!$P25)))</f>
        <v>2</v>
      </c>
      <c r="DC25" s="42">
        <f ca="1">IF(OR($I$10="",$O25="",$P25="",$J$40&lt;&gt;"Yes"),0,IF($K$10=0,SUMIFS(INDIRECT(ADDRESS(12,3+18*2+(5),,,"J1 A - (North) Bishopthorpe Roa")&amp;":"&amp;ADDRESS(130,3+18*2+(5))),'J1 A - (North) Bishopthorpe Roa'!$A$12:$A$130,"&gt;="&amp;Diagram!$O25,'J1 A - (North) Bishopthorpe Roa'!$A$12:$A$130,"&lt;"&amp;Diagram!$P25),SUMIFS(INDIRECT(ADDRESS(12,3+18*2+(13),,,"J1 A - (North) Bishopthorpe Roa")&amp;":"&amp;ADDRESS(130,3+18*2+(13))),'J1 A - (North) Bishopthorpe Roa'!$A$12:$A$130,"&gt;="&amp;Diagram!$O25,'J1 A - (North) Bishopthorpe Roa'!$A$12:$A$130,"&lt;"&amp;Diagram!$P25)))</f>
        <v>0</v>
      </c>
      <c r="DD25" s="42">
        <f ca="1">IF(OR($I$10="",$O25="",$P25="",$J$40&lt;&gt;"Yes"),0,IF($K$10=0,SUMIFS(INDIRECT(ADDRESS(12,3+18*2+(5),,,"J1 B - Butcher Terrace")&amp;":"&amp;ADDRESS(130,3+18*2+(5))),'J1 B - Butcher Terrace'!$A$12:$A$130,"&gt;="&amp;Diagram!$O25,'J1 B - Butcher Terrace'!$A$12:$A$130,"&lt;"&amp;Diagram!$P25),SUMIFS(INDIRECT(ADDRESS(12,3+18*2+(13),,,"J1 B - Butcher Terrace")&amp;":"&amp;ADDRESS(130,3+18*2+(13))),'J1 B - Butcher Terrace'!$A$12:$A$130,"&gt;="&amp;Diagram!$O25,'J1 B - Butcher Terrace'!$A$12:$A$130,"&lt;"&amp;Diagram!$P25)))</f>
        <v>1</v>
      </c>
      <c r="DE25" s="42">
        <f ca="1">IF(OR($I$10="",$O25="",$P25="",$J$40&lt;&gt;"Yes"),0,IF($K$10=0,SUMIFS(INDIRECT(ADDRESS(12,3+18*3+(5),,,"J1 B - Butcher Terrace")&amp;":"&amp;ADDRESS(130,3+18*3+(5))),'J1 B - Butcher Terrace'!$A$12:$A$130,"&gt;="&amp;Diagram!$O25,'J1 B - Butcher Terrace'!$A$12:$A$130,"&lt;"&amp;Diagram!$P25),SUMIFS(INDIRECT(ADDRESS(12,3+18*3+(13),,,"J1 B - Butcher Terrace")&amp;":"&amp;ADDRESS(130,3+18*3+(13))),'J1 B - Butcher Terrace'!$A$12:$A$130,"&gt;="&amp;Diagram!$O25,'J1 B - Butcher Terrace'!$A$12:$A$130,"&lt;"&amp;Diagram!$P25)))</f>
        <v>0</v>
      </c>
      <c r="DF25" s="42">
        <f ca="1">IF(OR($I$10="",$O25="",$P25="",$J$40&lt;&gt;"Yes"),0,IF($K$10=0,SUMIFS(INDIRECT(ADDRESS(12,3+18*0+(5),,,"J1 B - Butcher Terrace")&amp;":"&amp;ADDRESS(130,3+18*0+(5))),'J1 B - Butcher Terrace'!$A$12:$A$130,"&gt;="&amp;Diagram!$O25,'J1 B - Butcher Terrace'!$A$12:$A$130,"&lt;"&amp;Diagram!$P25),SUMIFS(INDIRECT(ADDRESS(12,3+18*0+(13),,,"J1 B - Butcher Terrace")&amp;":"&amp;ADDRESS(130,3+18*0+(13))),'J1 B - Butcher Terrace'!$A$12:$A$130,"&gt;="&amp;Diagram!$O25,'J1 B - Butcher Terrace'!$A$12:$A$130,"&lt;"&amp;Diagram!$P25)))</f>
        <v>1</v>
      </c>
      <c r="DG25" s="42">
        <f ca="1">IF(OR($I$10="",$O25="",$P25="",$J$40&lt;&gt;"Yes"),0,IF($K$10=0,SUMIFS(INDIRECT(ADDRESS(12,3+18*1+(5),,,"J1 B - Butcher Terrace")&amp;":"&amp;ADDRESS(130,3+18*1+(5))),'J1 B - Butcher Terrace'!$A$12:$A$130,"&gt;="&amp;Diagram!$O25,'J1 B - Butcher Terrace'!$A$12:$A$130,"&lt;"&amp;Diagram!$P25),SUMIFS(INDIRECT(ADDRESS(12,3+18*1+(13),,,"J1 B - Butcher Terrace")&amp;":"&amp;ADDRESS(130,3+18*1+(13))),'J1 B - Butcher Terrace'!$A$12:$A$130,"&gt;="&amp;Diagram!$O25,'J1 B - Butcher Terrace'!$A$12:$A$130,"&lt;"&amp;Diagram!$P25)))</f>
        <v>5</v>
      </c>
      <c r="DH25" s="42">
        <f ca="1">IF(OR($I$10="",$O25="",$P25="",$J$40&lt;&gt;"Yes"),0,IF($K$10=0,SUMIFS(INDIRECT(ADDRESS(12,3+18*1+(5),,,"J1 C - (South) Bishopthorpe Roa")&amp;":"&amp;ADDRESS(130,3+18*1+(5))),'J1 C - (South) Bishopthorpe Roa'!$A$12:$A$130,"&gt;="&amp;Diagram!$O25,'J1 C - (South) Bishopthorpe Roa'!$A$12:$A$130,"&lt;"&amp;Diagram!$P25),SUMIFS(INDIRECT(ADDRESS(12,3+18*1+(13),,,"J1 C - (South) Bishopthorpe Roa")&amp;":"&amp;ADDRESS(130,3+18*1+(13))),'J1 C - (South) Bishopthorpe Roa'!$A$12:$A$130,"&gt;="&amp;Diagram!$O25,'J1 C - (South) Bishopthorpe Roa'!$A$12:$A$130,"&lt;"&amp;Diagram!$P25)))</f>
        <v>6</v>
      </c>
      <c r="DI25" s="42">
        <f ca="1">IF(OR($I$10="",$O25="",$P25="",$J$40&lt;&gt;"Yes"),0,IF($K$10=0,SUMIFS(INDIRECT(ADDRESS(12,3+18*2+(5),,,"J1 C - (South) Bishopthorpe Roa")&amp;":"&amp;ADDRESS(130,3+18*2+(5))),'J1 C - (South) Bishopthorpe Roa'!$A$12:$A$130,"&gt;="&amp;Diagram!$O25,'J1 C - (South) Bishopthorpe Roa'!$A$12:$A$130,"&lt;"&amp;Diagram!$P25),SUMIFS(INDIRECT(ADDRESS(12,3+18*2+(13),,,"J1 C - (South) Bishopthorpe Roa")&amp;":"&amp;ADDRESS(130,3+18*2+(13))),'J1 C - (South) Bishopthorpe Roa'!$A$12:$A$130,"&gt;="&amp;Diagram!$O25,'J1 C - (South) Bishopthorpe Roa'!$A$12:$A$130,"&lt;"&amp;Diagram!$P25)))</f>
        <v>2</v>
      </c>
      <c r="DJ25" s="42">
        <f ca="1">IF(OR($I$10="",$O25="",$P25="",$J$40&lt;&gt;"Yes"),0,IF($K$10=0,SUMIFS(INDIRECT(ADDRESS(12,3+18*3+(5),,,"J1 C - (South) Bishopthorpe Roa")&amp;":"&amp;ADDRESS(130,3+18*3+(5))),'J1 C - (South) Bishopthorpe Roa'!$A$12:$A$130,"&gt;="&amp;Diagram!$O25,'J1 C - (South) Bishopthorpe Roa'!$A$12:$A$130,"&lt;"&amp;Diagram!$P25),SUMIFS(INDIRECT(ADDRESS(12,3+18*3+(13),,,"J1 C - (South) Bishopthorpe Roa")&amp;":"&amp;ADDRESS(130,3+18*3+(13))),'J1 C - (South) Bishopthorpe Roa'!$A$12:$A$130,"&gt;="&amp;Diagram!$O25,'J1 C - (South) Bishopthorpe Roa'!$A$12:$A$130,"&lt;"&amp;Diagram!$P25)))</f>
        <v>0</v>
      </c>
      <c r="DK25" s="42">
        <f ca="1">IF(OR($I$10="",$O25="",$P25="",$J$40&lt;&gt;"Yes"),0,IF($K$10=0,SUMIFS(INDIRECT(ADDRESS(12,3+18*0+(5),,,"J1 C - (South) Bishopthorpe Roa")&amp;":"&amp;ADDRESS(130,3+18*0+(5))),'J1 C - (South) Bishopthorpe Roa'!$A$12:$A$130,"&gt;="&amp;Diagram!$O25,'J1 C - (South) Bishopthorpe Roa'!$A$12:$A$130,"&lt;"&amp;Diagram!$P25),SUMIFS(INDIRECT(ADDRESS(12,3+18*0+(13),,,"J1 C - (South) Bishopthorpe Roa")&amp;":"&amp;ADDRESS(130,3+18*0+(13))),'J1 C - (South) Bishopthorpe Roa'!$A$12:$A$130,"&gt;="&amp;Diagram!$O25,'J1 C - (South) Bishopthorpe Roa'!$A$12:$A$130,"&lt;"&amp;Diagram!$P25)))</f>
        <v>0</v>
      </c>
      <c r="DL25" s="42">
        <f ca="1">IF(OR($I$10="",$O25="",$P25="",$J$40&lt;&gt;"Yes"),0,IF($K$10=0,SUMIFS(INDIRECT(ADDRESS(12,3+18*0+(5),,,"J1 D - South Bank Avenue")&amp;":"&amp;ADDRESS(130,3+18*0+(5))),'J1 D - South Bank Avenue'!$A$12:$A$130,"&gt;="&amp;Diagram!$O25,'J1 D - South Bank Avenue'!$A$12:$A$130,"&lt;"&amp;Diagram!$P25),SUMIFS(INDIRECT(ADDRESS(12,3+18*0+(13),,,"J1 D - South Bank Avenue")&amp;":"&amp;ADDRESS(130,3+18*0+(13))),'J1 D - South Bank Avenue'!$A$12:$A$130,"&gt;="&amp;Diagram!$O25,'J1 D - South Bank Avenue'!$A$12:$A$130,"&lt;"&amp;Diagram!$P25)))</f>
        <v>0</v>
      </c>
      <c r="DM25" s="42">
        <f ca="1">IF(OR($I$10="",$O25="",$P25="",$J$40&lt;&gt;"Yes"),0,IF($K$10=0,SUMIFS(INDIRECT(ADDRESS(12,3+18*1+(5),,,"J1 D - South Bank Avenue")&amp;":"&amp;ADDRESS(130,3+18*1+(5))),'J1 D - South Bank Avenue'!$A$12:$A$130,"&gt;="&amp;Diagram!$O25,'J1 D - South Bank Avenue'!$A$12:$A$130,"&lt;"&amp;Diagram!$P25),SUMIFS(INDIRECT(ADDRESS(12,3+18*1+(13),,,"J1 D - South Bank Avenue")&amp;":"&amp;ADDRESS(130,3+18*1+(13))),'J1 D - South Bank Avenue'!$A$12:$A$130,"&gt;="&amp;Diagram!$O25,'J1 D - South Bank Avenue'!$A$12:$A$130,"&lt;"&amp;Diagram!$P25)))</f>
        <v>6</v>
      </c>
      <c r="DN25" s="42">
        <f ca="1">IF(OR($I$10="",$O25="",$P25="",$J$40&lt;&gt;"Yes"),0,IF($K$10=0,SUMIFS(INDIRECT(ADDRESS(12,3+18*2+(5),,,"J1 D - South Bank Avenue")&amp;":"&amp;ADDRESS(130,3+18*2+(5))),'J1 D - South Bank Avenue'!$A$12:$A$130,"&gt;="&amp;Diagram!$O25,'J1 D - South Bank Avenue'!$A$12:$A$130,"&lt;"&amp;Diagram!$P25),SUMIFS(INDIRECT(ADDRESS(12,3+18*2+(13),,,"J1 D - South Bank Avenue")&amp;":"&amp;ADDRESS(130,3+18*2+(13))),'J1 D - South Bank Avenue'!$A$12:$A$130,"&gt;="&amp;Diagram!$O25,'J1 D - South Bank Avenue'!$A$12:$A$130,"&lt;"&amp;Diagram!$P25)))</f>
        <v>0</v>
      </c>
      <c r="DO25" s="42">
        <f ca="1">IF(OR($I$10="",$O25="",$P25="",$J$40&lt;&gt;"Yes"),0,IF($K$10=0,SUMIFS(INDIRECT(ADDRESS(12,3+18*3+(5),,,"J1 D - South Bank Avenue")&amp;":"&amp;ADDRESS(130,3+18*3+(5))),'J1 D - South Bank Avenue'!$A$12:$A$130,"&gt;="&amp;Diagram!$O25,'J1 D - South Bank Avenue'!$A$12:$A$130,"&lt;"&amp;Diagram!$P25),SUMIFS(INDIRECT(ADDRESS(12,3+18*3+(13),,,"J1 D - South Bank Avenue")&amp;":"&amp;ADDRESS(130,3+18*3+(13))),'J1 D - South Bank Avenue'!$A$12:$A$130,"&gt;="&amp;Diagram!$O25,'J1 D - South Bank Avenue'!$A$12:$A$130,"&lt;"&amp;Diagram!$P25)))</f>
        <v>0</v>
      </c>
      <c r="DP25" s="42">
        <f t="shared" ca="1" si="7"/>
        <v>0</v>
      </c>
      <c r="DQ25" s="42">
        <f ca="1">IF(OR($I$10="",$O25="",$P25="",$J$41&lt;&gt;"Yes"),0,IF($K$10=0,SUMIFS(INDIRECT(ADDRESS(12,3+18*3+(6),,,"J1 A - (North) Bishopthorpe Roa")&amp;":"&amp;ADDRESS(130,3+18*3+(6))),'J1 A - (North) Bishopthorpe Roa'!$A$12:$A$130,"&gt;="&amp;Diagram!$O25,'J1 A - (North) Bishopthorpe Roa'!$A$12:$A$130,"&lt;"&amp;Diagram!$P25),SUMIFS(INDIRECT(ADDRESS(12,3+18*3+(14),,,"J1 A - (North) Bishopthorpe Roa")&amp;":"&amp;ADDRESS(130,3+18*3+(14))),'J1 A - (North) Bishopthorpe Roa'!$A$12:$A$130,"&gt;="&amp;Diagram!$O25,'J1 A - (North) Bishopthorpe Roa'!$A$12:$A$130,"&lt;"&amp;Diagram!$P25)))</f>
        <v>0</v>
      </c>
      <c r="DR25" s="42">
        <f ca="1">IF(OR($I$10="",$O25="",$P25="",$J$41&lt;&gt;"Yes"),0,IF($K$10=0,SUMIFS(INDIRECT(ADDRESS(12,3+18*0+(6),,,"J1 A - (North) Bishopthorpe Roa")&amp;":"&amp;ADDRESS(130,3+18*0+(6))),'J1 A - (North) Bishopthorpe Roa'!$A$12:$A$130,"&gt;="&amp;Diagram!$O25,'J1 A - (North) Bishopthorpe Roa'!$A$12:$A$130,"&lt;"&amp;Diagram!$P25),SUMIFS(INDIRECT(ADDRESS(12,3+18*0+(14),,,"J1 A - (North) Bishopthorpe Roa")&amp;":"&amp;ADDRESS(130,3+18*0+(14))),'J1 A - (North) Bishopthorpe Roa'!$A$12:$A$130,"&gt;="&amp;Diagram!$O25,'J1 A - (North) Bishopthorpe Roa'!$A$12:$A$130,"&lt;"&amp;Diagram!$P25)))</f>
        <v>0</v>
      </c>
      <c r="DS25" s="42">
        <f ca="1">IF(OR($I$10="",$O25="",$P25="",$J$41&lt;&gt;"Yes"),0,IF($K$10=0,SUMIFS(INDIRECT(ADDRESS(12,3+18*1+(6),,,"J1 A - (North) Bishopthorpe Roa")&amp;":"&amp;ADDRESS(130,3+18*1+(6))),'J1 A - (North) Bishopthorpe Roa'!$A$12:$A$130,"&gt;="&amp;Diagram!$O25,'J1 A - (North) Bishopthorpe Roa'!$A$12:$A$130,"&lt;"&amp;Diagram!$P25),SUMIFS(INDIRECT(ADDRESS(12,3+18*1+(14),,,"J1 A - (North) Bishopthorpe Roa")&amp;":"&amp;ADDRESS(130,3+18*1+(14))),'J1 A - (North) Bishopthorpe Roa'!$A$12:$A$130,"&gt;="&amp;Diagram!$O25,'J1 A - (North) Bishopthorpe Roa'!$A$12:$A$130,"&lt;"&amp;Diagram!$P25)))</f>
        <v>0</v>
      </c>
      <c r="DT25" s="42">
        <f ca="1">IF(OR($I$10="",$O25="",$P25="",$J$41&lt;&gt;"Yes"),0,IF($K$10=0,SUMIFS(INDIRECT(ADDRESS(12,3+18*2+(6),,,"J1 A - (North) Bishopthorpe Roa")&amp;":"&amp;ADDRESS(130,3+18*2+(6))),'J1 A - (North) Bishopthorpe Roa'!$A$12:$A$130,"&gt;="&amp;Diagram!$O25,'J1 A - (North) Bishopthorpe Roa'!$A$12:$A$130,"&lt;"&amp;Diagram!$P25),SUMIFS(INDIRECT(ADDRESS(12,3+18*2+(14),,,"J1 A - (North) Bishopthorpe Roa")&amp;":"&amp;ADDRESS(130,3+18*2+(14))),'J1 A - (North) Bishopthorpe Roa'!$A$12:$A$130,"&gt;="&amp;Diagram!$O25,'J1 A - (North) Bishopthorpe Roa'!$A$12:$A$130,"&lt;"&amp;Diagram!$P25)))</f>
        <v>0</v>
      </c>
      <c r="DU25" s="42">
        <f ca="1">IF(OR($I$10="",$O25="",$P25="",$J$41&lt;&gt;"Yes"),0,IF($K$10=0,SUMIFS(INDIRECT(ADDRESS(12,3+18*2+(6),,,"J1 B - Butcher Terrace")&amp;":"&amp;ADDRESS(130,3+18*2+(6))),'J1 B - Butcher Terrace'!$A$12:$A$130,"&gt;="&amp;Diagram!$O25,'J1 B - Butcher Terrace'!$A$12:$A$130,"&lt;"&amp;Diagram!$P25),SUMIFS(INDIRECT(ADDRESS(12,3+18*2+(14),,,"J1 B - Butcher Terrace")&amp;":"&amp;ADDRESS(130,3+18*2+(14))),'J1 B - Butcher Terrace'!$A$12:$A$130,"&gt;="&amp;Diagram!$O25,'J1 B - Butcher Terrace'!$A$12:$A$130,"&lt;"&amp;Diagram!$P25)))</f>
        <v>0</v>
      </c>
      <c r="DV25" s="42">
        <f ca="1">IF(OR($I$10="",$O25="",$P25="",$J$41&lt;&gt;"Yes"),0,IF($K$10=0,SUMIFS(INDIRECT(ADDRESS(12,3+18*3+(6),,,"J1 B - Butcher Terrace")&amp;":"&amp;ADDRESS(130,3+18*3+(6))),'J1 B - Butcher Terrace'!$A$12:$A$130,"&gt;="&amp;Diagram!$O25,'J1 B - Butcher Terrace'!$A$12:$A$130,"&lt;"&amp;Diagram!$P25),SUMIFS(INDIRECT(ADDRESS(12,3+18*3+(14),,,"J1 B - Butcher Terrace")&amp;":"&amp;ADDRESS(130,3+18*3+(14))),'J1 B - Butcher Terrace'!$A$12:$A$130,"&gt;="&amp;Diagram!$O25,'J1 B - Butcher Terrace'!$A$12:$A$130,"&lt;"&amp;Diagram!$P25)))</f>
        <v>0</v>
      </c>
      <c r="DW25" s="42">
        <f ca="1">IF(OR($I$10="",$O25="",$P25="",$J$41&lt;&gt;"Yes"),0,IF($K$10=0,SUMIFS(INDIRECT(ADDRESS(12,3+18*0+(6),,,"J1 B - Butcher Terrace")&amp;":"&amp;ADDRESS(130,3+18*0+(6))),'J1 B - Butcher Terrace'!$A$12:$A$130,"&gt;="&amp;Diagram!$O25,'J1 B - Butcher Terrace'!$A$12:$A$130,"&lt;"&amp;Diagram!$P25),SUMIFS(INDIRECT(ADDRESS(12,3+18*0+(14),,,"J1 B - Butcher Terrace")&amp;":"&amp;ADDRESS(130,3+18*0+(14))),'J1 B - Butcher Terrace'!$A$12:$A$130,"&gt;="&amp;Diagram!$O25,'J1 B - Butcher Terrace'!$A$12:$A$130,"&lt;"&amp;Diagram!$P25)))</f>
        <v>0</v>
      </c>
      <c r="DX25" s="42">
        <f ca="1">IF(OR($I$10="",$O25="",$P25="",$J$41&lt;&gt;"Yes"),0,IF($K$10=0,SUMIFS(INDIRECT(ADDRESS(12,3+18*1+(6),,,"J1 B - Butcher Terrace")&amp;":"&amp;ADDRESS(130,3+18*1+(6))),'J1 B - Butcher Terrace'!$A$12:$A$130,"&gt;="&amp;Diagram!$O25,'J1 B - Butcher Terrace'!$A$12:$A$130,"&lt;"&amp;Diagram!$P25),SUMIFS(INDIRECT(ADDRESS(12,3+18*1+(14),,,"J1 B - Butcher Terrace")&amp;":"&amp;ADDRESS(130,3+18*1+(14))),'J1 B - Butcher Terrace'!$A$12:$A$130,"&gt;="&amp;Diagram!$O25,'J1 B - Butcher Terrace'!$A$12:$A$130,"&lt;"&amp;Diagram!$P25)))</f>
        <v>0</v>
      </c>
      <c r="DY25" s="42">
        <f ca="1">IF(OR($I$10="",$O25="",$P25="",$J$41&lt;&gt;"Yes"),0,IF($K$10=0,SUMIFS(INDIRECT(ADDRESS(12,3+18*1+(6),,,"J1 C - (South) Bishopthorpe Roa")&amp;":"&amp;ADDRESS(130,3+18*1+(6))),'J1 C - (South) Bishopthorpe Roa'!$A$12:$A$130,"&gt;="&amp;Diagram!$O25,'J1 C - (South) Bishopthorpe Roa'!$A$12:$A$130,"&lt;"&amp;Diagram!$P25),SUMIFS(INDIRECT(ADDRESS(12,3+18*1+(14),,,"J1 C - (South) Bishopthorpe Roa")&amp;":"&amp;ADDRESS(130,3+18*1+(14))),'J1 C - (South) Bishopthorpe Roa'!$A$12:$A$130,"&gt;="&amp;Diagram!$O25,'J1 C - (South) Bishopthorpe Roa'!$A$12:$A$130,"&lt;"&amp;Diagram!$P25)))</f>
        <v>0</v>
      </c>
      <c r="DZ25" s="42">
        <f ca="1">IF(OR($I$10="",$O25="",$P25="",$J$41&lt;&gt;"Yes"),0,IF($K$10=0,SUMIFS(INDIRECT(ADDRESS(12,3+18*2+(6),,,"J1 C - (South) Bishopthorpe Roa")&amp;":"&amp;ADDRESS(130,3+18*2+(6))),'J1 C - (South) Bishopthorpe Roa'!$A$12:$A$130,"&gt;="&amp;Diagram!$O25,'J1 C - (South) Bishopthorpe Roa'!$A$12:$A$130,"&lt;"&amp;Diagram!$P25),SUMIFS(INDIRECT(ADDRESS(12,3+18*2+(14),,,"J1 C - (South) Bishopthorpe Roa")&amp;":"&amp;ADDRESS(130,3+18*2+(14))),'J1 C - (South) Bishopthorpe Roa'!$A$12:$A$130,"&gt;="&amp;Diagram!$O25,'J1 C - (South) Bishopthorpe Roa'!$A$12:$A$130,"&lt;"&amp;Diagram!$P25)))</f>
        <v>0</v>
      </c>
      <c r="EA25" s="42">
        <f ca="1">IF(OR($I$10="",$O25="",$P25="",$J$41&lt;&gt;"Yes"),0,IF($K$10=0,SUMIFS(INDIRECT(ADDRESS(12,3+18*3+(6),,,"J1 C - (South) Bishopthorpe Roa")&amp;":"&amp;ADDRESS(130,3+18*3+(6))),'J1 C - (South) Bishopthorpe Roa'!$A$12:$A$130,"&gt;="&amp;Diagram!$O25,'J1 C - (South) Bishopthorpe Roa'!$A$12:$A$130,"&lt;"&amp;Diagram!$P25),SUMIFS(INDIRECT(ADDRESS(12,3+18*3+(14),,,"J1 C - (South) Bishopthorpe Roa")&amp;":"&amp;ADDRESS(130,3+18*3+(14))),'J1 C - (South) Bishopthorpe Roa'!$A$12:$A$130,"&gt;="&amp;Diagram!$O25,'J1 C - (South) Bishopthorpe Roa'!$A$12:$A$130,"&lt;"&amp;Diagram!$P25)))</f>
        <v>0</v>
      </c>
      <c r="EB25" s="42">
        <f ca="1">IF(OR($I$10="",$O25="",$P25="",$J$41&lt;&gt;"Yes"),0,IF($K$10=0,SUMIFS(INDIRECT(ADDRESS(12,3+18*0+(6),,,"J1 C - (South) Bishopthorpe Roa")&amp;":"&amp;ADDRESS(130,3+18*0+(6))),'J1 C - (South) Bishopthorpe Roa'!$A$12:$A$130,"&gt;="&amp;Diagram!$O25,'J1 C - (South) Bishopthorpe Roa'!$A$12:$A$130,"&lt;"&amp;Diagram!$P25),SUMIFS(INDIRECT(ADDRESS(12,3+18*0+(14),,,"J1 C - (South) Bishopthorpe Roa")&amp;":"&amp;ADDRESS(130,3+18*0+(14))),'J1 C - (South) Bishopthorpe Roa'!$A$12:$A$130,"&gt;="&amp;Diagram!$O25,'J1 C - (South) Bishopthorpe Roa'!$A$12:$A$130,"&lt;"&amp;Diagram!$P25)))</f>
        <v>0</v>
      </c>
      <c r="EC25" s="42">
        <f ca="1">IF(OR($I$10="",$O25="",$P25="",$J$41&lt;&gt;"Yes"),0,IF($K$10=0,SUMIFS(INDIRECT(ADDRESS(12,3+18*0+(6),,,"J1 D - South Bank Avenue")&amp;":"&amp;ADDRESS(130,3+18*0+(6))),'J1 D - South Bank Avenue'!$A$12:$A$130,"&gt;="&amp;Diagram!$O25,'J1 D - South Bank Avenue'!$A$12:$A$130,"&lt;"&amp;Diagram!$P25),SUMIFS(INDIRECT(ADDRESS(12,3+18*0+(14),,,"J1 D - South Bank Avenue")&amp;":"&amp;ADDRESS(130,3+18*0+(14))),'J1 D - South Bank Avenue'!$A$12:$A$130,"&gt;="&amp;Diagram!$O25,'J1 D - South Bank Avenue'!$A$12:$A$130,"&lt;"&amp;Diagram!$P25)))</f>
        <v>0</v>
      </c>
      <c r="ED25" s="42">
        <f ca="1">IF(OR($I$10="",$O25="",$P25="",$J$41&lt;&gt;"Yes"),0,IF($K$10=0,SUMIFS(INDIRECT(ADDRESS(12,3+18*1+(6),,,"J1 D - South Bank Avenue")&amp;":"&amp;ADDRESS(130,3+18*1+(6))),'J1 D - South Bank Avenue'!$A$12:$A$130,"&gt;="&amp;Diagram!$O25,'J1 D - South Bank Avenue'!$A$12:$A$130,"&lt;"&amp;Diagram!$P25),SUMIFS(INDIRECT(ADDRESS(12,3+18*1+(14),,,"J1 D - South Bank Avenue")&amp;":"&amp;ADDRESS(130,3+18*1+(14))),'J1 D - South Bank Avenue'!$A$12:$A$130,"&gt;="&amp;Diagram!$O25,'J1 D - South Bank Avenue'!$A$12:$A$130,"&lt;"&amp;Diagram!$P25)))</f>
        <v>0</v>
      </c>
      <c r="EE25" s="42">
        <f ca="1">IF(OR($I$10="",$O25="",$P25="",$J$41&lt;&gt;"Yes"),0,IF($K$10=0,SUMIFS(INDIRECT(ADDRESS(12,3+18*2+(6),,,"J1 D - South Bank Avenue")&amp;":"&amp;ADDRESS(130,3+18*2+(6))),'J1 D - South Bank Avenue'!$A$12:$A$130,"&gt;="&amp;Diagram!$O25,'J1 D - South Bank Avenue'!$A$12:$A$130,"&lt;"&amp;Diagram!$P25),SUMIFS(INDIRECT(ADDRESS(12,3+18*2+(14),,,"J1 D - South Bank Avenue")&amp;":"&amp;ADDRESS(130,3+18*2+(14))),'J1 D - South Bank Avenue'!$A$12:$A$130,"&gt;="&amp;Diagram!$O25,'J1 D - South Bank Avenue'!$A$12:$A$130,"&lt;"&amp;Diagram!$P25)))</f>
        <v>0</v>
      </c>
      <c r="EF25" s="42">
        <f ca="1">IF(OR($I$10="",$O25="",$P25="",$J$41&lt;&gt;"Yes"),0,IF($K$10=0,SUMIFS(INDIRECT(ADDRESS(12,3+18*3+(6),,,"J1 D - South Bank Avenue")&amp;":"&amp;ADDRESS(130,3+18*3+(6))),'J1 D - South Bank Avenue'!$A$12:$A$130,"&gt;="&amp;Diagram!$O25,'J1 D - South Bank Avenue'!$A$12:$A$130,"&lt;"&amp;Diagram!$P25),SUMIFS(INDIRECT(ADDRESS(12,3+18*3+(14),,,"J1 D - South Bank Avenue")&amp;":"&amp;ADDRESS(130,3+18*3+(14))),'J1 D - South Bank Avenue'!$A$12:$A$130,"&gt;="&amp;Diagram!$O25,'J1 D - South Bank Avenue'!$A$12:$A$130,"&lt;"&amp;Diagram!$P25)))</f>
        <v>0</v>
      </c>
      <c r="EG25" s="42">
        <f t="shared" ca="1" si="8"/>
        <v>0</v>
      </c>
      <c r="EH25" s="42">
        <f ca="1">IF(OR($I$10="",$O25="",$P25="",$J$42&lt;&gt;"Yes"),0,IF($K$10=0,SUMIFS(INDIRECT(ADDRESS(12,3+18*3+(7),,,"J1 A - (North) Bishopthorpe Roa")&amp;":"&amp;ADDRESS(130,3+18*3+(7))),'J1 A - (North) Bishopthorpe Roa'!$A$12:$A$130,"&gt;="&amp;Diagram!$O25,'J1 A - (North) Bishopthorpe Roa'!$A$12:$A$130,"&lt;"&amp;Diagram!$P25),SUMIFS(INDIRECT(ADDRESS(12,3+18*3+(15),,,"J1 A - (North) Bishopthorpe Roa")&amp;":"&amp;ADDRESS(130,3+18*3+(15))),'J1 A - (North) Bishopthorpe Roa'!$A$12:$A$130,"&gt;="&amp;Diagram!$O25,'J1 A - (North) Bishopthorpe Roa'!$A$12:$A$130,"&lt;"&amp;Diagram!$P25)))</f>
        <v>0</v>
      </c>
      <c r="EI25" s="42">
        <f ca="1">IF(OR($I$10="",$O25="",$P25="",$J$42&lt;&gt;"Yes"),0,IF($K$10=0,SUMIFS(INDIRECT(ADDRESS(12,3+18*0+(7),,,"J1 A - (North) Bishopthorpe Roa")&amp;":"&amp;ADDRESS(130,3+18*0+(7))),'J1 A - (North) Bishopthorpe Roa'!$A$12:$A$130,"&gt;="&amp;Diagram!$O25,'J1 A - (North) Bishopthorpe Roa'!$A$12:$A$130,"&lt;"&amp;Diagram!$P25),SUMIFS(INDIRECT(ADDRESS(12,3+18*0+(15),,,"J1 A - (North) Bishopthorpe Roa")&amp;":"&amp;ADDRESS(130,3+18*0+(15))),'J1 A - (North) Bishopthorpe Roa'!$A$12:$A$130,"&gt;="&amp;Diagram!$O25,'J1 A - (North) Bishopthorpe Roa'!$A$12:$A$130,"&lt;"&amp;Diagram!$P25)))</f>
        <v>0</v>
      </c>
      <c r="EJ25" s="42">
        <f ca="1">IF(OR($I$10="",$O25="",$P25="",$J$42&lt;&gt;"Yes"),0,IF($K$10=0,SUMIFS(INDIRECT(ADDRESS(12,3+18*1+(7),,,"J1 A - (North) Bishopthorpe Roa")&amp;":"&amp;ADDRESS(130,3+18*1+(7))),'J1 A - (North) Bishopthorpe Roa'!$A$12:$A$130,"&gt;="&amp;Diagram!$O25,'J1 A - (North) Bishopthorpe Roa'!$A$12:$A$130,"&lt;"&amp;Diagram!$P25),SUMIFS(INDIRECT(ADDRESS(12,3+18*1+(15),,,"J1 A - (North) Bishopthorpe Roa")&amp;":"&amp;ADDRESS(130,3+18*1+(15))),'J1 A - (North) Bishopthorpe Roa'!$A$12:$A$130,"&gt;="&amp;Diagram!$O25,'J1 A - (North) Bishopthorpe Roa'!$A$12:$A$130,"&lt;"&amp;Diagram!$P25)))</f>
        <v>0</v>
      </c>
      <c r="EK25" s="42">
        <f ca="1">IF(OR($I$10="",$O25="",$P25="",$J$42&lt;&gt;"Yes"),0,IF($K$10=0,SUMIFS(INDIRECT(ADDRESS(12,3+18*2+(7),,,"J1 A - (North) Bishopthorpe Roa")&amp;":"&amp;ADDRESS(130,3+18*2+(7))),'J1 A - (North) Bishopthorpe Roa'!$A$12:$A$130,"&gt;="&amp;Diagram!$O25,'J1 A - (North) Bishopthorpe Roa'!$A$12:$A$130,"&lt;"&amp;Diagram!$P25),SUMIFS(INDIRECT(ADDRESS(12,3+18*2+(15),,,"J1 A - (North) Bishopthorpe Roa")&amp;":"&amp;ADDRESS(130,3+18*2+(15))),'J1 A - (North) Bishopthorpe Roa'!$A$12:$A$130,"&gt;="&amp;Diagram!$O25,'J1 A - (North) Bishopthorpe Roa'!$A$12:$A$130,"&lt;"&amp;Diagram!$P25)))</f>
        <v>0</v>
      </c>
      <c r="EL25" s="42">
        <f ca="1">IF(OR($I$10="",$O25="",$P25="",$J$42&lt;&gt;"Yes"),0,IF($K$10=0,SUMIFS(INDIRECT(ADDRESS(12,3+18*2+(7),,,"J1 B - Butcher Terrace")&amp;":"&amp;ADDRESS(130,3+18*2+(7))),'J1 B - Butcher Terrace'!$A$12:$A$130,"&gt;="&amp;Diagram!$O25,'J1 B - Butcher Terrace'!$A$12:$A$130,"&lt;"&amp;Diagram!$P25),SUMIFS(INDIRECT(ADDRESS(12,3+18*2+(15),,,"J1 B - Butcher Terrace")&amp;":"&amp;ADDRESS(130,3+18*2+(15))),'J1 B - Butcher Terrace'!$A$12:$A$130,"&gt;="&amp;Diagram!$O25,'J1 B - Butcher Terrace'!$A$12:$A$130,"&lt;"&amp;Diagram!$P25)))</f>
        <v>0</v>
      </c>
      <c r="EM25" s="42">
        <f ca="1">IF(OR($I$10="",$O25="",$P25="",$J$42&lt;&gt;"Yes"),0,IF($K$10=0,SUMIFS(INDIRECT(ADDRESS(12,3+18*3+(7),,,"J1 B - Butcher Terrace")&amp;":"&amp;ADDRESS(130,3+18*3+(7))),'J1 B - Butcher Terrace'!$A$12:$A$130,"&gt;="&amp;Diagram!$O25,'J1 B - Butcher Terrace'!$A$12:$A$130,"&lt;"&amp;Diagram!$P25),SUMIFS(INDIRECT(ADDRESS(12,3+18*3+(15),,,"J1 B - Butcher Terrace")&amp;":"&amp;ADDRESS(130,3+18*3+(15))),'J1 B - Butcher Terrace'!$A$12:$A$130,"&gt;="&amp;Diagram!$O25,'J1 B - Butcher Terrace'!$A$12:$A$130,"&lt;"&amp;Diagram!$P25)))</f>
        <v>0</v>
      </c>
      <c r="EN25" s="42">
        <f ca="1">IF(OR($I$10="",$O25="",$P25="",$J$42&lt;&gt;"Yes"),0,IF($K$10=0,SUMIFS(INDIRECT(ADDRESS(12,3+18*0+(7),,,"J1 B - Butcher Terrace")&amp;":"&amp;ADDRESS(130,3+18*0+(7))),'J1 B - Butcher Terrace'!$A$12:$A$130,"&gt;="&amp;Diagram!$O25,'J1 B - Butcher Terrace'!$A$12:$A$130,"&lt;"&amp;Diagram!$P25),SUMIFS(INDIRECT(ADDRESS(12,3+18*0+(15),,,"J1 B - Butcher Terrace")&amp;":"&amp;ADDRESS(130,3+18*0+(15))),'J1 B - Butcher Terrace'!$A$12:$A$130,"&gt;="&amp;Diagram!$O25,'J1 B - Butcher Terrace'!$A$12:$A$130,"&lt;"&amp;Diagram!$P25)))</f>
        <v>0</v>
      </c>
      <c r="EO25" s="42">
        <f ca="1">IF(OR($I$10="",$O25="",$P25="",$J$42&lt;&gt;"Yes"),0,IF($K$10=0,SUMIFS(INDIRECT(ADDRESS(12,3+18*1+(7),,,"J1 B - Butcher Terrace")&amp;":"&amp;ADDRESS(130,3+18*1+(7))),'J1 B - Butcher Terrace'!$A$12:$A$130,"&gt;="&amp;Diagram!$O25,'J1 B - Butcher Terrace'!$A$12:$A$130,"&lt;"&amp;Diagram!$P25),SUMIFS(INDIRECT(ADDRESS(12,3+18*1+(15),,,"J1 B - Butcher Terrace")&amp;":"&amp;ADDRESS(130,3+18*1+(15))),'J1 B - Butcher Terrace'!$A$12:$A$130,"&gt;="&amp;Diagram!$O25,'J1 B - Butcher Terrace'!$A$12:$A$130,"&lt;"&amp;Diagram!$P25)))</f>
        <v>0</v>
      </c>
      <c r="EP25" s="42">
        <f ca="1">IF(OR($I$10="",$O25="",$P25="",$J$42&lt;&gt;"Yes"),0,IF($K$10=0,SUMIFS(INDIRECT(ADDRESS(12,3+18*1+(7),,,"J1 C - (South) Bishopthorpe Roa")&amp;":"&amp;ADDRESS(130,3+18*1+(7))),'J1 C - (South) Bishopthorpe Roa'!$A$12:$A$130,"&gt;="&amp;Diagram!$O25,'J1 C - (South) Bishopthorpe Roa'!$A$12:$A$130,"&lt;"&amp;Diagram!$P25),SUMIFS(INDIRECT(ADDRESS(12,3+18*1+(15),,,"J1 C - (South) Bishopthorpe Roa")&amp;":"&amp;ADDRESS(130,3+18*1+(15))),'J1 C - (South) Bishopthorpe Roa'!$A$12:$A$130,"&gt;="&amp;Diagram!$O25,'J1 C - (South) Bishopthorpe Roa'!$A$12:$A$130,"&lt;"&amp;Diagram!$P25)))</f>
        <v>0</v>
      </c>
      <c r="EQ25" s="42">
        <f ca="1">IF(OR($I$10="",$O25="",$P25="",$J$42&lt;&gt;"Yes"),0,IF($K$10=0,SUMIFS(INDIRECT(ADDRESS(12,3+18*2+(7),,,"J1 C - (South) Bishopthorpe Roa")&amp;":"&amp;ADDRESS(130,3+18*2+(7))),'J1 C - (South) Bishopthorpe Roa'!$A$12:$A$130,"&gt;="&amp;Diagram!$O25,'J1 C - (South) Bishopthorpe Roa'!$A$12:$A$130,"&lt;"&amp;Diagram!$P25),SUMIFS(INDIRECT(ADDRESS(12,3+18*2+(15),,,"J1 C - (South) Bishopthorpe Roa")&amp;":"&amp;ADDRESS(130,3+18*2+(15))),'J1 C - (South) Bishopthorpe Roa'!$A$12:$A$130,"&gt;="&amp;Diagram!$O25,'J1 C - (South) Bishopthorpe Roa'!$A$12:$A$130,"&lt;"&amp;Diagram!$P25)))</f>
        <v>0</v>
      </c>
      <c r="ER25" s="42">
        <f ca="1">IF(OR($I$10="",$O25="",$P25="",$J$42&lt;&gt;"Yes"),0,IF($K$10=0,SUMIFS(INDIRECT(ADDRESS(12,3+18*3+(7),,,"J1 C - (South) Bishopthorpe Roa")&amp;":"&amp;ADDRESS(130,3+18*3+(7))),'J1 C - (South) Bishopthorpe Roa'!$A$12:$A$130,"&gt;="&amp;Diagram!$O25,'J1 C - (South) Bishopthorpe Roa'!$A$12:$A$130,"&lt;"&amp;Diagram!$P25),SUMIFS(INDIRECT(ADDRESS(12,3+18*3+(15),,,"J1 C - (South) Bishopthorpe Roa")&amp;":"&amp;ADDRESS(130,3+18*3+(15))),'J1 C - (South) Bishopthorpe Roa'!$A$12:$A$130,"&gt;="&amp;Diagram!$O25,'J1 C - (South) Bishopthorpe Roa'!$A$12:$A$130,"&lt;"&amp;Diagram!$P25)))</f>
        <v>0</v>
      </c>
      <c r="ES25" s="42">
        <f ca="1">IF(OR($I$10="",$O25="",$P25="",$J$42&lt;&gt;"Yes"),0,IF($K$10=0,SUMIFS(INDIRECT(ADDRESS(12,3+18*0+(7),,,"J1 C - (South) Bishopthorpe Roa")&amp;":"&amp;ADDRESS(130,3+18*0+(7))),'J1 C - (South) Bishopthorpe Roa'!$A$12:$A$130,"&gt;="&amp;Diagram!$O25,'J1 C - (South) Bishopthorpe Roa'!$A$12:$A$130,"&lt;"&amp;Diagram!$P25),SUMIFS(INDIRECT(ADDRESS(12,3+18*0+(15),,,"J1 C - (South) Bishopthorpe Roa")&amp;":"&amp;ADDRESS(130,3+18*0+(15))),'J1 C - (South) Bishopthorpe Roa'!$A$12:$A$130,"&gt;="&amp;Diagram!$O25,'J1 C - (South) Bishopthorpe Roa'!$A$12:$A$130,"&lt;"&amp;Diagram!$P25)))</f>
        <v>0</v>
      </c>
      <c r="ET25" s="42">
        <f ca="1">IF(OR($I$10="",$O25="",$P25="",$J$42&lt;&gt;"Yes"),0,IF($K$10=0,SUMIFS(INDIRECT(ADDRESS(12,3+18*0+(7),,,"J1 D - South Bank Avenue")&amp;":"&amp;ADDRESS(130,3+18*0+(7))),'J1 D - South Bank Avenue'!$A$12:$A$130,"&gt;="&amp;Diagram!$O25,'J1 D - South Bank Avenue'!$A$12:$A$130,"&lt;"&amp;Diagram!$P25),SUMIFS(INDIRECT(ADDRESS(12,3+18*0+(15),,,"J1 D - South Bank Avenue")&amp;":"&amp;ADDRESS(130,3+18*0+(15))),'J1 D - South Bank Avenue'!$A$12:$A$130,"&gt;="&amp;Diagram!$O25,'J1 D - South Bank Avenue'!$A$12:$A$130,"&lt;"&amp;Diagram!$P25)))</f>
        <v>0</v>
      </c>
      <c r="EU25" s="42">
        <f ca="1">IF(OR($I$10="",$O25="",$P25="",$J$42&lt;&gt;"Yes"),0,IF($K$10=0,SUMIFS(INDIRECT(ADDRESS(12,3+18*1+(7),,,"J1 D - South Bank Avenue")&amp;":"&amp;ADDRESS(130,3+18*1+(7))),'J1 D - South Bank Avenue'!$A$12:$A$130,"&gt;="&amp;Diagram!$O25,'J1 D - South Bank Avenue'!$A$12:$A$130,"&lt;"&amp;Diagram!$P25),SUMIFS(INDIRECT(ADDRESS(12,3+18*1+(15),,,"J1 D - South Bank Avenue")&amp;":"&amp;ADDRESS(130,3+18*1+(15))),'J1 D - South Bank Avenue'!$A$12:$A$130,"&gt;="&amp;Diagram!$O25,'J1 D - South Bank Avenue'!$A$12:$A$130,"&lt;"&amp;Diagram!$P25)))</f>
        <v>0</v>
      </c>
      <c r="EV25" s="42">
        <f ca="1">IF(OR($I$10="",$O25="",$P25="",$J$42&lt;&gt;"Yes"),0,IF($K$10=0,SUMIFS(INDIRECT(ADDRESS(12,3+18*2+(7),,,"J1 D - South Bank Avenue")&amp;":"&amp;ADDRESS(130,3+18*2+(7))),'J1 D - South Bank Avenue'!$A$12:$A$130,"&gt;="&amp;Diagram!$O25,'J1 D - South Bank Avenue'!$A$12:$A$130,"&lt;"&amp;Diagram!$P25),SUMIFS(INDIRECT(ADDRESS(12,3+18*2+(15),,,"J1 D - South Bank Avenue")&amp;":"&amp;ADDRESS(130,3+18*2+(15))),'J1 D - South Bank Avenue'!$A$12:$A$130,"&gt;="&amp;Diagram!$O25,'J1 D - South Bank Avenue'!$A$12:$A$130,"&lt;"&amp;Diagram!$P25)))</f>
        <v>0</v>
      </c>
      <c r="EW25" s="42">
        <f ca="1">IF(OR($I$10="",$O25="",$P25="",$J$42&lt;&gt;"Yes"),0,IF($K$10=0,SUMIFS(INDIRECT(ADDRESS(12,3+18*3+(7),,,"J1 D - South Bank Avenue")&amp;":"&amp;ADDRESS(130,3+18*3+(7))),'J1 D - South Bank Avenue'!$A$12:$A$130,"&gt;="&amp;Diagram!$O25,'J1 D - South Bank Avenue'!$A$12:$A$130,"&lt;"&amp;Diagram!$P25),SUMIFS(INDIRECT(ADDRESS(12,3+18*3+(15),,,"J1 D - South Bank Avenue")&amp;":"&amp;ADDRESS(130,3+18*3+(15))),'J1 D - South Bank Avenue'!$A$12:$A$130,"&gt;="&amp;Diagram!$O25,'J1 D - South Bank Avenue'!$A$12:$A$130,"&lt;"&amp;Diagram!$P25)))</f>
        <v>0</v>
      </c>
    </row>
    <row r="26" spans="1:153" ht="18" customHeight="1">
      <c r="A26" s="1">
        <v>44395.260416666701</v>
      </c>
      <c r="B26" s="1">
        <v>44395.270833333299</v>
      </c>
      <c r="H26" s="11" t="s">
        <v>161</v>
      </c>
      <c r="I26" s="29">
        <f ca="1">SUM($I$22:$I$25)</f>
        <v>4370</v>
      </c>
      <c r="J26" s="25">
        <f ca="1">SUM($J$22:$J$25)</f>
        <v>954</v>
      </c>
      <c r="K26" s="25">
        <f ca="1">SUM($K$22:$K$25)</f>
        <v>4041</v>
      </c>
      <c r="L26" s="30">
        <f ca="1">SUM($L$22:$L$25)</f>
        <v>944</v>
      </c>
      <c r="O26" s="3">
        <v>44395.260416666701</v>
      </c>
      <c r="P26" s="3">
        <v>44395.302083333299</v>
      </c>
      <c r="Q26" s="42">
        <f t="shared" ca="1" si="0"/>
        <v>211</v>
      </c>
      <c r="R26" s="42">
        <f t="shared" ca="1" si="1"/>
        <v>139</v>
      </c>
      <c r="S26" s="42">
        <f ca="1">IF(OR($I$10="",$O26="",$P26="",$J$35&lt;&gt;"Yes"),0,IF($K$10=0,SUMIFS(INDIRECT(ADDRESS(12,3+18*3+(0),,,"J1 A - (North) Bishopthorpe Roa")&amp;":"&amp;ADDRESS(130,3+18*3+(0))),'J1 A - (North) Bishopthorpe Roa'!$A$12:$A$130,"&gt;="&amp;Diagram!$O26,'J1 A - (North) Bishopthorpe Roa'!$A$12:$A$130,"&lt;"&amp;Diagram!$P26),SUMIFS(INDIRECT(ADDRESS(12,3+18*3+(8),,,"J1 A - (North) Bishopthorpe Roa")&amp;":"&amp;ADDRESS(130,3+18*3+(8))),'J1 A - (North) Bishopthorpe Roa'!$A$12:$A$130,"&gt;="&amp;Diagram!$O26,'J1 A - (North) Bishopthorpe Roa'!$A$12:$A$130,"&lt;"&amp;Diagram!$P26)))</f>
        <v>0</v>
      </c>
      <c r="T26" s="42">
        <f ca="1">IF(OR($I$10="",$O26="",$P26="",$J$35&lt;&gt;"Yes"),0,IF($K$10=0,SUMIFS(INDIRECT(ADDRESS(12,3+18*0+(0),,,"J1 A - (North) Bishopthorpe Roa")&amp;":"&amp;ADDRESS(130,3+18*0+(0))),'J1 A - (North) Bishopthorpe Roa'!$A$12:$A$130,"&gt;="&amp;Diagram!$O26,'J1 A - (North) Bishopthorpe Roa'!$A$12:$A$130,"&lt;"&amp;Diagram!$P26),SUMIFS(INDIRECT(ADDRESS(12,3+18*0+(8),,,"J1 A - (North) Bishopthorpe Roa")&amp;":"&amp;ADDRESS(130,3+18*0+(8))),'J1 A - (North) Bishopthorpe Roa'!$A$12:$A$130,"&gt;="&amp;Diagram!$O26,'J1 A - (North) Bishopthorpe Roa'!$A$12:$A$130,"&lt;"&amp;Diagram!$P26)))</f>
        <v>2</v>
      </c>
      <c r="U26" s="42">
        <f ca="1">IF(OR($I$10="",$O26="",$P26="",$J$35&lt;&gt;"Yes"),0,IF($K$10=0,SUMIFS(INDIRECT(ADDRESS(12,3+18*1+(0),,,"J1 A - (North) Bishopthorpe Roa")&amp;":"&amp;ADDRESS(130,3+18*1+(0))),'J1 A - (North) Bishopthorpe Roa'!$A$12:$A$130,"&gt;="&amp;Diagram!$O26,'J1 A - (North) Bishopthorpe Roa'!$A$12:$A$130,"&lt;"&amp;Diagram!$P26),SUMIFS(INDIRECT(ADDRESS(12,3+18*1+(8),,,"J1 A - (North) Bishopthorpe Roa")&amp;":"&amp;ADDRESS(130,3+18*1+(8))),'J1 A - (North) Bishopthorpe Roa'!$A$12:$A$130,"&gt;="&amp;Diagram!$O26,'J1 A - (North) Bishopthorpe Roa'!$A$12:$A$130,"&lt;"&amp;Diagram!$P26)))</f>
        <v>43</v>
      </c>
      <c r="V26" s="42">
        <f ca="1">IF(OR($I$10="",$O26="",$P26="",$J$35&lt;&gt;"Yes"),0,IF($K$10=0,SUMIFS(INDIRECT(ADDRESS(12,3+18*2+(0),,,"J1 A - (North) Bishopthorpe Roa")&amp;":"&amp;ADDRESS(130,3+18*2+(0))),'J1 A - (North) Bishopthorpe Roa'!$A$12:$A$130,"&gt;="&amp;Diagram!$O26,'J1 A - (North) Bishopthorpe Roa'!$A$12:$A$130,"&lt;"&amp;Diagram!$P26),SUMIFS(INDIRECT(ADDRESS(12,3+18*2+(8),,,"J1 A - (North) Bishopthorpe Roa")&amp;":"&amp;ADDRESS(130,3+18*2+(8))),'J1 A - (North) Bishopthorpe Roa'!$A$12:$A$130,"&gt;="&amp;Diagram!$O26,'J1 A - (North) Bishopthorpe Roa'!$A$12:$A$130,"&lt;"&amp;Diagram!$P26)))</f>
        <v>1</v>
      </c>
      <c r="W26" s="42">
        <f ca="1">IF(OR($I$10="",$O26="",$P26="",$J$35&lt;&gt;"Yes"),0,IF($K$10=0,SUMIFS(INDIRECT(ADDRESS(12,3+18*2+(0),,,"J1 B - Butcher Terrace")&amp;":"&amp;ADDRESS(130,3+18*2+(0))),'J1 B - Butcher Terrace'!$A$12:$A$130,"&gt;="&amp;Diagram!$O26,'J1 B - Butcher Terrace'!$A$12:$A$130,"&lt;"&amp;Diagram!$P26),SUMIFS(INDIRECT(ADDRESS(12,3+18*2+(8),,,"J1 B - Butcher Terrace")&amp;":"&amp;ADDRESS(130,3+18*2+(8))),'J1 B - Butcher Terrace'!$A$12:$A$130,"&gt;="&amp;Diagram!$O26,'J1 B - Butcher Terrace'!$A$12:$A$130,"&lt;"&amp;Diagram!$P26)))</f>
        <v>5</v>
      </c>
      <c r="X26" s="42">
        <f ca="1">IF(OR($I$10="",$O26="",$P26="",$J$35&lt;&gt;"Yes"),0,IF($K$10=0,SUMIFS(INDIRECT(ADDRESS(12,3+18*3+(0),,,"J1 B - Butcher Terrace")&amp;":"&amp;ADDRESS(130,3+18*3+(0))),'J1 B - Butcher Terrace'!$A$12:$A$130,"&gt;="&amp;Diagram!$O26,'J1 B - Butcher Terrace'!$A$12:$A$130,"&lt;"&amp;Diagram!$P26),SUMIFS(INDIRECT(ADDRESS(12,3+18*3+(8),,,"J1 B - Butcher Terrace")&amp;":"&amp;ADDRESS(130,3+18*3+(8))),'J1 B - Butcher Terrace'!$A$12:$A$130,"&gt;="&amp;Diagram!$O26,'J1 B - Butcher Terrace'!$A$12:$A$130,"&lt;"&amp;Diagram!$P26)))</f>
        <v>0</v>
      </c>
      <c r="Y26" s="42">
        <f ca="1">IF(OR($I$10="",$O26="",$P26="",$J$35&lt;&gt;"Yes"),0,IF($K$10=0,SUMIFS(INDIRECT(ADDRESS(12,3+18*0+(0),,,"J1 B - Butcher Terrace")&amp;":"&amp;ADDRESS(130,3+18*0+(0))),'J1 B - Butcher Terrace'!$A$12:$A$130,"&gt;="&amp;Diagram!$O26,'J1 B - Butcher Terrace'!$A$12:$A$130,"&lt;"&amp;Diagram!$P26),SUMIFS(INDIRECT(ADDRESS(12,3+18*0+(8),,,"J1 B - Butcher Terrace")&amp;":"&amp;ADDRESS(130,3+18*0+(8))),'J1 B - Butcher Terrace'!$A$12:$A$130,"&gt;="&amp;Diagram!$O26,'J1 B - Butcher Terrace'!$A$12:$A$130,"&lt;"&amp;Diagram!$P26)))</f>
        <v>5</v>
      </c>
      <c r="Z26" s="42">
        <f ca="1">IF(OR($I$10="",$O26="",$P26="",$J$35&lt;&gt;"Yes"),0,IF($K$10=0,SUMIFS(INDIRECT(ADDRESS(12,3+18*1+(0),,,"J1 B - Butcher Terrace")&amp;":"&amp;ADDRESS(130,3+18*1+(0))),'J1 B - Butcher Terrace'!$A$12:$A$130,"&gt;="&amp;Diagram!$O26,'J1 B - Butcher Terrace'!$A$12:$A$130,"&lt;"&amp;Diagram!$P26),SUMIFS(INDIRECT(ADDRESS(12,3+18*1+(8),,,"J1 B - Butcher Terrace")&amp;":"&amp;ADDRESS(130,3+18*1+(8))),'J1 B - Butcher Terrace'!$A$12:$A$130,"&gt;="&amp;Diagram!$O26,'J1 B - Butcher Terrace'!$A$12:$A$130,"&lt;"&amp;Diagram!$P26)))</f>
        <v>0</v>
      </c>
      <c r="AA26" s="42">
        <f ca="1">IF(OR($I$10="",$O26="",$P26="",$J$35&lt;&gt;"Yes"),0,IF($K$10=0,SUMIFS(INDIRECT(ADDRESS(12,3+18*1+(0),,,"J1 C - (South) Bishopthorpe Roa")&amp;":"&amp;ADDRESS(130,3+18*1+(0))),'J1 C - (South) Bishopthorpe Roa'!$A$12:$A$130,"&gt;="&amp;Diagram!$O26,'J1 C - (South) Bishopthorpe Roa'!$A$12:$A$130,"&lt;"&amp;Diagram!$P26),SUMIFS(INDIRECT(ADDRESS(12,3+18*1+(8),,,"J1 C - (South) Bishopthorpe Roa")&amp;":"&amp;ADDRESS(130,3+18*1+(8))),'J1 C - (South) Bishopthorpe Roa'!$A$12:$A$130,"&gt;="&amp;Diagram!$O26,'J1 C - (South) Bishopthorpe Roa'!$A$12:$A$130,"&lt;"&amp;Diagram!$P26)))</f>
        <v>64</v>
      </c>
      <c r="AB26" s="42">
        <f ca="1">IF(OR($I$10="",$O26="",$P26="",$J$35&lt;&gt;"Yes"),0,IF($K$10=0,SUMIFS(INDIRECT(ADDRESS(12,3+18*2+(0),,,"J1 C - (South) Bishopthorpe Roa")&amp;":"&amp;ADDRESS(130,3+18*2+(0))),'J1 C - (South) Bishopthorpe Roa'!$A$12:$A$130,"&gt;="&amp;Diagram!$O26,'J1 C - (South) Bishopthorpe Roa'!$A$12:$A$130,"&lt;"&amp;Diagram!$P26),SUMIFS(INDIRECT(ADDRESS(12,3+18*2+(8),,,"J1 C - (South) Bishopthorpe Roa")&amp;":"&amp;ADDRESS(130,3+18*2+(8))),'J1 C - (South) Bishopthorpe Roa'!$A$12:$A$130,"&gt;="&amp;Diagram!$O26,'J1 C - (South) Bishopthorpe Roa'!$A$12:$A$130,"&lt;"&amp;Diagram!$P26)))</f>
        <v>2</v>
      </c>
      <c r="AC26" s="42">
        <f ca="1">IF(OR($I$10="",$O26="",$P26="",$J$35&lt;&gt;"Yes"),0,IF($K$10=0,SUMIFS(INDIRECT(ADDRESS(12,3+18*3+(0),,,"J1 C - (South) Bishopthorpe Roa")&amp;":"&amp;ADDRESS(130,3+18*3+(0))),'J1 C - (South) Bishopthorpe Roa'!$A$12:$A$130,"&gt;="&amp;Diagram!$O26,'J1 C - (South) Bishopthorpe Roa'!$A$12:$A$130,"&lt;"&amp;Diagram!$P26),SUMIFS(INDIRECT(ADDRESS(12,3+18*3+(8),,,"J1 C - (South) Bishopthorpe Roa")&amp;":"&amp;ADDRESS(130,3+18*3+(8))),'J1 C - (South) Bishopthorpe Roa'!$A$12:$A$130,"&gt;="&amp;Diagram!$O26,'J1 C - (South) Bishopthorpe Roa'!$A$12:$A$130,"&lt;"&amp;Diagram!$P26)))</f>
        <v>2</v>
      </c>
      <c r="AD26" s="42">
        <f ca="1">IF(OR($I$10="",$O26="",$P26="",$J$35&lt;&gt;"Yes"),0,IF($K$10=0,SUMIFS(INDIRECT(ADDRESS(12,3+18*0+(0),,,"J1 C - (South) Bishopthorpe Roa")&amp;":"&amp;ADDRESS(130,3+18*0+(0))),'J1 C - (South) Bishopthorpe Roa'!$A$12:$A$130,"&gt;="&amp;Diagram!$O26,'J1 C - (South) Bishopthorpe Roa'!$A$12:$A$130,"&lt;"&amp;Diagram!$P26),SUMIFS(INDIRECT(ADDRESS(12,3+18*0+(8),,,"J1 C - (South) Bishopthorpe Roa")&amp;":"&amp;ADDRESS(130,3+18*0+(8))),'J1 C - (South) Bishopthorpe Roa'!$A$12:$A$130,"&gt;="&amp;Diagram!$O26,'J1 C - (South) Bishopthorpe Roa'!$A$12:$A$130,"&lt;"&amp;Diagram!$P26)))</f>
        <v>1</v>
      </c>
      <c r="AE26" s="42">
        <f ca="1">IF(OR($I$10="",$O26="",$P26="",$J$35&lt;&gt;"Yes"),0,IF($K$10=0,SUMIFS(INDIRECT(ADDRESS(12,3+18*0+(0),,,"J1 D - South Bank Avenue")&amp;":"&amp;ADDRESS(130,3+18*0+(0))),'J1 D - South Bank Avenue'!$A$12:$A$130,"&gt;="&amp;Diagram!$O26,'J1 D - South Bank Avenue'!$A$12:$A$130,"&lt;"&amp;Diagram!$P26),SUMIFS(INDIRECT(ADDRESS(12,3+18*0+(8),,,"J1 D - South Bank Avenue")&amp;":"&amp;ADDRESS(130,3+18*0+(8))),'J1 D - South Bank Avenue'!$A$12:$A$130,"&gt;="&amp;Diagram!$O26,'J1 D - South Bank Avenue'!$A$12:$A$130,"&lt;"&amp;Diagram!$P26)))</f>
        <v>10</v>
      </c>
      <c r="AF26" s="42">
        <f ca="1">IF(OR($I$10="",$O26="",$P26="",$J$35&lt;&gt;"Yes"),0,IF($K$10=0,SUMIFS(INDIRECT(ADDRESS(12,3+18*1+(0),,,"J1 D - South Bank Avenue")&amp;":"&amp;ADDRESS(130,3+18*1+(0))),'J1 D - South Bank Avenue'!$A$12:$A$130,"&gt;="&amp;Diagram!$O26,'J1 D - South Bank Avenue'!$A$12:$A$130,"&lt;"&amp;Diagram!$P26),SUMIFS(INDIRECT(ADDRESS(12,3+18*1+(8),,,"J1 D - South Bank Avenue")&amp;":"&amp;ADDRESS(130,3+18*1+(8))),'J1 D - South Bank Avenue'!$A$12:$A$130,"&gt;="&amp;Diagram!$O26,'J1 D - South Bank Avenue'!$A$12:$A$130,"&lt;"&amp;Diagram!$P26)))</f>
        <v>0</v>
      </c>
      <c r="AG26" s="42">
        <f ca="1">IF(OR($I$10="",$O26="",$P26="",$J$35&lt;&gt;"Yes"),0,IF($K$10=0,SUMIFS(INDIRECT(ADDRESS(12,3+18*2+(0),,,"J1 D - South Bank Avenue")&amp;":"&amp;ADDRESS(130,3+18*2+(0))),'J1 D - South Bank Avenue'!$A$12:$A$130,"&gt;="&amp;Diagram!$O26,'J1 D - South Bank Avenue'!$A$12:$A$130,"&lt;"&amp;Diagram!$P26),SUMIFS(INDIRECT(ADDRESS(12,3+18*2+(8),,,"J1 D - South Bank Avenue")&amp;":"&amp;ADDRESS(130,3+18*2+(8))),'J1 D - South Bank Avenue'!$A$12:$A$130,"&gt;="&amp;Diagram!$O26,'J1 D - South Bank Avenue'!$A$12:$A$130,"&lt;"&amp;Diagram!$P26)))</f>
        <v>4</v>
      </c>
      <c r="AH26" s="42">
        <f ca="1">IF(OR($I$10="",$O26="",$P26="",$J$35&lt;&gt;"Yes"),0,IF($K$10=0,SUMIFS(INDIRECT(ADDRESS(12,3+18*3+(0),,,"J1 D - South Bank Avenue")&amp;":"&amp;ADDRESS(130,3+18*3+(0))),'J1 D - South Bank Avenue'!$A$12:$A$130,"&gt;="&amp;Diagram!$O26,'J1 D - South Bank Avenue'!$A$12:$A$130,"&lt;"&amp;Diagram!$P26),SUMIFS(INDIRECT(ADDRESS(12,3+18*3+(8),,,"J1 D - South Bank Avenue")&amp;":"&amp;ADDRESS(130,3+18*3+(8))),'J1 D - South Bank Avenue'!$A$12:$A$130,"&gt;="&amp;Diagram!$O26,'J1 D - South Bank Avenue'!$A$12:$A$130,"&lt;"&amp;Diagram!$P26)))</f>
        <v>0</v>
      </c>
      <c r="AI26" s="42">
        <f t="shared" ca="1" si="2"/>
        <v>22</v>
      </c>
      <c r="AJ26" s="42">
        <f ca="1">IF(OR($I$10="",$O26="",$P26="",$J$36&lt;&gt;"Yes"),0,IF($K$10=0,SUMIFS(INDIRECT(ADDRESS(12,3+18*3+(1),,,"J1 A - (North) Bishopthorpe Roa")&amp;":"&amp;ADDRESS(130,3+18*3+(1))),'J1 A - (North) Bishopthorpe Roa'!$A$12:$A$130,"&gt;="&amp;Diagram!$O26,'J1 A - (North) Bishopthorpe Roa'!$A$12:$A$130,"&lt;"&amp;Diagram!$P26),SUMIFS(INDIRECT(ADDRESS(12,3+18*3+(9),,,"J1 A - (North) Bishopthorpe Roa")&amp;":"&amp;ADDRESS(130,3+18*3+(9))),'J1 A - (North) Bishopthorpe Roa'!$A$12:$A$130,"&gt;="&amp;Diagram!$O26,'J1 A - (North) Bishopthorpe Roa'!$A$12:$A$130,"&lt;"&amp;Diagram!$P26)))</f>
        <v>0</v>
      </c>
      <c r="AK26" s="42">
        <f ca="1">IF(OR($I$10="",$O26="",$P26="",$J$36&lt;&gt;"Yes"),0,IF($K$10=0,SUMIFS(INDIRECT(ADDRESS(12,3+18*0+(1),,,"J1 A - (North) Bishopthorpe Roa")&amp;":"&amp;ADDRESS(130,3+18*0+(1))),'J1 A - (North) Bishopthorpe Roa'!$A$12:$A$130,"&gt;="&amp;Diagram!$O26,'J1 A - (North) Bishopthorpe Roa'!$A$12:$A$130,"&lt;"&amp;Diagram!$P26),SUMIFS(INDIRECT(ADDRESS(12,3+18*0+(9),,,"J1 A - (North) Bishopthorpe Roa")&amp;":"&amp;ADDRESS(130,3+18*0+(9))),'J1 A - (North) Bishopthorpe Roa'!$A$12:$A$130,"&gt;="&amp;Diagram!$O26,'J1 A - (North) Bishopthorpe Roa'!$A$12:$A$130,"&lt;"&amp;Diagram!$P26)))</f>
        <v>1</v>
      </c>
      <c r="AL26" s="42">
        <f ca="1">IF(OR($I$10="",$O26="",$P26="",$J$36&lt;&gt;"Yes"),0,IF($K$10=0,SUMIFS(INDIRECT(ADDRESS(12,3+18*1+(1),,,"J1 A - (North) Bishopthorpe Roa")&amp;":"&amp;ADDRESS(130,3+18*1+(1))),'J1 A - (North) Bishopthorpe Roa'!$A$12:$A$130,"&gt;="&amp;Diagram!$O26,'J1 A - (North) Bishopthorpe Roa'!$A$12:$A$130,"&lt;"&amp;Diagram!$P26),SUMIFS(INDIRECT(ADDRESS(12,3+18*1+(9),,,"J1 A - (North) Bishopthorpe Roa")&amp;":"&amp;ADDRESS(130,3+18*1+(9))),'J1 A - (North) Bishopthorpe Roa'!$A$12:$A$130,"&gt;="&amp;Diagram!$O26,'J1 A - (North) Bishopthorpe Roa'!$A$12:$A$130,"&lt;"&amp;Diagram!$P26)))</f>
        <v>8</v>
      </c>
      <c r="AM26" s="42">
        <f ca="1">IF(OR($I$10="",$O26="",$P26="",$J$36&lt;&gt;"Yes"),0,IF($K$10=0,SUMIFS(INDIRECT(ADDRESS(12,3+18*2+(1),,,"J1 A - (North) Bishopthorpe Roa")&amp;":"&amp;ADDRESS(130,3+18*2+(1))),'J1 A - (North) Bishopthorpe Roa'!$A$12:$A$130,"&gt;="&amp;Diagram!$O26,'J1 A - (North) Bishopthorpe Roa'!$A$12:$A$130,"&lt;"&amp;Diagram!$P26),SUMIFS(INDIRECT(ADDRESS(12,3+18*2+(9),,,"J1 A - (North) Bishopthorpe Roa")&amp;":"&amp;ADDRESS(130,3+18*2+(9))),'J1 A - (North) Bishopthorpe Roa'!$A$12:$A$130,"&gt;="&amp;Diagram!$O26,'J1 A - (North) Bishopthorpe Roa'!$A$12:$A$130,"&lt;"&amp;Diagram!$P26)))</f>
        <v>0</v>
      </c>
      <c r="AN26" s="42">
        <f ca="1">IF(OR($I$10="",$O26="",$P26="",$J$36&lt;&gt;"Yes"),0,IF($K$10=0,SUMIFS(INDIRECT(ADDRESS(12,3+18*2+(1),,,"J1 B - Butcher Terrace")&amp;":"&amp;ADDRESS(130,3+18*2+(1))),'J1 B - Butcher Terrace'!$A$12:$A$130,"&gt;="&amp;Diagram!$O26,'J1 B - Butcher Terrace'!$A$12:$A$130,"&lt;"&amp;Diagram!$P26),SUMIFS(INDIRECT(ADDRESS(12,3+18*2+(9),,,"J1 B - Butcher Terrace")&amp;":"&amp;ADDRESS(130,3+18*2+(9))),'J1 B - Butcher Terrace'!$A$12:$A$130,"&gt;="&amp;Diagram!$O26,'J1 B - Butcher Terrace'!$A$12:$A$130,"&lt;"&amp;Diagram!$P26)))</f>
        <v>2</v>
      </c>
      <c r="AO26" s="42">
        <f ca="1">IF(OR($I$10="",$O26="",$P26="",$J$36&lt;&gt;"Yes"),0,IF($K$10=0,SUMIFS(INDIRECT(ADDRESS(12,3+18*3+(1),,,"J1 B - Butcher Terrace")&amp;":"&amp;ADDRESS(130,3+18*3+(1))),'J1 B - Butcher Terrace'!$A$12:$A$130,"&gt;="&amp;Diagram!$O26,'J1 B - Butcher Terrace'!$A$12:$A$130,"&lt;"&amp;Diagram!$P26),SUMIFS(INDIRECT(ADDRESS(12,3+18*3+(9),,,"J1 B - Butcher Terrace")&amp;":"&amp;ADDRESS(130,3+18*3+(9))),'J1 B - Butcher Terrace'!$A$12:$A$130,"&gt;="&amp;Diagram!$O26,'J1 B - Butcher Terrace'!$A$12:$A$130,"&lt;"&amp;Diagram!$P26)))</f>
        <v>0</v>
      </c>
      <c r="AP26" s="42">
        <f ca="1">IF(OR($I$10="",$O26="",$P26="",$J$36&lt;&gt;"Yes"),0,IF($K$10=0,SUMIFS(INDIRECT(ADDRESS(12,3+18*0+(1),,,"J1 B - Butcher Terrace")&amp;":"&amp;ADDRESS(130,3+18*0+(1))),'J1 B - Butcher Terrace'!$A$12:$A$130,"&gt;="&amp;Diagram!$O26,'J1 B - Butcher Terrace'!$A$12:$A$130,"&lt;"&amp;Diagram!$P26),SUMIFS(INDIRECT(ADDRESS(12,3+18*0+(9),,,"J1 B - Butcher Terrace")&amp;":"&amp;ADDRESS(130,3+18*0+(9))),'J1 B - Butcher Terrace'!$A$12:$A$130,"&gt;="&amp;Diagram!$O26,'J1 B - Butcher Terrace'!$A$12:$A$130,"&lt;"&amp;Diagram!$P26)))</f>
        <v>1</v>
      </c>
      <c r="AQ26" s="42">
        <f ca="1">IF(OR($I$10="",$O26="",$P26="",$J$36&lt;&gt;"Yes"),0,IF($K$10=0,SUMIFS(INDIRECT(ADDRESS(12,3+18*1+(1),,,"J1 B - Butcher Terrace")&amp;":"&amp;ADDRESS(130,3+18*1+(1))),'J1 B - Butcher Terrace'!$A$12:$A$130,"&gt;="&amp;Diagram!$O26,'J1 B - Butcher Terrace'!$A$12:$A$130,"&lt;"&amp;Diagram!$P26),SUMIFS(INDIRECT(ADDRESS(12,3+18*1+(9),,,"J1 B - Butcher Terrace")&amp;":"&amp;ADDRESS(130,3+18*1+(9))),'J1 B - Butcher Terrace'!$A$12:$A$130,"&gt;="&amp;Diagram!$O26,'J1 B - Butcher Terrace'!$A$12:$A$130,"&lt;"&amp;Diagram!$P26)))</f>
        <v>0</v>
      </c>
      <c r="AR26" s="42">
        <f ca="1">IF(OR($I$10="",$O26="",$P26="",$J$36&lt;&gt;"Yes"),0,IF($K$10=0,SUMIFS(INDIRECT(ADDRESS(12,3+18*1+(1),,,"J1 C - (South) Bishopthorpe Roa")&amp;":"&amp;ADDRESS(130,3+18*1+(1))),'J1 C - (South) Bishopthorpe Roa'!$A$12:$A$130,"&gt;="&amp;Diagram!$O26,'J1 C - (South) Bishopthorpe Roa'!$A$12:$A$130,"&lt;"&amp;Diagram!$P26),SUMIFS(INDIRECT(ADDRESS(12,3+18*1+(9),,,"J1 C - (South) Bishopthorpe Roa")&amp;":"&amp;ADDRESS(130,3+18*1+(9))),'J1 C - (South) Bishopthorpe Roa'!$A$12:$A$130,"&gt;="&amp;Diagram!$O26,'J1 C - (South) Bishopthorpe Roa'!$A$12:$A$130,"&lt;"&amp;Diagram!$P26)))</f>
        <v>9</v>
      </c>
      <c r="AS26" s="42">
        <f ca="1">IF(OR($I$10="",$O26="",$P26="",$J$36&lt;&gt;"Yes"),0,IF($K$10=0,SUMIFS(INDIRECT(ADDRESS(12,3+18*2+(1),,,"J1 C - (South) Bishopthorpe Roa")&amp;":"&amp;ADDRESS(130,3+18*2+(1))),'J1 C - (South) Bishopthorpe Roa'!$A$12:$A$130,"&gt;="&amp;Diagram!$O26,'J1 C - (South) Bishopthorpe Roa'!$A$12:$A$130,"&lt;"&amp;Diagram!$P26),SUMIFS(INDIRECT(ADDRESS(12,3+18*2+(9),,,"J1 C - (South) Bishopthorpe Roa")&amp;":"&amp;ADDRESS(130,3+18*2+(9))),'J1 C - (South) Bishopthorpe Roa'!$A$12:$A$130,"&gt;="&amp;Diagram!$O26,'J1 C - (South) Bishopthorpe Roa'!$A$12:$A$130,"&lt;"&amp;Diagram!$P26)))</f>
        <v>0</v>
      </c>
      <c r="AT26" s="42">
        <f ca="1">IF(OR($I$10="",$O26="",$P26="",$J$36&lt;&gt;"Yes"),0,IF($K$10=0,SUMIFS(INDIRECT(ADDRESS(12,3+18*3+(1),,,"J1 C - (South) Bishopthorpe Roa")&amp;":"&amp;ADDRESS(130,3+18*3+(1))),'J1 C - (South) Bishopthorpe Roa'!$A$12:$A$130,"&gt;="&amp;Diagram!$O26,'J1 C - (South) Bishopthorpe Roa'!$A$12:$A$130,"&lt;"&amp;Diagram!$P26),SUMIFS(INDIRECT(ADDRESS(12,3+18*3+(9),,,"J1 C - (South) Bishopthorpe Roa")&amp;":"&amp;ADDRESS(130,3+18*3+(9))),'J1 C - (South) Bishopthorpe Roa'!$A$12:$A$130,"&gt;="&amp;Diagram!$O26,'J1 C - (South) Bishopthorpe Roa'!$A$12:$A$130,"&lt;"&amp;Diagram!$P26)))</f>
        <v>0</v>
      </c>
      <c r="AU26" s="42">
        <f ca="1">IF(OR($I$10="",$O26="",$P26="",$J$36&lt;&gt;"Yes"),0,IF($K$10=0,SUMIFS(INDIRECT(ADDRESS(12,3+18*0+(1),,,"J1 C - (South) Bishopthorpe Roa")&amp;":"&amp;ADDRESS(130,3+18*0+(1))),'J1 C - (South) Bishopthorpe Roa'!$A$12:$A$130,"&gt;="&amp;Diagram!$O26,'J1 C - (South) Bishopthorpe Roa'!$A$12:$A$130,"&lt;"&amp;Diagram!$P26),SUMIFS(INDIRECT(ADDRESS(12,3+18*0+(9),,,"J1 C - (South) Bishopthorpe Roa")&amp;":"&amp;ADDRESS(130,3+18*0+(9))),'J1 C - (South) Bishopthorpe Roa'!$A$12:$A$130,"&gt;="&amp;Diagram!$O26,'J1 C - (South) Bishopthorpe Roa'!$A$12:$A$130,"&lt;"&amp;Diagram!$P26)))</f>
        <v>0</v>
      </c>
      <c r="AV26" s="42">
        <f ca="1">IF(OR($I$10="",$O26="",$P26="",$J$36&lt;&gt;"Yes"),0,IF($K$10=0,SUMIFS(INDIRECT(ADDRESS(12,3+18*0+(1),,,"J1 D - South Bank Avenue")&amp;":"&amp;ADDRESS(130,3+18*0+(1))),'J1 D - South Bank Avenue'!$A$12:$A$130,"&gt;="&amp;Diagram!$O26,'J1 D - South Bank Avenue'!$A$12:$A$130,"&lt;"&amp;Diagram!$P26),SUMIFS(INDIRECT(ADDRESS(12,3+18*0+(9),,,"J1 D - South Bank Avenue")&amp;":"&amp;ADDRESS(130,3+18*0+(9))),'J1 D - South Bank Avenue'!$A$12:$A$130,"&gt;="&amp;Diagram!$O26,'J1 D - South Bank Avenue'!$A$12:$A$130,"&lt;"&amp;Diagram!$P26)))</f>
        <v>1</v>
      </c>
      <c r="AW26" s="42">
        <f ca="1">IF(OR($I$10="",$O26="",$P26="",$J$36&lt;&gt;"Yes"),0,IF($K$10=0,SUMIFS(INDIRECT(ADDRESS(12,3+18*1+(1),,,"J1 D - South Bank Avenue")&amp;":"&amp;ADDRESS(130,3+18*1+(1))),'J1 D - South Bank Avenue'!$A$12:$A$130,"&gt;="&amp;Diagram!$O26,'J1 D - South Bank Avenue'!$A$12:$A$130,"&lt;"&amp;Diagram!$P26),SUMIFS(INDIRECT(ADDRESS(12,3+18*1+(9),,,"J1 D - South Bank Avenue")&amp;":"&amp;ADDRESS(130,3+18*1+(9))),'J1 D - South Bank Avenue'!$A$12:$A$130,"&gt;="&amp;Diagram!$O26,'J1 D - South Bank Avenue'!$A$12:$A$130,"&lt;"&amp;Diagram!$P26)))</f>
        <v>0</v>
      </c>
      <c r="AX26" s="42">
        <f ca="1">IF(OR($I$10="",$O26="",$P26="",$J$36&lt;&gt;"Yes"),0,IF($K$10=0,SUMIFS(INDIRECT(ADDRESS(12,3+18*2+(1),,,"J1 D - South Bank Avenue")&amp;":"&amp;ADDRESS(130,3+18*2+(1))),'J1 D - South Bank Avenue'!$A$12:$A$130,"&gt;="&amp;Diagram!$O26,'J1 D - South Bank Avenue'!$A$12:$A$130,"&lt;"&amp;Diagram!$P26),SUMIFS(INDIRECT(ADDRESS(12,3+18*2+(9),,,"J1 D - South Bank Avenue")&amp;":"&amp;ADDRESS(130,3+18*2+(9))),'J1 D - South Bank Avenue'!$A$12:$A$130,"&gt;="&amp;Diagram!$O26,'J1 D - South Bank Avenue'!$A$12:$A$130,"&lt;"&amp;Diagram!$P26)))</f>
        <v>0</v>
      </c>
      <c r="AY26" s="42">
        <f ca="1">IF(OR($I$10="",$O26="",$P26="",$J$36&lt;&gt;"Yes"),0,IF($K$10=0,SUMIFS(INDIRECT(ADDRESS(12,3+18*3+(1),,,"J1 D - South Bank Avenue")&amp;":"&amp;ADDRESS(130,3+18*3+(1))),'J1 D - South Bank Avenue'!$A$12:$A$130,"&gt;="&amp;Diagram!$O26,'J1 D - South Bank Avenue'!$A$12:$A$130,"&lt;"&amp;Diagram!$P26),SUMIFS(INDIRECT(ADDRESS(12,3+18*3+(9),,,"J1 D - South Bank Avenue")&amp;":"&amp;ADDRESS(130,3+18*3+(9))),'J1 D - South Bank Avenue'!$A$12:$A$130,"&gt;="&amp;Diagram!$O26,'J1 D - South Bank Avenue'!$A$12:$A$130,"&lt;"&amp;Diagram!$P26)))</f>
        <v>0</v>
      </c>
      <c r="AZ26" s="42">
        <f t="shared" ca="1" si="3"/>
        <v>4</v>
      </c>
      <c r="BA26" s="42">
        <f ca="1">IF(OR($I$10="",$O26="",$P26="",$J$37&lt;&gt;"Yes"),0,IF($K$10=0,SUMIFS(INDIRECT(ADDRESS(12,3+18*3+(2),,,"J1 A - (North) Bishopthorpe Roa")&amp;":"&amp;ADDRESS(130,3+18*3+(2))),'J1 A - (North) Bishopthorpe Roa'!$A$12:$A$130,"&gt;="&amp;Diagram!$O26,'J1 A - (North) Bishopthorpe Roa'!$A$12:$A$130,"&lt;"&amp;Diagram!$P26),SUMIFS(INDIRECT(ADDRESS(12,3+18*3+(10),,,"J1 A - (North) Bishopthorpe Roa")&amp;":"&amp;ADDRESS(130,3+18*3+(10))),'J1 A - (North) Bishopthorpe Roa'!$A$12:$A$130,"&gt;="&amp;Diagram!$O26,'J1 A - (North) Bishopthorpe Roa'!$A$12:$A$130,"&lt;"&amp;Diagram!$P26)))</f>
        <v>0</v>
      </c>
      <c r="BB26" s="42">
        <f ca="1">IF(OR($I$10="",$O26="",$P26="",$J$37&lt;&gt;"Yes"),0,IF($K$10=0,SUMIFS(INDIRECT(ADDRESS(12,3+18*0+(2),,,"J1 A - (North) Bishopthorpe Roa")&amp;":"&amp;ADDRESS(130,3+18*0+(2))),'J1 A - (North) Bishopthorpe Roa'!$A$12:$A$130,"&gt;="&amp;Diagram!$O26,'J1 A - (North) Bishopthorpe Roa'!$A$12:$A$130,"&lt;"&amp;Diagram!$P26),SUMIFS(INDIRECT(ADDRESS(12,3+18*0+(10),,,"J1 A - (North) Bishopthorpe Roa")&amp;":"&amp;ADDRESS(130,3+18*0+(10))),'J1 A - (North) Bishopthorpe Roa'!$A$12:$A$130,"&gt;="&amp;Diagram!$O26,'J1 A - (North) Bishopthorpe Roa'!$A$12:$A$130,"&lt;"&amp;Diagram!$P26)))</f>
        <v>1</v>
      </c>
      <c r="BC26" s="42">
        <f ca="1">IF(OR($I$10="",$O26="",$P26="",$J$37&lt;&gt;"Yes"),0,IF($K$10=0,SUMIFS(INDIRECT(ADDRESS(12,3+18*1+(2),,,"J1 A - (North) Bishopthorpe Roa")&amp;":"&amp;ADDRESS(130,3+18*1+(2))),'J1 A - (North) Bishopthorpe Roa'!$A$12:$A$130,"&gt;="&amp;Diagram!$O26,'J1 A - (North) Bishopthorpe Roa'!$A$12:$A$130,"&lt;"&amp;Diagram!$P26),SUMIFS(INDIRECT(ADDRESS(12,3+18*1+(10),,,"J1 A - (North) Bishopthorpe Roa")&amp;":"&amp;ADDRESS(130,3+18*1+(10))),'J1 A - (North) Bishopthorpe Roa'!$A$12:$A$130,"&gt;="&amp;Diagram!$O26,'J1 A - (North) Bishopthorpe Roa'!$A$12:$A$130,"&lt;"&amp;Diagram!$P26)))</f>
        <v>0</v>
      </c>
      <c r="BD26" s="42">
        <f ca="1">IF(OR($I$10="",$O26="",$P26="",$J$37&lt;&gt;"Yes"),0,IF($K$10=0,SUMIFS(INDIRECT(ADDRESS(12,3+18*2+(2),,,"J1 A - (North) Bishopthorpe Roa")&amp;":"&amp;ADDRESS(130,3+18*2+(2))),'J1 A - (North) Bishopthorpe Roa'!$A$12:$A$130,"&gt;="&amp;Diagram!$O26,'J1 A - (North) Bishopthorpe Roa'!$A$12:$A$130,"&lt;"&amp;Diagram!$P26),SUMIFS(INDIRECT(ADDRESS(12,3+18*2+(10),,,"J1 A - (North) Bishopthorpe Roa")&amp;":"&amp;ADDRESS(130,3+18*2+(10))),'J1 A - (North) Bishopthorpe Roa'!$A$12:$A$130,"&gt;="&amp;Diagram!$O26,'J1 A - (North) Bishopthorpe Roa'!$A$12:$A$130,"&lt;"&amp;Diagram!$P26)))</f>
        <v>0</v>
      </c>
      <c r="BE26" s="42">
        <f ca="1">IF(OR($I$10="",$O26="",$P26="",$J$37&lt;&gt;"Yes"),0,IF($K$10=0,SUMIFS(INDIRECT(ADDRESS(12,3+18*2+(2),,,"J1 B - Butcher Terrace")&amp;":"&amp;ADDRESS(130,3+18*2+(2))),'J1 B - Butcher Terrace'!$A$12:$A$130,"&gt;="&amp;Diagram!$O26,'J1 B - Butcher Terrace'!$A$12:$A$130,"&lt;"&amp;Diagram!$P26),SUMIFS(INDIRECT(ADDRESS(12,3+18*2+(10),,,"J1 B - Butcher Terrace")&amp;":"&amp;ADDRESS(130,3+18*2+(10))),'J1 B - Butcher Terrace'!$A$12:$A$130,"&gt;="&amp;Diagram!$O26,'J1 B - Butcher Terrace'!$A$12:$A$130,"&lt;"&amp;Diagram!$P26)))</f>
        <v>0</v>
      </c>
      <c r="BF26" s="42">
        <f ca="1">IF(OR($I$10="",$O26="",$P26="",$J$37&lt;&gt;"Yes"),0,IF($K$10=0,SUMIFS(INDIRECT(ADDRESS(12,3+18*3+(2),,,"J1 B - Butcher Terrace")&amp;":"&amp;ADDRESS(130,3+18*3+(2))),'J1 B - Butcher Terrace'!$A$12:$A$130,"&gt;="&amp;Diagram!$O26,'J1 B - Butcher Terrace'!$A$12:$A$130,"&lt;"&amp;Diagram!$P26),SUMIFS(INDIRECT(ADDRESS(12,3+18*3+(10),,,"J1 B - Butcher Terrace")&amp;":"&amp;ADDRESS(130,3+18*3+(10))),'J1 B - Butcher Terrace'!$A$12:$A$130,"&gt;="&amp;Diagram!$O26,'J1 B - Butcher Terrace'!$A$12:$A$130,"&lt;"&amp;Diagram!$P26)))</f>
        <v>0</v>
      </c>
      <c r="BG26" s="42">
        <f ca="1">IF(OR($I$10="",$O26="",$P26="",$J$37&lt;&gt;"Yes"),0,IF($K$10=0,SUMIFS(INDIRECT(ADDRESS(12,3+18*0+(2),,,"J1 B - Butcher Terrace")&amp;":"&amp;ADDRESS(130,3+18*0+(2))),'J1 B - Butcher Terrace'!$A$12:$A$130,"&gt;="&amp;Diagram!$O26,'J1 B - Butcher Terrace'!$A$12:$A$130,"&lt;"&amp;Diagram!$P26),SUMIFS(INDIRECT(ADDRESS(12,3+18*0+(10),,,"J1 B - Butcher Terrace")&amp;":"&amp;ADDRESS(130,3+18*0+(10))),'J1 B - Butcher Terrace'!$A$12:$A$130,"&gt;="&amp;Diagram!$O26,'J1 B - Butcher Terrace'!$A$12:$A$130,"&lt;"&amp;Diagram!$P26)))</f>
        <v>0</v>
      </c>
      <c r="BH26" s="42">
        <f ca="1">IF(OR($I$10="",$O26="",$P26="",$J$37&lt;&gt;"Yes"),0,IF($K$10=0,SUMIFS(INDIRECT(ADDRESS(12,3+18*1+(2),,,"J1 B - Butcher Terrace")&amp;":"&amp;ADDRESS(130,3+18*1+(2))),'J1 B - Butcher Terrace'!$A$12:$A$130,"&gt;="&amp;Diagram!$O26,'J1 B - Butcher Terrace'!$A$12:$A$130,"&lt;"&amp;Diagram!$P26),SUMIFS(INDIRECT(ADDRESS(12,3+18*1+(10),,,"J1 B - Butcher Terrace")&amp;":"&amp;ADDRESS(130,3+18*1+(10))),'J1 B - Butcher Terrace'!$A$12:$A$130,"&gt;="&amp;Diagram!$O26,'J1 B - Butcher Terrace'!$A$12:$A$130,"&lt;"&amp;Diagram!$P26)))</f>
        <v>0</v>
      </c>
      <c r="BI26" s="42">
        <f ca="1">IF(OR($I$10="",$O26="",$P26="",$J$37&lt;&gt;"Yes"),0,IF($K$10=0,SUMIFS(INDIRECT(ADDRESS(12,3+18*1+(2),,,"J1 C - (South) Bishopthorpe Roa")&amp;":"&amp;ADDRESS(130,3+18*1+(2))),'J1 C - (South) Bishopthorpe Roa'!$A$12:$A$130,"&gt;="&amp;Diagram!$O26,'J1 C - (South) Bishopthorpe Roa'!$A$12:$A$130,"&lt;"&amp;Diagram!$P26),SUMIFS(INDIRECT(ADDRESS(12,3+18*1+(10),,,"J1 C - (South) Bishopthorpe Roa")&amp;":"&amp;ADDRESS(130,3+18*1+(10))),'J1 C - (South) Bishopthorpe Roa'!$A$12:$A$130,"&gt;="&amp;Diagram!$O26,'J1 C - (South) Bishopthorpe Roa'!$A$12:$A$130,"&lt;"&amp;Diagram!$P26)))</f>
        <v>3</v>
      </c>
      <c r="BJ26" s="42">
        <f ca="1">IF(OR($I$10="",$O26="",$P26="",$J$37&lt;&gt;"Yes"),0,IF($K$10=0,SUMIFS(INDIRECT(ADDRESS(12,3+18*2+(2),,,"J1 C - (South) Bishopthorpe Roa")&amp;":"&amp;ADDRESS(130,3+18*2+(2))),'J1 C - (South) Bishopthorpe Roa'!$A$12:$A$130,"&gt;="&amp;Diagram!$O26,'J1 C - (South) Bishopthorpe Roa'!$A$12:$A$130,"&lt;"&amp;Diagram!$P26),SUMIFS(INDIRECT(ADDRESS(12,3+18*2+(10),,,"J1 C - (South) Bishopthorpe Roa")&amp;":"&amp;ADDRESS(130,3+18*2+(10))),'J1 C - (South) Bishopthorpe Roa'!$A$12:$A$130,"&gt;="&amp;Diagram!$O26,'J1 C - (South) Bishopthorpe Roa'!$A$12:$A$130,"&lt;"&amp;Diagram!$P26)))</f>
        <v>0</v>
      </c>
      <c r="BK26" s="42">
        <f ca="1">IF(OR($I$10="",$O26="",$P26="",$J$37&lt;&gt;"Yes"),0,IF($K$10=0,SUMIFS(INDIRECT(ADDRESS(12,3+18*3+(2),,,"J1 C - (South) Bishopthorpe Roa")&amp;":"&amp;ADDRESS(130,3+18*3+(2))),'J1 C - (South) Bishopthorpe Roa'!$A$12:$A$130,"&gt;="&amp;Diagram!$O26,'J1 C - (South) Bishopthorpe Roa'!$A$12:$A$130,"&lt;"&amp;Diagram!$P26),SUMIFS(INDIRECT(ADDRESS(12,3+18*3+(10),,,"J1 C - (South) Bishopthorpe Roa")&amp;":"&amp;ADDRESS(130,3+18*3+(10))),'J1 C - (South) Bishopthorpe Roa'!$A$12:$A$130,"&gt;="&amp;Diagram!$O26,'J1 C - (South) Bishopthorpe Roa'!$A$12:$A$130,"&lt;"&amp;Diagram!$P26)))</f>
        <v>0</v>
      </c>
      <c r="BL26" s="42">
        <f ca="1">IF(OR($I$10="",$O26="",$P26="",$J$37&lt;&gt;"Yes"),0,IF($K$10=0,SUMIFS(INDIRECT(ADDRESS(12,3+18*0+(2),,,"J1 C - (South) Bishopthorpe Roa")&amp;":"&amp;ADDRESS(130,3+18*0+(2))),'J1 C - (South) Bishopthorpe Roa'!$A$12:$A$130,"&gt;="&amp;Diagram!$O26,'J1 C - (South) Bishopthorpe Roa'!$A$12:$A$130,"&lt;"&amp;Diagram!$P26),SUMIFS(INDIRECT(ADDRESS(12,3+18*0+(10),,,"J1 C - (South) Bishopthorpe Roa")&amp;":"&amp;ADDRESS(130,3+18*0+(10))),'J1 C - (South) Bishopthorpe Roa'!$A$12:$A$130,"&gt;="&amp;Diagram!$O26,'J1 C - (South) Bishopthorpe Roa'!$A$12:$A$130,"&lt;"&amp;Diagram!$P26)))</f>
        <v>0</v>
      </c>
      <c r="BM26" s="42">
        <f ca="1">IF(OR($I$10="",$O26="",$P26="",$J$37&lt;&gt;"Yes"),0,IF($K$10=0,SUMIFS(INDIRECT(ADDRESS(12,3+18*0+(2),,,"J1 D - South Bank Avenue")&amp;":"&amp;ADDRESS(130,3+18*0+(2))),'J1 D - South Bank Avenue'!$A$12:$A$130,"&gt;="&amp;Diagram!$O26,'J1 D - South Bank Avenue'!$A$12:$A$130,"&lt;"&amp;Diagram!$P26),SUMIFS(INDIRECT(ADDRESS(12,3+18*0+(10),,,"J1 D - South Bank Avenue")&amp;":"&amp;ADDRESS(130,3+18*0+(10))),'J1 D - South Bank Avenue'!$A$12:$A$130,"&gt;="&amp;Diagram!$O26,'J1 D - South Bank Avenue'!$A$12:$A$130,"&lt;"&amp;Diagram!$P26)))</f>
        <v>0</v>
      </c>
      <c r="BN26" s="42">
        <f ca="1">IF(OR($I$10="",$O26="",$P26="",$J$37&lt;&gt;"Yes"),0,IF($K$10=0,SUMIFS(INDIRECT(ADDRESS(12,3+18*1+(2),,,"J1 D - South Bank Avenue")&amp;":"&amp;ADDRESS(130,3+18*1+(2))),'J1 D - South Bank Avenue'!$A$12:$A$130,"&gt;="&amp;Diagram!$O26,'J1 D - South Bank Avenue'!$A$12:$A$130,"&lt;"&amp;Diagram!$P26),SUMIFS(INDIRECT(ADDRESS(12,3+18*1+(10),,,"J1 D - South Bank Avenue")&amp;":"&amp;ADDRESS(130,3+18*1+(10))),'J1 D - South Bank Avenue'!$A$12:$A$130,"&gt;="&amp;Diagram!$O26,'J1 D - South Bank Avenue'!$A$12:$A$130,"&lt;"&amp;Diagram!$P26)))</f>
        <v>0</v>
      </c>
      <c r="BO26" s="42">
        <f ca="1">IF(OR($I$10="",$O26="",$P26="",$J$37&lt;&gt;"Yes"),0,IF($K$10=0,SUMIFS(INDIRECT(ADDRESS(12,3+18*2+(2),,,"J1 D - South Bank Avenue")&amp;":"&amp;ADDRESS(130,3+18*2+(2))),'J1 D - South Bank Avenue'!$A$12:$A$130,"&gt;="&amp;Diagram!$O26,'J1 D - South Bank Avenue'!$A$12:$A$130,"&lt;"&amp;Diagram!$P26),SUMIFS(INDIRECT(ADDRESS(12,3+18*2+(10),,,"J1 D - South Bank Avenue")&amp;":"&amp;ADDRESS(130,3+18*2+(10))),'J1 D - South Bank Avenue'!$A$12:$A$130,"&gt;="&amp;Diagram!$O26,'J1 D - South Bank Avenue'!$A$12:$A$130,"&lt;"&amp;Diagram!$P26)))</f>
        <v>0</v>
      </c>
      <c r="BP26" s="42">
        <f ca="1">IF(OR($I$10="",$O26="",$P26="",$J$37&lt;&gt;"Yes"),0,IF($K$10=0,SUMIFS(INDIRECT(ADDRESS(12,3+18*3+(2),,,"J1 D - South Bank Avenue")&amp;":"&amp;ADDRESS(130,3+18*3+(2))),'J1 D - South Bank Avenue'!$A$12:$A$130,"&gt;="&amp;Diagram!$O26,'J1 D - South Bank Avenue'!$A$12:$A$130,"&lt;"&amp;Diagram!$P26),SUMIFS(INDIRECT(ADDRESS(12,3+18*3+(10),,,"J1 D - South Bank Avenue")&amp;":"&amp;ADDRESS(130,3+18*3+(10))),'J1 D - South Bank Avenue'!$A$12:$A$130,"&gt;="&amp;Diagram!$O26,'J1 D - South Bank Avenue'!$A$12:$A$130,"&lt;"&amp;Diagram!$P26)))</f>
        <v>0</v>
      </c>
      <c r="BQ26" s="42">
        <f t="shared" ca="1" si="4"/>
        <v>2</v>
      </c>
      <c r="BR26" s="42">
        <f ca="1">IF(OR($I$10="",$O26="",$P26="",$J$38&lt;&gt;"Yes"),0,IF($K$10=0,SUMIFS(INDIRECT(ADDRESS(12,3+18*3+(3),,,"J1 A - (North) Bishopthorpe Roa")&amp;":"&amp;ADDRESS(130,3+18*3+(3))),'J1 A - (North) Bishopthorpe Roa'!$A$12:$A$130,"&gt;="&amp;Diagram!$O26,'J1 A - (North) Bishopthorpe Roa'!$A$12:$A$130,"&lt;"&amp;Diagram!$P26),SUMIFS(INDIRECT(ADDRESS(12,3+18*3+(11),,,"J1 A - (North) Bishopthorpe Roa")&amp;":"&amp;ADDRESS(130,3+18*3+(11))),'J1 A - (North) Bishopthorpe Roa'!$A$12:$A$130,"&gt;="&amp;Diagram!$O26,'J1 A - (North) Bishopthorpe Roa'!$A$12:$A$130,"&lt;"&amp;Diagram!$P26)))</f>
        <v>0</v>
      </c>
      <c r="BS26" s="42">
        <f ca="1">IF(OR($I$10="",$O26="",$P26="",$J$38&lt;&gt;"Yes"),0,IF($K$10=0,SUMIFS(INDIRECT(ADDRESS(12,3+18*0+(3),,,"J1 A - (North) Bishopthorpe Roa")&amp;":"&amp;ADDRESS(130,3+18*0+(3))),'J1 A - (North) Bishopthorpe Roa'!$A$12:$A$130,"&gt;="&amp;Diagram!$O26,'J1 A - (North) Bishopthorpe Roa'!$A$12:$A$130,"&lt;"&amp;Diagram!$P26),SUMIFS(INDIRECT(ADDRESS(12,3+18*0+(11),,,"J1 A - (North) Bishopthorpe Roa")&amp;":"&amp;ADDRESS(130,3+18*0+(11))),'J1 A - (North) Bishopthorpe Roa'!$A$12:$A$130,"&gt;="&amp;Diagram!$O26,'J1 A - (North) Bishopthorpe Roa'!$A$12:$A$130,"&lt;"&amp;Diagram!$P26)))</f>
        <v>1</v>
      </c>
      <c r="BT26" s="42">
        <f ca="1">IF(OR($I$10="",$O26="",$P26="",$J$38&lt;&gt;"Yes"),0,IF($K$10=0,SUMIFS(INDIRECT(ADDRESS(12,3+18*1+(3),,,"J1 A - (North) Bishopthorpe Roa")&amp;":"&amp;ADDRESS(130,3+18*1+(3))),'J1 A - (North) Bishopthorpe Roa'!$A$12:$A$130,"&gt;="&amp;Diagram!$O26,'J1 A - (North) Bishopthorpe Roa'!$A$12:$A$130,"&lt;"&amp;Diagram!$P26),SUMIFS(INDIRECT(ADDRESS(12,3+18*1+(11),,,"J1 A - (North) Bishopthorpe Roa")&amp;":"&amp;ADDRESS(130,3+18*1+(11))),'J1 A - (North) Bishopthorpe Roa'!$A$12:$A$130,"&gt;="&amp;Diagram!$O26,'J1 A - (North) Bishopthorpe Roa'!$A$12:$A$130,"&lt;"&amp;Diagram!$P26)))</f>
        <v>0</v>
      </c>
      <c r="BU26" s="42">
        <f ca="1">IF(OR($I$10="",$O26="",$P26="",$J$38&lt;&gt;"Yes"),0,IF($K$10=0,SUMIFS(INDIRECT(ADDRESS(12,3+18*2+(3),,,"J1 A - (North) Bishopthorpe Roa")&amp;":"&amp;ADDRESS(130,3+18*2+(3))),'J1 A - (North) Bishopthorpe Roa'!$A$12:$A$130,"&gt;="&amp;Diagram!$O26,'J1 A - (North) Bishopthorpe Roa'!$A$12:$A$130,"&lt;"&amp;Diagram!$P26),SUMIFS(INDIRECT(ADDRESS(12,3+18*2+(11),,,"J1 A - (North) Bishopthorpe Roa")&amp;":"&amp;ADDRESS(130,3+18*2+(11))),'J1 A - (North) Bishopthorpe Roa'!$A$12:$A$130,"&gt;="&amp;Diagram!$O26,'J1 A - (North) Bishopthorpe Roa'!$A$12:$A$130,"&lt;"&amp;Diagram!$P26)))</f>
        <v>0</v>
      </c>
      <c r="BV26" s="42">
        <f ca="1">IF(OR($I$10="",$O26="",$P26="",$J$38&lt;&gt;"Yes"),0,IF($K$10=0,SUMIFS(INDIRECT(ADDRESS(12,3+18*2+(3),,,"J1 B - Butcher Terrace")&amp;":"&amp;ADDRESS(130,3+18*2+(3))),'J1 B - Butcher Terrace'!$A$12:$A$130,"&gt;="&amp;Diagram!$O26,'J1 B - Butcher Terrace'!$A$12:$A$130,"&lt;"&amp;Diagram!$P26),SUMIFS(INDIRECT(ADDRESS(12,3+18*2+(11),,,"J1 B - Butcher Terrace")&amp;":"&amp;ADDRESS(130,3+18*2+(11))),'J1 B - Butcher Terrace'!$A$12:$A$130,"&gt;="&amp;Diagram!$O26,'J1 B - Butcher Terrace'!$A$12:$A$130,"&lt;"&amp;Diagram!$P26)))</f>
        <v>1</v>
      </c>
      <c r="BW26" s="42">
        <f ca="1">IF(OR($I$10="",$O26="",$P26="",$J$38&lt;&gt;"Yes"),0,IF($K$10=0,SUMIFS(INDIRECT(ADDRESS(12,3+18*3+(3),,,"J1 B - Butcher Terrace")&amp;":"&amp;ADDRESS(130,3+18*3+(3))),'J1 B - Butcher Terrace'!$A$12:$A$130,"&gt;="&amp;Diagram!$O26,'J1 B - Butcher Terrace'!$A$12:$A$130,"&lt;"&amp;Diagram!$P26),SUMIFS(INDIRECT(ADDRESS(12,3+18*3+(11),,,"J1 B - Butcher Terrace")&amp;":"&amp;ADDRESS(130,3+18*3+(11))),'J1 B - Butcher Terrace'!$A$12:$A$130,"&gt;="&amp;Diagram!$O26,'J1 B - Butcher Terrace'!$A$12:$A$130,"&lt;"&amp;Diagram!$P26)))</f>
        <v>0</v>
      </c>
      <c r="BX26" s="42">
        <f ca="1">IF(OR($I$10="",$O26="",$P26="",$J$38&lt;&gt;"Yes"),0,IF($K$10=0,SUMIFS(INDIRECT(ADDRESS(12,3+18*0+(3),,,"J1 B - Butcher Terrace")&amp;":"&amp;ADDRESS(130,3+18*0+(3))),'J1 B - Butcher Terrace'!$A$12:$A$130,"&gt;="&amp;Diagram!$O26,'J1 B - Butcher Terrace'!$A$12:$A$130,"&lt;"&amp;Diagram!$P26),SUMIFS(INDIRECT(ADDRESS(12,3+18*0+(11),,,"J1 B - Butcher Terrace")&amp;":"&amp;ADDRESS(130,3+18*0+(11))),'J1 B - Butcher Terrace'!$A$12:$A$130,"&gt;="&amp;Diagram!$O26,'J1 B - Butcher Terrace'!$A$12:$A$130,"&lt;"&amp;Diagram!$P26)))</f>
        <v>0</v>
      </c>
      <c r="BY26" s="42">
        <f ca="1">IF(OR($I$10="",$O26="",$P26="",$J$38&lt;&gt;"Yes"),0,IF($K$10=0,SUMIFS(INDIRECT(ADDRESS(12,3+18*1+(3),,,"J1 B - Butcher Terrace")&amp;":"&amp;ADDRESS(130,3+18*1+(3))),'J1 B - Butcher Terrace'!$A$12:$A$130,"&gt;="&amp;Diagram!$O26,'J1 B - Butcher Terrace'!$A$12:$A$130,"&lt;"&amp;Diagram!$P26),SUMIFS(INDIRECT(ADDRESS(12,3+18*1+(11),,,"J1 B - Butcher Terrace")&amp;":"&amp;ADDRESS(130,3+18*1+(11))),'J1 B - Butcher Terrace'!$A$12:$A$130,"&gt;="&amp;Diagram!$O26,'J1 B - Butcher Terrace'!$A$12:$A$130,"&lt;"&amp;Diagram!$P26)))</f>
        <v>0</v>
      </c>
      <c r="BZ26" s="42">
        <f ca="1">IF(OR($I$10="",$O26="",$P26="",$J$38&lt;&gt;"Yes"),0,IF($K$10=0,SUMIFS(INDIRECT(ADDRESS(12,3+18*1+(3),,,"J1 C - (South) Bishopthorpe Roa")&amp;":"&amp;ADDRESS(130,3+18*1+(3))),'J1 C - (South) Bishopthorpe Roa'!$A$12:$A$130,"&gt;="&amp;Diagram!$O26,'J1 C - (South) Bishopthorpe Roa'!$A$12:$A$130,"&lt;"&amp;Diagram!$P26),SUMIFS(INDIRECT(ADDRESS(12,3+18*1+(11),,,"J1 C - (South) Bishopthorpe Roa")&amp;":"&amp;ADDRESS(130,3+18*1+(11))),'J1 C - (South) Bishopthorpe Roa'!$A$12:$A$130,"&gt;="&amp;Diagram!$O26,'J1 C - (South) Bishopthorpe Roa'!$A$12:$A$130,"&lt;"&amp;Diagram!$P26)))</f>
        <v>0</v>
      </c>
      <c r="CA26" s="42">
        <f ca="1">IF(OR($I$10="",$O26="",$P26="",$J$38&lt;&gt;"Yes"),0,IF($K$10=0,SUMIFS(INDIRECT(ADDRESS(12,3+18*2+(3),,,"J1 C - (South) Bishopthorpe Roa")&amp;":"&amp;ADDRESS(130,3+18*2+(3))),'J1 C - (South) Bishopthorpe Roa'!$A$12:$A$130,"&gt;="&amp;Diagram!$O26,'J1 C - (South) Bishopthorpe Roa'!$A$12:$A$130,"&lt;"&amp;Diagram!$P26),SUMIFS(INDIRECT(ADDRESS(12,3+18*2+(11),,,"J1 C - (South) Bishopthorpe Roa")&amp;":"&amp;ADDRESS(130,3+18*2+(11))),'J1 C - (South) Bishopthorpe Roa'!$A$12:$A$130,"&gt;="&amp;Diagram!$O26,'J1 C - (South) Bishopthorpe Roa'!$A$12:$A$130,"&lt;"&amp;Diagram!$P26)))</f>
        <v>0</v>
      </c>
      <c r="CB26" s="42">
        <f ca="1">IF(OR($I$10="",$O26="",$P26="",$J$38&lt;&gt;"Yes"),0,IF($K$10=0,SUMIFS(INDIRECT(ADDRESS(12,3+18*3+(3),,,"J1 C - (South) Bishopthorpe Roa")&amp;":"&amp;ADDRESS(130,3+18*3+(3))),'J1 C - (South) Bishopthorpe Roa'!$A$12:$A$130,"&gt;="&amp;Diagram!$O26,'J1 C - (South) Bishopthorpe Roa'!$A$12:$A$130,"&lt;"&amp;Diagram!$P26),SUMIFS(INDIRECT(ADDRESS(12,3+18*3+(11),,,"J1 C - (South) Bishopthorpe Roa")&amp;":"&amp;ADDRESS(130,3+18*3+(11))),'J1 C - (South) Bishopthorpe Roa'!$A$12:$A$130,"&gt;="&amp;Diagram!$O26,'J1 C - (South) Bishopthorpe Roa'!$A$12:$A$130,"&lt;"&amp;Diagram!$P26)))</f>
        <v>0</v>
      </c>
      <c r="CC26" s="42">
        <f ca="1">IF(OR($I$10="",$O26="",$P26="",$J$38&lt;&gt;"Yes"),0,IF($K$10=0,SUMIFS(INDIRECT(ADDRESS(12,3+18*0+(3),,,"J1 C - (South) Bishopthorpe Roa")&amp;":"&amp;ADDRESS(130,3+18*0+(3))),'J1 C - (South) Bishopthorpe Roa'!$A$12:$A$130,"&gt;="&amp;Diagram!$O26,'J1 C - (South) Bishopthorpe Roa'!$A$12:$A$130,"&lt;"&amp;Diagram!$P26),SUMIFS(INDIRECT(ADDRESS(12,3+18*0+(11),,,"J1 C - (South) Bishopthorpe Roa")&amp;":"&amp;ADDRESS(130,3+18*0+(11))),'J1 C - (South) Bishopthorpe Roa'!$A$12:$A$130,"&gt;="&amp;Diagram!$O26,'J1 C - (South) Bishopthorpe Roa'!$A$12:$A$130,"&lt;"&amp;Diagram!$P26)))</f>
        <v>0</v>
      </c>
      <c r="CD26" s="42">
        <f ca="1">IF(OR($I$10="",$O26="",$P26="",$J$38&lt;&gt;"Yes"),0,IF($K$10=0,SUMIFS(INDIRECT(ADDRESS(12,3+18*0+(3),,,"J1 D - South Bank Avenue")&amp;":"&amp;ADDRESS(130,3+18*0+(3))),'J1 D - South Bank Avenue'!$A$12:$A$130,"&gt;="&amp;Diagram!$O26,'J1 D - South Bank Avenue'!$A$12:$A$130,"&lt;"&amp;Diagram!$P26),SUMIFS(INDIRECT(ADDRESS(12,3+18*0+(11),,,"J1 D - South Bank Avenue")&amp;":"&amp;ADDRESS(130,3+18*0+(11))),'J1 D - South Bank Avenue'!$A$12:$A$130,"&gt;="&amp;Diagram!$O26,'J1 D - South Bank Avenue'!$A$12:$A$130,"&lt;"&amp;Diagram!$P26)))</f>
        <v>0</v>
      </c>
      <c r="CE26" s="42">
        <f ca="1">IF(OR($I$10="",$O26="",$P26="",$J$38&lt;&gt;"Yes"),0,IF($K$10=0,SUMIFS(INDIRECT(ADDRESS(12,3+18*1+(3),,,"J1 D - South Bank Avenue")&amp;":"&amp;ADDRESS(130,3+18*1+(3))),'J1 D - South Bank Avenue'!$A$12:$A$130,"&gt;="&amp;Diagram!$O26,'J1 D - South Bank Avenue'!$A$12:$A$130,"&lt;"&amp;Diagram!$P26),SUMIFS(INDIRECT(ADDRESS(12,3+18*1+(11),,,"J1 D - South Bank Avenue")&amp;":"&amp;ADDRESS(130,3+18*1+(11))),'J1 D - South Bank Avenue'!$A$12:$A$130,"&gt;="&amp;Diagram!$O26,'J1 D - South Bank Avenue'!$A$12:$A$130,"&lt;"&amp;Diagram!$P26)))</f>
        <v>0</v>
      </c>
      <c r="CF26" s="42">
        <f ca="1">IF(OR($I$10="",$O26="",$P26="",$J$38&lt;&gt;"Yes"),0,IF($K$10=0,SUMIFS(INDIRECT(ADDRESS(12,3+18*2+(3),,,"J1 D - South Bank Avenue")&amp;":"&amp;ADDRESS(130,3+18*2+(3))),'J1 D - South Bank Avenue'!$A$12:$A$130,"&gt;="&amp;Diagram!$O26,'J1 D - South Bank Avenue'!$A$12:$A$130,"&lt;"&amp;Diagram!$P26),SUMIFS(INDIRECT(ADDRESS(12,3+18*2+(11),,,"J1 D - South Bank Avenue")&amp;":"&amp;ADDRESS(130,3+18*2+(11))),'J1 D - South Bank Avenue'!$A$12:$A$130,"&gt;="&amp;Diagram!$O26,'J1 D - South Bank Avenue'!$A$12:$A$130,"&lt;"&amp;Diagram!$P26)))</f>
        <v>0</v>
      </c>
      <c r="CG26" s="42">
        <f ca="1">IF(OR($I$10="",$O26="",$P26="",$J$38&lt;&gt;"Yes"),0,IF($K$10=0,SUMIFS(INDIRECT(ADDRESS(12,3+18*3+(3),,,"J1 D - South Bank Avenue")&amp;":"&amp;ADDRESS(130,3+18*3+(3))),'J1 D - South Bank Avenue'!$A$12:$A$130,"&gt;="&amp;Diagram!$O26,'J1 D - South Bank Avenue'!$A$12:$A$130,"&lt;"&amp;Diagram!$P26),SUMIFS(INDIRECT(ADDRESS(12,3+18*3+(11),,,"J1 D - South Bank Avenue")&amp;":"&amp;ADDRESS(130,3+18*3+(11))),'J1 D - South Bank Avenue'!$A$12:$A$130,"&gt;="&amp;Diagram!$O26,'J1 D - South Bank Avenue'!$A$12:$A$130,"&lt;"&amp;Diagram!$P26)))</f>
        <v>0</v>
      </c>
      <c r="CH26" s="42">
        <f t="shared" ca="1" si="5"/>
        <v>4</v>
      </c>
      <c r="CI26" s="42">
        <f ca="1">IF(OR($I$10="",$O26="",$P26="",$J$39&lt;&gt;"Yes"),0,IF($K$10=0,SUMIFS(INDIRECT(ADDRESS(12,3+18*3+(4),,,"J1 A - (North) Bishopthorpe Roa")&amp;":"&amp;ADDRESS(130,3+18*3+(4))),'J1 A - (North) Bishopthorpe Roa'!$A$12:$A$130,"&gt;="&amp;Diagram!$O26,'J1 A - (North) Bishopthorpe Roa'!$A$12:$A$130,"&lt;"&amp;Diagram!$P26),SUMIFS(INDIRECT(ADDRESS(12,3+18*3+(12),,,"J1 A - (North) Bishopthorpe Roa")&amp;":"&amp;ADDRESS(130,3+18*3+(12))),'J1 A - (North) Bishopthorpe Roa'!$A$12:$A$130,"&gt;="&amp;Diagram!$O26,'J1 A - (North) Bishopthorpe Roa'!$A$12:$A$130,"&lt;"&amp;Diagram!$P26)))</f>
        <v>0</v>
      </c>
      <c r="CJ26" s="42">
        <f ca="1">IF(OR($I$10="",$O26="",$P26="",$J$39&lt;&gt;"Yes"),0,IF($K$10=0,SUMIFS(INDIRECT(ADDRESS(12,3+18*0+(4),,,"J1 A - (North) Bishopthorpe Roa")&amp;":"&amp;ADDRESS(130,3+18*0+(4))),'J1 A - (North) Bishopthorpe Roa'!$A$12:$A$130,"&gt;="&amp;Diagram!$O26,'J1 A - (North) Bishopthorpe Roa'!$A$12:$A$130,"&lt;"&amp;Diagram!$P26),SUMIFS(INDIRECT(ADDRESS(12,3+18*0+(12),,,"J1 A - (North) Bishopthorpe Roa")&amp;":"&amp;ADDRESS(130,3+18*0+(12))),'J1 A - (North) Bishopthorpe Roa'!$A$12:$A$130,"&gt;="&amp;Diagram!$O26,'J1 A - (North) Bishopthorpe Roa'!$A$12:$A$130,"&lt;"&amp;Diagram!$P26)))</f>
        <v>0</v>
      </c>
      <c r="CK26" s="42">
        <f ca="1">IF(OR($I$10="",$O26="",$P26="",$J$39&lt;&gt;"Yes"),0,IF($K$10=0,SUMIFS(INDIRECT(ADDRESS(12,3+18*1+(4),,,"J1 A - (North) Bishopthorpe Roa")&amp;":"&amp;ADDRESS(130,3+18*1+(4))),'J1 A - (North) Bishopthorpe Roa'!$A$12:$A$130,"&gt;="&amp;Diagram!$O26,'J1 A - (North) Bishopthorpe Roa'!$A$12:$A$130,"&lt;"&amp;Diagram!$P26),SUMIFS(INDIRECT(ADDRESS(12,3+18*1+(12),,,"J1 A - (North) Bishopthorpe Roa")&amp;":"&amp;ADDRESS(130,3+18*1+(12))),'J1 A - (North) Bishopthorpe Roa'!$A$12:$A$130,"&gt;="&amp;Diagram!$O26,'J1 A - (North) Bishopthorpe Roa'!$A$12:$A$130,"&lt;"&amp;Diagram!$P26)))</f>
        <v>2</v>
      </c>
      <c r="CL26" s="42">
        <f ca="1">IF(OR($I$10="",$O26="",$P26="",$J$39&lt;&gt;"Yes"),0,IF($K$10=0,SUMIFS(INDIRECT(ADDRESS(12,3+18*2+(4),,,"J1 A - (North) Bishopthorpe Roa")&amp;":"&amp;ADDRESS(130,3+18*2+(4))),'J1 A - (North) Bishopthorpe Roa'!$A$12:$A$130,"&gt;="&amp;Diagram!$O26,'J1 A - (North) Bishopthorpe Roa'!$A$12:$A$130,"&lt;"&amp;Diagram!$P26),SUMIFS(INDIRECT(ADDRESS(12,3+18*2+(12),,,"J1 A - (North) Bishopthorpe Roa")&amp;":"&amp;ADDRESS(130,3+18*2+(12))),'J1 A - (North) Bishopthorpe Roa'!$A$12:$A$130,"&gt;="&amp;Diagram!$O26,'J1 A - (North) Bishopthorpe Roa'!$A$12:$A$130,"&lt;"&amp;Diagram!$P26)))</f>
        <v>0</v>
      </c>
      <c r="CM26" s="42">
        <f ca="1">IF(OR($I$10="",$O26="",$P26="",$J$39&lt;&gt;"Yes"),0,IF($K$10=0,SUMIFS(INDIRECT(ADDRESS(12,3+18*2+(4),,,"J1 B - Butcher Terrace")&amp;":"&amp;ADDRESS(130,3+18*2+(4))),'J1 B - Butcher Terrace'!$A$12:$A$130,"&gt;="&amp;Diagram!$O26,'J1 B - Butcher Terrace'!$A$12:$A$130,"&lt;"&amp;Diagram!$P26),SUMIFS(INDIRECT(ADDRESS(12,3+18*2+(12),,,"J1 B - Butcher Terrace")&amp;":"&amp;ADDRESS(130,3+18*2+(12))),'J1 B - Butcher Terrace'!$A$12:$A$130,"&gt;="&amp;Diagram!$O26,'J1 B - Butcher Terrace'!$A$12:$A$130,"&lt;"&amp;Diagram!$P26)))</f>
        <v>0</v>
      </c>
      <c r="CN26" s="42">
        <f ca="1">IF(OR($I$10="",$O26="",$P26="",$J$39&lt;&gt;"Yes"),0,IF($K$10=0,SUMIFS(INDIRECT(ADDRESS(12,3+18*3+(4),,,"J1 B - Butcher Terrace")&amp;":"&amp;ADDRESS(130,3+18*3+(4))),'J1 B - Butcher Terrace'!$A$12:$A$130,"&gt;="&amp;Diagram!$O26,'J1 B - Butcher Terrace'!$A$12:$A$130,"&lt;"&amp;Diagram!$P26),SUMIFS(INDIRECT(ADDRESS(12,3+18*3+(12),,,"J1 B - Butcher Terrace")&amp;":"&amp;ADDRESS(130,3+18*3+(12))),'J1 B - Butcher Terrace'!$A$12:$A$130,"&gt;="&amp;Diagram!$O26,'J1 B - Butcher Terrace'!$A$12:$A$130,"&lt;"&amp;Diagram!$P26)))</f>
        <v>0</v>
      </c>
      <c r="CO26" s="42">
        <f ca="1">IF(OR($I$10="",$O26="",$P26="",$J$39&lt;&gt;"Yes"),0,IF($K$10=0,SUMIFS(INDIRECT(ADDRESS(12,3+18*0+(4),,,"J1 B - Butcher Terrace")&amp;":"&amp;ADDRESS(130,3+18*0+(4))),'J1 B - Butcher Terrace'!$A$12:$A$130,"&gt;="&amp;Diagram!$O26,'J1 B - Butcher Terrace'!$A$12:$A$130,"&lt;"&amp;Diagram!$P26),SUMIFS(INDIRECT(ADDRESS(12,3+18*0+(12),,,"J1 B - Butcher Terrace")&amp;":"&amp;ADDRESS(130,3+18*0+(12))),'J1 B - Butcher Terrace'!$A$12:$A$130,"&gt;="&amp;Diagram!$O26,'J1 B - Butcher Terrace'!$A$12:$A$130,"&lt;"&amp;Diagram!$P26)))</f>
        <v>0</v>
      </c>
      <c r="CP26" s="42">
        <f ca="1">IF(OR($I$10="",$O26="",$P26="",$J$39&lt;&gt;"Yes"),0,IF($K$10=0,SUMIFS(INDIRECT(ADDRESS(12,3+18*1+(4),,,"J1 B - Butcher Terrace")&amp;":"&amp;ADDRESS(130,3+18*1+(4))),'J1 B - Butcher Terrace'!$A$12:$A$130,"&gt;="&amp;Diagram!$O26,'J1 B - Butcher Terrace'!$A$12:$A$130,"&lt;"&amp;Diagram!$P26),SUMIFS(INDIRECT(ADDRESS(12,3+18*1+(12),,,"J1 B - Butcher Terrace")&amp;":"&amp;ADDRESS(130,3+18*1+(12))),'J1 B - Butcher Terrace'!$A$12:$A$130,"&gt;="&amp;Diagram!$O26,'J1 B - Butcher Terrace'!$A$12:$A$130,"&lt;"&amp;Diagram!$P26)))</f>
        <v>0</v>
      </c>
      <c r="CQ26" s="42">
        <f ca="1">IF(OR($I$10="",$O26="",$P26="",$J$39&lt;&gt;"Yes"),0,IF($K$10=0,SUMIFS(INDIRECT(ADDRESS(12,3+18*1+(4),,,"J1 C - (South) Bishopthorpe Roa")&amp;":"&amp;ADDRESS(130,3+18*1+(4))),'J1 C - (South) Bishopthorpe Roa'!$A$12:$A$130,"&gt;="&amp;Diagram!$O26,'J1 C - (South) Bishopthorpe Roa'!$A$12:$A$130,"&lt;"&amp;Diagram!$P26),SUMIFS(INDIRECT(ADDRESS(12,3+18*1+(12),,,"J1 C - (South) Bishopthorpe Roa")&amp;":"&amp;ADDRESS(130,3+18*1+(12))),'J1 C - (South) Bishopthorpe Roa'!$A$12:$A$130,"&gt;="&amp;Diagram!$O26,'J1 C - (South) Bishopthorpe Roa'!$A$12:$A$130,"&lt;"&amp;Diagram!$P26)))</f>
        <v>2</v>
      </c>
      <c r="CR26" s="42">
        <f ca="1">IF(OR($I$10="",$O26="",$P26="",$J$39&lt;&gt;"Yes"),0,IF($K$10=0,SUMIFS(INDIRECT(ADDRESS(12,3+18*2+(4),,,"J1 C - (South) Bishopthorpe Roa")&amp;":"&amp;ADDRESS(130,3+18*2+(4))),'J1 C - (South) Bishopthorpe Roa'!$A$12:$A$130,"&gt;="&amp;Diagram!$O26,'J1 C - (South) Bishopthorpe Roa'!$A$12:$A$130,"&lt;"&amp;Diagram!$P26),SUMIFS(INDIRECT(ADDRESS(12,3+18*2+(12),,,"J1 C - (South) Bishopthorpe Roa")&amp;":"&amp;ADDRESS(130,3+18*2+(12))),'J1 C - (South) Bishopthorpe Roa'!$A$12:$A$130,"&gt;="&amp;Diagram!$O26,'J1 C - (South) Bishopthorpe Roa'!$A$12:$A$130,"&lt;"&amp;Diagram!$P26)))</f>
        <v>0</v>
      </c>
      <c r="CS26" s="42">
        <f ca="1">IF(OR($I$10="",$O26="",$P26="",$J$39&lt;&gt;"Yes"),0,IF($K$10=0,SUMIFS(INDIRECT(ADDRESS(12,3+18*3+(4),,,"J1 C - (South) Bishopthorpe Roa")&amp;":"&amp;ADDRESS(130,3+18*3+(4))),'J1 C - (South) Bishopthorpe Roa'!$A$12:$A$130,"&gt;="&amp;Diagram!$O26,'J1 C - (South) Bishopthorpe Roa'!$A$12:$A$130,"&lt;"&amp;Diagram!$P26),SUMIFS(INDIRECT(ADDRESS(12,3+18*3+(12),,,"J1 C - (South) Bishopthorpe Roa")&amp;":"&amp;ADDRESS(130,3+18*3+(12))),'J1 C - (South) Bishopthorpe Roa'!$A$12:$A$130,"&gt;="&amp;Diagram!$O26,'J1 C - (South) Bishopthorpe Roa'!$A$12:$A$130,"&lt;"&amp;Diagram!$P26)))</f>
        <v>0</v>
      </c>
      <c r="CT26" s="42">
        <f ca="1">IF(OR($I$10="",$O26="",$P26="",$J$39&lt;&gt;"Yes"),0,IF($K$10=0,SUMIFS(INDIRECT(ADDRESS(12,3+18*0+(4),,,"J1 C - (South) Bishopthorpe Roa")&amp;":"&amp;ADDRESS(130,3+18*0+(4))),'J1 C - (South) Bishopthorpe Roa'!$A$12:$A$130,"&gt;="&amp;Diagram!$O26,'J1 C - (South) Bishopthorpe Roa'!$A$12:$A$130,"&lt;"&amp;Diagram!$P26),SUMIFS(INDIRECT(ADDRESS(12,3+18*0+(12),,,"J1 C - (South) Bishopthorpe Roa")&amp;":"&amp;ADDRESS(130,3+18*0+(12))),'J1 C - (South) Bishopthorpe Roa'!$A$12:$A$130,"&gt;="&amp;Diagram!$O26,'J1 C - (South) Bishopthorpe Roa'!$A$12:$A$130,"&lt;"&amp;Diagram!$P26)))</f>
        <v>0</v>
      </c>
      <c r="CU26" s="42">
        <f ca="1">IF(OR($I$10="",$O26="",$P26="",$J$39&lt;&gt;"Yes"),0,IF($K$10=0,SUMIFS(INDIRECT(ADDRESS(12,3+18*0+(4),,,"J1 D - South Bank Avenue")&amp;":"&amp;ADDRESS(130,3+18*0+(4))),'J1 D - South Bank Avenue'!$A$12:$A$130,"&gt;="&amp;Diagram!$O26,'J1 D - South Bank Avenue'!$A$12:$A$130,"&lt;"&amp;Diagram!$P26),SUMIFS(INDIRECT(ADDRESS(12,3+18*0+(12),,,"J1 D - South Bank Avenue")&amp;":"&amp;ADDRESS(130,3+18*0+(12))),'J1 D - South Bank Avenue'!$A$12:$A$130,"&gt;="&amp;Diagram!$O26,'J1 D - South Bank Avenue'!$A$12:$A$130,"&lt;"&amp;Diagram!$P26)))</f>
        <v>0</v>
      </c>
      <c r="CV26" s="42">
        <f ca="1">IF(OR($I$10="",$O26="",$P26="",$J$39&lt;&gt;"Yes"),0,IF($K$10=0,SUMIFS(INDIRECT(ADDRESS(12,3+18*1+(4),,,"J1 D - South Bank Avenue")&amp;":"&amp;ADDRESS(130,3+18*1+(4))),'J1 D - South Bank Avenue'!$A$12:$A$130,"&gt;="&amp;Diagram!$O26,'J1 D - South Bank Avenue'!$A$12:$A$130,"&lt;"&amp;Diagram!$P26),SUMIFS(INDIRECT(ADDRESS(12,3+18*1+(12),,,"J1 D - South Bank Avenue")&amp;":"&amp;ADDRESS(130,3+18*1+(12))),'J1 D - South Bank Avenue'!$A$12:$A$130,"&gt;="&amp;Diagram!$O26,'J1 D - South Bank Avenue'!$A$12:$A$130,"&lt;"&amp;Diagram!$P26)))</f>
        <v>0</v>
      </c>
      <c r="CW26" s="42">
        <f ca="1">IF(OR($I$10="",$O26="",$P26="",$J$39&lt;&gt;"Yes"),0,IF($K$10=0,SUMIFS(INDIRECT(ADDRESS(12,3+18*2+(4),,,"J1 D - South Bank Avenue")&amp;":"&amp;ADDRESS(130,3+18*2+(4))),'J1 D - South Bank Avenue'!$A$12:$A$130,"&gt;="&amp;Diagram!$O26,'J1 D - South Bank Avenue'!$A$12:$A$130,"&lt;"&amp;Diagram!$P26),SUMIFS(INDIRECT(ADDRESS(12,3+18*2+(12),,,"J1 D - South Bank Avenue")&amp;":"&amp;ADDRESS(130,3+18*2+(12))),'J1 D - South Bank Avenue'!$A$12:$A$130,"&gt;="&amp;Diagram!$O26,'J1 D - South Bank Avenue'!$A$12:$A$130,"&lt;"&amp;Diagram!$P26)))</f>
        <v>0</v>
      </c>
      <c r="CX26" s="42">
        <f ca="1">IF(OR($I$10="",$O26="",$P26="",$J$39&lt;&gt;"Yes"),0,IF($K$10=0,SUMIFS(INDIRECT(ADDRESS(12,3+18*3+(4),,,"J1 D - South Bank Avenue")&amp;":"&amp;ADDRESS(130,3+18*3+(4))),'J1 D - South Bank Avenue'!$A$12:$A$130,"&gt;="&amp;Diagram!$O26,'J1 D - South Bank Avenue'!$A$12:$A$130,"&lt;"&amp;Diagram!$P26),SUMIFS(INDIRECT(ADDRESS(12,3+18*3+(12),,,"J1 D - South Bank Avenue")&amp;":"&amp;ADDRESS(130,3+18*3+(12))),'J1 D - South Bank Avenue'!$A$12:$A$130,"&gt;="&amp;Diagram!$O26,'J1 D - South Bank Avenue'!$A$12:$A$130,"&lt;"&amp;Diagram!$P26)))</f>
        <v>0</v>
      </c>
      <c r="CY26" s="42">
        <f t="shared" ca="1" si="6"/>
        <v>38</v>
      </c>
      <c r="CZ26" s="42">
        <f ca="1">IF(OR($I$10="",$O26="",$P26="",$J$40&lt;&gt;"Yes"),0,IF($K$10=0,SUMIFS(INDIRECT(ADDRESS(12,3+18*3+(5),,,"J1 A - (North) Bishopthorpe Roa")&amp;":"&amp;ADDRESS(130,3+18*3+(5))),'J1 A - (North) Bishopthorpe Roa'!$A$12:$A$130,"&gt;="&amp;Diagram!$O26,'J1 A - (North) Bishopthorpe Roa'!$A$12:$A$130,"&lt;"&amp;Diagram!$P26),SUMIFS(INDIRECT(ADDRESS(12,3+18*3+(13),,,"J1 A - (North) Bishopthorpe Roa")&amp;":"&amp;ADDRESS(130,3+18*3+(13))),'J1 A - (North) Bishopthorpe Roa'!$A$12:$A$130,"&gt;="&amp;Diagram!$O26,'J1 A - (North) Bishopthorpe Roa'!$A$12:$A$130,"&lt;"&amp;Diagram!$P26)))</f>
        <v>0</v>
      </c>
      <c r="DA26" s="42">
        <f ca="1">IF(OR($I$10="",$O26="",$P26="",$J$40&lt;&gt;"Yes"),0,IF($K$10=0,SUMIFS(INDIRECT(ADDRESS(12,3+18*0+(5),,,"J1 A - (North) Bishopthorpe Roa")&amp;":"&amp;ADDRESS(130,3+18*0+(5))),'J1 A - (North) Bishopthorpe Roa'!$A$12:$A$130,"&gt;="&amp;Diagram!$O26,'J1 A - (North) Bishopthorpe Roa'!$A$12:$A$130,"&lt;"&amp;Diagram!$P26),SUMIFS(INDIRECT(ADDRESS(12,3+18*0+(13),,,"J1 A - (North) Bishopthorpe Roa")&amp;":"&amp;ADDRESS(130,3+18*0+(13))),'J1 A - (North) Bishopthorpe Roa'!$A$12:$A$130,"&gt;="&amp;Diagram!$O26,'J1 A - (North) Bishopthorpe Roa'!$A$12:$A$130,"&lt;"&amp;Diagram!$P26)))</f>
        <v>5</v>
      </c>
      <c r="DB26" s="42">
        <f ca="1">IF(OR($I$10="",$O26="",$P26="",$J$40&lt;&gt;"Yes"),0,IF($K$10=0,SUMIFS(INDIRECT(ADDRESS(12,3+18*1+(5),,,"J1 A - (North) Bishopthorpe Roa")&amp;":"&amp;ADDRESS(130,3+18*1+(5))),'J1 A - (North) Bishopthorpe Roa'!$A$12:$A$130,"&gt;="&amp;Diagram!$O26,'J1 A - (North) Bishopthorpe Roa'!$A$12:$A$130,"&lt;"&amp;Diagram!$P26),SUMIFS(INDIRECT(ADDRESS(12,3+18*1+(13),,,"J1 A - (North) Bishopthorpe Roa")&amp;":"&amp;ADDRESS(130,3+18*1+(13))),'J1 A - (North) Bishopthorpe Roa'!$A$12:$A$130,"&gt;="&amp;Diagram!$O26,'J1 A - (North) Bishopthorpe Roa'!$A$12:$A$130,"&lt;"&amp;Diagram!$P26)))</f>
        <v>4</v>
      </c>
      <c r="DC26" s="42">
        <f ca="1">IF(OR($I$10="",$O26="",$P26="",$J$40&lt;&gt;"Yes"),0,IF($K$10=0,SUMIFS(INDIRECT(ADDRESS(12,3+18*2+(5),,,"J1 A - (North) Bishopthorpe Roa")&amp;":"&amp;ADDRESS(130,3+18*2+(5))),'J1 A - (North) Bishopthorpe Roa'!$A$12:$A$130,"&gt;="&amp;Diagram!$O26,'J1 A - (North) Bishopthorpe Roa'!$A$12:$A$130,"&lt;"&amp;Diagram!$P26),SUMIFS(INDIRECT(ADDRESS(12,3+18*2+(13),,,"J1 A - (North) Bishopthorpe Roa")&amp;":"&amp;ADDRESS(130,3+18*2+(13))),'J1 A - (North) Bishopthorpe Roa'!$A$12:$A$130,"&gt;="&amp;Diagram!$O26,'J1 A - (North) Bishopthorpe Roa'!$A$12:$A$130,"&lt;"&amp;Diagram!$P26)))</f>
        <v>0</v>
      </c>
      <c r="DD26" s="42">
        <f ca="1">IF(OR($I$10="",$O26="",$P26="",$J$40&lt;&gt;"Yes"),0,IF($K$10=0,SUMIFS(INDIRECT(ADDRESS(12,3+18*2+(5),,,"J1 B - Butcher Terrace")&amp;":"&amp;ADDRESS(130,3+18*2+(5))),'J1 B - Butcher Terrace'!$A$12:$A$130,"&gt;="&amp;Diagram!$O26,'J1 B - Butcher Terrace'!$A$12:$A$130,"&lt;"&amp;Diagram!$P26),SUMIFS(INDIRECT(ADDRESS(12,3+18*2+(13),,,"J1 B - Butcher Terrace")&amp;":"&amp;ADDRESS(130,3+18*2+(13))),'J1 B - Butcher Terrace'!$A$12:$A$130,"&gt;="&amp;Diagram!$O26,'J1 B - Butcher Terrace'!$A$12:$A$130,"&lt;"&amp;Diagram!$P26)))</f>
        <v>3</v>
      </c>
      <c r="DE26" s="42">
        <f ca="1">IF(OR($I$10="",$O26="",$P26="",$J$40&lt;&gt;"Yes"),0,IF($K$10=0,SUMIFS(INDIRECT(ADDRESS(12,3+18*3+(5),,,"J1 B - Butcher Terrace")&amp;":"&amp;ADDRESS(130,3+18*3+(5))),'J1 B - Butcher Terrace'!$A$12:$A$130,"&gt;="&amp;Diagram!$O26,'J1 B - Butcher Terrace'!$A$12:$A$130,"&lt;"&amp;Diagram!$P26),SUMIFS(INDIRECT(ADDRESS(12,3+18*3+(13),,,"J1 B - Butcher Terrace")&amp;":"&amp;ADDRESS(130,3+18*3+(13))),'J1 B - Butcher Terrace'!$A$12:$A$130,"&gt;="&amp;Diagram!$O26,'J1 B - Butcher Terrace'!$A$12:$A$130,"&lt;"&amp;Diagram!$P26)))</f>
        <v>0</v>
      </c>
      <c r="DF26" s="42">
        <f ca="1">IF(OR($I$10="",$O26="",$P26="",$J$40&lt;&gt;"Yes"),0,IF($K$10=0,SUMIFS(INDIRECT(ADDRESS(12,3+18*0+(5),,,"J1 B - Butcher Terrace")&amp;":"&amp;ADDRESS(130,3+18*0+(5))),'J1 B - Butcher Terrace'!$A$12:$A$130,"&gt;="&amp;Diagram!$O26,'J1 B - Butcher Terrace'!$A$12:$A$130,"&lt;"&amp;Diagram!$P26),SUMIFS(INDIRECT(ADDRESS(12,3+18*0+(13),,,"J1 B - Butcher Terrace")&amp;":"&amp;ADDRESS(130,3+18*0+(13))),'J1 B - Butcher Terrace'!$A$12:$A$130,"&gt;="&amp;Diagram!$O26,'J1 B - Butcher Terrace'!$A$12:$A$130,"&lt;"&amp;Diagram!$P26)))</f>
        <v>1</v>
      </c>
      <c r="DG26" s="42">
        <f ca="1">IF(OR($I$10="",$O26="",$P26="",$J$40&lt;&gt;"Yes"),0,IF($K$10=0,SUMIFS(INDIRECT(ADDRESS(12,3+18*1+(5),,,"J1 B - Butcher Terrace")&amp;":"&amp;ADDRESS(130,3+18*1+(5))),'J1 B - Butcher Terrace'!$A$12:$A$130,"&gt;="&amp;Diagram!$O26,'J1 B - Butcher Terrace'!$A$12:$A$130,"&lt;"&amp;Diagram!$P26),SUMIFS(INDIRECT(ADDRESS(12,3+18*1+(13),,,"J1 B - Butcher Terrace")&amp;":"&amp;ADDRESS(130,3+18*1+(13))),'J1 B - Butcher Terrace'!$A$12:$A$130,"&gt;="&amp;Diagram!$O26,'J1 B - Butcher Terrace'!$A$12:$A$130,"&lt;"&amp;Diagram!$P26)))</f>
        <v>4</v>
      </c>
      <c r="DH26" s="42">
        <f ca="1">IF(OR($I$10="",$O26="",$P26="",$J$40&lt;&gt;"Yes"),0,IF($K$10=0,SUMIFS(INDIRECT(ADDRESS(12,3+18*1+(5),,,"J1 C - (South) Bishopthorpe Roa")&amp;":"&amp;ADDRESS(130,3+18*1+(5))),'J1 C - (South) Bishopthorpe Roa'!$A$12:$A$130,"&gt;="&amp;Diagram!$O26,'J1 C - (South) Bishopthorpe Roa'!$A$12:$A$130,"&lt;"&amp;Diagram!$P26),SUMIFS(INDIRECT(ADDRESS(12,3+18*1+(13),,,"J1 C - (South) Bishopthorpe Roa")&amp;":"&amp;ADDRESS(130,3+18*1+(13))),'J1 C - (South) Bishopthorpe Roa'!$A$12:$A$130,"&gt;="&amp;Diagram!$O26,'J1 C - (South) Bishopthorpe Roa'!$A$12:$A$130,"&lt;"&amp;Diagram!$P26)))</f>
        <v>8</v>
      </c>
      <c r="DI26" s="42">
        <f ca="1">IF(OR($I$10="",$O26="",$P26="",$J$40&lt;&gt;"Yes"),0,IF($K$10=0,SUMIFS(INDIRECT(ADDRESS(12,3+18*2+(5),,,"J1 C - (South) Bishopthorpe Roa")&amp;":"&amp;ADDRESS(130,3+18*2+(5))),'J1 C - (South) Bishopthorpe Roa'!$A$12:$A$130,"&gt;="&amp;Diagram!$O26,'J1 C - (South) Bishopthorpe Roa'!$A$12:$A$130,"&lt;"&amp;Diagram!$P26),SUMIFS(INDIRECT(ADDRESS(12,3+18*2+(13),,,"J1 C - (South) Bishopthorpe Roa")&amp;":"&amp;ADDRESS(130,3+18*2+(13))),'J1 C - (South) Bishopthorpe Roa'!$A$12:$A$130,"&gt;="&amp;Diagram!$O26,'J1 C - (South) Bishopthorpe Roa'!$A$12:$A$130,"&lt;"&amp;Diagram!$P26)))</f>
        <v>5</v>
      </c>
      <c r="DJ26" s="42">
        <f ca="1">IF(OR($I$10="",$O26="",$P26="",$J$40&lt;&gt;"Yes"),0,IF($K$10=0,SUMIFS(INDIRECT(ADDRESS(12,3+18*3+(5),,,"J1 C - (South) Bishopthorpe Roa")&amp;":"&amp;ADDRESS(130,3+18*3+(5))),'J1 C - (South) Bishopthorpe Roa'!$A$12:$A$130,"&gt;="&amp;Diagram!$O26,'J1 C - (South) Bishopthorpe Roa'!$A$12:$A$130,"&lt;"&amp;Diagram!$P26),SUMIFS(INDIRECT(ADDRESS(12,3+18*3+(13),,,"J1 C - (South) Bishopthorpe Roa")&amp;":"&amp;ADDRESS(130,3+18*3+(13))),'J1 C - (South) Bishopthorpe Roa'!$A$12:$A$130,"&gt;="&amp;Diagram!$O26,'J1 C - (South) Bishopthorpe Roa'!$A$12:$A$130,"&lt;"&amp;Diagram!$P26)))</f>
        <v>0</v>
      </c>
      <c r="DK26" s="42">
        <f ca="1">IF(OR($I$10="",$O26="",$P26="",$J$40&lt;&gt;"Yes"),0,IF($K$10=0,SUMIFS(INDIRECT(ADDRESS(12,3+18*0+(5),,,"J1 C - (South) Bishopthorpe Roa")&amp;":"&amp;ADDRESS(130,3+18*0+(5))),'J1 C - (South) Bishopthorpe Roa'!$A$12:$A$130,"&gt;="&amp;Diagram!$O26,'J1 C - (South) Bishopthorpe Roa'!$A$12:$A$130,"&lt;"&amp;Diagram!$P26),SUMIFS(INDIRECT(ADDRESS(12,3+18*0+(13),,,"J1 C - (South) Bishopthorpe Roa")&amp;":"&amp;ADDRESS(130,3+18*0+(13))),'J1 C - (South) Bishopthorpe Roa'!$A$12:$A$130,"&gt;="&amp;Diagram!$O26,'J1 C - (South) Bishopthorpe Roa'!$A$12:$A$130,"&lt;"&amp;Diagram!$P26)))</f>
        <v>0</v>
      </c>
      <c r="DL26" s="42">
        <f ca="1">IF(OR($I$10="",$O26="",$P26="",$J$40&lt;&gt;"Yes"),0,IF($K$10=0,SUMIFS(INDIRECT(ADDRESS(12,3+18*0+(5),,,"J1 D - South Bank Avenue")&amp;":"&amp;ADDRESS(130,3+18*0+(5))),'J1 D - South Bank Avenue'!$A$12:$A$130,"&gt;="&amp;Diagram!$O26,'J1 D - South Bank Avenue'!$A$12:$A$130,"&lt;"&amp;Diagram!$P26),SUMIFS(INDIRECT(ADDRESS(12,3+18*0+(13),,,"J1 D - South Bank Avenue")&amp;":"&amp;ADDRESS(130,3+18*0+(13))),'J1 D - South Bank Avenue'!$A$12:$A$130,"&gt;="&amp;Diagram!$O26,'J1 D - South Bank Avenue'!$A$12:$A$130,"&lt;"&amp;Diagram!$P26)))</f>
        <v>1</v>
      </c>
      <c r="DM26" s="42">
        <f ca="1">IF(OR($I$10="",$O26="",$P26="",$J$40&lt;&gt;"Yes"),0,IF($K$10=0,SUMIFS(INDIRECT(ADDRESS(12,3+18*1+(5),,,"J1 D - South Bank Avenue")&amp;":"&amp;ADDRESS(130,3+18*1+(5))),'J1 D - South Bank Avenue'!$A$12:$A$130,"&gt;="&amp;Diagram!$O26,'J1 D - South Bank Avenue'!$A$12:$A$130,"&lt;"&amp;Diagram!$P26),SUMIFS(INDIRECT(ADDRESS(12,3+18*1+(13),,,"J1 D - South Bank Avenue")&amp;":"&amp;ADDRESS(130,3+18*1+(13))),'J1 D - South Bank Avenue'!$A$12:$A$130,"&gt;="&amp;Diagram!$O26,'J1 D - South Bank Avenue'!$A$12:$A$130,"&lt;"&amp;Diagram!$P26)))</f>
        <v>6</v>
      </c>
      <c r="DN26" s="42">
        <f ca="1">IF(OR($I$10="",$O26="",$P26="",$J$40&lt;&gt;"Yes"),0,IF($K$10=0,SUMIFS(INDIRECT(ADDRESS(12,3+18*2+(5),,,"J1 D - South Bank Avenue")&amp;":"&amp;ADDRESS(130,3+18*2+(5))),'J1 D - South Bank Avenue'!$A$12:$A$130,"&gt;="&amp;Diagram!$O26,'J1 D - South Bank Avenue'!$A$12:$A$130,"&lt;"&amp;Diagram!$P26),SUMIFS(INDIRECT(ADDRESS(12,3+18*2+(13),,,"J1 D - South Bank Avenue")&amp;":"&amp;ADDRESS(130,3+18*2+(13))),'J1 D - South Bank Avenue'!$A$12:$A$130,"&gt;="&amp;Diagram!$O26,'J1 D - South Bank Avenue'!$A$12:$A$130,"&lt;"&amp;Diagram!$P26)))</f>
        <v>1</v>
      </c>
      <c r="DO26" s="42">
        <f ca="1">IF(OR($I$10="",$O26="",$P26="",$J$40&lt;&gt;"Yes"),0,IF($K$10=0,SUMIFS(INDIRECT(ADDRESS(12,3+18*3+(5),,,"J1 D - South Bank Avenue")&amp;":"&amp;ADDRESS(130,3+18*3+(5))),'J1 D - South Bank Avenue'!$A$12:$A$130,"&gt;="&amp;Diagram!$O26,'J1 D - South Bank Avenue'!$A$12:$A$130,"&lt;"&amp;Diagram!$P26),SUMIFS(INDIRECT(ADDRESS(12,3+18*3+(13),,,"J1 D - South Bank Avenue")&amp;":"&amp;ADDRESS(130,3+18*3+(13))),'J1 D - South Bank Avenue'!$A$12:$A$130,"&gt;="&amp;Diagram!$O26,'J1 D - South Bank Avenue'!$A$12:$A$130,"&lt;"&amp;Diagram!$P26)))</f>
        <v>0</v>
      </c>
      <c r="DP26" s="42">
        <f t="shared" ca="1" si="7"/>
        <v>2</v>
      </c>
      <c r="DQ26" s="42">
        <f ca="1">IF(OR($I$10="",$O26="",$P26="",$J$41&lt;&gt;"Yes"),0,IF($K$10=0,SUMIFS(INDIRECT(ADDRESS(12,3+18*3+(6),,,"J1 A - (North) Bishopthorpe Roa")&amp;":"&amp;ADDRESS(130,3+18*3+(6))),'J1 A - (North) Bishopthorpe Roa'!$A$12:$A$130,"&gt;="&amp;Diagram!$O26,'J1 A - (North) Bishopthorpe Roa'!$A$12:$A$130,"&lt;"&amp;Diagram!$P26),SUMIFS(INDIRECT(ADDRESS(12,3+18*3+(14),,,"J1 A - (North) Bishopthorpe Roa")&amp;":"&amp;ADDRESS(130,3+18*3+(14))),'J1 A - (North) Bishopthorpe Roa'!$A$12:$A$130,"&gt;="&amp;Diagram!$O26,'J1 A - (North) Bishopthorpe Roa'!$A$12:$A$130,"&lt;"&amp;Diagram!$P26)))</f>
        <v>0</v>
      </c>
      <c r="DR26" s="42">
        <f ca="1">IF(OR($I$10="",$O26="",$P26="",$J$41&lt;&gt;"Yes"),0,IF($K$10=0,SUMIFS(INDIRECT(ADDRESS(12,3+18*0+(6),,,"J1 A - (North) Bishopthorpe Roa")&amp;":"&amp;ADDRESS(130,3+18*0+(6))),'J1 A - (North) Bishopthorpe Roa'!$A$12:$A$130,"&gt;="&amp;Diagram!$O26,'J1 A - (North) Bishopthorpe Roa'!$A$12:$A$130,"&lt;"&amp;Diagram!$P26),SUMIFS(INDIRECT(ADDRESS(12,3+18*0+(14),,,"J1 A - (North) Bishopthorpe Roa")&amp;":"&amp;ADDRESS(130,3+18*0+(14))),'J1 A - (North) Bishopthorpe Roa'!$A$12:$A$130,"&gt;="&amp;Diagram!$O26,'J1 A - (North) Bishopthorpe Roa'!$A$12:$A$130,"&lt;"&amp;Diagram!$P26)))</f>
        <v>0</v>
      </c>
      <c r="DS26" s="42">
        <f ca="1">IF(OR($I$10="",$O26="",$P26="",$J$41&lt;&gt;"Yes"),0,IF($K$10=0,SUMIFS(INDIRECT(ADDRESS(12,3+18*1+(6),,,"J1 A - (North) Bishopthorpe Roa")&amp;":"&amp;ADDRESS(130,3+18*1+(6))),'J1 A - (North) Bishopthorpe Roa'!$A$12:$A$130,"&gt;="&amp;Diagram!$O26,'J1 A - (North) Bishopthorpe Roa'!$A$12:$A$130,"&lt;"&amp;Diagram!$P26),SUMIFS(INDIRECT(ADDRESS(12,3+18*1+(14),,,"J1 A - (North) Bishopthorpe Roa")&amp;":"&amp;ADDRESS(130,3+18*1+(14))),'J1 A - (North) Bishopthorpe Roa'!$A$12:$A$130,"&gt;="&amp;Diagram!$O26,'J1 A - (North) Bishopthorpe Roa'!$A$12:$A$130,"&lt;"&amp;Diagram!$P26)))</f>
        <v>0</v>
      </c>
      <c r="DT26" s="42">
        <f ca="1">IF(OR($I$10="",$O26="",$P26="",$J$41&lt;&gt;"Yes"),0,IF($K$10=0,SUMIFS(INDIRECT(ADDRESS(12,3+18*2+(6),,,"J1 A - (North) Bishopthorpe Roa")&amp;":"&amp;ADDRESS(130,3+18*2+(6))),'J1 A - (North) Bishopthorpe Roa'!$A$12:$A$130,"&gt;="&amp;Diagram!$O26,'J1 A - (North) Bishopthorpe Roa'!$A$12:$A$130,"&lt;"&amp;Diagram!$P26),SUMIFS(INDIRECT(ADDRESS(12,3+18*2+(14),,,"J1 A - (North) Bishopthorpe Roa")&amp;":"&amp;ADDRESS(130,3+18*2+(14))),'J1 A - (North) Bishopthorpe Roa'!$A$12:$A$130,"&gt;="&amp;Diagram!$O26,'J1 A - (North) Bishopthorpe Roa'!$A$12:$A$130,"&lt;"&amp;Diagram!$P26)))</f>
        <v>0</v>
      </c>
      <c r="DU26" s="42">
        <f ca="1">IF(OR($I$10="",$O26="",$P26="",$J$41&lt;&gt;"Yes"),0,IF($K$10=0,SUMIFS(INDIRECT(ADDRESS(12,3+18*2+(6),,,"J1 B - Butcher Terrace")&amp;":"&amp;ADDRESS(130,3+18*2+(6))),'J1 B - Butcher Terrace'!$A$12:$A$130,"&gt;="&amp;Diagram!$O26,'J1 B - Butcher Terrace'!$A$12:$A$130,"&lt;"&amp;Diagram!$P26),SUMIFS(INDIRECT(ADDRESS(12,3+18*2+(14),,,"J1 B - Butcher Terrace")&amp;":"&amp;ADDRESS(130,3+18*2+(14))),'J1 B - Butcher Terrace'!$A$12:$A$130,"&gt;="&amp;Diagram!$O26,'J1 B - Butcher Terrace'!$A$12:$A$130,"&lt;"&amp;Diagram!$P26)))</f>
        <v>0</v>
      </c>
      <c r="DV26" s="42">
        <f ca="1">IF(OR($I$10="",$O26="",$P26="",$J$41&lt;&gt;"Yes"),0,IF($K$10=0,SUMIFS(INDIRECT(ADDRESS(12,3+18*3+(6),,,"J1 B - Butcher Terrace")&amp;":"&amp;ADDRESS(130,3+18*3+(6))),'J1 B - Butcher Terrace'!$A$12:$A$130,"&gt;="&amp;Diagram!$O26,'J1 B - Butcher Terrace'!$A$12:$A$130,"&lt;"&amp;Diagram!$P26),SUMIFS(INDIRECT(ADDRESS(12,3+18*3+(14),,,"J1 B - Butcher Terrace")&amp;":"&amp;ADDRESS(130,3+18*3+(14))),'J1 B - Butcher Terrace'!$A$12:$A$130,"&gt;="&amp;Diagram!$O26,'J1 B - Butcher Terrace'!$A$12:$A$130,"&lt;"&amp;Diagram!$P26)))</f>
        <v>0</v>
      </c>
      <c r="DW26" s="42">
        <f ca="1">IF(OR($I$10="",$O26="",$P26="",$J$41&lt;&gt;"Yes"),0,IF($K$10=0,SUMIFS(INDIRECT(ADDRESS(12,3+18*0+(6),,,"J1 B - Butcher Terrace")&amp;":"&amp;ADDRESS(130,3+18*0+(6))),'J1 B - Butcher Terrace'!$A$12:$A$130,"&gt;="&amp;Diagram!$O26,'J1 B - Butcher Terrace'!$A$12:$A$130,"&lt;"&amp;Diagram!$P26),SUMIFS(INDIRECT(ADDRESS(12,3+18*0+(14),,,"J1 B - Butcher Terrace")&amp;":"&amp;ADDRESS(130,3+18*0+(14))),'J1 B - Butcher Terrace'!$A$12:$A$130,"&gt;="&amp;Diagram!$O26,'J1 B - Butcher Terrace'!$A$12:$A$130,"&lt;"&amp;Diagram!$P26)))</f>
        <v>0</v>
      </c>
      <c r="DX26" s="42">
        <f ca="1">IF(OR($I$10="",$O26="",$P26="",$J$41&lt;&gt;"Yes"),0,IF($K$10=0,SUMIFS(INDIRECT(ADDRESS(12,3+18*1+(6),,,"J1 B - Butcher Terrace")&amp;":"&amp;ADDRESS(130,3+18*1+(6))),'J1 B - Butcher Terrace'!$A$12:$A$130,"&gt;="&amp;Diagram!$O26,'J1 B - Butcher Terrace'!$A$12:$A$130,"&lt;"&amp;Diagram!$P26),SUMIFS(INDIRECT(ADDRESS(12,3+18*1+(14),,,"J1 B - Butcher Terrace")&amp;":"&amp;ADDRESS(130,3+18*1+(14))),'J1 B - Butcher Terrace'!$A$12:$A$130,"&gt;="&amp;Diagram!$O26,'J1 B - Butcher Terrace'!$A$12:$A$130,"&lt;"&amp;Diagram!$P26)))</f>
        <v>0</v>
      </c>
      <c r="DY26" s="42">
        <f ca="1">IF(OR($I$10="",$O26="",$P26="",$J$41&lt;&gt;"Yes"),0,IF($K$10=0,SUMIFS(INDIRECT(ADDRESS(12,3+18*1+(6),,,"J1 C - (South) Bishopthorpe Roa")&amp;":"&amp;ADDRESS(130,3+18*1+(6))),'J1 C - (South) Bishopthorpe Roa'!$A$12:$A$130,"&gt;="&amp;Diagram!$O26,'J1 C - (South) Bishopthorpe Roa'!$A$12:$A$130,"&lt;"&amp;Diagram!$P26),SUMIFS(INDIRECT(ADDRESS(12,3+18*1+(14),,,"J1 C - (South) Bishopthorpe Roa")&amp;":"&amp;ADDRESS(130,3+18*1+(14))),'J1 C - (South) Bishopthorpe Roa'!$A$12:$A$130,"&gt;="&amp;Diagram!$O26,'J1 C - (South) Bishopthorpe Roa'!$A$12:$A$130,"&lt;"&amp;Diagram!$P26)))</f>
        <v>0</v>
      </c>
      <c r="DZ26" s="42">
        <f ca="1">IF(OR($I$10="",$O26="",$P26="",$J$41&lt;&gt;"Yes"),0,IF($K$10=0,SUMIFS(INDIRECT(ADDRESS(12,3+18*2+(6),,,"J1 C - (South) Bishopthorpe Roa")&amp;":"&amp;ADDRESS(130,3+18*2+(6))),'J1 C - (South) Bishopthorpe Roa'!$A$12:$A$130,"&gt;="&amp;Diagram!$O26,'J1 C - (South) Bishopthorpe Roa'!$A$12:$A$130,"&lt;"&amp;Diagram!$P26),SUMIFS(INDIRECT(ADDRESS(12,3+18*2+(14),,,"J1 C - (South) Bishopthorpe Roa")&amp;":"&amp;ADDRESS(130,3+18*2+(14))),'J1 C - (South) Bishopthorpe Roa'!$A$12:$A$130,"&gt;="&amp;Diagram!$O26,'J1 C - (South) Bishopthorpe Roa'!$A$12:$A$130,"&lt;"&amp;Diagram!$P26)))</f>
        <v>1</v>
      </c>
      <c r="EA26" s="42">
        <f ca="1">IF(OR($I$10="",$O26="",$P26="",$J$41&lt;&gt;"Yes"),0,IF($K$10=0,SUMIFS(INDIRECT(ADDRESS(12,3+18*3+(6),,,"J1 C - (South) Bishopthorpe Roa")&amp;":"&amp;ADDRESS(130,3+18*3+(6))),'J1 C - (South) Bishopthorpe Roa'!$A$12:$A$130,"&gt;="&amp;Diagram!$O26,'J1 C - (South) Bishopthorpe Roa'!$A$12:$A$130,"&lt;"&amp;Diagram!$P26),SUMIFS(INDIRECT(ADDRESS(12,3+18*3+(14),,,"J1 C - (South) Bishopthorpe Roa")&amp;":"&amp;ADDRESS(130,3+18*3+(14))),'J1 C - (South) Bishopthorpe Roa'!$A$12:$A$130,"&gt;="&amp;Diagram!$O26,'J1 C - (South) Bishopthorpe Roa'!$A$12:$A$130,"&lt;"&amp;Diagram!$P26)))</f>
        <v>0</v>
      </c>
      <c r="EB26" s="42">
        <f ca="1">IF(OR($I$10="",$O26="",$P26="",$J$41&lt;&gt;"Yes"),0,IF($K$10=0,SUMIFS(INDIRECT(ADDRESS(12,3+18*0+(6),,,"J1 C - (South) Bishopthorpe Roa")&amp;":"&amp;ADDRESS(130,3+18*0+(6))),'J1 C - (South) Bishopthorpe Roa'!$A$12:$A$130,"&gt;="&amp;Diagram!$O26,'J1 C - (South) Bishopthorpe Roa'!$A$12:$A$130,"&lt;"&amp;Diagram!$P26),SUMIFS(INDIRECT(ADDRESS(12,3+18*0+(14),,,"J1 C - (South) Bishopthorpe Roa")&amp;":"&amp;ADDRESS(130,3+18*0+(14))),'J1 C - (South) Bishopthorpe Roa'!$A$12:$A$130,"&gt;="&amp;Diagram!$O26,'J1 C - (South) Bishopthorpe Roa'!$A$12:$A$130,"&lt;"&amp;Diagram!$P26)))</f>
        <v>0</v>
      </c>
      <c r="EC26" s="42">
        <f ca="1">IF(OR($I$10="",$O26="",$P26="",$J$41&lt;&gt;"Yes"),0,IF($K$10=0,SUMIFS(INDIRECT(ADDRESS(12,3+18*0+(6),,,"J1 D - South Bank Avenue")&amp;":"&amp;ADDRESS(130,3+18*0+(6))),'J1 D - South Bank Avenue'!$A$12:$A$130,"&gt;="&amp;Diagram!$O26,'J1 D - South Bank Avenue'!$A$12:$A$130,"&lt;"&amp;Diagram!$P26),SUMIFS(INDIRECT(ADDRESS(12,3+18*0+(14),,,"J1 D - South Bank Avenue")&amp;":"&amp;ADDRESS(130,3+18*0+(14))),'J1 D - South Bank Avenue'!$A$12:$A$130,"&gt;="&amp;Diagram!$O26,'J1 D - South Bank Avenue'!$A$12:$A$130,"&lt;"&amp;Diagram!$P26)))</f>
        <v>1</v>
      </c>
      <c r="ED26" s="42">
        <f ca="1">IF(OR($I$10="",$O26="",$P26="",$J$41&lt;&gt;"Yes"),0,IF($K$10=0,SUMIFS(INDIRECT(ADDRESS(12,3+18*1+(6),,,"J1 D - South Bank Avenue")&amp;":"&amp;ADDRESS(130,3+18*1+(6))),'J1 D - South Bank Avenue'!$A$12:$A$130,"&gt;="&amp;Diagram!$O26,'J1 D - South Bank Avenue'!$A$12:$A$130,"&lt;"&amp;Diagram!$P26),SUMIFS(INDIRECT(ADDRESS(12,3+18*1+(14),,,"J1 D - South Bank Avenue")&amp;":"&amp;ADDRESS(130,3+18*1+(14))),'J1 D - South Bank Avenue'!$A$12:$A$130,"&gt;="&amp;Diagram!$O26,'J1 D - South Bank Avenue'!$A$12:$A$130,"&lt;"&amp;Diagram!$P26)))</f>
        <v>0</v>
      </c>
      <c r="EE26" s="42">
        <f ca="1">IF(OR($I$10="",$O26="",$P26="",$J$41&lt;&gt;"Yes"),0,IF($K$10=0,SUMIFS(INDIRECT(ADDRESS(12,3+18*2+(6),,,"J1 D - South Bank Avenue")&amp;":"&amp;ADDRESS(130,3+18*2+(6))),'J1 D - South Bank Avenue'!$A$12:$A$130,"&gt;="&amp;Diagram!$O26,'J1 D - South Bank Avenue'!$A$12:$A$130,"&lt;"&amp;Diagram!$P26),SUMIFS(INDIRECT(ADDRESS(12,3+18*2+(14),,,"J1 D - South Bank Avenue")&amp;":"&amp;ADDRESS(130,3+18*2+(14))),'J1 D - South Bank Avenue'!$A$12:$A$130,"&gt;="&amp;Diagram!$O26,'J1 D - South Bank Avenue'!$A$12:$A$130,"&lt;"&amp;Diagram!$P26)))</f>
        <v>0</v>
      </c>
      <c r="EF26" s="42">
        <f ca="1">IF(OR($I$10="",$O26="",$P26="",$J$41&lt;&gt;"Yes"),0,IF($K$10=0,SUMIFS(INDIRECT(ADDRESS(12,3+18*3+(6),,,"J1 D - South Bank Avenue")&amp;":"&amp;ADDRESS(130,3+18*3+(6))),'J1 D - South Bank Avenue'!$A$12:$A$130,"&gt;="&amp;Diagram!$O26,'J1 D - South Bank Avenue'!$A$12:$A$130,"&lt;"&amp;Diagram!$P26),SUMIFS(INDIRECT(ADDRESS(12,3+18*3+(14),,,"J1 D - South Bank Avenue")&amp;":"&amp;ADDRESS(130,3+18*3+(14))),'J1 D - South Bank Avenue'!$A$12:$A$130,"&gt;="&amp;Diagram!$O26,'J1 D - South Bank Avenue'!$A$12:$A$130,"&lt;"&amp;Diagram!$P26)))</f>
        <v>0</v>
      </c>
      <c r="EG26" s="42">
        <f t="shared" ca="1" si="8"/>
        <v>0</v>
      </c>
      <c r="EH26" s="42">
        <f ca="1">IF(OR($I$10="",$O26="",$P26="",$J$42&lt;&gt;"Yes"),0,IF($K$10=0,SUMIFS(INDIRECT(ADDRESS(12,3+18*3+(7),,,"J1 A - (North) Bishopthorpe Roa")&amp;":"&amp;ADDRESS(130,3+18*3+(7))),'J1 A - (North) Bishopthorpe Roa'!$A$12:$A$130,"&gt;="&amp;Diagram!$O26,'J1 A - (North) Bishopthorpe Roa'!$A$12:$A$130,"&lt;"&amp;Diagram!$P26),SUMIFS(INDIRECT(ADDRESS(12,3+18*3+(15),,,"J1 A - (North) Bishopthorpe Roa")&amp;":"&amp;ADDRESS(130,3+18*3+(15))),'J1 A - (North) Bishopthorpe Roa'!$A$12:$A$130,"&gt;="&amp;Diagram!$O26,'J1 A - (North) Bishopthorpe Roa'!$A$12:$A$130,"&lt;"&amp;Diagram!$P26)))</f>
        <v>0</v>
      </c>
      <c r="EI26" s="42">
        <f ca="1">IF(OR($I$10="",$O26="",$P26="",$J$42&lt;&gt;"Yes"),0,IF($K$10=0,SUMIFS(INDIRECT(ADDRESS(12,3+18*0+(7),,,"J1 A - (North) Bishopthorpe Roa")&amp;":"&amp;ADDRESS(130,3+18*0+(7))),'J1 A - (North) Bishopthorpe Roa'!$A$12:$A$130,"&gt;="&amp;Diagram!$O26,'J1 A - (North) Bishopthorpe Roa'!$A$12:$A$130,"&lt;"&amp;Diagram!$P26),SUMIFS(INDIRECT(ADDRESS(12,3+18*0+(15),,,"J1 A - (North) Bishopthorpe Roa")&amp;":"&amp;ADDRESS(130,3+18*0+(15))),'J1 A - (North) Bishopthorpe Roa'!$A$12:$A$130,"&gt;="&amp;Diagram!$O26,'J1 A - (North) Bishopthorpe Roa'!$A$12:$A$130,"&lt;"&amp;Diagram!$P26)))</f>
        <v>0</v>
      </c>
      <c r="EJ26" s="42">
        <f ca="1">IF(OR($I$10="",$O26="",$P26="",$J$42&lt;&gt;"Yes"),0,IF($K$10=0,SUMIFS(INDIRECT(ADDRESS(12,3+18*1+(7),,,"J1 A - (North) Bishopthorpe Roa")&amp;":"&amp;ADDRESS(130,3+18*1+(7))),'J1 A - (North) Bishopthorpe Roa'!$A$12:$A$130,"&gt;="&amp;Diagram!$O26,'J1 A - (North) Bishopthorpe Roa'!$A$12:$A$130,"&lt;"&amp;Diagram!$P26),SUMIFS(INDIRECT(ADDRESS(12,3+18*1+(15),,,"J1 A - (North) Bishopthorpe Roa")&amp;":"&amp;ADDRESS(130,3+18*1+(15))),'J1 A - (North) Bishopthorpe Roa'!$A$12:$A$130,"&gt;="&amp;Diagram!$O26,'J1 A - (North) Bishopthorpe Roa'!$A$12:$A$130,"&lt;"&amp;Diagram!$P26)))</f>
        <v>0</v>
      </c>
      <c r="EK26" s="42">
        <f ca="1">IF(OR($I$10="",$O26="",$P26="",$J$42&lt;&gt;"Yes"),0,IF($K$10=0,SUMIFS(INDIRECT(ADDRESS(12,3+18*2+(7),,,"J1 A - (North) Bishopthorpe Roa")&amp;":"&amp;ADDRESS(130,3+18*2+(7))),'J1 A - (North) Bishopthorpe Roa'!$A$12:$A$130,"&gt;="&amp;Diagram!$O26,'J1 A - (North) Bishopthorpe Roa'!$A$12:$A$130,"&lt;"&amp;Diagram!$P26),SUMIFS(INDIRECT(ADDRESS(12,3+18*2+(15),,,"J1 A - (North) Bishopthorpe Roa")&amp;":"&amp;ADDRESS(130,3+18*2+(15))),'J1 A - (North) Bishopthorpe Roa'!$A$12:$A$130,"&gt;="&amp;Diagram!$O26,'J1 A - (North) Bishopthorpe Roa'!$A$12:$A$130,"&lt;"&amp;Diagram!$P26)))</f>
        <v>0</v>
      </c>
      <c r="EL26" s="42">
        <f ca="1">IF(OR($I$10="",$O26="",$P26="",$J$42&lt;&gt;"Yes"),0,IF($K$10=0,SUMIFS(INDIRECT(ADDRESS(12,3+18*2+(7),,,"J1 B - Butcher Terrace")&amp;":"&amp;ADDRESS(130,3+18*2+(7))),'J1 B - Butcher Terrace'!$A$12:$A$130,"&gt;="&amp;Diagram!$O26,'J1 B - Butcher Terrace'!$A$12:$A$130,"&lt;"&amp;Diagram!$P26),SUMIFS(INDIRECT(ADDRESS(12,3+18*2+(15),,,"J1 B - Butcher Terrace")&amp;":"&amp;ADDRESS(130,3+18*2+(15))),'J1 B - Butcher Terrace'!$A$12:$A$130,"&gt;="&amp;Diagram!$O26,'J1 B - Butcher Terrace'!$A$12:$A$130,"&lt;"&amp;Diagram!$P26)))</f>
        <v>0</v>
      </c>
      <c r="EM26" s="42">
        <f ca="1">IF(OR($I$10="",$O26="",$P26="",$J$42&lt;&gt;"Yes"),0,IF($K$10=0,SUMIFS(INDIRECT(ADDRESS(12,3+18*3+(7),,,"J1 B - Butcher Terrace")&amp;":"&amp;ADDRESS(130,3+18*3+(7))),'J1 B - Butcher Terrace'!$A$12:$A$130,"&gt;="&amp;Diagram!$O26,'J1 B - Butcher Terrace'!$A$12:$A$130,"&lt;"&amp;Diagram!$P26),SUMIFS(INDIRECT(ADDRESS(12,3+18*3+(15),,,"J1 B - Butcher Terrace")&amp;":"&amp;ADDRESS(130,3+18*3+(15))),'J1 B - Butcher Terrace'!$A$12:$A$130,"&gt;="&amp;Diagram!$O26,'J1 B - Butcher Terrace'!$A$12:$A$130,"&lt;"&amp;Diagram!$P26)))</f>
        <v>0</v>
      </c>
      <c r="EN26" s="42">
        <f ca="1">IF(OR($I$10="",$O26="",$P26="",$J$42&lt;&gt;"Yes"),0,IF($K$10=0,SUMIFS(INDIRECT(ADDRESS(12,3+18*0+(7),,,"J1 B - Butcher Terrace")&amp;":"&amp;ADDRESS(130,3+18*0+(7))),'J1 B - Butcher Terrace'!$A$12:$A$130,"&gt;="&amp;Diagram!$O26,'J1 B - Butcher Terrace'!$A$12:$A$130,"&lt;"&amp;Diagram!$P26),SUMIFS(INDIRECT(ADDRESS(12,3+18*0+(15),,,"J1 B - Butcher Terrace")&amp;":"&amp;ADDRESS(130,3+18*0+(15))),'J1 B - Butcher Terrace'!$A$12:$A$130,"&gt;="&amp;Diagram!$O26,'J1 B - Butcher Terrace'!$A$12:$A$130,"&lt;"&amp;Diagram!$P26)))</f>
        <v>0</v>
      </c>
      <c r="EO26" s="42">
        <f ca="1">IF(OR($I$10="",$O26="",$P26="",$J$42&lt;&gt;"Yes"),0,IF($K$10=0,SUMIFS(INDIRECT(ADDRESS(12,3+18*1+(7),,,"J1 B - Butcher Terrace")&amp;":"&amp;ADDRESS(130,3+18*1+(7))),'J1 B - Butcher Terrace'!$A$12:$A$130,"&gt;="&amp;Diagram!$O26,'J1 B - Butcher Terrace'!$A$12:$A$130,"&lt;"&amp;Diagram!$P26),SUMIFS(INDIRECT(ADDRESS(12,3+18*1+(15),,,"J1 B - Butcher Terrace")&amp;":"&amp;ADDRESS(130,3+18*1+(15))),'J1 B - Butcher Terrace'!$A$12:$A$130,"&gt;="&amp;Diagram!$O26,'J1 B - Butcher Terrace'!$A$12:$A$130,"&lt;"&amp;Diagram!$P26)))</f>
        <v>0</v>
      </c>
      <c r="EP26" s="42">
        <f ca="1">IF(OR($I$10="",$O26="",$P26="",$J$42&lt;&gt;"Yes"),0,IF($K$10=0,SUMIFS(INDIRECT(ADDRESS(12,3+18*1+(7),,,"J1 C - (South) Bishopthorpe Roa")&amp;":"&amp;ADDRESS(130,3+18*1+(7))),'J1 C - (South) Bishopthorpe Roa'!$A$12:$A$130,"&gt;="&amp;Diagram!$O26,'J1 C - (South) Bishopthorpe Roa'!$A$12:$A$130,"&lt;"&amp;Diagram!$P26),SUMIFS(INDIRECT(ADDRESS(12,3+18*1+(15),,,"J1 C - (South) Bishopthorpe Roa")&amp;":"&amp;ADDRESS(130,3+18*1+(15))),'J1 C - (South) Bishopthorpe Roa'!$A$12:$A$130,"&gt;="&amp;Diagram!$O26,'J1 C - (South) Bishopthorpe Roa'!$A$12:$A$130,"&lt;"&amp;Diagram!$P26)))</f>
        <v>0</v>
      </c>
      <c r="EQ26" s="42">
        <f ca="1">IF(OR($I$10="",$O26="",$P26="",$J$42&lt;&gt;"Yes"),0,IF($K$10=0,SUMIFS(INDIRECT(ADDRESS(12,3+18*2+(7),,,"J1 C - (South) Bishopthorpe Roa")&amp;":"&amp;ADDRESS(130,3+18*2+(7))),'J1 C - (South) Bishopthorpe Roa'!$A$12:$A$130,"&gt;="&amp;Diagram!$O26,'J1 C - (South) Bishopthorpe Roa'!$A$12:$A$130,"&lt;"&amp;Diagram!$P26),SUMIFS(INDIRECT(ADDRESS(12,3+18*2+(15),,,"J1 C - (South) Bishopthorpe Roa")&amp;":"&amp;ADDRESS(130,3+18*2+(15))),'J1 C - (South) Bishopthorpe Roa'!$A$12:$A$130,"&gt;="&amp;Diagram!$O26,'J1 C - (South) Bishopthorpe Roa'!$A$12:$A$130,"&lt;"&amp;Diagram!$P26)))</f>
        <v>0</v>
      </c>
      <c r="ER26" s="42">
        <f ca="1">IF(OR($I$10="",$O26="",$P26="",$J$42&lt;&gt;"Yes"),0,IF($K$10=0,SUMIFS(INDIRECT(ADDRESS(12,3+18*3+(7),,,"J1 C - (South) Bishopthorpe Roa")&amp;":"&amp;ADDRESS(130,3+18*3+(7))),'J1 C - (South) Bishopthorpe Roa'!$A$12:$A$130,"&gt;="&amp;Diagram!$O26,'J1 C - (South) Bishopthorpe Roa'!$A$12:$A$130,"&lt;"&amp;Diagram!$P26),SUMIFS(INDIRECT(ADDRESS(12,3+18*3+(15),,,"J1 C - (South) Bishopthorpe Roa")&amp;":"&amp;ADDRESS(130,3+18*3+(15))),'J1 C - (South) Bishopthorpe Roa'!$A$12:$A$130,"&gt;="&amp;Diagram!$O26,'J1 C - (South) Bishopthorpe Roa'!$A$12:$A$130,"&lt;"&amp;Diagram!$P26)))</f>
        <v>0</v>
      </c>
      <c r="ES26" s="42">
        <f ca="1">IF(OR($I$10="",$O26="",$P26="",$J$42&lt;&gt;"Yes"),0,IF($K$10=0,SUMIFS(INDIRECT(ADDRESS(12,3+18*0+(7),,,"J1 C - (South) Bishopthorpe Roa")&amp;":"&amp;ADDRESS(130,3+18*0+(7))),'J1 C - (South) Bishopthorpe Roa'!$A$12:$A$130,"&gt;="&amp;Diagram!$O26,'J1 C - (South) Bishopthorpe Roa'!$A$12:$A$130,"&lt;"&amp;Diagram!$P26),SUMIFS(INDIRECT(ADDRESS(12,3+18*0+(15),,,"J1 C - (South) Bishopthorpe Roa")&amp;":"&amp;ADDRESS(130,3+18*0+(15))),'J1 C - (South) Bishopthorpe Roa'!$A$12:$A$130,"&gt;="&amp;Diagram!$O26,'J1 C - (South) Bishopthorpe Roa'!$A$12:$A$130,"&lt;"&amp;Diagram!$P26)))</f>
        <v>0</v>
      </c>
      <c r="ET26" s="42">
        <f ca="1">IF(OR($I$10="",$O26="",$P26="",$J$42&lt;&gt;"Yes"),0,IF($K$10=0,SUMIFS(INDIRECT(ADDRESS(12,3+18*0+(7),,,"J1 D - South Bank Avenue")&amp;":"&amp;ADDRESS(130,3+18*0+(7))),'J1 D - South Bank Avenue'!$A$12:$A$130,"&gt;="&amp;Diagram!$O26,'J1 D - South Bank Avenue'!$A$12:$A$130,"&lt;"&amp;Diagram!$P26),SUMIFS(INDIRECT(ADDRESS(12,3+18*0+(15),,,"J1 D - South Bank Avenue")&amp;":"&amp;ADDRESS(130,3+18*0+(15))),'J1 D - South Bank Avenue'!$A$12:$A$130,"&gt;="&amp;Diagram!$O26,'J1 D - South Bank Avenue'!$A$12:$A$130,"&lt;"&amp;Diagram!$P26)))</f>
        <v>0</v>
      </c>
      <c r="EU26" s="42">
        <f ca="1">IF(OR($I$10="",$O26="",$P26="",$J$42&lt;&gt;"Yes"),0,IF($K$10=0,SUMIFS(INDIRECT(ADDRESS(12,3+18*1+(7),,,"J1 D - South Bank Avenue")&amp;":"&amp;ADDRESS(130,3+18*1+(7))),'J1 D - South Bank Avenue'!$A$12:$A$130,"&gt;="&amp;Diagram!$O26,'J1 D - South Bank Avenue'!$A$12:$A$130,"&lt;"&amp;Diagram!$P26),SUMIFS(INDIRECT(ADDRESS(12,3+18*1+(15),,,"J1 D - South Bank Avenue")&amp;":"&amp;ADDRESS(130,3+18*1+(15))),'J1 D - South Bank Avenue'!$A$12:$A$130,"&gt;="&amp;Diagram!$O26,'J1 D - South Bank Avenue'!$A$12:$A$130,"&lt;"&amp;Diagram!$P26)))</f>
        <v>0</v>
      </c>
      <c r="EV26" s="42">
        <f ca="1">IF(OR($I$10="",$O26="",$P26="",$J$42&lt;&gt;"Yes"),0,IF($K$10=0,SUMIFS(INDIRECT(ADDRESS(12,3+18*2+(7),,,"J1 D - South Bank Avenue")&amp;":"&amp;ADDRESS(130,3+18*2+(7))),'J1 D - South Bank Avenue'!$A$12:$A$130,"&gt;="&amp;Diagram!$O26,'J1 D - South Bank Avenue'!$A$12:$A$130,"&lt;"&amp;Diagram!$P26),SUMIFS(INDIRECT(ADDRESS(12,3+18*2+(15),,,"J1 D - South Bank Avenue")&amp;":"&amp;ADDRESS(130,3+18*2+(15))),'J1 D - South Bank Avenue'!$A$12:$A$130,"&gt;="&amp;Diagram!$O26,'J1 D - South Bank Avenue'!$A$12:$A$130,"&lt;"&amp;Diagram!$P26)))</f>
        <v>0</v>
      </c>
      <c r="EW26" s="42">
        <f ca="1">IF(OR($I$10="",$O26="",$P26="",$J$42&lt;&gt;"Yes"),0,IF($K$10=0,SUMIFS(INDIRECT(ADDRESS(12,3+18*3+(7),,,"J1 D - South Bank Avenue")&amp;":"&amp;ADDRESS(130,3+18*3+(7))),'J1 D - South Bank Avenue'!$A$12:$A$130,"&gt;="&amp;Diagram!$O26,'J1 D - South Bank Avenue'!$A$12:$A$130,"&lt;"&amp;Diagram!$P26),SUMIFS(INDIRECT(ADDRESS(12,3+18*3+(15),,,"J1 D - South Bank Avenue")&amp;":"&amp;ADDRESS(130,3+18*3+(15))),'J1 D - South Bank Avenue'!$A$12:$A$130,"&gt;="&amp;Diagram!$O26,'J1 D - South Bank Avenue'!$A$12:$A$130,"&lt;"&amp;Diagram!$P26)))</f>
        <v>0</v>
      </c>
    </row>
    <row r="27" spans="1:153" ht="18" customHeight="1">
      <c r="A27" s="1">
        <v>44395.270833333299</v>
      </c>
      <c r="B27" s="1">
        <v>44395.28125</v>
      </c>
      <c r="H27" s="12" t="s">
        <v>162</v>
      </c>
      <c r="I27" s="31">
        <f ca="1">IF($I$32=0,0,$I$26/$I$32)</f>
        <v>1</v>
      </c>
      <c r="J27" s="32">
        <f ca="1">IF($J$32=0,0,$J$26/$J$32)</f>
        <v>1</v>
      </c>
      <c r="K27" s="32">
        <f ca="1">IF($K$32=0,0,$K$26/$K$32)</f>
        <v>1</v>
      </c>
      <c r="L27" s="28">
        <f ca="1">IF($L$32=0,0,$L$26/$L$32)</f>
        <v>1</v>
      </c>
      <c r="O27" s="3">
        <v>44395.270833333299</v>
      </c>
      <c r="P27" s="3">
        <v>44395.3125</v>
      </c>
      <c r="Q27" s="42">
        <f t="shared" ca="1" si="0"/>
        <v>292</v>
      </c>
      <c r="R27" s="42">
        <f t="shared" ca="1" si="1"/>
        <v>198</v>
      </c>
      <c r="S27" s="42">
        <f ca="1">IF(OR($I$10="",$O27="",$P27="",$J$35&lt;&gt;"Yes"),0,IF($K$10=0,SUMIFS(INDIRECT(ADDRESS(12,3+18*3+(0),,,"J1 A - (North) Bishopthorpe Roa")&amp;":"&amp;ADDRESS(130,3+18*3+(0))),'J1 A - (North) Bishopthorpe Roa'!$A$12:$A$130,"&gt;="&amp;Diagram!$O27,'J1 A - (North) Bishopthorpe Roa'!$A$12:$A$130,"&lt;"&amp;Diagram!$P27),SUMIFS(INDIRECT(ADDRESS(12,3+18*3+(8),,,"J1 A - (North) Bishopthorpe Roa")&amp;":"&amp;ADDRESS(130,3+18*3+(8))),'J1 A - (North) Bishopthorpe Roa'!$A$12:$A$130,"&gt;="&amp;Diagram!$O27,'J1 A - (North) Bishopthorpe Roa'!$A$12:$A$130,"&lt;"&amp;Diagram!$P27)))</f>
        <v>0</v>
      </c>
      <c r="T27" s="42">
        <f ca="1">IF(OR($I$10="",$O27="",$P27="",$J$35&lt;&gt;"Yes"),0,IF($K$10=0,SUMIFS(INDIRECT(ADDRESS(12,3+18*0+(0),,,"J1 A - (North) Bishopthorpe Roa")&amp;":"&amp;ADDRESS(130,3+18*0+(0))),'J1 A - (North) Bishopthorpe Roa'!$A$12:$A$130,"&gt;="&amp;Diagram!$O27,'J1 A - (North) Bishopthorpe Roa'!$A$12:$A$130,"&lt;"&amp;Diagram!$P27),SUMIFS(INDIRECT(ADDRESS(12,3+18*0+(8),,,"J1 A - (North) Bishopthorpe Roa")&amp;":"&amp;ADDRESS(130,3+18*0+(8))),'J1 A - (North) Bishopthorpe Roa'!$A$12:$A$130,"&gt;="&amp;Diagram!$O27,'J1 A - (North) Bishopthorpe Roa'!$A$12:$A$130,"&lt;"&amp;Diagram!$P27)))</f>
        <v>3</v>
      </c>
      <c r="U27" s="42">
        <f ca="1">IF(OR($I$10="",$O27="",$P27="",$J$35&lt;&gt;"Yes"),0,IF($K$10=0,SUMIFS(INDIRECT(ADDRESS(12,3+18*1+(0),,,"J1 A - (North) Bishopthorpe Roa")&amp;":"&amp;ADDRESS(130,3+18*1+(0))),'J1 A - (North) Bishopthorpe Roa'!$A$12:$A$130,"&gt;="&amp;Diagram!$O27,'J1 A - (North) Bishopthorpe Roa'!$A$12:$A$130,"&lt;"&amp;Diagram!$P27),SUMIFS(INDIRECT(ADDRESS(12,3+18*1+(8),,,"J1 A - (North) Bishopthorpe Roa")&amp;":"&amp;ADDRESS(130,3+18*1+(8))),'J1 A - (North) Bishopthorpe Roa'!$A$12:$A$130,"&gt;="&amp;Diagram!$O27,'J1 A - (North) Bishopthorpe Roa'!$A$12:$A$130,"&lt;"&amp;Diagram!$P27)))</f>
        <v>68</v>
      </c>
      <c r="V27" s="42">
        <f ca="1">IF(OR($I$10="",$O27="",$P27="",$J$35&lt;&gt;"Yes"),0,IF($K$10=0,SUMIFS(INDIRECT(ADDRESS(12,3+18*2+(0),,,"J1 A - (North) Bishopthorpe Roa")&amp;":"&amp;ADDRESS(130,3+18*2+(0))),'J1 A - (North) Bishopthorpe Roa'!$A$12:$A$130,"&gt;="&amp;Diagram!$O27,'J1 A - (North) Bishopthorpe Roa'!$A$12:$A$130,"&lt;"&amp;Diagram!$P27),SUMIFS(INDIRECT(ADDRESS(12,3+18*2+(8),,,"J1 A - (North) Bishopthorpe Roa")&amp;":"&amp;ADDRESS(130,3+18*2+(8))),'J1 A - (North) Bishopthorpe Roa'!$A$12:$A$130,"&gt;="&amp;Diagram!$O27,'J1 A - (North) Bishopthorpe Roa'!$A$12:$A$130,"&lt;"&amp;Diagram!$P27)))</f>
        <v>1</v>
      </c>
      <c r="W27" s="42">
        <f ca="1">IF(OR($I$10="",$O27="",$P27="",$J$35&lt;&gt;"Yes"),0,IF($K$10=0,SUMIFS(INDIRECT(ADDRESS(12,3+18*2+(0),,,"J1 B - Butcher Terrace")&amp;":"&amp;ADDRESS(130,3+18*2+(0))),'J1 B - Butcher Terrace'!$A$12:$A$130,"&gt;="&amp;Diagram!$O27,'J1 B - Butcher Terrace'!$A$12:$A$130,"&lt;"&amp;Diagram!$P27),SUMIFS(INDIRECT(ADDRESS(12,3+18*2+(8),,,"J1 B - Butcher Terrace")&amp;":"&amp;ADDRESS(130,3+18*2+(8))),'J1 B - Butcher Terrace'!$A$12:$A$130,"&gt;="&amp;Diagram!$O27,'J1 B - Butcher Terrace'!$A$12:$A$130,"&lt;"&amp;Diagram!$P27)))</f>
        <v>4</v>
      </c>
      <c r="X27" s="42">
        <f ca="1">IF(OR($I$10="",$O27="",$P27="",$J$35&lt;&gt;"Yes"),0,IF($K$10=0,SUMIFS(INDIRECT(ADDRESS(12,3+18*3+(0),,,"J1 B - Butcher Terrace")&amp;":"&amp;ADDRESS(130,3+18*3+(0))),'J1 B - Butcher Terrace'!$A$12:$A$130,"&gt;="&amp;Diagram!$O27,'J1 B - Butcher Terrace'!$A$12:$A$130,"&lt;"&amp;Diagram!$P27),SUMIFS(INDIRECT(ADDRESS(12,3+18*3+(8),,,"J1 B - Butcher Terrace")&amp;":"&amp;ADDRESS(130,3+18*3+(8))),'J1 B - Butcher Terrace'!$A$12:$A$130,"&gt;="&amp;Diagram!$O27,'J1 B - Butcher Terrace'!$A$12:$A$130,"&lt;"&amp;Diagram!$P27)))</f>
        <v>0</v>
      </c>
      <c r="Y27" s="42">
        <f ca="1">IF(OR($I$10="",$O27="",$P27="",$J$35&lt;&gt;"Yes"),0,IF($K$10=0,SUMIFS(INDIRECT(ADDRESS(12,3+18*0+(0),,,"J1 B - Butcher Terrace")&amp;":"&amp;ADDRESS(130,3+18*0+(0))),'J1 B - Butcher Terrace'!$A$12:$A$130,"&gt;="&amp;Diagram!$O27,'J1 B - Butcher Terrace'!$A$12:$A$130,"&lt;"&amp;Diagram!$P27),SUMIFS(INDIRECT(ADDRESS(12,3+18*0+(8),,,"J1 B - Butcher Terrace")&amp;":"&amp;ADDRESS(130,3+18*0+(8))),'J1 B - Butcher Terrace'!$A$12:$A$130,"&gt;="&amp;Diagram!$O27,'J1 B - Butcher Terrace'!$A$12:$A$130,"&lt;"&amp;Diagram!$P27)))</f>
        <v>5</v>
      </c>
      <c r="Z27" s="42">
        <f ca="1">IF(OR($I$10="",$O27="",$P27="",$J$35&lt;&gt;"Yes"),0,IF($K$10=0,SUMIFS(INDIRECT(ADDRESS(12,3+18*1+(0),,,"J1 B - Butcher Terrace")&amp;":"&amp;ADDRESS(130,3+18*1+(0))),'J1 B - Butcher Terrace'!$A$12:$A$130,"&gt;="&amp;Diagram!$O27,'J1 B - Butcher Terrace'!$A$12:$A$130,"&lt;"&amp;Diagram!$P27),SUMIFS(INDIRECT(ADDRESS(12,3+18*1+(8),,,"J1 B - Butcher Terrace")&amp;":"&amp;ADDRESS(130,3+18*1+(8))),'J1 B - Butcher Terrace'!$A$12:$A$130,"&gt;="&amp;Diagram!$O27,'J1 B - Butcher Terrace'!$A$12:$A$130,"&lt;"&amp;Diagram!$P27)))</f>
        <v>0</v>
      </c>
      <c r="AA27" s="42">
        <f ca="1">IF(OR($I$10="",$O27="",$P27="",$J$35&lt;&gt;"Yes"),0,IF($K$10=0,SUMIFS(INDIRECT(ADDRESS(12,3+18*1+(0),,,"J1 C - (South) Bishopthorpe Roa")&amp;":"&amp;ADDRESS(130,3+18*1+(0))),'J1 C - (South) Bishopthorpe Roa'!$A$12:$A$130,"&gt;="&amp;Diagram!$O27,'J1 C - (South) Bishopthorpe Roa'!$A$12:$A$130,"&lt;"&amp;Diagram!$P27),SUMIFS(INDIRECT(ADDRESS(12,3+18*1+(8),,,"J1 C - (South) Bishopthorpe Roa")&amp;":"&amp;ADDRESS(130,3+18*1+(8))),'J1 C - (South) Bishopthorpe Roa'!$A$12:$A$130,"&gt;="&amp;Diagram!$O27,'J1 C - (South) Bishopthorpe Roa'!$A$12:$A$130,"&lt;"&amp;Diagram!$P27)))</f>
        <v>95</v>
      </c>
      <c r="AB27" s="42">
        <f ca="1">IF(OR($I$10="",$O27="",$P27="",$J$35&lt;&gt;"Yes"),0,IF($K$10=0,SUMIFS(INDIRECT(ADDRESS(12,3+18*2+(0),,,"J1 C - (South) Bishopthorpe Roa")&amp;":"&amp;ADDRESS(130,3+18*2+(0))),'J1 C - (South) Bishopthorpe Roa'!$A$12:$A$130,"&gt;="&amp;Diagram!$O27,'J1 C - (South) Bishopthorpe Roa'!$A$12:$A$130,"&lt;"&amp;Diagram!$P27),SUMIFS(INDIRECT(ADDRESS(12,3+18*2+(8),,,"J1 C - (South) Bishopthorpe Roa")&amp;":"&amp;ADDRESS(130,3+18*2+(8))),'J1 C - (South) Bishopthorpe Roa'!$A$12:$A$130,"&gt;="&amp;Diagram!$O27,'J1 C - (South) Bishopthorpe Roa'!$A$12:$A$130,"&lt;"&amp;Diagram!$P27)))</f>
        <v>2</v>
      </c>
      <c r="AC27" s="42">
        <f ca="1">IF(OR($I$10="",$O27="",$P27="",$J$35&lt;&gt;"Yes"),0,IF($K$10=0,SUMIFS(INDIRECT(ADDRESS(12,3+18*3+(0),,,"J1 C - (South) Bishopthorpe Roa")&amp;":"&amp;ADDRESS(130,3+18*3+(0))),'J1 C - (South) Bishopthorpe Roa'!$A$12:$A$130,"&gt;="&amp;Diagram!$O27,'J1 C - (South) Bishopthorpe Roa'!$A$12:$A$130,"&lt;"&amp;Diagram!$P27),SUMIFS(INDIRECT(ADDRESS(12,3+18*3+(8),,,"J1 C - (South) Bishopthorpe Roa")&amp;":"&amp;ADDRESS(130,3+18*3+(8))),'J1 C - (South) Bishopthorpe Roa'!$A$12:$A$130,"&gt;="&amp;Diagram!$O27,'J1 C - (South) Bishopthorpe Roa'!$A$12:$A$130,"&lt;"&amp;Diagram!$P27)))</f>
        <v>1</v>
      </c>
      <c r="AD27" s="42">
        <f ca="1">IF(OR($I$10="",$O27="",$P27="",$J$35&lt;&gt;"Yes"),0,IF($K$10=0,SUMIFS(INDIRECT(ADDRESS(12,3+18*0+(0),,,"J1 C - (South) Bishopthorpe Roa")&amp;":"&amp;ADDRESS(130,3+18*0+(0))),'J1 C - (South) Bishopthorpe Roa'!$A$12:$A$130,"&gt;="&amp;Diagram!$O27,'J1 C - (South) Bishopthorpe Roa'!$A$12:$A$130,"&lt;"&amp;Diagram!$P27),SUMIFS(INDIRECT(ADDRESS(12,3+18*0+(8),,,"J1 C - (South) Bishopthorpe Roa")&amp;":"&amp;ADDRESS(130,3+18*0+(8))),'J1 C - (South) Bishopthorpe Roa'!$A$12:$A$130,"&gt;="&amp;Diagram!$O27,'J1 C - (South) Bishopthorpe Roa'!$A$12:$A$130,"&lt;"&amp;Diagram!$P27)))</f>
        <v>1</v>
      </c>
      <c r="AE27" s="42">
        <f ca="1">IF(OR($I$10="",$O27="",$P27="",$J$35&lt;&gt;"Yes"),0,IF($K$10=0,SUMIFS(INDIRECT(ADDRESS(12,3+18*0+(0),,,"J1 D - South Bank Avenue")&amp;":"&amp;ADDRESS(130,3+18*0+(0))),'J1 D - South Bank Avenue'!$A$12:$A$130,"&gt;="&amp;Diagram!$O27,'J1 D - South Bank Avenue'!$A$12:$A$130,"&lt;"&amp;Diagram!$P27),SUMIFS(INDIRECT(ADDRESS(12,3+18*0+(8),,,"J1 D - South Bank Avenue")&amp;":"&amp;ADDRESS(130,3+18*0+(8))),'J1 D - South Bank Avenue'!$A$12:$A$130,"&gt;="&amp;Diagram!$O27,'J1 D - South Bank Avenue'!$A$12:$A$130,"&lt;"&amp;Diagram!$P27)))</f>
        <v>15</v>
      </c>
      <c r="AF27" s="42">
        <f ca="1">IF(OR($I$10="",$O27="",$P27="",$J$35&lt;&gt;"Yes"),0,IF($K$10=0,SUMIFS(INDIRECT(ADDRESS(12,3+18*1+(0),,,"J1 D - South Bank Avenue")&amp;":"&amp;ADDRESS(130,3+18*1+(0))),'J1 D - South Bank Avenue'!$A$12:$A$130,"&gt;="&amp;Diagram!$O27,'J1 D - South Bank Avenue'!$A$12:$A$130,"&lt;"&amp;Diagram!$P27),SUMIFS(INDIRECT(ADDRESS(12,3+18*1+(8),,,"J1 D - South Bank Avenue")&amp;":"&amp;ADDRESS(130,3+18*1+(8))),'J1 D - South Bank Avenue'!$A$12:$A$130,"&gt;="&amp;Diagram!$O27,'J1 D - South Bank Avenue'!$A$12:$A$130,"&lt;"&amp;Diagram!$P27)))</f>
        <v>0</v>
      </c>
      <c r="AG27" s="42">
        <f ca="1">IF(OR($I$10="",$O27="",$P27="",$J$35&lt;&gt;"Yes"),0,IF($K$10=0,SUMIFS(INDIRECT(ADDRESS(12,3+18*2+(0),,,"J1 D - South Bank Avenue")&amp;":"&amp;ADDRESS(130,3+18*2+(0))),'J1 D - South Bank Avenue'!$A$12:$A$130,"&gt;="&amp;Diagram!$O27,'J1 D - South Bank Avenue'!$A$12:$A$130,"&lt;"&amp;Diagram!$P27),SUMIFS(INDIRECT(ADDRESS(12,3+18*2+(8),,,"J1 D - South Bank Avenue")&amp;":"&amp;ADDRESS(130,3+18*2+(8))),'J1 D - South Bank Avenue'!$A$12:$A$130,"&gt;="&amp;Diagram!$O27,'J1 D - South Bank Avenue'!$A$12:$A$130,"&lt;"&amp;Diagram!$P27)))</f>
        <v>3</v>
      </c>
      <c r="AH27" s="42">
        <f ca="1">IF(OR($I$10="",$O27="",$P27="",$J$35&lt;&gt;"Yes"),0,IF($K$10=0,SUMIFS(INDIRECT(ADDRESS(12,3+18*3+(0),,,"J1 D - South Bank Avenue")&amp;":"&amp;ADDRESS(130,3+18*3+(0))),'J1 D - South Bank Avenue'!$A$12:$A$130,"&gt;="&amp;Diagram!$O27,'J1 D - South Bank Avenue'!$A$12:$A$130,"&lt;"&amp;Diagram!$P27),SUMIFS(INDIRECT(ADDRESS(12,3+18*3+(8),,,"J1 D - South Bank Avenue")&amp;":"&amp;ADDRESS(130,3+18*3+(8))),'J1 D - South Bank Avenue'!$A$12:$A$130,"&gt;="&amp;Diagram!$O27,'J1 D - South Bank Avenue'!$A$12:$A$130,"&lt;"&amp;Diagram!$P27)))</f>
        <v>0</v>
      </c>
      <c r="AI27" s="42">
        <f t="shared" ca="1" si="2"/>
        <v>33</v>
      </c>
      <c r="AJ27" s="42">
        <f ca="1">IF(OR($I$10="",$O27="",$P27="",$J$36&lt;&gt;"Yes"),0,IF($K$10=0,SUMIFS(INDIRECT(ADDRESS(12,3+18*3+(1),,,"J1 A - (North) Bishopthorpe Roa")&amp;":"&amp;ADDRESS(130,3+18*3+(1))),'J1 A - (North) Bishopthorpe Roa'!$A$12:$A$130,"&gt;="&amp;Diagram!$O27,'J1 A - (North) Bishopthorpe Roa'!$A$12:$A$130,"&lt;"&amp;Diagram!$P27),SUMIFS(INDIRECT(ADDRESS(12,3+18*3+(9),,,"J1 A - (North) Bishopthorpe Roa")&amp;":"&amp;ADDRESS(130,3+18*3+(9))),'J1 A - (North) Bishopthorpe Roa'!$A$12:$A$130,"&gt;="&amp;Diagram!$O27,'J1 A - (North) Bishopthorpe Roa'!$A$12:$A$130,"&lt;"&amp;Diagram!$P27)))</f>
        <v>0</v>
      </c>
      <c r="AK27" s="42">
        <f ca="1">IF(OR($I$10="",$O27="",$P27="",$J$36&lt;&gt;"Yes"),0,IF($K$10=0,SUMIFS(INDIRECT(ADDRESS(12,3+18*0+(1),,,"J1 A - (North) Bishopthorpe Roa")&amp;":"&amp;ADDRESS(130,3+18*0+(1))),'J1 A - (North) Bishopthorpe Roa'!$A$12:$A$130,"&gt;="&amp;Diagram!$O27,'J1 A - (North) Bishopthorpe Roa'!$A$12:$A$130,"&lt;"&amp;Diagram!$P27),SUMIFS(INDIRECT(ADDRESS(12,3+18*0+(9),,,"J1 A - (North) Bishopthorpe Roa")&amp;":"&amp;ADDRESS(130,3+18*0+(9))),'J1 A - (North) Bishopthorpe Roa'!$A$12:$A$130,"&gt;="&amp;Diagram!$O27,'J1 A - (North) Bishopthorpe Roa'!$A$12:$A$130,"&lt;"&amp;Diagram!$P27)))</f>
        <v>4</v>
      </c>
      <c r="AL27" s="42">
        <f ca="1">IF(OR($I$10="",$O27="",$P27="",$J$36&lt;&gt;"Yes"),0,IF($K$10=0,SUMIFS(INDIRECT(ADDRESS(12,3+18*1+(1),,,"J1 A - (North) Bishopthorpe Roa")&amp;":"&amp;ADDRESS(130,3+18*1+(1))),'J1 A - (North) Bishopthorpe Roa'!$A$12:$A$130,"&gt;="&amp;Diagram!$O27,'J1 A - (North) Bishopthorpe Roa'!$A$12:$A$130,"&lt;"&amp;Diagram!$P27),SUMIFS(INDIRECT(ADDRESS(12,3+18*1+(9),,,"J1 A - (North) Bishopthorpe Roa")&amp;":"&amp;ADDRESS(130,3+18*1+(9))),'J1 A - (North) Bishopthorpe Roa'!$A$12:$A$130,"&gt;="&amp;Diagram!$O27,'J1 A - (North) Bishopthorpe Roa'!$A$12:$A$130,"&lt;"&amp;Diagram!$P27)))</f>
        <v>15</v>
      </c>
      <c r="AM27" s="42">
        <f ca="1">IF(OR($I$10="",$O27="",$P27="",$J$36&lt;&gt;"Yes"),0,IF($K$10=0,SUMIFS(INDIRECT(ADDRESS(12,3+18*2+(1),,,"J1 A - (North) Bishopthorpe Roa")&amp;":"&amp;ADDRESS(130,3+18*2+(1))),'J1 A - (North) Bishopthorpe Roa'!$A$12:$A$130,"&gt;="&amp;Diagram!$O27,'J1 A - (North) Bishopthorpe Roa'!$A$12:$A$130,"&lt;"&amp;Diagram!$P27),SUMIFS(INDIRECT(ADDRESS(12,3+18*2+(9),,,"J1 A - (North) Bishopthorpe Roa")&amp;":"&amp;ADDRESS(130,3+18*2+(9))),'J1 A - (North) Bishopthorpe Roa'!$A$12:$A$130,"&gt;="&amp;Diagram!$O27,'J1 A - (North) Bishopthorpe Roa'!$A$12:$A$130,"&lt;"&amp;Diagram!$P27)))</f>
        <v>0</v>
      </c>
      <c r="AN27" s="42">
        <f ca="1">IF(OR($I$10="",$O27="",$P27="",$J$36&lt;&gt;"Yes"),0,IF($K$10=0,SUMIFS(INDIRECT(ADDRESS(12,3+18*2+(1),,,"J1 B - Butcher Terrace")&amp;":"&amp;ADDRESS(130,3+18*2+(1))),'J1 B - Butcher Terrace'!$A$12:$A$130,"&gt;="&amp;Diagram!$O27,'J1 B - Butcher Terrace'!$A$12:$A$130,"&lt;"&amp;Diagram!$P27),SUMIFS(INDIRECT(ADDRESS(12,3+18*2+(9),,,"J1 B - Butcher Terrace")&amp;":"&amp;ADDRESS(130,3+18*2+(9))),'J1 B - Butcher Terrace'!$A$12:$A$130,"&gt;="&amp;Diagram!$O27,'J1 B - Butcher Terrace'!$A$12:$A$130,"&lt;"&amp;Diagram!$P27)))</f>
        <v>1</v>
      </c>
      <c r="AO27" s="42">
        <f ca="1">IF(OR($I$10="",$O27="",$P27="",$J$36&lt;&gt;"Yes"),0,IF($K$10=0,SUMIFS(INDIRECT(ADDRESS(12,3+18*3+(1),,,"J1 B - Butcher Terrace")&amp;":"&amp;ADDRESS(130,3+18*3+(1))),'J1 B - Butcher Terrace'!$A$12:$A$130,"&gt;="&amp;Diagram!$O27,'J1 B - Butcher Terrace'!$A$12:$A$130,"&lt;"&amp;Diagram!$P27),SUMIFS(INDIRECT(ADDRESS(12,3+18*3+(9),,,"J1 B - Butcher Terrace")&amp;":"&amp;ADDRESS(130,3+18*3+(9))),'J1 B - Butcher Terrace'!$A$12:$A$130,"&gt;="&amp;Diagram!$O27,'J1 B - Butcher Terrace'!$A$12:$A$130,"&lt;"&amp;Diagram!$P27)))</f>
        <v>0</v>
      </c>
      <c r="AP27" s="42">
        <f ca="1">IF(OR($I$10="",$O27="",$P27="",$J$36&lt;&gt;"Yes"),0,IF($K$10=0,SUMIFS(INDIRECT(ADDRESS(12,3+18*0+(1),,,"J1 B - Butcher Terrace")&amp;":"&amp;ADDRESS(130,3+18*0+(1))),'J1 B - Butcher Terrace'!$A$12:$A$130,"&gt;="&amp;Diagram!$O27,'J1 B - Butcher Terrace'!$A$12:$A$130,"&lt;"&amp;Diagram!$P27),SUMIFS(INDIRECT(ADDRESS(12,3+18*0+(9),,,"J1 B - Butcher Terrace")&amp;":"&amp;ADDRESS(130,3+18*0+(9))),'J1 B - Butcher Terrace'!$A$12:$A$130,"&gt;="&amp;Diagram!$O27,'J1 B - Butcher Terrace'!$A$12:$A$130,"&lt;"&amp;Diagram!$P27)))</f>
        <v>0</v>
      </c>
      <c r="AQ27" s="42">
        <f ca="1">IF(OR($I$10="",$O27="",$P27="",$J$36&lt;&gt;"Yes"),0,IF($K$10=0,SUMIFS(INDIRECT(ADDRESS(12,3+18*1+(1),,,"J1 B - Butcher Terrace")&amp;":"&amp;ADDRESS(130,3+18*1+(1))),'J1 B - Butcher Terrace'!$A$12:$A$130,"&gt;="&amp;Diagram!$O27,'J1 B - Butcher Terrace'!$A$12:$A$130,"&lt;"&amp;Diagram!$P27),SUMIFS(INDIRECT(ADDRESS(12,3+18*1+(9),,,"J1 B - Butcher Terrace")&amp;":"&amp;ADDRESS(130,3+18*1+(9))),'J1 B - Butcher Terrace'!$A$12:$A$130,"&gt;="&amp;Diagram!$O27,'J1 B - Butcher Terrace'!$A$12:$A$130,"&lt;"&amp;Diagram!$P27)))</f>
        <v>0</v>
      </c>
      <c r="AR27" s="42">
        <f ca="1">IF(OR($I$10="",$O27="",$P27="",$J$36&lt;&gt;"Yes"),0,IF($K$10=0,SUMIFS(INDIRECT(ADDRESS(12,3+18*1+(1),,,"J1 C - (South) Bishopthorpe Roa")&amp;":"&amp;ADDRESS(130,3+18*1+(1))),'J1 C - (South) Bishopthorpe Roa'!$A$12:$A$130,"&gt;="&amp;Diagram!$O27,'J1 C - (South) Bishopthorpe Roa'!$A$12:$A$130,"&lt;"&amp;Diagram!$P27),SUMIFS(INDIRECT(ADDRESS(12,3+18*1+(9),,,"J1 C - (South) Bishopthorpe Roa")&amp;":"&amp;ADDRESS(130,3+18*1+(9))),'J1 C - (South) Bishopthorpe Roa'!$A$12:$A$130,"&gt;="&amp;Diagram!$O27,'J1 C - (South) Bishopthorpe Roa'!$A$12:$A$130,"&lt;"&amp;Diagram!$P27)))</f>
        <v>12</v>
      </c>
      <c r="AS27" s="42">
        <f ca="1">IF(OR($I$10="",$O27="",$P27="",$J$36&lt;&gt;"Yes"),0,IF($K$10=0,SUMIFS(INDIRECT(ADDRESS(12,3+18*2+(1),,,"J1 C - (South) Bishopthorpe Roa")&amp;":"&amp;ADDRESS(130,3+18*2+(1))),'J1 C - (South) Bishopthorpe Roa'!$A$12:$A$130,"&gt;="&amp;Diagram!$O27,'J1 C - (South) Bishopthorpe Roa'!$A$12:$A$130,"&lt;"&amp;Diagram!$P27),SUMIFS(INDIRECT(ADDRESS(12,3+18*2+(9),,,"J1 C - (South) Bishopthorpe Roa")&amp;":"&amp;ADDRESS(130,3+18*2+(9))),'J1 C - (South) Bishopthorpe Roa'!$A$12:$A$130,"&gt;="&amp;Diagram!$O27,'J1 C - (South) Bishopthorpe Roa'!$A$12:$A$130,"&lt;"&amp;Diagram!$P27)))</f>
        <v>0</v>
      </c>
      <c r="AT27" s="42">
        <f ca="1">IF(OR($I$10="",$O27="",$P27="",$J$36&lt;&gt;"Yes"),0,IF($K$10=0,SUMIFS(INDIRECT(ADDRESS(12,3+18*3+(1),,,"J1 C - (South) Bishopthorpe Roa")&amp;":"&amp;ADDRESS(130,3+18*3+(1))),'J1 C - (South) Bishopthorpe Roa'!$A$12:$A$130,"&gt;="&amp;Diagram!$O27,'J1 C - (South) Bishopthorpe Roa'!$A$12:$A$130,"&lt;"&amp;Diagram!$P27),SUMIFS(INDIRECT(ADDRESS(12,3+18*3+(9),,,"J1 C - (South) Bishopthorpe Roa")&amp;":"&amp;ADDRESS(130,3+18*3+(9))),'J1 C - (South) Bishopthorpe Roa'!$A$12:$A$130,"&gt;="&amp;Diagram!$O27,'J1 C - (South) Bishopthorpe Roa'!$A$12:$A$130,"&lt;"&amp;Diagram!$P27)))</f>
        <v>0</v>
      </c>
      <c r="AU27" s="42">
        <f ca="1">IF(OR($I$10="",$O27="",$P27="",$J$36&lt;&gt;"Yes"),0,IF($K$10=0,SUMIFS(INDIRECT(ADDRESS(12,3+18*0+(1),,,"J1 C - (South) Bishopthorpe Roa")&amp;":"&amp;ADDRESS(130,3+18*0+(1))),'J1 C - (South) Bishopthorpe Roa'!$A$12:$A$130,"&gt;="&amp;Diagram!$O27,'J1 C - (South) Bishopthorpe Roa'!$A$12:$A$130,"&lt;"&amp;Diagram!$P27),SUMIFS(INDIRECT(ADDRESS(12,3+18*0+(9),,,"J1 C - (South) Bishopthorpe Roa")&amp;":"&amp;ADDRESS(130,3+18*0+(9))),'J1 C - (South) Bishopthorpe Roa'!$A$12:$A$130,"&gt;="&amp;Diagram!$O27,'J1 C - (South) Bishopthorpe Roa'!$A$12:$A$130,"&lt;"&amp;Diagram!$P27)))</f>
        <v>0</v>
      </c>
      <c r="AV27" s="42">
        <f ca="1">IF(OR($I$10="",$O27="",$P27="",$J$36&lt;&gt;"Yes"),0,IF($K$10=0,SUMIFS(INDIRECT(ADDRESS(12,3+18*0+(1),,,"J1 D - South Bank Avenue")&amp;":"&amp;ADDRESS(130,3+18*0+(1))),'J1 D - South Bank Avenue'!$A$12:$A$130,"&gt;="&amp;Diagram!$O27,'J1 D - South Bank Avenue'!$A$12:$A$130,"&lt;"&amp;Diagram!$P27),SUMIFS(INDIRECT(ADDRESS(12,3+18*0+(9),,,"J1 D - South Bank Avenue")&amp;":"&amp;ADDRESS(130,3+18*0+(9))),'J1 D - South Bank Avenue'!$A$12:$A$130,"&gt;="&amp;Diagram!$O27,'J1 D - South Bank Avenue'!$A$12:$A$130,"&lt;"&amp;Diagram!$P27)))</f>
        <v>1</v>
      </c>
      <c r="AW27" s="42">
        <f ca="1">IF(OR($I$10="",$O27="",$P27="",$J$36&lt;&gt;"Yes"),0,IF($K$10=0,SUMIFS(INDIRECT(ADDRESS(12,3+18*1+(1),,,"J1 D - South Bank Avenue")&amp;":"&amp;ADDRESS(130,3+18*1+(1))),'J1 D - South Bank Avenue'!$A$12:$A$130,"&gt;="&amp;Diagram!$O27,'J1 D - South Bank Avenue'!$A$12:$A$130,"&lt;"&amp;Diagram!$P27),SUMIFS(INDIRECT(ADDRESS(12,3+18*1+(9),,,"J1 D - South Bank Avenue")&amp;":"&amp;ADDRESS(130,3+18*1+(9))),'J1 D - South Bank Avenue'!$A$12:$A$130,"&gt;="&amp;Diagram!$O27,'J1 D - South Bank Avenue'!$A$12:$A$130,"&lt;"&amp;Diagram!$P27)))</f>
        <v>0</v>
      </c>
      <c r="AX27" s="42">
        <f ca="1">IF(OR($I$10="",$O27="",$P27="",$J$36&lt;&gt;"Yes"),0,IF($K$10=0,SUMIFS(INDIRECT(ADDRESS(12,3+18*2+(1),,,"J1 D - South Bank Avenue")&amp;":"&amp;ADDRESS(130,3+18*2+(1))),'J1 D - South Bank Avenue'!$A$12:$A$130,"&gt;="&amp;Diagram!$O27,'J1 D - South Bank Avenue'!$A$12:$A$130,"&lt;"&amp;Diagram!$P27),SUMIFS(INDIRECT(ADDRESS(12,3+18*2+(9),,,"J1 D - South Bank Avenue")&amp;":"&amp;ADDRESS(130,3+18*2+(9))),'J1 D - South Bank Avenue'!$A$12:$A$130,"&gt;="&amp;Diagram!$O27,'J1 D - South Bank Avenue'!$A$12:$A$130,"&lt;"&amp;Diagram!$P27)))</f>
        <v>0</v>
      </c>
      <c r="AY27" s="42">
        <f ca="1">IF(OR($I$10="",$O27="",$P27="",$J$36&lt;&gt;"Yes"),0,IF($K$10=0,SUMIFS(INDIRECT(ADDRESS(12,3+18*3+(1),,,"J1 D - South Bank Avenue")&amp;":"&amp;ADDRESS(130,3+18*3+(1))),'J1 D - South Bank Avenue'!$A$12:$A$130,"&gt;="&amp;Diagram!$O27,'J1 D - South Bank Avenue'!$A$12:$A$130,"&lt;"&amp;Diagram!$P27),SUMIFS(INDIRECT(ADDRESS(12,3+18*3+(9),,,"J1 D - South Bank Avenue")&amp;":"&amp;ADDRESS(130,3+18*3+(9))),'J1 D - South Bank Avenue'!$A$12:$A$130,"&gt;="&amp;Diagram!$O27,'J1 D - South Bank Avenue'!$A$12:$A$130,"&lt;"&amp;Diagram!$P27)))</f>
        <v>0</v>
      </c>
      <c r="AZ27" s="42">
        <f t="shared" ca="1" si="3"/>
        <v>5</v>
      </c>
      <c r="BA27" s="42">
        <f ca="1">IF(OR($I$10="",$O27="",$P27="",$J$37&lt;&gt;"Yes"),0,IF($K$10=0,SUMIFS(INDIRECT(ADDRESS(12,3+18*3+(2),,,"J1 A - (North) Bishopthorpe Roa")&amp;":"&amp;ADDRESS(130,3+18*3+(2))),'J1 A - (North) Bishopthorpe Roa'!$A$12:$A$130,"&gt;="&amp;Diagram!$O27,'J1 A - (North) Bishopthorpe Roa'!$A$12:$A$130,"&lt;"&amp;Diagram!$P27),SUMIFS(INDIRECT(ADDRESS(12,3+18*3+(10),,,"J1 A - (North) Bishopthorpe Roa")&amp;":"&amp;ADDRESS(130,3+18*3+(10))),'J1 A - (North) Bishopthorpe Roa'!$A$12:$A$130,"&gt;="&amp;Diagram!$O27,'J1 A - (North) Bishopthorpe Roa'!$A$12:$A$130,"&lt;"&amp;Diagram!$P27)))</f>
        <v>0</v>
      </c>
      <c r="BB27" s="42">
        <f ca="1">IF(OR($I$10="",$O27="",$P27="",$J$37&lt;&gt;"Yes"),0,IF($K$10=0,SUMIFS(INDIRECT(ADDRESS(12,3+18*0+(2),,,"J1 A - (North) Bishopthorpe Roa")&amp;":"&amp;ADDRESS(130,3+18*0+(2))),'J1 A - (North) Bishopthorpe Roa'!$A$12:$A$130,"&gt;="&amp;Diagram!$O27,'J1 A - (North) Bishopthorpe Roa'!$A$12:$A$130,"&lt;"&amp;Diagram!$P27),SUMIFS(INDIRECT(ADDRESS(12,3+18*0+(10),,,"J1 A - (North) Bishopthorpe Roa")&amp;":"&amp;ADDRESS(130,3+18*0+(10))),'J1 A - (North) Bishopthorpe Roa'!$A$12:$A$130,"&gt;="&amp;Diagram!$O27,'J1 A - (North) Bishopthorpe Roa'!$A$12:$A$130,"&lt;"&amp;Diagram!$P27)))</f>
        <v>1</v>
      </c>
      <c r="BC27" s="42">
        <f ca="1">IF(OR($I$10="",$O27="",$P27="",$J$37&lt;&gt;"Yes"),0,IF($K$10=0,SUMIFS(INDIRECT(ADDRESS(12,3+18*1+(2),,,"J1 A - (North) Bishopthorpe Roa")&amp;":"&amp;ADDRESS(130,3+18*1+(2))),'J1 A - (North) Bishopthorpe Roa'!$A$12:$A$130,"&gt;="&amp;Diagram!$O27,'J1 A - (North) Bishopthorpe Roa'!$A$12:$A$130,"&lt;"&amp;Diagram!$P27),SUMIFS(INDIRECT(ADDRESS(12,3+18*1+(10),,,"J1 A - (North) Bishopthorpe Roa")&amp;":"&amp;ADDRESS(130,3+18*1+(10))),'J1 A - (North) Bishopthorpe Roa'!$A$12:$A$130,"&gt;="&amp;Diagram!$O27,'J1 A - (North) Bishopthorpe Roa'!$A$12:$A$130,"&lt;"&amp;Diagram!$P27)))</f>
        <v>1</v>
      </c>
      <c r="BD27" s="42">
        <f ca="1">IF(OR($I$10="",$O27="",$P27="",$J$37&lt;&gt;"Yes"),0,IF($K$10=0,SUMIFS(INDIRECT(ADDRESS(12,3+18*2+(2),,,"J1 A - (North) Bishopthorpe Roa")&amp;":"&amp;ADDRESS(130,3+18*2+(2))),'J1 A - (North) Bishopthorpe Roa'!$A$12:$A$130,"&gt;="&amp;Diagram!$O27,'J1 A - (North) Bishopthorpe Roa'!$A$12:$A$130,"&lt;"&amp;Diagram!$P27),SUMIFS(INDIRECT(ADDRESS(12,3+18*2+(10),,,"J1 A - (North) Bishopthorpe Roa")&amp;":"&amp;ADDRESS(130,3+18*2+(10))),'J1 A - (North) Bishopthorpe Roa'!$A$12:$A$130,"&gt;="&amp;Diagram!$O27,'J1 A - (North) Bishopthorpe Roa'!$A$12:$A$130,"&lt;"&amp;Diagram!$P27)))</f>
        <v>0</v>
      </c>
      <c r="BE27" s="42">
        <f ca="1">IF(OR($I$10="",$O27="",$P27="",$J$37&lt;&gt;"Yes"),0,IF($K$10=0,SUMIFS(INDIRECT(ADDRESS(12,3+18*2+(2),,,"J1 B - Butcher Terrace")&amp;":"&amp;ADDRESS(130,3+18*2+(2))),'J1 B - Butcher Terrace'!$A$12:$A$130,"&gt;="&amp;Diagram!$O27,'J1 B - Butcher Terrace'!$A$12:$A$130,"&lt;"&amp;Diagram!$P27),SUMIFS(INDIRECT(ADDRESS(12,3+18*2+(10),,,"J1 B - Butcher Terrace")&amp;":"&amp;ADDRESS(130,3+18*2+(10))),'J1 B - Butcher Terrace'!$A$12:$A$130,"&gt;="&amp;Diagram!$O27,'J1 B - Butcher Terrace'!$A$12:$A$130,"&lt;"&amp;Diagram!$P27)))</f>
        <v>0</v>
      </c>
      <c r="BF27" s="42">
        <f ca="1">IF(OR($I$10="",$O27="",$P27="",$J$37&lt;&gt;"Yes"),0,IF($K$10=0,SUMIFS(INDIRECT(ADDRESS(12,3+18*3+(2),,,"J1 B - Butcher Terrace")&amp;":"&amp;ADDRESS(130,3+18*3+(2))),'J1 B - Butcher Terrace'!$A$12:$A$130,"&gt;="&amp;Diagram!$O27,'J1 B - Butcher Terrace'!$A$12:$A$130,"&lt;"&amp;Diagram!$P27),SUMIFS(INDIRECT(ADDRESS(12,3+18*3+(10),,,"J1 B - Butcher Terrace")&amp;":"&amp;ADDRESS(130,3+18*3+(10))),'J1 B - Butcher Terrace'!$A$12:$A$130,"&gt;="&amp;Diagram!$O27,'J1 B - Butcher Terrace'!$A$12:$A$130,"&lt;"&amp;Diagram!$P27)))</f>
        <v>0</v>
      </c>
      <c r="BG27" s="42">
        <f ca="1">IF(OR($I$10="",$O27="",$P27="",$J$37&lt;&gt;"Yes"),0,IF($K$10=0,SUMIFS(INDIRECT(ADDRESS(12,3+18*0+(2),,,"J1 B - Butcher Terrace")&amp;":"&amp;ADDRESS(130,3+18*0+(2))),'J1 B - Butcher Terrace'!$A$12:$A$130,"&gt;="&amp;Diagram!$O27,'J1 B - Butcher Terrace'!$A$12:$A$130,"&lt;"&amp;Diagram!$P27),SUMIFS(INDIRECT(ADDRESS(12,3+18*0+(10),,,"J1 B - Butcher Terrace")&amp;":"&amp;ADDRESS(130,3+18*0+(10))),'J1 B - Butcher Terrace'!$A$12:$A$130,"&gt;="&amp;Diagram!$O27,'J1 B - Butcher Terrace'!$A$12:$A$130,"&lt;"&amp;Diagram!$P27)))</f>
        <v>0</v>
      </c>
      <c r="BH27" s="42">
        <f ca="1">IF(OR($I$10="",$O27="",$P27="",$J$37&lt;&gt;"Yes"),0,IF($K$10=0,SUMIFS(INDIRECT(ADDRESS(12,3+18*1+(2),,,"J1 B - Butcher Terrace")&amp;":"&amp;ADDRESS(130,3+18*1+(2))),'J1 B - Butcher Terrace'!$A$12:$A$130,"&gt;="&amp;Diagram!$O27,'J1 B - Butcher Terrace'!$A$12:$A$130,"&lt;"&amp;Diagram!$P27),SUMIFS(INDIRECT(ADDRESS(12,3+18*1+(10),,,"J1 B - Butcher Terrace")&amp;":"&amp;ADDRESS(130,3+18*1+(10))),'J1 B - Butcher Terrace'!$A$12:$A$130,"&gt;="&amp;Diagram!$O27,'J1 B - Butcher Terrace'!$A$12:$A$130,"&lt;"&amp;Diagram!$P27)))</f>
        <v>0</v>
      </c>
      <c r="BI27" s="42">
        <f ca="1">IF(OR($I$10="",$O27="",$P27="",$J$37&lt;&gt;"Yes"),0,IF($K$10=0,SUMIFS(INDIRECT(ADDRESS(12,3+18*1+(2),,,"J1 C - (South) Bishopthorpe Roa")&amp;":"&amp;ADDRESS(130,3+18*1+(2))),'J1 C - (South) Bishopthorpe Roa'!$A$12:$A$130,"&gt;="&amp;Diagram!$O27,'J1 C - (South) Bishopthorpe Roa'!$A$12:$A$130,"&lt;"&amp;Diagram!$P27),SUMIFS(INDIRECT(ADDRESS(12,3+18*1+(10),,,"J1 C - (South) Bishopthorpe Roa")&amp;":"&amp;ADDRESS(130,3+18*1+(10))),'J1 C - (South) Bishopthorpe Roa'!$A$12:$A$130,"&gt;="&amp;Diagram!$O27,'J1 C - (South) Bishopthorpe Roa'!$A$12:$A$130,"&lt;"&amp;Diagram!$P27)))</f>
        <v>3</v>
      </c>
      <c r="BJ27" s="42">
        <f ca="1">IF(OR($I$10="",$O27="",$P27="",$J$37&lt;&gt;"Yes"),0,IF($K$10=0,SUMIFS(INDIRECT(ADDRESS(12,3+18*2+(2),,,"J1 C - (South) Bishopthorpe Roa")&amp;":"&amp;ADDRESS(130,3+18*2+(2))),'J1 C - (South) Bishopthorpe Roa'!$A$12:$A$130,"&gt;="&amp;Diagram!$O27,'J1 C - (South) Bishopthorpe Roa'!$A$12:$A$130,"&lt;"&amp;Diagram!$P27),SUMIFS(INDIRECT(ADDRESS(12,3+18*2+(10),,,"J1 C - (South) Bishopthorpe Roa")&amp;":"&amp;ADDRESS(130,3+18*2+(10))),'J1 C - (South) Bishopthorpe Roa'!$A$12:$A$130,"&gt;="&amp;Diagram!$O27,'J1 C - (South) Bishopthorpe Roa'!$A$12:$A$130,"&lt;"&amp;Diagram!$P27)))</f>
        <v>0</v>
      </c>
      <c r="BK27" s="42">
        <f ca="1">IF(OR($I$10="",$O27="",$P27="",$J$37&lt;&gt;"Yes"),0,IF($K$10=0,SUMIFS(INDIRECT(ADDRESS(12,3+18*3+(2),,,"J1 C - (South) Bishopthorpe Roa")&amp;":"&amp;ADDRESS(130,3+18*3+(2))),'J1 C - (South) Bishopthorpe Roa'!$A$12:$A$130,"&gt;="&amp;Diagram!$O27,'J1 C - (South) Bishopthorpe Roa'!$A$12:$A$130,"&lt;"&amp;Diagram!$P27),SUMIFS(INDIRECT(ADDRESS(12,3+18*3+(10),,,"J1 C - (South) Bishopthorpe Roa")&amp;":"&amp;ADDRESS(130,3+18*3+(10))),'J1 C - (South) Bishopthorpe Roa'!$A$12:$A$130,"&gt;="&amp;Diagram!$O27,'J1 C - (South) Bishopthorpe Roa'!$A$12:$A$130,"&lt;"&amp;Diagram!$P27)))</f>
        <v>0</v>
      </c>
      <c r="BL27" s="42">
        <f ca="1">IF(OR($I$10="",$O27="",$P27="",$J$37&lt;&gt;"Yes"),0,IF($K$10=0,SUMIFS(INDIRECT(ADDRESS(12,3+18*0+(2),,,"J1 C - (South) Bishopthorpe Roa")&amp;":"&amp;ADDRESS(130,3+18*0+(2))),'J1 C - (South) Bishopthorpe Roa'!$A$12:$A$130,"&gt;="&amp;Diagram!$O27,'J1 C - (South) Bishopthorpe Roa'!$A$12:$A$130,"&lt;"&amp;Diagram!$P27),SUMIFS(INDIRECT(ADDRESS(12,3+18*0+(10),,,"J1 C - (South) Bishopthorpe Roa")&amp;":"&amp;ADDRESS(130,3+18*0+(10))),'J1 C - (South) Bishopthorpe Roa'!$A$12:$A$130,"&gt;="&amp;Diagram!$O27,'J1 C - (South) Bishopthorpe Roa'!$A$12:$A$130,"&lt;"&amp;Diagram!$P27)))</f>
        <v>0</v>
      </c>
      <c r="BM27" s="42">
        <f ca="1">IF(OR($I$10="",$O27="",$P27="",$J$37&lt;&gt;"Yes"),0,IF($K$10=0,SUMIFS(INDIRECT(ADDRESS(12,3+18*0+(2),,,"J1 D - South Bank Avenue")&amp;":"&amp;ADDRESS(130,3+18*0+(2))),'J1 D - South Bank Avenue'!$A$12:$A$130,"&gt;="&amp;Diagram!$O27,'J1 D - South Bank Avenue'!$A$12:$A$130,"&lt;"&amp;Diagram!$P27),SUMIFS(INDIRECT(ADDRESS(12,3+18*0+(10),,,"J1 D - South Bank Avenue")&amp;":"&amp;ADDRESS(130,3+18*0+(10))),'J1 D - South Bank Avenue'!$A$12:$A$130,"&gt;="&amp;Diagram!$O27,'J1 D - South Bank Avenue'!$A$12:$A$130,"&lt;"&amp;Diagram!$P27)))</f>
        <v>0</v>
      </c>
      <c r="BN27" s="42">
        <f ca="1">IF(OR($I$10="",$O27="",$P27="",$J$37&lt;&gt;"Yes"),0,IF($K$10=0,SUMIFS(INDIRECT(ADDRESS(12,3+18*1+(2),,,"J1 D - South Bank Avenue")&amp;":"&amp;ADDRESS(130,3+18*1+(2))),'J1 D - South Bank Avenue'!$A$12:$A$130,"&gt;="&amp;Diagram!$O27,'J1 D - South Bank Avenue'!$A$12:$A$130,"&lt;"&amp;Diagram!$P27),SUMIFS(INDIRECT(ADDRESS(12,3+18*1+(10),,,"J1 D - South Bank Avenue")&amp;":"&amp;ADDRESS(130,3+18*1+(10))),'J1 D - South Bank Avenue'!$A$12:$A$130,"&gt;="&amp;Diagram!$O27,'J1 D - South Bank Avenue'!$A$12:$A$130,"&lt;"&amp;Diagram!$P27)))</f>
        <v>0</v>
      </c>
      <c r="BO27" s="42">
        <f ca="1">IF(OR($I$10="",$O27="",$P27="",$J$37&lt;&gt;"Yes"),0,IF($K$10=0,SUMIFS(INDIRECT(ADDRESS(12,3+18*2+(2),,,"J1 D - South Bank Avenue")&amp;":"&amp;ADDRESS(130,3+18*2+(2))),'J1 D - South Bank Avenue'!$A$12:$A$130,"&gt;="&amp;Diagram!$O27,'J1 D - South Bank Avenue'!$A$12:$A$130,"&lt;"&amp;Diagram!$P27),SUMIFS(INDIRECT(ADDRESS(12,3+18*2+(10),,,"J1 D - South Bank Avenue")&amp;":"&amp;ADDRESS(130,3+18*2+(10))),'J1 D - South Bank Avenue'!$A$12:$A$130,"&gt;="&amp;Diagram!$O27,'J1 D - South Bank Avenue'!$A$12:$A$130,"&lt;"&amp;Diagram!$P27)))</f>
        <v>0</v>
      </c>
      <c r="BP27" s="42">
        <f ca="1">IF(OR($I$10="",$O27="",$P27="",$J$37&lt;&gt;"Yes"),0,IF($K$10=0,SUMIFS(INDIRECT(ADDRESS(12,3+18*3+(2),,,"J1 D - South Bank Avenue")&amp;":"&amp;ADDRESS(130,3+18*3+(2))),'J1 D - South Bank Avenue'!$A$12:$A$130,"&gt;="&amp;Diagram!$O27,'J1 D - South Bank Avenue'!$A$12:$A$130,"&lt;"&amp;Diagram!$P27),SUMIFS(INDIRECT(ADDRESS(12,3+18*3+(10),,,"J1 D - South Bank Avenue")&amp;":"&amp;ADDRESS(130,3+18*3+(10))),'J1 D - South Bank Avenue'!$A$12:$A$130,"&gt;="&amp;Diagram!$O27,'J1 D - South Bank Avenue'!$A$12:$A$130,"&lt;"&amp;Diagram!$P27)))</f>
        <v>0</v>
      </c>
      <c r="BQ27" s="42">
        <f t="shared" ca="1" si="4"/>
        <v>1</v>
      </c>
      <c r="BR27" s="42">
        <f ca="1">IF(OR($I$10="",$O27="",$P27="",$J$38&lt;&gt;"Yes"),0,IF($K$10=0,SUMIFS(INDIRECT(ADDRESS(12,3+18*3+(3),,,"J1 A - (North) Bishopthorpe Roa")&amp;":"&amp;ADDRESS(130,3+18*3+(3))),'J1 A - (North) Bishopthorpe Roa'!$A$12:$A$130,"&gt;="&amp;Diagram!$O27,'J1 A - (North) Bishopthorpe Roa'!$A$12:$A$130,"&lt;"&amp;Diagram!$P27),SUMIFS(INDIRECT(ADDRESS(12,3+18*3+(11),,,"J1 A - (North) Bishopthorpe Roa")&amp;":"&amp;ADDRESS(130,3+18*3+(11))),'J1 A - (North) Bishopthorpe Roa'!$A$12:$A$130,"&gt;="&amp;Diagram!$O27,'J1 A - (North) Bishopthorpe Roa'!$A$12:$A$130,"&lt;"&amp;Diagram!$P27)))</f>
        <v>0</v>
      </c>
      <c r="BS27" s="42">
        <f ca="1">IF(OR($I$10="",$O27="",$P27="",$J$38&lt;&gt;"Yes"),0,IF($K$10=0,SUMIFS(INDIRECT(ADDRESS(12,3+18*0+(3),,,"J1 A - (North) Bishopthorpe Roa")&amp;":"&amp;ADDRESS(130,3+18*0+(3))),'J1 A - (North) Bishopthorpe Roa'!$A$12:$A$130,"&gt;="&amp;Diagram!$O27,'J1 A - (North) Bishopthorpe Roa'!$A$12:$A$130,"&lt;"&amp;Diagram!$P27),SUMIFS(INDIRECT(ADDRESS(12,3+18*0+(11),,,"J1 A - (North) Bishopthorpe Roa")&amp;":"&amp;ADDRESS(130,3+18*0+(11))),'J1 A - (North) Bishopthorpe Roa'!$A$12:$A$130,"&gt;="&amp;Diagram!$O27,'J1 A - (North) Bishopthorpe Roa'!$A$12:$A$130,"&lt;"&amp;Diagram!$P27)))</f>
        <v>0</v>
      </c>
      <c r="BT27" s="42">
        <f ca="1">IF(OR($I$10="",$O27="",$P27="",$J$38&lt;&gt;"Yes"),0,IF($K$10=0,SUMIFS(INDIRECT(ADDRESS(12,3+18*1+(3),,,"J1 A - (North) Bishopthorpe Roa")&amp;":"&amp;ADDRESS(130,3+18*1+(3))),'J1 A - (North) Bishopthorpe Roa'!$A$12:$A$130,"&gt;="&amp;Diagram!$O27,'J1 A - (North) Bishopthorpe Roa'!$A$12:$A$130,"&lt;"&amp;Diagram!$P27),SUMIFS(INDIRECT(ADDRESS(12,3+18*1+(11),,,"J1 A - (North) Bishopthorpe Roa")&amp;":"&amp;ADDRESS(130,3+18*1+(11))),'J1 A - (North) Bishopthorpe Roa'!$A$12:$A$130,"&gt;="&amp;Diagram!$O27,'J1 A - (North) Bishopthorpe Roa'!$A$12:$A$130,"&lt;"&amp;Diagram!$P27)))</f>
        <v>0</v>
      </c>
      <c r="BU27" s="42">
        <f ca="1">IF(OR($I$10="",$O27="",$P27="",$J$38&lt;&gt;"Yes"),0,IF($K$10=0,SUMIFS(INDIRECT(ADDRESS(12,3+18*2+(3),,,"J1 A - (North) Bishopthorpe Roa")&amp;":"&amp;ADDRESS(130,3+18*2+(3))),'J1 A - (North) Bishopthorpe Roa'!$A$12:$A$130,"&gt;="&amp;Diagram!$O27,'J1 A - (North) Bishopthorpe Roa'!$A$12:$A$130,"&lt;"&amp;Diagram!$P27),SUMIFS(INDIRECT(ADDRESS(12,3+18*2+(11),,,"J1 A - (North) Bishopthorpe Roa")&amp;":"&amp;ADDRESS(130,3+18*2+(11))),'J1 A - (North) Bishopthorpe Roa'!$A$12:$A$130,"&gt;="&amp;Diagram!$O27,'J1 A - (North) Bishopthorpe Roa'!$A$12:$A$130,"&lt;"&amp;Diagram!$P27)))</f>
        <v>0</v>
      </c>
      <c r="BV27" s="42">
        <f ca="1">IF(OR($I$10="",$O27="",$P27="",$J$38&lt;&gt;"Yes"),0,IF($K$10=0,SUMIFS(INDIRECT(ADDRESS(12,3+18*2+(3),,,"J1 B - Butcher Terrace")&amp;":"&amp;ADDRESS(130,3+18*2+(3))),'J1 B - Butcher Terrace'!$A$12:$A$130,"&gt;="&amp;Diagram!$O27,'J1 B - Butcher Terrace'!$A$12:$A$130,"&lt;"&amp;Diagram!$P27),SUMIFS(INDIRECT(ADDRESS(12,3+18*2+(11),,,"J1 B - Butcher Terrace")&amp;":"&amp;ADDRESS(130,3+18*2+(11))),'J1 B - Butcher Terrace'!$A$12:$A$130,"&gt;="&amp;Diagram!$O27,'J1 B - Butcher Terrace'!$A$12:$A$130,"&lt;"&amp;Diagram!$P27)))</f>
        <v>1</v>
      </c>
      <c r="BW27" s="42">
        <f ca="1">IF(OR($I$10="",$O27="",$P27="",$J$38&lt;&gt;"Yes"),0,IF($K$10=0,SUMIFS(INDIRECT(ADDRESS(12,3+18*3+(3),,,"J1 B - Butcher Terrace")&amp;":"&amp;ADDRESS(130,3+18*3+(3))),'J1 B - Butcher Terrace'!$A$12:$A$130,"&gt;="&amp;Diagram!$O27,'J1 B - Butcher Terrace'!$A$12:$A$130,"&lt;"&amp;Diagram!$P27),SUMIFS(INDIRECT(ADDRESS(12,3+18*3+(11),,,"J1 B - Butcher Terrace")&amp;":"&amp;ADDRESS(130,3+18*3+(11))),'J1 B - Butcher Terrace'!$A$12:$A$130,"&gt;="&amp;Diagram!$O27,'J1 B - Butcher Terrace'!$A$12:$A$130,"&lt;"&amp;Diagram!$P27)))</f>
        <v>0</v>
      </c>
      <c r="BX27" s="42">
        <f ca="1">IF(OR($I$10="",$O27="",$P27="",$J$38&lt;&gt;"Yes"),0,IF($K$10=0,SUMIFS(INDIRECT(ADDRESS(12,3+18*0+(3),,,"J1 B - Butcher Terrace")&amp;":"&amp;ADDRESS(130,3+18*0+(3))),'J1 B - Butcher Terrace'!$A$12:$A$130,"&gt;="&amp;Diagram!$O27,'J1 B - Butcher Terrace'!$A$12:$A$130,"&lt;"&amp;Diagram!$P27),SUMIFS(INDIRECT(ADDRESS(12,3+18*0+(11),,,"J1 B - Butcher Terrace")&amp;":"&amp;ADDRESS(130,3+18*0+(11))),'J1 B - Butcher Terrace'!$A$12:$A$130,"&gt;="&amp;Diagram!$O27,'J1 B - Butcher Terrace'!$A$12:$A$130,"&lt;"&amp;Diagram!$P27)))</f>
        <v>0</v>
      </c>
      <c r="BY27" s="42">
        <f ca="1">IF(OR($I$10="",$O27="",$P27="",$J$38&lt;&gt;"Yes"),0,IF($K$10=0,SUMIFS(INDIRECT(ADDRESS(12,3+18*1+(3),,,"J1 B - Butcher Terrace")&amp;":"&amp;ADDRESS(130,3+18*1+(3))),'J1 B - Butcher Terrace'!$A$12:$A$130,"&gt;="&amp;Diagram!$O27,'J1 B - Butcher Terrace'!$A$12:$A$130,"&lt;"&amp;Diagram!$P27),SUMIFS(INDIRECT(ADDRESS(12,3+18*1+(11),,,"J1 B - Butcher Terrace")&amp;":"&amp;ADDRESS(130,3+18*1+(11))),'J1 B - Butcher Terrace'!$A$12:$A$130,"&gt;="&amp;Diagram!$O27,'J1 B - Butcher Terrace'!$A$12:$A$130,"&lt;"&amp;Diagram!$P27)))</f>
        <v>0</v>
      </c>
      <c r="BZ27" s="42">
        <f ca="1">IF(OR($I$10="",$O27="",$P27="",$J$38&lt;&gt;"Yes"),0,IF($K$10=0,SUMIFS(INDIRECT(ADDRESS(12,3+18*1+(3),,,"J1 C - (South) Bishopthorpe Roa")&amp;":"&amp;ADDRESS(130,3+18*1+(3))),'J1 C - (South) Bishopthorpe Roa'!$A$12:$A$130,"&gt;="&amp;Diagram!$O27,'J1 C - (South) Bishopthorpe Roa'!$A$12:$A$130,"&lt;"&amp;Diagram!$P27),SUMIFS(INDIRECT(ADDRESS(12,3+18*1+(11),,,"J1 C - (South) Bishopthorpe Roa")&amp;":"&amp;ADDRESS(130,3+18*1+(11))),'J1 C - (South) Bishopthorpe Roa'!$A$12:$A$130,"&gt;="&amp;Diagram!$O27,'J1 C - (South) Bishopthorpe Roa'!$A$12:$A$130,"&lt;"&amp;Diagram!$P27)))</f>
        <v>0</v>
      </c>
      <c r="CA27" s="42">
        <f ca="1">IF(OR($I$10="",$O27="",$P27="",$J$38&lt;&gt;"Yes"),0,IF($K$10=0,SUMIFS(INDIRECT(ADDRESS(12,3+18*2+(3),,,"J1 C - (South) Bishopthorpe Roa")&amp;":"&amp;ADDRESS(130,3+18*2+(3))),'J1 C - (South) Bishopthorpe Roa'!$A$12:$A$130,"&gt;="&amp;Diagram!$O27,'J1 C - (South) Bishopthorpe Roa'!$A$12:$A$130,"&lt;"&amp;Diagram!$P27),SUMIFS(INDIRECT(ADDRESS(12,3+18*2+(11),,,"J1 C - (South) Bishopthorpe Roa")&amp;":"&amp;ADDRESS(130,3+18*2+(11))),'J1 C - (South) Bishopthorpe Roa'!$A$12:$A$130,"&gt;="&amp;Diagram!$O27,'J1 C - (South) Bishopthorpe Roa'!$A$12:$A$130,"&lt;"&amp;Diagram!$P27)))</f>
        <v>0</v>
      </c>
      <c r="CB27" s="42">
        <f ca="1">IF(OR($I$10="",$O27="",$P27="",$J$38&lt;&gt;"Yes"),0,IF($K$10=0,SUMIFS(INDIRECT(ADDRESS(12,3+18*3+(3),,,"J1 C - (South) Bishopthorpe Roa")&amp;":"&amp;ADDRESS(130,3+18*3+(3))),'J1 C - (South) Bishopthorpe Roa'!$A$12:$A$130,"&gt;="&amp;Diagram!$O27,'J1 C - (South) Bishopthorpe Roa'!$A$12:$A$130,"&lt;"&amp;Diagram!$P27),SUMIFS(INDIRECT(ADDRESS(12,3+18*3+(11),,,"J1 C - (South) Bishopthorpe Roa")&amp;":"&amp;ADDRESS(130,3+18*3+(11))),'J1 C - (South) Bishopthorpe Roa'!$A$12:$A$130,"&gt;="&amp;Diagram!$O27,'J1 C - (South) Bishopthorpe Roa'!$A$12:$A$130,"&lt;"&amp;Diagram!$P27)))</f>
        <v>0</v>
      </c>
      <c r="CC27" s="42">
        <f ca="1">IF(OR($I$10="",$O27="",$P27="",$J$38&lt;&gt;"Yes"),0,IF($K$10=0,SUMIFS(INDIRECT(ADDRESS(12,3+18*0+(3),,,"J1 C - (South) Bishopthorpe Roa")&amp;":"&amp;ADDRESS(130,3+18*0+(3))),'J1 C - (South) Bishopthorpe Roa'!$A$12:$A$130,"&gt;="&amp;Diagram!$O27,'J1 C - (South) Bishopthorpe Roa'!$A$12:$A$130,"&lt;"&amp;Diagram!$P27),SUMIFS(INDIRECT(ADDRESS(12,3+18*0+(11),,,"J1 C - (South) Bishopthorpe Roa")&amp;":"&amp;ADDRESS(130,3+18*0+(11))),'J1 C - (South) Bishopthorpe Roa'!$A$12:$A$130,"&gt;="&amp;Diagram!$O27,'J1 C - (South) Bishopthorpe Roa'!$A$12:$A$130,"&lt;"&amp;Diagram!$P27)))</f>
        <v>0</v>
      </c>
      <c r="CD27" s="42">
        <f ca="1">IF(OR($I$10="",$O27="",$P27="",$J$38&lt;&gt;"Yes"),0,IF($K$10=0,SUMIFS(INDIRECT(ADDRESS(12,3+18*0+(3),,,"J1 D - South Bank Avenue")&amp;":"&amp;ADDRESS(130,3+18*0+(3))),'J1 D - South Bank Avenue'!$A$12:$A$130,"&gt;="&amp;Diagram!$O27,'J1 D - South Bank Avenue'!$A$12:$A$130,"&lt;"&amp;Diagram!$P27),SUMIFS(INDIRECT(ADDRESS(12,3+18*0+(11),,,"J1 D - South Bank Avenue")&amp;":"&amp;ADDRESS(130,3+18*0+(11))),'J1 D - South Bank Avenue'!$A$12:$A$130,"&gt;="&amp;Diagram!$O27,'J1 D - South Bank Avenue'!$A$12:$A$130,"&lt;"&amp;Diagram!$P27)))</f>
        <v>0</v>
      </c>
      <c r="CE27" s="42">
        <f ca="1">IF(OR($I$10="",$O27="",$P27="",$J$38&lt;&gt;"Yes"),0,IF($K$10=0,SUMIFS(INDIRECT(ADDRESS(12,3+18*1+(3),,,"J1 D - South Bank Avenue")&amp;":"&amp;ADDRESS(130,3+18*1+(3))),'J1 D - South Bank Avenue'!$A$12:$A$130,"&gt;="&amp;Diagram!$O27,'J1 D - South Bank Avenue'!$A$12:$A$130,"&lt;"&amp;Diagram!$P27),SUMIFS(INDIRECT(ADDRESS(12,3+18*1+(11),,,"J1 D - South Bank Avenue")&amp;":"&amp;ADDRESS(130,3+18*1+(11))),'J1 D - South Bank Avenue'!$A$12:$A$130,"&gt;="&amp;Diagram!$O27,'J1 D - South Bank Avenue'!$A$12:$A$130,"&lt;"&amp;Diagram!$P27)))</f>
        <v>0</v>
      </c>
      <c r="CF27" s="42">
        <f ca="1">IF(OR($I$10="",$O27="",$P27="",$J$38&lt;&gt;"Yes"),0,IF($K$10=0,SUMIFS(INDIRECT(ADDRESS(12,3+18*2+(3),,,"J1 D - South Bank Avenue")&amp;":"&amp;ADDRESS(130,3+18*2+(3))),'J1 D - South Bank Avenue'!$A$12:$A$130,"&gt;="&amp;Diagram!$O27,'J1 D - South Bank Avenue'!$A$12:$A$130,"&lt;"&amp;Diagram!$P27),SUMIFS(INDIRECT(ADDRESS(12,3+18*2+(11),,,"J1 D - South Bank Avenue")&amp;":"&amp;ADDRESS(130,3+18*2+(11))),'J1 D - South Bank Avenue'!$A$12:$A$130,"&gt;="&amp;Diagram!$O27,'J1 D - South Bank Avenue'!$A$12:$A$130,"&lt;"&amp;Diagram!$P27)))</f>
        <v>0</v>
      </c>
      <c r="CG27" s="42">
        <f ca="1">IF(OR($I$10="",$O27="",$P27="",$J$38&lt;&gt;"Yes"),0,IF($K$10=0,SUMIFS(INDIRECT(ADDRESS(12,3+18*3+(3),,,"J1 D - South Bank Avenue")&amp;":"&amp;ADDRESS(130,3+18*3+(3))),'J1 D - South Bank Avenue'!$A$12:$A$130,"&gt;="&amp;Diagram!$O27,'J1 D - South Bank Avenue'!$A$12:$A$130,"&lt;"&amp;Diagram!$P27),SUMIFS(INDIRECT(ADDRESS(12,3+18*3+(11),,,"J1 D - South Bank Avenue")&amp;":"&amp;ADDRESS(130,3+18*3+(11))),'J1 D - South Bank Avenue'!$A$12:$A$130,"&gt;="&amp;Diagram!$O27,'J1 D - South Bank Avenue'!$A$12:$A$130,"&lt;"&amp;Diagram!$P27)))</f>
        <v>0</v>
      </c>
      <c r="CH27" s="42">
        <f t="shared" ca="1" si="5"/>
        <v>4</v>
      </c>
      <c r="CI27" s="42">
        <f ca="1">IF(OR($I$10="",$O27="",$P27="",$J$39&lt;&gt;"Yes"),0,IF($K$10=0,SUMIFS(INDIRECT(ADDRESS(12,3+18*3+(4),,,"J1 A - (North) Bishopthorpe Roa")&amp;":"&amp;ADDRESS(130,3+18*3+(4))),'J1 A - (North) Bishopthorpe Roa'!$A$12:$A$130,"&gt;="&amp;Diagram!$O27,'J1 A - (North) Bishopthorpe Roa'!$A$12:$A$130,"&lt;"&amp;Diagram!$P27),SUMIFS(INDIRECT(ADDRESS(12,3+18*3+(12),,,"J1 A - (North) Bishopthorpe Roa")&amp;":"&amp;ADDRESS(130,3+18*3+(12))),'J1 A - (North) Bishopthorpe Roa'!$A$12:$A$130,"&gt;="&amp;Diagram!$O27,'J1 A - (North) Bishopthorpe Roa'!$A$12:$A$130,"&lt;"&amp;Diagram!$P27)))</f>
        <v>0</v>
      </c>
      <c r="CJ27" s="42">
        <f ca="1">IF(OR($I$10="",$O27="",$P27="",$J$39&lt;&gt;"Yes"),0,IF($K$10=0,SUMIFS(INDIRECT(ADDRESS(12,3+18*0+(4),,,"J1 A - (North) Bishopthorpe Roa")&amp;":"&amp;ADDRESS(130,3+18*0+(4))),'J1 A - (North) Bishopthorpe Roa'!$A$12:$A$130,"&gt;="&amp;Diagram!$O27,'J1 A - (North) Bishopthorpe Roa'!$A$12:$A$130,"&lt;"&amp;Diagram!$P27),SUMIFS(INDIRECT(ADDRESS(12,3+18*0+(12),,,"J1 A - (North) Bishopthorpe Roa")&amp;":"&amp;ADDRESS(130,3+18*0+(12))),'J1 A - (North) Bishopthorpe Roa'!$A$12:$A$130,"&gt;="&amp;Diagram!$O27,'J1 A - (North) Bishopthorpe Roa'!$A$12:$A$130,"&lt;"&amp;Diagram!$P27)))</f>
        <v>0</v>
      </c>
      <c r="CK27" s="42">
        <f ca="1">IF(OR($I$10="",$O27="",$P27="",$J$39&lt;&gt;"Yes"),0,IF($K$10=0,SUMIFS(INDIRECT(ADDRESS(12,3+18*1+(4),,,"J1 A - (North) Bishopthorpe Roa")&amp;":"&amp;ADDRESS(130,3+18*1+(4))),'J1 A - (North) Bishopthorpe Roa'!$A$12:$A$130,"&gt;="&amp;Diagram!$O27,'J1 A - (North) Bishopthorpe Roa'!$A$12:$A$130,"&lt;"&amp;Diagram!$P27),SUMIFS(INDIRECT(ADDRESS(12,3+18*1+(12),,,"J1 A - (North) Bishopthorpe Roa")&amp;":"&amp;ADDRESS(130,3+18*1+(12))),'J1 A - (North) Bishopthorpe Roa'!$A$12:$A$130,"&gt;="&amp;Diagram!$O27,'J1 A - (North) Bishopthorpe Roa'!$A$12:$A$130,"&lt;"&amp;Diagram!$P27)))</f>
        <v>2</v>
      </c>
      <c r="CL27" s="42">
        <f ca="1">IF(OR($I$10="",$O27="",$P27="",$J$39&lt;&gt;"Yes"),0,IF($K$10=0,SUMIFS(INDIRECT(ADDRESS(12,3+18*2+(4),,,"J1 A - (North) Bishopthorpe Roa")&amp;":"&amp;ADDRESS(130,3+18*2+(4))),'J1 A - (North) Bishopthorpe Roa'!$A$12:$A$130,"&gt;="&amp;Diagram!$O27,'J1 A - (North) Bishopthorpe Roa'!$A$12:$A$130,"&lt;"&amp;Diagram!$P27),SUMIFS(INDIRECT(ADDRESS(12,3+18*2+(12),,,"J1 A - (North) Bishopthorpe Roa")&amp;":"&amp;ADDRESS(130,3+18*2+(12))),'J1 A - (North) Bishopthorpe Roa'!$A$12:$A$130,"&gt;="&amp;Diagram!$O27,'J1 A - (North) Bishopthorpe Roa'!$A$12:$A$130,"&lt;"&amp;Diagram!$P27)))</f>
        <v>0</v>
      </c>
      <c r="CM27" s="42">
        <f ca="1">IF(OR($I$10="",$O27="",$P27="",$J$39&lt;&gt;"Yes"),0,IF($K$10=0,SUMIFS(INDIRECT(ADDRESS(12,3+18*2+(4),,,"J1 B - Butcher Terrace")&amp;":"&amp;ADDRESS(130,3+18*2+(4))),'J1 B - Butcher Terrace'!$A$12:$A$130,"&gt;="&amp;Diagram!$O27,'J1 B - Butcher Terrace'!$A$12:$A$130,"&lt;"&amp;Diagram!$P27),SUMIFS(INDIRECT(ADDRESS(12,3+18*2+(12),,,"J1 B - Butcher Terrace")&amp;":"&amp;ADDRESS(130,3+18*2+(12))),'J1 B - Butcher Terrace'!$A$12:$A$130,"&gt;="&amp;Diagram!$O27,'J1 B - Butcher Terrace'!$A$12:$A$130,"&lt;"&amp;Diagram!$P27)))</f>
        <v>0</v>
      </c>
      <c r="CN27" s="42">
        <f ca="1">IF(OR($I$10="",$O27="",$P27="",$J$39&lt;&gt;"Yes"),0,IF($K$10=0,SUMIFS(INDIRECT(ADDRESS(12,3+18*3+(4),,,"J1 B - Butcher Terrace")&amp;":"&amp;ADDRESS(130,3+18*3+(4))),'J1 B - Butcher Terrace'!$A$12:$A$130,"&gt;="&amp;Diagram!$O27,'J1 B - Butcher Terrace'!$A$12:$A$130,"&lt;"&amp;Diagram!$P27),SUMIFS(INDIRECT(ADDRESS(12,3+18*3+(12),,,"J1 B - Butcher Terrace")&amp;":"&amp;ADDRESS(130,3+18*3+(12))),'J1 B - Butcher Terrace'!$A$12:$A$130,"&gt;="&amp;Diagram!$O27,'J1 B - Butcher Terrace'!$A$12:$A$130,"&lt;"&amp;Diagram!$P27)))</f>
        <v>0</v>
      </c>
      <c r="CO27" s="42">
        <f ca="1">IF(OR($I$10="",$O27="",$P27="",$J$39&lt;&gt;"Yes"),0,IF($K$10=0,SUMIFS(INDIRECT(ADDRESS(12,3+18*0+(4),,,"J1 B - Butcher Terrace")&amp;":"&amp;ADDRESS(130,3+18*0+(4))),'J1 B - Butcher Terrace'!$A$12:$A$130,"&gt;="&amp;Diagram!$O27,'J1 B - Butcher Terrace'!$A$12:$A$130,"&lt;"&amp;Diagram!$P27),SUMIFS(INDIRECT(ADDRESS(12,3+18*0+(12),,,"J1 B - Butcher Terrace")&amp;":"&amp;ADDRESS(130,3+18*0+(12))),'J1 B - Butcher Terrace'!$A$12:$A$130,"&gt;="&amp;Diagram!$O27,'J1 B - Butcher Terrace'!$A$12:$A$130,"&lt;"&amp;Diagram!$P27)))</f>
        <v>0</v>
      </c>
      <c r="CP27" s="42">
        <f ca="1">IF(OR($I$10="",$O27="",$P27="",$J$39&lt;&gt;"Yes"),0,IF($K$10=0,SUMIFS(INDIRECT(ADDRESS(12,3+18*1+(4),,,"J1 B - Butcher Terrace")&amp;":"&amp;ADDRESS(130,3+18*1+(4))),'J1 B - Butcher Terrace'!$A$12:$A$130,"&gt;="&amp;Diagram!$O27,'J1 B - Butcher Terrace'!$A$12:$A$130,"&lt;"&amp;Diagram!$P27),SUMIFS(INDIRECT(ADDRESS(12,3+18*1+(12),,,"J1 B - Butcher Terrace")&amp;":"&amp;ADDRESS(130,3+18*1+(12))),'J1 B - Butcher Terrace'!$A$12:$A$130,"&gt;="&amp;Diagram!$O27,'J1 B - Butcher Terrace'!$A$12:$A$130,"&lt;"&amp;Diagram!$P27)))</f>
        <v>0</v>
      </c>
      <c r="CQ27" s="42">
        <f ca="1">IF(OR($I$10="",$O27="",$P27="",$J$39&lt;&gt;"Yes"),0,IF($K$10=0,SUMIFS(INDIRECT(ADDRESS(12,3+18*1+(4),,,"J1 C - (South) Bishopthorpe Roa")&amp;":"&amp;ADDRESS(130,3+18*1+(4))),'J1 C - (South) Bishopthorpe Roa'!$A$12:$A$130,"&gt;="&amp;Diagram!$O27,'J1 C - (South) Bishopthorpe Roa'!$A$12:$A$130,"&lt;"&amp;Diagram!$P27),SUMIFS(INDIRECT(ADDRESS(12,3+18*1+(12),,,"J1 C - (South) Bishopthorpe Roa")&amp;":"&amp;ADDRESS(130,3+18*1+(12))),'J1 C - (South) Bishopthorpe Roa'!$A$12:$A$130,"&gt;="&amp;Diagram!$O27,'J1 C - (South) Bishopthorpe Roa'!$A$12:$A$130,"&lt;"&amp;Diagram!$P27)))</f>
        <v>2</v>
      </c>
      <c r="CR27" s="42">
        <f ca="1">IF(OR($I$10="",$O27="",$P27="",$J$39&lt;&gt;"Yes"),0,IF($K$10=0,SUMIFS(INDIRECT(ADDRESS(12,3+18*2+(4),,,"J1 C - (South) Bishopthorpe Roa")&amp;":"&amp;ADDRESS(130,3+18*2+(4))),'J1 C - (South) Bishopthorpe Roa'!$A$12:$A$130,"&gt;="&amp;Diagram!$O27,'J1 C - (South) Bishopthorpe Roa'!$A$12:$A$130,"&lt;"&amp;Diagram!$P27),SUMIFS(INDIRECT(ADDRESS(12,3+18*2+(12),,,"J1 C - (South) Bishopthorpe Roa")&amp;":"&amp;ADDRESS(130,3+18*2+(12))),'J1 C - (South) Bishopthorpe Roa'!$A$12:$A$130,"&gt;="&amp;Diagram!$O27,'J1 C - (South) Bishopthorpe Roa'!$A$12:$A$130,"&lt;"&amp;Diagram!$P27)))</f>
        <v>0</v>
      </c>
      <c r="CS27" s="42">
        <f ca="1">IF(OR($I$10="",$O27="",$P27="",$J$39&lt;&gt;"Yes"),0,IF($K$10=0,SUMIFS(INDIRECT(ADDRESS(12,3+18*3+(4),,,"J1 C - (South) Bishopthorpe Roa")&amp;":"&amp;ADDRESS(130,3+18*3+(4))),'J1 C - (South) Bishopthorpe Roa'!$A$12:$A$130,"&gt;="&amp;Diagram!$O27,'J1 C - (South) Bishopthorpe Roa'!$A$12:$A$130,"&lt;"&amp;Diagram!$P27),SUMIFS(INDIRECT(ADDRESS(12,3+18*3+(12),,,"J1 C - (South) Bishopthorpe Roa")&amp;":"&amp;ADDRESS(130,3+18*3+(12))),'J1 C - (South) Bishopthorpe Roa'!$A$12:$A$130,"&gt;="&amp;Diagram!$O27,'J1 C - (South) Bishopthorpe Roa'!$A$12:$A$130,"&lt;"&amp;Diagram!$P27)))</f>
        <v>0</v>
      </c>
      <c r="CT27" s="42">
        <f ca="1">IF(OR($I$10="",$O27="",$P27="",$J$39&lt;&gt;"Yes"),0,IF($K$10=0,SUMIFS(INDIRECT(ADDRESS(12,3+18*0+(4),,,"J1 C - (South) Bishopthorpe Roa")&amp;":"&amp;ADDRESS(130,3+18*0+(4))),'J1 C - (South) Bishopthorpe Roa'!$A$12:$A$130,"&gt;="&amp;Diagram!$O27,'J1 C - (South) Bishopthorpe Roa'!$A$12:$A$130,"&lt;"&amp;Diagram!$P27),SUMIFS(INDIRECT(ADDRESS(12,3+18*0+(12),,,"J1 C - (South) Bishopthorpe Roa")&amp;":"&amp;ADDRESS(130,3+18*0+(12))),'J1 C - (South) Bishopthorpe Roa'!$A$12:$A$130,"&gt;="&amp;Diagram!$O27,'J1 C - (South) Bishopthorpe Roa'!$A$12:$A$130,"&lt;"&amp;Diagram!$P27)))</f>
        <v>0</v>
      </c>
      <c r="CU27" s="42">
        <f ca="1">IF(OR($I$10="",$O27="",$P27="",$J$39&lt;&gt;"Yes"),0,IF($K$10=0,SUMIFS(INDIRECT(ADDRESS(12,3+18*0+(4),,,"J1 D - South Bank Avenue")&amp;":"&amp;ADDRESS(130,3+18*0+(4))),'J1 D - South Bank Avenue'!$A$12:$A$130,"&gt;="&amp;Diagram!$O27,'J1 D - South Bank Avenue'!$A$12:$A$130,"&lt;"&amp;Diagram!$P27),SUMIFS(INDIRECT(ADDRESS(12,3+18*0+(12),,,"J1 D - South Bank Avenue")&amp;":"&amp;ADDRESS(130,3+18*0+(12))),'J1 D - South Bank Avenue'!$A$12:$A$130,"&gt;="&amp;Diagram!$O27,'J1 D - South Bank Avenue'!$A$12:$A$130,"&lt;"&amp;Diagram!$P27)))</f>
        <v>0</v>
      </c>
      <c r="CV27" s="42">
        <f ca="1">IF(OR($I$10="",$O27="",$P27="",$J$39&lt;&gt;"Yes"),0,IF($K$10=0,SUMIFS(INDIRECT(ADDRESS(12,3+18*1+(4),,,"J1 D - South Bank Avenue")&amp;":"&amp;ADDRESS(130,3+18*1+(4))),'J1 D - South Bank Avenue'!$A$12:$A$130,"&gt;="&amp;Diagram!$O27,'J1 D - South Bank Avenue'!$A$12:$A$130,"&lt;"&amp;Diagram!$P27),SUMIFS(INDIRECT(ADDRESS(12,3+18*1+(12),,,"J1 D - South Bank Avenue")&amp;":"&amp;ADDRESS(130,3+18*1+(12))),'J1 D - South Bank Avenue'!$A$12:$A$130,"&gt;="&amp;Diagram!$O27,'J1 D - South Bank Avenue'!$A$12:$A$130,"&lt;"&amp;Diagram!$P27)))</f>
        <v>0</v>
      </c>
      <c r="CW27" s="42">
        <f ca="1">IF(OR($I$10="",$O27="",$P27="",$J$39&lt;&gt;"Yes"),0,IF($K$10=0,SUMIFS(INDIRECT(ADDRESS(12,3+18*2+(4),,,"J1 D - South Bank Avenue")&amp;":"&amp;ADDRESS(130,3+18*2+(4))),'J1 D - South Bank Avenue'!$A$12:$A$130,"&gt;="&amp;Diagram!$O27,'J1 D - South Bank Avenue'!$A$12:$A$130,"&lt;"&amp;Diagram!$P27),SUMIFS(INDIRECT(ADDRESS(12,3+18*2+(12),,,"J1 D - South Bank Avenue")&amp;":"&amp;ADDRESS(130,3+18*2+(12))),'J1 D - South Bank Avenue'!$A$12:$A$130,"&gt;="&amp;Diagram!$O27,'J1 D - South Bank Avenue'!$A$12:$A$130,"&lt;"&amp;Diagram!$P27)))</f>
        <v>0</v>
      </c>
      <c r="CX27" s="42">
        <f ca="1">IF(OR($I$10="",$O27="",$P27="",$J$39&lt;&gt;"Yes"),0,IF($K$10=0,SUMIFS(INDIRECT(ADDRESS(12,3+18*3+(4),,,"J1 D - South Bank Avenue")&amp;":"&amp;ADDRESS(130,3+18*3+(4))),'J1 D - South Bank Avenue'!$A$12:$A$130,"&gt;="&amp;Diagram!$O27,'J1 D - South Bank Avenue'!$A$12:$A$130,"&lt;"&amp;Diagram!$P27),SUMIFS(INDIRECT(ADDRESS(12,3+18*3+(12),,,"J1 D - South Bank Avenue")&amp;":"&amp;ADDRESS(130,3+18*3+(12))),'J1 D - South Bank Avenue'!$A$12:$A$130,"&gt;="&amp;Diagram!$O27,'J1 D - South Bank Avenue'!$A$12:$A$130,"&lt;"&amp;Diagram!$P27)))</f>
        <v>0</v>
      </c>
      <c r="CY27" s="42">
        <f t="shared" ca="1" si="6"/>
        <v>47</v>
      </c>
      <c r="CZ27" s="42">
        <f ca="1">IF(OR($I$10="",$O27="",$P27="",$J$40&lt;&gt;"Yes"),0,IF($K$10=0,SUMIFS(INDIRECT(ADDRESS(12,3+18*3+(5),,,"J1 A - (North) Bishopthorpe Roa")&amp;":"&amp;ADDRESS(130,3+18*3+(5))),'J1 A - (North) Bishopthorpe Roa'!$A$12:$A$130,"&gt;="&amp;Diagram!$O27,'J1 A - (North) Bishopthorpe Roa'!$A$12:$A$130,"&lt;"&amp;Diagram!$P27),SUMIFS(INDIRECT(ADDRESS(12,3+18*3+(13),,,"J1 A - (North) Bishopthorpe Roa")&amp;":"&amp;ADDRESS(130,3+18*3+(13))),'J1 A - (North) Bishopthorpe Roa'!$A$12:$A$130,"&gt;="&amp;Diagram!$O27,'J1 A - (North) Bishopthorpe Roa'!$A$12:$A$130,"&lt;"&amp;Diagram!$P27)))</f>
        <v>0</v>
      </c>
      <c r="DA27" s="42">
        <f ca="1">IF(OR($I$10="",$O27="",$P27="",$J$40&lt;&gt;"Yes"),0,IF($K$10=0,SUMIFS(INDIRECT(ADDRESS(12,3+18*0+(5),,,"J1 A - (North) Bishopthorpe Roa")&amp;":"&amp;ADDRESS(130,3+18*0+(5))),'J1 A - (North) Bishopthorpe Roa'!$A$12:$A$130,"&gt;="&amp;Diagram!$O27,'J1 A - (North) Bishopthorpe Roa'!$A$12:$A$130,"&lt;"&amp;Diagram!$P27),SUMIFS(INDIRECT(ADDRESS(12,3+18*0+(13),,,"J1 A - (North) Bishopthorpe Roa")&amp;":"&amp;ADDRESS(130,3+18*0+(13))),'J1 A - (North) Bishopthorpe Roa'!$A$12:$A$130,"&gt;="&amp;Diagram!$O27,'J1 A - (North) Bishopthorpe Roa'!$A$12:$A$130,"&lt;"&amp;Diagram!$P27)))</f>
        <v>4</v>
      </c>
      <c r="DB27" s="42">
        <f ca="1">IF(OR($I$10="",$O27="",$P27="",$J$40&lt;&gt;"Yes"),0,IF($K$10=0,SUMIFS(INDIRECT(ADDRESS(12,3+18*1+(5),,,"J1 A - (North) Bishopthorpe Roa")&amp;":"&amp;ADDRESS(130,3+18*1+(5))),'J1 A - (North) Bishopthorpe Roa'!$A$12:$A$130,"&gt;="&amp;Diagram!$O27,'J1 A - (North) Bishopthorpe Roa'!$A$12:$A$130,"&lt;"&amp;Diagram!$P27),SUMIFS(INDIRECT(ADDRESS(12,3+18*1+(13),,,"J1 A - (North) Bishopthorpe Roa")&amp;":"&amp;ADDRESS(130,3+18*1+(13))),'J1 A - (North) Bishopthorpe Roa'!$A$12:$A$130,"&gt;="&amp;Diagram!$O27,'J1 A - (North) Bishopthorpe Roa'!$A$12:$A$130,"&lt;"&amp;Diagram!$P27)))</f>
        <v>4</v>
      </c>
      <c r="DC27" s="42">
        <f ca="1">IF(OR($I$10="",$O27="",$P27="",$J$40&lt;&gt;"Yes"),0,IF($K$10=0,SUMIFS(INDIRECT(ADDRESS(12,3+18*2+(5),,,"J1 A - (North) Bishopthorpe Roa")&amp;":"&amp;ADDRESS(130,3+18*2+(5))),'J1 A - (North) Bishopthorpe Roa'!$A$12:$A$130,"&gt;="&amp;Diagram!$O27,'J1 A - (North) Bishopthorpe Roa'!$A$12:$A$130,"&lt;"&amp;Diagram!$P27),SUMIFS(INDIRECT(ADDRESS(12,3+18*2+(13),,,"J1 A - (North) Bishopthorpe Roa")&amp;":"&amp;ADDRESS(130,3+18*2+(13))),'J1 A - (North) Bishopthorpe Roa'!$A$12:$A$130,"&gt;="&amp;Diagram!$O27,'J1 A - (North) Bishopthorpe Roa'!$A$12:$A$130,"&lt;"&amp;Diagram!$P27)))</f>
        <v>0</v>
      </c>
      <c r="DD27" s="42">
        <f ca="1">IF(OR($I$10="",$O27="",$P27="",$J$40&lt;&gt;"Yes"),0,IF($K$10=0,SUMIFS(INDIRECT(ADDRESS(12,3+18*2+(5),,,"J1 B - Butcher Terrace")&amp;":"&amp;ADDRESS(130,3+18*2+(5))),'J1 B - Butcher Terrace'!$A$12:$A$130,"&gt;="&amp;Diagram!$O27,'J1 B - Butcher Terrace'!$A$12:$A$130,"&lt;"&amp;Diagram!$P27),SUMIFS(INDIRECT(ADDRESS(12,3+18*2+(13),,,"J1 B - Butcher Terrace")&amp;":"&amp;ADDRESS(130,3+18*2+(13))),'J1 B - Butcher Terrace'!$A$12:$A$130,"&gt;="&amp;Diagram!$O27,'J1 B - Butcher Terrace'!$A$12:$A$130,"&lt;"&amp;Diagram!$P27)))</f>
        <v>6</v>
      </c>
      <c r="DE27" s="42">
        <f ca="1">IF(OR($I$10="",$O27="",$P27="",$J$40&lt;&gt;"Yes"),0,IF($K$10=0,SUMIFS(INDIRECT(ADDRESS(12,3+18*3+(5),,,"J1 B - Butcher Terrace")&amp;":"&amp;ADDRESS(130,3+18*3+(5))),'J1 B - Butcher Terrace'!$A$12:$A$130,"&gt;="&amp;Diagram!$O27,'J1 B - Butcher Terrace'!$A$12:$A$130,"&lt;"&amp;Diagram!$P27),SUMIFS(INDIRECT(ADDRESS(12,3+18*3+(13),,,"J1 B - Butcher Terrace")&amp;":"&amp;ADDRESS(130,3+18*3+(13))),'J1 B - Butcher Terrace'!$A$12:$A$130,"&gt;="&amp;Diagram!$O27,'J1 B - Butcher Terrace'!$A$12:$A$130,"&lt;"&amp;Diagram!$P27)))</f>
        <v>0</v>
      </c>
      <c r="DF27" s="42">
        <f ca="1">IF(OR($I$10="",$O27="",$P27="",$J$40&lt;&gt;"Yes"),0,IF($K$10=0,SUMIFS(INDIRECT(ADDRESS(12,3+18*0+(5),,,"J1 B - Butcher Terrace")&amp;":"&amp;ADDRESS(130,3+18*0+(5))),'J1 B - Butcher Terrace'!$A$12:$A$130,"&gt;="&amp;Diagram!$O27,'J1 B - Butcher Terrace'!$A$12:$A$130,"&lt;"&amp;Diagram!$P27),SUMIFS(INDIRECT(ADDRESS(12,3+18*0+(13),,,"J1 B - Butcher Terrace")&amp;":"&amp;ADDRESS(130,3+18*0+(13))),'J1 B - Butcher Terrace'!$A$12:$A$130,"&gt;="&amp;Diagram!$O27,'J1 B - Butcher Terrace'!$A$12:$A$130,"&lt;"&amp;Diagram!$P27)))</f>
        <v>1</v>
      </c>
      <c r="DG27" s="42">
        <f ca="1">IF(OR($I$10="",$O27="",$P27="",$J$40&lt;&gt;"Yes"),0,IF($K$10=0,SUMIFS(INDIRECT(ADDRESS(12,3+18*1+(5),,,"J1 B - Butcher Terrace")&amp;":"&amp;ADDRESS(130,3+18*1+(5))),'J1 B - Butcher Terrace'!$A$12:$A$130,"&gt;="&amp;Diagram!$O27,'J1 B - Butcher Terrace'!$A$12:$A$130,"&lt;"&amp;Diagram!$P27),SUMIFS(INDIRECT(ADDRESS(12,3+18*1+(13),,,"J1 B - Butcher Terrace")&amp;":"&amp;ADDRESS(130,3+18*1+(13))),'J1 B - Butcher Terrace'!$A$12:$A$130,"&gt;="&amp;Diagram!$O27,'J1 B - Butcher Terrace'!$A$12:$A$130,"&lt;"&amp;Diagram!$P27)))</f>
        <v>5</v>
      </c>
      <c r="DH27" s="42">
        <f ca="1">IF(OR($I$10="",$O27="",$P27="",$J$40&lt;&gt;"Yes"),0,IF($K$10=0,SUMIFS(INDIRECT(ADDRESS(12,3+18*1+(5),,,"J1 C - (South) Bishopthorpe Roa")&amp;":"&amp;ADDRESS(130,3+18*1+(5))),'J1 C - (South) Bishopthorpe Roa'!$A$12:$A$130,"&gt;="&amp;Diagram!$O27,'J1 C - (South) Bishopthorpe Roa'!$A$12:$A$130,"&lt;"&amp;Diagram!$P27),SUMIFS(INDIRECT(ADDRESS(12,3+18*1+(13),,,"J1 C - (South) Bishopthorpe Roa")&amp;":"&amp;ADDRESS(130,3+18*1+(13))),'J1 C - (South) Bishopthorpe Roa'!$A$12:$A$130,"&gt;="&amp;Diagram!$O27,'J1 C - (South) Bishopthorpe Roa'!$A$12:$A$130,"&lt;"&amp;Diagram!$P27)))</f>
        <v>10</v>
      </c>
      <c r="DI27" s="42">
        <f ca="1">IF(OR($I$10="",$O27="",$P27="",$J$40&lt;&gt;"Yes"),0,IF($K$10=0,SUMIFS(INDIRECT(ADDRESS(12,3+18*2+(5),,,"J1 C - (South) Bishopthorpe Roa")&amp;":"&amp;ADDRESS(130,3+18*2+(5))),'J1 C - (South) Bishopthorpe Roa'!$A$12:$A$130,"&gt;="&amp;Diagram!$O27,'J1 C - (South) Bishopthorpe Roa'!$A$12:$A$130,"&lt;"&amp;Diagram!$P27),SUMIFS(INDIRECT(ADDRESS(12,3+18*2+(13),,,"J1 C - (South) Bishopthorpe Roa")&amp;":"&amp;ADDRESS(130,3+18*2+(13))),'J1 C - (South) Bishopthorpe Roa'!$A$12:$A$130,"&gt;="&amp;Diagram!$O27,'J1 C - (South) Bishopthorpe Roa'!$A$12:$A$130,"&lt;"&amp;Diagram!$P27)))</f>
        <v>5</v>
      </c>
      <c r="DJ27" s="42">
        <f ca="1">IF(OR($I$10="",$O27="",$P27="",$J$40&lt;&gt;"Yes"),0,IF($K$10=0,SUMIFS(INDIRECT(ADDRESS(12,3+18*3+(5),,,"J1 C - (South) Bishopthorpe Roa")&amp;":"&amp;ADDRESS(130,3+18*3+(5))),'J1 C - (South) Bishopthorpe Roa'!$A$12:$A$130,"&gt;="&amp;Diagram!$O27,'J1 C - (South) Bishopthorpe Roa'!$A$12:$A$130,"&lt;"&amp;Diagram!$P27),SUMIFS(INDIRECT(ADDRESS(12,3+18*3+(13),,,"J1 C - (South) Bishopthorpe Roa")&amp;":"&amp;ADDRESS(130,3+18*3+(13))),'J1 C - (South) Bishopthorpe Roa'!$A$12:$A$130,"&gt;="&amp;Diagram!$O27,'J1 C - (South) Bishopthorpe Roa'!$A$12:$A$130,"&lt;"&amp;Diagram!$P27)))</f>
        <v>0</v>
      </c>
      <c r="DK27" s="42">
        <f ca="1">IF(OR($I$10="",$O27="",$P27="",$J$40&lt;&gt;"Yes"),0,IF($K$10=0,SUMIFS(INDIRECT(ADDRESS(12,3+18*0+(5),,,"J1 C - (South) Bishopthorpe Roa")&amp;":"&amp;ADDRESS(130,3+18*0+(5))),'J1 C - (South) Bishopthorpe Roa'!$A$12:$A$130,"&gt;="&amp;Diagram!$O27,'J1 C - (South) Bishopthorpe Roa'!$A$12:$A$130,"&lt;"&amp;Diagram!$P27),SUMIFS(INDIRECT(ADDRESS(12,3+18*0+(13),,,"J1 C - (South) Bishopthorpe Roa")&amp;":"&amp;ADDRESS(130,3+18*0+(13))),'J1 C - (South) Bishopthorpe Roa'!$A$12:$A$130,"&gt;="&amp;Diagram!$O27,'J1 C - (South) Bishopthorpe Roa'!$A$12:$A$130,"&lt;"&amp;Diagram!$P27)))</f>
        <v>0</v>
      </c>
      <c r="DL27" s="42">
        <f ca="1">IF(OR($I$10="",$O27="",$P27="",$J$40&lt;&gt;"Yes"),0,IF($K$10=0,SUMIFS(INDIRECT(ADDRESS(12,3+18*0+(5),,,"J1 D - South Bank Avenue")&amp;":"&amp;ADDRESS(130,3+18*0+(5))),'J1 D - South Bank Avenue'!$A$12:$A$130,"&gt;="&amp;Diagram!$O27,'J1 D - South Bank Avenue'!$A$12:$A$130,"&lt;"&amp;Diagram!$P27),SUMIFS(INDIRECT(ADDRESS(12,3+18*0+(13),,,"J1 D - South Bank Avenue")&amp;":"&amp;ADDRESS(130,3+18*0+(13))),'J1 D - South Bank Avenue'!$A$12:$A$130,"&gt;="&amp;Diagram!$O27,'J1 D - South Bank Avenue'!$A$12:$A$130,"&lt;"&amp;Diagram!$P27)))</f>
        <v>1</v>
      </c>
      <c r="DM27" s="42">
        <f ca="1">IF(OR($I$10="",$O27="",$P27="",$J$40&lt;&gt;"Yes"),0,IF($K$10=0,SUMIFS(INDIRECT(ADDRESS(12,3+18*1+(5),,,"J1 D - South Bank Avenue")&amp;":"&amp;ADDRESS(130,3+18*1+(5))),'J1 D - South Bank Avenue'!$A$12:$A$130,"&gt;="&amp;Diagram!$O27,'J1 D - South Bank Avenue'!$A$12:$A$130,"&lt;"&amp;Diagram!$P27),SUMIFS(INDIRECT(ADDRESS(12,3+18*1+(13),,,"J1 D - South Bank Avenue")&amp;":"&amp;ADDRESS(130,3+18*1+(13))),'J1 D - South Bank Avenue'!$A$12:$A$130,"&gt;="&amp;Diagram!$O27,'J1 D - South Bank Avenue'!$A$12:$A$130,"&lt;"&amp;Diagram!$P27)))</f>
        <v>10</v>
      </c>
      <c r="DN27" s="42">
        <f ca="1">IF(OR($I$10="",$O27="",$P27="",$J$40&lt;&gt;"Yes"),0,IF($K$10=0,SUMIFS(INDIRECT(ADDRESS(12,3+18*2+(5),,,"J1 D - South Bank Avenue")&amp;":"&amp;ADDRESS(130,3+18*2+(5))),'J1 D - South Bank Avenue'!$A$12:$A$130,"&gt;="&amp;Diagram!$O27,'J1 D - South Bank Avenue'!$A$12:$A$130,"&lt;"&amp;Diagram!$P27),SUMIFS(INDIRECT(ADDRESS(12,3+18*2+(13),,,"J1 D - South Bank Avenue")&amp;":"&amp;ADDRESS(130,3+18*2+(13))),'J1 D - South Bank Avenue'!$A$12:$A$130,"&gt;="&amp;Diagram!$O27,'J1 D - South Bank Avenue'!$A$12:$A$130,"&lt;"&amp;Diagram!$P27)))</f>
        <v>1</v>
      </c>
      <c r="DO27" s="42">
        <f ca="1">IF(OR($I$10="",$O27="",$P27="",$J$40&lt;&gt;"Yes"),0,IF($K$10=0,SUMIFS(INDIRECT(ADDRESS(12,3+18*3+(5),,,"J1 D - South Bank Avenue")&amp;":"&amp;ADDRESS(130,3+18*3+(5))),'J1 D - South Bank Avenue'!$A$12:$A$130,"&gt;="&amp;Diagram!$O27,'J1 D - South Bank Avenue'!$A$12:$A$130,"&lt;"&amp;Diagram!$P27),SUMIFS(INDIRECT(ADDRESS(12,3+18*3+(13),,,"J1 D - South Bank Avenue")&amp;":"&amp;ADDRESS(130,3+18*3+(13))),'J1 D - South Bank Avenue'!$A$12:$A$130,"&gt;="&amp;Diagram!$O27,'J1 D - South Bank Avenue'!$A$12:$A$130,"&lt;"&amp;Diagram!$P27)))</f>
        <v>0</v>
      </c>
      <c r="DP27" s="42">
        <f t="shared" ca="1" si="7"/>
        <v>4</v>
      </c>
      <c r="DQ27" s="42">
        <f ca="1">IF(OR($I$10="",$O27="",$P27="",$J$41&lt;&gt;"Yes"),0,IF($K$10=0,SUMIFS(INDIRECT(ADDRESS(12,3+18*3+(6),,,"J1 A - (North) Bishopthorpe Roa")&amp;":"&amp;ADDRESS(130,3+18*3+(6))),'J1 A - (North) Bishopthorpe Roa'!$A$12:$A$130,"&gt;="&amp;Diagram!$O27,'J1 A - (North) Bishopthorpe Roa'!$A$12:$A$130,"&lt;"&amp;Diagram!$P27),SUMIFS(INDIRECT(ADDRESS(12,3+18*3+(14),,,"J1 A - (North) Bishopthorpe Roa")&amp;":"&amp;ADDRESS(130,3+18*3+(14))),'J1 A - (North) Bishopthorpe Roa'!$A$12:$A$130,"&gt;="&amp;Diagram!$O27,'J1 A - (North) Bishopthorpe Roa'!$A$12:$A$130,"&lt;"&amp;Diagram!$P27)))</f>
        <v>0</v>
      </c>
      <c r="DR27" s="42">
        <f ca="1">IF(OR($I$10="",$O27="",$P27="",$J$41&lt;&gt;"Yes"),0,IF($K$10=0,SUMIFS(INDIRECT(ADDRESS(12,3+18*0+(6),,,"J1 A - (North) Bishopthorpe Roa")&amp;":"&amp;ADDRESS(130,3+18*0+(6))),'J1 A - (North) Bishopthorpe Roa'!$A$12:$A$130,"&gt;="&amp;Diagram!$O27,'J1 A - (North) Bishopthorpe Roa'!$A$12:$A$130,"&lt;"&amp;Diagram!$P27),SUMIFS(INDIRECT(ADDRESS(12,3+18*0+(14),,,"J1 A - (North) Bishopthorpe Roa")&amp;":"&amp;ADDRESS(130,3+18*0+(14))),'J1 A - (North) Bishopthorpe Roa'!$A$12:$A$130,"&gt;="&amp;Diagram!$O27,'J1 A - (North) Bishopthorpe Roa'!$A$12:$A$130,"&lt;"&amp;Diagram!$P27)))</f>
        <v>0</v>
      </c>
      <c r="DS27" s="42">
        <f ca="1">IF(OR($I$10="",$O27="",$P27="",$J$41&lt;&gt;"Yes"),0,IF($K$10=0,SUMIFS(INDIRECT(ADDRESS(12,3+18*1+(6),,,"J1 A - (North) Bishopthorpe Roa")&amp;":"&amp;ADDRESS(130,3+18*1+(6))),'J1 A - (North) Bishopthorpe Roa'!$A$12:$A$130,"&gt;="&amp;Diagram!$O27,'J1 A - (North) Bishopthorpe Roa'!$A$12:$A$130,"&lt;"&amp;Diagram!$P27),SUMIFS(INDIRECT(ADDRESS(12,3+18*1+(14),,,"J1 A - (North) Bishopthorpe Roa")&amp;":"&amp;ADDRESS(130,3+18*1+(14))),'J1 A - (North) Bishopthorpe Roa'!$A$12:$A$130,"&gt;="&amp;Diagram!$O27,'J1 A - (North) Bishopthorpe Roa'!$A$12:$A$130,"&lt;"&amp;Diagram!$P27)))</f>
        <v>0</v>
      </c>
      <c r="DT27" s="42">
        <f ca="1">IF(OR($I$10="",$O27="",$P27="",$J$41&lt;&gt;"Yes"),0,IF($K$10=0,SUMIFS(INDIRECT(ADDRESS(12,3+18*2+(6),,,"J1 A - (North) Bishopthorpe Roa")&amp;":"&amp;ADDRESS(130,3+18*2+(6))),'J1 A - (North) Bishopthorpe Roa'!$A$12:$A$130,"&gt;="&amp;Diagram!$O27,'J1 A - (North) Bishopthorpe Roa'!$A$12:$A$130,"&lt;"&amp;Diagram!$P27),SUMIFS(INDIRECT(ADDRESS(12,3+18*2+(14),,,"J1 A - (North) Bishopthorpe Roa")&amp;":"&amp;ADDRESS(130,3+18*2+(14))),'J1 A - (North) Bishopthorpe Roa'!$A$12:$A$130,"&gt;="&amp;Diagram!$O27,'J1 A - (North) Bishopthorpe Roa'!$A$12:$A$130,"&lt;"&amp;Diagram!$P27)))</f>
        <v>0</v>
      </c>
      <c r="DU27" s="42">
        <f ca="1">IF(OR($I$10="",$O27="",$P27="",$J$41&lt;&gt;"Yes"),0,IF($K$10=0,SUMIFS(INDIRECT(ADDRESS(12,3+18*2+(6),,,"J1 B - Butcher Terrace")&amp;":"&amp;ADDRESS(130,3+18*2+(6))),'J1 B - Butcher Terrace'!$A$12:$A$130,"&gt;="&amp;Diagram!$O27,'J1 B - Butcher Terrace'!$A$12:$A$130,"&lt;"&amp;Diagram!$P27),SUMIFS(INDIRECT(ADDRESS(12,3+18*2+(14),,,"J1 B - Butcher Terrace")&amp;":"&amp;ADDRESS(130,3+18*2+(14))),'J1 B - Butcher Terrace'!$A$12:$A$130,"&gt;="&amp;Diagram!$O27,'J1 B - Butcher Terrace'!$A$12:$A$130,"&lt;"&amp;Diagram!$P27)))</f>
        <v>0</v>
      </c>
      <c r="DV27" s="42">
        <f ca="1">IF(OR($I$10="",$O27="",$P27="",$J$41&lt;&gt;"Yes"),0,IF($K$10=0,SUMIFS(INDIRECT(ADDRESS(12,3+18*3+(6),,,"J1 B - Butcher Terrace")&amp;":"&amp;ADDRESS(130,3+18*3+(6))),'J1 B - Butcher Terrace'!$A$12:$A$130,"&gt;="&amp;Diagram!$O27,'J1 B - Butcher Terrace'!$A$12:$A$130,"&lt;"&amp;Diagram!$P27),SUMIFS(INDIRECT(ADDRESS(12,3+18*3+(14),,,"J1 B - Butcher Terrace")&amp;":"&amp;ADDRESS(130,3+18*3+(14))),'J1 B - Butcher Terrace'!$A$12:$A$130,"&gt;="&amp;Diagram!$O27,'J1 B - Butcher Terrace'!$A$12:$A$130,"&lt;"&amp;Diagram!$P27)))</f>
        <v>0</v>
      </c>
      <c r="DW27" s="42">
        <f ca="1">IF(OR($I$10="",$O27="",$P27="",$J$41&lt;&gt;"Yes"),0,IF($K$10=0,SUMIFS(INDIRECT(ADDRESS(12,3+18*0+(6),,,"J1 B - Butcher Terrace")&amp;":"&amp;ADDRESS(130,3+18*0+(6))),'J1 B - Butcher Terrace'!$A$12:$A$130,"&gt;="&amp;Diagram!$O27,'J1 B - Butcher Terrace'!$A$12:$A$130,"&lt;"&amp;Diagram!$P27),SUMIFS(INDIRECT(ADDRESS(12,3+18*0+(14),,,"J1 B - Butcher Terrace")&amp;":"&amp;ADDRESS(130,3+18*0+(14))),'J1 B - Butcher Terrace'!$A$12:$A$130,"&gt;="&amp;Diagram!$O27,'J1 B - Butcher Terrace'!$A$12:$A$130,"&lt;"&amp;Diagram!$P27)))</f>
        <v>0</v>
      </c>
      <c r="DX27" s="42">
        <f ca="1">IF(OR($I$10="",$O27="",$P27="",$J$41&lt;&gt;"Yes"),0,IF($K$10=0,SUMIFS(INDIRECT(ADDRESS(12,3+18*1+(6),,,"J1 B - Butcher Terrace")&amp;":"&amp;ADDRESS(130,3+18*1+(6))),'J1 B - Butcher Terrace'!$A$12:$A$130,"&gt;="&amp;Diagram!$O27,'J1 B - Butcher Terrace'!$A$12:$A$130,"&lt;"&amp;Diagram!$P27),SUMIFS(INDIRECT(ADDRESS(12,3+18*1+(14),,,"J1 B - Butcher Terrace")&amp;":"&amp;ADDRESS(130,3+18*1+(14))),'J1 B - Butcher Terrace'!$A$12:$A$130,"&gt;="&amp;Diagram!$O27,'J1 B - Butcher Terrace'!$A$12:$A$130,"&lt;"&amp;Diagram!$P27)))</f>
        <v>0</v>
      </c>
      <c r="DY27" s="42">
        <f ca="1">IF(OR($I$10="",$O27="",$P27="",$J$41&lt;&gt;"Yes"),0,IF($K$10=0,SUMIFS(INDIRECT(ADDRESS(12,3+18*1+(6),,,"J1 C - (South) Bishopthorpe Roa")&amp;":"&amp;ADDRESS(130,3+18*1+(6))),'J1 C - (South) Bishopthorpe Roa'!$A$12:$A$130,"&gt;="&amp;Diagram!$O27,'J1 C - (South) Bishopthorpe Roa'!$A$12:$A$130,"&lt;"&amp;Diagram!$P27),SUMIFS(INDIRECT(ADDRESS(12,3+18*1+(14),,,"J1 C - (South) Bishopthorpe Roa")&amp;":"&amp;ADDRESS(130,3+18*1+(14))),'J1 C - (South) Bishopthorpe Roa'!$A$12:$A$130,"&gt;="&amp;Diagram!$O27,'J1 C - (South) Bishopthorpe Roa'!$A$12:$A$130,"&lt;"&amp;Diagram!$P27)))</f>
        <v>2</v>
      </c>
      <c r="DZ27" s="42">
        <f ca="1">IF(OR($I$10="",$O27="",$P27="",$J$41&lt;&gt;"Yes"),0,IF($K$10=0,SUMIFS(INDIRECT(ADDRESS(12,3+18*2+(6),,,"J1 C - (South) Bishopthorpe Roa")&amp;":"&amp;ADDRESS(130,3+18*2+(6))),'J1 C - (South) Bishopthorpe Roa'!$A$12:$A$130,"&gt;="&amp;Diagram!$O27,'J1 C - (South) Bishopthorpe Roa'!$A$12:$A$130,"&lt;"&amp;Diagram!$P27),SUMIFS(INDIRECT(ADDRESS(12,3+18*2+(14),,,"J1 C - (South) Bishopthorpe Roa")&amp;":"&amp;ADDRESS(130,3+18*2+(14))),'J1 C - (South) Bishopthorpe Roa'!$A$12:$A$130,"&gt;="&amp;Diagram!$O27,'J1 C - (South) Bishopthorpe Roa'!$A$12:$A$130,"&lt;"&amp;Diagram!$P27)))</f>
        <v>1</v>
      </c>
      <c r="EA27" s="42">
        <f ca="1">IF(OR($I$10="",$O27="",$P27="",$J$41&lt;&gt;"Yes"),0,IF($K$10=0,SUMIFS(INDIRECT(ADDRESS(12,3+18*3+(6),,,"J1 C - (South) Bishopthorpe Roa")&amp;":"&amp;ADDRESS(130,3+18*3+(6))),'J1 C - (South) Bishopthorpe Roa'!$A$12:$A$130,"&gt;="&amp;Diagram!$O27,'J1 C - (South) Bishopthorpe Roa'!$A$12:$A$130,"&lt;"&amp;Diagram!$P27),SUMIFS(INDIRECT(ADDRESS(12,3+18*3+(14),,,"J1 C - (South) Bishopthorpe Roa")&amp;":"&amp;ADDRESS(130,3+18*3+(14))),'J1 C - (South) Bishopthorpe Roa'!$A$12:$A$130,"&gt;="&amp;Diagram!$O27,'J1 C - (South) Bishopthorpe Roa'!$A$12:$A$130,"&lt;"&amp;Diagram!$P27)))</f>
        <v>0</v>
      </c>
      <c r="EB27" s="42">
        <f ca="1">IF(OR($I$10="",$O27="",$P27="",$J$41&lt;&gt;"Yes"),0,IF($K$10=0,SUMIFS(INDIRECT(ADDRESS(12,3+18*0+(6),,,"J1 C - (South) Bishopthorpe Roa")&amp;":"&amp;ADDRESS(130,3+18*0+(6))),'J1 C - (South) Bishopthorpe Roa'!$A$12:$A$130,"&gt;="&amp;Diagram!$O27,'J1 C - (South) Bishopthorpe Roa'!$A$12:$A$130,"&lt;"&amp;Diagram!$P27),SUMIFS(INDIRECT(ADDRESS(12,3+18*0+(14),,,"J1 C - (South) Bishopthorpe Roa")&amp;":"&amp;ADDRESS(130,3+18*0+(14))),'J1 C - (South) Bishopthorpe Roa'!$A$12:$A$130,"&gt;="&amp;Diagram!$O27,'J1 C - (South) Bishopthorpe Roa'!$A$12:$A$130,"&lt;"&amp;Diagram!$P27)))</f>
        <v>0</v>
      </c>
      <c r="EC27" s="42">
        <f ca="1">IF(OR($I$10="",$O27="",$P27="",$J$41&lt;&gt;"Yes"),0,IF($K$10=0,SUMIFS(INDIRECT(ADDRESS(12,3+18*0+(6),,,"J1 D - South Bank Avenue")&amp;":"&amp;ADDRESS(130,3+18*0+(6))),'J1 D - South Bank Avenue'!$A$12:$A$130,"&gt;="&amp;Diagram!$O27,'J1 D - South Bank Avenue'!$A$12:$A$130,"&lt;"&amp;Diagram!$P27),SUMIFS(INDIRECT(ADDRESS(12,3+18*0+(14),,,"J1 D - South Bank Avenue")&amp;":"&amp;ADDRESS(130,3+18*0+(14))),'J1 D - South Bank Avenue'!$A$12:$A$130,"&gt;="&amp;Diagram!$O27,'J1 D - South Bank Avenue'!$A$12:$A$130,"&lt;"&amp;Diagram!$P27)))</f>
        <v>1</v>
      </c>
      <c r="ED27" s="42">
        <f ca="1">IF(OR($I$10="",$O27="",$P27="",$J$41&lt;&gt;"Yes"),0,IF($K$10=0,SUMIFS(INDIRECT(ADDRESS(12,3+18*1+(6),,,"J1 D - South Bank Avenue")&amp;":"&amp;ADDRESS(130,3+18*1+(6))),'J1 D - South Bank Avenue'!$A$12:$A$130,"&gt;="&amp;Diagram!$O27,'J1 D - South Bank Avenue'!$A$12:$A$130,"&lt;"&amp;Diagram!$P27),SUMIFS(INDIRECT(ADDRESS(12,3+18*1+(14),,,"J1 D - South Bank Avenue")&amp;":"&amp;ADDRESS(130,3+18*1+(14))),'J1 D - South Bank Avenue'!$A$12:$A$130,"&gt;="&amp;Diagram!$O27,'J1 D - South Bank Avenue'!$A$12:$A$130,"&lt;"&amp;Diagram!$P27)))</f>
        <v>0</v>
      </c>
      <c r="EE27" s="42">
        <f ca="1">IF(OR($I$10="",$O27="",$P27="",$J$41&lt;&gt;"Yes"),0,IF($K$10=0,SUMIFS(INDIRECT(ADDRESS(12,3+18*2+(6),,,"J1 D - South Bank Avenue")&amp;":"&amp;ADDRESS(130,3+18*2+(6))),'J1 D - South Bank Avenue'!$A$12:$A$130,"&gt;="&amp;Diagram!$O27,'J1 D - South Bank Avenue'!$A$12:$A$130,"&lt;"&amp;Diagram!$P27),SUMIFS(INDIRECT(ADDRESS(12,3+18*2+(14),,,"J1 D - South Bank Avenue")&amp;":"&amp;ADDRESS(130,3+18*2+(14))),'J1 D - South Bank Avenue'!$A$12:$A$130,"&gt;="&amp;Diagram!$O27,'J1 D - South Bank Avenue'!$A$12:$A$130,"&lt;"&amp;Diagram!$P27)))</f>
        <v>0</v>
      </c>
      <c r="EF27" s="42">
        <f ca="1">IF(OR($I$10="",$O27="",$P27="",$J$41&lt;&gt;"Yes"),0,IF($K$10=0,SUMIFS(INDIRECT(ADDRESS(12,3+18*3+(6),,,"J1 D - South Bank Avenue")&amp;":"&amp;ADDRESS(130,3+18*3+(6))),'J1 D - South Bank Avenue'!$A$12:$A$130,"&gt;="&amp;Diagram!$O27,'J1 D - South Bank Avenue'!$A$12:$A$130,"&lt;"&amp;Diagram!$P27),SUMIFS(INDIRECT(ADDRESS(12,3+18*3+(14),,,"J1 D - South Bank Avenue")&amp;":"&amp;ADDRESS(130,3+18*3+(14))),'J1 D - South Bank Avenue'!$A$12:$A$130,"&gt;="&amp;Diagram!$O27,'J1 D - South Bank Avenue'!$A$12:$A$130,"&lt;"&amp;Diagram!$P27)))</f>
        <v>0</v>
      </c>
      <c r="EG27" s="42">
        <f t="shared" ca="1" si="8"/>
        <v>0</v>
      </c>
      <c r="EH27" s="42">
        <f ca="1">IF(OR($I$10="",$O27="",$P27="",$J$42&lt;&gt;"Yes"),0,IF($K$10=0,SUMIFS(INDIRECT(ADDRESS(12,3+18*3+(7),,,"J1 A - (North) Bishopthorpe Roa")&amp;":"&amp;ADDRESS(130,3+18*3+(7))),'J1 A - (North) Bishopthorpe Roa'!$A$12:$A$130,"&gt;="&amp;Diagram!$O27,'J1 A - (North) Bishopthorpe Roa'!$A$12:$A$130,"&lt;"&amp;Diagram!$P27),SUMIFS(INDIRECT(ADDRESS(12,3+18*3+(15),,,"J1 A - (North) Bishopthorpe Roa")&amp;":"&amp;ADDRESS(130,3+18*3+(15))),'J1 A - (North) Bishopthorpe Roa'!$A$12:$A$130,"&gt;="&amp;Diagram!$O27,'J1 A - (North) Bishopthorpe Roa'!$A$12:$A$130,"&lt;"&amp;Diagram!$P27)))</f>
        <v>0</v>
      </c>
      <c r="EI27" s="42">
        <f ca="1">IF(OR($I$10="",$O27="",$P27="",$J$42&lt;&gt;"Yes"),0,IF($K$10=0,SUMIFS(INDIRECT(ADDRESS(12,3+18*0+(7),,,"J1 A - (North) Bishopthorpe Roa")&amp;":"&amp;ADDRESS(130,3+18*0+(7))),'J1 A - (North) Bishopthorpe Roa'!$A$12:$A$130,"&gt;="&amp;Diagram!$O27,'J1 A - (North) Bishopthorpe Roa'!$A$12:$A$130,"&lt;"&amp;Diagram!$P27),SUMIFS(INDIRECT(ADDRESS(12,3+18*0+(15),,,"J1 A - (North) Bishopthorpe Roa")&amp;":"&amp;ADDRESS(130,3+18*0+(15))),'J1 A - (North) Bishopthorpe Roa'!$A$12:$A$130,"&gt;="&amp;Diagram!$O27,'J1 A - (North) Bishopthorpe Roa'!$A$12:$A$130,"&lt;"&amp;Diagram!$P27)))</f>
        <v>0</v>
      </c>
      <c r="EJ27" s="42">
        <f ca="1">IF(OR($I$10="",$O27="",$P27="",$J$42&lt;&gt;"Yes"),0,IF($K$10=0,SUMIFS(INDIRECT(ADDRESS(12,3+18*1+(7),,,"J1 A - (North) Bishopthorpe Roa")&amp;":"&amp;ADDRESS(130,3+18*1+(7))),'J1 A - (North) Bishopthorpe Roa'!$A$12:$A$130,"&gt;="&amp;Diagram!$O27,'J1 A - (North) Bishopthorpe Roa'!$A$12:$A$130,"&lt;"&amp;Diagram!$P27),SUMIFS(INDIRECT(ADDRESS(12,3+18*1+(15),,,"J1 A - (North) Bishopthorpe Roa")&amp;":"&amp;ADDRESS(130,3+18*1+(15))),'J1 A - (North) Bishopthorpe Roa'!$A$12:$A$130,"&gt;="&amp;Diagram!$O27,'J1 A - (North) Bishopthorpe Roa'!$A$12:$A$130,"&lt;"&amp;Diagram!$P27)))</f>
        <v>0</v>
      </c>
      <c r="EK27" s="42">
        <f ca="1">IF(OR($I$10="",$O27="",$P27="",$J$42&lt;&gt;"Yes"),0,IF($K$10=0,SUMIFS(INDIRECT(ADDRESS(12,3+18*2+(7),,,"J1 A - (North) Bishopthorpe Roa")&amp;":"&amp;ADDRESS(130,3+18*2+(7))),'J1 A - (North) Bishopthorpe Roa'!$A$12:$A$130,"&gt;="&amp;Diagram!$O27,'J1 A - (North) Bishopthorpe Roa'!$A$12:$A$130,"&lt;"&amp;Diagram!$P27),SUMIFS(INDIRECT(ADDRESS(12,3+18*2+(15),,,"J1 A - (North) Bishopthorpe Roa")&amp;":"&amp;ADDRESS(130,3+18*2+(15))),'J1 A - (North) Bishopthorpe Roa'!$A$12:$A$130,"&gt;="&amp;Diagram!$O27,'J1 A - (North) Bishopthorpe Roa'!$A$12:$A$130,"&lt;"&amp;Diagram!$P27)))</f>
        <v>0</v>
      </c>
      <c r="EL27" s="42">
        <f ca="1">IF(OR($I$10="",$O27="",$P27="",$J$42&lt;&gt;"Yes"),0,IF($K$10=0,SUMIFS(INDIRECT(ADDRESS(12,3+18*2+(7),,,"J1 B - Butcher Terrace")&amp;":"&amp;ADDRESS(130,3+18*2+(7))),'J1 B - Butcher Terrace'!$A$12:$A$130,"&gt;="&amp;Diagram!$O27,'J1 B - Butcher Terrace'!$A$12:$A$130,"&lt;"&amp;Diagram!$P27),SUMIFS(INDIRECT(ADDRESS(12,3+18*2+(15),,,"J1 B - Butcher Terrace")&amp;":"&amp;ADDRESS(130,3+18*2+(15))),'J1 B - Butcher Terrace'!$A$12:$A$130,"&gt;="&amp;Diagram!$O27,'J1 B - Butcher Terrace'!$A$12:$A$130,"&lt;"&amp;Diagram!$P27)))</f>
        <v>0</v>
      </c>
      <c r="EM27" s="42">
        <f ca="1">IF(OR($I$10="",$O27="",$P27="",$J$42&lt;&gt;"Yes"),0,IF($K$10=0,SUMIFS(INDIRECT(ADDRESS(12,3+18*3+(7),,,"J1 B - Butcher Terrace")&amp;":"&amp;ADDRESS(130,3+18*3+(7))),'J1 B - Butcher Terrace'!$A$12:$A$130,"&gt;="&amp;Diagram!$O27,'J1 B - Butcher Terrace'!$A$12:$A$130,"&lt;"&amp;Diagram!$P27),SUMIFS(INDIRECT(ADDRESS(12,3+18*3+(15),,,"J1 B - Butcher Terrace")&amp;":"&amp;ADDRESS(130,3+18*3+(15))),'J1 B - Butcher Terrace'!$A$12:$A$130,"&gt;="&amp;Diagram!$O27,'J1 B - Butcher Terrace'!$A$12:$A$130,"&lt;"&amp;Diagram!$P27)))</f>
        <v>0</v>
      </c>
      <c r="EN27" s="42">
        <f ca="1">IF(OR($I$10="",$O27="",$P27="",$J$42&lt;&gt;"Yes"),0,IF($K$10=0,SUMIFS(INDIRECT(ADDRESS(12,3+18*0+(7),,,"J1 B - Butcher Terrace")&amp;":"&amp;ADDRESS(130,3+18*0+(7))),'J1 B - Butcher Terrace'!$A$12:$A$130,"&gt;="&amp;Diagram!$O27,'J1 B - Butcher Terrace'!$A$12:$A$130,"&lt;"&amp;Diagram!$P27),SUMIFS(INDIRECT(ADDRESS(12,3+18*0+(15),,,"J1 B - Butcher Terrace")&amp;":"&amp;ADDRESS(130,3+18*0+(15))),'J1 B - Butcher Terrace'!$A$12:$A$130,"&gt;="&amp;Diagram!$O27,'J1 B - Butcher Terrace'!$A$12:$A$130,"&lt;"&amp;Diagram!$P27)))</f>
        <v>0</v>
      </c>
      <c r="EO27" s="42">
        <f ca="1">IF(OR($I$10="",$O27="",$P27="",$J$42&lt;&gt;"Yes"),0,IF($K$10=0,SUMIFS(INDIRECT(ADDRESS(12,3+18*1+(7),,,"J1 B - Butcher Terrace")&amp;":"&amp;ADDRESS(130,3+18*1+(7))),'J1 B - Butcher Terrace'!$A$12:$A$130,"&gt;="&amp;Diagram!$O27,'J1 B - Butcher Terrace'!$A$12:$A$130,"&lt;"&amp;Diagram!$P27),SUMIFS(INDIRECT(ADDRESS(12,3+18*1+(15),,,"J1 B - Butcher Terrace")&amp;":"&amp;ADDRESS(130,3+18*1+(15))),'J1 B - Butcher Terrace'!$A$12:$A$130,"&gt;="&amp;Diagram!$O27,'J1 B - Butcher Terrace'!$A$12:$A$130,"&lt;"&amp;Diagram!$P27)))</f>
        <v>0</v>
      </c>
      <c r="EP27" s="42">
        <f ca="1">IF(OR($I$10="",$O27="",$P27="",$J$42&lt;&gt;"Yes"),0,IF($K$10=0,SUMIFS(INDIRECT(ADDRESS(12,3+18*1+(7),,,"J1 C - (South) Bishopthorpe Roa")&amp;":"&amp;ADDRESS(130,3+18*1+(7))),'J1 C - (South) Bishopthorpe Roa'!$A$12:$A$130,"&gt;="&amp;Diagram!$O27,'J1 C - (South) Bishopthorpe Roa'!$A$12:$A$130,"&lt;"&amp;Diagram!$P27),SUMIFS(INDIRECT(ADDRESS(12,3+18*1+(15),,,"J1 C - (South) Bishopthorpe Roa")&amp;":"&amp;ADDRESS(130,3+18*1+(15))),'J1 C - (South) Bishopthorpe Roa'!$A$12:$A$130,"&gt;="&amp;Diagram!$O27,'J1 C - (South) Bishopthorpe Roa'!$A$12:$A$130,"&lt;"&amp;Diagram!$P27)))</f>
        <v>0</v>
      </c>
      <c r="EQ27" s="42">
        <f ca="1">IF(OR($I$10="",$O27="",$P27="",$J$42&lt;&gt;"Yes"),0,IF($K$10=0,SUMIFS(INDIRECT(ADDRESS(12,3+18*2+(7),,,"J1 C - (South) Bishopthorpe Roa")&amp;":"&amp;ADDRESS(130,3+18*2+(7))),'J1 C - (South) Bishopthorpe Roa'!$A$12:$A$130,"&gt;="&amp;Diagram!$O27,'J1 C - (South) Bishopthorpe Roa'!$A$12:$A$130,"&lt;"&amp;Diagram!$P27),SUMIFS(INDIRECT(ADDRESS(12,3+18*2+(15),,,"J1 C - (South) Bishopthorpe Roa")&amp;":"&amp;ADDRESS(130,3+18*2+(15))),'J1 C - (South) Bishopthorpe Roa'!$A$12:$A$130,"&gt;="&amp;Diagram!$O27,'J1 C - (South) Bishopthorpe Roa'!$A$12:$A$130,"&lt;"&amp;Diagram!$P27)))</f>
        <v>0</v>
      </c>
      <c r="ER27" s="42">
        <f ca="1">IF(OR($I$10="",$O27="",$P27="",$J$42&lt;&gt;"Yes"),0,IF($K$10=0,SUMIFS(INDIRECT(ADDRESS(12,3+18*3+(7),,,"J1 C - (South) Bishopthorpe Roa")&amp;":"&amp;ADDRESS(130,3+18*3+(7))),'J1 C - (South) Bishopthorpe Roa'!$A$12:$A$130,"&gt;="&amp;Diagram!$O27,'J1 C - (South) Bishopthorpe Roa'!$A$12:$A$130,"&lt;"&amp;Diagram!$P27),SUMIFS(INDIRECT(ADDRESS(12,3+18*3+(15),,,"J1 C - (South) Bishopthorpe Roa")&amp;":"&amp;ADDRESS(130,3+18*3+(15))),'J1 C - (South) Bishopthorpe Roa'!$A$12:$A$130,"&gt;="&amp;Diagram!$O27,'J1 C - (South) Bishopthorpe Roa'!$A$12:$A$130,"&lt;"&amp;Diagram!$P27)))</f>
        <v>0</v>
      </c>
      <c r="ES27" s="42">
        <f ca="1">IF(OR($I$10="",$O27="",$P27="",$J$42&lt;&gt;"Yes"),0,IF($K$10=0,SUMIFS(INDIRECT(ADDRESS(12,3+18*0+(7),,,"J1 C - (South) Bishopthorpe Roa")&amp;":"&amp;ADDRESS(130,3+18*0+(7))),'J1 C - (South) Bishopthorpe Roa'!$A$12:$A$130,"&gt;="&amp;Diagram!$O27,'J1 C - (South) Bishopthorpe Roa'!$A$12:$A$130,"&lt;"&amp;Diagram!$P27),SUMIFS(INDIRECT(ADDRESS(12,3+18*0+(15),,,"J1 C - (South) Bishopthorpe Roa")&amp;":"&amp;ADDRESS(130,3+18*0+(15))),'J1 C - (South) Bishopthorpe Roa'!$A$12:$A$130,"&gt;="&amp;Diagram!$O27,'J1 C - (South) Bishopthorpe Roa'!$A$12:$A$130,"&lt;"&amp;Diagram!$P27)))</f>
        <v>0</v>
      </c>
      <c r="ET27" s="42">
        <f ca="1">IF(OR($I$10="",$O27="",$P27="",$J$42&lt;&gt;"Yes"),0,IF($K$10=0,SUMIFS(INDIRECT(ADDRESS(12,3+18*0+(7),,,"J1 D - South Bank Avenue")&amp;":"&amp;ADDRESS(130,3+18*0+(7))),'J1 D - South Bank Avenue'!$A$12:$A$130,"&gt;="&amp;Diagram!$O27,'J1 D - South Bank Avenue'!$A$12:$A$130,"&lt;"&amp;Diagram!$P27),SUMIFS(INDIRECT(ADDRESS(12,3+18*0+(15),,,"J1 D - South Bank Avenue")&amp;":"&amp;ADDRESS(130,3+18*0+(15))),'J1 D - South Bank Avenue'!$A$12:$A$130,"&gt;="&amp;Diagram!$O27,'J1 D - South Bank Avenue'!$A$12:$A$130,"&lt;"&amp;Diagram!$P27)))</f>
        <v>0</v>
      </c>
      <c r="EU27" s="42">
        <f ca="1">IF(OR($I$10="",$O27="",$P27="",$J$42&lt;&gt;"Yes"),0,IF($K$10=0,SUMIFS(INDIRECT(ADDRESS(12,3+18*1+(7),,,"J1 D - South Bank Avenue")&amp;":"&amp;ADDRESS(130,3+18*1+(7))),'J1 D - South Bank Avenue'!$A$12:$A$130,"&gt;="&amp;Diagram!$O27,'J1 D - South Bank Avenue'!$A$12:$A$130,"&lt;"&amp;Diagram!$P27),SUMIFS(INDIRECT(ADDRESS(12,3+18*1+(15),,,"J1 D - South Bank Avenue")&amp;":"&amp;ADDRESS(130,3+18*1+(15))),'J1 D - South Bank Avenue'!$A$12:$A$130,"&gt;="&amp;Diagram!$O27,'J1 D - South Bank Avenue'!$A$12:$A$130,"&lt;"&amp;Diagram!$P27)))</f>
        <v>0</v>
      </c>
      <c r="EV27" s="42">
        <f ca="1">IF(OR($I$10="",$O27="",$P27="",$J$42&lt;&gt;"Yes"),0,IF($K$10=0,SUMIFS(INDIRECT(ADDRESS(12,3+18*2+(7),,,"J1 D - South Bank Avenue")&amp;":"&amp;ADDRESS(130,3+18*2+(7))),'J1 D - South Bank Avenue'!$A$12:$A$130,"&gt;="&amp;Diagram!$O27,'J1 D - South Bank Avenue'!$A$12:$A$130,"&lt;"&amp;Diagram!$P27),SUMIFS(INDIRECT(ADDRESS(12,3+18*2+(15),,,"J1 D - South Bank Avenue")&amp;":"&amp;ADDRESS(130,3+18*2+(15))),'J1 D - South Bank Avenue'!$A$12:$A$130,"&gt;="&amp;Diagram!$O27,'J1 D - South Bank Avenue'!$A$12:$A$130,"&lt;"&amp;Diagram!$P27)))</f>
        <v>0</v>
      </c>
      <c r="EW27" s="42">
        <f ca="1">IF(OR($I$10="",$O27="",$P27="",$J$42&lt;&gt;"Yes"),0,IF($K$10=0,SUMIFS(INDIRECT(ADDRESS(12,3+18*3+(7),,,"J1 D - South Bank Avenue")&amp;":"&amp;ADDRESS(130,3+18*3+(7))),'J1 D - South Bank Avenue'!$A$12:$A$130,"&gt;="&amp;Diagram!$O27,'J1 D - South Bank Avenue'!$A$12:$A$130,"&lt;"&amp;Diagram!$P27),SUMIFS(INDIRECT(ADDRESS(12,3+18*3+(15),,,"J1 D - South Bank Avenue")&amp;":"&amp;ADDRESS(130,3+18*3+(15))),'J1 D - South Bank Avenue'!$A$12:$A$130,"&gt;="&amp;Diagram!$O27,'J1 D - South Bank Avenue'!$A$12:$A$130,"&lt;"&amp;Diagram!$P27)))</f>
        <v>0</v>
      </c>
    </row>
    <row r="28" spans="1:153" ht="21" hidden="1" customHeight="1">
      <c r="A28" s="1">
        <v>44395.28125</v>
      </c>
      <c r="B28" s="1">
        <v>44395.291666666701</v>
      </c>
      <c r="I28" s="33">
        <f ca="1">SUM($V$99,$AD$99,$AL$99,$AT$99,$BB$99,$BJ$99,$BR$99,$BZ$99)</f>
        <v>25</v>
      </c>
      <c r="J28" s="21">
        <f ca="1">SUM($W$99,$AE$99,$AM$99,$AU$99,$BC$99,$BK$99,$BS$99,$CA$99)</f>
        <v>483</v>
      </c>
      <c r="K28" s="21">
        <f ca="1">SUM($X$99,$AF$99,$AN$99,$AV$99,$BD$99,$BL$99,$BT$99,$CB$99)</f>
        <v>3659</v>
      </c>
      <c r="L28" s="21">
        <f ca="1">SUM($Y$99,$AG$99,$AO$99,$AW$99,$BE$99,$BM$99,$BU$99,$CC$99)</f>
        <v>451</v>
      </c>
      <c r="M28" s="34">
        <f ca="1">SUM($I$28:$L$28)</f>
        <v>4618</v>
      </c>
      <c r="O28" s="3">
        <v>44395.28125</v>
      </c>
      <c r="P28" s="3">
        <v>44395.322916666701</v>
      </c>
      <c r="Q28" s="42">
        <f t="shared" ca="1" si="0"/>
        <v>359</v>
      </c>
      <c r="R28" s="42">
        <f t="shared" ca="1" si="1"/>
        <v>242</v>
      </c>
      <c r="S28" s="42">
        <f ca="1">IF(OR($I$10="",$O28="",$P28="",$J$35&lt;&gt;"Yes"),0,IF($K$10=0,SUMIFS(INDIRECT(ADDRESS(12,3+18*3+(0),,,"J1 A - (North) Bishopthorpe Roa")&amp;":"&amp;ADDRESS(130,3+18*3+(0))),'J1 A - (North) Bishopthorpe Roa'!$A$12:$A$130,"&gt;="&amp;Diagram!$O28,'J1 A - (North) Bishopthorpe Roa'!$A$12:$A$130,"&lt;"&amp;Diagram!$P28),SUMIFS(INDIRECT(ADDRESS(12,3+18*3+(8),,,"J1 A - (North) Bishopthorpe Roa")&amp;":"&amp;ADDRESS(130,3+18*3+(8))),'J1 A - (North) Bishopthorpe Roa'!$A$12:$A$130,"&gt;="&amp;Diagram!$O28,'J1 A - (North) Bishopthorpe Roa'!$A$12:$A$130,"&lt;"&amp;Diagram!$P28)))</f>
        <v>0</v>
      </c>
      <c r="T28" s="42">
        <f ca="1">IF(OR($I$10="",$O28="",$P28="",$J$35&lt;&gt;"Yes"),0,IF($K$10=0,SUMIFS(INDIRECT(ADDRESS(12,3+18*0+(0),,,"J1 A - (North) Bishopthorpe Roa")&amp;":"&amp;ADDRESS(130,3+18*0+(0))),'J1 A - (North) Bishopthorpe Roa'!$A$12:$A$130,"&gt;="&amp;Diagram!$O28,'J1 A - (North) Bishopthorpe Roa'!$A$12:$A$130,"&lt;"&amp;Diagram!$P28),SUMIFS(INDIRECT(ADDRESS(12,3+18*0+(8),,,"J1 A - (North) Bishopthorpe Roa")&amp;":"&amp;ADDRESS(130,3+18*0+(8))),'J1 A - (North) Bishopthorpe Roa'!$A$12:$A$130,"&gt;="&amp;Diagram!$O28,'J1 A - (North) Bishopthorpe Roa'!$A$12:$A$130,"&lt;"&amp;Diagram!$P28)))</f>
        <v>5</v>
      </c>
      <c r="U28" s="42">
        <f ca="1">IF(OR($I$10="",$O28="",$P28="",$J$35&lt;&gt;"Yes"),0,IF($K$10=0,SUMIFS(INDIRECT(ADDRESS(12,3+18*1+(0),,,"J1 A - (North) Bishopthorpe Roa")&amp;":"&amp;ADDRESS(130,3+18*1+(0))),'J1 A - (North) Bishopthorpe Roa'!$A$12:$A$130,"&gt;="&amp;Diagram!$O28,'J1 A - (North) Bishopthorpe Roa'!$A$12:$A$130,"&lt;"&amp;Diagram!$P28),SUMIFS(INDIRECT(ADDRESS(12,3+18*1+(8),,,"J1 A - (North) Bishopthorpe Roa")&amp;":"&amp;ADDRESS(130,3+18*1+(8))),'J1 A - (North) Bishopthorpe Roa'!$A$12:$A$130,"&gt;="&amp;Diagram!$O28,'J1 A - (North) Bishopthorpe Roa'!$A$12:$A$130,"&lt;"&amp;Diagram!$P28)))</f>
        <v>85</v>
      </c>
      <c r="V28" s="42">
        <f ca="1">IF(OR($I$10="",$O28="",$P28="",$J$35&lt;&gt;"Yes"),0,IF($K$10=0,SUMIFS(INDIRECT(ADDRESS(12,3+18*2+(0),,,"J1 A - (North) Bishopthorpe Roa")&amp;":"&amp;ADDRESS(130,3+18*2+(0))),'J1 A - (North) Bishopthorpe Roa'!$A$12:$A$130,"&gt;="&amp;Diagram!$O28,'J1 A - (North) Bishopthorpe Roa'!$A$12:$A$130,"&lt;"&amp;Diagram!$P28),SUMIFS(INDIRECT(ADDRESS(12,3+18*2+(8),,,"J1 A - (North) Bishopthorpe Roa")&amp;":"&amp;ADDRESS(130,3+18*2+(8))),'J1 A - (North) Bishopthorpe Roa'!$A$12:$A$130,"&gt;="&amp;Diagram!$O28,'J1 A - (North) Bishopthorpe Roa'!$A$12:$A$130,"&lt;"&amp;Diagram!$P28)))</f>
        <v>4</v>
      </c>
      <c r="W28" s="42">
        <f ca="1">IF(OR($I$10="",$O28="",$P28="",$J$35&lt;&gt;"Yes"),0,IF($K$10=0,SUMIFS(INDIRECT(ADDRESS(12,3+18*2+(0),,,"J1 B - Butcher Terrace")&amp;":"&amp;ADDRESS(130,3+18*2+(0))),'J1 B - Butcher Terrace'!$A$12:$A$130,"&gt;="&amp;Diagram!$O28,'J1 B - Butcher Terrace'!$A$12:$A$130,"&lt;"&amp;Diagram!$P28),SUMIFS(INDIRECT(ADDRESS(12,3+18*2+(8),,,"J1 B - Butcher Terrace")&amp;":"&amp;ADDRESS(130,3+18*2+(8))),'J1 B - Butcher Terrace'!$A$12:$A$130,"&gt;="&amp;Diagram!$O28,'J1 B - Butcher Terrace'!$A$12:$A$130,"&lt;"&amp;Diagram!$P28)))</f>
        <v>5</v>
      </c>
      <c r="X28" s="42">
        <f ca="1">IF(OR($I$10="",$O28="",$P28="",$J$35&lt;&gt;"Yes"),0,IF($K$10=0,SUMIFS(INDIRECT(ADDRESS(12,3+18*3+(0),,,"J1 B - Butcher Terrace")&amp;":"&amp;ADDRESS(130,3+18*3+(0))),'J1 B - Butcher Terrace'!$A$12:$A$130,"&gt;="&amp;Diagram!$O28,'J1 B - Butcher Terrace'!$A$12:$A$130,"&lt;"&amp;Diagram!$P28),SUMIFS(INDIRECT(ADDRESS(12,3+18*3+(8),,,"J1 B - Butcher Terrace")&amp;":"&amp;ADDRESS(130,3+18*3+(8))),'J1 B - Butcher Terrace'!$A$12:$A$130,"&gt;="&amp;Diagram!$O28,'J1 B - Butcher Terrace'!$A$12:$A$130,"&lt;"&amp;Diagram!$P28)))</f>
        <v>0</v>
      </c>
      <c r="Y28" s="42">
        <f ca="1">IF(OR($I$10="",$O28="",$P28="",$J$35&lt;&gt;"Yes"),0,IF($K$10=0,SUMIFS(INDIRECT(ADDRESS(12,3+18*0+(0),,,"J1 B - Butcher Terrace")&amp;":"&amp;ADDRESS(130,3+18*0+(0))),'J1 B - Butcher Terrace'!$A$12:$A$130,"&gt;="&amp;Diagram!$O28,'J1 B - Butcher Terrace'!$A$12:$A$130,"&lt;"&amp;Diagram!$P28),SUMIFS(INDIRECT(ADDRESS(12,3+18*0+(8),,,"J1 B - Butcher Terrace")&amp;":"&amp;ADDRESS(130,3+18*0+(8))),'J1 B - Butcher Terrace'!$A$12:$A$130,"&gt;="&amp;Diagram!$O28,'J1 B - Butcher Terrace'!$A$12:$A$130,"&lt;"&amp;Diagram!$P28)))</f>
        <v>7</v>
      </c>
      <c r="Z28" s="42">
        <f ca="1">IF(OR($I$10="",$O28="",$P28="",$J$35&lt;&gt;"Yes"),0,IF($K$10=0,SUMIFS(INDIRECT(ADDRESS(12,3+18*1+(0),,,"J1 B - Butcher Terrace")&amp;":"&amp;ADDRESS(130,3+18*1+(0))),'J1 B - Butcher Terrace'!$A$12:$A$130,"&gt;="&amp;Diagram!$O28,'J1 B - Butcher Terrace'!$A$12:$A$130,"&lt;"&amp;Diagram!$P28),SUMIFS(INDIRECT(ADDRESS(12,3+18*1+(8),,,"J1 B - Butcher Terrace")&amp;":"&amp;ADDRESS(130,3+18*1+(8))),'J1 B - Butcher Terrace'!$A$12:$A$130,"&gt;="&amp;Diagram!$O28,'J1 B - Butcher Terrace'!$A$12:$A$130,"&lt;"&amp;Diagram!$P28)))</f>
        <v>0</v>
      </c>
      <c r="AA28" s="42">
        <f ca="1">IF(OR($I$10="",$O28="",$P28="",$J$35&lt;&gt;"Yes"),0,IF($K$10=0,SUMIFS(INDIRECT(ADDRESS(12,3+18*1+(0),,,"J1 C - (South) Bishopthorpe Roa")&amp;":"&amp;ADDRESS(130,3+18*1+(0))),'J1 C - (South) Bishopthorpe Roa'!$A$12:$A$130,"&gt;="&amp;Diagram!$O28,'J1 C - (South) Bishopthorpe Roa'!$A$12:$A$130,"&lt;"&amp;Diagram!$P28),SUMIFS(INDIRECT(ADDRESS(12,3+18*1+(8),,,"J1 C - (South) Bishopthorpe Roa")&amp;":"&amp;ADDRESS(130,3+18*1+(8))),'J1 C - (South) Bishopthorpe Roa'!$A$12:$A$130,"&gt;="&amp;Diagram!$O28,'J1 C - (South) Bishopthorpe Roa'!$A$12:$A$130,"&lt;"&amp;Diagram!$P28)))</f>
        <v>112</v>
      </c>
      <c r="AB28" s="42">
        <f ca="1">IF(OR($I$10="",$O28="",$P28="",$J$35&lt;&gt;"Yes"),0,IF($K$10=0,SUMIFS(INDIRECT(ADDRESS(12,3+18*2+(0),,,"J1 C - (South) Bishopthorpe Roa")&amp;":"&amp;ADDRESS(130,3+18*2+(0))),'J1 C - (South) Bishopthorpe Roa'!$A$12:$A$130,"&gt;="&amp;Diagram!$O28,'J1 C - (South) Bishopthorpe Roa'!$A$12:$A$130,"&lt;"&amp;Diagram!$P28),SUMIFS(INDIRECT(ADDRESS(12,3+18*2+(8),,,"J1 C - (South) Bishopthorpe Roa")&amp;":"&amp;ADDRESS(130,3+18*2+(8))),'J1 C - (South) Bishopthorpe Roa'!$A$12:$A$130,"&gt;="&amp;Diagram!$O28,'J1 C - (South) Bishopthorpe Roa'!$A$12:$A$130,"&lt;"&amp;Diagram!$P28)))</f>
        <v>2</v>
      </c>
      <c r="AC28" s="42">
        <f ca="1">IF(OR($I$10="",$O28="",$P28="",$J$35&lt;&gt;"Yes"),0,IF($K$10=0,SUMIFS(INDIRECT(ADDRESS(12,3+18*3+(0),,,"J1 C - (South) Bishopthorpe Roa")&amp;":"&amp;ADDRESS(130,3+18*3+(0))),'J1 C - (South) Bishopthorpe Roa'!$A$12:$A$130,"&gt;="&amp;Diagram!$O28,'J1 C - (South) Bishopthorpe Roa'!$A$12:$A$130,"&lt;"&amp;Diagram!$P28),SUMIFS(INDIRECT(ADDRESS(12,3+18*3+(8),,,"J1 C - (South) Bishopthorpe Roa")&amp;":"&amp;ADDRESS(130,3+18*3+(8))),'J1 C - (South) Bishopthorpe Roa'!$A$12:$A$130,"&gt;="&amp;Diagram!$O28,'J1 C - (South) Bishopthorpe Roa'!$A$12:$A$130,"&lt;"&amp;Diagram!$P28)))</f>
        <v>1</v>
      </c>
      <c r="AD28" s="42">
        <f ca="1">IF(OR($I$10="",$O28="",$P28="",$J$35&lt;&gt;"Yes"),0,IF($K$10=0,SUMIFS(INDIRECT(ADDRESS(12,3+18*0+(0),,,"J1 C - (South) Bishopthorpe Roa")&amp;":"&amp;ADDRESS(130,3+18*0+(0))),'J1 C - (South) Bishopthorpe Roa'!$A$12:$A$130,"&gt;="&amp;Diagram!$O28,'J1 C - (South) Bishopthorpe Roa'!$A$12:$A$130,"&lt;"&amp;Diagram!$P28),SUMIFS(INDIRECT(ADDRESS(12,3+18*0+(8),,,"J1 C - (South) Bishopthorpe Roa")&amp;":"&amp;ADDRESS(130,3+18*0+(8))),'J1 C - (South) Bishopthorpe Roa'!$A$12:$A$130,"&gt;="&amp;Diagram!$O28,'J1 C - (South) Bishopthorpe Roa'!$A$12:$A$130,"&lt;"&amp;Diagram!$P28)))</f>
        <v>2</v>
      </c>
      <c r="AE28" s="42">
        <f ca="1">IF(OR($I$10="",$O28="",$P28="",$J$35&lt;&gt;"Yes"),0,IF($K$10=0,SUMIFS(INDIRECT(ADDRESS(12,3+18*0+(0),,,"J1 D - South Bank Avenue")&amp;":"&amp;ADDRESS(130,3+18*0+(0))),'J1 D - South Bank Avenue'!$A$12:$A$130,"&gt;="&amp;Diagram!$O28,'J1 D - South Bank Avenue'!$A$12:$A$130,"&lt;"&amp;Diagram!$P28),SUMIFS(INDIRECT(ADDRESS(12,3+18*0+(8),,,"J1 D - South Bank Avenue")&amp;":"&amp;ADDRESS(130,3+18*0+(8))),'J1 D - South Bank Avenue'!$A$12:$A$130,"&gt;="&amp;Diagram!$O28,'J1 D - South Bank Avenue'!$A$12:$A$130,"&lt;"&amp;Diagram!$P28)))</f>
        <v>15</v>
      </c>
      <c r="AF28" s="42">
        <f ca="1">IF(OR($I$10="",$O28="",$P28="",$J$35&lt;&gt;"Yes"),0,IF($K$10=0,SUMIFS(INDIRECT(ADDRESS(12,3+18*1+(0),,,"J1 D - South Bank Avenue")&amp;":"&amp;ADDRESS(130,3+18*1+(0))),'J1 D - South Bank Avenue'!$A$12:$A$130,"&gt;="&amp;Diagram!$O28,'J1 D - South Bank Avenue'!$A$12:$A$130,"&lt;"&amp;Diagram!$P28),SUMIFS(INDIRECT(ADDRESS(12,3+18*1+(8),,,"J1 D - South Bank Avenue")&amp;":"&amp;ADDRESS(130,3+18*1+(8))),'J1 D - South Bank Avenue'!$A$12:$A$130,"&gt;="&amp;Diagram!$O28,'J1 D - South Bank Avenue'!$A$12:$A$130,"&lt;"&amp;Diagram!$P28)))</f>
        <v>0</v>
      </c>
      <c r="AG28" s="42">
        <f ca="1">IF(OR($I$10="",$O28="",$P28="",$J$35&lt;&gt;"Yes"),0,IF($K$10=0,SUMIFS(INDIRECT(ADDRESS(12,3+18*2+(0),,,"J1 D - South Bank Avenue")&amp;":"&amp;ADDRESS(130,3+18*2+(0))),'J1 D - South Bank Avenue'!$A$12:$A$130,"&gt;="&amp;Diagram!$O28,'J1 D - South Bank Avenue'!$A$12:$A$130,"&lt;"&amp;Diagram!$P28),SUMIFS(INDIRECT(ADDRESS(12,3+18*2+(8),,,"J1 D - South Bank Avenue")&amp;":"&amp;ADDRESS(130,3+18*2+(8))),'J1 D - South Bank Avenue'!$A$12:$A$130,"&gt;="&amp;Diagram!$O28,'J1 D - South Bank Avenue'!$A$12:$A$130,"&lt;"&amp;Diagram!$P28)))</f>
        <v>4</v>
      </c>
      <c r="AH28" s="42">
        <f ca="1">IF(OR($I$10="",$O28="",$P28="",$J$35&lt;&gt;"Yes"),0,IF($K$10=0,SUMIFS(INDIRECT(ADDRESS(12,3+18*3+(0),,,"J1 D - South Bank Avenue")&amp;":"&amp;ADDRESS(130,3+18*3+(0))),'J1 D - South Bank Avenue'!$A$12:$A$130,"&gt;="&amp;Diagram!$O28,'J1 D - South Bank Avenue'!$A$12:$A$130,"&lt;"&amp;Diagram!$P28),SUMIFS(INDIRECT(ADDRESS(12,3+18*3+(8),,,"J1 D - South Bank Avenue")&amp;":"&amp;ADDRESS(130,3+18*3+(8))),'J1 D - South Bank Avenue'!$A$12:$A$130,"&gt;="&amp;Diagram!$O28,'J1 D - South Bank Avenue'!$A$12:$A$130,"&lt;"&amp;Diagram!$P28)))</f>
        <v>0</v>
      </c>
      <c r="AI28" s="42">
        <f t="shared" ca="1" si="2"/>
        <v>43</v>
      </c>
      <c r="AJ28" s="42">
        <f ca="1">IF(OR($I$10="",$O28="",$P28="",$J$36&lt;&gt;"Yes"),0,IF($K$10=0,SUMIFS(INDIRECT(ADDRESS(12,3+18*3+(1),,,"J1 A - (North) Bishopthorpe Roa")&amp;":"&amp;ADDRESS(130,3+18*3+(1))),'J1 A - (North) Bishopthorpe Roa'!$A$12:$A$130,"&gt;="&amp;Diagram!$O28,'J1 A - (North) Bishopthorpe Roa'!$A$12:$A$130,"&lt;"&amp;Diagram!$P28),SUMIFS(INDIRECT(ADDRESS(12,3+18*3+(9),,,"J1 A - (North) Bishopthorpe Roa")&amp;":"&amp;ADDRESS(130,3+18*3+(9))),'J1 A - (North) Bishopthorpe Roa'!$A$12:$A$130,"&gt;="&amp;Diagram!$O28,'J1 A - (North) Bishopthorpe Roa'!$A$12:$A$130,"&lt;"&amp;Diagram!$P28)))</f>
        <v>0</v>
      </c>
      <c r="AK28" s="42">
        <f ca="1">IF(OR($I$10="",$O28="",$P28="",$J$36&lt;&gt;"Yes"),0,IF($K$10=0,SUMIFS(INDIRECT(ADDRESS(12,3+18*0+(1),,,"J1 A - (North) Bishopthorpe Roa")&amp;":"&amp;ADDRESS(130,3+18*0+(1))),'J1 A - (North) Bishopthorpe Roa'!$A$12:$A$130,"&gt;="&amp;Diagram!$O28,'J1 A - (North) Bishopthorpe Roa'!$A$12:$A$130,"&lt;"&amp;Diagram!$P28),SUMIFS(INDIRECT(ADDRESS(12,3+18*0+(9),,,"J1 A - (North) Bishopthorpe Roa")&amp;":"&amp;ADDRESS(130,3+18*0+(9))),'J1 A - (North) Bishopthorpe Roa'!$A$12:$A$130,"&gt;="&amp;Diagram!$O28,'J1 A - (North) Bishopthorpe Roa'!$A$12:$A$130,"&lt;"&amp;Diagram!$P28)))</f>
        <v>4</v>
      </c>
      <c r="AL28" s="42">
        <f ca="1">IF(OR($I$10="",$O28="",$P28="",$J$36&lt;&gt;"Yes"),0,IF($K$10=0,SUMIFS(INDIRECT(ADDRESS(12,3+18*1+(1),,,"J1 A - (North) Bishopthorpe Roa")&amp;":"&amp;ADDRESS(130,3+18*1+(1))),'J1 A - (North) Bishopthorpe Roa'!$A$12:$A$130,"&gt;="&amp;Diagram!$O28,'J1 A - (North) Bishopthorpe Roa'!$A$12:$A$130,"&lt;"&amp;Diagram!$P28),SUMIFS(INDIRECT(ADDRESS(12,3+18*1+(9),,,"J1 A - (North) Bishopthorpe Roa")&amp;":"&amp;ADDRESS(130,3+18*1+(9))),'J1 A - (North) Bishopthorpe Roa'!$A$12:$A$130,"&gt;="&amp;Diagram!$O28,'J1 A - (North) Bishopthorpe Roa'!$A$12:$A$130,"&lt;"&amp;Diagram!$P28)))</f>
        <v>19</v>
      </c>
      <c r="AM28" s="42">
        <f ca="1">IF(OR($I$10="",$O28="",$P28="",$J$36&lt;&gt;"Yes"),0,IF($K$10=0,SUMIFS(INDIRECT(ADDRESS(12,3+18*2+(1),,,"J1 A - (North) Bishopthorpe Roa")&amp;":"&amp;ADDRESS(130,3+18*2+(1))),'J1 A - (North) Bishopthorpe Roa'!$A$12:$A$130,"&gt;="&amp;Diagram!$O28,'J1 A - (North) Bishopthorpe Roa'!$A$12:$A$130,"&lt;"&amp;Diagram!$P28),SUMIFS(INDIRECT(ADDRESS(12,3+18*2+(9),,,"J1 A - (North) Bishopthorpe Roa")&amp;":"&amp;ADDRESS(130,3+18*2+(9))),'J1 A - (North) Bishopthorpe Roa'!$A$12:$A$130,"&gt;="&amp;Diagram!$O28,'J1 A - (North) Bishopthorpe Roa'!$A$12:$A$130,"&lt;"&amp;Diagram!$P28)))</f>
        <v>0</v>
      </c>
      <c r="AN28" s="42">
        <f ca="1">IF(OR($I$10="",$O28="",$P28="",$J$36&lt;&gt;"Yes"),0,IF($K$10=0,SUMIFS(INDIRECT(ADDRESS(12,3+18*2+(1),,,"J1 B - Butcher Terrace")&amp;":"&amp;ADDRESS(130,3+18*2+(1))),'J1 B - Butcher Terrace'!$A$12:$A$130,"&gt;="&amp;Diagram!$O28,'J1 B - Butcher Terrace'!$A$12:$A$130,"&lt;"&amp;Diagram!$P28),SUMIFS(INDIRECT(ADDRESS(12,3+18*2+(9),,,"J1 B - Butcher Terrace")&amp;":"&amp;ADDRESS(130,3+18*2+(9))),'J1 B - Butcher Terrace'!$A$12:$A$130,"&gt;="&amp;Diagram!$O28,'J1 B - Butcher Terrace'!$A$12:$A$130,"&lt;"&amp;Diagram!$P28)))</f>
        <v>2</v>
      </c>
      <c r="AO28" s="42">
        <f ca="1">IF(OR($I$10="",$O28="",$P28="",$J$36&lt;&gt;"Yes"),0,IF($K$10=0,SUMIFS(INDIRECT(ADDRESS(12,3+18*3+(1),,,"J1 B - Butcher Terrace")&amp;":"&amp;ADDRESS(130,3+18*3+(1))),'J1 B - Butcher Terrace'!$A$12:$A$130,"&gt;="&amp;Diagram!$O28,'J1 B - Butcher Terrace'!$A$12:$A$130,"&lt;"&amp;Diagram!$P28),SUMIFS(INDIRECT(ADDRESS(12,3+18*3+(9),,,"J1 B - Butcher Terrace")&amp;":"&amp;ADDRESS(130,3+18*3+(9))),'J1 B - Butcher Terrace'!$A$12:$A$130,"&gt;="&amp;Diagram!$O28,'J1 B - Butcher Terrace'!$A$12:$A$130,"&lt;"&amp;Diagram!$P28)))</f>
        <v>0</v>
      </c>
      <c r="AP28" s="42">
        <f ca="1">IF(OR($I$10="",$O28="",$P28="",$J$36&lt;&gt;"Yes"),0,IF($K$10=0,SUMIFS(INDIRECT(ADDRESS(12,3+18*0+(1),,,"J1 B - Butcher Terrace")&amp;":"&amp;ADDRESS(130,3+18*0+(1))),'J1 B - Butcher Terrace'!$A$12:$A$130,"&gt;="&amp;Diagram!$O28,'J1 B - Butcher Terrace'!$A$12:$A$130,"&lt;"&amp;Diagram!$P28),SUMIFS(INDIRECT(ADDRESS(12,3+18*0+(9),,,"J1 B - Butcher Terrace")&amp;":"&amp;ADDRESS(130,3+18*0+(9))),'J1 B - Butcher Terrace'!$A$12:$A$130,"&gt;="&amp;Diagram!$O28,'J1 B - Butcher Terrace'!$A$12:$A$130,"&lt;"&amp;Diagram!$P28)))</f>
        <v>0</v>
      </c>
      <c r="AQ28" s="42">
        <f ca="1">IF(OR($I$10="",$O28="",$P28="",$J$36&lt;&gt;"Yes"),0,IF($K$10=0,SUMIFS(INDIRECT(ADDRESS(12,3+18*1+(1),,,"J1 B - Butcher Terrace")&amp;":"&amp;ADDRESS(130,3+18*1+(1))),'J1 B - Butcher Terrace'!$A$12:$A$130,"&gt;="&amp;Diagram!$O28,'J1 B - Butcher Terrace'!$A$12:$A$130,"&lt;"&amp;Diagram!$P28),SUMIFS(INDIRECT(ADDRESS(12,3+18*1+(9),,,"J1 B - Butcher Terrace")&amp;":"&amp;ADDRESS(130,3+18*1+(9))),'J1 B - Butcher Terrace'!$A$12:$A$130,"&gt;="&amp;Diagram!$O28,'J1 B - Butcher Terrace'!$A$12:$A$130,"&lt;"&amp;Diagram!$P28)))</f>
        <v>0</v>
      </c>
      <c r="AR28" s="42">
        <f ca="1">IF(OR($I$10="",$O28="",$P28="",$J$36&lt;&gt;"Yes"),0,IF($K$10=0,SUMIFS(INDIRECT(ADDRESS(12,3+18*1+(1),,,"J1 C - (South) Bishopthorpe Roa")&amp;":"&amp;ADDRESS(130,3+18*1+(1))),'J1 C - (South) Bishopthorpe Roa'!$A$12:$A$130,"&gt;="&amp;Diagram!$O28,'J1 C - (South) Bishopthorpe Roa'!$A$12:$A$130,"&lt;"&amp;Diagram!$P28),SUMIFS(INDIRECT(ADDRESS(12,3+18*1+(9),,,"J1 C - (South) Bishopthorpe Roa")&amp;":"&amp;ADDRESS(130,3+18*1+(9))),'J1 C - (South) Bishopthorpe Roa'!$A$12:$A$130,"&gt;="&amp;Diagram!$O28,'J1 C - (South) Bishopthorpe Roa'!$A$12:$A$130,"&lt;"&amp;Diagram!$P28)))</f>
        <v>17</v>
      </c>
      <c r="AS28" s="42">
        <f ca="1">IF(OR($I$10="",$O28="",$P28="",$J$36&lt;&gt;"Yes"),0,IF($K$10=0,SUMIFS(INDIRECT(ADDRESS(12,3+18*2+(1),,,"J1 C - (South) Bishopthorpe Roa")&amp;":"&amp;ADDRESS(130,3+18*2+(1))),'J1 C - (South) Bishopthorpe Roa'!$A$12:$A$130,"&gt;="&amp;Diagram!$O28,'J1 C - (South) Bishopthorpe Roa'!$A$12:$A$130,"&lt;"&amp;Diagram!$P28),SUMIFS(INDIRECT(ADDRESS(12,3+18*2+(9),,,"J1 C - (South) Bishopthorpe Roa")&amp;":"&amp;ADDRESS(130,3+18*2+(9))),'J1 C - (South) Bishopthorpe Roa'!$A$12:$A$130,"&gt;="&amp;Diagram!$O28,'J1 C - (South) Bishopthorpe Roa'!$A$12:$A$130,"&lt;"&amp;Diagram!$P28)))</f>
        <v>0</v>
      </c>
      <c r="AT28" s="42">
        <f ca="1">IF(OR($I$10="",$O28="",$P28="",$J$36&lt;&gt;"Yes"),0,IF($K$10=0,SUMIFS(INDIRECT(ADDRESS(12,3+18*3+(1),,,"J1 C - (South) Bishopthorpe Roa")&amp;":"&amp;ADDRESS(130,3+18*3+(1))),'J1 C - (South) Bishopthorpe Roa'!$A$12:$A$130,"&gt;="&amp;Diagram!$O28,'J1 C - (South) Bishopthorpe Roa'!$A$12:$A$130,"&lt;"&amp;Diagram!$P28),SUMIFS(INDIRECT(ADDRESS(12,3+18*3+(9),,,"J1 C - (South) Bishopthorpe Roa")&amp;":"&amp;ADDRESS(130,3+18*3+(9))),'J1 C - (South) Bishopthorpe Roa'!$A$12:$A$130,"&gt;="&amp;Diagram!$O28,'J1 C - (South) Bishopthorpe Roa'!$A$12:$A$130,"&lt;"&amp;Diagram!$P28)))</f>
        <v>0</v>
      </c>
      <c r="AU28" s="42">
        <f ca="1">IF(OR($I$10="",$O28="",$P28="",$J$36&lt;&gt;"Yes"),0,IF($K$10=0,SUMIFS(INDIRECT(ADDRESS(12,3+18*0+(1),,,"J1 C - (South) Bishopthorpe Roa")&amp;":"&amp;ADDRESS(130,3+18*0+(1))),'J1 C - (South) Bishopthorpe Roa'!$A$12:$A$130,"&gt;="&amp;Diagram!$O28,'J1 C - (South) Bishopthorpe Roa'!$A$12:$A$130,"&lt;"&amp;Diagram!$P28),SUMIFS(INDIRECT(ADDRESS(12,3+18*0+(9),,,"J1 C - (South) Bishopthorpe Roa")&amp;":"&amp;ADDRESS(130,3+18*0+(9))),'J1 C - (South) Bishopthorpe Roa'!$A$12:$A$130,"&gt;="&amp;Diagram!$O28,'J1 C - (South) Bishopthorpe Roa'!$A$12:$A$130,"&lt;"&amp;Diagram!$P28)))</f>
        <v>0</v>
      </c>
      <c r="AV28" s="42">
        <f ca="1">IF(OR($I$10="",$O28="",$P28="",$J$36&lt;&gt;"Yes"),0,IF($K$10=0,SUMIFS(INDIRECT(ADDRESS(12,3+18*0+(1),,,"J1 D - South Bank Avenue")&amp;":"&amp;ADDRESS(130,3+18*0+(1))),'J1 D - South Bank Avenue'!$A$12:$A$130,"&gt;="&amp;Diagram!$O28,'J1 D - South Bank Avenue'!$A$12:$A$130,"&lt;"&amp;Diagram!$P28),SUMIFS(INDIRECT(ADDRESS(12,3+18*0+(9),,,"J1 D - South Bank Avenue")&amp;":"&amp;ADDRESS(130,3+18*0+(9))),'J1 D - South Bank Avenue'!$A$12:$A$130,"&gt;="&amp;Diagram!$O28,'J1 D - South Bank Avenue'!$A$12:$A$130,"&lt;"&amp;Diagram!$P28)))</f>
        <v>1</v>
      </c>
      <c r="AW28" s="42">
        <f ca="1">IF(OR($I$10="",$O28="",$P28="",$J$36&lt;&gt;"Yes"),0,IF($K$10=0,SUMIFS(INDIRECT(ADDRESS(12,3+18*1+(1),,,"J1 D - South Bank Avenue")&amp;":"&amp;ADDRESS(130,3+18*1+(1))),'J1 D - South Bank Avenue'!$A$12:$A$130,"&gt;="&amp;Diagram!$O28,'J1 D - South Bank Avenue'!$A$12:$A$130,"&lt;"&amp;Diagram!$P28),SUMIFS(INDIRECT(ADDRESS(12,3+18*1+(9),,,"J1 D - South Bank Avenue")&amp;":"&amp;ADDRESS(130,3+18*1+(9))),'J1 D - South Bank Avenue'!$A$12:$A$130,"&gt;="&amp;Diagram!$O28,'J1 D - South Bank Avenue'!$A$12:$A$130,"&lt;"&amp;Diagram!$P28)))</f>
        <v>0</v>
      </c>
      <c r="AX28" s="42">
        <f ca="1">IF(OR($I$10="",$O28="",$P28="",$J$36&lt;&gt;"Yes"),0,IF($K$10=0,SUMIFS(INDIRECT(ADDRESS(12,3+18*2+(1),,,"J1 D - South Bank Avenue")&amp;":"&amp;ADDRESS(130,3+18*2+(1))),'J1 D - South Bank Avenue'!$A$12:$A$130,"&gt;="&amp;Diagram!$O28,'J1 D - South Bank Avenue'!$A$12:$A$130,"&lt;"&amp;Diagram!$P28),SUMIFS(INDIRECT(ADDRESS(12,3+18*2+(9),,,"J1 D - South Bank Avenue")&amp;":"&amp;ADDRESS(130,3+18*2+(9))),'J1 D - South Bank Avenue'!$A$12:$A$130,"&gt;="&amp;Diagram!$O28,'J1 D - South Bank Avenue'!$A$12:$A$130,"&lt;"&amp;Diagram!$P28)))</f>
        <v>0</v>
      </c>
      <c r="AY28" s="42">
        <f ca="1">IF(OR($I$10="",$O28="",$P28="",$J$36&lt;&gt;"Yes"),0,IF($K$10=0,SUMIFS(INDIRECT(ADDRESS(12,3+18*3+(1),,,"J1 D - South Bank Avenue")&amp;":"&amp;ADDRESS(130,3+18*3+(1))),'J1 D - South Bank Avenue'!$A$12:$A$130,"&gt;="&amp;Diagram!$O28,'J1 D - South Bank Avenue'!$A$12:$A$130,"&lt;"&amp;Diagram!$P28),SUMIFS(INDIRECT(ADDRESS(12,3+18*3+(9),,,"J1 D - South Bank Avenue")&amp;":"&amp;ADDRESS(130,3+18*3+(9))),'J1 D - South Bank Avenue'!$A$12:$A$130,"&gt;="&amp;Diagram!$O28,'J1 D - South Bank Avenue'!$A$12:$A$130,"&lt;"&amp;Diagram!$P28)))</f>
        <v>0</v>
      </c>
      <c r="AZ28" s="42">
        <f t="shared" ca="1" si="3"/>
        <v>10</v>
      </c>
      <c r="BA28" s="42">
        <f ca="1">IF(OR($I$10="",$O28="",$P28="",$J$37&lt;&gt;"Yes"),0,IF($K$10=0,SUMIFS(INDIRECT(ADDRESS(12,3+18*3+(2),,,"J1 A - (North) Bishopthorpe Roa")&amp;":"&amp;ADDRESS(130,3+18*3+(2))),'J1 A - (North) Bishopthorpe Roa'!$A$12:$A$130,"&gt;="&amp;Diagram!$O28,'J1 A - (North) Bishopthorpe Roa'!$A$12:$A$130,"&lt;"&amp;Diagram!$P28),SUMIFS(INDIRECT(ADDRESS(12,3+18*3+(10),,,"J1 A - (North) Bishopthorpe Roa")&amp;":"&amp;ADDRESS(130,3+18*3+(10))),'J1 A - (North) Bishopthorpe Roa'!$A$12:$A$130,"&gt;="&amp;Diagram!$O28,'J1 A - (North) Bishopthorpe Roa'!$A$12:$A$130,"&lt;"&amp;Diagram!$P28)))</f>
        <v>0</v>
      </c>
      <c r="BB28" s="42">
        <f ca="1">IF(OR($I$10="",$O28="",$P28="",$J$37&lt;&gt;"Yes"),0,IF($K$10=0,SUMIFS(INDIRECT(ADDRESS(12,3+18*0+(2),,,"J1 A - (North) Bishopthorpe Roa")&amp;":"&amp;ADDRESS(130,3+18*0+(2))),'J1 A - (North) Bishopthorpe Roa'!$A$12:$A$130,"&gt;="&amp;Diagram!$O28,'J1 A - (North) Bishopthorpe Roa'!$A$12:$A$130,"&lt;"&amp;Diagram!$P28),SUMIFS(INDIRECT(ADDRESS(12,3+18*0+(10),,,"J1 A - (North) Bishopthorpe Roa")&amp;":"&amp;ADDRESS(130,3+18*0+(10))),'J1 A - (North) Bishopthorpe Roa'!$A$12:$A$130,"&gt;="&amp;Diagram!$O28,'J1 A - (North) Bishopthorpe Roa'!$A$12:$A$130,"&lt;"&amp;Diagram!$P28)))</f>
        <v>1</v>
      </c>
      <c r="BC28" s="42">
        <f ca="1">IF(OR($I$10="",$O28="",$P28="",$J$37&lt;&gt;"Yes"),0,IF($K$10=0,SUMIFS(INDIRECT(ADDRESS(12,3+18*1+(2),,,"J1 A - (North) Bishopthorpe Roa")&amp;":"&amp;ADDRESS(130,3+18*1+(2))),'J1 A - (North) Bishopthorpe Roa'!$A$12:$A$130,"&gt;="&amp;Diagram!$O28,'J1 A - (North) Bishopthorpe Roa'!$A$12:$A$130,"&lt;"&amp;Diagram!$P28),SUMIFS(INDIRECT(ADDRESS(12,3+18*1+(10),,,"J1 A - (North) Bishopthorpe Roa")&amp;":"&amp;ADDRESS(130,3+18*1+(10))),'J1 A - (North) Bishopthorpe Roa'!$A$12:$A$130,"&gt;="&amp;Diagram!$O28,'J1 A - (North) Bishopthorpe Roa'!$A$12:$A$130,"&lt;"&amp;Diagram!$P28)))</f>
        <v>5</v>
      </c>
      <c r="BD28" s="42">
        <f ca="1">IF(OR($I$10="",$O28="",$P28="",$J$37&lt;&gt;"Yes"),0,IF($K$10=0,SUMIFS(INDIRECT(ADDRESS(12,3+18*2+(2),,,"J1 A - (North) Bishopthorpe Roa")&amp;":"&amp;ADDRESS(130,3+18*2+(2))),'J1 A - (North) Bishopthorpe Roa'!$A$12:$A$130,"&gt;="&amp;Diagram!$O28,'J1 A - (North) Bishopthorpe Roa'!$A$12:$A$130,"&lt;"&amp;Diagram!$P28),SUMIFS(INDIRECT(ADDRESS(12,3+18*2+(10),,,"J1 A - (North) Bishopthorpe Roa")&amp;":"&amp;ADDRESS(130,3+18*2+(10))),'J1 A - (North) Bishopthorpe Roa'!$A$12:$A$130,"&gt;="&amp;Diagram!$O28,'J1 A - (North) Bishopthorpe Roa'!$A$12:$A$130,"&lt;"&amp;Diagram!$P28)))</f>
        <v>0</v>
      </c>
      <c r="BE28" s="42">
        <f ca="1">IF(OR($I$10="",$O28="",$P28="",$J$37&lt;&gt;"Yes"),0,IF($K$10=0,SUMIFS(INDIRECT(ADDRESS(12,3+18*2+(2),,,"J1 B - Butcher Terrace")&amp;":"&amp;ADDRESS(130,3+18*2+(2))),'J1 B - Butcher Terrace'!$A$12:$A$130,"&gt;="&amp;Diagram!$O28,'J1 B - Butcher Terrace'!$A$12:$A$130,"&lt;"&amp;Diagram!$P28),SUMIFS(INDIRECT(ADDRESS(12,3+18*2+(10),,,"J1 B - Butcher Terrace")&amp;":"&amp;ADDRESS(130,3+18*2+(10))),'J1 B - Butcher Terrace'!$A$12:$A$130,"&gt;="&amp;Diagram!$O28,'J1 B - Butcher Terrace'!$A$12:$A$130,"&lt;"&amp;Diagram!$P28)))</f>
        <v>1</v>
      </c>
      <c r="BF28" s="42">
        <f ca="1">IF(OR($I$10="",$O28="",$P28="",$J$37&lt;&gt;"Yes"),0,IF($K$10=0,SUMIFS(INDIRECT(ADDRESS(12,3+18*3+(2),,,"J1 B - Butcher Terrace")&amp;":"&amp;ADDRESS(130,3+18*3+(2))),'J1 B - Butcher Terrace'!$A$12:$A$130,"&gt;="&amp;Diagram!$O28,'J1 B - Butcher Terrace'!$A$12:$A$130,"&lt;"&amp;Diagram!$P28),SUMIFS(INDIRECT(ADDRESS(12,3+18*3+(10),,,"J1 B - Butcher Terrace")&amp;":"&amp;ADDRESS(130,3+18*3+(10))),'J1 B - Butcher Terrace'!$A$12:$A$130,"&gt;="&amp;Diagram!$O28,'J1 B - Butcher Terrace'!$A$12:$A$130,"&lt;"&amp;Diagram!$P28)))</f>
        <v>0</v>
      </c>
      <c r="BG28" s="42">
        <f ca="1">IF(OR($I$10="",$O28="",$P28="",$J$37&lt;&gt;"Yes"),0,IF($K$10=0,SUMIFS(INDIRECT(ADDRESS(12,3+18*0+(2),,,"J1 B - Butcher Terrace")&amp;":"&amp;ADDRESS(130,3+18*0+(2))),'J1 B - Butcher Terrace'!$A$12:$A$130,"&gt;="&amp;Diagram!$O28,'J1 B - Butcher Terrace'!$A$12:$A$130,"&lt;"&amp;Diagram!$P28),SUMIFS(INDIRECT(ADDRESS(12,3+18*0+(10),,,"J1 B - Butcher Terrace")&amp;":"&amp;ADDRESS(130,3+18*0+(10))),'J1 B - Butcher Terrace'!$A$12:$A$130,"&gt;="&amp;Diagram!$O28,'J1 B - Butcher Terrace'!$A$12:$A$130,"&lt;"&amp;Diagram!$P28)))</f>
        <v>0</v>
      </c>
      <c r="BH28" s="42">
        <f ca="1">IF(OR($I$10="",$O28="",$P28="",$J$37&lt;&gt;"Yes"),0,IF($K$10=0,SUMIFS(INDIRECT(ADDRESS(12,3+18*1+(2),,,"J1 B - Butcher Terrace")&amp;":"&amp;ADDRESS(130,3+18*1+(2))),'J1 B - Butcher Terrace'!$A$12:$A$130,"&gt;="&amp;Diagram!$O28,'J1 B - Butcher Terrace'!$A$12:$A$130,"&lt;"&amp;Diagram!$P28),SUMIFS(INDIRECT(ADDRESS(12,3+18*1+(10),,,"J1 B - Butcher Terrace")&amp;":"&amp;ADDRESS(130,3+18*1+(10))),'J1 B - Butcher Terrace'!$A$12:$A$130,"&gt;="&amp;Diagram!$O28,'J1 B - Butcher Terrace'!$A$12:$A$130,"&lt;"&amp;Diagram!$P28)))</f>
        <v>0</v>
      </c>
      <c r="BI28" s="42">
        <f ca="1">IF(OR($I$10="",$O28="",$P28="",$J$37&lt;&gt;"Yes"),0,IF($K$10=0,SUMIFS(INDIRECT(ADDRESS(12,3+18*1+(2),,,"J1 C - (South) Bishopthorpe Roa")&amp;":"&amp;ADDRESS(130,3+18*1+(2))),'J1 C - (South) Bishopthorpe Roa'!$A$12:$A$130,"&gt;="&amp;Diagram!$O28,'J1 C - (South) Bishopthorpe Roa'!$A$12:$A$130,"&lt;"&amp;Diagram!$P28),SUMIFS(INDIRECT(ADDRESS(12,3+18*1+(10),,,"J1 C - (South) Bishopthorpe Roa")&amp;":"&amp;ADDRESS(130,3+18*1+(10))),'J1 C - (South) Bishopthorpe Roa'!$A$12:$A$130,"&gt;="&amp;Diagram!$O28,'J1 C - (South) Bishopthorpe Roa'!$A$12:$A$130,"&lt;"&amp;Diagram!$P28)))</f>
        <v>3</v>
      </c>
      <c r="BJ28" s="42">
        <f ca="1">IF(OR($I$10="",$O28="",$P28="",$J$37&lt;&gt;"Yes"),0,IF($K$10=0,SUMIFS(INDIRECT(ADDRESS(12,3+18*2+(2),,,"J1 C - (South) Bishopthorpe Roa")&amp;":"&amp;ADDRESS(130,3+18*2+(2))),'J1 C - (South) Bishopthorpe Roa'!$A$12:$A$130,"&gt;="&amp;Diagram!$O28,'J1 C - (South) Bishopthorpe Roa'!$A$12:$A$130,"&lt;"&amp;Diagram!$P28),SUMIFS(INDIRECT(ADDRESS(12,3+18*2+(10),,,"J1 C - (South) Bishopthorpe Roa")&amp;":"&amp;ADDRESS(130,3+18*2+(10))),'J1 C - (South) Bishopthorpe Roa'!$A$12:$A$130,"&gt;="&amp;Diagram!$O28,'J1 C - (South) Bishopthorpe Roa'!$A$12:$A$130,"&lt;"&amp;Diagram!$P28)))</f>
        <v>0</v>
      </c>
      <c r="BK28" s="42">
        <f ca="1">IF(OR($I$10="",$O28="",$P28="",$J$37&lt;&gt;"Yes"),0,IF($K$10=0,SUMIFS(INDIRECT(ADDRESS(12,3+18*3+(2),,,"J1 C - (South) Bishopthorpe Roa")&amp;":"&amp;ADDRESS(130,3+18*3+(2))),'J1 C - (South) Bishopthorpe Roa'!$A$12:$A$130,"&gt;="&amp;Diagram!$O28,'J1 C - (South) Bishopthorpe Roa'!$A$12:$A$130,"&lt;"&amp;Diagram!$P28),SUMIFS(INDIRECT(ADDRESS(12,3+18*3+(10),,,"J1 C - (South) Bishopthorpe Roa")&amp;":"&amp;ADDRESS(130,3+18*3+(10))),'J1 C - (South) Bishopthorpe Roa'!$A$12:$A$130,"&gt;="&amp;Diagram!$O28,'J1 C - (South) Bishopthorpe Roa'!$A$12:$A$130,"&lt;"&amp;Diagram!$P28)))</f>
        <v>0</v>
      </c>
      <c r="BL28" s="42">
        <f ca="1">IF(OR($I$10="",$O28="",$P28="",$J$37&lt;&gt;"Yes"),0,IF($K$10=0,SUMIFS(INDIRECT(ADDRESS(12,3+18*0+(2),,,"J1 C - (South) Bishopthorpe Roa")&amp;":"&amp;ADDRESS(130,3+18*0+(2))),'J1 C - (South) Bishopthorpe Roa'!$A$12:$A$130,"&gt;="&amp;Diagram!$O28,'J1 C - (South) Bishopthorpe Roa'!$A$12:$A$130,"&lt;"&amp;Diagram!$P28),SUMIFS(INDIRECT(ADDRESS(12,3+18*0+(10),,,"J1 C - (South) Bishopthorpe Roa")&amp;":"&amp;ADDRESS(130,3+18*0+(10))),'J1 C - (South) Bishopthorpe Roa'!$A$12:$A$130,"&gt;="&amp;Diagram!$O28,'J1 C - (South) Bishopthorpe Roa'!$A$12:$A$130,"&lt;"&amp;Diagram!$P28)))</f>
        <v>0</v>
      </c>
      <c r="BM28" s="42">
        <f ca="1">IF(OR($I$10="",$O28="",$P28="",$J$37&lt;&gt;"Yes"),0,IF($K$10=0,SUMIFS(INDIRECT(ADDRESS(12,3+18*0+(2),,,"J1 D - South Bank Avenue")&amp;":"&amp;ADDRESS(130,3+18*0+(2))),'J1 D - South Bank Avenue'!$A$12:$A$130,"&gt;="&amp;Diagram!$O28,'J1 D - South Bank Avenue'!$A$12:$A$130,"&lt;"&amp;Diagram!$P28),SUMIFS(INDIRECT(ADDRESS(12,3+18*0+(10),,,"J1 D - South Bank Avenue")&amp;":"&amp;ADDRESS(130,3+18*0+(10))),'J1 D - South Bank Avenue'!$A$12:$A$130,"&gt;="&amp;Diagram!$O28,'J1 D - South Bank Avenue'!$A$12:$A$130,"&lt;"&amp;Diagram!$P28)))</f>
        <v>0</v>
      </c>
      <c r="BN28" s="42">
        <f ca="1">IF(OR($I$10="",$O28="",$P28="",$J$37&lt;&gt;"Yes"),0,IF($K$10=0,SUMIFS(INDIRECT(ADDRESS(12,3+18*1+(2),,,"J1 D - South Bank Avenue")&amp;":"&amp;ADDRESS(130,3+18*1+(2))),'J1 D - South Bank Avenue'!$A$12:$A$130,"&gt;="&amp;Diagram!$O28,'J1 D - South Bank Avenue'!$A$12:$A$130,"&lt;"&amp;Diagram!$P28),SUMIFS(INDIRECT(ADDRESS(12,3+18*1+(10),,,"J1 D - South Bank Avenue")&amp;":"&amp;ADDRESS(130,3+18*1+(10))),'J1 D - South Bank Avenue'!$A$12:$A$130,"&gt;="&amp;Diagram!$O28,'J1 D - South Bank Avenue'!$A$12:$A$130,"&lt;"&amp;Diagram!$P28)))</f>
        <v>0</v>
      </c>
      <c r="BO28" s="42">
        <f ca="1">IF(OR($I$10="",$O28="",$P28="",$J$37&lt;&gt;"Yes"),0,IF($K$10=0,SUMIFS(INDIRECT(ADDRESS(12,3+18*2+(2),,,"J1 D - South Bank Avenue")&amp;":"&amp;ADDRESS(130,3+18*2+(2))),'J1 D - South Bank Avenue'!$A$12:$A$130,"&gt;="&amp;Diagram!$O28,'J1 D - South Bank Avenue'!$A$12:$A$130,"&lt;"&amp;Diagram!$P28),SUMIFS(INDIRECT(ADDRESS(12,3+18*2+(10),,,"J1 D - South Bank Avenue")&amp;":"&amp;ADDRESS(130,3+18*2+(10))),'J1 D - South Bank Avenue'!$A$12:$A$130,"&gt;="&amp;Diagram!$O28,'J1 D - South Bank Avenue'!$A$12:$A$130,"&lt;"&amp;Diagram!$P28)))</f>
        <v>0</v>
      </c>
      <c r="BP28" s="42">
        <f ca="1">IF(OR($I$10="",$O28="",$P28="",$J$37&lt;&gt;"Yes"),0,IF($K$10=0,SUMIFS(INDIRECT(ADDRESS(12,3+18*3+(2),,,"J1 D - South Bank Avenue")&amp;":"&amp;ADDRESS(130,3+18*3+(2))),'J1 D - South Bank Avenue'!$A$12:$A$130,"&gt;="&amp;Diagram!$O28,'J1 D - South Bank Avenue'!$A$12:$A$130,"&lt;"&amp;Diagram!$P28),SUMIFS(INDIRECT(ADDRESS(12,3+18*3+(10),,,"J1 D - South Bank Avenue")&amp;":"&amp;ADDRESS(130,3+18*3+(10))),'J1 D - South Bank Avenue'!$A$12:$A$130,"&gt;="&amp;Diagram!$O28,'J1 D - South Bank Avenue'!$A$12:$A$130,"&lt;"&amp;Diagram!$P28)))</f>
        <v>0</v>
      </c>
      <c r="BQ28" s="42">
        <f t="shared" ca="1" si="4"/>
        <v>0</v>
      </c>
      <c r="BR28" s="42">
        <f ca="1">IF(OR($I$10="",$O28="",$P28="",$J$38&lt;&gt;"Yes"),0,IF($K$10=0,SUMIFS(INDIRECT(ADDRESS(12,3+18*3+(3),,,"J1 A - (North) Bishopthorpe Roa")&amp;":"&amp;ADDRESS(130,3+18*3+(3))),'J1 A - (North) Bishopthorpe Roa'!$A$12:$A$130,"&gt;="&amp;Diagram!$O28,'J1 A - (North) Bishopthorpe Roa'!$A$12:$A$130,"&lt;"&amp;Diagram!$P28),SUMIFS(INDIRECT(ADDRESS(12,3+18*3+(11),,,"J1 A - (North) Bishopthorpe Roa")&amp;":"&amp;ADDRESS(130,3+18*3+(11))),'J1 A - (North) Bishopthorpe Roa'!$A$12:$A$130,"&gt;="&amp;Diagram!$O28,'J1 A - (North) Bishopthorpe Roa'!$A$12:$A$130,"&lt;"&amp;Diagram!$P28)))</f>
        <v>0</v>
      </c>
      <c r="BS28" s="42">
        <f ca="1">IF(OR($I$10="",$O28="",$P28="",$J$38&lt;&gt;"Yes"),0,IF($K$10=0,SUMIFS(INDIRECT(ADDRESS(12,3+18*0+(3),,,"J1 A - (North) Bishopthorpe Roa")&amp;":"&amp;ADDRESS(130,3+18*0+(3))),'J1 A - (North) Bishopthorpe Roa'!$A$12:$A$130,"&gt;="&amp;Diagram!$O28,'J1 A - (North) Bishopthorpe Roa'!$A$12:$A$130,"&lt;"&amp;Diagram!$P28),SUMIFS(INDIRECT(ADDRESS(12,3+18*0+(11),,,"J1 A - (North) Bishopthorpe Roa")&amp;":"&amp;ADDRESS(130,3+18*0+(11))),'J1 A - (North) Bishopthorpe Roa'!$A$12:$A$130,"&gt;="&amp;Diagram!$O28,'J1 A - (North) Bishopthorpe Roa'!$A$12:$A$130,"&lt;"&amp;Diagram!$P28)))</f>
        <v>0</v>
      </c>
      <c r="BT28" s="42">
        <f ca="1">IF(OR($I$10="",$O28="",$P28="",$J$38&lt;&gt;"Yes"),0,IF($K$10=0,SUMIFS(INDIRECT(ADDRESS(12,3+18*1+(3),,,"J1 A - (North) Bishopthorpe Roa")&amp;":"&amp;ADDRESS(130,3+18*1+(3))),'J1 A - (North) Bishopthorpe Roa'!$A$12:$A$130,"&gt;="&amp;Diagram!$O28,'J1 A - (North) Bishopthorpe Roa'!$A$12:$A$130,"&lt;"&amp;Diagram!$P28),SUMIFS(INDIRECT(ADDRESS(12,3+18*1+(11),,,"J1 A - (North) Bishopthorpe Roa")&amp;":"&amp;ADDRESS(130,3+18*1+(11))),'J1 A - (North) Bishopthorpe Roa'!$A$12:$A$130,"&gt;="&amp;Diagram!$O28,'J1 A - (North) Bishopthorpe Roa'!$A$12:$A$130,"&lt;"&amp;Diagram!$P28)))</f>
        <v>0</v>
      </c>
      <c r="BU28" s="42">
        <f ca="1">IF(OR($I$10="",$O28="",$P28="",$J$38&lt;&gt;"Yes"),0,IF($K$10=0,SUMIFS(INDIRECT(ADDRESS(12,3+18*2+(3),,,"J1 A - (North) Bishopthorpe Roa")&amp;":"&amp;ADDRESS(130,3+18*2+(3))),'J1 A - (North) Bishopthorpe Roa'!$A$12:$A$130,"&gt;="&amp;Diagram!$O28,'J1 A - (North) Bishopthorpe Roa'!$A$12:$A$130,"&lt;"&amp;Diagram!$P28),SUMIFS(INDIRECT(ADDRESS(12,3+18*2+(11),,,"J1 A - (North) Bishopthorpe Roa")&amp;":"&amp;ADDRESS(130,3+18*2+(11))),'J1 A - (North) Bishopthorpe Roa'!$A$12:$A$130,"&gt;="&amp;Diagram!$O28,'J1 A - (North) Bishopthorpe Roa'!$A$12:$A$130,"&lt;"&amp;Diagram!$P28)))</f>
        <v>0</v>
      </c>
      <c r="BV28" s="42">
        <f ca="1">IF(OR($I$10="",$O28="",$P28="",$J$38&lt;&gt;"Yes"),0,IF($K$10=0,SUMIFS(INDIRECT(ADDRESS(12,3+18*2+(3),,,"J1 B - Butcher Terrace")&amp;":"&amp;ADDRESS(130,3+18*2+(3))),'J1 B - Butcher Terrace'!$A$12:$A$130,"&gt;="&amp;Diagram!$O28,'J1 B - Butcher Terrace'!$A$12:$A$130,"&lt;"&amp;Diagram!$P28),SUMIFS(INDIRECT(ADDRESS(12,3+18*2+(11),,,"J1 B - Butcher Terrace")&amp;":"&amp;ADDRESS(130,3+18*2+(11))),'J1 B - Butcher Terrace'!$A$12:$A$130,"&gt;="&amp;Diagram!$O28,'J1 B - Butcher Terrace'!$A$12:$A$130,"&lt;"&amp;Diagram!$P28)))</f>
        <v>0</v>
      </c>
      <c r="BW28" s="42">
        <f ca="1">IF(OR($I$10="",$O28="",$P28="",$J$38&lt;&gt;"Yes"),0,IF($K$10=0,SUMIFS(INDIRECT(ADDRESS(12,3+18*3+(3),,,"J1 B - Butcher Terrace")&amp;":"&amp;ADDRESS(130,3+18*3+(3))),'J1 B - Butcher Terrace'!$A$12:$A$130,"&gt;="&amp;Diagram!$O28,'J1 B - Butcher Terrace'!$A$12:$A$130,"&lt;"&amp;Diagram!$P28),SUMIFS(INDIRECT(ADDRESS(12,3+18*3+(11),,,"J1 B - Butcher Terrace")&amp;":"&amp;ADDRESS(130,3+18*3+(11))),'J1 B - Butcher Terrace'!$A$12:$A$130,"&gt;="&amp;Diagram!$O28,'J1 B - Butcher Terrace'!$A$12:$A$130,"&lt;"&amp;Diagram!$P28)))</f>
        <v>0</v>
      </c>
      <c r="BX28" s="42">
        <f ca="1">IF(OR($I$10="",$O28="",$P28="",$J$38&lt;&gt;"Yes"),0,IF($K$10=0,SUMIFS(INDIRECT(ADDRESS(12,3+18*0+(3),,,"J1 B - Butcher Terrace")&amp;":"&amp;ADDRESS(130,3+18*0+(3))),'J1 B - Butcher Terrace'!$A$12:$A$130,"&gt;="&amp;Diagram!$O28,'J1 B - Butcher Terrace'!$A$12:$A$130,"&lt;"&amp;Diagram!$P28),SUMIFS(INDIRECT(ADDRESS(12,3+18*0+(11),,,"J1 B - Butcher Terrace")&amp;":"&amp;ADDRESS(130,3+18*0+(11))),'J1 B - Butcher Terrace'!$A$12:$A$130,"&gt;="&amp;Diagram!$O28,'J1 B - Butcher Terrace'!$A$12:$A$130,"&lt;"&amp;Diagram!$P28)))</f>
        <v>0</v>
      </c>
      <c r="BY28" s="42">
        <f ca="1">IF(OR($I$10="",$O28="",$P28="",$J$38&lt;&gt;"Yes"),0,IF($K$10=0,SUMIFS(INDIRECT(ADDRESS(12,3+18*1+(3),,,"J1 B - Butcher Terrace")&amp;":"&amp;ADDRESS(130,3+18*1+(3))),'J1 B - Butcher Terrace'!$A$12:$A$130,"&gt;="&amp;Diagram!$O28,'J1 B - Butcher Terrace'!$A$12:$A$130,"&lt;"&amp;Diagram!$P28),SUMIFS(INDIRECT(ADDRESS(12,3+18*1+(11),,,"J1 B - Butcher Terrace")&amp;":"&amp;ADDRESS(130,3+18*1+(11))),'J1 B - Butcher Terrace'!$A$12:$A$130,"&gt;="&amp;Diagram!$O28,'J1 B - Butcher Terrace'!$A$12:$A$130,"&lt;"&amp;Diagram!$P28)))</f>
        <v>0</v>
      </c>
      <c r="BZ28" s="42">
        <f ca="1">IF(OR($I$10="",$O28="",$P28="",$J$38&lt;&gt;"Yes"),0,IF($K$10=0,SUMIFS(INDIRECT(ADDRESS(12,3+18*1+(3),,,"J1 C - (South) Bishopthorpe Roa")&amp;":"&amp;ADDRESS(130,3+18*1+(3))),'J1 C - (South) Bishopthorpe Roa'!$A$12:$A$130,"&gt;="&amp;Diagram!$O28,'J1 C - (South) Bishopthorpe Roa'!$A$12:$A$130,"&lt;"&amp;Diagram!$P28),SUMIFS(INDIRECT(ADDRESS(12,3+18*1+(11),,,"J1 C - (South) Bishopthorpe Roa")&amp;":"&amp;ADDRESS(130,3+18*1+(11))),'J1 C - (South) Bishopthorpe Roa'!$A$12:$A$130,"&gt;="&amp;Diagram!$O28,'J1 C - (South) Bishopthorpe Roa'!$A$12:$A$130,"&lt;"&amp;Diagram!$P28)))</f>
        <v>0</v>
      </c>
      <c r="CA28" s="42">
        <f ca="1">IF(OR($I$10="",$O28="",$P28="",$J$38&lt;&gt;"Yes"),0,IF($K$10=0,SUMIFS(INDIRECT(ADDRESS(12,3+18*2+(3),,,"J1 C - (South) Bishopthorpe Roa")&amp;":"&amp;ADDRESS(130,3+18*2+(3))),'J1 C - (South) Bishopthorpe Roa'!$A$12:$A$130,"&gt;="&amp;Diagram!$O28,'J1 C - (South) Bishopthorpe Roa'!$A$12:$A$130,"&lt;"&amp;Diagram!$P28),SUMIFS(INDIRECT(ADDRESS(12,3+18*2+(11),,,"J1 C - (South) Bishopthorpe Roa")&amp;":"&amp;ADDRESS(130,3+18*2+(11))),'J1 C - (South) Bishopthorpe Roa'!$A$12:$A$130,"&gt;="&amp;Diagram!$O28,'J1 C - (South) Bishopthorpe Roa'!$A$12:$A$130,"&lt;"&amp;Diagram!$P28)))</f>
        <v>0</v>
      </c>
      <c r="CB28" s="42">
        <f ca="1">IF(OR($I$10="",$O28="",$P28="",$J$38&lt;&gt;"Yes"),0,IF($K$10=0,SUMIFS(INDIRECT(ADDRESS(12,3+18*3+(3),,,"J1 C - (South) Bishopthorpe Roa")&amp;":"&amp;ADDRESS(130,3+18*3+(3))),'J1 C - (South) Bishopthorpe Roa'!$A$12:$A$130,"&gt;="&amp;Diagram!$O28,'J1 C - (South) Bishopthorpe Roa'!$A$12:$A$130,"&lt;"&amp;Diagram!$P28),SUMIFS(INDIRECT(ADDRESS(12,3+18*3+(11),,,"J1 C - (South) Bishopthorpe Roa")&amp;":"&amp;ADDRESS(130,3+18*3+(11))),'J1 C - (South) Bishopthorpe Roa'!$A$12:$A$130,"&gt;="&amp;Diagram!$O28,'J1 C - (South) Bishopthorpe Roa'!$A$12:$A$130,"&lt;"&amp;Diagram!$P28)))</f>
        <v>0</v>
      </c>
      <c r="CC28" s="42">
        <f ca="1">IF(OR($I$10="",$O28="",$P28="",$J$38&lt;&gt;"Yes"),0,IF($K$10=0,SUMIFS(INDIRECT(ADDRESS(12,3+18*0+(3),,,"J1 C - (South) Bishopthorpe Roa")&amp;":"&amp;ADDRESS(130,3+18*0+(3))),'J1 C - (South) Bishopthorpe Roa'!$A$12:$A$130,"&gt;="&amp;Diagram!$O28,'J1 C - (South) Bishopthorpe Roa'!$A$12:$A$130,"&lt;"&amp;Diagram!$P28),SUMIFS(INDIRECT(ADDRESS(12,3+18*0+(11),,,"J1 C - (South) Bishopthorpe Roa")&amp;":"&amp;ADDRESS(130,3+18*0+(11))),'J1 C - (South) Bishopthorpe Roa'!$A$12:$A$130,"&gt;="&amp;Diagram!$O28,'J1 C - (South) Bishopthorpe Roa'!$A$12:$A$130,"&lt;"&amp;Diagram!$P28)))</f>
        <v>0</v>
      </c>
      <c r="CD28" s="42">
        <f ca="1">IF(OR($I$10="",$O28="",$P28="",$J$38&lt;&gt;"Yes"),0,IF($K$10=0,SUMIFS(INDIRECT(ADDRESS(12,3+18*0+(3),,,"J1 D - South Bank Avenue")&amp;":"&amp;ADDRESS(130,3+18*0+(3))),'J1 D - South Bank Avenue'!$A$12:$A$130,"&gt;="&amp;Diagram!$O28,'J1 D - South Bank Avenue'!$A$12:$A$130,"&lt;"&amp;Diagram!$P28),SUMIFS(INDIRECT(ADDRESS(12,3+18*0+(11),,,"J1 D - South Bank Avenue")&amp;":"&amp;ADDRESS(130,3+18*0+(11))),'J1 D - South Bank Avenue'!$A$12:$A$130,"&gt;="&amp;Diagram!$O28,'J1 D - South Bank Avenue'!$A$12:$A$130,"&lt;"&amp;Diagram!$P28)))</f>
        <v>0</v>
      </c>
      <c r="CE28" s="42">
        <f ca="1">IF(OR($I$10="",$O28="",$P28="",$J$38&lt;&gt;"Yes"),0,IF($K$10=0,SUMIFS(INDIRECT(ADDRESS(12,3+18*1+(3),,,"J1 D - South Bank Avenue")&amp;":"&amp;ADDRESS(130,3+18*1+(3))),'J1 D - South Bank Avenue'!$A$12:$A$130,"&gt;="&amp;Diagram!$O28,'J1 D - South Bank Avenue'!$A$12:$A$130,"&lt;"&amp;Diagram!$P28),SUMIFS(INDIRECT(ADDRESS(12,3+18*1+(11),,,"J1 D - South Bank Avenue")&amp;":"&amp;ADDRESS(130,3+18*1+(11))),'J1 D - South Bank Avenue'!$A$12:$A$130,"&gt;="&amp;Diagram!$O28,'J1 D - South Bank Avenue'!$A$12:$A$130,"&lt;"&amp;Diagram!$P28)))</f>
        <v>0</v>
      </c>
      <c r="CF28" s="42">
        <f ca="1">IF(OR($I$10="",$O28="",$P28="",$J$38&lt;&gt;"Yes"),0,IF($K$10=0,SUMIFS(INDIRECT(ADDRESS(12,3+18*2+(3),,,"J1 D - South Bank Avenue")&amp;":"&amp;ADDRESS(130,3+18*2+(3))),'J1 D - South Bank Avenue'!$A$12:$A$130,"&gt;="&amp;Diagram!$O28,'J1 D - South Bank Avenue'!$A$12:$A$130,"&lt;"&amp;Diagram!$P28),SUMIFS(INDIRECT(ADDRESS(12,3+18*2+(11),,,"J1 D - South Bank Avenue")&amp;":"&amp;ADDRESS(130,3+18*2+(11))),'J1 D - South Bank Avenue'!$A$12:$A$130,"&gt;="&amp;Diagram!$O28,'J1 D - South Bank Avenue'!$A$12:$A$130,"&lt;"&amp;Diagram!$P28)))</f>
        <v>0</v>
      </c>
      <c r="CG28" s="42">
        <f ca="1">IF(OR($I$10="",$O28="",$P28="",$J$38&lt;&gt;"Yes"),0,IF($K$10=0,SUMIFS(INDIRECT(ADDRESS(12,3+18*3+(3),,,"J1 D - South Bank Avenue")&amp;":"&amp;ADDRESS(130,3+18*3+(3))),'J1 D - South Bank Avenue'!$A$12:$A$130,"&gt;="&amp;Diagram!$O28,'J1 D - South Bank Avenue'!$A$12:$A$130,"&lt;"&amp;Diagram!$P28),SUMIFS(INDIRECT(ADDRESS(12,3+18*3+(11),,,"J1 D - South Bank Avenue")&amp;":"&amp;ADDRESS(130,3+18*3+(11))),'J1 D - South Bank Avenue'!$A$12:$A$130,"&gt;="&amp;Diagram!$O28,'J1 D - South Bank Avenue'!$A$12:$A$130,"&lt;"&amp;Diagram!$P28)))</f>
        <v>0</v>
      </c>
      <c r="CH28" s="42">
        <f t="shared" ca="1" si="5"/>
        <v>3</v>
      </c>
      <c r="CI28" s="42">
        <f ca="1">IF(OR($I$10="",$O28="",$P28="",$J$39&lt;&gt;"Yes"),0,IF($K$10=0,SUMIFS(INDIRECT(ADDRESS(12,3+18*3+(4),,,"J1 A - (North) Bishopthorpe Roa")&amp;":"&amp;ADDRESS(130,3+18*3+(4))),'J1 A - (North) Bishopthorpe Roa'!$A$12:$A$130,"&gt;="&amp;Diagram!$O28,'J1 A - (North) Bishopthorpe Roa'!$A$12:$A$130,"&lt;"&amp;Diagram!$P28),SUMIFS(INDIRECT(ADDRESS(12,3+18*3+(12),,,"J1 A - (North) Bishopthorpe Roa")&amp;":"&amp;ADDRESS(130,3+18*3+(12))),'J1 A - (North) Bishopthorpe Roa'!$A$12:$A$130,"&gt;="&amp;Diagram!$O28,'J1 A - (North) Bishopthorpe Roa'!$A$12:$A$130,"&lt;"&amp;Diagram!$P28)))</f>
        <v>0</v>
      </c>
      <c r="CJ28" s="42">
        <f ca="1">IF(OR($I$10="",$O28="",$P28="",$J$39&lt;&gt;"Yes"),0,IF($K$10=0,SUMIFS(INDIRECT(ADDRESS(12,3+18*0+(4),,,"J1 A - (North) Bishopthorpe Roa")&amp;":"&amp;ADDRESS(130,3+18*0+(4))),'J1 A - (North) Bishopthorpe Roa'!$A$12:$A$130,"&gt;="&amp;Diagram!$O28,'J1 A - (North) Bishopthorpe Roa'!$A$12:$A$130,"&lt;"&amp;Diagram!$P28),SUMIFS(INDIRECT(ADDRESS(12,3+18*0+(12),,,"J1 A - (North) Bishopthorpe Roa")&amp;":"&amp;ADDRESS(130,3+18*0+(12))),'J1 A - (North) Bishopthorpe Roa'!$A$12:$A$130,"&gt;="&amp;Diagram!$O28,'J1 A - (North) Bishopthorpe Roa'!$A$12:$A$130,"&lt;"&amp;Diagram!$P28)))</f>
        <v>0</v>
      </c>
      <c r="CK28" s="42">
        <f ca="1">IF(OR($I$10="",$O28="",$P28="",$J$39&lt;&gt;"Yes"),0,IF($K$10=0,SUMIFS(INDIRECT(ADDRESS(12,3+18*1+(4),,,"J1 A - (North) Bishopthorpe Roa")&amp;":"&amp;ADDRESS(130,3+18*1+(4))),'J1 A - (North) Bishopthorpe Roa'!$A$12:$A$130,"&gt;="&amp;Diagram!$O28,'J1 A - (North) Bishopthorpe Roa'!$A$12:$A$130,"&lt;"&amp;Diagram!$P28),SUMIFS(INDIRECT(ADDRESS(12,3+18*1+(12),,,"J1 A - (North) Bishopthorpe Roa")&amp;":"&amp;ADDRESS(130,3+18*1+(12))),'J1 A - (North) Bishopthorpe Roa'!$A$12:$A$130,"&gt;="&amp;Diagram!$O28,'J1 A - (North) Bishopthorpe Roa'!$A$12:$A$130,"&lt;"&amp;Diagram!$P28)))</f>
        <v>1</v>
      </c>
      <c r="CL28" s="42">
        <f ca="1">IF(OR($I$10="",$O28="",$P28="",$J$39&lt;&gt;"Yes"),0,IF($K$10=0,SUMIFS(INDIRECT(ADDRESS(12,3+18*2+(4),,,"J1 A - (North) Bishopthorpe Roa")&amp;":"&amp;ADDRESS(130,3+18*2+(4))),'J1 A - (North) Bishopthorpe Roa'!$A$12:$A$130,"&gt;="&amp;Diagram!$O28,'J1 A - (North) Bishopthorpe Roa'!$A$12:$A$130,"&lt;"&amp;Diagram!$P28),SUMIFS(INDIRECT(ADDRESS(12,3+18*2+(12),,,"J1 A - (North) Bishopthorpe Roa")&amp;":"&amp;ADDRESS(130,3+18*2+(12))),'J1 A - (North) Bishopthorpe Roa'!$A$12:$A$130,"&gt;="&amp;Diagram!$O28,'J1 A - (North) Bishopthorpe Roa'!$A$12:$A$130,"&lt;"&amp;Diagram!$P28)))</f>
        <v>0</v>
      </c>
      <c r="CM28" s="42">
        <f ca="1">IF(OR($I$10="",$O28="",$P28="",$J$39&lt;&gt;"Yes"),0,IF($K$10=0,SUMIFS(INDIRECT(ADDRESS(12,3+18*2+(4),,,"J1 B - Butcher Terrace")&amp;":"&amp;ADDRESS(130,3+18*2+(4))),'J1 B - Butcher Terrace'!$A$12:$A$130,"&gt;="&amp;Diagram!$O28,'J1 B - Butcher Terrace'!$A$12:$A$130,"&lt;"&amp;Diagram!$P28),SUMIFS(INDIRECT(ADDRESS(12,3+18*2+(12),,,"J1 B - Butcher Terrace")&amp;":"&amp;ADDRESS(130,3+18*2+(12))),'J1 B - Butcher Terrace'!$A$12:$A$130,"&gt;="&amp;Diagram!$O28,'J1 B - Butcher Terrace'!$A$12:$A$130,"&lt;"&amp;Diagram!$P28)))</f>
        <v>0</v>
      </c>
      <c r="CN28" s="42">
        <f ca="1">IF(OR($I$10="",$O28="",$P28="",$J$39&lt;&gt;"Yes"),0,IF($K$10=0,SUMIFS(INDIRECT(ADDRESS(12,3+18*3+(4),,,"J1 B - Butcher Terrace")&amp;":"&amp;ADDRESS(130,3+18*3+(4))),'J1 B - Butcher Terrace'!$A$12:$A$130,"&gt;="&amp;Diagram!$O28,'J1 B - Butcher Terrace'!$A$12:$A$130,"&lt;"&amp;Diagram!$P28),SUMIFS(INDIRECT(ADDRESS(12,3+18*3+(12),,,"J1 B - Butcher Terrace")&amp;":"&amp;ADDRESS(130,3+18*3+(12))),'J1 B - Butcher Terrace'!$A$12:$A$130,"&gt;="&amp;Diagram!$O28,'J1 B - Butcher Terrace'!$A$12:$A$130,"&lt;"&amp;Diagram!$P28)))</f>
        <v>0</v>
      </c>
      <c r="CO28" s="42">
        <f ca="1">IF(OR($I$10="",$O28="",$P28="",$J$39&lt;&gt;"Yes"),0,IF($K$10=0,SUMIFS(INDIRECT(ADDRESS(12,3+18*0+(4),,,"J1 B - Butcher Terrace")&amp;":"&amp;ADDRESS(130,3+18*0+(4))),'J1 B - Butcher Terrace'!$A$12:$A$130,"&gt;="&amp;Diagram!$O28,'J1 B - Butcher Terrace'!$A$12:$A$130,"&lt;"&amp;Diagram!$P28),SUMIFS(INDIRECT(ADDRESS(12,3+18*0+(12),,,"J1 B - Butcher Terrace")&amp;":"&amp;ADDRESS(130,3+18*0+(12))),'J1 B - Butcher Terrace'!$A$12:$A$130,"&gt;="&amp;Diagram!$O28,'J1 B - Butcher Terrace'!$A$12:$A$130,"&lt;"&amp;Diagram!$P28)))</f>
        <v>0</v>
      </c>
      <c r="CP28" s="42">
        <f ca="1">IF(OR($I$10="",$O28="",$P28="",$J$39&lt;&gt;"Yes"),0,IF($K$10=0,SUMIFS(INDIRECT(ADDRESS(12,3+18*1+(4),,,"J1 B - Butcher Terrace")&amp;":"&amp;ADDRESS(130,3+18*1+(4))),'J1 B - Butcher Terrace'!$A$12:$A$130,"&gt;="&amp;Diagram!$O28,'J1 B - Butcher Terrace'!$A$12:$A$130,"&lt;"&amp;Diagram!$P28),SUMIFS(INDIRECT(ADDRESS(12,3+18*1+(12),,,"J1 B - Butcher Terrace")&amp;":"&amp;ADDRESS(130,3+18*1+(12))),'J1 B - Butcher Terrace'!$A$12:$A$130,"&gt;="&amp;Diagram!$O28,'J1 B - Butcher Terrace'!$A$12:$A$130,"&lt;"&amp;Diagram!$P28)))</f>
        <v>0</v>
      </c>
      <c r="CQ28" s="42">
        <f ca="1">IF(OR($I$10="",$O28="",$P28="",$J$39&lt;&gt;"Yes"),0,IF($K$10=0,SUMIFS(INDIRECT(ADDRESS(12,3+18*1+(4),,,"J1 C - (South) Bishopthorpe Roa")&amp;":"&amp;ADDRESS(130,3+18*1+(4))),'J1 C - (South) Bishopthorpe Roa'!$A$12:$A$130,"&gt;="&amp;Diagram!$O28,'J1 C - (South) Bishopthorpe Roa'!$A$12:$A$130,"&lt;"&amp;Diagram!$P28),SUMIFS(INDIRECT(ADDRESS(12,3+18*1+(12),,,"J1 C - (South) Bishopthorpe Roa")&amp;":"&amp;ADDRESS(130,3+18*1+(12))),'J1 C - (South) Bishopthorpe Roa'!$A$12:$A$130,"&gt;="&amp;Diagram!$O28,'J1 C - (South) Bishopthorpe Roa'!$A$12:$A$130,"&lt;"&amp;Diagram!$P28)))</f>
        <v>2</v>
      </c>
      <c r="CR28" s="42">
        <f ca="1">IF(OR($I$10="",$O28="",$P28="",$J$39&lt;&gt;"Yes"),0,IF($K$10=0,SUMIFS(INDIRECT(ADDRESS(12,3+18*2+(4),,,"J1 C - (South) Bishopthorpe Roa")&amp;":"&amp;ADDRESS(130,3+18*2+(4))),'J1 C - (South) Bishopthorpe Roa'!$A$12:$A$130,"&gt;="&amp;Diagram!$O28,'J1 C - (South) Bishopthorpe Roa'!$A$12:$A$130,"&lt;"&amp;Diagram!$P28),SUMIFS(INDIRECT(ADDRESS(12,3+18*2+(12),,,"J1 C - (South) Bishopthorpe Roa")&amp;":"&amp;ADDRESS(130,3+18*2+(12))),'J1 C - (South) Bishopthorpe Roa'!$A$12:$A$130,"&gt;="&amp;Diagram!$O28,'J1 C - (South) Bishopthorpe Roa'!$A$12:$A$130,"&lt;"&amp;Diagram!$P28)))</f>
        <v>0</v>
      </c>
      <c r="CS28" s="42">
        <f ca="1">IF(OR($I$10="",$O28="",$P28="",$J$39&lt;&gt;"Yes"),0,IF($K$10=0,SUMIFS(INDIRECT(ADDRESS(12,3+18*3+(4),,,"J1 C - (South) Bishopthorpe Roa")&amp;":"&amp;ADDRESS(130,3+18*3+(4))),'J1 C - (South) Bishopthorpe Roa'!$A$12:$A$130,"&gt;="&amp;Diagram!$O28,'J1 C - (South) Bishopthorpe Roa'!$A$12:$A$130,"&lt;"&amp;Diagram!$P28),SUMIFS(INDIRECT(ADDRESS(12,3+18*3+(12),,,"J1 C - (South) Bishopthorpe Roa")&amp;":"&amp;ADDRESS(130,3+18*3+(12))),'J1 C - (South) Bishopthorpe Roa'!$A$12:$A$130,"&gt;="&amp;Diagram!$O28,'J1 C - (South) Bishopthorpe Roa'!$A$12:$A$130,"&lt;"&amp;Diagram!$P28)))</f>
        <v>0</v>
      </c>
      <c r="CT28" s="42">
        <f ca="1">IF(OR($I$10="",$O28="",$P28="",$J$39&lt;&gt;"Yes"),0,IF($K$10=0,SUMIFS(INDIRECT(ADDRESS(12,3+18*0+(4),,,"J1 C - (South) Bishopthorpe Roa")&amp;":"&amp;ADDRESS(130,3+18*0+(4))),'J1 C - (South) Bishopthorpe Roa'!$A$12:$A$130,"&gt;="&amp;Diagram!$O28,'J1 C - (South) Bishopthorpe Roa'!$A$12:$A$130,"&lt;"&amp;Diagram!$P28),SUMIFS(INDIRECT(ADDRESS(12,3+18*0+(12),,,"J1 C - (South) Bishopthorpe Roa")&amp;":"&amp;ADDRESS(130,3+18*0+(12))),'J1 C - (South) Bishopthorpe Roa'!$A$12:$A$130,"&gt;="&amp;Diagram!$O28,'J1 C - (South) Bishopthorpe Roa'!$A$12:$A$130,"&lt;"&amp;Diagram!$P28)))</f>
        <v>0</v>
      </c>
      <c r="CU28" s="42">
        <f ca="1">IF(OR($I$10="",$O28="",$P28="",$J$39&lt;&gt;"Yes"),0,IF($K$10=0,SUMIFS(INDIRECT(ADDRESS(12,3+18*0+(4),,,"J1 D - South Bank Avenue")&amp;":"&amp;ADDRESS(130,3+18*0+(4))),'J1 D - South Bank Avenue'!$A$12:$A$130,"&gt;="&amp;Diagram!$O28,'J1 D - South Bank Avenue'!$A$12:$A$130,"&lt;"&amp;Diagram!$P28),SUMIFS(INDIRECT(ADDRESS(12,3+18*0+(12),,,"J1 D - South Bank Avenue")&amp;":"&amp;ADDRESS(130,3+18*0+(12))),'J1 D - South Bank Avenue'!$A$12:$A$130,"&gt;="&amp;Diagram!$O28,'J1 D - South Bank Avenue'!$A$12:$A$130,"&lt;"&amp;Diagram!$P28)))</f>
        <v>0</v>
      </c>
      <c r="CV28" s="42">
        <f ca="1">IF(OR($I$10="",$O28="",$P28="",$J$39&lt;&gt;"Yes"),0,IF($K$10=0,SUMIFS(INDIRECT(ADDRESS(12,3+18*1+(4),,,"J1 D - South Bank Avenue")&amp;":"&amp;ADDRESS(130,3+18*1+(4))),'J1 D - South Bank Avenue'!$A$12:$A$130,"&gt;="&amp;Diagram!$O28,'J1 D - South Bank Avenue'!$A$12:$A$130,"&lt;"&amp;Diagram!$P28),SUMIFS(INDIRECT(ADDRESS(12,3+18*1+(12),,,"J1 D - South Bank Avenue")&amp;":"&amp;ADDRESS(130,3+18*1+(12))),'J1 D - South Bank Avenue'!$A$12:$A$130,"&gt;="&amp;Diagram!$O28,'J1 D - South Bank Avenue'!$A$12:$A$130,"&lt;"&amp;Diagram!$P28)))</f>
        <v>0</v>
      </c>
      <c r="CW28" s="42">
        <f ca="1">IF(OR($I$10="",$O28="",$P28="",$J$39&lt;&gt;"Yes"),0,IF($K$10=0,SUMIFS(INDIRECT(ADDRESS(12,3+18*2+(4),,,"J1 D - South Bank Avenue")&amp;":"&amp;ADDRESS(130,3+18*2+(4))),'J1 D - South Bank Avenue'!$A$12:$A$130,"&gt;="&amp;Diagram!$O28,'J1 D - South Bank Avenue'!$A$12:$A$130,"&lt;"&amp;Diagram!$P28),SUMIFS(INDIRECT(ADDRESS(12,3+18*2+(12),,,"J1 D - South Bank Avenue")&amp;":"&amp;ADDRESS(130,3+18*2+(12))),'J1 D - South Bank Avenue'!$A$12:$A$130,"&gt;="&amp;Diagram!$O28,'J1 D - South Bank Avenue'!$A$12:$A$130,"&lt;"&amp;Diagram!$P28)))</f>
        <v>0</v>
      </c>
      <c r="CX28" s="42">
        <f ca="1">IF(OR($I$10="",$O28="",$P28="",$J$39&lt;&gt;"Yes"),0,IF($K$10=0,SUMIFS(INDIRECT(ADDRESS(12,3+18*3+(4),,,"J1 D - South Bank Avenue")&amp;":"&amp;ADDRESS(130,3+18*3+(4))),'J1 D - South Bank Avenue'!$A$12:$A$130,"&gt;="&amp;Diagram!$O28,'J1 D - South Bank Avenue'!$A$12:$A$130,"&lt;"&amp;Diagram!$P28),SUMIFS(INDIRECT(ADDRESS(12,3+18*3+(12),,,"J1 D - South Bank Avenue")&amp;":"&amp;ADDRESS(130,3+18*3+(12))),'J1 D - South Bank Avenue'!$A$12:$A$130,"&gt;="&amp;Diagram!$O28,'J1 D - South Bank Avenue'!$A$12:$A$130,"&lt;"&amp;Diagram!$P28)))</f>
        <v>0</v>
      </c>
      <c r="CY28" s="42">
        <f t="shared" ca="1" si="6"/>
        <v>57</v>
      </c>
      <c r="CZ28" s="42">
        <f ca="1">IF(OR($I$10="",$O28="",$P28="",$J$40&lt;&gt;"Yes"),0,IF($K$10=0,SUMIFS(INDIRECT(ADDRESS(12,3+18*3+(5),,,"J1 A - (North) Bishopthorpe Roa")&amp;":"&amp;ADDRESS(130,3+18*3+(5))),'J1 A - (North) Bishopthorpe Roa'!$A$12:$A$130,"&gt;="&amp;Diagram!$O28,'J1 A - (North) Bishopthorpe Roa'!$A$12:$A$130,"&lt;"&amp;Diagram!$P28),SUMIFS(INDIRECT(ADDRESS(12,3+18*3+(13),,,"J1 A - (North) Bishopthorpe Roa")&amp;":"&amp;ADDRESS(130,3+18*3+(13))),'J1 A - (North) Bishopthorpe Roa'!$A$12:$A$130,"&gt;="&amp;Diagram!$O28,'J1 A - (North) Bishopthorpe Roa'!$A$12:$A$130,"&lt;"&amp;Diagram!$P28)))</f>
        <v>0</v>
      </c>
      <c r="DA28" s="42">
        <f ca="1">IF(OR($I$10="",$O28="",$P28="",$J$40&lt;&gt;"Yes"),0,IF($K$10=0,SUMIFS(INDIRECT(ADDRESS(12,3+18*0+(5),,,"J1 A - (North) Bishopthorpe Roa")&amp;":"&amp;ADDRESS(130,3+18*0+(5))),'J1 A - (North) Bishopthorpe Roa'!$A$12:$A$130,"&gt;="&amp;Diagram!$O28,'J1 A - (North) Bishopthorpe Roa'!$A$12:$A$130,"&lt;"&amp;Diagram!$P28),SUMIFS(INDIRECT(ADDRESS(12,3+18*0+(13),,,"J1 A - (North) Bishopthorpe Roa")&amp;":"&amp;ADDRESS(130,3+18*0+(13))),'J1 A - (North) Bishopthorpe Roa'!$A$12:$A$130,"&gt;="&amp;Diagram!$O28,'J1 A - (North) Bishopthorpe Roa'!$A$12:$A$130,"&lt;"&amp;Diagram!$P28)))</f>
        <v>3</v>
      </c>
      <c r="DB28" s="42">
        <f ca="1">IF(OR($I$10="",$O28="",$P28="",$J$40&lt;&gt;"Yes"),0,IF($K$10=0,SUMIFS(INDIRECT(ADDRESS(12,3+18*1+(5),,,"J1 A - (North) Bishopthorpe Roa")&amp;":"&amp;ADDRESS(130,3+18*1+(5))),'J1 A - (North) Bishopthorpe Roa'!$A$12:$A$130,"&gt;="&amp;Diagram!$O28,'J1 A - (North) Bishopthorpe Roa'!$A$12:$A$130,"&lt;"&amp;Diagram!$P28),SUMIFS(INDIRECT(ADDRESS(12,3+18*1+(13),,,"J1 A - (North) Bishopthorpe Roa")&amp;":"&amp;ADDRESS(130,3+18*1+(13))),'J1 A - (North) Bishopthorpe Roa'!$A$12:$A$130,"&gt;="&amp;Diagram!$O28,'J1 A - (North) Bishopthorpe Roa'!$A$12:$A$130,"&lt;"&amp;Diagram!$P28)))</f>
        <v>7</v>
      </c>
      <c r="DC28" s="42">
        <f ca="1">IF(OR($I$10="",$O28="",$P28="",$J$40&lt;&gt;"Yes"),0,IF($K$10=0,SUMIFS(INDIRECT(ADDRESS(12,3+18*2+(5),,,"J1 A - (North) Bishopthorpe Roa")&amp;":"&amp;ADDRESS(130,3+18*2+(5))),'J1 A - (North) Bishopthorpe Roa'!$A$12:$A$130,"&gt;="&amp;Diagram!$O28,'J1 A - (North) Bishopthorpe Roa'!$A$12:$A$130,"&lt;"&amp;Diagram!$P28),SUMIFS(INDIRECT(ADDRESS(12,3+18*2+(13),,,"J1 A - (North) Bishopthorpe Roa")&amp;":"&amp;ADDRESS(130,3+18*2+(13))),'J1 A - (North) Bishopthorpe Roa'!$A$12:$A$130,"&gt;="&amp;Diagram!$O28,'J1 A - (North) Bishopthorpe Roa'!$A$12:$A$130,"&lt;"&amp;Diagram!$P28)))</f>
        <v>0</v>
      </c>
      <c r="DD28" s="42">
        <f ca="1">IF(OR($I$10="",$O28="",$P28="",$J$40&lt;&gt;"Yes"),0,IF($K$10=0,SUMIFS(INDIRECT(ADDRESS(12,3+18*2+(5),,,"J1 B - Butcher Terrace")&amp;":"&amp;ADDRESS(130,3+18*2+(5))),'J1 B - Butcher Terrace'!$A$12:$A$130,"&gt;="&amp;Diagram!$O28,'J1 B - Butcher Terrace'!$A$12:$A$130,"&lt;"&amp;Diagram!$P28),SUMIFS(INDIRECT(ADDRESS(12,3+18*2+(13),,,"J1 B - Butcher Terrace")&amp;":"&amp;ADDRESS(130,3+18*2+(13))),'J1 B - Butcher Terrace'!$A$12:$A$130,"&gt;="&amp;Diagram!$O28,'J1 B - Butcher Terrace'!$A$12:$A$130,"&lt;"&amp;Diagram!$P28)))</f>
        <v>6</v>
      </c>
      <c r="DE28" s="42">
        <f ca="1">IF(OR($I$10="",$O28="",$P28="",$J$40&lt;&gt;"Yes"),0,IF($K$10=0,SUMIFS(INDIRECT(ADDRESS(12,3+18*3+(5),,,"J1 B - Butcher Terrace")&amp;":"&amp;ADDRESS(130,3+18*3+(5))),'J1 B - Butcher Terrace'!$A$12:$A$130,"&gt;="&amp;Diagram!$O28,'J1 B - Butcher Terrace'!$A$12:$A$130,"&lt;"&amp;Diagram!$P28),SUMIFS(INDIRECT(ADDRESS(12,3+18*3+(13),,,"J1 B - Butcher Terrace")&amp;":"&amp;ADDRESS(130,3+18*3+(13))),'J1 B - Butcher Terrace'!$A$12:$A$130,"&gt;="&amp;Diagram!$O28,'J1 B - Butcher Terrace'!$A$12:$A$130,"&lt;"&amp;Diagram!$P28)))</f>
        <v>0</v>
      </c>
      <c r="DF28" s="42">
        <f ca="1">IF(OR($I$10="",$O28="",$P28="",$J$40&lt;&gt;"Yes"),0,IF($K$10=0,SUMIFS(INDIRECT(ADDRESS(12,3+18*0+(5),,,"J1 B - Butcher Terrace")&amp;":"&amp;ADDRESS(130,3+18*0+(5))),'J1 B - Butcher Terrace'!$A$12:$A$130,"&gt;="&amp;Diagram!$O28,'J1 B - Butcher Terrace'!$A$12:$A$130,"&lt;"&amp;Diagram!$P28),SUMIFS(INDIRECT(ADDRESS(12,3+18*0+(13),,,"J1 B - Butcher Terrace")&amp;":"&amp;ADDRESS(130,3+18*0+(13))),'J1 B - Butcher Terrace'!$A$12:$A$130,"&gt;="&amp;Diagram!$O28,'J1 B - Butcher Terrace'!$A$12:$A$130,"&lt;"&amp;Diagram!$P28)))</f>
        <v>5</v>
      </c>
      <c r="DG28" s="42">
        <f ca="1">IF(OR($I$10="",$O28="",$P28="",$J$40&lt;&gt;"Yes"),0,IF($K$10=0,SUMIFS(INDIRECT(ADDRESS(12,3+18*1+(5),,,"J1 B - Butcher Terrace")&amp;":"&amp;ADDRESS(130,3+18*1+(5))),'J1 B - Butcher Terrace'!$A$12:$A$130,"&gt;="&amp;Diagram!$O28,'J1 B - Butcher Terrace'!$A$12:$A$130,"&lt;"&amp;Diagram!$P28),SUMIFS(INDIRECT(ADDRESS(12,3+18*1+(13),,,"J1 B - Butcher Terrace")&amp;":"&amp;ADDRESS(130,3+18*1+(13))),'J1 B - Butcher Terrace'!$A$12:$A$130,"&gt;="&amp;Diagram!$O28,'J1 B - Butcher Terrace'!$A$12:$A$130,"&lt;"&amp;Diagram!$P28)))</f>
        <v>3</v>
      </c>
      <c r="DH28" s="42">
        <f ca="1">IF(OR($I$10="",$O28="",$P28="",$J$40&lt;&gt;"Yes"),0,IF($K$10=0,SUMIFS(INDIRECT(ADDRESS(12,3+18*1+(5),,,"J1 C - (South) Bishopthorpe Roa")&amp;":"&amp;ADDRESS(130,3+18*1+(5))),'J1 C - (South) Bishopthorpe Roa'!$A$12:$A$130,"&gt;="&amp;Diagram!$O28,'J1 C - (South) Bishopthorpe Roa'!$A$12:$A$130,"&lt;"&amp;Diagram!$P28),SUMIFS(INDIRECT(ADDRESS(12,3+18*1+(13),,,"J1 C - (South) Bishopthorpe Roa")&amp;":"&amp;ADDRESS(130,3+18*1+(13))),'J1 C - (South) Bishopthorpe Roa'!$A$12:$A$130,"&gt;="&amp;Diagram!$O28,'J1 C - (South) Bishopthorpe Roa'!$A$12:$A$130,"&lt;"&amp;Diagram!$P28)))</f>
        <v>15</v>
      </c>
      <c r="DI28" s="42">
        <f ca="1">IF(OR($I$10="",$O28="",$P28="",$J$40&lt;&gt;"Yes"),0,IF($K$10=0,SUMIFS(INDIRECT(ADDRESS(12,3+18*2+(5),,,"J1 C - (South) Bishopthorpe Roa")&amp;":"&amp;ADDRESS(130,3+18*2+(5))),'J1 C - (South) Bishopthorpe Roa'!$A$12:$A$130,"&gt;="&amp;Diagram!$O28,'J1 C - (South) Bishopthorpe Roa'!$A$12:$A$130,"&lt;"&amp;Diagram!$P28),SUMIFS(INDIRECT(ADDRESS(12,3+18*2+(13),,,"J1 C - (South) Bishopthorpe Roa")&amp;":"&amp;ADDRESS(130,3+18*2+(13))),'J1 C - (South) Bishopthorpe Roa'!$A$12:$A$130,"&gt;="&amp;Diagram!$O28,'J1 C - (South) Bishopthorpe Roa'!$A$12:$A$130,"&lt;"&amp;Diagram!$P28)))</f>
        <v>6</v>
      </c>
      <c r="DJ28" s="42">
        <f ca="1">IF(OR($I$10="",$O28="",$P28="",$J$40&lt;&gt;"Yes"),0,IF($K$10=0,SUMIFS(INDIRECT(ADDRESS(12,3+18*3+(5),,,"J1 C - (South) Bishopthorpe Roa")&amp;":"&amp;ADDRESS(130,3+18*3+(5))),'J1 C - (South) Bishopthorpe Roa'!$A$12:$A$130,"&gt;="&amp;Diagram!$O28,'J1 C - (South) Bishopthorpe Roa'!$A$12:$A$130,"&lt;"&amp;Diagram!$P28),SUMIFS(INDIRECT(ADDRESS(12,3+18*3+(13),,,"J1 C - (South) Bishopthorpe Roa")&amp;":"&amp;ADDRESS(130,3+18*3+(13))),'J1 C - (South) Bishopthorpe Roa'!$A$12:$A$130,"&gt;="&amp;Diagram!$O28,'J1 C - (South) Bishopthorpe Roa'!$A$12:$A$130,"&lt;"&amp;Diagram!$P28)))</f>
        <v>0</v>
      </c>
      <c r="DK28" s="42">
        <f ca="1">IF(OR($I$10="",$O28="",$P28="",$J$40&lt;&gt;"Yes"),0,IF($K$10=0,SUMIFS(INDIRECT(ADDRESS(12,3+18*0+(5),,,"J1 C - (South) Bishopthorpe Roa")&amp;":"&amp;ADDRESS(130,3+18*0+(5))),'J1 C - (South) Bishopthorpe Roa'!$A$12:$A$130,"&gt;="&amp;Diagram!$O28,'J1 C - (South) Bishopthorpe Roa'!$A$12:$A$130,"&lt;"&amp;Diagram!$P28),SUMIFS(INDIRECT(ADDRESS(12,3+18*0+(13),,,"J1 C - (South) Bishopthorpe Roa")&amp;":"&amp;ADDRESS(130,3+18*0+(13))),'J1 C - (South) Bishopthorpe Roa'!$A$12:$A$130,"&gt;="&amp;Diagram!$O28,'J1 C - (South) Bishopthorpe Roa'!$A$12:$A$130,"&lt;"&amp;Diagram!$P28)))</f>
        <v>0</v>
      </c>
      <c r="DL28" s="42">
        <f ca="1">IF(OR($I$10="",$O28="",$P28="",$J$40&lt;&gt;"Yes"),0,IF($K$10=0,SUMIFS(INDIRECT(ADDRESS(12,3+18*0+(5),,,"J1 D - South Bank Avenue")&amp;":"&amp;ADDRESS(130,3+18*0+(5))),'J1 D - South Bank Avenue'!$A$12:$A$130,"&gt;="&amp;Diagram!$O28,'J1 D - South Bank Avenue'!$A$12:$A$130,"&lt;"&amp;Diagram!$P28),SUMIFS(INDIRECT(ADDRESS(12,3+18*0+(13),,,"J1 D - South Bank Avenue")&amp;":"&amp;ADDRESS(130,3+18*0+(13))),'J1 D - South Bank Avenue'!$A$12:$A$130,"&gt;="&amp;Diagram!$O28,'J1 D - South Bank Avenue'!$A$12:$A$130,"&lt;"&amp;Diagram!$P28)))</f>
        <v>1</v>
      </c>
      <c r="DM28" s="42">
        <f ca="1">IF(OR($I$10="",$O28="",$P28="",$J$40&lt;&gt;"Yes"),0,IF($K$10=0,SUMIFS(INDIRECT(ADDRESS(12,3+18*1+(5),,,"J1 D - South Bank Avenue")&amp;":"&amp;ADDRESS(130,3+18*1+(5))),'J1 D - South Bank Avenue'!$A$12:$A$130,"&gt;="&amp;Diagram!$O28,'J1 D - South Bank Avenue'!$A$12:$A$130,"&lt;"&amp;Diagram!$P28),SUMIFS(INDIRECT(ADDRESS(12,3+18*1+(13),,,"J1 D - South Bank Avenue")&amp;":"&amp;ADDRESS(130,3+18*1+(13))),'J1 D - South Bank Avenue'!$A$12:$A$130,"&gt;="&amp;Diagram!$O28,'J1 D - South Bank Avenue'!$A$12:$A$130,"&lt;"&amp;Diagram!$P28)))</f>
        <v>10</v>
      </c>
      <c r="DN28" s="42">
        <f ca="1">IF(OR($I$10="",$O28="",$P28="",$J$40&lt;&gt;"Yes"),0,IF($K$10=0,SUMIFS(INDIRECT(ADDRESS(12,3+18*2+(5),,,"J1 D - South Bank Avenue")&amp;":"&amp;ADDRESS(130,3+18*2+(5))),'J1 D - South Bank Avenue'!$A$12:$A$130,"&gt;="&amp;Diagram!$O28,'J1 D - South Bank Avenue'!$A$12:$A$130,"&lt;"&amp;Diagram!$P28),SUMIFS(INDIRECT(ADDRESS(12,3+18*2+(13),,,"J1 D - South Bank Avenue")&amp;":"&amp;ADDRESS(130,3+18*2+(13))),'J1 D - South Bank Avenue'!$A$12:$A$130,"&gt;="&amp;Diagram!$O28,'J1 D - South Bank Avenue'!$A$12:$A$130,"&lt;"&amp;Diagram!$P28)))</f>
        <v>1</v>
      </c>
      <c r="DO28" s="42">
        <f ca="1">IF(OR($I$10="",$O28="",$P28="",$J$40&lt;&gt;"Yes"),0,IF($K$10=0,SUMIFS(INDIRECT(ADDRESS(12,3+18*3+(5),,,"J1 D - South Bank Avenue")&amp;":"&amp;ADDRESS(130,3+18*3+(5))),'J1 D - South Bank Avenue'!$A$12:$A$130,"&gt;="&amp;Diagram!$O28,'J1 D - South Bank Avenue'!$A$12:$A$130,"&lt;"&amp;Diagram!$P28),SUMIFS(INDIRECT(ADDRESS(12,3+18*3+(13),,,"J1 D - South Bank Avenue")&amp;":"&amp;ADDRESS(130,3+18*3+(13))),'J1 D - South Bank Avenue'!$A$12:$A$130,"&gt;="&amp;Diagram!$O28,'J1 D - South Bank Avenue'!$A$12:$A$130,"&lt;"&amp;Diagram!$P28)))</f>
        <v>0</v>
      </c>
      <c r="DP28" s="42">
        <f t="shared" ca="1" si="7"/>
        <v>4</v>
      </c>
      <c r="DQ28" s="42">
        <f ca="1">IF(OR($I$10="",$O28="",$P28="",$J$41&lt;&gt;"Yes"),0,IF($K$10=0,SUMIFS(INDIRECT(ADDRESS(12,3+18*3+(6),,,"J1 A - (North) Bishopthorpe Roa")&amp;":"&amp;ADDRESS(130,3+18*3+(6))),'J1 A - (North) Bishopthorpe Roa'!$A$12:$A$130,"&gt;="&amp;Diagram!$O28,'J1 A - (North) Bishopthorpe Roa'!$A$12:$A$130,"&lt;"&amp;Diagram!$P28),SUMIFS(INDIRECT(ADDRESS(12,3+18*3+(14),,,"J1 A - (North) Bishopthorpe Roa")&amp;":"&amp;ADDRESS(130,3+18*3+(14))),'J1 A - (North) Bishopthorpe Roa'!$A$12:$A$130,"&gt;="&amp;Diagram!$O28,'J1 A - (North) Bishopthorpe Roa'!$A$12:$A$130,"&lt;"&amp;Diagram!$P28)))</f>
        <v>0</v>
      </c>
      <c r="DR28" s="42">
        <f ca="1">IF(OR($I$10="",$O28="",$P28="",$J$41&lt;&gt;"Yes"),0,IF($K$10=0,SUMIFS(INDIRECT(ADDRESS(12,3+18*0+(6),,,"J1 A - (North) Bishopthorpe Roa")&amp;":"&amp;ADDRESS(130,3+18*0+(6))),'J1 A - (North) Bishopthorpe Roa'!$A$12:$A$130,"&gt;="&amp;Diagram!$O28,'J1 A - (North) Bishopthorpe Roa'!$A$12:$A$130,"&lt;"&amp;Diagram!$P28),SUMIFS(INDIRECT(ADDRESS(12,3+18*0+(14),,,"J1 A - (North) Bishopthorpe Roa")&amp;":"&amp;ADDRESS(130,3+18*0+(14))),'J1 A - (North) Bishopthorpe Roa'!$A$12:$A$130,"&gt;="&amp;Diagram!$O28,'J1 A - (North) Bishopthorpe Roa'!$A$12:$A$130,"&lt;"&amp;Diagram!$P28)))</f>
        <v>0</v>
      </c>
      <c r="DS28" s="42">
        <f ca="1">IF(OR($I$10="",$O28="",$P28="",$J$41&lt;&gt;"Yes"),0,IF($K$10=0,SUMIFS(INDIRECT(ADDRESS(12,3+18*1+(6),,,"J1 A - (North) Bishopthorpe Roa")&amp;":"&amp;ADDRESS(130,3+18*1+(6))),'J1 A - (North) Bishopthorpe Roa'!$A$12:$A$130,"&gt;="&amp;Diagram!$O28,'J1 A - (North) Bishopthorpe Roa'!$A$12:$A$130,"&lt;"&amp;Diagram!$P28),SUMIFS(INDIRECT(ADDRESS(12,3+18*1+(14),,,"J1 A - (North) Bishopthorpe Roa")&amp;":"&amp;ADDRESS(130,3+18*1+(14))),'J1 A - (North) Bishopthorpe Roa'!$A$12:$A$130,"&gt;="&amp;Diagram!$O28,'J1 A - (North) Bishopthorpe Roa'!$A$12:$A$130,"&lt;"&amp;Diagram!$P28)))</f>
        <v>0</v>
      </c>
      <c r="DT28" s="42">
        <f ca="1">IF(OR($I$10="",$O28="",$P28="",$J$41&lt;&gt;"Yes"),0,IF($K$10=0,SUMIFS(INDIRECT(ADDRESS(12,3+18*2+(6),,,"J1 A - (North) Bishopthorpe Roa")&amp;":"&amp;ADDRESS(130,3+18*2+(6))),'J1 A - (North) Bishopthorpe Roa'!$A$12:$A$130,"&gt;="&amp;Diagram!$O28,'J1 A - (North) Bishopthorpe Roa'!$A$12:$A$130,"&lt;"&amp;Diagram!$P28),SUMIFS(INDIRECT(ADDRESS(12,3+18*2+(14),,,"J1 A - (North) Bishopthorpe Roa")&amp;":"&amp;ADDRESS(130,3+18*2+(14))),'J1 A - (North) Bishopthorpe Roa'!$A$12:$A$130,"&gt;="&amp;Diagram!$O28,'J1 A - (North) Bishopthorpe Roa'!$A$12:$A$130,"&lt;"&amp;Diagram!$P28)))</f>
        <v>0</v>
      </c>
      <c r="DU28" s="42">
        <f ca="1">IF(OR($I$10="",$O28="",$P28="",$J$41&lt;&gt;"Yes"),0,IF($K$10=0,SUMIFS(INDIRECT(ADDRESS(12,3+18*2+(6),,,"J1 B - Butcher Terrace")&amp;":"&amp;ADDRESS(130,3+18*2+(6))),'J1 B - Butcher Terrace'!$A$12:$A$130,"&gt;="&amp;Diagram!$O28,'J1 B - Butcher Terrace'!$A$12:$A$130,"&lt;"&amp;Diagram!$P28),SUMIFS(INDIRECT(ADDRESS(12,3+18*2+(14),,,"J1 B - Butcher Terrace")&amp;":"&amp;ADDRESS(130,3+18*2+(14))),'J1 B - Butcher Terrace'!$A$12:$A$130,"&gt;="&amp;Diagram!$O28,'J1 B - Butcher Terrace'!$A$12:$A$130,"&lt;"&amp;Diagram!$P28)))</f>
        <v>0</v>
      </c>
      <c r="DV28" s="42">
        <f ca="1">IF(OR($I$10="",$O28="",$P28="",$J$41&lt;&gt;"Yes"),0,IF($K$10=0,SUMIFS(INDIRECT(ADDRESS(12,3+18*3+(6),,,"J1 B - Butcher Terrace")&amp;":"&amp;ADDRESS(130,3+18*3+(6))),'J1 B - Butcher Terrace'!$A$12:$A$130,"&gt;="&amp;Diagram!$O28,'J1 B - Butcher Terrace'!$A$12:$A$130,"&lt;"&amp;Diagram!$P28),SUMIFS(INDIRECT(ADDRESS(12,3+18*3+(14),,,"J1 B - Butcher Terrace")&amp;":"&amp;ADDRESS(130,3+18*3+(14))),'J1 B - Butcher Terrace'!$A$12:$A$130,"&gt;="&amp;Diagram!$O28,'J1 B - Butcher Terrace'!$A$12:$A$130,"&lt;"&amp;Diagram!$P28)))</f>
        <v>0</v>
      </c>
      <c r="DW28" s="42">
        <f ca="1">IF(OR($I$10="",$O28="",$P28="",$J$41&lt;&gt;"Yes"),0,IF($K$10=0,SUMIFS(INDIRECT(ADDRESS(12,3+18*0+(6),,,"J1 B - Butcher Terrace")&amp;":"&amp;ADDRESS(130,3+18*0+(6))),'J1 B - Butcher Terrace'!$A$12:$A$130,"&gt;="&amp;Diagram!$O28,'J1 B - Butcher Terrace'!$A$12:$A$130,"&lt;"&amp;Diagram!$P28),SUMIFS(INDIRECT(ADDRESS(12,3+18*0+(14),,,"J1 B - Butcher Terrace")&amp;":"&amp;ADDRESS(130,3+18*0+(14))),'J1 B - Butcher Terrace'!$A$12:$A$130,"&gt;="&amp;Diagram!$O28,'J1 B - Butcher Terrace'!$A$12:$A$130,"&lt;"&amp;Diagram!$P28)))</f>
        <v>0</v>
      </c>
      <c r="DX28" s="42">
        <f ca="1">IF(OR($I$10="",$O28="",$P28="",$J$41&lt;&gt;"Yes"),0,IF($K$10=0,SUMIFS(INDIRECT(ADDRESS(12,3+18*1+(6),,,"J1 B - Butcher Terrace")&amp;":"&amp;ADDRESS(130,3+18*1+(6))),'J1 B - Butcher Terrace'!$A$12:$A$130,"&gt;="&amp;Diagram!$O28,'J1 B - Butcher Terrace'!$A$12:$A$130,"&lt;"&amp;Diagram!$P28),SUMIFS(INDIRECT(ADDRESS(12,3+18*1+(14),,,"J1 B - Butcher Terrace")&amp;":"&amp;ADDRESS(130,3+18*1+(14))),'J1 B - Butcher Terrace'!$A$12:$A$130,"&gt;="&amp;Diagram!$O28,'J1 B - Butcher Terrace'!$A$12:$A$130,"&lt;"&amp;Diagram!$P28)))</f>
        <v>0</v>
      </c>
      <c r="DY28" s="42">
        <f ca="1">IF(OR($I$10="",$O28="",$P28="",$J$41&lt;&gt;"Yes"),0,IF($K$10=0,SUMIFS(INDIRECT(ADDRESS(12,3+18*1+(6),,,"J1 C - (South) Bishopthorpe Roa")&amp;":"&amp;ADDRESS(130,3+18*1+(6))),'J1 C - (South) Bishopthorpe Roa'!$A$12:$A$130,"&gt;="&amp;Diagram!$O28,'J1 C - (South) Bishopthorpe Roa'!$A$12:$A$130,"&lt;"&amp;Diagram!$P28),SUMIFS(INDIRECT(ADDRESS(12,3+18*1+(14),,,"J1 C - (South) Bishopthorpe Roa")&amp;":"&amp;ADDRESS(130,3+18*1+(14))),'J1 C - (South) Bishopthorpe Roa'!$A$12:$A$130,"&gt;="&amp;Diagram!$O28,'J1 C - (South) Bishopthorpe Roa'!$A$12:$A$130,"&lt;"&amp;Diagram!$P28)))</f>
        <v>2</v>
      </c>
      <c r="DZ28" s="42">
        <f ca="1">IF(OR($I$10="",$O28="",$P28="",$J$41&lt;&gt;"Yes"),0,IF($K$10=0,SUMIFS(INDIRECT(ADDRESS(12,3+18*2+(6),,,"J1 C - (South) Bishopthorpe Roa")&amp;":"&amp;ADDRESS(130,3+18*2+(6))),'J1 C - (South) Bishopthorpe Roa'!$A$12:$A$130,"&gt;="&amp;Diagram!$O28,'J1 C - (South) Bishopthorpe Roa'!$A$12:$A$130,"&lt;"&amp;Diagram!$P28),SUMIFS(INDIRECT(ADDRESS(12,3+18*2+(14),,,"J1 C - (South) Bishopthorpe Roa")&amp;":"&amp;ADDRESS(130,3+18*2+(14))),'J1 C - (South) Bishopthorpe Roa'!$A$12:$A$130,"&gt;="&amp;Diagram!$O28,'J1 C - (South) Bishopthorpe Roa'!$A$12:$A$130,"&lt;"&amp;Diagram!$P28)))</f>
        <v>1</v>
      </c>
      <c r="EA28" s="42">
        <f ca="1">IF(OR($I$10="",$O28="",$P28="",$J$41&lt;&gt;"Yes"),0,IF($K$10=0,SUMIFS(INDIRECT(ADDRESS(12,3+18*3+(6),,,"J1 C - (South) Bishopthorpe Roa")&amp;":"&amp;ADDRESS(130,3+18*3+(6))),'J1 C - (South) Bishopthorpe Roa'!$A$12:$A$130,"&gt;="&amp;Diagram!$O28,'J1 C - (South) Bishopthorpe Roa'!$A$12:$A$130,"&lt;"&amp;Diagram!$P28),SUMIFS(INDIRECT(ADDRESS(12,3+18*3+(14),,,"J1 C - (South) Bishopthorpe Roa")&amp;":"&amp;ADDRESS(130,3+18*3+(14))),'J1 C - (South) Bishopthorpe Roa'!$A$12:$A$130,"&gt;="&amp;Diagram!$O28,'J1 C - (South) Bishopthorpe Roa'!$A$12:$A$130,"&lt;"&amp;Diagram!$P28)))</f>
        <v>0</v>
      </c>
      <c r="EB28" s="42">
        <f ca="1">IF(OR($I$10="",$O28="",$P28="",$J$41&lt;&gt;"Yes"),0,IF($K$10=0,SUMIFS(INDIRECT(ADDRESS(12,3+18*0+(6),,,"J1 C - (South) Bishopthorpe Roa")&amp;":"&amp;ADDRESS(130,3+18*0+(6))),'J1 C - (South) Bishopthorpe Roa'!$A$12:$A$130,"&gt;="&amp;Diagram!$O28,'J1 C - (South) Bishopthorpe Roa'!$A$12:$A$130,"&lt;"&amp;Diagram!$P28),SUMIFS(INDIRECT(ADDRESS(12,3+18*0+(14),,,"J1 C - (South) Bishopthorpe Roa")&amp;":"&amp;ADDRESS(130,3+18*0+(14))),'J1 C - (South) Bishopthorpe Roa'!$A$12:$A$130,"&gt;="&amp;Diagram!$O28,'J1 C - (South) Bishopthorpe Roa'!$A$12:$A$130,"&lt;"&amp;Diagram!$P28)))</f>
        <v>0</v>
      </c>
      <c r="EC28" s="42">
        <f ca="1">IF(OR($I$10="",$O28="",$P28="",$J$41&lt;&gt;"Yes"),0,IF($K$10=0,SUMIFS(INDIRECT(ADDRESS(12,3+18*0+(6),,,"J1 D - South Bank Avenue")&amp;":"&amp;ADDRESS(130,3+18*0+(6))),'J1 D - South Bank Avenue'!$A$12:$A$130,"&gt;="&amp;Diagram!$O28,'J1 D - South Bank Avenue'!$A$12:$A$130,"&lt;"&amp;Diagram!$P28),SUMIFS(INDIRECT(ADDRESS(12,3+18*0+(14),,,"J1 D - South Bank Avenue")&amp;":"&amp;ADDRESS(130,3+18*0+(14))),'J1 D - South Bank Avenue'!$A$12:$A$130,"&gt;="&amp;Diagram!$O28,'J1 D - South Bank Avenue'!$A$12:$A$130,"&lt;"&amp;Diagram!$P28)))</f>
        <v>1</v>
      </c>
      <c r="ED28" s="42">
        <f ca="1">IF(OR($I$10="",$O28="",$P28="",$J$41&lt;&gt;"Yes"),0,IF($K$10=0,SUMIFS(INDIRECT(ADDRESS(12,3+18*1+(6),,,"J1 D - South Bank Avenue")&amp;":"&amp;ADDRESS(130,3+18*1+(6))),'J1 D - South Bank Avenue'!$A$12:$A$130,"&gt;="&amp;Diagram!$O28,'J1 D - South Bank Avenue'!$A$12:$A$130,"&lt;"&amp;Diagram!$P28),SUMIFS(INDIRECT(ADDRESS(12,3+18*1+(14),,,"J1 D - South Bank Avenue")&amp;":"&amp;ADDRESS(130,3+18*1+(14))),'J1 D - South Bank Avenue'!$A$12:$A$130,"&gt;="&amp;Diagram!$O28,'J1 D - South Bank Avenue'!$A$12:$A$130,"&lt;"&amp;Diagram!$P28)))</f>
        <v>0</v>
      </c>
      <c r="EE28" s="42">
        <f ca="1">IF(OR($I$10="",$O28="",$P28="",$J$41&lt;&gt;"Yes"),0,IF($K$10=0,SUMIFS(INDIRECT(ADDRESS(12,3+18*2+(6),,,"J1 D - South Bank Avenue")&amp;":"&amp;ADDRESS(130,3+18*2+(6))),'J1 D - South Bank Avenue'!$A$12:$A$130,"&gt;="&amp;Diagram!$O28,'J1 D - South Bank Avenue'!$A$12:$A$130,"&lt;"&amp;Diagram!$P28),SUMIFS(INDIRECT(ADDRESS(12,3+18*2+(14),,,"J1 D - South Bank Avenue")&amp;":"&amp;ADDRESS(130,3+18*2+(14))),'J1 D - South Bank Avenue'!$A$12:$A$130,"&gt;="&amp;Diagram!$O28,'J1 D - South Bank Avenue'!$A$12:$A$130,"&lt;"&amp;Diagram!$P28)))</f>
        <v>0</v>
      </c>
      <c r="EF28" s="42">
        <f ca="1">IF(OR($I$10="",$O28="",$P28="",$J$41&lt;&gt;"Yes"),0,IF($K$10=0,SUMIFS(INDIRECT(ADDRESS(12,3+18*3+(6),,,"J1 D - South Bank Avenue")&amp;":"&amp;ADDRESS(130,3+18*3+(6))),'J1 D - South Bank Avenue'!$A$12:$A$130,"&gt;="&amp;Diagram!$O28,'J1 D - South Bank Avenue'!$A$12:$A$130,"&lt;"&amp;Diagram!$P28),SUMIFS(INDIRECT(ADDRESS(12,3+18*3+(14),,,"J1 D - South Bank Avenue")&amp;":"&amp;ADDRESS(130,3+18*3+(14))),'J1 D - South Bank Avenue'!$A$12:$A$130,"&gt;="&amp;Diagram!$O28,'J1 D - South Bank Avenue'!$A$12:$A$130,"&lt;"&amp;Diagram!$P28)))</f>
        <v>0</v>
      </c>
      <c r="EG28" s="42">
        <f t="shared" ca="1" si="8"/>
        <v>0</v>
      </c>
      <c r="EH28" s="42">
        <f ca="1">IF(OR($I$10="",$O28="",$P28="",$J$42&lt;&gt;"Yes"),0,IF($K$10=0,SUMIFS(INDIRECT(ADDRESS(12,3+18*3+(7),,,"J1 A - (North) Bishopthorpe Roa")&amp;":"&amp;ADDRESS(130,3+18*3+(7))),'J1 A - (North) Bishopthorpe Roa'!$A$12:$A$130,"&gt;="&amp;Diagram!$O28,'J1 A - (North) Bishopthorpe Roa'!$A$12:$A$130,"&lt;"&amp;Diagram!$P28),SUMIFS(INDIRECT(ADDRESS(12,3+18*3+(15),,,"J1 A - (North) Bishopthorpe Roa")&amp;":"&amp;ADDRESS(130,3+18*3+(15))),'J1 A - (North) Bishopthorpe Roa'!$A$12:$A$130,"&gt;="&amp;Diagram!$O28,'J1 A - (North) Bishopthorpe Roa'!$A$12:$A$130,"&lt;"&amp;Diagram!$P28)))</f>
        <v>0</v>
      </c>
      <c r="EI28" s="42">
        <f ca="1">IF(OR($I$10="",$O28="",$P28="",$J$42&lt;&gt;"Yes"),0,IF($K$10=0,SUMIFS(INDIRECT(ADDRESS(12,3+18*0+(7),,,"J1 A - (North) Bishopthorpe Roa")&amp;":"&amp;ADDRESS(130,3+18*0+(7))),'J1 A - (North) Bishopthorpe Roa'!$A$12:$A$130,"&gt;="&amp;Diagram!$O28,'J1 A - (North) Bishopthorpe Roa'!$A$12:$A$130,"&lt;"&amp;Diagram!$P28),SUMIFS(INDIRECT(ADDRESS(12,3+18*0+(15),,,"J1 A - (North) Bishopthorpe Roa")&amp;":"&amp;ADDRESS(130,3+18*0+(15))),'J1 A - (North) Bishopthorpe Roa'!$A$12:$A$130,"&gt;="&amp;Diagram!$O28,'J1 A - (North) Bishopthorpe Roa'!$A$12:$A$130,"&lt;"&amp;Diagram!$P28)))</f>
        <v>0</v>
      </c>
      <c r="EJ28" s="42">
        <f ca="1">IF(OR($I$10="",$O28="",$P28="",$J$42&lt;&gt;"Yes"),0,IF($K$10=0,SUMIFS(INDIRECT(ADDRESS(12,3+18*1+(7),,,"J1 A - (North) Bishopthorpe Roa")&amp;":"&amp;ADDRESS(130,3+18*1+(7))),'J1 A - (North) Bishopthorpe Roa'!$A$12:$A$130,"&gt;="&amp;Diagram!$O28,'J1 A - (North) Bishopthorpe Roa'!$A$12:$A$130,"&lt;"&amp;Diagram!$P28),SUMIFS(INDIRECT(ADDRESS(12,3+18*1+(15),,,"J1 A - (North) Bishopthorpe Roa")&amp;":"&amp;ADDRESS(130,3+18*1+(15))),'J1 A - (North) Bishopthorpe Roa'!$A$12:$A$130,"&gt;="&amp;Diagram!$O28,'J1 A - (North) Bishopthorpe Roa'!$A$12:$A$130,"&lt;"&amp;Diagram!$P28)))</f>
        <v>0</v>
      </c>
      <c r="EK28" s="42">
        <f ca="1">IF(OR($I$10="",$O28="",$P28="",$J$42&lt;&gt;"Yes"),0,IF($K$10=0,SUMIFS(INDIRECT(ADDRESS(12,3+18*2+(7),,,"J1 A - (North) Bishopthorpe Roa")&amp;":"&amp;ADDRESS(130,3+18*2+(7))),'J1 A - (North) Bishopthorpe Roa'!$A$12:$A$130,"&gt;="&amp;Diagram!$O28,'J1 A - (North) Bishopthorpe Roa'!$A$12:$A$130,"&lt;"&amp;Diagram!$P28),SUMIFS(INDIRECT(ADDRESS(12,3+18*2+(15),,,"J1 A - (North) Bishopthorpe Roa")&amp;":"&amp;ADDRESS(130,3+18*2+(15))),'J1 A - (North) Bishopthorpe Roa'!$A$12:$A$130,"&gt;="&amp;Diagram!$O28,'J1 A - (North) Bishopthorpe Roa'!$A$12:$A$130,"&lt;"&amp;Diagram!$P28)))</f>
        <v>0</v>
      </c>
      <c r="EL28" s="42">
        <f ca="1">IF(OR($I$10="",$O28="",$P28="",$J$42&lt;&gt;"Yes"),0,IF($K$10=0,SUMIFS(INDIRECT(ADDRESS(12,3+18*2+(7),,,"J1 B - Butcher Terrace")&amp;":"&amp;ADDRESS(130,3+18*2+(7))),'J1 B - Butcher Terrace'!$A$12:$A$130,"&gt;="&amp;Diagram!$O28,'J1 B - Butcher Terrace'!$A$12:$A$130,"&lt;"&amp;Diagram!$P28),SUMIFS(INDIRECT(ADDRESS(12,3+18*2+(15),,,"J1 B - Butcher Terrace")&amp;":"&amp;ADDRESS(130,3+18*2+(15))),'J1 B - Butcher Terrace'!$A$12:$A$130,"&gt;="&amp;Diagram!$O28,'J1 B - Butcher Terrace'!$A$12:$A$130,"&lt;"&amp;Diagram!$P28)))</f>
        <v>0</v>
      </c>
      <c r="EM28" s="42">
        <f ca="1">IF(OR($I$10="",$O28="",$P28="",$J$42&lt;&gt;"Yes"),0,IF($K$10=0,SUMIFS(INDIRECT(ADDRESS(12,3+18*3+(7),,,"J1 B - Butcher Terrace")&amp;":"&amp;ADDRESS(130,3+18*3+(7))),'J1 B - Butcher Terrace'!$A$12:$A$130,"&gt;="&amp;Diagram!$O28,'J1 B - Butcher Terrace'!$A$12:$A$130,"&lt;"&amp;Diagram!$P28),SUMIFS(INDIRECT(ADDRESS(12,3+18*3+(15),,,"J1 B - Butcher Terrace")&amp;":"&amp;ADDRESS(130,3+18*3+(15))),'J1 B - Butcher Terrace'!$A$12:$A$130,"&gt;="&amp;Diagram!$O28,'J1 B - Butcher Terrace'!$A$12:$A$130,"&lt;"&amp;Diagram!$P28)))</f>
        <v>0</v>
      </c>
      <c r="EN28" s="42">
        <f ca="1">IF(OR($I$10="",$O28="",$P28="",$J$42&lt;&gt;"Yes"),0,IF($K$10=0,SUMIFS(INDIRECT(ADDRESS(12,3+18*0+(7),,,"J1 B - Butcher Terrace")&amp;":"&amp;ADDRESS(130,3+18*0+(7))),'J1 B - Butcher Terrace'!$A$12:$A$130,"&gt;="&amp;Diagram!$O28,'J1 B - Butcher Terrace'!$A$12:$A$130,"&lt;"&amp;Diagram!$P28),SUMIFS(INDIRECT(ADDRESS(12,3+18*0+(15),,,"J1 B - Butcher Terrace")&amp;":"&amp;ADDRESS(130,3+18*0+(15))),'J1 B - Butcher Terrace'!$A$12:$A$130,"&gt;="&amp;Diagram!$O28,'J1 B - Butcher Terrace'!$A$12:$A$130,"&lt;"&amp;Diagram!$P28)))</f>
        <v>0</v>
      </c>
      <c r="EO28" s="42">
        <f ca="1">IF(OR($I$10="",$O28="",$P28="",$J$42&lt;&gt;"Yes"),0,IF($K$10=0,SUMIFS(INDIRECT(ADDRESS(12,3+18*1+(7),,,"J1 B - Butcher Terrace")&amp;":"&amp;ADDRESS(130,3+18*1+(7))),'J1 B - Butcher Terrace'!$A$12:$A$130,"&gt;="&amp;Diagram!$O28,'J1 B - Butcher Terrace'!$A$12:$A$130,"&lt;"&amp;Diagram!$P28),SUMIFS(INDIRECT(ADDRESS(12,3+18*1+(15),,,"J1 B - Butcher Terrace")&amp;":"&amp;ADDRESS(130,3+18*1+(15))),'J1 B - Butcher Terrace'!$A$12:$A$130,"&gt;="&amp;Diagram!$O28,'J1 B - Butcher Terrace'!$A$12:$A$130,"&lt;"&amp;Diagram!$P28)))</f>
        <v>0</v>
      </c>
      <c r="EP28" s="42">
        <f ca="1">IF(OR($I$10="",$O28="",$P28="",$J$42&lt;&gt;"Yes"),0,IF($K$10=0,SUMIFS(INDIRECT(ADDRESS(12,3+18*1+(7),,,"J1 C - (South) Bishopthorpe Roa")&amp;":"&amp;ADDRESS(130,3+18*1+(7))),'J1 C - (South) Bishopthorpe Roa'!$A$12:$A$130,"&gt;="&amp;Diagram!$O28,'J1 C - (South) Bishopthorpe Roa'!$A$12:$A$130,"&lt;"&amp;Diagram!$P28),SUMIFS(INDIRECT(ADDRESS(12,3+18*1+(15),,,"J1 C - (South) Bishopthorpe Roa")&amp;":"&amp;ADDRESS(130,3+18*1+(15))),'J1 C - (South) Bishopthorpe Roa'!$A$12:$A$130,"&gt;="&amp;Diagram!$O28,'J1 C - (South) Bishopthorpe Roa'!$A$12:$A$130,"&lt;"&amp;Diagram!$P28)))</f>
        <v>0</v>
      </c>
      <c r="EQ28" s="42">
        <f ca="1">IF(OR($I$10="",$O28="",$P28="",$J$42&lt;&gt;"Yes"),0,IF($K$10=0,SUMIFS(INDIRECT(ADDRESS(12,3+18*2+(7),,,"J1 C - (South) Bishopthorpe Roa")&amp;":"&amp;ADDRESS(130,3+18*2+(7))),'J1 C - (South) Bishopthorpe Roa'!$A$12:$A$130,"&gt;="&amp;Diagram!$O28,'J1 C - (South) Bishopthorpe Roa'!$A$12:$A$130,"&lt;"&amp;Diagram!$P28),SUMIFS(INDIRECT(ADDRESS(12,3+18*2+(15),,,"J1 C - (South) Bishopthorpe Roa")&amp;":"&amp;ADDRESS(130,3+18*2+(15))),'J1 C - (South) Bishopthorpe Roa'!$A$12:$A$130,"&gt;="&amp;Diagram!$O28,'J1 C - (South) Bishopthorpe Roa'!$A$12:$A$130,"&lt;"&amp;Diagram!$P28)))</f>
        <v>0</v>
      </c>
      <c r="ER28" s="42">
        <f ca="1">IF(OR($I$10="",$O28="",$P28="",$J$42&lt;&gt;"Yes"),0,IF($K$10=0,SUMIFS(INDIRECT(ADDRESS(12,3+18*3+(7),,,"J1 C - (South) Bishopthorpe Roa")&amp;":"&amp;ADDRESS(130,3+18*3+(7))),'J1 C - (South) Bishopthorpe Roa'!$A$12:$A$130,"&gt;="&amp;Diagram!$O28,'J1 C - (South) Bishopthorpe Roa'!$A$12:$A$130,"&lt;"&amp;Diagram!$P28),SUMIFS(INDIRECT(ADDRESS(12,3+18*3+(15),,,"J1 C - (South) Bishopthorpe Roa")&amp;":"&amp;ADDRESS(130,3+18*3+(15))),'J1 C - (South) Bishopthorpe Roa'!$A$12:$A$130,"&gt;="&amp;Diagram!$O28,'J1 C - (South) Bishopthorpe Roa'!$A$12:$A$130,"&lt;"&amp;Diagram!$P28)))</f>
        <v>0</v>
      </c>
      <c r="ES28" s="42">
        <f ca="1">IF(OR($I$10="",$O28="",$P28="",$J$42&lt;&gt;"Yes"),0,IF($K$10=0,SUMIFS(INDIRECT(ADDRESS(12,3+18*0+(7),,,"J1 C - (South) Bishopthorpe Roa")&amp;":"&amp;ADDRESS(130,3+18*0+(7))),'J1 C - (South) Bishopthorpe Roa'!$A$12:$A$130,"&gt;="&amp;Diagram!$O28,'J1 C - (South) Bishopthorpe Roa'!$A$12:$A$130,"&lt;"&amp;Diagram!$P28),SUMIFS(INDIRECT(ADDRESS(12,3+18*0+(15),,,"J1 C - (South) Bishopthorpe Roa")&amp;":"&amp;ADDRESS(130,3+18*0+(15))),'J1 C - (South) Bishopthorpe Roa'!$A$12:$A$130,"&gt;="&amp;Diagram!$O28,'J1 C - (South) Bishopthorpe Roa'!$A$12:$A$130,"&lt;"&amp;Diagram!$P28)))</f>
        <v>0</v>
      </c>
      <c r="ET28" s="42">
        <f ca="1">IF(OR($I$10="",$O28="",$P28="",$J$42&lt;&gt;"Yes"),0,IF($K$10=0,SUMIFS(INDIRECT(ADDRESS(12,3+18*0+(7),,,"J1 D - South Bank Avenue")&amp;":"&amp;ADDRESS(130,3+18*0+(7))),'J1 D - South Bank Avenue'!$A$12:$A$130,"&gt;="&amp;Diagram!$O28,'J1 D - South Bank Avenue'!$A$12:$A$130,"&lt;"&amp;Diagram!$P28),SUMIFS(INDIRECT(ADDRESS(12,3+18*0+(15),,,"J1 D - South Bank Avenue")&amp;":"&amp;ADDRESS(130,3+18*0+(15))),'J1 D - South Bank Avenue'!$A$12:$A$130,"&gt;="&amp;Diagram!$O28,'J1 D - South Bank Avenue'!$A$12:$A$130,"&lt;"&amp;Diagram!$P28)))</f>
        <v>0</v>
      </c>
      <c r="EU28" s="42">
        <f ca="1">IF(OR($I$10="",$O28="",$P28="",$J$42&lt;&gt;"Yes"),0,IF($K$10=0,SUMIFS(INDIRECT(ADDRESS(12,3+18*1+(7),,,"J1 D - South Bank Avenue")&amp;":"&amp;ADDRESS(130,3+18*1+(7))),'J1 D - South Bank Avenue'!$A$12:$A$130,"&gt;="&amp;Diagram!$O28,'J1 D - South Bank Avenue'!$A$12:$A$130,"&lt;"&amp;Diagram!$P28),SUMIFS(INDIRECT(ADDRESS(12,3+18*1+(15),,,"J1 D - South Bank Avenue")&amp;":"&amp;ADDRESS(130,3+18*1+(15))),'J1 D - South Bank Avenue'!$A$12:$A$130,"&gt;="&amp;Diagram!$O28,'J1 D - South Bank Avenue'!$A$12:$A$130,"&lt;"&amp;Diagram!$P28)))</f>
        <v>0</v>
      </c>
      <c r="EV28" s="42">
        <f ca="1">IF(OR($I$10="",$O28="",$P28="",$J$42&lt;&gt;"Yes"),0,IF($K$10=0,SUMIFS(INDIRECT(ADDRESS(12,3+18*2+(7),,,"J1 D - South Bank Avenue")&amp;":"&amp;ADDRESS(130,3+18*2+(7))),'J1 D - South Bank Avenue'!$A$12:$A$130,"&gt;="&amp;Diagram!$O28,'J1 D - South Bank Avenue'!$A$12:$A$130,"&lt;"&amp;Diagram!$P28),SUMIFS(INDIRECT(ADDRESS(12,3+18*2+(15),,,"J1 D - South Bank Avenue")&amp;":"&amp;ADDRESS(130,3+18*2+(15))),'J1 D - South Bank Avenue'!$A$12:$A$130,"&gt;="&amp;Diagram!$O28,'J1 D - South Bank Avenue'!$A$12:$A$130,"&lt;"&amp;Diagram!$P28)))</f>
        <v>0</v>
      </c>
      <c r="EW28" s="42">
        <f ca="1">IF(OR($I$10="",$O28="",$P28="",$J$42&lt;&gt;"Yes"),0,IF($K$10=0,SUMIFS(INDIRECT(ADDRESS(12,3+18*3+(7),,,"J1 D - South Bank Avenue")&amp;":"&amp;ADDRESS(130,3+18*3+(7))),'J1 D - South Bank Avenue'!$A$12:$A$130,"&gt;="&amp;Diagram!$O28,'J1 D - South Bank Avenue'!$A$12:$A$130,"&lt;"&amp;Diagram!$P28),SUMIFS(INDIRECT(ADDRESS(12,3+18*3+(15),,,"J1 D - South Bank Avenue")&amp;":"&amp;ADDRESS(130,3+18*3+(15))),'J1 D - South Bank Avenue'!$A$12:$A$130,"&gt;="&amp;Diagram!$O28,'J1 D - South Bank Avenue'!$A$12:$A$130,"&lt;"&amp;Diagram!$P28)))</f>
        <v>0</v>
      </c>
    </row>
    <row r="29" spans="1:153" ht="21" hidden="1" customHeight="1">
      <c r="A29" s="1">
        <v>44395.291666666701</v>
      </c>
      <c r="B29" s="1">
        <v>44395.302083333299</v>
      </c>
      <c r="I29" s="24">
        <f ca="1">SUM($V$100,$AD$100,$AL$100,$AT$100,$BB$100,$BJ$100,$BR$100,$BZ$100)</f>
        <v>390</v>
      </c>
      <c r="J29" s="20">
        <f ca="1">SUM($W$100,$AE$100,$AM$100,$AU$100,$BC$100,$BK$100,$BS$100,$CA$100)</f>
        <v>0</v>
      </c>
      <c r="K29" s="24">
        <f ca="1">SUM($X$100,$AF$100,$AN$100,$AV$100,$BD$100,$BL$100,$BT$100,$CB$100)</f>
        <v>256</v>
      </c>
      <c r="L29" s="24">
        <f ca="1">SUM($Y$100,$AG$100,$AO$100,$AW$100,$BE$100,$BM$100,$BU$100,$CC$100)</f>
        <v>365</v>
      </c>
      <c r="M29" s="30">
        <f ca="1">SUM($I$29:$L$29)</f>
        <v>1011</v>
      </c>
      <c r="O29" s="3">
        <v>44395.291666666701</v>
      </c>
      <c r="P29" s="3">
        <v>44395.333333333299</v>
      </c>
      <c r="Q29" s="42">
        <f t="shared" ca="1" si="0"/>
        <v>466</v>
      </c>
      <c r="R29" s="42">
        <f t="shared" ca="1" si="1"/>
        <v>310</v>
      </c>
      <c r="S29" s="42">
        <f ca="1">IF(OR($I$10="",$O29="",$P29="",$J$35&lt;&gt;"Yes"),0,IF($K$10=0,SUMIFS(INDIRECT(ADDRESS(12,3+18*3+(0),,,"J1 A - (North) Bishopthorpe Roa")&amp;":"&amp;ADDRESS(130,3+18*3+(0))),'J1 A - (North) Bishopthorpe Roa'!$A$12:$A$130,"&gt;="&amp;Diagram!$O29,'J1 A - (North) Bishopthorpe Roa'!$A$12:$A$130,"&lt;"&amp;Diagram!$P29),SUMIFS(INDIRECT(ADDRESS(12,3+18*3+(8),,,"J1 A - (North) Bishopthorpe Roa")&amp;":"&amp;ADDRESS(130,3+18*3+(8))),'J1 A - (North) Bishopthorpe Roa'!$A$12:$A$130,"&gt;="&amp;Diagram!$O29,'J1 A - (North) Bishopthorpe Roa'!$A$12:$A$130,"&lt;"&amp;Diagram!$P29)))</f>
        <v>1</v>
      </c>
      <c r="T29" s="42">
        <f ca="1">IF(OR($I$10="",$O29="",$P29="",$J$35&lt;&gt;"Yes"),0,IF($K$10=0,SUMIFS(INDIRECT(ADDRESS(12,3+18*0+(0),,,"J1 A - (North) Bishopthorpe Roa")&amp;":"&amp;ADDRESS(130,3+18*0+(0))),'J1 A - (North) Bishopthorpe Roa'!$A$12:$A$130,"&gt;="&amp;Diagram!$O29,'J1 A - (North) Bishopthorpe Roa'!$A$12:$A$130,"&lt;"&amp;Diagram!$P29),SUMIFS(INDIRECT(ADDRESS(12,3+18*0+(8),,,"J1 A - (North) Bishopthorpe Roa")&amp;":"&amp;ADDRESS(130,3+18*0+(8))),'J1 A - (North) Bishopthorpe Roa'!$A$12:$A$130,"&gt;="&amp;Diagram!$O29,'J1 A - (North) Bishopthorpe Roa'!$A$12:$A$130,"&lt;"&amp;Diagram!$P29)))</f>
        <v>5</v>
      </c>
      <c r="U29" s="42">
        <f ca="1">IF(OR($I$10="",$O29="",$P29="",$J$35&lt;&gt;"Yes"),0,IF($K$10=0,SUMIFS(INDIRECT(ADDRESS(12,3+18*1+(0),,,"J1 A - (North) Bishopthorpe Roa")&amp;":"&amp;ADDRESS(130,3+18*1+(0))),'J1 A - (North) Bishopthorpe Roa'!$A$12:$A$130,"&gt;="&amp;Diagram!$O29,'J1 A - (North) Bishopthorpe Roa'!$A$12:$A$130,"&lt;"&amp;Diagram!$P29),SUMIFS(INDIRECT(ADDRESS(12,3+18*1+(8),,,"J1 A - (North) Bishopthorpe Roa")&amp;":"&amp;ADDRESS(130,3+18*1+(8))),'J1 A - (North) Bishopthorpe Roa'!$A$12:$A$130,"&gt;="&amp;Diagram!$O29,'J1 A - (North) Bishopthorpe Roa'!$A$12:$A$130,"&lt;"&amp;Diagram!$P29)))</f>
        <v>103</v>
      </c>
      <c r="V29" s="42">
        <f ca="1">IF(OR($I$10="",$O29="",$P29="",$J$35&lt;&gt;"Yes"),0,IF($K$10=0,SUMIFS(INDIRECT(ADDRESS(12,3+18*2+(0),,,"J1 A - (North) Bishopthorpe Roa")&amp;":"&amp;ADDRESS(130,3+18*2+(0))),'J1 A - (North) Bishopthorpe Roa'!$A$12:$A$130,"&gt;="&amp;Diagram!$O29,'J1 A - (North) Bishopthorpe Roa'!$A$12:$A$130,"&lt;"&amp;Diagram!$P29),SUMIFS(INDIRECT(ADDRESS(12,3+18*2+(8),,,"J1 A - (North) Bishopthorpe Roa")&amp;":"&amp;ADDRESS(130,3+18*2+(8))),'J1 A - (North) Bishopthorpe Roa'!$A$12:$A$130,"&gt;="&amp;Diagram!$O29,'J1 A - (North) Bishopthorpe Roa'!$A$12:$A$130,"&lt;"&amp;Diagram!$P29)))</f>
        <v>5</v>
      </c>
      <c r="W29" s="42">
        <f ca="1">IF(OR($I$10="",$O29="",$P29="",$J$35&lt;&gt;"Yes"),0,IF($K$10=0,SUMIFS(INDIRECT(ADDRESS(12,3+18*2+(0),,,"J1 B - Butcher Terrace")&amp;":"&amp;ADDRESS(130,3+18*2+(0))),'J1 B - Butcher Terrace'!$A$12:$A$130,"&gt;="&amp;Diagram!$O29,'J1 B - Butcher Terrace'!$A$12:$A$130,"&lt;"&amp;Diagram!$P29),SUMIFS(INDIRECT(ADDRESS(12,3+18*2+(8),,,"J1 B - Butcher Terrace")&amp;":"&amp;ADDRESS(130,3+18*2+(8))),'J1 B - Butcher Terrace'!$A$12:$A$130,"&gt;="&amp;Diagram!$O29,'J1 B - Butcher Terrace'!$A$12:$A$130,"&lt;"&amp;Diagram!$P29)))</f>
        <v>8</v>
      </c>
      <c r="X29" s="42">
        <f ca="1">IF(OR($I$10="",$O29="",$P29="",$J$35&lt;&gt;"Yes"),0,IF($K$10=0,SUMIFS(INDIRECT(ADDRESS(12,3+18*3+(0),,,"J1 B - Butcher Terrace")&amp;":"&amp;ADDRESS(130,3+18*3+(0))),'J1 B - Butcher Terrace'!$A$12:$A$130,"&gt;="&amp;Diagram!$O29,'J1 B - Butcher Terrace'!$A$12:$A$130,"&lt;"&amp;Diagram!$P29),SUMIFS(INDIRECT(ADDRESS(12,3+18*3+(8),,,"J1 B - Butcher Terrace")&amp;":"&amp;ADDRESS(130,3+18*3+(8))),'J1 B - Butcher Terrace'!$A$12:$A$130,"&gt;="&amp;Diagram!$O29,'J1 B - Butcher Terrace'!$A$12:$A$130,"&lt;"&amp;Diagram!$P29)))</f>
        <v>0</v>
      </c>
      <c r="Y29" s="42">
        <f ca="1">IF(OR($I$10="",$O29="",$P29="",$J$35&lt;&gt;"Yes"),0,IF($K$10=0,SUMIFS(INDIRECT(ADDRESS(12,3+18*0+(0),,,"J1 B - Butcher Terrace")&amp;":"&amp;ADDRESS(130,3+18*0+(0))),'J1 B - Butcher Terrace'!$A$12:$A$130,"&gt;="&amp;Diagram!$O29,'J1 B - Butcher Terrace'!$A$12:$A$130,"&lt;"&amp;Diagram!$P29),SUMIFS(INDIRECT(ADDRESS(12,3+18*0+(8),,,"J1 B - Butcher Terrace")&amp;":"&amp;ADDRESS(130,3+18*0+(8))),'J1 B - Butcher Terrace'!$A$12:$A$130,"&gt;="&amp;Diagram!$O29,'J1 B - Butcher Terrace'!$A$12:$A$130,"&lt;"&amp;Diagram!$P29)))</f>
        <v>4</v>
      </c>
      <c r="Z29" s="42">
        <f ca="1">IF(OR($I$10="",$O29="",$P29="",$J$35&lt;&gt;"Yes"),0,IF($K$10=0,SUMIFS(INDIRECT(ADDRESS(12,3+18*1+(0),,,"J1 B - Butcher Terrace")&amp;":"&amp;ADDRESS(130,3+18*1+(0))),'J1 B - Butcher Terrace'!$A$12:$A$130,"&gt;="&amp;Diagram!$O29,'J1 B - Butcher Terrace'!$A$12:$A$130,"&lt;"&amp;Diagram!$P29),SUMIFS(INDIRECT(ADDRESS(12,3+18*1+(8),,,"J1 B - Butcher Terrace")&amp;":"&amp;ADDRESS(130,3+18*1+(8))),'J1 B - Butcher Terrace'!$A$12:$A$130,"&gt;="&amp;Diagram!$O29,'J1 B - Butcher Terrace'!$A$12:$A$130,"&lt;"&amp;Diagram!$P29)))</f>
        <v>0</v>
      </c>
      <c r="AA29" s="42">
        <f ca="1">IF(OR($I$10="",$O29="",$P29="",$J$35&lt;&gt;"Yes"),0,IF($K$10=0,SUMIFS(INDIRECT(ADDRESS(12,3+18*1+(0),,,"J1 C - (South) Bishopthorpe Roa")&amp;":"&amp;ADDRESS(130,3+18*1+(0))),'J1 C - (South) Bishopthorpe Roa'!$A$12:$A$130,"&gt;="&amp;Diagram!$O29,'J1 C - (South) Bishopthorpe Roa'!$A$12:$A$130,"&lt;"&amp;Diagram!$P29),SUMIFS(INDIRECT(ADDRESS(12,3+18*1+(8),,,"J1 C - (South) Bishopthorpe Roa")&amp;":"&amp;ADDRESS(130,3+18*1+(8))),'J1 C - (South) Bishopthorpe Roa'!$A$12:$A$130,"&gt;="&amp;Diagram!$O29,'J1 C - (South) Bishopthorpe Roa'!$A$12:$A$130,"&lt;"&amp;Diagram!$P29)))</f>
        <v>150</v>
      </c>
      <c r="AB29" s="42">
        <f ca="1">IF(OR($I$10="",$O29="",$P29="",$J$35&lt;&gt;"Yes"),0,IF($K$10=0,SUMIFS(INDIRECT(ADDRESS(12,3+18*2+(0),,,"J1 C - (South) Bishopthorpe Roa")&amp;":"&amp;ADDRESS(130,3+18*2+(0))),'J1 C - (South) Bishopthorpe Roa'!$A$12:$A$130,"&gt;="&amp;Diagram!$O29,'J1 C - (South) Bishopthorpe Roa'!$A$12:$A$130,"&lt;"&amp;Diagram!$P29),SUMIFS(INDIRECT(ADDRESS(12,3+18*2+(8),,,"J1 C - (South) Bishopthorpe Roa")&amp;":"&amp;ADDRESS(130,3+18*2+(8))),'J1 C - (South) Bishopthorpe Roa'!$A$12:$A$130,"&gt;="&amp;Diagram!$O29,'J1 C - (South) Bishopthorpe Roa'!$A$12:$A$130,"&lt;"&amp;Diagram!$P29)))</f>
        <v>2</v>
      </c>
      <c r="AC29" s="42">
        <f ca="1">IF(OR($I$10="",$O29="",$P29="",$J$35&lt;&gt;"Yes"),0,IF($K$10=0,SUMIFS(INDIRECT(ADDRESS(12,3+18*3+(0),,,"J1 C - (South) Bishopthorpe Roa")&amp;":"&amp;ADDRESS(130,3+18*3+(0))),'J1 C - (South) Bishopthorpe Roa'!$A$12:$A$130,"&gt;="&amp;Diagram!$O29,'J1 C - (South) Bishopthorpe Roa'!$A$12:$A$130,"&lt;"&amp;Diagram!$P29),SUMIFS(INDIRECT(ADDRESS(12,3+18*3+(8),,,"J1 C - (South) Bishopthorpe Roa")&amp;":"&amp;ADDRESS(130,3+18*3+(8))),'J1 C - (South) Bishopthorpe Roa'!$A$12:$A$130,"&gt;="&amp;Diagram!$O29,'J1 C - (South) Bishopthorpe Roa'!$A$12:$A$130,"&lt;"&amp;Diagram!$P29)))</f>
        <v>1</v>
      </c>
      <c r="AD29" s="42">
        <f ca="1">IF(OR($I$10="",$O29="",$P29="",$J$35&lt;&gt;"Yes"),0,IF($K$10=0,SUMIFS(INDIRECT(ADDRESS(12,3+18*0+(0),,,"J1 C - (South) Bishopthorpe Roa")&amp;":"&amp;ADDRESS(130,3+18*0+(0))),'J1 C - (South) Bishopthorpe Roa'!$A$12:$A$130,"&gt;="&amp;Diagram!$O29,'J1 C - (South) Bishopthorpe Roa'!$A$12:$A$130,"&lt;"&amp;Diagram!$P29),SUMIFS(INDIRECT(ADDRESS(12,3+18*0+(8),,,"J1 C - (South) Bishopthorpe Roa")&amp;":"&amp;ADDRESS(130,3+18*0+(8))),'J1 C - (South) Bishopthorpe Roa'!$A$12:$A$130,"&gt;="&amp;Diagram!$O29,'J1 C - (South) Bishopthorpe Roa'!$A$12:$A$130,"&lt;"&amp;Diagram!$P29)))</f>
        <v>4</v>
      </c>
      <c r="AE29" s="42">
        <f ca="1">IF(OR($I$10="",$O29="",$P29="",$J$35&lt;&gt;"Yes"),0,IF($K$10=0,SUMIFS(INDIRECT(ADDRESS(12,3+18*0+(0),,,"J1 D - South Bank Avenue")&amp;":"&amp;ADDRESS(130,3+18*0+(0))),'J1 D - South Bank Avenue'!$A$12:$A$130,"&gt;="&amp;Diagram!$O29,'J1 D - South Bank Avenue'!$A$12:$A$130,"&lt;"&amp;Diagram!$P29),SUMIFS(INDIRECT(ADDRESS(12,3+18*0+(8),,,"J1 D - South Bank Avenue")&amp;":"&amp;ADDRESS(130,3+18*0+(8))),'J1 D - South Bank Avenue'!$A$12:$A$130,"&gt;="&amp;Diagram!$O29,'J1 D - South Bank Avenue'!$A$12:$A$130,"&lt;"&amp;Diagram!$P29)))</f>
        <v>23</v>
      </c>
      <c r="AF29" s="42">
        <f ca="1">IF(OR($I$10="",$O29="",$P29="",$J$35&lt;&gt;"Yes"),0,IF($K$10=0,SUMIFS(INDIRECT(ADDRESS(12,3+18*1+(0),,,"J1 D - South Bank Avenue")&amp;":"&amp;ADDRESS(130,3+18*1+(0))),'J1 D - South Bank Avenue'!$A$12:$A$130,"&gt;="&amp;Diagram!$O29,'J1 D - South Bank Avenue'!$A$12:$A$130,"&lt;"&amp;Diagram!$P29),SUMIFS(INDIRECT(ADDRESS(12,3+18*1+(8),,,"J1 D - South Bank Avenue")&amp;":"&amp;ADDRESS(130,3+18*1+(8))),'J1 D - South Bank Avenue'!$A$12:$A$130,"&gt;="&amp;Diagram!$O29,'J1 D - South Bank Avenue'!$A$12:$A$130,"&lt;"&amp;Diagram!$P29)))</f>
        <v>0</v>
      </c>
      <c r="AG29" s="42">
        <f ca="1">IF(OR($I$10="",$O29="",$P29="",$J$35&lt;&gt;"Yes"),0,IF($K$10=0,SUMIFS(INDIRECT(ADDRESS(12,3+18*2+(0),,,"J1 D - South Bank Avenue")&amp;":"&amp;ADDRESS(130,3+18*2+(0))),'J1 D - South Bank Avenue'!$A$12:$A$130,"&gt;="&amp;Diagram!$O29,'J1 D - South Bank Avenue'!$A$12:$A$130,"&lt;"&amp;Diagram!$P29),SUMIFS(INDIRECT(ADDRESS(12,3+18*2+(8),,,"J1 D - South Bank Avenue")&amp;":"&amp;ADDRESS(130,3+18*2+(8))),'J1 D - South Bank Avenue'!$A$12:$A$130,"&gt;="&amp;Diagram!$O29,'J1 D - South Bank Avenue'!$A$12:$A$130,"&lt;"&amp;Diagram!$P29)))</f>
        <v>4</v>
      </c>
      <c r="AH29" s="42">
        <f ca="1">IF(OR($I$10="",$O29="",$P29="",$J$35&lt;&gt;"Yes"),0,IF($K$10=0,SUMIFS(INDIRECT(ADDRESS(12,3+18*3+(0),,,"J1 D - South Bank Avenue")&amp;":"&amp;ADDRESS(130,3+18*3+(0))),'J1 D - South Bank Avenue'!$A$12:$A$130,"&gt;="&amp;Diagram!$O29,'J1 D - South Bank Avenue'!$A$12:$A$130,"&lt;"&amp;Diagram!$P29),SUMIFS(INDIRECT(ADDRESS(12,3+18*3+(8),,,"J1 D - South Bank Avenue")&amp;":"&amp;ADDRESS(130,3+18*3+(8))),'J1 D - South Bank Avenue'!$A$12:$A$130,"&gt;="&amp;Diagram!$O29,'J1 D - South Bank Avenue'!$A$12:$A$130,"&lt;"&amp;Diagram!$P29)))</f>
        <v>0</v>
      </c>
      <c r="AI29" s="42">
        <f t="shared" ca="1" si="2"/>
        <v>64</v>
      </c>
      <c r="AJ29" s="42">
        <f ca="1">IF(OR($I$10="",$O29="",$P29="",$J$36&lt;&gt;"Yes"),0,IF($K$10=0,SUMIFS(INDIRECT(ADDRESS(12,3+18*3+(1),,,"J1 A - (North) Bishopthorpe Roa")&amp;":"&amp;ADDRESS(130,3+18*3+(1))),'J1 A - (North) Bishopthorpe Roa'!$A$12:$A$130,"&gt;="&amp;Diagram!$O29,'J1 A - (North) Bishopthorpe Roa'!$A$12:$A$130,"&lt;"&amp;Diagram!$P29),SUMIFS(INDIRECT(ADDRESS(12,3+18*3+(9),,,"J1 A - (North) Bishopthorpe Roa")&amp;":"&amp;ADDRESS(130,3+18*3+(9))),'J1 A - (North) Bishopthorpe Roa'!$A$12:$A$130,"&gt;="&amp;Diagram!$O29,'J1 A - (North) Bishopthorpe Roa'!$A$12:$A$130,"&lt;"&amp;Diagram!$P29)))</f>
        <v>0</v>
      </c>
      <c r="AK29" s="42">
        <f ca="1">IF(OR($I$10="",$O29="",$P29="",$J$36&lt;&gt;"Yes"),0,IF($K$10=0,SUMIFS(INDIRECT(ADDRESS(12,3+18*0+(1),,,"J1 A - (North) Bishopthorpe Roa")&amp;":"&amp;ADDRESS(130,3+18*0+(1))),'J1 A - (North) Bishopthorpe Roa'!$A$12:$A$130,"&gt;="&amp;Diagram!$O29,'J1 A - (North) Bishopthorpe Roa'!$A$12:$A$130,"&lt;"&amp;Diagram!$P29),SUMIFS(INDIRECT(ADDRESS(12,3+18*0+(9),,,"J1 A - (North) Bishopthorpe Roa")&amp;":"&amp;ADDRESS(130,3+18*0+(9))),'J1 A - (North) Bishopthorpe Roa'!$A$12:$A$130,"&gt;="&amp;Diagram!$O29,'J1 A - (North) Bishopthorpe Roa'!$A$12:$A$130,"&lt;"&amp;Diagram!$P29)))</f>
        <v>5</v>
      </c>
      <c r="AL29" s="42">
        <f ca="1">IF(OR($I$10="",$O29="",$P29="",$J$36&lt;&gt;"Yes"),0,IF($K$10=0,SUMIFS(INDIRECT(ADDRESS(12,3+18*1+(1),,,"J1 A - (North) Bishopthorpe Roa")&amp;":"&amp;ADDRESS(130,3+18*1+(1))),'J1 A - (North) Bishopthorpe Roa'!$A$12:$A$130,"&gt;="&amp;Diagram!$O29,'J1 A - (North) Bishopthorpe Roa'!$A$12:$A$130,"&lt;"&amp;Diagram!$P29),SUMIFS(INDIRECT(ADDRESS(12,3+18*1+(9),,,"J1 A - (North) Bishopthorpe Roa")&amp;":"&amp;ADDRESS(130,3+18*1+(9))),'J1 A - (North) Bishopthorpe Roa'!$A$12:$A$130,"&gt;="&amp;Diagram!$O29,'J1 A - (North) Bishopthorpe Roa'!$A$12:$A$130,"&lt;"&amp;Diagram!$P29)))</f>
        <v>27</v>
      </c>
      <c r="AM29" s="42">
        <f ca="1">IF(OR($I$10="",$O29="",$P29="",$J$36&lt;&gt;"Yes"),0,IF($K$10=0,SUMIFS(INDIRECT(ADDRESS(12,3+18*2+(1),,,"J1 A - (North) Bishopthorpe Roa")&amp;":"&amp;ADDRESS(130,3+18*2+(1))),'J1 A - (North) Bishopthorpe Roa'!$A$12:$A$130,"&gt;="&amp;Diagram!$O29,'J1 A - (North) Bishopthorpe Roa'!$A$12:$A$130,"&lt;"&amp;Diagram!$P29),SUMIFS(INDIRECT(ADDRESS(12,3+18*2+(9),,,"J1 A - (North) Bishopthorpe Roa")&amp;":"&amp;ADDRESS(130,3+18*2+(9))),'J1 A - (North) Bishopthorpe Roa'!$A$12:$A$130,"&gt;="&amp;Diagram!$O29,'J1 A - (North) Bishopthorpe Roa'!$A$12:$A$130,"&lt;"&amp;Diagram!$P29)))</f>
        <v>1</v>
      </c>
      <c r="AN29" s="42">
        <f ca="1">IF(OR($I$10="",$O29="",$P29="",$J$36&lt;&gt;"Yes"),0,IF($K$10=0,SUMIFS(INDIRECT(ADDRESS(12,3+18*2+(1),,,"J1 B - Butcher Terrace")&amp;":"&amp;ADDRESS(130,3+18*2+(1))),'J1 B - Butcher Terrace'!$A$12:$A$130,"&gt;="&amp;Diagram!$O29,'J1 B - Butcher Terrace'!$A$12:$A$130,"&lt;"&amp;Diagram!$P29),SUMIFS(INDIRECT(ADDRESS(12,3+18*2+(9),,,"J1 B - Butcher Terrace")&amp;":"&amp;ADDRESS(130,3+18*2+(9))),'J1 B - Butcher Terrace'!$A$12:$A$130,"&gt;="&amp;Diagram!$O29,'J1 B - Butcher Terrace'!$A$12:$A$130,"&lt;"&amp;Diagram!$P29)))</f>
        <v>1</v>
      </c>
      <c r="AO29" s="42">
        <f ca="1">IF(OR($I$10="",$O29="",$P29="",$J$36&lt;&gt;"Yes"),0,IF($K$10=0,SUMIFS(INDIRECT(ADDRESS(12,3+18*3+(1),,,"J1 B - Butcher Terrace")&amp;":"&amp;ADDRESS(130,3+18*3+(1))),'J1 B - Butcher Terrace'!$A$12:$A$130,"&gt;="&amp;Diagram!$O29,'J1 B - Butcher Terrace'!$A$12:$A$130,"&lt;"&amp;Diagram!$P29),SUMIFS(INDIRECT(ADDRESS(12,3+18*3+(9),,,"J1 B - Butcher Terrace")&amp;":"&amp;ADDRESS(130,3+18*3+(9))),'J1 B - Butcher Terrace'!$A$12:$A$130,"&gt;="&amp;Diagram!$O29,'J1 B - Butcher Terrace'!$A$12:$A$130,"&lt;"&amp;Diagram!$P29)))</f>
        <v>0</v>
      </c>
      <c r="AP29" s="42">
        <f ca="1">IF(OR($I$10="",$O29="",$P29="",$J$36&lt;&gt;"Yes"),0,IF($K$10=0,SUMIFS(INDIRECT(ADDRESS(12,3+18*0+(1),,,"J1 B - Butcher Terrace")&amp;":"&amp;ADDRESS(130,3+18*0+(1))),'J1 B - Butcher Terrace'!$A$12:$A$130,"&gt;="&amp;Diagram!$O29,'J1 B - Butcher Terrace'!$A$12:$A$130,"&lt;"&amp;Diagram!$P29),SUMIFS(INDIRECT(ADDRESS(12,3+18*0+(9),,,"J1 B - Butcher Terrace")&amp;":"&amp;ADDRESS(130,3+18*0+(9))),'J1 B - Butcher Terrace'!$A$12:$A$130,"&gt;="&amp;Diagram!$O29,'J1 B - Butcher Terrace'!$A$12:$A$130,"&lt;"&amp;Diagram!$P29)))</f>
        <v>0</v>
      </c>
      <c r="AQ29" s="42">
        <f ca="1">IF(OR($I$10="",$O29="",$P29="",$J$36&lt;&gt;"Yes"),0,IF($K$10=0,SUMIFS(INDIRECT(ADDRESS(12,3+18*1+(1),,,"J1 B - Butcher Terrace")&amp;":"&amp;ADDRESS(130,3+18*1+(1))),'J1 B - Butcher Terrace'!$A$12:$A$130,"&gt;="&amp;Diagram!$O29,'J1 B - Butcher Terrace'!$A$12:$A$130,"&lt;"&amp;Diagram!$P29),SUMIFS(INDIRECT(ADDRESS(12,3+18*1+(9),,,"J1 B - Butcher Terrace")&amp;":"&amp;ADDRESS(130,3+18*1+(9))),'J1 B - Butcher Terrace'!$A$12:$A$130,"&gt;="&amp;Diagram!$O29,'J1 B - Butcher Terrace'!$A$12:$A$130,"&lt;"&amp;Diagram!$P29)))</f>
        <v>0</v>
      </c>
      <c r="AR29" s="42">
        <f ca="1">IF(OR($I$10="",$O29="",$P29="",$J$36&lt;&gt;"Yes"),0,IF($K$10=0,SUMIFS(INDIRECT(ADDRESS(12,3+18*1+(1),,,"J1 C - (South) Bishopthorpe Roa")&amp;":"&amp;ADDRESS(130,3+18*1+(1))),'J1 C - (South) Bishopthorpe Roa'!$A$12:$A$130,"&gt;="&amp;Diagram!$O29,'J1 C - (South) Bishopthorpe Roa'!$A$12:$A$130,"&lt;"&amp;Diagram!$P29),SUMIFS(INDIRECT(ADDRESS(12,3+18*1+(9),,,"J1 C - (South) Bishopthorpe Roa")&amp;":"&amp;ADDRESS(130,3+18*1+(9))),'J1 C - (South) Bishopthorpe Roa'!$A$12:$A$130,"&gt;="&amp;Diagram!$O29,'J1 C - (South) Bishopthorpe Roa'!$A$12:$A$130,"&lt;"&amp;Diagram!$P29)))</f>
        <v>29</v>
      </c>
      <c r="AS29" s="42">
        <f ca="1">IF(OR($I$10="",$O29="",$P29="",$J$36&lt;&gt;"Yes"),0,IF($K$10=0,SUMIFS(INDIRECT(ADDRESS(12,3+18*2+(1),,,"J1 C - (South) Bishopthorpe Roa")&amp;":"&amp;ADDRESS(130,3+18*2+(1))),'J1 C - (South) Bishopthorpe Roa'!$A$12:$A$130,"&gt;="&amp;Diagram!$O29,'J1 C - (South) Bishopthorpe Roa'!$A$12:$A$130,"&lt;"&amp;Diagram!$P29),SUMIFS(INDIRECT(ADDRESS(12,3+18*2+(9),,,"J1 C - (South) Bishopthorpe Roa")&amp;":"&amp;ADDRESS(130,3+18*2+(9))),'J1 C - (South) Bishopthorpe Roa'!$A$12:$A$130,"&gt;="&amp;Diagram!$O29,'J1 C - (South) Bishopthorpe Roa'!$A$12:$A$130,"&lt;"&amp;Diagram!$P29)))</f>
        <v>0</v>
      </c>
      <c r="AT29" s="42">
        <f ca="1">IF(OR($I$10="",$O29="",$P29="",$J$36&lt;&gt;"Yes"),0,IF($K$10=0,SUMIFS(INDIRECT(ADDRESS(12,3+18*3+(1),,,"J1 C - (South) Bishopthorpe Roa")&amp;":"&amp;ADDRESS(130,3+18*3+(1))),'J1 C - (South) Bishopthorpe Roa'!$A$12:$A$130,"&gt;="&amp;Diagram!$O29,'J1 C - (South) Bishopthorpe Roa'!$A$12:$A$130,"&lt;"&amp;Diagram!$P29),SUMIFS(INDIRECT(ADDRESS(12,3+18*3+(9),,,"J1 C - (South) Bishopthorpe Roa")&amp;":"&amp;ADDRESS(130,3+18*3+(9))),'J1 C - (South) Bishopthorpe Roa'!$A$12:$A$130,"&gt;="&amp;Diagram!$O29,'J1 C - (South) Bishopthorpe Roa'!$A$12:$A$130,"&lt;"&amp;Diagram!$P29)))</f>
        <v>0</v>
      </c>
      <c r="AU29" s="42">
        <f ca="1">IF(OR($I$10="",$O29="",$P29="",$J$36&lt;&gt;"Yes"),0,IF($K$10=0,SUMIFS(INDIRECT(ADDRESS(12,3+18*0+(1),,,"J1 C - (South) Bishopthorpe Roa")&amp;":"&amp;ADDRESS(130,3+18*0+(1))),'J1 C - (South) Bishopthorpe Roa'!$A$12:$A$130,"&gt;="&amp;Diagram!$O29,'J1 C - (South) Bishopthorpe Roa'!$A$12:$A$130,"&lt;"&amp;Diagram!$P29),SUMIFS(INDIRECT(ADDRESS(12,3+18*0+(9),,,"J1 C - (South) Bishopthorpe Roa")&amp;":"&amp;ADDRESS(130,3+18*0+(9))),'J1 C - (South) Bishopthorpe Roa'!$A$12:$A$130,"&gt;="&amp;Diagram!$O29,'J1 C - (South) Bishopthorpe Roa'!$A$12:$A$130,"&lt;"&amp;Diagram!$P29)))</f>
        <v>0</v>
      </c>
      <c r="AV29" s="42">
        <f ca="1">IF(OR($I$10="",$O29="",$P29="",$J$36&lt;&gt;"Yes"),0,IF($K$10=0,SUMIFS(INDIRECT(ADDRESS(12,3+18*0+(1),,,"J1 D - South Bank Avenue")&amp;":"&amp;ADDRESS(130,3+18*0+(1))),'J1 D - South Bank Avenue'!$A$12:$A$130,"&gt;="&amp;Diagram!$O29,'J1 D - South Bank Avenue'!$A$12:$A$130,"&lt;"&amp;Diagram!$P29),SUMIFS(INDIRECT(ADDRESS(12,3+18*0+(9),,,"J1 D - South Bank Avenue")&amp;":"&amp;ADDRESS(130,3+18*0+(9))),'J1 D - South Bank Avenue'!$A$12:$A$130,"&gt;="&amp;Diagram!$O29,'J1 D - South Bank Avenue'!$A$12:$A$130,"&lt;"&amp;Diagram!$P29)))</f>
        <v>1</v>
      </c>
      <c r="AW29" s="42">
        <f ca="1">IF(OR($I$10="",$O29="",$P29="",$J$36&lt;&gt;"Yes"),0,IF($K$10=0,SUMIFS(INDIRECT(ADDRESS(12,3+18*1+(1),,,"J1 D - South Bank Avenue")&amp;":"&amp;ADDRESS(130,3+18*1+(1))),'J1 D - South Bank Avenue'!$A$12:$A$130,"&gt;="&amp;Diagram!$O29,'J1 D - South Bank Avenue'!$A$12:$A$130,"&lt;"&amp;Diagram!$P29),SUMIFS(INDIRECT(ADDRESS(12,3+18*1+(9),,,"J1 D - South Bank Avenue")&amp;":"&amp;ADDRESS(130,3+18*1+(9))),'J1 D - South Bank Avenue'!$A$12:$A$130,"&gt;="&amp;Diagram!$O29,'J1 D - South Bank Avenue'!$A$12:$A$130,"&lt;"&amp;Diagram!$P29)))</f>
        <v>0</v>
      </c>
      <c r="AX29" s="42">
        <f ca="1">IF(OR($I$10="",$O29="",$P29="",$J$36&lt;&gt;"Yes"),0,IF($K$10=0,SUMIFS(INDIRECT(ADDRESS(12,3+18*2+(1),,,"J1 D - South Bank Avenue")&amp;":"&amp;ADDRESS(130,3+18*2+(1))),'J1 D - South Bank Avenue'!$A$12:$A$130,"&gt;="&amp;Diagram!$O29,'J1 D - South Bank Avenue'!$A$12:$A$130,"&lt;"&amp;Diagram!$P29),SUMIFS(INDIRECT(ADDRESS(12,3+18*2+(9),,,"J1 D - South Bank Avenue")&amp;":"&amp;ADDRESS(130,3+18*2+(9))),'J1 D - South Bank Avenue'!$A$12:$A$130,"&gt;="&amp;Diagram!$O29,'J1 D - South Bank Avenue'!$A$12:$A$130,"&lt;"&amp;Diagram!$P29)))</f>
        <v>0</v>
      </c>
      <c r="AY29" s="42">
        <f ca="1">IF(OR($I$10="",$O29="",$P29="",$J$36&lt;&gt;"Yes"),0,IF($K$10=0,SUMIFS(INDIRECT(ADDRESS(12,3+18*3+(1),,,"J1 D - South Bank Avenue")&amp;":"&amp;ADDRESS(130,3+18*3+(1))),'J1 D - South Bank Avenue'!$A$12:$A$130,"&gt;="&amp;Diagram!$O29,'J1 D - South Bank Avenue'!$A$12:$A$130,"&lt;"&amp;Diagram!$P29),SUMIFS(INDIRECT(ADDRESS(12,3+18*3+(9),,,"J1 D - South Bank Avenue")&amp;":"&amp;ADDRESS(130,3+18*3+(9))),'J1 D - South Bank Avenue'!$A$12:$A$130,"&gt;="&amp;Diagram!$O29,'J1 D - South Bank Avenue'!$A$12:$A$130,"&lt;"&amp;Diagram!$P29)))</f>
        <v>0</v>
      </c>
      <c r="AZ29" s="42">
        <f t="shared" ca="1" si="3"/>
        <v>10</v>
      </c>
      <c r="BA29" s="42">
        <f ca="1">IF(OR($I$10="",$O29="",$P29="",$J$37&lt;&gt;"Yes"),0,IF($K$10=0,SUMIFS(INDIRECT(ADDRESS(12,3+18*3+(2),,,"J1 A - (North) Bishopthorpe Roa")&amp;":"&amp;ADDRESS(130,3+18*3+(2))),'J1 A - (North) Bishopthorpe Roa'!$A$12:$A$130,"&gt;="&amp;Diagram!$O29,'J1 A - (North) Bishopthorpe Roa'!$A$12:$A$130,"&lt;"&amp;Diagram!$P29),SUMIFS(INDIRECT(ADDRESS(12,3+18*3+(10),,,"J1 A - (North) Bishopthorpe Roa")&amp;":"&amp;ADDRESS(130,3+18*3+(10))),'J1 A - (North) Bishopthorpe Roa'!$A$12:$A$130,"&gt;="&amp;Diagram!$O29,'J1 A - (North) Bishopthorpe Roa'!$A$12:$A$130,"&lt;"&amp;Diagram!$P29)))</f>
        <v>0</v>
      </c>
      <c r="BB29" s="42">
        <f ca="1">IF(OR($I$10="",$O29="",$P29="",$J$37&lt;&gt;"Yes"),0,IF($K$10=0,SUMIFS(INDIRECT(ADDRESS(12,3+18*0+(2),,,"J1 A - (North) Bishopthorpe Roa")&amp;":"&amp;ADDRESS(130,3+18*0+(2))),'J1 A - (North) Bishopthorpe Roa'!$A$12:$A$130,"&gt;="&amp;Diagram!$O29,'J1 A - (North) Bishopthorpe Roa'!$A$12:$A$130,"&lt;"&amp;Diagram!$P29),SUMIFS(INDIRECT(ADDRESS(12,3+18*0+(10),,,"J1 A - (North) Bishopthorpe Roa")&amp;":"&amp;ADDRESS(130,3+18*0+(10))),'J1 A - (North) Bishopthorpe Roa'!$A$12:$A$130,"&gt;="&amp;Diagram!$O29,'J1 A - (North) Bishopthorpe Roa'!$A$12:$A$130,"&lt;"&amp;Diagram!$P29)))</f>
        <v>0</v>
      </c>
      <c r="BC29" s="42">
        <f ca="1">IF(OR($I$10="",$O29="",$P29="",$J$37&lt;&gt;"Yes"),0,IF($K$10=0,SUMIFS(INDIRECT(ADDRESS(12,3+18*1+(2),,,"J1 A - (North) Bishopthorpe Roa")&amp;":"&amp;ADDRESS(130,3+18*1+(2))),'J1 A - (North) Bishopthorpe Roa'!$A$12:$A$130,"&gt;="&amp;Diagram!$O29,'J1 A - (North) Bishopthorpe Roa'!$A$12:$A$130,"&lt;"&amp;Diagram!$P29),SUMIFS(INDIRECT(ADDRESS(12,3+18*1+(10),,,"J1 A - (North) Bishopthorpe Roa")&amp;":"&amp;ADDRESS(130,3+18*1+(10))),'J1 A - (North) Bishopthorpe Roa'!$A$12:$A$130,"&gt;="&amp;Diagram!$O29,'J1 A - (North) Bishopthorpe Roa'!$A$12:$A$130,"&lt;"&amp;Diagram!$P29)))</f>
        <v>7</v>
      </c>
      <c r="BD29" s="42">
        <f ca="1">IF(OR($I$10="",$O29="",$P29="",$J$37&lt;&gt;"Yes"),0,IF($K$10=0,SUMIFS(INDIRECT(ADDRESS(12,3+18*2+(2),,,"J1 A - (North) Bishopthorpe Roa")&amp;":"&amp;ADDRESS(130,3+18*2+(2))),'J1 A - (North) Bishopthorpe Roa'!$A$12:$A$130,"&gt;="&amp;Diagram!$O29,'J1 A - (North) Bishopthorpe Roa'!$A$12:$A$130,"&lt;"&amp;Diagram!$P29),SUMIFS(INDIRECT(ADDRESS(12,3+18*2+(10),,,"J1 A - (North) Bishopthorpe Roa")&amp;":"&amp;ADDRESS(130,3+18*2+(10))),'J1 A - (North) Bishopthorpe Roa'!$A$12:$A$130,"&gt;="&amp;Diagram!$O29,'J1 A - (North) Bishopthorpe Roa'!$A$12:$A$130,"&lt;"&amp;Diagram!$P29)))</f>
        <v>0</v>
      </c>
      <c r="BE29" s="42">
        <f ca="1">IF(OR($I$10="",$O29="",$P29="",$J$37&lt;&gt;"Yes"),0,IF($K$10=0,SUMIFS(INDIRECT(ADDRESS(12,3+18*2+(2),,,"J1 B - Butcher Terrace")&amp;":"&amp;ADDRESS(130,3+18*2+(2))),'J1 B - Butcher Terrace'!$A$12:$A$130,"&gt;="&amp;Diagram!$O29,'J1 B - Butcher Terrace'!$A$12:$A$130,"&lt;"&amp;Diagram!$P29),SUMIFS(INDIRECT(ADDRESS(12,3+18*2+(10),,,"J1 B - Butcher Terrace")&amp;":"&amp;ADDRESS(130,3+18*2+(10))),'J1 B - Butcher Terrace'!$A$12:$A$130,"&gt;="&amp;Diagram!$O29,'J1 B - Butcher Terrace'!$A$12:$A$130,"&lt;"&amp;Diagram!$P29)))</f>
        <v>1</v>
      </c>
      <c r="BF29" s="42">
        <f ca="1">IF(OR($I$10="",$O29="",$P29="",$J$37&lt;&gt;"Yes"),0,IF($K$10=0,SUMIFS(INDIRECT(ADDRESS(12,3+18*3+(2),,,"J1 B - Butcher Terrace")&amp;":"&amp;ADDRESS(130,3+18*3+(2))),'J1 B - Butcher Terrace'!$A$12:$A$130,"&gt;="&amp;Diagram!$O29,'J1 B - Butcher Terrace'!$A$12:$A$130,"&lt;"&amp;Diagram!$P29),SUMIFS(INDIRECT(ADDRESS(12,3+18*3+(10),,,"J1 B - Butcher Terrace")&amp;":"&amp;ADDRESS(130,3+18*3+(10))),'J1 B - Butcher Terrace'!$A$12:$A$130,"&gt;="&amp;Diagram!$O29,'J1 B - Butcher Terrace'!$A$12:$A$130,"&lt;"&amp;Diagram!$P29)))</f>
        <v>0</v>
      </c>
      <c r="BG29" s="42">
        <f ca="1">IF(OR($I$10="",$O29="",$P29="",$J$37&lt;&gt;"Yes"),0,IF($K$10=0,SUMIFS(INDIRECT(ADDRESS(12,3+18*0+(2),,,"J1 B - Butcher Terrace")&amp;":"&amp;ADDRESS(130,3+18*0+(2))),'J1 B - Butcher Terrace'!$A$12:$A$130,"&gt;="&amp;Diagram!$O29,'J1 B - Butcher Terrace'!$A$12:$A$130,"&lt;"&amp;Diagram!$P29),SUMIFS(INDIRECT(ADDRESS(12,3+18*0+(10),,,"J1 B - Butcher Terrace")&amp;":"&amp;ADDRESS(130,3+18*0+(10))),'J1 B - Butcher Terrace'!$A$12:$A$130,"&gt;="&amp;Diagram!$O29,'J1 B - Butcher Terrace'!$A$12:$A$130,"&lt;"&amp;Diagram!$P29)))</f>
        <v>0</v>
      </c>
      <c r="BH29" s="42">
        <f ca="1">IF(OR($I$10="",$O29="",$P29="",$J$37&lt;&gt;"Yes"),0,IF($K$10=0,SUMIFS(INDIRECT(ADDRESS(12,3+18*1+(2),,,"J1 B - Butcher Terrace")&amp;":"&amp;ADDRESS(130,3+18*1+(2))),'J1 B - Butcher Terrace'!$A$12:$A$130,"&gt;="&amp;Diagram!$O29,'J1 B - Butcher Terrace'!$A$12:$A$130,"&lt;"&amp;Diagram!$P29),SUMIFS(INDIRECT(ADDRESS(12,3+18*1+(10),,,"J1 B - Butcher Terrace")&amp;":"&amp;ADDRESS(130,3+18*1+(10))),'J1 B - Butcher Terrace'!$A$12:$A$130,"&gt;="&amp;Diagram!$O29,'J1 B - Butcher Terrace'!$A$12:$A$130,"&lt;"&amp;Diagram!$P29)))</f>
        <v>0</v>
      </c>
      <c r="BI29" s="42">
        <f ca="1">IF(OR($I$10="",$O29="",$P29="",$J$37&lt;&gt;"Yes"),0,IF($K$10=0,SUMIFS(INDIRECT(ADDRESS(12,3+18*1+(2),,,"J1 C - (South) Bishopthorpe Roa")&amp;":"&amp;ADDRESS(130,3+18*1+(2))),'J1 C - (South) Bishopthorpe Roa'!$A$12:$A$130,"&gt;="&amp;Diagram!$O29,'J1 C - (South) Bishopthorpe Roa'!$A$12:$A$130,"&lt;"&amp;Diagram!$P29),SUMIFS(INDIRECT(ADDRESS(12,3+18*1+(10),,,"J1 C - (South) Bishopthorpe Roa")&amp;":"&amp;ADDRESS(130,3+18*1+(10))),'J1 C - (South) Bishopthorpe Roa'!$A$12:$A$130,"&gt;="&amp;Diagram!$O29,'J1 C - (South) Bishopthorpe Roa'!$A$12:$A$130,"&lt;"&amp;Diagram!$P29)))</f>
        <v>2</v>
      </c>
      <c r="BJ29" s="42">
        <f ca="1">IF(OR($I$10="",$O29="",$P29="",$J$37&lt;&gt;"Yes"),0,IF($K$10=0,SUMIFS(INDIRECT(ADDRESS(12,3+18*2+(2),,,"J1 C - (South) Bishopthorpe Roa")&amp;":"&amp;ADDRESS(130,3+18*2+(2))),'J1 C - (South) Bishopthorpe Roa'!$A$12:$A$130,"&gt;="&amp;Diagram!$O29,'J1 C - (South) Bishopthorpe Roa'!$A$12:$A$130,"&lt;"&amp;Diagram!$P29),SUMIFS(INDIRECT(ADDRESS(12,3+18*2+(10),,,"J1 C - (South) Bishopthorpe Roa")&amp;":"&amp;ADDRESS(130,3+18*2+(10))),'J1 C - (South) Bishopthorpe Roa'!$A$12:$A$130,"&gt;="&amp;Diagram!$O29,'J1 C - (South) Bishopthorpe Roa'!$A$12:$A$130,"&lt;"&amp;Diagram!$P29)))</f>
        <v>0</v>
      </c>
      <c r="BK29" s="42">
        <f ca="1">IF(OR($I$10="",$O29="",$P29="",$J$37&lt;&gt;"Yes"),0,IF($K$10=0,SUMIFS(INDIRECT(ADDRESS(12,3+18*3+(2),,,"J1 C - (South) Bishopthorpe Roa")&amp;":"&amp;ADDRESS(130,3+18*3+(2))),'J1 C - (South) Bishopthorpe Roa'!$A$12:$A$130,"&gt;="&amp;Diagram!$O29,'J1 C - (South) Bishopthorpe Roa'!$A$12:$A$130,"&lt;"&amp;Diagram!$P29),SUMIFS(INDIRECT(ADDRESS(12,3+18*3+(10),,,"J1 C - (South) Bishopthorpe Roa")&amp;":"&amp;ADDRESS(130,3+18*3+(10))),'J1 C - (South) Bishopthorpe Roa'!$A$12:$A$130,"&gt;="&amp;Diagram!$O29,'J1 C - (South) Bishopthorpe Roa'!$A$12:$A$130,"&lt;"&amp;Diagram!$P29)))</f>
        <v>0</v>
      </c>
      <c r="BL29" s="42">
        <f ca="1">IF(OR($I$10="",$O29="",$P29="",$J$37&lt;&gt;"Yes"),0,IF($K$10=0,SUMIFS(INDIRECT(ADDRESS(12,3+18*0+(2),,,"J1 C - (South) Bishopthorpe Roa")&amp;":"&amp;ADDRESS(130,3+18*0+(2))),'J1 C - (South) Bishopthorpe Roa'!$A$12:$A$130,"&gt;="&amp;Diagram!$O29,'J1 C - (South) Bishopthorpe Roa'!$A$12:$A$130,"&lt;"&amp;Diagram!$P29),SUMIFS(INDIRECT(ADDRESS(12,3+18*0+(10),,,"J1 C - (South) Bishopthorpe Roa")&amp;":"&amp;ADDRESS(130,3+18*0+(10))),'J1 C - (South) Bishopthorpe Roa'!$A$12:$A$130,"&gt;="&amp;Diagram!$O29,'J1 C - (South) Bishopthorpe Roa'!$A$12:$A$130,"&lt;"&amp;Diagram!$P29)))</f>
        <v>0</v>
      </c>
      <c r="BM29" s="42">
        <f ca="1">IF(OR($I$10="",$O29="",$P29="",$J$37&lt;&gt;"Yes"),0,IF($K$10=0,SUMIFS(INDIRECT(ADDRESS(12,3+18*0+(2),,,"J1 D - South Bank Avenue")&amp;":"&amp;ADDRESS(130,3+18*0+(2))),'J1 D - South Bank Avenue'!$A$12:$A$130,"&gt;="&amp;Diagram!$O29,'J1 D - South Bank Avenue'!$A$12:$A$130,"&lt;"&amp;Diagram!$P29),SUMIFS(INDIRECT(ADDRESS(12,3+18*0+(10),,,"J1 D - South Bank Avenue")&amp;":"&amp;ADDRESS(130,3+18*0+(10))),'J1 D - South Bank Avenue'!$A$12:$A$130,"&gt;="&amp;Diagram!$O29,'J1 D - South Bank Avenue'!$A$12:$A$130,"&lt;"&amp;Diagram!$P29)))</f>
        <v>0</v>
      </c>
      <c r="BN29" s="42">
        <f ca="1">IF(OR($I$10="",$O29="",$P29="",$J$37&lt;&gt;"Yes"),0,IF($K$10=0,SUMIFS(INDIRECT(ADDRESS(12,3+18*1+(2),,,"J1 D - South Bank Avenue")&amp;":"&amp;ADDRESS(130,3+18*1+(2))),'J1 D - South Bank Avenue'!$A$12:$A$130,"&gt;="&amp;Diagram!$O29,'J1 D - South Bank Avenue'!$A$12:$A$130,"&lt;"&amp;Diagram!$P29),SUMIFS(INDIRECT(ADDRESS(12,3+18*1+(10),,,"J1 D - South Bank Avenue")&amp;":"&amp;ADDRESS(130,3+18*1+(10))),'J1 D - South Bank Avenue'!$A$12:$A$130,"&gt;="&amp;Diagram!$O29,'J1 D - South Bank Avenue'!$A$12:$A$130,"&lt;"&amp;Diagram!$P29)))</f>
        <v>0</v>
      </c>
      <c r="BO29" s="42">
        <f ca="1">IF(OR($I$10="",$O29="",$P29="",$J$37&lt;&gt;"Yes"),0,IF($K$10=0,SUMIFS(INDIRECT(ADDRESS(12,3+18*2+(2),,,"J1 D - South Bank Avenue")&amp;":"&amp;ADDRESS(130,3+18*2+(2))),'J1 D - South Bank Avenue'!$A$12:$A$130,"&gt;="&amp;Diagram!$O29,'J1 D - South Bank Avenue'!$A$12:$A$130,"&lt;"&amp;Diagram!$P29),SUMIFS(INDIRECT(ADDRESS(12,3+18*2+(10),,,"J1 D - South Bank Avenue")&amp;":"&amp;ADDRESS(130,3+18*2+(10))),'J1 D - South Bank Avenue'!$A$12:$A$130,"&gt;="&amp;Diagram!$O29,'J1 D - South Bank Avenue'!$A$12:$A$130,"&lt;"&amp;Diagram!$P29)))</f>
        <v>0</v>
      </c>
      <c r="BP29" s="42">
        <f ca="1">IF(OR($I$10="",$O29="",$P29="",$J$37&lt;&gt;"Yes"),0,IF($K$10=0,SUMIFS(INDIRECT(ADDRESS(12,3+18*3+(2),,,"J1 D - South Bank Avenue")&amp;":"&amp;ADDRESS(130,3+18*3+(2))),'J1 D - South Bank Avenue'!$A$12:$A$130,"&gt;="&amp;Diagram!$O29,'J1 D - South Bank Avenue'!$A$12:$A$130,"&lt;"&amp;Diagram!$P29),SUMIFS(INDIRECT(ADDRESS(12,3+18*3+(10),,,"J1 D - South Bank Avenue")&amp;":"&amp;ADDRESS(130,3+18*3+(10))),'J1 D - South Bank Avenue'!$A$12:$A$130,"&gt;="&amp;Diagram!$O29,'J1 D - South Bank Avenue'!$A$12:$A$130,"&lt;"&amp;Diagram!$P29)))</f>
        <v>0</v>
      </c>
      <c r="BQ29" s="42">
        <f t="shared" ca="1" si="4"/>
        <v>0</v>
      </c>
      <c r="BR29" s="42">
        <f ca="1">IF(OR($I$10="",$O29="",$P29="",$J$38&lt;&gt;"Yes"),0,IF($K$10=0,SUMIFS(INDIRECT(ADDRESS(12,3+18*3+(3),,,"J1 A - (North) Bishopthorpe Roa")&amp;":"&amp;ADDRESS(130,3+18*3+(3))),'J1 A - (North) Bishopthorpe Roa'!$A$12:$A$130,"&gt;="&amp;Diagram!$O29,'J1 A - (North) Bishopthorpe Roa'!$A$12:$A$130,"&lt;"&amp;Diagram!$P29),SUMIFS(INDIRECT(ADDRESS(12,3+18*3+(11),,,"J1 A - (North) Bishopthorpe Roa")&amp;":"&amp;ADDRESS(130,3+18*3+(11))),'J1 A - (North) Bishopthorpe Roa'!$A$12:$A$130,"&gt;="&amp;Diagram!$O29,'J1 A - (North) Bishopthorpe Roa'!$A$12:$A$130,"&lt;"&amp;Diagram!$P29)))</f>
        <v>0</v>
      </c>
      <c r="BS29" s="42">
        <f ca="1">IF(OR($I$10="",$O29="",$P29="",$J$38&lt;&gt;"Yes"),0,IF($K$10=0,SUMIFS(INDIRECT(ADDRESS(12,3+18*0+(3),,,"J1 A - (North) Bishopthorpe Roa")&amp;":"&amp;ADDRESS(130,3+18*0+(3))),'J1 A - (North) Bishopthorpe Roa'!$A$12:$A$130,"&gt;="&amp;Diagram!$O29,'J1 A - (North) Bishopthorpe Roa'!$A$12:$A$130,"&lt;"&amp;Diagram!$P29),SUMIFS(INDIRECT(ADDRESS(12,3+18*0+(11),,,"J1 A - (North) Bishopthorpe Roa")&amp;":"&amp;ADDRESS(130,3+18*0+(11))),'J1 A - (North) Bishopthorpe Roa'!$A$12:$A$130,"&gt;="&amp;Diagram!$O29,'J1 A - (North) Bishopthorpe Roa'!$A$12:$A$130,"&lt;"&amp;Diagram!$P29)))</f>
        <v>0</v>
      </c>
      <c r="BT29" s="42">
        <f ca="1">IF(OR($I$10="",$O29="",$P29="",$J$38&lt;&gt;"Yes"),0,IF($K$10=0,SUMIFS(INDIRECT(ADDRESS(12,3+18*1+(3),,,"J1 A - (North) Bishopthorpe Roa")&amp;":"&amp;ADDRESS(130,3+18*1+(3))),'J1 A - (North) Bishopthorpe Roa'!$A$12:$A$130,"&gt;="&amp;Diagram!$O29,'J1 A - (North) Bishopthorpe Roa'!$A$12:$A$130,"&lt;"&amp;Diagram!$P29),SUMIFS(INDIRECT(ADDRESS(12,3+18*1+(11),,,"J1 A - (North) Bishopthorpe Roa")&amp;":"&amp;ADDRESS(130,3+18*1+(11))),'J1 A - (North) Bishopthorpe Roa'!$A$12:$A$130,"&gt;="&amp;Diagram!$O29,'J1 A - (North) Bishopthorpe Roa'!$A$12:$A$130,"&lt;"&amp;Diagram!$P29)))</f>
        <v>0</v>
      </c>
      <c r="BU29" s="42">
        <f ca="1">IF(OR($I$10="",$O29="",$P29="",$J$38&lt;&gt;"Yes"),0,IF($K$10=0,SUMIFS(INDIRECT(ADDRESS(12,3+18*2+(3),,,"J1 A - (North) Bishopthorpe Roa")&amp;":"&amp;ADDRESS(130,3+18*2+(3))),'J1 A - (North) Bishopthorpe Roa'!$A$12:$A$130,"&gt;="&amp;Diagram!$O29,'J1 A - (North) Bishopthorpe Roa'!$A$12:$A$130,"&lt;"&amp;Diagram!$P29),SUMIFS(INDIRECT(ADDRESS(12,3+18*2+(11),,,"J1 A - (North) Bishopthorpe Roa")&amp;":"&amp;ADDRESS(130,3+18*2+(11))),'J1 A - (North) Bishopthorpe Roa'!$A$12:$A$130,"&gt;="&amp;Diagram!$O29,'J1 A - (North) Bishopthorpe Roa'!$A$12:$A$130,"&lt;"&amp;Diagram!$P29)))</f>
        <v>0</v>
      </c>
      <c r="BV29" s="42">
        <f ca="1">IF(OR($I$10="",$O29="",$P29="",$J$38&lt;&gt;"Yes"),0,IF($K$10=0,SUMIFS(INDIRECT(ADDRESS(12,3+18*2+(3),,,"J1 B - Butcher Terrace")&amp;":"&amp;ADDRESS(130,3+18*2+(3))),'J1 B - Butcher Terrace'!$A$12:$A$130,"&gt;="&amp;Diagram!$O29,'J1 B - Butcher Terrace'!$A$12:$A$130,"&lt;"&amp;Diagram!$P29),SUMIFS(INDIRECT(ADDRESS(12,3+18*2+(11),,,"J1 B - Butcher Terrace")&amp;":"&amp;ADDRESS(130,3+18*2+(11))),'J1 B - Butcher Terrace'!$A$12:$A$130,"&gt;="&amp;Diagram!$O29,'J1 B - Butcher Terrace'!$A$12:$A$130,"&lt;"&amp;Diagram!$P29)))</f>
        <v>0</v>
      </c>
      <c r="BW29" s="42">
        <f ca="1">IF(OR($I$10="",$O29="",$P29="",$J$38&lt;&gt;"Yes"),0,IF($K$10=0,SUMIFS(INDIRECT(ADDRESS(12,3+18*3+(3),,,"J1 B - Butcher Terrace")&amp;":"&amp;ADDRESS(130,3+18*3+(3))),'J1 B - Butcher Terrace'!$A$12:$A$130,"&gt;="&amp;Diagram!$O29,'J1 B - Butcher Terrace'!$A$12:$A$130,"&lt;"&amp;Diagram!$P29),SUMIFS(INDIRECT(ADDRESS(12,3+18*3+(11),,,"J1 B - Butcher Terrace")&amp;":"&amp;ADDRESS(130,3+18*3+(11))),'J1 B - Butcher Terrace'!$A$12:$A$130,"&gt;="&amp;Diagram!$O29,'J1 B - Butcher Terrace'!$A$12:$A$130,"&lt;"&amp;Diagram!$P29)))</f>
        <v>0</v>
      </c>
      <c r="BX29" s="42">
        <f ca="1">IF(OR($I$10="",$O29="",$P29="",$J$38&lt;&gt;"Yes"),0,IF($K$10=0,SUMIFS(INDIRECT(ADDRESS(12,3+18*0+(3),,,"J1 B - Butcher Terrace")&amp;":"&amp;ADDRESS(130,3+18*0+(3))),'J1 B - Butcher Terrace'!$A$12:$A$130,"&gt;="&amp;Diagram!$O29,'J1 B - Butcher Terrace'!$A$12:$A$130,"&lt;"&amp;Diagram!$P29),SUMIFS(INDIRECT(ADDRESS(12,3+18*0+(11),,,"J1 B - Butcher Terrace")&amp;":"&amp;ADDRESS(130,3+18*0+(11))),'J1 B - Butcher Terrace'!$A$12:$A$130,"&gt;="&amp;Diagram!$O29,'J1 B - Butcher Terrace'!$A$12:$A$130,"&lt;"&amp;Diagram!$P29)))</f>
        <v>0</v>
      </c>
      <c r="BY29" s="42">
        <f ca="1">IF(OR($I$10="",$O29="",$P29="",$J$38&lt;&gt;"Yes"),0,IF($K$10=0,SUMIFS(INDIRECT(ADDRESS(12,3+18*1+(3),,,"J1 B - Butcher Terrace")&amp;":"&amp;ADDRESS(130,3+18*1+(3))),'J1 B - Butcher Terrace'!$A$12:$A$130,"&gt;="&amp;Diagram!$O29,'J1 B - Butcher Terrace'!$A$12:$A$130,"&lt;"&amp;Diagram!$P29),SUMIFS(INDIRECT(ADDRESS(12,3+18*1+(11),,,"J1 B - Butcher Terrace")&amp;":"&amp;ADDRESS(130,3+18*1+(11))),'J1 B - Butcher Terrace'!$A$12:$A$130,"&gt;="&amp;Diagram!$O29,'J1 B - Butcher Terrace'!$A$12:$A$130,"&lt;"&amp;Diagram!$P29)))</f>
        <v>0</v>
      </c>
      <c r="BZ29" s="42">
        <f ca="1">IF(OR($I$10="",$O29="",$P29="",$J$38&lt;&gt;"Yes"),0,IF($K$10=0,SUMIFS(INDIRECT(ADDRESS(12,3+18*1+(3),,,"J1 C - (South) Bishopthorpe Roa")&amp;":"&amp;ADDRESS(130,3+18*1+(3))),'J1 C - (South) Bishopthorpe Roa'!$A$12:$A$130,"&gt;="&amp;Diagram!$O29,'J1 C - (South) Bishopthorpe Roa'!$A$12:$A$130,"&lt;"&amp;Diagram!$P29),SUMIFS(INDIRECT(ADDRESS(12,3+18*1+(11),,,"J1 C - (South) Bishopthorpe Roa")&amp;":"&amp;ADDRESS(130,3+18*1+(11))),'J1 C - (South) Bishopthorpe Roa'!$A$12:$A$130,"&gt;="&amp;Diagram!$O29,'J1 C - (South) Bishopthorpe Roa'!$A$12:$A$130,"&lt;"&amp;Diagram!$P29)))</f>
        <v>0</v>
      </c>
      <c r="CA29" s="42">
        <f ca="1">IF(OR($I$10="",$O29="",$P29="",$J$38&lt;&gt;"Yes"),0,IF($K$10=0,SUMIFS(INDIRECT(ADDRESS(12,3+18*2+(3),,,"J1 C - (South) Bishopthorpe Roa")&amp;":"&amp;ADDRESS(130,3+18*2+(3))),'J1 C - (South) Bishopthorpe Roa'!$A$12:$A$130,"&gt;="&amp;Diagram!$O29,'J1 C - (South) Bishopthorpe Roa'!$A$12:$A$130,"&lt;"&amp;Diagram!$P29),SUMIFS(INDIRECT(ADDRESS(12,3+18*2+(11),,,"J1 C - (South) Bishopthorpe Roa")&amp;":"&amp;ADDRESS(130,3+18*2+(11))),'J1 C - (South) Bishopthorpe Roa'!$A$12:$A$130,"&gt;="&amp;Diagram!$O29,'J1 C - (South) Bishopthorpe Roa'!$A$12:$A$130,"&lt;"&amp;Diagram!$P29)))</f>
        <v>0</v>
      </c>
      <c r="CB29" s="42">
        <f ca="1">IF(OR($I$10="",$O29="",$P29="",$J$38&lt;&gt;"Yes"),0,IF($K$10=0,SUMIFS(INDIRECT(ADDRESS(12,3+18*3+(3),,,"J1 C - (South) Bishopthorpe Roa")&amp;":"&amp;ADDRESS(130,3+18*3+(3))),'J1 C - (South) Bishopthorpe Roa'!$A$12:$A$130,"&gt;="&amp;Diagram!$O29,'J1 C - (South) Bishopthorpe Roa'!$A$12:$A$130,"&lt;"&amp;Diagram!$P29),SUMIFS(INDIRECT(ADDRESS(12,3+18*3+(11),,,"J1 C - (South) Bishopthorpe Roa")&amp;":"&amp;ADDRESS(130,3+18*3+(11))),'J1 C - (South) Bishopthorpe Roa'!$A$12:$A$130,"&gt;="&amp;Diagram!$O29,'J1 C - (South) Bishopthorpe Roa'!$A$12:$A$130,"&lt;"&amp;Diagram!$P29)))</f>
        <v>0</v>
      </c>
      <c r="CC29" s="42">
        <f ca="1">IF(OR($I$10="",$O29="",$P29="",$J$38&lt;&gt;"Yes"),0,IF($K$10=0,SUMIFS(INDIRECT(ADDRESS(12,3+18*0+(3),,,"J1 C - (South) Bishopthorpe Roa")&amp;":"&amp;ADDRESS(130,3+18*0+(3))),'J1 C - (South) Bishopthorpe Roa'!$A$12:$A$130,"&gt;="&amp;Diagram!$O29,'J1 C - (South) Bishopthorpe Roa'!$A$12:$A$130,"&lt;"&amp;Diagram!$P29),SUMIFS(INDIRECT(ADDRESS(12,3+18*0+(11),,,"J1 C - (South) Bishopthorpe Roa")&amp;":"&amp;ADDRESS(130,3+18*0+(11))),'J1 C - (South) Bishopthorpe Roa'!$A$12:$A$130,"&gt;="&amp;Diagram!$O29,'J1 C - (South) Bishopthorpe Roa'!$A$12:$A$130,"&lt;"&amp;Diagram!$P29)))</f>
        <v>0</v>
      </c>
      <c r="CD29" s="42">
        <f ca="1">IF(OR($I$10="",$O29="",$P29="",$J$38&lt;&gt;"Yes"),0,IF($K$10=0,SUMIFS(INDIRECT(ADDRESS(12,3+18*0+(3),,,"J1 D - South Bank Avenue")&amp;":"&amp;ADDRESS(130,3+18*0+(3))),'J1 D - South Bank Avenue'!$A$12:$A$130,"&gt;="&amp;Diagram!$O29,'J1 D - South Bank Avenue'!$A$12:$A$130,"&lt;"&amp;Diagram!$P29),SUMIFS(INDIRECT(ADDRESS(12,3+18*0+(11),,,"J1 D - South Bank Avenue")&amp;":"&amp;ADDRESS(130,3+18*0+(11))),'J1 D - South Bank Avenue'!$A$12:$A$130,"&gt;="&amp;Diagram!$O29,'J1 D - South Bank Avenue'!$A$12:$A$130,"&lt;"&amp;Diagram!$P29)))</f>
        <v>0</v>
      </c>
      <c r="CE29" s="42">
        <f ca="1">IF(OR($I$10="",$O29="",$P29="",$J$38&lt;&gt;"Yes"),0,IF($K$10=0,SUMIFS(INDIRECT(ADDRESS(12,3+18*1+(3),,,"J1 D - South Bank Avenue")&amp;":"&amp;ADDRESS(130,3+18*1+(3))),'J1 D - South Bank Avenue'!$A$12:$A$130,"&gt;="&amp;Diagram!$O29,'J1 D - South Bank Avenue'!$A$12:$A$130,"&lt;"&amp;Diagram!$P29),SUMIFS(INDIRECT(ADDRESS(12,3+18*1+(11),,,"J1 D - South Bank Avenue")&amp;":"&amp;ADDRESS(130,3+18*1+(11))),'J1 D - South Bank Avenue'!$A$12:$A$130,"&gt;="&amp;Diagram!$O29,'J1 D - South Bank Avenue'!$A$12:$A$130,"&lt;"&amp;Diagram!$P29)))</f>
        <v>0</v>
      </c>
      <c r="CF29" s="42">
        <f ca="1">IF(OR($I$10="",$O29="",$P29="",$J$38&lt;&gt;"Yes"),0,IF($K$10=0,SUMIFS(INDIRECT(ADDRESS(12,3+18*2+(3),,,"J1 D - South Bank Avenue")&amp;":"&amp;ADDRESS(130,3+18*2+(3))),'J1 D - South Bank Avenue'!$A$12:$A$130,"&gt;="&amp;Diagram!$O29,'J1 D - South Bank Avenue'!$A$12:$A$130,"&lt;"&amp;Diagram!$P29),SUMIFS(INDIRECT(ADDRESS(12,3+18*2+(11),,,"J1 D - South Bank Avenue")&amp;":"&amp;ADDRESS(130,3+18*2+(11))),'J1 D - South Bank Avenue'!$A$12:$A$130,"&gt;="&amp;Diagram!$O29,'J1 D - South Bank Avenue'!$A$12:$A$130,"&lt;"&amp;Diagram!$P29)))</f>
        <v>0</v>
      </c>
      <c r="CG29" s="42">
        <f ca="1">IF(OR($I$10="",$O29="",$P29="",$J$38&lt;&gt;"Yes"),0,IF($K$10=0,SUMIFS(INDIRECT(ADDRESS(12,3+18*3+(3),,,"J1 D - South Bank Avenue")&amp;":"&amp;ADDRESS(130,3+18*3+(3))),'J1 D - South Bank Avenue'!$A$12:$A$130,"&gt;="&amp;Diagram!$O29,'J1 D - South Bank Avenue'!$A$12:$A$130,"&lt;"&amp;Diagram!$P29),SUMIFS(INDIRECT(ADDRESS(12,3+18*3+(11),,,"J1 D - South Bank Avenue")&amp;":"&amp;ADDRESS(130,3+18*3+(11))),'J1 D - South Bank Avenue'!$A$12:$A$130,"&gt;="&amp;Diagram!$O29,'J1 D - South Bank Avenue'!$A$12:$A$130,"&lt;"&amp;Diagram!$P29)))</f>
        <v>0</v>
      </c>
      <c r="CH29" s="42">
        <f t="shared" ca="1" si="5"/>
        <v>4</v>
      </c>
      <c r="CI29" s="42">
        <f ca="1">IF(OR($I$10="",$O29="",$P29="",$J$39&lt;&gt;"Yes"),0,IF($K$10=0,SUMIFS(INDIRECT(ADDRESS(12,3+18*3+(4),,,"J1 A - (North) Bishopthorpe Roa")&amp;":"&amp;ADDRESS(130,3+18*3+(4))),'J1 A - (North) Bishopthorpe Roa'!$A$12:$A$130,"&gt;="&amp;Diagram!$O29,'J1 A - (North) Bishopthorpe Roa'!$A$12:$A$130,"&lt;"&amp;Diagram!$P29),SUMIFS(INDIRECT(ADDRESS(12,3+18*3+(12),,,"J1 A - (North) Bishopthorpe Roa")&amp;":"&amp;ADDRESS(130,3+18*3+(12))),'J1 A - (North) Bishopthorpe Roa'!$A$12:$A$130,"&gt;="&amp;Diagram!$O29,'J1 A - (North) Bishopthorpe Roa'!$A$12:$A$130,"&lt;"&amp;Diagram!$P29)))</f>
        <v>0</v>
      </c>
      <c r="CJ29" s="42">
        <f ca="1">IF(OR($I$10="",$O29="",$P29="",$J$39&lt;&gt;"Yes"),0,IF($K$10=0,SUMIFS(INDIRECT(ADDRESS(12,3+18*0+(4),,,"J1 A - (North) Bishopthorpe Roa")&amp;":"&amp;ADDRESS(130,3+18*0+(4))),'J1 A - (North) Bishopthorpe Roa'!$A$12:$A$130,"&gt;="&amp;Diagram!$O29,'J1 A - (North) Bishopthorpe Roa'!$A$12:$A$130,"&lt;"&amp;Diagram!$P29),SUMIFS(INDIRECT(ADDRESS(12,3+18*0+(12),,,"J1 A - (North) Bishopthorpe Roa")&amp;":"&amp;ADDRESS(130,3+18*0+(12))),'J1 A - (North) Bishopthorpe Roa'!$A$12:$A$130,"&gt;="&amp;Diagram!$O29,'J1 A - (North) Bishopthorpe Roa'!$A$12:$A$130,"&lt;"&amp;Diagram!$P29)))</f>
        <v>0</v>
      </c>
      <c r="CK29" s="42">
        <f ca="1">IF(OR($I$10="",$O29="",$P29="",$J$39&lt;&gt;"Yes"),0,IF($K$10=0,SUMIFS(INDIRECT(ADDRESS(12,3+18*1+(4),,,"J1 A - (North) Bishopthorpe Roa")&amp;":"&amp;ADDRESS(130,3+18*1+(4))),'J1 A - (North) Bishopthorpe Roa'!$A$12:$A$130,"&gt;="&amp;Diagram!$O29,'J1 A - (North) Bishopthorpe Roa'!$A$12:$A$130,"&lt;"&amp;Diagram!$P29),SUMIFS(INDIRECT(ADDRESS(12,3+18*1+(12),,,"J1 A - (North) Bishopthorpe Roa")&amp;":"&amp;ADDRESS(130,3+18*1+(12))),'J1 A - (North) Bishopthorpe Roa'!$A$12:$A$130,"&gt;="&amp;Diagram!$O29,'J1 A - (North) Bishopthorpe Roa'!$A$12:$A$130,"&lt;"&amp;Diagram!$P29)))</f>
        <v>2</v>
      </c>
      <c r="CL29" s="42">
        <f ca="1">IF(OR($I$10="",$O29="",$P29="",$J$39&lt;&gt;"Yes"),0,IF($K$10=0,SUMIFS(INDIRECT(ADDRESS(12,3+18*2+(4),,,"J1 A - (North) Bishopthorpe Roa")&amp;":"&amp;ADDRESS(130,3+18*2+(4))),'J1 A - (North) Bishopthorpe Roa'!$A$12:$A$130,"&gt;="&amp;Diagram!$O29,'J1 A - (North) Bishopthorpe Roa'!$A$12:$A$130,"&lt;"&amp;Diagram!$P29),SUMIFS(INDIRECT(ADDRESS(12,3+18*2+(12),,,"J1 A - (North) Bishopthorpe Roa")&amp;":"&amp;ADDRESS(130,3+18*2+(12))),'J1 A - (North) Bishopthorpe Roa'!$A$12:$A$130,"&gt;="&amp;Diagram!$O29,'J1 A - (North) Bishopthorpe Roa'!$A$12:$A$130,"&lt;"&amp;Diagram!$P29)))</f>
        <v>0</v>
      </c>
      <c r="CM29" s="42">
        <f ca="1">IF(OR($I$10="",$O29="",$P29="",$J$39&lt;&gt;"Yes"),0,IF($K$10=0,SUMIFS(INDIRECT(ADDRESS(12,3+18*2+(4),,,"J1 B - Butcher Terrace")&amp;":"&amp;ADDRESS(130,3+18*2+(4))),'J1 B - Butcher Terrace'!$A$12:$A$130,"&gt;="&amp;Diagram!$O29,'J1 B - Butcher Terrace'!$A$12:$A$130,"&lt;"&amp;Diagram!$P29),SUMIFS(INDIRECT(ADDRESS(12,3+18*2+(12),,,"J1 B - Butcher Terrace")&amp;":"&amp;ADDRESS(130,3+18*2+(12))),'J1 B - Butcher Terrace'!$A$12:$A$130,"&gt;="&amp;Diagram!$O29,'J1 B - Butcher Terrace'!$A$12:$A$130,"&lt;"&amp;Diagram!$P29)))</f>
        <v>0</v>
      </c>
      <c r="CN29" s="42">
        <f ca="1">IF(OR($I$10="",$O29="",$P29="",$J$39&lt;&gt;"Yes"),0,IF($K$10=0,SUMIFS(INDIRECT(ADDRESS(12,3+18*3+(4),,,"J1 B - Butcher Terrace")&amp;":"&amp;ADDRESS(130,3+18*3+(4))),'J1 B - Butcher Terrace'!$A$12:$A$130,"&gt;="&amp;Diagram!$O29,'J1 B - Butcher Terrace'!$A$12:$A$130,"&lt;"&amp;Diagram!$P29),SUMIFS(INDIRECT(ADDRESS(12,3+18*3+(12),,,"J1 B - Butcher Terrace")&amp;":"&amp;ADDRESS(130,3+18*3+(12))),'J1 B - Butcher Terrace'!$A$12:$A$130,"&gt;="&amp;Diagram!$O29,'J1 B - Butcher Terrace'!$A$12:$A$130,"&lt;"&amp;Diagram!$P29)))</f>
        <v>0</v>
      </c>
      <c r="CO29" s="42">
        <f ca="1">IF(OR($I$10="",$O29="",$P29="",$J$39&lt;&gt;"Yes"),0,IF($K$10=0,SUMIFS(INDIRECT(ADDRESS(12,3+18*0+(4),,,"J1 B - Butcher Terrace")&amp;":"&amp;ADDRESS(130,3+18*0+(4))),'J1 B - Butcher Terrace'!$A$12:$A$130,"&gt;="&amp;Diagram!$O29,'J1 B - Butcher Terrace'!$A$12:$A$130,"&lt;"&amp;Diagram!$P29),SUMIFS(INDIRECT(ADDRESS(12,3+18*0+(12),,,"J1 B - Butcher Terrace")&amp;":"&amp;ADDRESS(130,3+18*0+(12))),'J1 B - Butcher Terrace'!$A$12:$A$130,"&gt;="&amp;Diagram!$O29,'J1 B - Butcher Terrace'!$A$12:$A$130,"&lt;"&amp;Diagram!$P29)))</f>
        <v>0</v>
      </c>
      <c r="CP29" s="42">
        <f ca="1">IF(OR($I$10="",$O29="",$P29="",$J$39&lt;&gt;"Yes"),0,IF($K$10=0,SUMIFS(INDIRECT(ADDRESS(12,3+18*1+(4),,,"J1 B - Butcher Terrace")&amp;":"&amp;ADDRESS(130,3+18*1+(4))),'J1 B - Butcher Terrace'!$A$12:$A$130,"&gt;="&amp;Diagram!$O29,'J1 B - Butcher Terrace'!$A$12:$A$130,"&lt;"&amp;Diagram!$P29),SUMIFS(INDIRECT(ADDRESS(12,3+18*1+(12),,,"J1 B - Butcher Terrace")&amp;":"&amp;ADDRESS(130,3+18*1+(12))),'J1 B - Butcher Terrace'!$A$12:$A$130,"&gt;="&amp;Diagram!$O29,'J1 B - Butcher Terrace'!$A$12:$A$130,"&lt;"&amp;Diagram!$P29)))</f>
        <v>0</v>
      </c>
      <c r="CQ29" s="42">
        <f ca="1">IF(OR($I$10="",$O29="",$P29="",$J$39&lt;&gt;"Yes"),0,IF($K$10=0,SUMIFS(INDIRECT(ADDRESS(12,3+18*1+(4),,,"J1 C - (South) Bishopthorpe Roa")&amp;":"&amp;ADDRESS(130,3+18*1+(4))),'J1 C - (South) Bishopthorpe Roa'!$A$12:$A$130,"&gt;="&amp;Diagram!$O29,'J1 C - (South) Bishopthorpe Roa'!$A$12:$A$130,"&lt;"&amp;Diagram!$P29),SUMIFS(INDIRECT(ADDRESS(12,3+18*1+(12),,,"J1 C - (South) Bishopthorpe Roa")&amp;":"&amp;ADDRESS(130,3+18*1+(12))),'J1 C - (South) Bishopthorpe Roa'!$A$12:$A$130,"&gt;="&amp;Diagram!$O29,'J1 C - (South) Bishopthorpe Roa'!$A$12:$A$130,"&lt;"&amp;Diagram!$P29)))</f>
        <v>2</v>
      </c>
      <c r="CR29" s="42">
        <f ca="1">IF(OR($I$10="",$O29="",$P29="",$J$39&lt;&gt;"Yes"),0,IF($K$10=0,SUMIFS(INDIRECT(ADDRESS(12,3+18*2+(4),,,"J1 C - (South) Bishopthorpe Roa")&amp;":"&amp;ADDRESS(130,3+18*2+(4))),'J1 C - (South) Bishopthorpe Roa'!$A$12:$A$130,"&gt;="&amp;Diagram!$O29,'J1 C - (South) Bishopthorpe Roa'!$A$12:$A$130,"&lt;"&amp;Diagram!$P29),SUMIFS(INDIRECT(ADDRESS(12,3+18*2+(12),,,"J1 C - (South) Bishopthorpe Roa")&amp;":"&amp;ADDRESS(130,3+18*2+(12))),'J1 C - (South) Bishopthorpe Roa'!$A$12:$A$130,"&gt;="&amp;Diagram!$O29,'J1 C - (South) Bishopthorpe Roa'!$A$12:$A$130,"&lt;"&amp;Diagram!$P29)))</f>
        <v>0</v>
      </c>
      <c r="CS29" s="42">
        <f ca="1">IF(OR($I$10="",$O29="",$P29="",$J$39&lt;&gt;"Yes"),0,IF($K$10=0,SUMIFS(INDIRECT(ADDRESS(12,3+18*3+(4),,,"J1 C - (South) Bishopthorpe Roa")&amp;":"&amp;ADDRESS(130,3+18*3+(4))),'J1 C - (South) Bishopthorpe Roa'!$A$12:$A$130,"&gt;="&amp;Diagram!$O29,'J1 C - (South) Bishopthorpe Roa'!$A$12:$A$130,"&lt;"&amp;Diagram!$P29),SUMIFS(INDIRECT(ADDRESS(12,3+18*3+(12),,,"J1 C - (South) Bishopthorpe Roa")&amp;":"&amp;ADDRESS(130,3+18*3+(12))),'J1 C - (South) Bishopthorpe Roa'!$A$12:$A$130,"&gt;="&amp;Diagram!$O29,'J1 C - (South) Bishopthorpe Roa'!$A$12:$A$130,"&lt;"&amp;Diagram!$P29)))</f>
        <v>0</v>
      </c>
      <c r="CT29" s="42">
        <f ca="1">IF(OR($I$10="",$O29="",$P29="",$J$39&lt;&gt;"Yes"),0,IF($K$10=0,SUMIFS(INDIRECT(ADDRESS(12,3+18*0+(4),,,"J1 C - (South) Bishopthorpe Roa")&amp;":"&amp;ADDRESS(130,3+18*0+(4))),'J1 C - (South) Bishopthorpe Roa'!$A$12:$A$130,"&gt;="&amp;Diagram!$O29,'J1 C - (South) Bishopthorpe Roa'!$A$12:$A$130,"&lt;"&amp;Diagram!$P29),SUMIFS(INDIRECT(ADDRESS(12,3+18*0+(12),,,"J1 C - (South) Bishopthorpe Roa")&amp;":"&amp;ADDRESS(130,3+18*0+(12))),'J1 C - (South) Bishopthorpe Roa'!$A$12:$A$130,"&gt;="&amp;Diagram!$O29,'J1 C - (South) Bishopthorpe Roa'!$A$12:$A$130,"&lt;"&amp;Diagram!$P29)))</f>
        <v>0</v>
      </c>
      <c r="CU29" s="42">
        <f ca="1">IF(OR($I$10="",$O29="",$P29="",$J$39&lt;&gt;"Yes"),0,IF($K$10=0,SUMIFS(INDIRECT(ADDRESS(12,3+18*0+(4),,,"J1 D - South Bank Avenue")&amp;":"&amp;ADDRESS(130,3+18*0+(4))),'J1 D - South Bank Avenue'!$A$12:$A$130,"&gt;="&amp;Diagram!$O29,'J1 D - South Bank Avenue'!$A$12:$A$130,"&lt;"&amp;Diagram!$P29),SUMIFS(INDIRECT(ADDRESS(12,3+18*0+(12),,,"J1 D - South Bank Avenue")&amp;":"&amp;ADDRESS(130,3+18*0+(12))),'J1 D - South Bank Avenue'!$A$12:$A$130,"&gt;="&amp;Diagram!$O29,'J1 D - South Bank Avenue'!$A$12:$A$130,"&lt;"&amp;Diagram!$P29)))</f>
        <v>0</v>
      </c>
      <c r="CV29" s="42">
        <f ca="1">IF(OR($I$10="",$O29="",$P29="",$J$39&lt;&gt;"Yes"),0,IF($K$10=0,SUMIFS(INDIRECT(ADDRESS(12,3+18*1+(4),,,"J1 D - South Bank Avenue")&amp;":"&amp;ADDRESS(130,3+18*1+(4))),'J1 D - South Bank Avenue'!$A$12:$A$130,"&gt;="&amp;Diagram!$O29,'J1 D - South Bank Avenue'!$A$12:$A$130,"&lt;"&amp;Diagram!$P29),SUMIFS(INDIRECT(ADDRESS(12,3+18*1+(12),,,"J1 D - South Bank Avenue")&amp;":"&amp;ADDRESS(130,3+18*1+(12))),'J1 D - South Bank Avenue'!$A$12:$A$130,"&gt;="&amp;Diagram!$O29,'J1 D - South Bank Avenue'!$A$12:$A$130,"&lt;"&amp;Diagram!$P29)))</f>
        <v>0</v>
      </c>
      <c r="CW29" s="42">
        <f ca="1">IF(OR($I$10="",$O29="",$P29="",$J$39&lt;&gt;"Yes"),0,IF($K$10=0,SUMIFS(INDIRECT(ADDRESS(12,3+18*2+(4),,,"J1 D - South Bank Avenue")&amp;":"&amp;ADDRESS(130,3+18*2+(4))),'J1 D - South Bank Avenue'!$A$12:$A$130,"&gt;="&amp;Diagram!$O29,'J1 D - South Bank Avenue'!$A$12:$A$130,"&lt;"&amp;Diagram!$P29),SUMIFS(INDIRECT(ADDRESS(12,3+18*2+(12),,,"J1 D - South Bank Avenue")&amp;":"&amp;ADDRESS(130,3+18*2+(12))),'J1 D - South Bank Avenue'!$A$12:$A$130,"&gt;="&amp;Diagram!$O29,'J1 D - South Bank Avenue'!$A$12:$A$130,"&lt;"&amp;Diagram!$P29)))</f>
        <v>0</v>
      </c>
      <c r="CX29" s="42">
        <f ca="1">IF(OR($I$10="",$O29="",$P29="",$J$39&lt;&gt;"Yes"),0,IF($K$10=0,SUMIFS(INDIRECT(ADDRESS(12,3+18*3+(4),,,"J1 D - South Bank Avenue")&amp;":"&amp;ADDRESS(130,3+18*3+(4))),'J1 D - South Bank Avenue'!$A$12:$A$130,"&gt;="&amp;Diagram!$O29,'J1 D - South Bank Avenue'!$A$12:$A$130,"&lt;"&amp;Diagram!$P29),SUMIFS(INDIRECT(ADDRESS(12,3+18*3+(12),,,"J1 D - South Bank Avenue")&amp;":"&amp;ADDRESS(130,3+18*3+(12))),'J1 D - South Bank Avenue'!$A$12:$A$130,"&gt;="&amp;Diagram!$O29,'J1 D - South Bank Avenue'!$A$12:$A$130,"&lt;"&amp;Diagram!$P29)))</f>
        <v>0</v>
      </c>
      <c r="CY29" s="42">
        <f t="shared" ca="1" si="6"/>
        <v>72</v>
      </c>
      <c r="CZ29" s="42">
        <f ca="1">IF(OR($I$10="",$O29="",$P29="",$J$40&lt;&gt;"Yes"),0,IF($K$10=0,SUMIFS(INDIRECT(ADDRESS(12,3+18*3+(5),,,"J1 A - (North) Bishopthorpe Roa")&amp;":"&amp;ADDRESS(130,3+18*3+(5))),'J1 A - (North) Bishopthorpe Roa'!$A$12:$A$130,"&gt;="&amp;Diagram!$O29,'J1 A - (North) Bishopthorpe Roa'!$A$12:$A$130,"&lt;"&amp;Diagram!$P29),SUMIFS(INDIRECT(ADDRESS(12,3+18*3+(13),,,"J1 A - (North) Bishopthorpe Roa")&amp;":"&amp;ADDRESS(130,3+18*3+(13))),'J1 A - (North) Bishopthorpe Roa'!$A$12:$A$130,"&gt;="&amp;Diagram!$O29,'J1 A - (North) Bishopthorpe Roa'!$A$12:$A$130,"&lt;"&amp;Diagram!$P29)))</f>
        <v>0</v>
      </c>
      <c r="DA29" s="42">
        <f ca="1">IF(OR($I$10="",$O29="",$P29="",$J$40&lt;&gt;"Yes"),0,IF($K$10=0,SUMIFS(INDIRECT(ADDRESS(12,3+18*0+(5),,,"J1 A - (North) Bishopthorpe Roa")&amp;":"&amp;ADDRESS(130,3+18*0+(5))),'J1 A - (North) Bishopthorpe Roa'!$A$12:$A$130,"&gt;="&amp;Diagram!$O29,'J1 A - (North) Bishopthorpe Roa'!$A$12:$A$130,"&lt;"&amp;Diagram!$P29),SUMIFS(INDIRECT(ADDRESS(12,3+18*0+(13),,,"J1 A - (North) Bishopthorpe Roa")&amp;":"&amp;ADDRESS(130,3+18*0+(13))),'J1 A - (North) Bishopthorpe Roa'!$A$12:$A$130,"&gt;="&amp;Diagram!$O29,'J1 A - (North) Bishopthorpe Roa'!$A$12:$A$130,"&lt;"&amp;Diagram!$P29)))</f>
        <v>5</v>
      </c>
      <c r="DB29" s="42">
        <f ca="1">IF(OR($I$10="",$O29="",$P29="",$J$40&lt;&gt;"Yes"),0,IF($K$10=0,SUMIFS(INDIRECT(ADDRESS(12,3+18*1+(5),,,"J1 A - (North) Bishopthorpe Roa")&amp;":"&amp;ADDRESS(130,3+18*1+(5))),'J1 A - (North) Bishopthorpe Roa'!$A$12:$A$130,"&gt;="&amp;Diagram!$O29,'J1 A - (North) Bishopthorpe Roa'!$A$12:$A$130,"&lt;"&amp;Diagram!$P29),SUMIFS(INDIRECT(ADDRESS(12,3+18*1+(13),,,"J1 A - (North) Bishopthorpe Roa")&amp;":"&amp;ADDRESS(130,3+18*1+(13))),'J1 A - (North) Bishopthorpe Roa'!$A$12:$A$130,"&gt;="&amp;Diagram!$O29,'J1 A - (North) Bishopthorpe Roa'!$A$12:$A$130,"&lt;"&amp;Diagram!$P29)))</f>
        <v>6</v>
      </c>
      <c r="DC29" s="42">
        <f ca="1">IF(OR($I$10="",$O29="",$P29="",$J$40&lt;&gt;"Yes"),0,IF($K$10=0,SUMIFS(INDIRECT(ADDRESS(12,3+18*2+(5),,,"J1 A - (North) Bishopthorpe Roa")&amp;":"&amp;ADDRESS(130,3+18*2+(5))),'J1 A - (North) Bishopthorpe Roa'!$A$12:$A$130,"&gt;="&amp;Diagram!$O29,'J1 A - (North) Bishopthorpe Roa'!$A$12:$A$130,"&lt;"&amp;Diagram!$P29),SUMIFS(INDIRECT(ADDRESS(12,3+18*2+(13),,,"J1 A - (North) Bishopthorpe Roa")&amp;":"&amp;ADDRESS(130,3+18*2+(13))),'J1 A - (North) Bishopthorpe Roa'!$A$12:$A$130,"&gt;="&amp;Diagram!$O29,'J1 A - (North) Bishopthorpe Roa'!$A$12:$A$130,"&lt;"&amp;Diagram!$P29)))</f>
        <v>0</v>
      </c>
      <c r="DD29" s="42">
        <f ca="1">IF(OR($I$10="",$O29="",$P29="",$J$40&lt;&gt;"Yes"),0,IF($K$10=0,SUMIFS(INDIRECT(ADDRESS(12,3+18*2+(5),,,"J1 B - Butcher Terrace")&amp;":"&amp;ADDRESS(130,3+18*2+(5))),'J1 B - Butcher Terrace'!$A$12:$A$130,"&gt;="&amp;Diagram!$O29,'J1 B - Butcher Terrace'!$A$12:$A$130,"&lt;"&amp;Diagram!$P29),SUMIFS(INDIRECT(ADDRESS(12,3+18*2+(13),,,"J1 B - Butcher Terrace")&amp;":"&amp;ADDRESS(130,3+18*2+(13))),'J1 B - Butcher Terrace'!$A$12:$A$130,"&gt;="&amp;Diagram!$O29,'J1 B - Butcher Terrace'!$A$12:$A$130,"&lt;"&amp;Diagram!$P29)))</f>
        <v>6</v>
      </c>
      <c r="DE29" s="42">
        <f ca="1">IF(OR($I$10="",$O29="",$P29="",$J$40&lt;&gt;"Yes"),0,IF($K$10=0,SUMIFS(INDIRECT(ADDRESS(12,3+18*3+(5),,,"J1 B - Butcher Terrace")&amp;":"&amp;ADDRESS(130,3+18*3+(5))),'J1 B - Butcher Terrace'!$A$12:$A$130,"&gt;="&amp;Diagram!$O29,'J1 B - Butcher Terrace'!$A$12:$A$130,"&lt;"&amp;Diagram!$P29),SUMIFS(INDIRECT(ADDRESS(12,3+18*3+(13),,,"J1 B - Butcher Terrace")&amp;":"&amp;ADDRESS(130,3+18*3+(13))),'J1 B - Butcher Terrace'!$A$12:$A$130,"&gt;="&amp;Diagram!$O29,'J1 B - Butcher Terrace'!$A$12:$A$130,"&lt;"&amp;Diagram!$P29)))</f>
        <v>0</v>
      </c>
      <c r="DF29" s="42">
        <f ca="1">IF(OR($I$10="",$O29="",$P29="",$J$40&lt;&gt;"Yes"),0,IF($K$10=0,SUMIFS(INDIRECT(ADDRESS(12,3+18*0+(5),,,"J1 B - Butcher Terrace")&amp;":"&amp;ADDRESS(130,3+18*0+(5))),'J1 B - Butcher Terrace'!$A$12:$A$130,"&gt;="&amp;Diagram!$O29,'J1 B - Butcher Terrace'!$A$12:$A$130,"&lt;"&amp;Diagram!$P29),SUMIFS(INDIRECT(ADDRESS(12,3+18*0+(13),,,"J1 B - Butcher Terrace")&amp;":"&amp;ADDRESS(130,3+18*0+(13))),'J1 B - Butcher Terrace'!$A$12:$A$130,"&gt;="&amp;Diagram!$O29,'J1 B - Butcher Terrace'!$A$12:$A$130,"&lt;"&amp;Diagram!$P29)))</f>
        <v>5</v>
      </c>
      <c r="DG29" s="42">
        <f ca="1">IF(OR($I$10="",$O29="",$P29="",$J$40&lt;&gt;"Yes"),0,IF($K$10=0,SUMIFS(INDIRECT(ADDRESS(12,3+18*1+(5),,,"J1 B - Butcher Terrace")&amp;":"&amp;ADDRESS(130,3+18*1+(5))),'J1 B - Butcher Terrace'!$A$12:$A$130,"&gt;="&amp;Diagram!$O29,'J1 B - Butcher Terrace'!$A$12:$A$130,"&lt;"&amp;Diagram!$P29),SUMIFS(INDIRECT(ADDRESS(12,3+18*1+(13),,,"J1 B - Butcher Terrace")&amp;":"&amp;ADDRESS(130,3+18*1+(13))),'J1 B - Butcher Terrace'!$A$12:$A$130,"&gt;="&amp;Diagram!$O29,'J1 B - Butcher Terrace'!$A$12:$A$130,"&lt;"&amp;Diagram!$P29)))</f>
        <v>4</v>
      </c>
      <c r="DH29" s="42">
        <f ca="1">IF(OR($I$10="",$O29="",$P29="",$J$40&lt;&gt;"Yes"),0,IF($K$10=0,SUMIFS(INDIRECT(ADDRESS(12,3+18*1+(5),,,"J1 C - (South) Bishopthorpe Roa")&amp;":"&amp;ADDRESS(130,3+18*1+(5))),'J1 C - (South) Bishopthorpe Roa'!$A$12:$A$130,"&gt;="&amp;Diagram!$O29,'J1 C - (South) Bishopthorpe Roa'!$A$12:$A$130,"&lt;"&amp;Diagram!$P29),SUMIFS(INDIRECT(ADDRESS(12,3+18*1+(13),,,"J1 C - (South) Bishopthorpe Roa")&amp;":"&amp;ADDRESS(130,3+18*1+(13))),'J1 C - (South) Bishopthorpe Roa'!$A$12:$A$130,"&gt;="&amp;Diagram!$O29,'J1 C - (South) Bishopthorpe Roa'!$A$12:$A$130,"&lt;"&amp;Diagram!$P29)))</f>
        <v>21</v>
      </c>
      <c r="DI29" s="42">
        <f ca="1">IF(OR($I$10="",$O29="",$P29="",$J$40&lt;&gt;"Yes"),0,IF($K$10=0,SUMIFS(INDIRECT(ADDRESS(12,3+18*2+(5),,,"J1 C - (South) Bishopthorpe Roa")&amp;":"&amp;ADDRESS(130,3+18*2+(5))),'J1 C - (South) Bishopthorpe Roa'!$A$12:$A$130,"&gt;="&amp;Diagram!$O29,'J1 C - (South) Bishopthorpe Roa'!$A$12:$A$130,"&lt;"&amp;Diagram!$P29),SUMIFS(INDIRECT(ADDRESS(12,3+18*2+(13),,,"J1 C - (South) Bishopthorpe Roa")&amp;":"&amp;ADDRESS(130,3+18*2+(13))),'J1 C - (South) Bishopthorpe Roa'!$A$12:$A$130,"&gt;="&amp;Diagram!$O29,'J1 C - (South) Bishopthorpe Roa'!$A$12:$A$130,"&lt;"&amp;Diagram!$P29)))</f>
        <v>7</v>
      </c>
      <c r="DJ29" s="42">
        <f ca="1">IF(OR($I$10="",$O29="",$P29="",$J$40&lt;&gt;"Yes"),0,IF($K$10=0,SUMIFS(INDIRECT(ADDRESS(12,3+18*3+(5),,,"J1 C - (South) Bishopthorpe Roa")&amp;":"&amp;ADDRESS(130,3+18*3+(5))),'J1 C - (South) Bishopthorpe Roa'!$A$12:$A$130,"&gt;="&amp;Diagram!$O29,'J1 C - (South) Bishopthorpe Roa'!$A$12:$A$130,"&lt;"&amp;Diagram!$P29),SUMIFS(INDIRECT(ADDRESS(12,3+18*3+(13),,,"J1 C - (South) Bishopthorpe Roa")&amp;":"&amp;ADDRESS(130,3+18*3+(13))),'J1 C - (South) Bishopthorpe Roa'!$A$12:$A$130,"&gt;="&amp;Diagram!$O29,'J1 C - (South) Bishopthorpe Roa'!$A$12:$A$130,"&lt;"&amp;Diagram!$P29)))</f>
        <v>0</v>
      </c>
      <c r="DK29" s="42">
        <f ca="1">IF(OR($I$10="",$O29="",$P29="",$J$40&lt;&gt;"Yes"),0,IF($K$10=0,SUMIFS(INDIRECT(ADDRESS(12,3+18*0+(5),,,"J1 C - (South) Bishopthorpe Roa")&amp;":"&amp;ADDRESS(130,3+18*0+(5))),'J1 C - (South) Bishopthorpe Roa'!$A$12:$A$130,"&gt;="&amp;Diagram!$O29,'J1 C - (South) Bishopthorpe Roa'!$A$12:$A$130,"&lt;"&amp;Diagram!$P29),SUMIFS(INDIRECT(ADDRESS(12,3+18*0+(13),,,"J1 C - (South) Bishopthorpe Roa")&amp;":"&amp;ADDRESS(130,3+18*0+(13))),'J1 C - (South) Bishopthorpe Roa'!$A$12:$A$130,"&gt;="&amp;Diagram!$O29,'J1 C - (South) Bishopthorpe Roa'!$A$12:$A$130,"&lt;"&amp;Diagram!$P29)))</f>
        <v>0</v>
      </c>
      <c r="DL29" s="42">
        <f ca="1">IF(OR($I$10="",$O29="",$P29="",$J$40&lt;&gt;"Yes"),0,IF($K$10=0,SUMIFS(INDIRECT(ADDRESS(12,3+18*0+(5),,,"J1 D - South Bank Avenue")&amp;":"&amp;ADDRESS(130,3+18*0+(5))),'J1 D - South Bank Avenue'!$A$12:$A$130,"&gt;="&amp;Diagram!$O29,'J1 D - South Bank Avenue'!$A$12:$A$130,"&lt;"&amp;Diagram!$P29),SUMIFS(INDIRECT(ADDRESS(12,3+18*0+(13),,,"J1 D - South Bank Avenue")&amp;":"&amp;ADDRESS(130,3+18*0+(13))),'J1 D - South Bank Avenue'!$A$12:$A$130,"&gt;="&amp;Diagram!$O29,'J1 D - South Bank Avenue'!$A$12:$A$130,"&lt;"&amp;Diagram!$P29)))</f>
        <v>3</v>
      </c>
      <c r="DM29" s="42">
        <f ca="1">IF(OR($I$10="",$O29="",$P29="",$J$40&lt;&gt;"Yes"),0,IF($K$10=0,SUMIFS(INDIRECT(ADDRESS(12,3+18*1+(5),,,"J1 D - South Bank Avenue")&amp;":"&amp;ADDRESS(130,3+18*1+(5))),'J1 D - South Bank Avenue'!$A$12:$A$130,"&gt;="&amp;Diagram!$O29,'J1 D - South Bank Avenue'!$A$12:$A$130,"&lt;"&amp;Diagram!$P29),SUMIFS(INDIRECT(ADDRESS(12,3+18*1+(13),,,"J1 D - South Bank Avenue")&amp;":"&amp;ADDRESS(130,3+18*1+(13))),'J1 D - South Bank Avenue'!$A$12:$A$130,"&gt;="&amp;Diagram!$O29,'J1 D - South Bank Avenue'!$A$12:$A$130,"&lt;"&amp;Diagram!$P29)))</f>
        <v>14</v>
      </c>
      <c r="DN29" s="42">
        <f ca="1">IF(OR($I$10="",$O29="",$P29="",$J$40&lt;&gt;"Yes"),0,IF($K$10=0,SUMIFS(INDIRECT(ADDRESS(12,3+18*2+(5),,,"J1 D - South Bank Avenue")&amp;":"&amp;ADDRESS(130,3+18*2+(5))),'J1 D - South Bank Avenue'!$A$12:$A$130,"&gt;="&amp;Diagram!$O29,'J1 D - South Bank Avenue'!$A$12:$A$130,"&lt;"&amp;Diagram!$P29),SUMIFS(INDIRECT(ADDRESS(12,3+18*2+(13),,,"J1 D - South Bank Avenue")&amp;":"&amp;ADDRESS(130,3+18*2+(13))),'J1 D - South Bank Avenue'!$A$12:$A$130,"&gt;="&amp;Diagram!$O29,'J1 D - South Bank Avenue'!$A$12:$A$130,"&lt;"&amp;Diagram!$P29)))</f>
        <v>1</v>
      </c>
      <c r="DO29" s="42">
        <f ca="1">IF(OR($I$10="",$O29="",$P29="",$J$40&lt;&gt;"Yes"),0,IF($K$10=0,SUMIFS(INDIRECT(ADDRESS(12,3+18*3+(5),,,"J1 D - South Bank Avenue")&amp;":"&amp;ADDRESS(130,3+18*3+(5))),'J1 D - South Bank Avenue'!$A$12:$A$130,"&gt;="&amp;Diagram!$O29,'J1 D - South Bank Avenue'!$A$12:$A$130,"&lt;"&amp;Diagram!$P29),SUMIFS(INDIRECT(ADDRESS(12,3+18*3+(13),,,"J1 D - South Bank Avenue")&amp;":"&amp;ADDRESS(130,3+18*3+(13))),'J1 D - South Bank Avenue'!$A$12:$A$130,"&gt;="&amp;Diagram!$O29,'J1 D - South Bank Avenue'!$A$12:$A$130,"&lt;"&amp;Diagram!$P29)))</f>
        <v>0</v>
      </c>
      <c r="DP29" s="42">
        <f t="shared" ca="1" si="7"/>
        <v>4</v>
      </c>
      <c r="DQ29" s="42">
        <f ca="1">IF(OR($I$10="",$O29="",$P29="",$J$41&lt;&gt;"Yes"),0,IF($K$10=0,SUMIFS(INDIRECT(ADDRESS(12,3+18*3+(6),,,"J1 A - (North) Bishopthorpe Roa")&amp;":"&amp;ADDRESS(130,3+18*3+(6))),'J1 A - (North) Bishopthorpe Roa'!$A$12:$A$130,"&gt;="&amp;Diagram!$O29,'J1 A - (North) Bishopthorpe Roa'!$A$12:$A$130,"&lt;"&amp;Diagram!$P29),SUMIFS(INDIRECT(ADDRESS(12,3+18*3+(14),,,"J1 A - (North) Bishopthorpe Roa")&amp;":"&amp;ADDRESS(130,3+18*3+(14))),'J1 A - (North) Bishopthorpe Roa'!$A$12:$A$130,"&gt;="&amp;Diagram!$O29,'J1 A - (North) Bishopthorpe Roa'!$A$12:$A$130,"&lt;"&amp;Diagram!$P29)))</f>
        <v>0</v>
      </c>
      <c r="DR29" s="42">
        <f ca="1">IF(OR($I$10="",$O29="",$P29="",$J$41&lt;&gt;"Yes"),0,IF($K$10=0,SUMIFS(INDIRECT(ADDRESS(12,3+18*0+(6),,,"J1 A - (North) Bishopthorpe Roa")&amp;":"&amp;ADDRESS(130,3+18*0+(6))),'J1 A - (North) Bishopthorpe Roa'!$A$12:$A$130,"&gt;="&amp;Diagram!$O29,'J1 A - (North) Bishopthorpe Roa'!$A$12:$A$130,"&lt;"&amp;Diagram!$P29),SUMIFS(INDIRECT(ADDRESS(12,3+18*0+(14),,,"J1 A - (North) Bishopthorpe Roa")&amp;":"&amp;ADDRESS(130,3+18*0+(14))),'J1 A - (North) Bishopthorpe Roa'!$A$12:$A$130,"&gt;="&amp;Diagram!$O29,'J1 A - (North) Bishopthorpe Roa'!$A$12:$A$130,"&lt;"&amp;Diagram!$P29)))</f>
        <v>0</v>
      </c>
      <c r="DS29" s="42">
        <f ca="1">IF(OR($I$10="",$O29="",$P29="",$J$41&lt;&gt;"Yes"),0,IF($K$10=0,SUMIFS(INDIRECT(ADDRESS(12,3+18*1+(6),,,"J1 A - (North) Bishopthorpe Roa")&amp;":"&amp;ADDRESS(130,3+18*1+(6))),'J1 A - (North) Bishopthorpe Roa'!$A$12:$A$130,"&gt;="&amp;Diagram!$O29,'J1 A - (North) Bishopthorpe Roa'!$A$12:$A$130,"&lt;"&amp;Diagram!$P29),SUMIFS(INDIRECT(ADDRESS(12,3+18*1+(14),,,"J1 A - (North) Bishopthorpe Roa")&amp;":"&amp;ADDRESS(130,3+18*1+(14))),'J1 A - (North) Bishopthorpe Roa'!$A$12:$A$130,"&gt;="&amp;Diagram!$O29,'J1 A - (North) Bishopthorpe Roa'!$A$12:$A$130,"&lt;"&amp;Diagram!$P29)))</f>
        <v>0</v>
      </c>
      <c r="DT29" s="42">
        <f ca="1">IF(OR($I$10="",$O29="",$P29="",$J$41&lt;&gt;"Yes"),0,IF($K$10=0,SUMIFS(INDIRECT(ADDRESS(12,3+18*2+(6),,,"J1 A - (North) Bishopthorpe Roa")&amp;":"&amp;ADDRESS(130,3+18*2+(6))),'J1 A - (North) Bishopthorpe Roa'!$A$12:$A$130,"&gt;="&amp;Diagram!$O29,'J1 A - (North) Bishopthorpe Roa'!$A$12:$A$130,"&lt;"&amp;Diagram!$P29),SUMIFS(INDIRECT(ADDRESS(12,3+18*2+(14),,,"J1 A - (North) Bishopthorpe Roa")&amp;":"&amp;ADDRESS(130,3+18*2+(14))),'J1 A - (North) Bishopthorpe Roa'!$A$12:$A$130,"&gt;="&amp;Diagram!$O29,'J1 A - (North) Bishopthorpe Roa'!$A$12:$A$130,"&lt;"&amp;Diagram!$P29)))</f>
        <v>0</v>
      </c>
      <c r="DU29" s="42">
        <f ca="1">IF(OR($I$10="",$O29="",$P29="",$J$41&lt;&gt;"Yes"),0,IF($K$10=0,SUMIFS(INDIRECT(ADDRESS(12,3+18*2+(6),,,"J1 B - Butcher Terrace")&amp;":"&amp;ADDRESS(130,3+18*2+(6))),'J1 B - Butcher Terrace'!$A$12:$A$130,"&gt;="&amp;Diagram!$O29,'J1 B - Butcher Terrace'!$A$12:$A$130,"&lt;"&amp;Diagram!$P29),SUMIFS(INDIRECT(ADDRESS(12,3+18*2+(14),,,"J1 B - Butcher Terrace")&amp;":"&amp;ADDRESS(130,3+18*2+(14))),'J1 B - Butcher Terrace'!$A$12:$A$130,"&gt;="&amp;Diagram!$O29,'J1 B - Butcher Terrace'!$A$12:$A$130,"&lt;"&amp;Diagram!$P29)))</f>
        <v>0</v>
      </c>
      <c r="DV29" s="42">
        <f ca="1">IF(OR($I$10="",$O29="",$P29="",$J$41&lt;&gt;"Yes"),0,IF($K$10=0,SUMIFS(INDIRECT(ADDRESS(12,3+18*3+(6),,,"J1 B - Butcher Terrace")&amp;":"&amp;ADDRESS(130,3+18*3+(6))),'J1 B - Butcher Terrace'!$A$12:$A$130,"&gt;="&amp;Diagram!$O29,'J1 B - Butcher Terrace'!$A$12:$A$130,"&lt;"&amp;Diagram!$P29),SUMIFS(INDIRECT(ADDRESS(12,3+18*3+(14),,,"J1 B - Butcher Terrace")&amp;":"&amp;ADDRESS(130,3+18*3+(14))),'J1 B - Butcher Terrace'!$A$12:$A$130,"&gt;="&amp;Diagram!$O29,'J1 B - Butcher Terrace'!$A$12:$A$130,"&lt;"&amp;Diagram!$P29)))</f>
        <v>0</v>
      </c>
      <c r="DW29" s="42">
        <f ca="1">IF(OR($I$10="",$O29="",$P29="",$J$41&lt;&gt;"Yes"),0,IF($K$10=0,SUMIFS(INDIRECT(ADDRESS(12,3+18*0+(6),,,"J1 B - Butcher Terrace")&amp;":"&amp;ADDRESS(130,3+18*0+(6))),'J1 B - Butcher Terrace'!$A$12:$A$130,"&gt;="&amp;Diagram!$O29,'J1 B - Butcher Terrace'!$A$12:$A$130,"&lt;"&amp;Diagram!$P29),SUMIFS(INDIRECT(ADDRESS(12,3+18*0+(14),,,"J1 B - Butcher Terrace")&amp;":"&amp;ADDRESS(130,3+18*0+(14))),'J1 B - Butcher Terrace'!$A$12:$A$130,"&gt;="&amp;Diagram!$O29,'J1 B - Butcher Terrace'!$A$12:$A$130,"&lt;"&amp;Diagram!$P29)))</f>
        <v>0</v>
      </c>
      <c r="DX29" s="42">
        <f ca="1">IF(OR($I$10="",$O29="",$P29="",$J$41&lt;&gt;"Yes"),0,IF($K$10=0,SUMIFS(INDIRECT(ADDRESS(12,3+18*1+(6),,,"J1 B - Butcher Terrace")&amp;":"&amp;ADDRESS(130,3+18*1+(6))),'J1 B - Butcher Terrace'!$A$12:$A$130,"&gt;="&amp;Diagram!$O29,'J1 B - Butcher Terrace'!$A$12:$A$130,"&lt;"&amp;Diagram!$P29),SUMIFS(INDIRECT(ADDRESS(12,3+18*1+(14),,,"J1 B - Butcher Terrace")&amp;":"&amp;ADDRESS(130,3+18*1+(14))),'J1 B - Butcher Terrace'!$A$12:$A$130,"&gt;="&amp;Diagram!$O29,'J1 B - Butcher Terrace'!$A$12:$A$130,"&lt;"&amp;Diagram!$P29)))</f>
        <v>0</v>
      </c>
      <c r="DY29" s="42">
        <f ca="1">IF(OR($I$10="",$O29="",$P29="",$J$41&lt;&gt;"Yes"),0,IF($K$10=0,SUMIFS(INDIRECT(ADDRESS(12,3+18*1+(6),,,"J1 C - (South) Bishopthorpe Roa")&amp;":"&amp;ADDRESS(130,3+18*1+(6))),'J1 C - (South) Bishopthorpe Roa'!$A$12:$A$130,"&gt;="&amp;Diagram!$O29,'J1 C - (South) Bishopthorpe Roa'!$A$12:$A$130,"&lt;"&amp;Diagram!$P29),SUMIFS(INDIRECT(ADDRESS(12,3+18*1+(14),,,"J1 C - (South) Bishopthorpe Roa")&amp;":"&amp;ADDRESS(130,3+18*1+(14))),'J1 C - (South) Bishopthorpe Roa'!$A$12:$A$130,"&gt;="&amp;Diagram!$O29,'J1 C - (South) Bishopthorpe Roa'!$A$12:$A$130,"&lt;"&amp;Diagram!$P29)))</f>
        <v>2</v>
      </c>
      <c r="DZ29" s="42">
        <f ca="1">IF(OR($I$10="",$O29="",$P29="",$J$41&lt;&gt;"Yes"),0,IF($K$10=0,SUMIFS(INDIRECT(ADDRESS(12,3+18*2+(6),,,"J1 C - (South) Bishopthorpe Roa")&amp;":"&amp;ADDRESS(130,3+18*2+(6))),'J1 C - (South) Bishopthorpe Roa'!$A$12:$A$130,"&gt;="&amp;Diagram!$O29,'J1 C - (South) Bishopthorpe Roa'!$A$12:$A$130,"&lt;"&amp;Diagram!$P29),SUMIFS(INDIRECT(ADDRESS(12,3+18*2+(14),,,"J1 C - (South) Bishopthorpe Roa")&amp;":"&amp;ADDRESS(130,3+18*2+(14))),'J1 C - (South) Bishopthorpe Roa'!$A$12:$A$130,"&gt;="&amp;Diagram!$O29,'J1 C - (South) Bishopthorpe Roa'!$A$12:$A$130,"&lt;"&amp;Diagram!$P29)))</f>
        <v>1</v>
      </c>
      <c r="EA29" s="42">
        <f ca="1">IF(OR($I$10="",$O29="",$P29="",$J$41&lt;&gt;"Yes"),0,IF($K$10=0,SUMIFS(INDIRECT(ADDRESS(12,3+18*3+(6),,,"J1 C - (South) Bishopthorpe Roa")&amp;":"&amp;ADDRESS(130,3+18*3+(6))),'J1 C - (South) Bishopthorpe Roa'!$A$12:$A$130,"&gt;="&amp;Diagram!$O29,'J1 C - (South) Bishopthorpe Roa'!$A$12:$A$130,"&lt;"&amp;Diagram!$P29),SUMIFS(INDIRECT(ADDRESS(12,3+18*3+(14),,,"J1 C - (South) Bishopthorpe Roa")&amp;":"&amp;ADDRESS(130,3+18*3+(14))),'J1 C - (South) Bishopthorpe Roa'!$A$12:$A$130,"&gt;="&amp;Diagram!$O29,'J1 C - (South) Bishopthorpe Roa'!$A$12:$A$130,"&lt;"&amp;Diagram!$P29)))</f>
        <v>0</v>
      </c>
      <c r="EB29" s="42">
        <f ca="1">IF(OR($I$10="",$O29="",$P29="",$J$41&lt;&gt;"Yes"),0,IF($K$10=0,SUMIFS(INDIRECT(ADDRESS(12,3+18*0+(6),,,"J1 C - (South) Bishopthorpe Roa")&amp;":"&amp;ADDRESS(130,3+18*0+(6))),'J1 C - (South) Bishopthorpe Roa'!$A$12:$A$130,"&gt;="&amp;Diagram!$O29,'J1 C - (South) Bishopthorpe Roa'!$A$12:$A$130,"&lt;"&amp;Diagram!$P29),SUMIFS(INDIRECT(ADDRESS(12,3+18*0+(14),,,"J1 C - (South) Bishopthorpe Roa")&amp;":"&amp;ADDRESS(130,3+18*0+(14))),'J1 C - (South) Bishopthorpe Roa'!$A$12:$A$130,"&gt;="&amp;Diagram!$O29,'J1 C - (South) Bishopthorpe Roa'!$A$12:$A$130,"&lt;"&amp;Diagram!$P29)))</f>
        <v>0</v>
      </c>
      <c r="EC29" s="42">
        <f ca="1">IF(OR($I$10="",$O29="",$P29="",$J$41&lt;&gt;"Yes"),0,IF($K$10=0,SUMIFS(INDIRECT(ADDRESS(12,3+18*0+(6),,,"J1 D - South Bank Avenue")&amp;":"&amp;ADDRESS(130,3+18*0+(6))),'J1 D - South Bank Avenue'!$A$12:$A$130,"&gt;="&amp;Diagram!$O29,'J1 D - South Bank Avenue'!$A$12:$A$130,"&lt;"&amp;Diagram!$P29),SUMIFS(INDIRECT(ADDRESS(12,3+18*0+(14),,,"J1 D - South Bank Avenue")&amp;":"&amp;ADDRESS(130,3+18*0+(14))),'J1 D - South Bank Avenue'!$A$12:$A$130,"&gt;="&amp;Diagram!$O29,'J1 D - South Bank Avenue'!$A$12:$A$130,"&lt;"&amp;Diagram!$P29)))</f>
        <v>1</v>
      </c>
      <c r="ED29" s="42">
        <f ca="1">IF(OR($I$10="",$O29="",$P29="",$J$41&lt;&gt;"Yes"),0,IF($K$10=0,SUMIFS(INDIRECT(ADDRESS(12,3+18*1+(6),,,"J1 D - South Bank Avenue")&amp;":"&amp;ADDRESS(130,3+18*1+(6))),'J1 D - South Bank Avenue'!$A$12:$A$130,"&gt;="&amp;Diagram!$O29,'J1 D - South Bank Avenue'!$A$12:$A$130,"&lt;"&amp;Diagram!$P29),SUMIFS(INDIRECT(ADDRESS(12,3+18*1+(14),,,"J1 D - South Bank Avenue")&amp;":"&amp;ADDRESS(130,3+18*1+(14))),'J1 D - South Bank Avenue'!$A$12:$A$130,"&gt;="&amp;Diagram!$O29,'J1 D - South Bank Avenue'!$A$12:$A$130,"&lt;"&amp;Diagram!$P29)))</f>
        <v>0</v>
      </c>
      <c r="EE29" s="42">
        <f ca="1">IF(OR($I$10="",$O29="",$P29="",$J$41&lt;&gt;"Yes"),0,IF($K$10=0,SUMIFS(INDIRECT(ADDRESS(12,3+18*2+(6),,,"J1 D - South Bank Avenue")&amp;":"&amp;ADDRESS(130,3+18*2+(6))),'J1 D - South Bank Avenue'!$A$12:$A$130,"&gt;="&amp;Diagram!$O29,'J1 D - South Bank Avenue'!$A$12:$A$130,"&lt;"&amp;Diagram!$P29),SUMIFS(INDIRECT(ADDRESS(12,3+18*2+(14),,,"J1 D - South Bank Avenue")&amp;":"&amp;ADDRESS(130,3+18*2+(14))),'J1 D - South Bank Avenue'!$A$12:$A$130,"&gt;="&amp;Diagram!$O29,'J1 D - South Bank Avenue'!$A$12:$A$130,"&lt;"&amp;Diagram!$P29)))</f>
        <v>0</v>
      </c>
      <c r="EF29" s="42">
        <f ca="1">IF(OR($I$10="",$O29="",$P29="",$J$41&lt;&gt;"Yes"),0,IF($K$10=0,SUMIFS(INDIRECT(ADDRESS(12,3+18*3+(6),,,"J1 D - South Bank Avenue")&amp;":"&amp;ADDRESS(130,3+18*3+(6))),'J1 D - South Bank Avenue'!$A$12:$A$130,"&gt;="&amp;Diagram!$O29,'J1 D - South Bank Avenue'!$A$12:$A$130,"&lt;"&amp;Diagram!$P29),SUMIFS(INDIRECT(ADDRESS(12,3+18*3+(14),,,"J1 D - South Bank Avenue")&amp;":"&amp;ADDRESS(130,3+18*3+(14))),'J1 D - South Bank Avenue'!$A$12:$A$130,"&gt;="&amp;Diagram!$O29,'J1 D - South Bank Avenue'!$A$12:$A$130,"&lt;"&amp;Diagram!$P29)))</f>
        <v>0</v>
      </c>
      <c r="EG29" s="42">
        <f t="shared" ca="1" si="8"/>
        <v>2</v>
      </c>
      <c r="EH29" s="42">
        <f ca="1">IF(OR($I$10="",$O29="",$P29="",$J$42&lt;&gt;"Yes"),0,IF($K$10=0,SUMIFS(INDIRECT(ADDRESS(12,3+18*3+(7),,,"J1 A - (North) Bishopthorpe Roa")&amp;":"&amp;ADDRESS(130,3+18*3+(7))),'J1 A - (North) Bishopthorpe Roa'!$A$12:$A$130,"&gt;="&amp;Diagram!$O29,'J1 A - (North) Bishopthorpe Roa'!$A$12:$A$130,"&lt;"&amp;Diagram!$P29),SUMIFS(INDIRECT(ADDRESS(12,3+18*3+(15),,,"J1 A - (North) Bishopthorpe Roa")&amp;":"&amp;ADDRESS(130,3+18*3+(15))),'J1 A - (North) Bishopthorpe Roa'!$A$12:$A$130,"&gt;="&amp;Diagram!$O29,'J1 A - (North) Bishopthorpe Roa'!$A$12:$A$130,"&lt;"&amp;Diagram!$P29)))</f>
        <v>0</v>
      </c>
      <c r="EI29" s="42">
        <f ca="1">IF(OR($I$10="",$O29="",$P29="",$J$42&lt;&gt;"Yes"),0,IF($K$10=0,SUMIFS(INDIRECT(ADDRESS(12,3+18*0+(7),,,"J1 A - (North) Bishopthorpe Roa")&amp;":"&amp;ADDRESS(130,3+18*0+(7))),'J1 A - (North) Bishopthorpe Roa'!$A$12:$A$130,"&gt;="&amp;Diagram!$O29,'J1 A - (North) Bishopthorpe Roa'!$A$12:$A$130,"&lt;"&amp;Diagram!$P29),SUMIFS(INDIRECT(ADDRESS(12,3+18*0+(15),,,"J1 A - (North) Bishopthorpe Roa")&amp;":"&amp;ADDRESS(130,3+18*0+(15))),'J1 A - (North) Bishopthorpe Roa'!$A$12:$A$130,"&gt;="&amp;Diagram!$O29,'J1 A - (North) Bishopthorpe Roa'!$A$12:$A$130,"&lt;"&amp;Diagram!$P29)))</f>
        <v>0</v>
      </c>
      <c r="EJ29" s="42">
        <f ca="1">IF(OR($I$10="",$O29="",$P29="",$J$42&lt;&gt;"Yes"),0,IF($K$10=0,SUMIFS(INDIRECT(ADDRESS(12,3+18*1+(7),,,"J1 A - (North) Bishopthorpe Roa")&amp;":"&amp;ADDRESS(130,3+18*1+(7))),'J1 A - (North) Bishopthorpe Roa'!$A$12:$A$130,"&gt;="&amp;Diagram!$O29,'J1 A - (North) Bishopthorpe Roa'!$A$12:$A$130,"&lt;"&amp;Diagram!$P29),SUMIFS(INDIRECT(ADDRESS(12,3+18*1+(15),,,"J1 A - (North) Bishopthorpe Roa")&amp;":"&amp;ADDRESS(130,3+18*1+(15))),'J1 A - (North) Bishopthorpe Roa'!$A$12:$A$130,"&gt;="&amp;Diagram!$O29,'J1 A - (North) Bishopthorpe Roa'!$A$12:$A$130,"&lt;"&amp;Diagram!$P29)))</f>
        <v>0</v>
      </c>
      <c r="EK29" s="42">
        <f ca="1">IF(OR($I$10="",$O29="",$P29="",$J$42&lt;&gt;"Yes"),0,IF($K$10=0,SUMIFS(INDIRECT(ADDRESS(12,3+18*2+(7),,,"J1 A - (North) Bishopthorpe Roa")&amp;":"&amp;ADDRESS(130,3+18*2+(7))),'J1 A - (North) Bishopthorpe Roa'!$A$12:$A$130,"&gt;="&amp;Diagram!$O29,'J1 A - (North) Bishopthorpe Roa'!$A$12:$A$130,"&lt;"&amp;Diagram!$P29),SUMIFS(INDIRECT(ADDRESS(12,3+18*2+(15),,,"J1 A - (North) Bishopthorpe Roa")&amp;":"&amp;ADDRESS(130,3+18*2+(15))),'J1 A - (North) Bishopthorpe Roa'!$A$12:$A$130,"&gt;="&amp;Diagram!$O29,'J1 A - (North) Bishopthorpe Roa'!$A$12:$A$130,"&lt;"&amp;Diagram!$P29)))</f>
        <v>0</v>
      </c>
      <c r="EL29" s="42">
        <f ca="1">IF(OR($I$10="",$O29="",$P29="",$J$42&lt;&gt;"Yes"),0,IF($K$10=0,SUMIFS(INDIRECT(ADDRESS(12,3+18*2+(7),,,"J1 B - Butcher Terrace")&amp;":"&amp;ADDRESS(130,3+18*2+(7))),'J1 B - Butcher Terrace'!$A$12:$A$130,"&gt;="&amp;Diagram!$O29,'J1 B - Butcher Terrace'!$A$12:$A$130,"&lt;"&amp;Diagram!$P29),SUMIFS(INDIRECT(ADDRESS(12,3+18*2+(15),,,"J1 B - Butcher Terrace")&amp;":"&amp;ADDRESS(130,3+18*2+(15))),'J1 B - Butcher Terrace'!$A$12:$A$130,"&gt;="&amp;Diagram!$O29,'J1 B - Butcher Terrace'!$A$12:$A$130,"&lt;"&amp;Diagram!$P29)))</f>
        <v>2</v>
      </c>
      <c r="EM29" s="42">
        <f ca="1">IF(OR($I$10="",$O29="",$P29="",$J$42&lt;&gt;"Yes"),0,IF($K$10=0,SUMIFS(INDIRECT(ADDRESS(12,3+18*3+(7),,,"J1 B - Butcher Terrace")&amp;":"&amp;ADDRESS(130,3+18*3+(7))),'J1 B - Butcher Terrace'!$A$12:$A$130,"&gt;="&amp;Diagram!$O29,'J1 B - Butcher Terrace'!$A$12:$A$130,"&lt;"&amp;Diagram!$P29),SUMIFS(INDIRECT(ADDRESS(12,3+18*3+(15),,,"J1 B - Butcher Terrace")&amp;":"&amp;ADDRESS(130,3+18*3+(15))),'J1 B - Butcher Terrace'!$A$12:$A$130,"&gt;="&amp;Diagram!$O29,'J1 B - Butcher Terrace'!$A$12:$A$130,"&lt;"&amp;Diagram!$P29)))</f>
        <v>0</v>
      </c>
      <c r="EN29" s="42">
        <f ca="1">IF(OR($I$10="",$O29="",$P29="",$J$42&lt;&gt;"Yes"),0,IF($K$10=0,SUMIFS(INDIRECT(ADDRESS(12,3+18*0+(7),,,"J1 B - Butcher Terrace")&amp;":"&amp;ADDRESS(130,3+18*0+(7))),'J1 B - Butcher Terrace'!$A$12:$A$130,"&gt;="&amp;Diagram!$O29,'J1 B - Butcher Terrace'!$A$12:$A$130,"&lt;"&amp;Diagram!$P29),SUMIFS(INDIRECT(ADDRESS(12,3+18*0+(15),,,"J1 B - Butcher Terrace")&amp;":"&amp;ADDRESS(130,3+18*0+(15))),'J1 B - Butcher Terrace'!$A$12:$A$130,"&gt;="&amp;Diagram!$O29,'J1 B - Butcher Terrace'!$A$12:$A$130,"&lt;"&amp;Diagram!$P29)))</f>
        <v>0</v>
      </c>
      <c r="EO29" s="42">
        <f ca="1">IF(OR($I$10="",$O29="",$P29="",$J$42&lt;&gt;"Yes"),0,IF($K$10=0,SUMIFS(INDIRECT(ADDRESS(12,3+18*1+(7),,,"J1 B - Butcher Terrace")&amp;":"&amp;ADDRESS(130,3+18*1+(7))),'J1 B - Butcher Terrace'!$A$12:$A$130,"&gt;="&amp;Diagram!$O29,'J1 B - Butcher Terrace'!$A$12:$A$130,"&lt;"&amp;Diagram!$P29),SUMIFS(INDIRECT(ADDRESS(12,3+18*1+(15),,,"J1 B - Butcher Terrace")&amp;":"&amp;ADDRESS(130,3+18*1+(15))),'J1 B - Butcher Terrace'!$A$12:$A$130,"&gt;="&amp;Diagram!$O29,'J1 B - Butcher Terrace'!$A$12:$A$130,"&lt;"&amp;Diagram!$P29)))</f>
        <v>0</v>
      </c>
      <c r="EP29" s="42">
        <f ca="1">IF(OR($I$10="",$O29="",$P29="",$J$42&lt;&gt;"Yes"),0,IF($K$10=0,SUMIFS(INDIRECT(ADDRESS(12,3+18*1+(7),,,"J1 C - (South) Bishopthorpe Roa")&amp;":"&amp;ADDRESS(130,3+18*1+(7))),'J1 C - (South) Bishopthorpe Roa'!$A$12:$A$130,"&gt;="&amp;Diagram!$O29,'J1 C - (South) Bishopthorpe Roa'!$A$12:$A$130,"&lt;"&amp;Diagram!$P29),SUMIFS(INDIRECT(ADDRESS(12,3+18*1+(15),,,"J1 C - (South) Bishopthorpe Roa")&amp;":"&amp;ADDRESS(130,3+18*1+(15))),'J1 C - (South) Bishopthorpe Roa'!$A$12:$A$130,"&gt;="&amp;Diagram!$O29,'J1 C - (South) Bishopthorpe Roa'!$A$12:$A$130,"&lt;"&amp;Diagram!$P29)))</f>
        <v>0</v>
      </c>
      <c r="EQ29" s="42">
        <f ca="1">IF(OR($I$10="",$O29="",$P29="",$J$42&lt;&gt;"Yes"),0,IF($K$10=0,SUMIFS(INDIRECT(ADDRESS(12,3+18*2+(7),,,"J1 C - (South) Bishopthorpe Roa")&amp;":"&amp;ADDRESS(130,3+18*2+(7))),'J1 C - (South) Bishopthorpe Roa'!$A$12:$A$130,"&gt;="&amp;Diagram!$O29,'J1 C - (South) Bishopthorpe Roa'!$A$12:$A$130,"&lt;"&amp;Diagram!$P29),SUMIFS(INDIRECT(ADDRESS(12,3+18*2+(15),,,"J1 C - (South) Bishopthorpe Roa")&amp;":"&amp;ADDRESS(130,3+18*2+(15))),'J1 C - (South) Bishopthorpe Roa'!$A$12:$A$130,"&gt;="&amp;Diagram!$O29,'J1 C - (South) Bishopthorpe Roa'!$A$12:$A$130,"&lt;"&amp;Diagram!$P29)))</f>
        <v>0</v>
      </c>
      <c r="ER29" s="42">
        <f ca="1">IF(OR($I$10="",$O29="",$P29="",$J$42&lt;&gt;"Yes"),0,IF($K$10=0,SUMIFS(INDIRECT(ADDRESS(12,3+18*3+(7),,,"J1 C - (South) Bishopthorpe Roa")&amp;":"&amp;ADDRESS(130,3+18*3+(7))),'J1 C - (South) Bishopthorpe Roa'!$A$12:$A$130,"&gt;="&amp;Diagram!$O29,'J1 C - (South) Bishopthorpe Roa'!$A$12:$A$130,"&lt;"&amp;Diagram!$P29),SUMIFS(INDIRECT(ADDRESS(12,3+18*3+(15),,,"J1 C - (South) Bishopthorpe Roa")&amp;":"&amp;ADDRESS(130,3+18*3+(15))),'J1 C - (South) Bishopthorpe Roa'!$A$12:$A$130,"&gt;="&amp;Diagram!$O29,'J1 C - (South) Bishopthorpe Roa'!$A$12:$A$130,"&lt;"&amp;Diagram!$P29)))</f>
        <v>0</v>
      </c>
      <c r="ES29" s="42">
        <f ca="1">IF(OR($I$10="",$O29="",$P29="",$J$42&lt;&gt;"Yes"),0,IF($K$10=0,SUMIFS(INDIRECT(ADDRESS(12,3+18*0+(7),,,"J1 C - (South) Bishopthorpe Roa")&amp;":"&amp;ADDRESS(130,3+18*0+(7))),'J1 C - (South) Bishopthorpe Roa'!$A$12:$A$130,"&gt;="&amp;Diagram!$O29,'J1 C - (South) Bishopthorpe Roa'!$A$12:$A$130,"&lt;"&amp;Diagram!$P29),SUMIFS(INDIRECT(ADDRESS(12,3+18*0+(15),,,"J1 C - (South) Bishopthorpe Roa")&amp;":"&amp;ADDRESS(130,3+18*0+(15))),'J1 C - (South) Bishopthorpe Roa'!$A$12:$A$130,"&gt;="&amp;Diagram!$O29,'J1 C - (South) Bishopthorpe Roa'!$A$12:$A$130,"&lt;"&amp;Diagram!$P29)))</f>
        <v>0</v>
      </c>
      <c r="ET29" s="42">
        <f ca="1">IF(OR($I$10="",$O29="",$P29="",$J$42&lt;&gt;"Yes"),0,IF($K$10=0,SUMIFS(INDIRECT(ADDRESS(12,3+18*0+(7),,,"J1 D - South Bank Avenue")&amp;":"&amp;ADDRESS(130,3+18*0+(7))),'J1 D - South Bank Avenue'!$A$12:$A$130,"&gt;="&amp;Diagram!$O29,'J1 D - South Bank Avenue'!$A$12:$A$130,"&lt;"&amp;Diagram!$P29),SUMIFS(INDIRECT(ADDRESS(12,3+18*0+(15),,,"J1 D - South Bank Avenue")&amp;":"&amp;ADDRESS(130,3+18*0+(15))),'J1 D - South Bank Avenue'!$A$12:$A$130,"&gt;="&amp;Diagram!$O29,'J1 D - South Bank Avenue'!$A$12:$A$130,"&lt;"&amp;Diagram!$P29)))</f>
        <v>0</v>
      </c>
      <c r="EU29" s="42">
        <f ca="1">IF(OR($I$10="",$O29="",$P29="",$J$42&lt;&gt;"Yes"),0,IF($K$10=0,SUMIFS(INDIRECT(ADDRESS(12,3+18*1+(7),,,"J1 D - South Bank Avenue")&amp;":"&amp;ADDRESS(130,3+18*1+(7))),'J1 D - South Bank Avenue'!$A$12:$A$130,"&gt;="&amp;Diagram!$O29,'J1 D - South Bank Avenue'!$A$12:$A$130,"&lt;"&amp;Diagram!$P29),SUMIFS(INDIRECT(ADDRESS(12,3+18*1+(15),,,"J1 D - South Bank Avenue")&amp;":"&amp;ADDRESS(130,3+18*1+(15))),'J1 D - South Bank Avenue'!$A$12:$A$130,"&gt;="&amp;Diagram!$O29,'J1 D - South Bank Avenue'!$A$12:$A$130,"&lt;"&amp;Diagram!$P29)))</f>
        <v>0</v>
      </c>
      <c r="EV29" s="42">
        <f ca="1">IF(OR($I$10="",$O29="",$P29="",$J$42&lt;&gt;"Yes"),0,IF($K$10=0,SUMIFS(INDIRECT(ADDRESS(12,3+18*2+(7),,,"J1 D - South Bank Avenue")&amp;":"&amp;ADDRESS(130,3+18*2+(7))),'J1 D - South Bank Avenue'!$A$12:$A$130,"&gt;="&amp;Diagram!$O29,'J1 D - South Bank Avenue'!$A$12:$A$130,"&lt;"&amp;Diagram!$P29),SUMIFS(INDIRECT(ADDRESS(12,3+18*2+(15),,,"J1 D - South Bank Avenue")&amp;":"&amp;ADDRESS(130,3+18*2+(15))),'J1 D - South Bank Avenue'!$A$12:$A$130,"&gt;="&amp;Diagram!$O29,'J1 D - South Bank Avenue'!$A$12:$A$130,"&lt;"&amp;Diagram!$P29)))</f>
        <v>0</v>
      </c>
      <c r="EW29" s="42">
        <f ca="1">IF(OR($I$10="",$O29="",$P29="",$J$42&lt;&gt;"Yes"),0,IF($K$10=0,SUMIFS(INDIRECT(ADDRESS(12,3+18*3+(7),,,"J1 D - South Bank Avenue")&amp;":"&amp;ADDRESS(130,3+18*3+(7))),'J1 D - South Bank Avenue'!$A$12:$A$130,"&gt;="&amp;Diagram!$O29,'J1 D - South Bank Avenue'!$A$12:$A$130,"&lt;"&amp;Diagram!$P29),SUMIFS(INDIRECT(ADDRESS(12,3+18*3+(15),,,"J1 D - South Bank Avenue")&amp;":"&amp;ADDRESS(130,3+18*3+(15))),'J1 D - South Bank Avenue'!$A$12:$A$130,"&gt;="&amp;Diagram!$O29,'J1 D - South Bank Avenue'!$A$12:$A$130,"&lt;"&amp;Diagram!$P29)))</f>
        <v>0</v>
      </c>
    </row>
    <row r="30" spans="1:153" ht="21" hidden="1" customHeight="1">
      <c r="A30" s="1">
        <v>44395.302083333299</v>
      </c>
      <c r="B30" s="1">
        <v>44395.3125</v>
      </c>
      <c r="I30" s="24">
        <f ca="1">SUM($V$101,$AD$101,$AL$101,$AT$101,$BB$101,$BJ$101,$BR$101,$BZ$101)</f>
        <v>3459</v>
      </c>
      <c r="J30" s="24">
        <f ca="1">SUM($W$101,$AE$101,$AM$101,$AU$101,$BC$101,$BK$101,$BS$101,$CA$101)</f>
        <v>207</v>
      </c>
      <c r="K30" s="20">
        <f ca="1">SUM($X$101,$AF$101,$AN$101,$AV$101,$BD$101,$BL$101,$BT$101,$CB$101)</f>
        <v>5</v>
      </c>
      <c r="L30" s="24">
        <f ca="1">SUM($Y$101,$AG$101,$AO$101,$AW$101,$BE$101,$BM$101,$BU$101,$CC$101)</f>
        <v>128</v>
      </c>
      <c r="M30" s="30">
        <f ca="1">SUM($I$30:$L$30)</f>
        <v>3799</v>
      </c>
      <c r="O30" s="3">
        <v>44395.302083333299</v>
      </c>
      <c r="P30" s="3">
        <v>44395.34375</v>
      </c>
      <c r="Q30" s="42">
        <f t="shared" ca="1" si="0"/>
        <v>549</v>
      </c>
      <c r="R30" s="42">
        <f t="shared" ca="1" si="1"/>
        <v>375</v>
      </c>
      <c r="S30" s="42">
        <f ca="1">IF(OR($I$10="",$O30="",$P30="",$J$35&lt;&gt;"Yes"),0,IF($K$10=0,SUMIFS(INDIRECT(ADDRESS(12,3+18*3+(0),,,"J1 A - (North) Bishopthorpe Roa")&amp;":"&amp;ADDRESS(130,3+18*3+(0))),'J1 A - (North) Bishopthorpe Roa'!$A$12:$A$130,"&gt;="&amp;Diagram!$O30,'J1 A - (North) Bishopthorpe Roa'!$A$12:$A$130,"&lt;"&amp;Diagram!$P30),SUMIFS(INDIRECT(ADDRESS(12,3+18*3+(8),,,"J1 A - (North) Bishopthorpe Roa")&amp;":"&amp;ADDRESS(130,3+18*3+(8))),'J1 A - (North) Bishopthorpe Roa'!$A$12:$A$130,"&gt;="&amp;Diagram!$O30,'J1 A - (North) Bishopthorpe Roa'!$A$12:$A$130,"&lt;"&amp;Diagram!$P30)))</f>
        <v>1</v>
      </c>
      <c r="T30" s="42">
        <f ca="1">IF(OR($I$10="",$O30="",$P30="",$J$35&lt;&gt;"Yes"),0,IF($K$10=0,SUMIFS(INDIRECT(ADDRESS(12,3+18*0+(0),,,"J1 A - (North) Bishopthorpe Roa")&amp;":"&amp;ADDRESS(130,3+18*0+(0))),'J1 A - (North) Bishopthorpe Roa'!$A$12:$A$130,"&gt;="&amp;Diagram!$O30,'J1 A - (North) Bishopthorpe Roa'!$A$12:$A$130,"&lt;"&amp;Diagram!$P30),SUMIFS(INDIRECT(ADDRESS(12,3+18*0+(8),,,"J1 A - (North) Bishopthorpe Roa")&amp;":"&amp;ADDRESS(130,3+18*0+(8))),'J1 A - (North) Bishopthorpe Roa'!$A$12:$A$130,"&gt;="&amp;Diagram!$O30,'J1 A - (North) Bishopthorpe Roa'!$A$12:$A$130,"&lt;"&amp;Diagram!$P30)))</f>
        <v>6</v>
      </c>
      <c r="U30" s="42">
        <f ca="1">IF(OR($I$10="",$O30="",$P30="",$J$35&lt;&gt;"Yes"),0,IF($K$10=0,SUMIFS(INDIRECT(ADDRESS(12,3+18*1+(0),,,"J1 A - (North) Bishopthorpe Roa")&amp;":"&amp;ADDRESS(130,3+18*1+(0))),'J1 A - (North) Bishopthorpe Roa'!$A$12:$A$130,"&gt;="&amp;Diagram!$O30,'J1 A - (North) Bishopthorpe Roa'!$A$12:$A$130,"&lt;"&amp;Diagram!$P30),SUMIFS(INDIRECT(ADDRESS(12,3+18*1+(8),,,"J1 A - (North) Bishopthorpe Roa")&amp;":"&amp;ADDRESS(130,3+18*1+(8))),'J1 A - (North) Bishopthorpe Roa'!$A$12:$A$130,"&gt;="&amp;Diagram!$O30,'J1 A - (North) Bishopthorpe Roa'!$A$12:$A$130,"&lt;"&amp;Diagram!$P30)))</f>
        <v>126</v>
      </c>
      <c r="V30" s="42">
        <f ca="1">IF(OR($I$10="",$O30="",$P30="",$J$35&lt;&gt;"Yes"),0,IF($K$10=0,SUMIFS(INDIRECT(ADDRESS(12,3+18*2+(0),,,"J1 A - (North) Bishopthorpe Roa")&amp;":"&amp;ADDRESS(130,3+18*2+(0))),'J1 A - (North) Bishopthorpe Roa'!$A$12:$A$130,"&gt;="&amp;Diagram!$O30,'J1 A - (North) Bishopthorpe Roa'!$A$12:$A$130,"&lt;"&amp;Diagram!$P30),SUMIFS(INDIRECT(ADDRESS(12,3+18*2+(8),,,"J1 A - (North) Bishopthorpe Roa")&amp;":"&amp;ADDRESS(130,3+18*2+(8))),'J1 A - (North) Bishopthorpe Roa'!$A$12:$A$130,"&gt;="&amp;Diagram!$O30,'J1 A - (North) Bishopthorpe Roa'!$A$12:$A$130,"&lt;"&amp;Diagram!$P30)))</f>
        <v>8</v>
      </c>
      <c r="W30" s="42">
        <f ca="1">IF(OR($I$10="",$O30="",$P30="",$J$35&lt;&gt;"Yes"),0,IF($K$10=0,SUMIFS(INDIRECT(ADDRESS(12,3+18*2+(0),,,"J1 B - Butcher Terrace")&amp;":"&amp;ADDRESS(130,3+18*2+(0))),'J1 B - Butcher Terrace'!$A$12:$A$130,"&gt;="&amp;Diagram!$O30,'J1 B - Butcher Terrace'!$A$12:$A$130,"&lt;"&amp;Diagram!$P30),SUMIFS(INDIRECT(ADDRESS(12,3+18*2+(8),,,"J1 B - Butcher Terrace")&amp;":"&amp;ADDRESS(130,3+18*2+(8))),'J1 B - Butcher Terrace'!$A$12:$A$130,"&gt;="&amp;Diagram!$O30,'J1 B - Butcher Terrace'!$A$12:$A$130,"&lt;"&amp;Diagram!$P30)))</f>
        <v>10</v>
      </c>
      <c r="X30" s="42">
        <f ca="1">IF(OR($I$10="",$O30="",$P30="",$J$35&lt;&gt;"Yes"),0,IF($K$10=0,SUMIFS(INDIRECT(ADDRESS(12,3+18*3+(0),,,"J1 B - Butcher Terrace")&amp;":"&amp;ADDRESS(130,3+18*3+(0))),'J1 B - Butcher Terrace'!$A$12:$A$130,"&gt;="&amp;Diagram!$O30,'J1 B - Butcher Terrace'!$A$12:$A$130,"&lt;"&amp;Diagram!$P30),SUMIFS(INDIRECT(ADDRESS(12,3+18*3+(8),,,"J1 B - Butcher Terrace")&amp;":"&amp;ADDRESS(130,3+18*3+(8))),'J1 B - Butcher Terrace'!$A$12:$A$130,"&gt;="&amp;Diagram!$O30,'J1 B - Butcher Terrace'!$A$12:$A$130,"&lt;"&amp;Diagram!$P30)))</f>
        <v>0</v>
      </c>
      <c r="Y30" s="42">
        <f ca="1">IF(OR($I$10="",$O30="",$P30="",$J$35&lt;&gt;"Yes"),0,IF($K$10=0,SUMIFS(INDIRECT(ADDRESS(12,3+18*0+(0),,,"J1 B - Butcher Terrace")&amp;":"&amp;ADDRESS(130,3+18*0+(0))),'J1 B - Butcher Terrace'!$A$12:$A$130,"&gt;="&amp;Diagram!$O30,'J1 B - Butcher Terrace'!$A$12:$A$130,"&lt;"&amp;Diagram!$P30),SUMIFS(INDIRECT(ADDRESS(12,3+18*0+(8),,,"J1 B - Butcher Terrace")&amp;":"&amp;ADDRESS(130,3+18*0+(8))),'J1 B - Butcher Terrace'!$A$12:$A$130,"&gt;="&amp;Diagram!$O30,'J1 B - Butcher Terrace'!$A$12:$A$130,"&lt;"&amp;Diagram!$P30)))</f>
        <v>3</v>
      </c>
      <c r="Z30" s="42">
        <f ca="1">IF(OR($I$10="",$O30="",$P30="",$J$35&lt;&gt;"Yes"),0,IF($K$10=0,SUMIFS(INDIRECT(ADDRESS(12,3+18*1+(0),,,"J1 B - Butcher Terrace")&amp;":"&amp;ADDRESS(130,3+18*1+(0))),'J1 B - Butcher Terrace'!$A$12:$A$130,"&gt;="&amp;Diagram!$O30,'J1 B - Butcher Terrace'!$A$12:$A$130,"&lt;"&amp;Diagram!$P30),SUMIFS(INDIRECT(ADDRESS(12,3+18*1+(8),,,"J1 B - Butcher Terrace")&amp;":"&amp;ADDRESS(130,3+18*1+(8))),'J1 B - Butcher Terrace'!$A$12:$A$130,"&gt;="&amp;Diagram!$O30,'J1 B - Butcher Terrace'!$A$12:$A$130,"&lt;"&amp;Diagram!$P30)))</f>
        <v>1</v>
      </c>
      <c r="AA30" s="42">
        <f ca="1">IF(OR($I$10="",$O30="",$P30="",$J$35&lt;&gt;"Yes"),0,IF($K$10=0,SUMIFS(INDIRECT(ADDRESS(12,3+18*1+(0),,,"J1 C - (South) Bishopthorpe Roa")&amp;":"&amp;ADDRESS(130,3+18*1+(0))),'J1 C - (South) Bishopthorpe Roa'!$A$12:$A$130,"&gt;="&amp;Diagram!$O30,'J1 C - (South) Bishopthorpe Roa'!$A$12:$A$130,"&lt;"&amp;Diagram!$P30),SUMIFS(INDIRECT(ADDRESS(12,3+18*1+(8),,,"J1 C - (South) Bishopthorpe Roa")&amp;":"&amp;ADDRESS(130,3+18*1+(8))),'J1 C - (South) Bishopthorpe Roa'!$A$12:$A$130,"&gt;="&amp;Diagram!$O30,'J1 C - (South) Bishopthorpe Roa'!$A$12:$A$130,"&lt;"&amp;Diagram!$P30)))</f>
        <v>183</v>
      </c>
      <c r="AB30" s="42">
        <f ca="1">IF(OR($I$10="",$O30="",$P30="",$J$35&lt;&gt;"Yes"),0,IF($K$10=0,SUMIFS(INDIRECT(ADDRESS(12,3+18*2+(0),,,"J1 C - (South) Bishopthorpe Roa")&amp;":"&amp;ADDRESS(130,3+18*2+(0))),'J1 C - (South) Bishopthorpe Roa'!$A$12:$A$130,"&gt;="&amp;Diagram!$O30,'J1 C - (South) Bishopthorpe Roa'!$A$12:$A$130,"&lt;"&amp;Diagram!$P30),SUMIFS(INDIRECT(ADDRESS(12,3+18*2+(8),,,"J1 C - (South) Bishopthorpe Roa")&amp;":"&amp;ADDRESS(130,3+18*2+(8))),'J1 C - (South) Bishopthorpe Roa'!$A$12:$A$130,"&gt;="&amp;Diagram!$O30,'J1 C - (South) Bishopthorpe Roa'!$A$12:$A$130,"&lt;"&amp;Diagram!$P30)))</f>
        <v>3</v>
      </c>
      <c r="AC30" s="42">
        <f ca="1">IF(OR($I$10="",$O30="",$P30="",$J$35&lt;&gt;"Yes"),0,IF($K$10=0,SUMIFS(INDIRECT(ADDRESS(12,3+18*3+(0),,,"J1 C - (South) Bishopthorpe Roa")&amp;":"&amp;ADDRESS(130,3+18*3+(0))),'J1 C - (South) Bishopthorpe Roa'!$A$12:$A$130,"&gt;="&amp;Diagram!$O30,'J1 C - (South) Bishopthorpe Roa'!$A$12:$A$130,"&lt;"&amp;Diagram!$P30),SUMIFS(INDIRECT(ADDRESS(12,3+18*3+(8),,,"J1 C - (South) Bishopthorpe Roa")&amp;":"&amp;ADDRESS(130,3+18*3+(8))),'J1 C - (South) Bishopthorpe Roa'!$A$12:$A$130,"&gt;="&amp;Diagram!$O30,'J1 C - (South) Bishopthorpe Roa'!$A$12:$A$130,"&lt;"&amp;Diagram!$P30)))</f>
        <v>0</v>
      </c>
      <c r="AD30" s="42">
        <f ca="1">IF(OR($I$10="",$O30="",$P30="",$J$35&lt;&gt;"Yes"),0,IF($K$10=0,SUMIFS(INDIRECT(ADDRESS(12,3+18*0+(0),,,"J1 C - (South) Bishopthorpe Roa")&amp;":"&amp;ADDRESS(130,3+18*0+(0))),'J1 C - (South) Bishopthorpe Roa'!$A$12:$A$130,"&gt;="&amp;Diagram!$O30,'J1 C - (South) Bishopthorpe Roa'!$A$12:$A$130,"&lt;"&amp;Diagram!$P30),SUMIFS(INDIRECT(ADDRESS(12,3+18*0+(8),,,"J1 C - (South) Bishopthorpe Roa")&amp;":"&amp;ADDRESS(130,3+18*0+(8))),'J1 C - (South) Bishopthorpe Roa'!$A$12:$A$130,"&gt;="&amp;Diagram!$O30,'J1 C - (South) Bishopthorpe Roa'!$A$12:$A$130,"&lt;"&amp;Diagram!$P30)))</f>
        <v>5</v>
      </c>
      <c r="AE30" s="42">
        <f ca="1">IF(OR($I$10="",$O30="",$P30="",$J$35&lt;&gt;"Yes"),0,IF($K$10=0,SUMIFS(INDIRECT(ADDRESS(12,3+18*0+(0),,,"J1 D - South Bank Avenue")&amp;":"&amp;ADDRESS(130,3+18*0+(0))),'J1 D - South Bank Avenue'!$A$12:$A$130,"&gt;="&amp;Diagram!$O30,'J1 D - South Bank Avenue'!$A$12:$A$130,"&lt;"&amp;Diagram!$P30),SUMIFS(INDIRECT(ADDRESS(12,3+18*0+(8),,,"J1 D - South Bank Avenue")&amp;":"&amp;ADDRESS(130,3+18*0+(8))),'J1 D - South Bank Avenue'!$A$12:$A$130,"&gt;="&amp;Diagram!$O30,'J1 D - South Bank Avenue'!$A$12:$A$130,"&lt;"&amp;Diagram!$P30)))</f>
        <v>24</v>
      </c>
      <c r="AF30" s="42">
        <f ca="1">IF(OR($I$10="",$O30="",$P30="",$J$35&lt;&gt;"Yes"),0,IF($K$10=0,SUMIFS(INDIRECT(ADDRESS(12,3+18*1+(0),,,"J1 D - South Bank Avenue")&amp;":"&amp;ADDRESS(130,3+18*1+(0))),'J1 D - South Bank Avenue'!$A$12:$A$130,"&gt;="&amp;Diagram!$O30,'J1 D - South Bank Avenue'!$A$12:$A$130,"&lt;"&amp;Diagram!$P30),SUMIFS(INDIRECT(ADDRESS(12,3+18*1+(8),,,"J1 D - South Bank Avenue")&amp;":"&amp;ADDRESS(130,3+18*1+(8))),'J1 D - South Bank Avenue'!$A$12:$A$130,"&gt;="&amp;Diagram!$O30,'J1 D - South Bank Avenue'!$A$12:$A$130,"&lt;"&amp;Diagram!$P30)))</f>
        <v>0</v>
      </c>
      <c r="AG30" s="42">
        <f ca="1">IF(OR($I$10="",$O30="",$P30="",$J$35&lt;&gt;"Yes"),0,IF($K$10=0,SUMIFS(INDIRECT(ADDRESS(12,3+18*2+(0),,,"J1 D - South Bank Avenue")&amp;":"&amp;ADDRESS(130,3+18*2+(0))),'J1 D - South Bank Avenue'!$A$12:$A$130,"&gt;="&amp;Diagram!$O30,'J1 D - South Bank Avenue'!$A$12:$A$130,"&lt;"&amp;Diagram!$P30),SUMIFS(INDIRECT(ADDRESS(12,3+18*2+(8),,,"J1 D - South Bank Avenue")&amp;":"&amp;ADDRESS(130,3+18*2+(8))),'J1 D - South Bank Avenue'!$A$12:$A$130,"&gt;="&amp;Diagram!$O30,'J1 D - South Bank Avenue'!$A$12:$A$130,"&lt;"&amp;Diagram!$P30)))</f>
        <v>5</v>
      </c>
      <c r="AH30" s="42">
        <f ca="1">IF(OR($I$10="",$O30="",$P30="",$J$35&lt;&gt;"Yes"),0,IF($K$10=0,SUMIFS(INDIRECT(ADDRESS(12,3+18*3+(0),,,"J1 D - South Bank Avenue")&amp;":"&amp;ADDRESS(130,3+18*3+(0))),'J1 D - South Bank Avenue'!$A$12:$A$130,"&gt;="&amp;Diagram!$O30,'J1 D - South Bank Avenue'!$A$12:$A$130,"&lt;"&amp;Diagram!$P30),SUMIFS(INDIRECT(ADDRESS(12,3+18*3+(8),,,"J1 D - South Bank Avenue")&amp;":"&amp;ADDRESS(130,3+18*3+(8))),'J1 D - South Bank Avenue'!$A$12:$A$130,"&gt;="&amp;Diagram!$O30,'J1 D - South Bank Avenue'!$A$12:$A$130,"&lt;"&amp;Diagram!$P30)))</f>
        <v>0</v>
      </c>
      <c r="AI30" s="42">
        <f t="shared" ca="1" si="2"/>
        <v>76</v>
      </c>
      <c r="AJ30" s="42">
        <f ca="1">IF(OR($I$10="",$O30="",$P30="",$J$36&lt;&gt;"Yes"),0,IF($K$10=0,SUMIFS(INDIRECT(ADDRESS(12,3+18*3+(1),,,"J1 A - (North) Bishopthorpe Roa")&amp;":"&amp;ADDRESS(130,3+18*3+(1))),'J1 A - (North) Bishopthorpe Roa'!$A$12:$A$130,"&gt;="&amp;Diagram!$O30,'J1 A - (North) Bishopthorpe Roa'!$A$12:$A$130,"&lt;"&amp;Diagram!$P30),SUMIFS(INDIRECT(ADDRESS(12,3+18*3+(9),,,"J1 A - (North) Bishopthorpe Roa")&amp;":"&amp;ADDRESS(130,3+18*3+(9))),'J1 A - (North) Bishopthorpe Roa'!$A$12:$A$130,"&gt;="&amp;Diagram!$O30,'J1 A - (North) Bishopthorpe Roa'!$A$12:$A$130,"&lt;"&amp;Diagram!$P30)))</f>
        <v>0</v>
      </c>
      <c r="AK30" s="42">
        <f ca="1">IF(OR($I$10="",$O30="",$P30="",$J$36&lt;&gt;"Yes"),0,IF($K$10=0,SUMIFS(INDIRECT(ADDRESS(12,3+18*0+(1),,,"J1 A - (North) Bishopthorpe Roa")&amp;":"&amp;ADDRESS(130,3+18*0+(1))),'J1 A - (North) Bishopthorpe Roa'!$A$12:$A$130,"&gt;="&amp;Diagram!$O30,'J1 A - (North) Bishopthorpe Roa'!$A$12:$A$130,"&lt;"&amp;Diagram!$P30),SUMIFS(INDIRECT(ADDRESS(12,3+18*0+(9),,,"J1 A - (North) Bishopthorpe Roa")&amp;":"&amp;ADDRESS(130,3+18*0+(9))),'J1 A - (North) Bishopthorpe Roa'!$A$12:$A$130,"&gt;="&amp;Diagram!$O30,'J1 A - (North) Bishopthorpe Roa'!$A$12:$A$130,"&lt;"&amp;Diagram!$P30)))</f>
        <v>5</v>
      </c>
      <c r="AL30" s="42">
        <f ca="1">IF(OR($I$10="",$O30="",$P30="",$J$36&lt;&gt;"Yes"),0,IF($K$10=0,SUMIFS(INDIRECT(ADDRESS(12,3+18*1+(1),,,"J1 A - (North) Bishopthorpe Roa")&amp;":"&amp;ADDRESS(130,3+18*1+(1))),'J1 A - (North) Bishopthorpe Roa'!$A$12:$A$130,"&gt;="&amp;Diagram!$O30,'J1 A - (North) Bishopthorpe Roa'!$A$12:$A$130,"&lt;"&amp;Diagram!$P30),SUMIFS(INDIRECT(ADDRESS(12,3+18*1+(9),,,"J1 A - (North) Bishopthorpe Roa")&amp;":"&amp;ADDRESS(130,3+18*1+(9))),'J1 A - (North) Bishopthorpe Roa'!$A$12:$A$130,"&gt;="&amp;Diagram!$O30,'J1 A - (North) Bishopthorpe Roa'!$A$12:$A$130,"&lt;"&amp;Diagram!$P30)))</f>
        <v>30</v>
      </c>
      <c r="AM30" s="42">
        <f ca="1">IF(OR($I$10="",$O30="",$P30="",$J$36&lt;&gt;"Yes"),0,IF($K$10=0,SUMIFS(INDIRECT(ADDRESS(12,3+18*2+(1),,,"J1 A - (North) Bishopthorpe Roa")&amp;":"&amp;ADDRESS(130,3+18*2+(1))),'J1 A - (North) Bishopthorpe Roa'!$A$12:$A$130,"&gt;="&amp;Diagram!$O30,'J1 A - (North) Bishopthorpe Roa'!$A$12:$A$130,"&lt;"&amp;Diagram!$P30),SUMIFS(INDIRECT(ADDRESS(12,3+18*2+(9),,,"J1 A - (North) Bishopthorpe Roa")&amp;":"&amp;ADDRESS(130,3+18*2+(9))),'J1 A - (North) Bishopthorpe Roa'!$A$12:$A$130,"&gt;="&amp;Diagram!$O30,'J1 A - (North) Bishopthorpe Roa'!$A$12:$A$130,"&lt;"&amp;Diagram!$P30)))</f>
        <v>1</v>
      </c>
      <c r="AN30" s="42">
        <f ca="1">IF(OR($I$10="",$O30="",$P30="",$J$36&lt;&gt;"Yes"),0,IF($K$10=0,SUMIFS(INDIRECT(ADDRESS(12,3+18*2+(1),,,"J1 B - Butcher Terrace")&amp;":"&amp;ADDRESS(130,3+18*2+(1))),'J1 B - Butcher Terrace'!$A$12:$A$130,"&gt;="&amp;Diagram!$O30,'J1 B - Butcher Terrace'!$A$12:$A$130,"&lt;"&amp;Diagram!$P30),SUMIFS(INDIRECT(ADDRESS(12,3+18*2+(9),,,"J1 B - Butcher Terrace")&amp;":"&amp;ADDRESS(130,3+18*2+(9))),'J1 B - Butcher Terrace'!$A$12:$A$130,"&gt;="&amp;Diagram!$O30,'J1 B - Butcher Terrace'!$A$12:$A$130,"&lt;"&amp;Diagram!$P30)))</f>
        <v>3</v>
      </c>
      <c r="AO30" s="42">
        <f ca="1">IF(OR($I$10="",$O30="",$P30="",$J$36&lt;&gt;"Yes"),0,IF($K$10=0,SUMIFS(INDIRECT(ADDRESS(12,3+18*3+(1),,,"J1 B - Butcher Terrace")&amp;":"&amp;ADDRESS(130,3+18*3+(1))),'J1 B - Butcher Terrace'!$A$12:$A$130,"&gt;="&amp;Diagram!$O30,'J1 B - Butcher Terrace'!$A$12:$A$130,"&lt;"&amp;Diagram!$P30),SUMIFS(INDIRECT(ADDRESS(12,3+18*3+(9),,,"J1 B - Butcher Terrace")&amp;":"&amp;ADDRESS(130,3+18*3+(9))),'J1 B - Butcher Terrace'!$A$12:$A$130,"&gt;="&amp;Diagram!$O30,'J1 B - Butcher Terrace'!$A$12:$A$130,"&lt;"&amp;Diagram!$P30)))</f>
        <v>0</v>
      </c>
      <c r="AP30" s="42">
        <f ca="1">IF(OR($I$10="",$O30="",$P30="",$J$36&lt;&gt;"Yes"),0,IF($K$10=0,SUMIFS(INDIRECT(ADDRESS(12,3+18*0+(1),,,"J1 B - Butcher Terrace")&amp;":"&amp;ADDRESS(130,3+18*0+(1))),'J1 B - Butcher Terrace'!$A$12:$A$130,"&gt;="&amp;Diagram!$O30,'J1 B - Butcher Terrace'!$A$12:$A$130,"&lt;"&amp;Diagram!$P30),SUMIFS(INDIRECT(ADDRESS(12,3+18*0+(9),,,"J1 B - Butcher Terrace")&amp;":"&amp;ADDRESS(130,3+18*0+(9))),'J1 B - Butcher Terrace'!$A$12:$A$130,"&gt;="&amp;Diagram!$O30,'J1 B - Butcher Terrace'!$A$12:$A$130,"&lt;"&amp;Diagram!$P30)))</f>
        <v>1</v>
      </c>
      <c r="AQ30" s="42">
        <f ca="1">IF(OR($I$10="",$O30="",$P30="",$J$36&lt;&gt;"Yes"),0,IF($K$10=0,SUMIFS(INDIRECT(ADDRESS(12,3+18*1+(1),,,"J1 B - Butcher Terrace")&amp;":"&amp;ADDRESS(130,3+18*1+(1))),'J1 B - Butcher Terrace'!$A$12:$A$130,"&gt;="&amp;Diagram!$O30,'J1 B - Butcher Terrace'!$A$12:$A$130,"&lt;"&amp;Diagram!$P30),SUMIFS(INDIRECT(ADDRESS(12,3+18*1+(9),,,"J1 B - Butcher Terrace")&amp;":"&amp;ADDRESS(130,3+18*1+(9))),'J1 B - Butcher Terrace'!$A$12:$A$130,"&gt;="&amp;Diagram!$O30,'J1 B - Butcher Terrace'!$A$12:$A$130,"&lt;"&amp;Diagram!$P30)))</f>
        <v>0</v>
      </c>
      <c r="AR30" s="42">
        <f ca="1">IF(OR($I$10="",$O30="",$P30="",$J$36&lt;&gt;"Yes"),0,IF($K$10=0,SUMIFS(INDIRECT(ADDRESS(12,3+18*1+(1),,,"J1 C - (South) Bishopthorpe Roa")&amp;":"&amp;ADDRESS(130,3+18*1+(1))),'J1 C - (South) Bishopthorpe Roa'!$A$12:$A$130,"&gt;="&amp;Diagram!$O30,'J1 C - (South) Bishopthorpe Roa'!$A$12:$A$130,"&lt;"&amp;Diagram!$P30),SUMIFS(INDIRECT(ADDRESS(12,3+18*1+(9),,,"J1 C - (South) Bishopthorpe Roa")&amp;":"&amp;ADDRESS(130,3+18*1+(9))),'J1 C - (South) Bishopthorpe Roa'!$A$12:$A$130,"&gt;="&amp;Diagram!$O30,'J1 C - (South) Bishopthorpe Roa'!$A$12:$A$130,"&lt;"&amp;Diagram!$P30)))</f>
        <v>33</v>
      </c>
      <c r="AS30" s="42">
        <f ca="1">IF(OR($I$10="",$O30="",$P30="",$J$36&lt;&gt;"Yes"),0,IF($K$10=0,SUMIFS(INDIRECT(ADDRESS(12,3+18*2+(1),,,"J1 C - (South) Bishopthorpe Roa")&amp;":"&amp;ADDRESS(130,3+18*2+(1))),'J1 C - (South) Bishopthorpe Roa'!$A$12:$A$130,"&gt;="&amp;Diagram!$O30,'J1 C - (South) Bishopthorpe Roa'!$A$12:$A$130,"&lt;"&amp;Diagram!$P30),SUMIFS(INDIRECT(ADDRESS(12,3+18*2+(9),,,"J1 C - (South) Bishopthorpe Roa")&amp;":"&amp;ADDRESS(130,3+18*2+(9))),'J1 C - (South) Bishopthorpe Roa'!$A$12:$A$130,"&gt;="&amp;Diagram!$O30,'J1 C - (South) Bishopthorpe Roa'!$A$12:$A$130,"&lt;"&amp;Diagram!$P30)))</f>
        <v>1</v>
      </c>
      <c r="AT30" s="42">
        <f ca="1">IF(OR($I$10="",$O30="",$P30="",$J$36&lt;&gt;"Yes"),0,IF($K$10=0,SUMIFS(INDIRECT(ADDRESS(12,3+18*3+(1),,,"J1 C - (South) Bishopthorpe Roa")&amp;":"&amp;ADDRESS(130,3+18*3+(1))),'J1 C - (South) Bishopthorpe Roa'!$A$12:$A$130,"&gt;="&amp;Diagram!$O30,'J1 C - (South) Bishopthorpe Roa'!$A$12:$A$130,"&lt;"&amp;Diagram!$P30),SUMIFS(INDIRECT(ADDRESS(12,3+18*3+(9),,,"J1 C - (South) Bishopthorpe Roa")&amp;":"&amp;ADDRESS(130,3+18*3+(9))),'J1 C - (South) Bishopthorpe Roa'!$A$12:$A$130,"&gt;="&amp;Diagram!$O30,'J1 C - (South) Bishopthorpe Roa'!$A$12:$A$130,"&lt;"&amp;Diagram!$P30)))</f>
        <v>0</v>
      </c>
      <c r="AU30" s="42">
        <f ca="1">IF(OR($I$10="",$O30="",$P30="",$J$36&lt;&gt;"Yes"),0,IF($K$10=0,SUMIFS(INDIRECT(ADDRESS(12,3+18*0+(1),,,"J1 C - (South) Bishopthorpe Roa")&amp;":"&amp;ADDRESS(130,3+18*0+(1))),'J1 C - (South) Bishopthorpe Roa'!$A$12:$A$130,"&gt;="&amp;Diagram!$O30,'J1 C - (South) Bishopthorpe Roa'!$A$12:$A$130,"&lt;"&amp;Diagram!$P30),SUMIFS(INDIRECT(ADDRESS(12,3+18*0+(9),,,"J1 C - (South) Bishopthorpe Roa")&amp;":"&amp;ADDRESS(130,3+18*0+(9))),'J1 C - (South) Bishopthorpe Roa'!$A$12:$A$130,"&gt;="&amp;Diagram!$O30,'J1 C - (South) Bishopthorpe Roa'!$A$12:$A$130,"&lt;"&amp;Diagram!$P30)))</f>
        <v>1</v>
      </c>
      <c r="AV30" s="42">
        <f ca="1">IF(OR($I$10="",$O30="",$P30="",$J$36&lt;&gt;"Yes"),0,IF($K$10=0,SUMIFS(INDIRECT(ADDRESS(12,3+18*0+(1),,,"J1 D - South Bank Avenue")&amp;":"&amp;ADDRESS(130,3+18*0+(1))),'J1 D - South Bank Avenue'!$A$12:$A$130,"&gt;="&amp;Diagram!$O30,'J1 D - South Bank Avenue'!$A$12:$A$130,"&lt;"&amp;Diagram!$P30),SUMIFS(INDIRECT(ADDRESS(12,3+18*0+(9),,,"J1 D - South Bank Avenue")&amp;":"&amp;ADDRESS(130,3+18*0+(9))),'J1 D - South Bank Avenue'!$A$12:$A$130,"&gt;="&amp;Diagram!$O30,'J1 D - South Bank Avenue'!$A$12:$A$130,"&lt;"&amp;Diagram!$P30)))</f>
        <v>1</v>
      </c>
      <c r="AW30" s="42">
        <f ca="1">IF(OR($I$10="",$O30="",$P30="",$J$36&lt;&gt;"Yes"),0,IF($K$10=0,SUMIFS(INDIRECT(ADDRESS(12,3+18*1+(1),,,"J1 D - South Bank Avenue")&amp;":"&amp;ADDRESS(130,3+18*1+(1))),'J1 D - South Bank Avenue'!$A$12:$A$130,"&gt;="&amp;Diagram!$O30,'J1 D - South Bank Avenue'!$A$12:$A$130,"&lt;"&amp;Diagram!$P30),SUMIFS(INDIRECT(ADDRESS(12,3+18*1+(9),,,"J1 D - South Bank Avenue")&amp;":"&amp;ADDRESS(130,3+18*1+(9))),'J1 D - South Bank Avenue'!$A$12:$A$130,"&gt;="&amp;Diagram!$O30,'J1 D - South Bank Avenue'!$A$12:$A$130,"&lt;"&amp;Diagram!$P30)))</f>
        <v>0</v>
      </c>
      <c r="AX30" s="42">
        <f ca="1">IF(OR($I$10="",$O30="",$P30="",$J$36&lt;&gt;"Yes"),0,IF($K$10=0,SUMIFS(INDIRECT(ADDRESS(12,3+18*2+(1),,,"J1 D - South Bank Avenue")&amp;":"&amp;ADDRESS(130,3+18*2+(1))),'J1 D - South Bank Avenue'!$A$12:$A$130,"&gt;="&amp;Diagram!$O30,'J1 D - South Bank Avenue'!$A$12:$A$130,"&lt;"&amp;Diagram!$P30),SUMIFS(INDIRECT(ADDRESS(12,3+18*2+(9),,,"J1 D - South Bank Avenue")&amp;":"&amp;ADDRESS(130,3+18*2+(9))),'J1 D - South Bank Avenue'!$A$12:$A$130,"&gt;="&amp;Diagram!$O30,'J1 D - South Bank Avenue'!$A$12:$A$130,"&lt;"&amp;Diagram!$P30)))</f>
        <v>0</v>
      </c>
      <c r="AY30" s="42">
        <f ca="1">IF(OR($I$10="",$O30="",$P30="",$J$36&lt;&gt;"Yes"),0,IF($K$10=0,SUMIFS(INDIRECT(ADDRESS(12,3+18*3+(1),,,"J1 D - South Bank Avenue")&amp;":"&amp;ADDRESS(130,3+18*3+(1))),'J1 D - South Bank Avenue'!$A$12:$A$130,"&gt;="&amp;Diagram!$O30,'J1 D - South Bank Avenue'!$A$12:$A$130,"&lt;"&amp;Diagram!$P30),SUMIFS(INDIRECT(ADDRESS(12,3+18*3+(9),,,"J1 D - South Bank Avenue")&amp;":"&amp;ADDRESS(130,3+18*3+(9))),'J1 D - South Bank Avenue'!$A$12:$A$130,"&gt;="&amp;Diagram!$O30,'J1 D - South Bank Avenue'!$A$12:$A$130,"&lt;"&amp;Diagram!$P30)))</f>
        <v>0</v>
      </c>
      <c r="AZ30" s="42">
        <f t="shared" ca="1" si="3"/>
        <v>10</v>
      </c>
      <c r="BA30" s="42">
        <f ca="1">IF(OR($I$10="",$O30="",$P30="",$J$37&lt;&gt;"Yes"),0,IF($K$10=0,SUMIFS(INDIRECT(ADDRESS(12,3+18*3+(2),,,"J1 A - (North) Bishopthorpe Roa")&amp;":"&amp;ADDRESS(130,3+18*3+(2))),'J1 A - (North) Bishopthorpe Roa'!$A$12:$A$130,"&gt;="&amp;Diagram!$O30,'J1 A - (North) Bishopthorpe Roa'!$A$12:$A$130,"&lt;"&amp;Diagram!$P30),SUMIFS(INDIRECT(ADDRESS(12,3+18*3+(10),,,"J1 A - (North) Bishopthorpe Roa")&amp;":"&amp;ADDRESS(130,3+18*3+(10))),'J1 A - (North) Bishopthorpe Roa'!$A$12:$A$130,"&gt;="&amp;Diagram!$O30,'J1 A - (North) Bishopthorpe Roa'!$A$12:$A$130,"&lt;"&amp;Diagram!$P30)))</f>
        <v>0</v>
      </c>
      <c r="BB30" s="42">
        <f ca="1">IF(OR($I$10="",$O30="",$P30="",$J$37&lt;&gt;"Yes"),0,IF($K$10=0,SUMIFS(INDIRECT(ADDRESS(12,3+18*0+(2),,,"J1 A - (North) Bishopthorpe Roa")&amp;":"&amp;ADDRESS(130,3+18*0+(2))),'J1 A - (North) Bishopthorpe Roa'!$A$12:$A$130,"&gt;="&amp;Diagram!$O30,'J1 A - (North) Bishopthorpe Roa'!$A$12:$A$130,"&lt;"&amp;Diagram!$P30),SUMIFS(INDIRECT(ADDRESS(12,3+18*0+(10),,,"J1 A - (North) Bishopthorpe Roa")&amp;":"&amp;ADDRESS(130,3+18*0+(10))),'J1 A - (North) Bishopthorpe Roa'!$A$12:$A$130,"&gt;="&amp;Diagram!$O30,'J1 A - (North) Bishopthorpe Roa'!$A$12:$A$130,"&lt;"&amp;Diagram!$P30)))</f>
        <v>0</v>
      </c>
      <c r="BC30" s="42">
        <f ca="1">IF(OR($I$10="",$O30="",$P30="",$J$37&lt;&gt;"Yes"),0,IF($K$10=0,SUMIFS(INDIRECT(ADDRESS(12,3+18*1+(2),,,"J1 A - (North) Bishopthorpe Roa")&amp;":"&amp;ADDRESS(130,3+18*1+(2))),'J1 A - (North) Bishopthorpe Roa'!$A$12:$A$130,"&gt;="&amp;Diagram!$O30,'J1 A - (North) Bishopthorpe Roa'!$A$12:$A$130,"&lt;"&amp;Diagram!$P30),SUMIFS(INDIRECT(ADDRESS(12,3+18*1+(10),,,"J1 A - (North) Bishopthorpe Roa")&amp;":"&amp;ADDRESS(130,3+18*1+(10))),'J1 A - (North) Bishopthorpe Roa'!$A$12:$A$130,"&gt;="&amp;Diagram!$O30,'J1 A - (North) Bishopthorpe Roa'!$A$12:$A$130,"&lt;"&amp;Diagram!$P30)))</f>
        <v>8</v>
      </c>
      <c r="BD30" s="42">
        <f ca="1">IF(OR($I$10="",$O30="",$P30="",$J$37&lt;&gt;"Yes"),0,IF($K$10=0,SUMIFS(INDIRECT(ADDRESS(12,3+18*2+(2),,,"J1 A - (North) Bishopthorpe Roa")&amp;":"&amp;ADDRESS(130,3+18*2+(2))),'J1 A - (North) Bishopthorpe Roa'!$A$12:$A$130,"&gt;="&amp;Diagram!$O30,'J1 A - (North) Bishopthorpe Roa'!$A$12:$A$130,"&lt;"&amp;Diagram!$P30),SUMIFS(INDIRECT(ADDRESS(12,3+18*2+(10),,,"J1 A - (North) Bishopthorpe Roa")&amp;":"&amp;ADDRESS(130,3+18*2+(10))),'J1 A - (North) Bishopthorpe Roa'!$A$12:$A$130,"&gt;="&amp;Diagram!$O30,'J1 A - (North) Bishopthorpe Roa'!$A$12:$A$130,"&lt;"&amp;Diagram!$P30)))</f>
        <v>0</v>
      </c>
      <c r="BE30" s="42">
        <f ca="1">IF(OR($I$10="",$O30="",$P30="",$J$37&lt;&gt;"Yes"),0,IF($K$10=0,SUMIFS(INDIRECT(ADDRESS(12,3+18*2+(2),,,"J1 B - Butcher Terrace")&amp;":"&amp;ADDRESS(130,3+18*2+(2))),'J1 B - Butcher Terrace'!$A$12:$A$130,"&gt;="&amp;Diagram!$O30,'J1 B - Butcher Terrace'!$A$12:$A$130,"&lt;"&amp;Diagram!$P30),SUMIFS(INDIRECT(ADDRESS(12,3+18*2+(10),,,"J1 B - Butcher Terrace")&amp;":"&amp;ADDRESS(130,3+18*2+(10))),'J1 B - Butcher Terrace'!$A$12:$A$130,"&gt;="&amp;Diagram!$O30,'J1 B - Butcher Terrace'!$A$12:$A$130,"&lt;"&amp;Diagram!$P30)))</f>
        <v>1</v>
      </c>
      <c r="BF30" s="42">
        <f ca="1">IF(OR($I$10="",$O30="",$P30="",$J$37&lt;&gt;"Yes"),0,IF($K$10=0,SUMIFS(INDIRECT(ADDRESS(12,3+18*3+(2),,,"J1 B - Butcher Terrace")&amp;":"&amp;ADDRESS(130,3+18*3+(2))),'J1 B - Butcher Terrace'!$A$12:$A$130,"&gt;="&amp;Diagram!$O30,'J1 B - Butcher Terrace'!$A$12:$A$130,"&lt;"&amp;Diagram!$P30),SUMIFS(INDIRECT(ADDRESS(12,3+18*3+(10),,,"J1 B - Butcher Terrace")&amp;":"&amp;ADDRESS(130,3+18*3+(10))),'J1 B - Butcher Terrace'!$A$12:$A$130,"&gt;="&amp;Diagram!$O30,'J1 B - Butcher Terrace'!$A$12:$A$130,"&lt;"&amp;Diagram!$P30)))</f>
        <v>0</v>
      </c>
      <c r="BG30" s="42">
        <f ca="1">IF(OR($I$10="",$O30="",$P30="",$J$37&lt;&gt;"Yes"),0,IF($K$10=0,SUMIFS(INDIRECT(ADDRESS(12,3+18*0+(2),,,"J1 B - Butcher Terrace")&amp;":"&amp;ADDRESS(130,3+18*0+(2))),'J1 B - Butcher Terrace'!$A$12:$A$130,"&gt;="&amp;Diagram!$O30,'J1 B - Butcher Terrace'!$A$12:$A$130,"&lt;"&amp;Diagram!$P30),SUMIFS(INDIRECT(ADDRESS(12,3+18*0+(10),,,"J1 B - Butcher Terrace")&amp;":"&amp;ADDRESS(130,3+18*0+(10))),'J1 B - Butcher Terrace'!$A$12:$A$130,"&gt;="&amp;Diagram!$O30,'J1 B - Butcher Terrace'!$A$12:$A$130,"&lt;"&amp;Diagram!$P30)))</f>
        <v>0</v>
      </c>
      <c r="BH30" s="42">
        <f ca="1">IF(OR($I$10="",$O30="",$P30="",$J$37&lt;&gt;"Yes"),0,IF($K$10=0,SUMIFS(INDIRECT(ADDRESS(12,3+18*1+(2),,,"J1 B - Butcher Terrace")&amp;":"&amp;ADDRESS(130,3+18*1+(2))),'J1 B - Butcher Terrace'!$A$12:$A$130,"&gt;="&amp;Diagram!$O30,'J1 B - Butcher Terrace'!$A$12:$A$130,"&lt;"&amp;Diagram!$P30),SUMIFS(INDIRECT(ADDRESS(12,3+18*1+(10),,,"J1 B - Butcher Terrace")&amp;":"&amp;ADDRESS(130,3+18*1+(10))),'J1 B - Butcher Terrace'!$A$12:$A$130,"&gt;="&amp;Diagram!$O30,'J1 B - Butcher Terrace'!$A$12:$A$130,"&lt;"&amp;Diagram!$P30)))</f>
        <v>0</v>
      </c>
      <c r="BI30" s="42">
        <f ca="1">IF(OR($I$10="",$O30="",$P30="",$J$37&lt;&gt;"Yes"),0,IF($K$10=0,SUMIFS(INDIRECT(ADDRESS(12,3+18*1+(2),,,"J1 C - (South) Bishopthorpe Roa")&amp;":"&amp;ADDRESS(130,3+18*1+(2))),'J1 C - (South) Bishopthorpe Roa'!$A$12:$A$130,"&gt;="&amp;Diagram!$O30,'J1 C - (South) Bishopthorpe Roa'!$A$12:$A$130,"&lt;"&amp;Diagram!$P30),SUMIFS(INDIRECT(ADDRESS(12,3+18*1+(10),,,"J1 C - (South) Bishopthorpe Roa")&amp;":"&amp;ADDRESS(130,3+18*1+(10))),'J1 C - (South) Bishopthorpe Roa'!$A$12:$A$130,"&gt;="&amp;Diagram!$O30,'J1 C - (South) Bishopthorpe Roa'!$A$12:$A$130,"&lt;"&amp;Diagram!$P30)))</f>
        <v>1</v>
      </c>
      <c r="BJ30" s="42">
        <f ca="1">IF(OR($I$10="",$O30="",$P30="",$J$37&lt;&gt;"Yes"),0,IF($K$10=0,SUMIFS(INDIRECT(ADDRESS(12,3+18*2+(2),,,"J1 C - (South) Bishopthorpe Roa")&amp;":"&amp;ADDRESS(130,3+18*2+(2))),'J1 C - (South) Bishopthorpe Roa'!$A$12:$A$130,"&gt;="&amp;Diagram!$O30,'J1 C - (South) Bishopthorpe Roa'!$A$12:$A$130,"&lt;"&amp;Diagram!$P30),SUMIFS(INDIRECT(ADDRESS(12,3+18*2+(10),,,"J1 C - (South) Bishopthorpe Roa")&amp;":"&amp;ADDRESS(130,3+18*2+(10))),'J1 C - (South) Bishopthorpe Roa'!$A$12:$A$130,"&gt;="&amp;Diagram!$O30,'J1 C - (South) Bishopthorpe Roa'!$A$12:$A$130,"&lt;"&amp;Diagram!$P30)))</f>
        <v>0</v>
      </c>
      <c r="BK30" s="42">
        <f ca="1">IF(OR($I$10="",$O30="",$P30="",$J$37&lt;&gt;"Yes"),0,IF($K$10=0,SUMIFS(INDIRECT(ADDRESS(12,3+18*3+(2),,,"J1 C - (South) Bishopthorpe Roa")&amp;":"&amp;ADDRESS(130,3+18*3+(2))),'J1 C - (South) Bishopthorpe Roa'!$A$12:$A$130,"&gt;="&amp;Diagram!$O30,'J1 C - (South) Bishopthorpe Roa'!$A$12:$A$130,"&lt;"&amp;Diagram!$P30),SUMIFS(INDIRECT(ADDRESS(12,3+18*3+(10),,,"J1 C - (South) Bishopthorpe Roa")&amp;":"&amp;ADDRESS(130,3+18*3+(10))),'J1 C - (South) Bishopthorpe Roa'!$A$12:$A$130,"&gt;="&amp;Diagram!$O30,'J1 C - (South) Bishopthorpe Roa'!$A$12:$A$130,"&lt;"&amp;Diagram!$P30)))</f>
        <v>0</v>
      </c>
      <c r="BL30" s="42">
        <f ca="1">IF(OR($I$10="",$O30="",$P30="",$J$37&lt;&gt;"Yes"),0,IF($K$10=0,SUMIFS(INDIRECT(ADDRESS(12,3+18*0+(2),,,"J1 C - (South) Bishopthorpe Roa")&amp;":"&amp;ADDRESS(130,3+18*0+(2))),'J1 C - (South) Bishopthorpe Roa'!$A$12:$A$130,"&gt;="&amp;Diagram!$O30,'J1 C - (South) Bishopthorpe Roa'!$A$12:$A$130,"&lt;"&amp;Diagram!$P30),SUMIFS(INDIRECT(ADDRESS(12,3+18*0+(10),,,"J1 C - (South) Bishopthorpe Roa")&amp;":"&amp;ADDRESS(130,3+18*0+(10))),'J1 C - (South) Bishopthorpe Roa'!$A$12:$A$130,"&gt;="&amp;Diagram!$O30,'J1 C - (South) Bishopthorpe Roa'!$A$12:$A$130,"&lt;"&amp;Diagram!$P30)))</f>
        <v>0</v>
      </c>
      <c r="BM30" s="42">
        <f ca="1">IF(OR($I$10="",$O30="",$P30="",$J$37&lt;&gt;"Yes"),0,IF($K$10=0,SUMIFS(INDIRECT(ADDRESS(12,3+18*0+(2),,,"J1 D - South Bank Avenue")&amp;":"&amp;ADDRESS(130,3+18*0+(2))),'J1 D - South Bank Avenue'!$A$12:$A$130,"&gt;="&amp;Diagram!$O30,'J1 D - South Bank Avenue'!$A$12:$A$130,"&lt;"&amp;Diagram!$P30),SUMIFS(INDIRECT(ADDRESS(12,3+18*0+(10),,,"J1 D - South Bank Avenue")&amp;":"&amp;ADDRESS(130,3+18*0+(10))),'J1 D - South Bank Avenue'!$A$12:$A$130,"&gt;="&amp;Diagram!$O30,'J1 D - South Bank Avenue'!$A$12:$A$130,"&lt;"&amp;Diagram!$P30)))</f>
        <v>0</v>
      </c>
      <c r="BN30" s="42">
        <f ca="1">IF(OR($I$10="",$O30="",$P30="",$J$37&lt;&gt;"Yes"),0,IF($K$10=0,SUMIFS(INDIRECT(ADDRESS(12,3+18*1+(2),,,"J1 D - South Bank Avenue")&amp;":"&amp;ADDRESS(130,3+18*1+(2))),'J1 D - South Bank Avenue'!$A$12:$A$130,"&gt;="&amp;Diagram!$O30,'J1 D - South Bank Avenue'!$A$12:$A$130,"&lt;"&amp;Diagram!$P30),SUMIFS(INDIRECT(ADDRESS(12,3+18*1+(10),,,"J1 D - South Bank Avenue")&amp;":"&amp;ADDRESS(130,3+18*1+(10))),'J1 D - South Bank Avenue'!$A$12:$A$130,"&gt;="&amp;Diagram!$O30,'J1 D - South Bank Avenue'!$A$12:$A$130,"&lt;"&amp;Diagram!$P30)))</f>
        <v>0</v>
      </c>
      <c r="BO30" s="42">
        <f ca="1">IF(OR($I$10="",$O30="",$P30="",$J$37&lt;&gt;"Yes"),0,IF($K$10=0,SUMIFS(INDIRECT(ADDRESS(12,3+18*2+(2),,,"J1 D - South Bank Avenue")&amp;":"&amp;ADDRESS(130,3+18*2+(2))),'J1 D - South Bank Avenue'!$A$12:$A$130,"&gt;="&amp;Diagram!$O30,'J1 D - South Bank Avenue'!$A$12:$A$130,"&lt;"&amp;Diagram!$P30),SUMIFS(INDIRECT(ADDRESS(12,3+18*2+(10),,,"J1 D - South Bank Avenue")&amp;":"&amp;ADDRESS(130,3+18*2+(10))),'J1 D - South Bank Avenue'!$A$12:$A$130,"&gt;="&amp;Diagram!$O30,'J1 D - South Bank Avenue'!$A$12:$A$130,"&lt;"&amp;Diagram!$P30)))</f>
        <v>0</v>
      </c>
      <c r="BP30" s="42">
        <f ca="1">IF(OR($I$10="",$O30="",$P30="",$J$37&lt;&gt;"Yes"),0,IF($K$10=0,SUMIFS(INDIRECT(ADDRESS(12,3+18*3+(2),,,"J1 D - South Bank Avenue")&amp;":"&amp;ADDRESS(130,3+18*3+(2))),'J1 D - South Bank Avenue'!$A$12:$A$130,"&gt;="&amp;Diagram!$O30,'J1 D - South Bank Avenue'!$A$12:$A$130,"&lt;"&amp;Diagram!$P30),SUMIFS(INDIRECT(ADDRESS(12,3+18*3+(10),,,"J1 D - South Bank Avenue")&amp;":"&amp;ADDRESS(130,3+18*3+(10))),'J1 D - South Bank Avenue'!$A$12:$A$130,"&gt;="&amp;Diagram!$O30,'J1 D - South Bank Avenue'!$A$12:$A$130,"&lt;"&amp;Diagram!$P30)))</f>
        <v>0</v>
      </c>
      <c r="BQ30" s="42">
        <f t="shared" ca="1" si="4"/>
        <v>0</v>
      </c>
      <c r="BR30" s="42">
        <f ca="1">IF(OR($I$10="",$O30="",$P30="",$J$38&lt;&gt;"Yes"),0,IF($K$10=0,SUMIFS(INDIRECT(ADDRESS(12,3+18*3+(3),,,"J1 A - (North) Bishopthorpe Roa")&amp;":"&amp;ADDRESS(130,3+18*3+(3))),'J1 A - (North) Bishopthorpe Roa'!$A$12:$A$130,"&gt;="&amp;Diagram!$O30,'J1 A - (North) Bishopthorpe Roa'!$A$12:$A$130,"&lt;"&amp;Diagram!$P30),SUMIFS(INDIRECT(ADDRESS(12,3+18*3+(11),,,"J1 A - (North) Bishopthorpe Roa")&amp;":"&amp;ADDRESS(130,3+18*3+(11))),'J1 A - (North) Bishopthorpe Roa'!$A$12:$A$130,"&gt;="&amp;Diagram!$O30,'J1 A - (North) Bishopthorpe Roa'!$A$12:$A$130,"&lt;"&amp;Diagram!$P30)))</f>
        <v>0</v>
      </c>
      <c r="BS30" s="42">
        <f ca="1">IF(OR($I$10="",$O30="",$P30="",$J$38&lt;&gt;"Yes"),0,IF($K$10=0,SUMIFS(INDIRECT(ADDRESS(12,3+18*0+(3),,,"J1 A - (North) Bishopthorpe Roa")&amp;":"&amp;ADDRESS(130,3+18*0+(3))),'J1 A - (North) Bishopthorpe Roa'!$A$12:$A$130,"&gt;="&amp;Diagram!$O30,'J1 A - (North) Bishopthorpe Roa'!$A$12:$A$130,"&lt;"&amp;Diagram!$P30),SUMIFS(INDIRECT(ADDRESS(12,3+18*0+(11),,,"J1 A - (North) Bishopthorpe Roa")&amp;":"&amp;ADDRESS(130,3+18*0+(11))),'J1 A - (North) Bishopthorpe Roa'!$A$12:$A$130,"&gt;="&amp;Diagram!$O30,'J1 A - (North) Bishopthorpe Roa'!$A$12:$A$130,"&lt;"&amp;Diagram!$P30)))</f>
        <v>0</v>
      </c>
      <c r="BT30" s="42">
        <f ca="1">IF(OR($I$10="",$O30="",$P30="",$J$38&lt;&gt;"Yes"),0,IF($K$10=0,SUMIFS(INDIRECT(ADDRESS(12,3+18*1+(3),,,"J1 A - (North) Bishopthorpe Roa")&amp;":"&amp;ADDRESS(130,3+18*1+(3))),'J1 A - (North) Bishopthorpe Roa'!$A$12:$A$130,"&gt;="&amp;Diagram!$O30,'J1 A - (North) Bishopthorpe Roa'!$A$12:$A$130,"&lt;"&amp;Diagram!$P30),SUMIFS(INDIRECT(ADDRESS(12,3+18*1+(11),,,"J1 A - (North) Bishopthorpe Roa")&amp;":"&amp;ADDRESS(130,3+18*1+(11))),'J1 A - (North) Bishopthorpe Roa'!$A$12:$A$130,"&gt;="&amp;Diagram!$O30,'J1 A - (North) Bishopthorpe Roa'!$A$12:$A$130,"&lt;"&amp;Diagram!$P30)))</f>
        <v>0</v>
      </c>
      <c r="BU30" s="42">
        <f ca="1">IF(OR($I$10="",$O30="",$P30="",$J$38&lt;&gt;"Yes"),0,IF($K$10=0,SUMIFS(INDIRECT(ADDRESS(12,3+18*2+(3),,,"J1 A - (North) Bishopthorpe Roa")&amp;":"&amp;ADDRESS(130,3+18*2+(3))),'J1 A - (North) Bishopthorpe Roa'!$A$12:$A$130,"&gt;="&amp;Diagram!$O30,'J1 A - (North) Bishopthorpe Roa'!$A$12:$A$130,"&lt;"&amp;Diagram!$P30),SUMIFS(INDIRECT(ADDRESS(12,3+18*2+(11),,,"J1 A - (North) Bishopthorpe Roa")&amp;":"&amp;ADDRESS(130,3+18*2+(11))),'J1 A - (North) Bishopthorpe Roa'!$A$12:$A$130,"&gt;="&amp;Diagram!$O30,'J1 A - (North) Bishopthorpe Roa'!$A$12:$A$130,"&lt;"&amp;Diagram!$P30)))</f>
        <v>0</v>
      </c>
      <c r="BV30" s="42">
        <f ca="1">IF(OR($I$10="",$O30="",$P30="",$J$38&lt;&gt;"Yes"),0,IF($K$10=0,SUMIFS(INDIRECT(ADDRESS(12,3+18*2+(3),,,"J1 B - Butcher Terrace")&amp;":"&amp;ADDRESS(130,3+18*2+(3))),'J1 B - Butcher Terrace'!$A$12:$A$130,"&gt;="&amp;Diagram!$O30,'J1 B - Butcher Terrace'!$A$12:$A$130,"&lt;"&amp;Diagram!$P30),SUMIFS(INDIRECT(ADDRESS(12,3+18*2+(11),,,"J1 B - Butcher Terrace")&amp;":"&amp;ADDRESS(130,3+18*2+(11))),'J1 B - Butcher Terrace'!$A$12:$A$130,"&gt;="&amp;Diagram!$O30,'J1 B - Butcher Terrace'!$A$12:$A$130,"&lt;"&amp;Diagram!$P30)))</f>
        <v>0</v>
      </c>
      <c r="BW30" s="42">
        <f ca="1">IF(OR($I$10="",$O30="",$P30="",$J$38&lt;&gt;"Yes"),0,IF($K$10=0,SUMIFS(INDIRECT(ADDRESS(12,3+18*3+(3),,,"J1 B - Butcher Terrace")&amp;":"&amp;ADDRESS(130,3+18*3+(3))),'J1 B - Butcher Terrace'!$A$12:$A$130,"&gt;="&amp;Diagram!$O30,'J1 B - Butcher Terrace'!$A$12:$A$130,"&lt;"&amp;Diagram!$P30),SUMIFS(INDIRECT(ADDRESS(12,3+18*3+(11),,,"J1 B - Butcher Terrace")&amp;":"&amp;ADDRESS(130,3+18*3+(11))),'J1 B - Butcher Terrace'!$A$12:$A$130,"&gt;="&amp;Diagram!$O30,'J1 B - Butcher Terrace'!$A$12:$A$130,"&lt;"&amp;Diagram!$P30)))</f>
        <v>0</v>
      </c>
      <c r="BX30" s="42">
        <f ca="1">IF(OR($I$10="",$O30="",$P30="",$J$38&lt;&gt;"Yes"),0,IF($K$10=0,SUMIFS(INDIRECT(ADDRESS(12,3+18*0+(3),,,"J1 B - Butcher Terrace")&amp;":"&amp;ADDRESS(130,3+18*0+(3))),'J1 B - Butcher Terrace'!$A$12:$A$130,"&gt;="&amp;Diagram!$O30,'J1 B - Butcher Terrace'!$A$12:$A$130,"&lt;"&amp;Diagram!$P30),SUMIFS(INDIRECT(ADDRESS(12,3+18*0+(11),,,"J1 B - Butcher Terrace")&amp;":"&amp;ADDRESS(130,3+18*0+(11))),'J1 B - Butcher Terrace'!$A$12:$A$130,"&gt;="&amp;Diagram!$O30,'J1 B - Butcher Terrace'!$A$12:$A$130,"&lt;"&amp;Diagram!$P30)))</f>
        <v>0</v>
      </c>
      <c r="BY30" s="42">
        <f ca="1">IF(OR($I$10="",$O30="",$P30="",$J$38&lt;&gt;"Yes"),0,IF($K$10=0,SUMIFS(INDIRECT(ADDRESS(12,3+18*1+(3),,,"J1 B - Butcher Terrace")&amp;":"&amp;ADDRESS(130,3+18*1+(3))),'J1 B - Butcher Terrace'!$A$12:$A$130,"&gt;="&amp;Diagram!$O30,'J1 B - Butcher Terrace'!$A$12:$A$130,"&lt;"&amp;Diagram!$P30),SUMIFS(INDIRECT(ADDRESS(12,3+18*1+(11),,,"J1 B - Butcher Terrace")&amp;":"&amp;ADDRESS(130,3+18*1+(11))),'J1 B - Butcher Terrace'!$A$12:$A$130,"&gt;="&amp;Diagram!$O30,'J1 B - Butcher Terrace'!$A$12:$A$130,"&lt;"&amp;Diagram!$P30)))</f>
        <v>0</v>
      </c>
      <c r="BZ30" s="42">
        <f ca="1">IF(OR($I$10="",$O30="",$P30="",$J$38&lt;&gt;"Yes"),0,IF($K$10=0,SUMIFS(INDIRECT(ADDRESS(12,3+18*1+(3),,,"J1 C - (South) Bishopthorpe Roa")&amp;":"&amp;ADDRESS(130,3+18*1+(3))),'J1 C - (South) Bishopthorpe Roa'!$A$12:$A$130,"&gt;="&amp;Diagram!$O30,'J1 C - (South) Bishopthorpe Roa'!$A$12:$A$130,"&lt;"&amp;Diagram!$P30),SUMIFS(INDIRECT(ADDRESS(12,3+18*1+(11),,,"J1 C - (South) Bishopthorpe Roa")&amp;":"&amp;ADDRESS(130,3+18*1+(11))),'J1 C - (South) Bishopthorpe Roa'!$A$12:$A$130,"&gt;="&amp;Diagram!$O30,'J1 C - (South) Bishopthorpe Roa'!$A$12:$A$130,"&lt;"&amp;Diagram!$P30)))</f>
        <v>0</v>
      </c>
      <c r="CA30" s="42">
        <f ca="1">IF(OR($I$10="",$O30="",$P30="",$J$38&lt;&gt;"Yes"),0,IF($K$10=0,SUMIFS(INDIRECT(ADDRESS(12,3+18*2+(3),,,"J1 C - (South) Bishopthorpe Roa")&amp;":"&amp;ADDRESS(130,3+18*2+(3))),'J1 C - (South) Bishopthorpe Roa'!$A$12:$A$130,"&gt;="&amp;Diagram!$O30,'J1 C - (South) Bishopthorpe Roa'!$A$12:$A$130,"&lt;"&amp;Diagram!$P30),SUMIFS(INDIRECT(ADDRESS(12,3+18*2+(11),,,"J1 C - (South) Bishopthorpe Roa")&amp;":"&amp;ADDRESS(130,3+18*2+(11))),'J1 C - (South) Bishopthorpe Roa'!$A$12:$A$130,"&gt;="&amp;Diagram!$O30,'J1 C - (South) Bishopthorpe Roa'!$A$12:$A$130,"&lt;"&amp;Diagram!$P30)))</f>
        <v>0</v>
      </c>
      <c r="CB30" s="42">
        <f ca="1">IF(OR($I$10="",$O30="",$P30="",$J$38&lt;&gt;"Yes"),0,IF($K$10=0,SUMIFS(INDIRECT(ADDRESS(12,3+18*3+(3),,,"J1 C - (South) Bishopthorpe Roa")&amp;":"&amp;ADDRESS(130,3+18*3+(3))),'J1 C - (South) Bishopthorpe Roa'!$A$12:$A$130,"&gt;="&amp;Diagram!$O30,'J1 C - (South) Bishopthorpe Roa'!$A$12:$A$130,"&lt;"&amp;Diagram!$P30),SUMIFS(INDIRECT(ADDRESS(12,3+18*3+(11),,,"J1 C - (South) Bishopthorpe Roa")&amp;":"&amp;ADDRESS(130,3+18*3+(11))),'J1 C - (South) Bishopthorpe Roa'!$A$12:$A$130,"&gt;="&amp;Diagram!$O30,'J1 C - (South) Bishopthorpe Roa'!$A$12:$A$130,"&lt;"&amp;Diagram!$P30)))</f>
        <v>0</v>
      </c>
      <c r="CC30" s="42">
        <f ca="1">IF(OR($I$10="",$O30="",$P30="",$J$38&lt;&gt;"Yes"),0,IF($K$10=0,SUMIFS(INDIRECT(ADDRESS(12,3+18*0+(3),,,"J1 C - (South) Bishopthorpe Roa")&amp;":"&amp;ADDRESS(130,3+18*0+(3))),'J1 C - (South) Bishopthorpe Roa'!$A$12:$A$130,"&gt;="&amp;Diagram!$O30,'J1 C - (South) Bishopthorpe Roa'!$A$12:$A$130,"&lt;"&amp;Diagram!$P30),SUMIFS(INDIRECT(ADDRESS(12,3+18*0+(11),,,"J1 C - (South) Bishopthorpe Roa")&amp;":"&amp;ADDRESS(130,3+18*0+(11))),'J1 C - (South) Bishopthorpe Roa'!$A$12:$A$130,"&gt;="&amp;Diagram!$O30,'J1 C - (South) Bishopthorpe Roa'!$A$12:$A$130,"&lt;"&amp;Diagram!$P30)))</f>
        <v>0</v>
      </c>
      <c r="CD30" s="42">
        <f ca="1">IF(OR($I$10="",$O30="",$P30="",$J$38&lt;&gt;"Yes"),0,IF($K$10=0,SUMIFS(INDIRECT(ADDRESS(12,3+18*0+(3),,,"J1 D - South Bank Avenue")&amp;":"&amp;ADDRESS(130,3+18*0+(3))),'J1 D - South Bank Avenue'!$A$12:$A$130,"&gt;="&amp;Diagram!$O30,'J1 D - South Bank Avenue'!$A$12:$A$130,"&lt;"&amp;Diagram!$P30),SUMIFS(INDIRECT(ADDRESS(12,3+18*0+(11),,,"J1 D - South Bank Avenue")&amp;":"&amp;ADDRESS(130,3+18*0+(11))),'J1 D - South Bank Avenue'!$A$12:$A$130,"&gt;="&amp;Diagram!$O30,'J1 D - South Bank Avenue'!$A$12:$A$130,"&lt;"&amp;Diagram!$P30)))</f>
        <v>0</v>
      </c>
      <c r="CE30" s="42">
        <f ca="1">IF(OR($I$10="",$O30="",$P30="",$J$38&lt;&gt;"Yes"),0,IF($K$10=0,SUMIFS(INDIRECT(ADDRESS(12,3+18*1+(3),,,"J1 D - South Bank Avenue")&amp;":"&amp;ADDRESS(130,3+18*1+(3))),'J1 D - South Bank Avenue'!$A$12:$A$130,"&gt;="&amp;Diagram!$O30,'J1 D - South Bank Avenue'!$A$12:$A$130,"&lt;"&amp;Diagram!$P30),SUMIFS(INDIRECT(ADDRESS(12,3+18*1+(11),,,"J1 D - South Bank Avenue")&amp;":"&amp;ADDRESS(130,3+18*1+(11))),'J1 D - South Bank Avenue'!$A$12:$A$130,"&gt;="&amp;Diagram!$O30,'J1 D - South Bank Avenue'!$A$12:$A$130,"&lt;"&amp;Diagram!$P30)))</f>
        <v>0</v>
      </c>
      <c r="CF30" s="42">
        <f ca="1">IF(OR($I$10="",$O30="",$P30="",$J$38&lt;&gt;"Yes"),0,IF($K$10=0,SUMIFS(INDIRECT(ADDRESS(12,3+18*2+(3),,,"J1 D - South Bank Avenue")&amp;":"&amp;ADDRESS(130,3+18*2+(3))),'J1 D - South Bank Avenue'!$A$12:$A$130,"&gt;="&amp;Diagram!$O30,'J1 D - South Bank Avenue'!$A$12:$A$130,"&lt;"&amp;Diagram!$P30),SUMIFS(INDIRECT(ADDRESS(12,3+18*2+(11),,,"J1 D - South Bank Avenue")&amp;":"&amp;ADDRESS(130,3+18*2+(11))),'J1 D - South Bank Avenue'!$A$12:$A$130,"&gt;="&amp;Diagram!$O30,'J1 D - South Bank Avenue'!$A$12:$A$130,"&lt;"&amp;Diagram!$P30)))</f>
        <v>0</v>
      </c>
      <c r="CG30" s="42">
        <f ca="1">IF(OR($I$10="",$O30="",$P30="",$J$38&lt;&gt;"Yes"),0,IF($K$10=0,SUMIFS(INDIRECT(ADDRESS(12,3+18*3+(3),,,"J1 D - South Bank Avenue")&amp;":"&amp;ADDRESS(130,3+18*3+(3))),'J1 D - South Bank Avenue'!$A$12:$A$130,"&gt;="&amp;Diagram!$O30,'J1 D - South Bank Avenue'!$A$12:$A$130,"&lt;"&amp;Diagram!$P30),SUMIFS(INDIRECT(ADDRESS(12,3+18*3+(11),,,"J1 D - South Bank Avenue")&amp;":"&amp;ADDRESS(130,3+18*3+(11))),'J1 D - South Bank Avenue'!$A$12:$A$130,"&gt;="&amp;Diagram!$O30,'J1 D - South Bank Avenue'!$A$12:$A$130,"&lt;"&amp;Diagram!$P30)))</f>
        <v>0</v>
      </c>
      <c r="CH30" s="42">
        <f t="shared" ca="1" si="5"/>
        <v>4</v>
      </c>
      <c r="CI30" s="42">
        <f ca="1">IF(OR($I$10="",$O30="",$P30="",$J$39&lt;&gt;"Yes"),0,IF($K$10=0,SUMIFS(INDIRECT(ADDRESS(12,3+18*3+(4),,,"J1 A - (North) Bishopthorpe Roa")&amp;":"&amp;ADDRESS(130,3+18*3+(4))),'J1 A - (North) Bishopthorpe Roa'!$A$12:$A$130,"&gt;="&amp;Diagram!$O30,'J1 A - (North) Bishopthorpe Roa'!$A$12:$A$130,"&lt;"&amp;Diagram!$P30),SUMIFS(INDIRECT(ADDRESS(12,3+18*3+(12),,,"J1 A - (North) Bishopthorpe Roa")&amp;":"&amp;ADDRESS(130,3+18*3+(12))),'J1 A - (North) Bishopthorpe Roa'!$A$12:$A$130,"&gt;="&amp;Diagram!$O30,'J1 A - (North) Bishopthorpe Roa'!$A$12:$A$130,"&lt;"&amp;Diagram!$P30)))</f>
        <v>0</v>
      </c>
      <c r="CJ30" s="42">
        <f ca="1">IF(OR($I$10="",$O30="",$P30="",$J$39&lt;&gt;"Yes"),0,IF($K$10=0,SUMIFS(INDIRECT(ADDRESS(12,3+18*0+(4),,,"J1 A - (North) Bishopthorpe Roa")&amp;":"&amp;ADDRESS(130,3+18*0+(4))),'J1 A - (North) Bishopthorpe Roa'!$A$12:$A$130,"&gt;="&amp;Diagram!$O30,'J1 A - (North) Bishopthorpe Roa'!$A$12:$A$130,"&lt;"&amp;Diagram!$P30),SUMIFS(INDIRECT(ADDRESS(12,3+18*0+(12),,,"J1 A - (North) Bishopthorpe Roa")&amp;":"&amp;ADDRESS(130,3+18*0+(12))),'J1 A - (North) Bishopthorpe Roa'!$A$12:$A$130,"&gt;="&amp;Diagram!$O30,'J1 A - (North) Bishopthorpe Roa'!$A$12:$A$130,"&lt;"&amp;Diagram!$P30)))</f>
        <v>0</v>
      </c>
      <c r="CK30" s="42">
        <f ca="1">IF(OR($I$10="",$O30="",$P30="",$J$39&lt;&gt;"Yes"),0,IF($K$10=0,SUMIFS(INDIRECT(ADDRESS(12,3+18*1+(4),,,"J1 A - (North) Bishopthorpe Roa")&amp;":"&amp;ADDRESS(130,3+18*1+(4))),'J1 A - (North) Bishopthorpe Roa'!$A$12:$A$130,"&gt;="&amp;Diagram!$O30,'J1 A - (North) Bishopthorpe Roa'!$A$12:$A$130,"&lt;"&amp;Diagram!$P30),SUMIFS(INDIRECT(ADDRESS(12,3+18*1+(12),,,"J1 A - (North) Bishopthorpe Roa")&amp;":"&amp;ADDRESS(130,3+18*1+(12))),'J1 A - (North) Bishopthorpe Roa'!$A$12:$A$130,"&gt;="&amp;Diagram!$O30,'J1 A - (North) Bishopthorpe Roa'!$A$12:$A$130,"&lt;"&amp;Diagram!$P30)))</f>
        <v>2</v>
      </c>
      <c r="CL30" s="42">
        <f ca="1">IF(OR($I$10="",$O30="",$P30="",$J$39&lt;&gt;"Yes"),0,IF($K$10=0,SUMIFS(INDIRECT(ADDRESS(12,3+18*2+(4),,,"J1 A - (North) Bishopthorpe Roa")&amp;":"&amp;ADDRESS(130,3+18*2+(4))),'J1 A - (North) Bishopthorpe Roa'!$A$12:$A$130,"&gt;="&amp;Diagram!$O30,'J1 A - (North) Bishopthorpe Roa'!$A$12:$A$130,"&lt;"&amp;Diagram!$P30),SUMIFS(INDIRECT(ADDRESS(12,3+18*2+(12),,,"J1 A - (North) Bishopthorpe Roa")&amp;":"&amp;ADDRESS(130,3+18*2+(12))),'J1 A - (North) Bishopthorpe Roa'!$A$12:$A$130,"&gt;="&amp;Diagram!$O30,'J1 A - (North) Bishopthorpe Roa'!$A$12:$A$130,"&lt;"&amp;Diagram!$P30)))</f>
        <v>0</v>
      </c>
      <c r="CM30" s="42">
        <f ca="1">IF(OR($I$10="",$O30="",$P30="",$J$39&lt;&gt;"Yes"),0,IF($K$10=0,SUMIFS(INDIRECT(ADDRESS(12,3+18*2+(4),,,"J1 B - Butcher Terrace")&amp;":"&amp;ADDRESS(130,3+18*2+(4))),'J1 B - Butcher Terrace'!$A$12:$A$130,"&gt;="&amp;Diagram!$O30,'J1 B - Butcher Terrace'!$A$12:$A$130,"&lt;"&amp;Diagram!$P30),SUMIFS(INDIRECT(ADDRESS(12,3+18*2+(12),,,"J1 B - Butcher Terrace")&amp;":"&amp;ADDRESS(130,3+18*2+(12))),'J1 B - Butcher Terrace'!$A$12:$A$130,"&gt;="&amp;Diagram!$O30,'J1 B - Butcher Terrace'!$A$12:$A$130,"&lt;"&amp;Diagram!$P30)))</f>
        <v>0</v>
      </c>
      <c r="CN30" s="42">
        <f ca="1">IF(OR($I$10="",$O30="",$P30="",$J$39&lt;&gt;"Yes"),0,IF($K$10=0,SUMIFS(INDIRECT(ADDRESS(12,3+18*3+(4),,,"J1 B - Butcher Terrace")&amp;":"&amp;ADDRESS(130,3+18*3+(4))),'J1 B - Butcher Terrace'!$A$12:$A$130,"&gt;="&amp;Diagram!$O30,'J1 B - Butcher Terrace'!$A$12:$A$130,"&lt;"&amp;Diagram!$P30),SUMIFS(INDIRECT(ADDRESS(12,3+18*3+(12),,,"J1 B - Butcher Terrace")&amp;":"&amp;ADDRESS(130,3+18*3+(12))),'J1 B - Butcher Terrace'!$A$12:$A$130,"&gt;="&amp;Diagram!$O30,'J1 B - Butcher Terrace'!$A$12:$A$130,"&lt;"&amp;Diagram!$P30)))</f>
        <v>0</v>
      </c>
      <c r="CO30" s="42">
        <f ca="1">IF(OR($I$10="",$O30="",$P30="",$J$39&lt;&gt;"Yes"),0,IF($K$10=0,SUMIFS(INDIRECT(ADDRESS(12,3+18*0+(4),,,"J1 B - Butcher Terrace")&amp;":"&amp;ADDRESS(130,3+18*0+(4))),'J1 B - Butcher Terrace'!$A$12:$A$130,"&gt;="&amp;Diagram!$O30,'J1 B - Butcher Terrace'!$A$12:$A$130,"&lt;"&amp;Diagram!$P30),SUMIFS(INDIRECT(ADDRESS(12,3+18*0+(12),,,"J1 B - Butcher Terrace")&amp;":"&amp;ADDRESS(130,3+18*0+(12))),'J1 B - Butcher Terrace'!$A$12:$A$130,"&gt;="&amp;Diagram!$O30,'J1 B - Butcher Terrace'!$A$12:$A$130,"&lt;"&amp;Diagram!$P30)))</f>
        <v>0</v>
      </c>
      <c r="CP30" s="42">
        <f ca="1">IF(OR($I$10="",$O30="",$P30="",$J$39&lt;&gt;"Yes"),0,IF($K$10=0,SUMIFS(INDIRECT(ADDRESS(12,3+18*1+(4),,,"J1 B - Butcher Terrace")&amp;":"&amp;ADDRESS(130,3+18*1+(4))),'J1 B - Butcher Terrace'!$A$12:$A$130,"&gt;="&amp;Diagram!$O30,'J1 B - Butcher Terrace'!$A$12:$A$130,"&lt;"&amp;Diagram!$P30),SUMIFS(INDIRECT(ADDRESS(12,3+18*1+(12),,,"J1 B - Butcher Terrace")&amp;":"&amp;ADDRESS(130,3+18*1+(12))),'J1 B - Butcher Terrace'!$A$12:$A$130,"&gt;="&amp;Diagram!$O30,'J1 B - Butcher Terrace'!$A$12:$A$130,"&lt;"&amp;Diagram!$P30)))</f>
        <v>0</v>
      </c>
      <c r="CQ30" s="42">
        <f ca="1">IF(OR($I$10="",$O30="",$P30="",$J$39&lt;&gt;"Yes"),0,IF($K$10=0,SUMIFS(INDIRECT(ADDRESS(12,3+18*1+(4),,,"J1 C - (South) Bishopthorpe Roa")&amp;":"&amp;ADDRESS(130,3+18*1+(4))),'J1 C - (South) Bishopthorpe Roa'!$A$12:$A$130,"&gt;="&amp;Diagram!$O30,'J1 C - (South) Bishopthorpe Roa'!$A$12:$A$130,"&lt;"&amp;Diagram!$P30),SUMIFS(INDIRECT(ADDRESS(12,3+18*1+(12),,,"J1 C - (South) Bishopthorpe Roa")&amp;":"&amp;ADDRESS(130,3+18*1+(12))),'J1 C - (South) Bishopthorpe Roa'!$A$12:$A$130,"&gt;="&amp;Diagram!$O30,'J1 C - (South) Bishopthorpe Roa'!$A$12:$A$130,"&lt;"&amp;Diagram!$P30)))</f>
        <v>2</v>
      </c>
      <c r="CR30" s="42">
        <f ca="1">IF(OR($I$10="",$O30="",$P30="",$J$39&lt;&gt;"Yes"),0,IF($K$10=0,SUMIFS(INDIRECT(ADDRESS(12,3+18*2+(4),,,"J1 C - (South) Bishopthorpe Roa")&amp;":"&amp;ADDRESS(130,3+18*2+(4))),'J1 C - (South) Bishopthorpe Roa'!$A$12:$A$130,"&gt;="&amp;Diagram!$O30,'J1 C - (South) Bishopthorpe Roa'!$A$12:$A$130,"&lt;"&amp;Diagram!$P30),SUMIFS(INDIRECT(ADDRESS(12,3+18*2+(12),,,"J1 C - (South) Bishopthorpe Roa")&amp;":"&amp;ADDRESS(130,3+18*2+(12))),'J1 C - (South) Bishopthorpe Roa'!$A$12:$A$130,"&gt;="&amp;Diagram!$O30,'J1 C - (South) Bishopthorpe Roa'!$A$12:$A$130,"&lt;"&amp;Diagram!$P30)))</f>
        <v>0</v>
      </c>
      <c r="CS30" s="42">
        <f ca="1">IF(OR($I$10="",$O30="",$P30="",$J$39&lt;&gt;"Yes"),0,IF($K$10=0,SUMIFS(INDIRECT(ADDRESS(12,3+18*3+(4),,,"J1 C - (South) Bishopthorpe Roa")&amp;":"&amp;ADDRESS(130,3+18*3+(4))),'J1 C - (South) Bishopthorpe Roa'!$A$12:$A$130,"&gt;="&amp;Diagram!$O30,'J1 C - (South) Bishopthorpe Roa'!$A$12:$A$130,"&lt;"&amp;Diagram!$P30),SUMIFS(INDIRECT(ADDRESS(12,3+18*3+(12),,,"J1 C - (South) Bishopthorpe Roa")&amp;":"&amp;ADDRESS(130,3+18*3+(12))),'J1 C - (South) Bishopthorpe Roa'!$A$12:$A$130,"&gt;="&amp;Diagram!$O30,'J1 C - (South) Bishopthorpe Roa'!$A$12:$A$130,"&lt;"&amp;Diagram!$P30)))</f>
        <v>0</v>
      </c>
      <c r="CT30" s="42">
        <f ca="1">IF(OR($I$10="",$O30="",$P30="",$J$39&lt;&gt;"Yes"),0,IF($K$10=0,SUMIFS(INDIRECT(ADDRESS(12,3+18*0+(4),,,"J1 C - (South) Bishopthorpe Roa")&amp;":"&amp;ADDRESS(130,3+18*0+(4))),'J1 C - (South) Bishopthorpe Roa'!$A$12:$A$130,"&gt;="&amp;Diagram!$O30,'J1 C - (South) Bishopthorpe Roa'!$A$12:$A$130,"&lt;"&amp;Diagram!$P30),SUMIFS(INDIRECT(ADDRESS(12,3+18*0+(12),,,"J1 C - (South) Bishopthorpe Roa")&amp;":"&amp;ADDRESS(130,3+18*0+(12))),'J1 C - (South) Bishopthorpe Roa'!$A$12:$A$130,"&gt;="&amp;Diagram!$O30,'J1 C - (South) Bishopthorpe Roa'!$A$12:$A$130,"&lt;"&amp;Diagram!$P30)))</f>
        <v>0</v>
      </c>
      <c r="CU30" s="42">
        <f ca="1">IF(OR($I$10="",$O30="",$P30="",$J$39&lt;&gt;"Yes"),0,IF($K$10=0,SUMIFS(INDIRECT(ADDRESS(12,3+18*0+(4),,,"J1 D - South Bank Avenue")&amp;":"&amp;ADDRESS(130,3+18*0+(4))),'J1 D - South Bank Avenue'!$A$12:$A$130,"&gt;="&amp;Diagram!$O30,'J1 D - South Bank Avenue'!$A$12:$A$130,"&lt;"&amp;Diagram!$P30),SUMIFS(INDIRECT(ADDRESS(12,3+18*0+(12),,,"J1 D - South Bank Avenue")&amp;":"&amp;ADDRESS(130,3+18*0+(12))),'J1 D - South Bank Avenue'!$A$12:$A$130,"&gt;="&amp;Diagram!$O30,'J1 D - South Bank Avenue'!$A$12:$A$130,"&lt;"&amp;Diagram!$P30)))</f>
        <v>0</v>
      </c>
      <c r="CV30" s="42">
        <f ca="1">IF(OR($I$10="",$O30="",$P30="",$J$39&lt;&gt;"Yes"),0,IF($K$10=0,SUMIFS(INDIRECT(ADDRESS(12,3+18*1+(4),,,"J1 D - South Bank Avenue")&amp;":"&amp;ADDRESS(130,3+18*1+(4))),'J1 D - South Bank Avenue'!$A$12:$A$130,"&gt;="&amp;Diagram!$O30,'J1 D - South Bank Avenue'!$A$12:$A$130,"&lt;"&amp;Diagram!$P30),SUMIFS(INDIRECT(ADDRESS(12,3+18*1+(12),,,"J1 D - South Bank Avenue")&amp;":"&amp;ADDRESS(130,3+18*1+(12))),'J1 D - South Bank Avenue'!$A$12:$A$130,"&gt;="&amp;Diagram!$O30,'J1 D - South Bank Avenue'!$A$12:$A$130,"&lt;"&amp;Diagram!$P30)))</f>
        <v>0</v>
      </c>
      <c r="CW30" s="42">
        <f ca="1">IF(OR($I$10="",$O30="",$P30="",$J$39&lt;&gt;"Yes"),0,IF($K$10=0,SUMIFS(INDIRECT(ADDRESS(12,3+18*2+(4),,,"J1 D - South Bank Avenue")&amp;":"&amp;ADDRESS(130,3+18*2+(4))),'J1 D - South Bank Avenue'!$A$12:$A$130,"&gt;="&amp;Diagram!$O30,'J1 D - South Bank Avenue'!$A$12:$A$130,"&lt;"&amp;Diagram!$P30),SUMIFS(INDIRECT(ADDRESS(12,3+18*2+(12),,,"J1 D - South Bank Avenue")&amp;":"&amp;ADDRESS(130,3+18*2+(12))),'J1 D - South Bank Avenue'!$A$12:$A$130,"&gt;="&amp;Diagram!$O30,'J1 D - South Bank Avenue'!$A$12:$A$130,"&lt;"&amp;Diagram!$P30)))</f>
        <v>0</v>
      </c>
      <c r="CX30" s="42">
        <f ca="1">IF(OR($I$10="",$O30="",$P30="",$J$39&lt;&gt;"Yes"),0,IF($K$10=0,SUMIFS(INDIRECT(ADDRESS(12,3+18*3+(4),,,"J1 D - South Bank Avenue")&amp;":"&amp;ADDRESS(130,3+18*3+(4))),'J1 D - South Bank Avenue'!$A$12:$A$130,"&gt;="&amp;Diagram!$O30,'J1 D - South Bank Avenue'!$A$12:$A$130,"&lt;"&amp;Diagram!$P30),SUMIFS(INDIRECT(ADDRESS(12,3+18*3+(12),,,"J1 D - South Bank Avenue")&amp;":"&amp;ADDRESS(130,3+18*3+(12))),'J1 D - South Bank Avenue'!$A$12:$A$130,"&gt;="&amp;Diagram!$O30,'J1 D - South Bank Avenue'!$A$12:$A$130,"&lt;"&amp;Diagram!$P30)))</f>
        <v>0</v>
      </c>
      <c r="CY30" s="42">
        <f t="shared" ca="1" si="6"/>
        <v>80</v>
      </c>
      <c r="CZ30" s="42">
        <f ca="1">IF(OR($I$10="",$O30="",$P30="",$J$40&lt;&gt;"Yes"),0,IF($K$10=0,SUMIFS(INDIRECT(ADDRESS(12,3+18*3+(5),,,"J1 A - (North) Bishopthorpe Roa")&amp;":"&amp;ADDRESS(130,3+18*3+(5))),'J1 A - (North) Bishopthorpe Roa'!$A$12:$A$130,"&gt;="&amp;Diagram!$O30,'J1 A - (North) Bishopthorpe Roa'!$A$12:$A$130,"&lt;"&amp;Diagram!$P30),SUMIFS(INDIRECT(ADDRESS(12,3+18*3+(13),,,"J1 A - (North) Bishopthorpe Roa")&amp;":"&amp;ADDRESS(130,3+18*3+(13))),'J1 A - (North) Bishopthorpe Roa'!$A$12:$A$130,"&gt;="&amp;Diagram!$O30,'J1 A - (North) Bishopthorpe Roa'!$A$12:$A$130,"&lt;"&amp;Diagram!$P30)))</f>
        <v>0</v>
      </c>
      <c r="DA30" s="42">
        <f ca="1">IF(OR($I$10="",$O30="",$P30="",$J$40&lt;&gt;"Yes"),0,IF($K$10=0,SUMIFS(INDIRECT(ADDRESS(12,3+18*0+(5),,,"J1 A - (North) Bishopthorpe Roa")&amp;":"&amp;ADDRESS(130,3+18*0+(5))),'J1 A - (North) Bishopthorpe Roa'!$A$12:$A$130,"&gt;="&amp;Diagram!$O30,'J1 A - (North) Bishopthorpe Roa'!$A$12:$A$130,"&lt;"&amp;Diagram!$P30),SUMIFS(INDIRECT(ADDRESS(12,3+18*0+(13),,,"J1 A - (North) Bishopthorpe Roa")&amp;":"&amp;ADDRESS(130,3+18*0+(13))),'J1 A - (North) Bishopthorpe Roa'!$A$12:$A$130,"&gt;="&amp;Diagram!$O30,'J1 A - (North) Bishopthorpe Roa'!$A$12:$A$130,"&lt;"&amp;Diagram!$P30)))</f>
        <v>6</v>
      </c>
      <c r="DB30" s="42">
        <f ca="1">IF(OR($I$10="",$O30="",$P30="",$J$40&lt;&gt;"Yes"),0,IF($K$10=0,SUMIFS(INDIRECT(ADDRESS(12,3+18*1+(5),,,"J1 A - (North) Bishopthorpe Roa")&amp;":"&amp;ADDRESS(130,3+18*1+(5))),'J1 A - (North) Bishopthorpe Roa'!$A$12:$A$130,"&gt;="&amp;Diagram!$O30,'J1 A - (North) Bishopthorpe Roa'!$A$12:$A$130,"&lt;"&amp;Diagram!$P30),SUMIFS(INDIRECT(ADDRESS(12,3+18*1+(13),,,"J1 A - (North) Bishopthorpe Roa")&amp;":"&amp;ADDRESS(130,3+18*1+(13))),'J1 A - (North) Bishopthorpe Roa'!$A$12:$A$130,"&gt;="&amp;Diagram!$O30,'J1 A - (North) Bishopthorpe Roa'!$A$12:$A$130,"&lt;"&amp;Diagram!$P30)))</f>
        <v>4</v>
      </c>
      <c r="DC30" s="42">
        <f ca="1">IF(OR($I$10="",$O30="",$P30="",$J$40&lt;&gt;"Yes"),0,IF($K$10=0,SUMIFS(INDIRECT(ADDRESS(12,3+18*2+(5),,,"J1 A - (North) Bishopthorpe Roa")&amp;":"&amp;ADDRESS(130,3+18*2+(5))),'J1 A - (North) Bishopthorpe Roa'!$A$12:$A$130,"&gt;="&amp;Diagram!$O30,'J1 A - (North) Bishopthorpe Roa'!$A$12:$A$130,"&lt;"&amp;Diagram!$P30),SUMIFS(INDIRECT(ADDRESS(12,3+18*2+(13),,,"J1 A - (North) Bishopthorpe Roa")&amp;":"&amp;ADDRESS(130,3+18*2+(13))),'J1 A - (North) Bishopthorpe Roa'!$A$12:$A$130,"&gt;="&amp;Diagram!$O30,'J1 A - (North) Bishopthorpe Roa'!$A$12:$A$130,"&lt;"&amp;Diagram!$P30)))</f>
        <v>0</v>
      </c>
      <c r="DD30" s="42">
        <f ca="1">IF(OR($I$10="",$O30="",$P30="",$J$40&lt;&gt;"Yes"),0,IF($K$10=0,SUMIFS(INDIRECT(ADDRESS(12,3+18*2+(5),,,"J1 B - Butcher Terrace")&amp;":"&amp;ADDRESS(130,3+18*2+(5))),'J1 B - Butcher Terrace'!$A$12:$A$130,"&gt;="&amp;Diagram!$O30,'J1 B - Butcher Terrace'!$A$12:$A$130,"&lt;"&amp;Diagram!$P30),SUMIFS(INDIRECT(ADDRESS(12,3+18*2+(13),,,"J1 B - Butcher Terrace")&amp;":"&amp;ADDRESS(130,3+18*2+(13))),'J1 B - Butcher Terrace'!$A$12:$A$130,"&gt;="&amp;Diagram!$O30,'J1 B - Butcher Terrace'!$A$12:$A$130,"&lt;"&amp;Diagram!$P30)))</f>
        <v>9</v>
      </c>
      <c r="DE30" s="42">
        <f ca="1">IF(OR($I$10="",$O30="",$P30="",$J$40&lt;&gt;"Yes"),0,IF($K$10=0,SUMIFS(INDIRECT(ADDRESS(12,3+18*3+(5),,,"J1 B - Butcher Terrace")&amp;":"&amp;ADDRESS(130,3+18*3+(5))),'J1 B - Butcher Terrace'!$A$12:$A$130,"&gt;="&amp;Diagram!$O30,'J1 B - Butcher Terrace'!$A$12:$A$130,"&lt;"&amp;Diagram!$P30),SUMIFS(INDIRECT(ADDRESS(12,3+18*3+(13),,,"J1 B - Butcher Terrace")&amp;":"&amp;ADDRESS(130,3+18*3+(13))),'J1 B - Butcher Terrace'!$A$12:$A$130,"&gt;="&amp;Diagram!$O30,'J1 B - Butcher Terrace'!$A$12:$A$130,"&lt;"&amp;Diagram!$P30)))</f>
        <v>0</v>
      </c>
      <c r="DF30" s="42">
        <f ca="1">IF(OR($I$10="",$O30="",$P30="",$J$40&lt;&gt;"Yes"),0,IF($K$10=0,SUMIFS(INDIRECT(ADDRESS(12,3+18*0+(5),,,"J1 B - Butcher Terrace")&amp;":"&amp;ADDRESS(130,3+18*0+(5))),'J1 B - Butcher Terrace'!$A$12:$A$130,"&gt;="&amp;Diagram!$O30,'J1 B - Butcher Terrace'!$A$12:$A$130,"&lt;"&amp;Diagram!$P30),SUMIFS(INDIRECT(ADDRESS(12,3+18*0+(13),,,"J1 B - Butcher Terrace")&amp;":"&amp;ADDRESS(130,3+18*0+(13))),'J1 B - Butcher Terrace'!$A$12:$A$130,"&gt;="&amp;Diagram!$O30,'J1 B - Butcher Terrace'!$A$12:$A$130,"&lt;"&amp;Diagram!$P30)))</f>
        <v>6</v>
      </c>
      <c r="DG30" s="42">
        <f ca="1">IF(OR($I$10="",$O30="",$P30="",$J$40&lt;&gt;"Yes"),0,IF($K$10=0,SUMIFS(INDIRECT(ADDRESS(12,3+18*1+(5),,,"J1 B - Butcher Terrace")&amp;":"&amp;ADDRESS(130,3+18*1+(5))),'J1 B - Butcher Terrace'!$A$12:$A$130,"&gt;="&amp;Diagram!$O30,'J1 B - Butcher Terrace'!$A$12:$A$130,"&lt;"&amp;Diagram!$P30),SUMIFS(INDIRECT(ADDRESS(12,3+18*1+(13),,,"J1 B - Butcher Terrace")&amp;":"&amp;ADDRESS(130,3+18*1+(13))),'J1 B - Butcher Terrace'!$A$12:$A$130,"&gt;="&amp;Diagram!$O30,'J1 B - Butcher Terrace'!$A$12:$A$130,"&lt;"&amp;Diagram!$P30)))</f>
        <v>4</v>
      </c>
      <c r="DH30" s="42">
        <f ca="1">IF(OR($I$10="",$O30="",$P30="",$J$40&lt;&gt;"Yes"),0,IF($K$10=0,SUMIFS(INDIRECT(ADDRESS(12,3+18*1+(5),,,"J1 C - (South) Bishopthorpe Roa")&amp;":"&amp;ADDRESS(130,3+18*1+(5))),'J1 C - (South) Bishopthorpe Roa'!$A$12:$A$130,"&gt;="&amp;Diagram!$O30,'J1 C - (South) Bishopthorpe Roa'!$A$12:$A$130,"&lt;"&amp;Diagram!$P30),SUMIFS(INDIRECT(ADDRESS(12,3+18*1+(13),,,"J1 C - (South) Bishopthorpe Roa")&amp;":"&amp;ADDRESS(130,3+18*1+(13))),'J1 C - (South) Bishopthorpe Roa'!$A$12:$A$130,"&gt;="&amp;Diagram!$O30,'J1 C - (South) Bishopthorpe Roa'!$A$12:$A$130,"&lt;"&amp;Diagram!$P30)))</f>
        <v>21</v>
      </c>
      <c r="DI30" s="42">
        <f ca="1">IF(OR($I$10="",$O30="",$P30="",$J$40&lt;&gt;"Yes"),0,IF($K$10=0,SUMIFS(INDIRECT(ADDRESS(12,3+18*2+(5),,,"J1 C - (South) Bishopthorpe Roa")&amp;":"&amp;ADDRESS(130,3+18*2+(5))),'J1 C - (South) Bishopthorpe Roa'!$A$12:$A$130,"&gt;="&amp;Diagram!$O30,'J1 C - (South) Bishopthorpe Roa'!$A$12:$A$130,"&lt;"&amp;Diagram!$P30),SUMIFS(INDIRECT(ADDRESS(12,3+18*2+(13),,,"J1 C - (South) Bishopthorpe Roa")&amp;":"&amp;ADDRESS(130,3+18*2+(13))),'J1 C - (South) Bishopthorpe Roa'!$A$12:$A$130,"&gt;="&amp;Diagram!$O30,'J1 C - (South) Bishopthorpe Roa'!$A$12:$A$130,"&lt;"&amp;Diagram!$P30)))</f>
        <v>4</v>
      </c>
      <c r="DJ30" s="42">
        <f ca="1">IF(OR($I$10="",$O30="",$P30="",$J$40&lt;&gt;"Yes"),0,IF($K$10=0,SUMIFS(INDIRECT(ADDRESS(12,3+18*3+(5),,,"J1 C - (South) Bishopthorpe Roa")&amp;":"&amp;ADDRESS(130,3+18*3+(5))),'J1 C - (South) Bishopthorpe Roa'!$A$12:$A$130,"&gt;="&amp;Diagram!$O30,'J1 C - (South) Bishopthorpe Roa'!$A$12:$A$130,"&lt;"&amp;Diagram!$P30),SUMIFS(INDIRECT(ADDRESS(12,3+18*3+(13),,,"J1 C - (South) Bishopthorpe Roa")&amp;":"&amp;ADDRESS(130,3+18*3+(13))),'J1 C - (South) Bishopthorpe Roa'!$A$12:$A$130,"&gt;="&amp;Diagram!$O30,'J1 C - (South) Bishopthorpe Roa'!$A$12:$A$130,"&lt;"&amp;Diagram!$P30)))</f>
        <v>0</v>
      </c>
      <c r="DK30" s="42">
        <f ca="1">IF(OR($I$10="",$O30="",$P30="",$J$40&lt;&gt;"Yes"),0,IF($K$10=0,SUMIFS(INDIRECT(ADDRESS(12,3+18*0+(5),,,"J1 C - (South) Bishopthorpe Roa")&amp;":"&amp;ADDRESS(130,3+18*0+(5))),'J1 C - (South) Bishopthorpe Roa'!$A$12:$A$130,"&gt;="&amp;Diagram!$O30,'J1 C - (South) Bishopthorpe Roa'!$A$12:$A$130,"&lt;"&amp;Diagram!$P30),SUMIFS(INDIRECT(ADDRESS(12,3+18*0+(13),,,"J1 C - (South) Bishopthorpe Roa")&amp;":"&amp;ADDRESS(130,3+18*0+(13))),'J1 C - (South) Bishopthorpe Roa'!$A$12:$A$130,"&gt;="&amp;Diagram!$O30,'J1 C - (South) Bishopthorpe Roa'!$A$12:$A$130,"&lt;"&amp;Diagram!$P30)))</f>
        <v>0</v>
      </c>
      <c r="DL30" s="42">
        <f ca="1">IF(OR($I$10="",$O30="",$P30="",$J$40&lt;&gt;"Yes"),0,IF($K$10=0,SUMIFS(INDIRECT(ADDRESS(12,3+18*0+(5),,,"J1 D - South Bank Avenue")&amp;":"&amp;ADDRESS(130,3+18*0+(5))),'J1 D - South Bank Avenue'!$A$12:$A$130,"&gt;="&amp;Diagram!$O30,'J1 D - South Bank Avenue'!$A$12:$A$130,"&lt;"&amp;Diagram!$P30),SUMIFS(INDIRECT(ADDRESS(12,3+18*0+(13),,,"J1 D - South Bank Avenue")&amp;":"&amp;ADDRESS(130,3+18*0+(13))),'J1 D - South Bank Avenue'!$A$12:$A$130,"&gt;="&amp;Diagram!$O30,'J1 D - South Bank Avenue'!$A$12:$A$130,"&lt;"&amp;Diagram!$P30)))</f>
        <v>3</v>
      </c>
      <c r="DM30" s="42">
        <f ca="1">IF(OR($I$10="",$O30="",$P30="",$J$40&lt;&gt;"Yes"),0,IF($K$10=0,SUMIFS(INDIRECT(ADDRESS(12,3+18*1+(5),,,"J1 D - South Bank Avenue")&amp;":"&amp;ADDRESS(130,3+18*1+(5))),'J1 D - South Bank Avenue'!$A$12:$A$130,"&gt;="&amp;Diagram!$O30,'J1 D - South Bank Avenue'!$A$12:$A$130,"&lt;"&amp;Diagram!$P30),SUMIFS(INDIRECT(ADDRESS(12,3+18*1+(13),,,"J1 D - South Bank Avenue")&amp;":"&amp;ADDRESS(130,3+18*1+(13))),'J1 D - South Bank Avenue'!$A$12:$A$130,"&gt;="&amp;Diagram!$O30,'J1 D - South Bank Avenue'!$A$12:$A$130,"&lt;"&amp;Diagram!$P30)))</f>
        <v>23</v>
      </c>
      <c r="DN30" s="42">
        <f ca="1">IF(OR($I$10="",$O30="",$P30="",$J$40&lt;&gt;"Yes"),0,IF($K$10=0,SUMIFS(INDIRECT(ADDRESS(12,3+18*2+(5),,,"J1 D - South Bank Avenue")&amp;":"&amp;ADDRESS(130,3+18*2+(5))),'J1 D - South Bank Avenue'!$A$12:$A$130,"&gt;="&amp;Diagram!$O30,'J1 D - South Bank Avenue'!$A$12:$A$130,"&lt;"&amp;Diagram!$P30),SUMIFS(INDIRECT(ADDRESS(12,3+18*2+(13),,,"J1 D - South Bank Avenue")&amp;":"&amp;ADDRESS(130,3+18*2+(13))),'J1 D - South Bank Avenue'!$A$12:$A$130,"&gt;="&amp;Diagram!$O30,'J1 D - South Bank Avenue'!$A$12:$A$130,"&lt;"&amp;Diagram!$P30)))</f>
        <v>0</v>
      </c>
      <c r="DO30" s="42">
        <f ca="1">IF(OR($I$10="",$O30="",$P30="",$J$40&lt;&gt;"Yes"),0,IF($K$10=0,SUMIFS(INDIRECT(ADDRESS(12,3+18*3+(5),,,"J1 D - South Bank Avenue")&amp;":"&amp;ADDRESS(130,3+18*3+(5))),'J1 D - South Bank Avenue'!$A$12:$A$130,"&gt;="&amp;Diagram!$O30,'J1 D - South Bank Avenue'!$A$12:$A$130,"&lt;"&amp;Diagram!$P30),SUMIFS(INDIRECT(ADDRESS(12,3+18*3+(13),,,"J1 D - South Bank Avenue")&amp;":"&amp;ADDRESS(130,3+18*3+(13))),'J1 D - South Bank Avenue'!$A$12:$A$130,"&gt;="&amp;Diagram!$O30,'J1 D - South Bank Avenue'!$A$12:$A$130,"&lt;"&amp;Diagram!$P30)))</f>
        <v>0</v>
      </c>
      <c r="DP30" s="42">
        <f t="shared" ca="1" si="7"/>
        <v>2</v>
      </c>
      <c r="DQ30" s="42">
        <f ca="1">IF(OR($I$10="",$O30="",$P30="",$J$41&lt;&gt;"Yes"),0,IF($K$10=0,SUMIFS(INDIRECT(ADDRESS(12,3+18*3+(6),,,"J1 A - (North) Bishopthorpe Roa")&amp;":"&amp;ADDRESS(130,3+18*3+(6))),'J1 A - (North) Bishopthorpe Roa'!$A$12:$A$130,"&gt;="&amp;Diagram!$O30,'J1 A - (North) Bishopthorpe Roa'!$A$12:$A$130,"&lt;"&amp;Diagram!$P30),SUMIFS(INDIRECT(ADDRESS(12,3+18*3+(14),,,"J1 A - (North) Bishopthorpe Roa")&amp;":"&amp;ADDRESS(130,3+18*3+(14))),'J1 A - (North) Bishopthorpe Roa'!$A$12:$A$130,"&gt;="&amp;Diagram!$O30,'J1 A - (North) Bishopthorpe Roa'!$A$12:$A$130,"&lt;"&amp;Diagram!$P30)))</f>
        <v>0</v>
      </c>
      <c r="DR30" s="42">
        <f ca="1">IF(OR($I$10="",$O30="",$P30="",$J$41&lt;&gt;"Yes"),0,IF($K$10=0,SUMIFS(INDIRECT(ADDRESS(12,3+18*0+(6),,,"J1 A - (North) Bishopthorpe Roa")&amp;":"&amp;ADDRESS(130,3+18*0+(6))),'J1 A - (North) Bishopthorpe Roa'!$A$12:$A$130,"&gt;="&amp;Diagram!$O30,'J1 A - (North) Bishopthorpe Roa'!$A$12:$A$130,"&lt;"&amp;Diagram!$P30),SUMIFS(INDIRECT(ADDRESS(12,3+18*0+(14),,,"J1 A - (North) Bishopthorpe Roa")&amp;":"&amp;ADDRESS(130,3+18*0+(14))),'J1 A - (North) Bishopthorpe Roa'!$A$12:$A$130,"&gt;="&amp;Diagram!$O30,'J1 A - (North) Bishopthorpe Roa'!$A$12:$A$130,"&lt;"&amp;Diagram!$P30)))</f>
        <v>0</v>
      </c>
      <c r="DS30" s="42">
        <f ca="1">IF(OR($I$10="",$O30="",$P30="",$J$41&lt;&gt;"Yes"),0,IF($K$10=0,SUMIFS(INDIRECT(ADDRESS(12,3+18*1+(6),,,"J1 A - (North) Bishopthorpe Roa")&amp;":"&amp;ADDRESS(130,3+18*1+(6))),'J1 A - (North) Bishopthorpe Roa'!$A$12:$A$130,"&gt;="&amp;Diagram!$O30,'J1 A - (North) Bishopthorpe Roa'!$A$12:$A$130,"&lt;"&amp;Diagram!$P30),SUMIFS(INDIRECT(ADDRESS(12,3+18*1+(14),,,"J1 A - (North) Bishopthorpe Roa")&amp;":"&amp;ADDRESS(130,3+18*1+(14))),'J1 A - (North) Bishopthorpe Roa'!$A$12:$A$130,"&gt;="&amp;Diagram!$O30,'J1 A - (North) Bishopthorpe Roa'!$A$12:$A$130,"&lt;"&amp;Diagram!$P30)))</f>
        <v>0</v>
      </c>
      <c r="DT30" s="42">
        <f ca="1">IF(OR($I$10="",$O30="",$P30="",$J$41&lt;&gt;"Yes"),0,IF($K$10=0,SUMIFS(INDIRECT(ADDRESS(12,3+18*2+(6),,,"J1 A - (North) Bishopthorpe Roa")&amp;":"&amp;ADDRESS(130,3+18*2+(6))),'J1 A - (North) Bishopthorpe Roa'!$A$12:$A$130,"&gt;="&amp;Diagram!$O30,'J1 A - (North) Bishopthorpe Roa'!$A$12:$A$130,"&lt;"&amp;Diagram!$P30),SUMIFS(INDIRECT(ADDRESS(12,3+18*2+(14),,,"J1 A - (North) Bishopthorpe Roa")&amp;":"&amp;ADDRESS(130,3+18*2+(14))),'J1 A - (North) Bishopthorpe Roa'!$A$12:$A$130,"&gt;="&amp;Diagram!$O30,'J1 A - (North) Bishopthorpe Roa'!$A$12:$A$130,"&lt;"&amp;Diagram!$P30)))</f>
        <v>0</v>
      </c>
      <c r="DU30" s="42">
        <f ca="1">IF(OR($I$10="",$O30="",$P30="",$J$41&lt;&gt;"Yes"),0,IF($K$10=0,SUMIFS(INDIRECT(ADDRESS(12,3+18*2+(6),,,"J1 B - Butcher Terrace")&amp;":"&amp;ADDRESS(130,3+18*2+(6))),'J1 B - Butcher Terrace'!$A$12:$A$130,"&gt;="&amp;Diagram!$O30,'J1 B - Butcher Terrace'!$A$12:$A$130,"&lt;"&amp;Diagram!$P30),SUMIFS(INDIRECT(ADDRESS(12,3+18*2+(14),,,"J1 B - Butcher Terrace")&amp;":"&amp;ADDRESS(130,3+18*2+(14))),'J1 B - Butcher Terrace'!$A$12:$A$130,"&gt;="&amp;Diagram!$O30,'J1 B - Butcher Terrace'!$A$12:$A$130,"&lt;"&amp;Diagram!$P30)))</f>
        <v>0</v>
      </c>
      <c r="DV30" s="42">
        <f ca="1">IF(OR($I$10="",$O30="",$P30="",$J$41&lt;&gt;"Yes"),0,IF($K$10=0,SUMIFS(INDIRECT(ADDRESS(12,3+18*3+(6),,,"J1 B - Butcher Terrace")&amp;":"&amp;ADDRESS(130,3+18*3+(6))),'J1 B - Butcher Terrace'!$A$12:$A$130,"&gt;="&amp;Diagram!$O30,'J1 B - Butcher Terrace'!$A$12:$A$130,"&lt;"&amp;Diagram!$P30),SUMIFS(INDIRECT(ADDRESS(12,3+18*3+(14),,,"J1 B - Butcher Terrace")&amp;":"&amp;ADDRESS(130,3+18*3+(14))),'J1 B - Butcher Terrace'!$A$12:$A$130,"&gt;="&amp;Diagram!$O30,'J1 B - Butcher Terrace'!$A$12:$A$130,"&lt;"&amp;Diagram!$P30)))</f>
        <v>0</v>
      </c>
      <c r="DW30" s="42">
        <f ca="1">IF(OR($I$10="",$O30="",$P30="",$J$41&lt;&gt;"Yes"),0,IF($K$10=0,SUMIFS(INDIRECT(ADDRESS(12,3+18*0+(6),,,"J1 B - Butcher Terrace")&amp;":"&amp;ADDRESS(130,3+18*0+(6))),'J1 B - Butcher Terrace'!$A$12:$A$130,"&gt;="&amp;Diagram!$O30,'J1 B - Butcher Terrace'!$A$12:$A$130,"&lt;"&amp;Diagram!$P30),SUMIFS(INDIRECT(ADDRESS(12,3+18*0+(14),,,"J1 B - Butcher Terrace")&amp;":"&amp;ADDRESS(130,3+18*0+(14))),'J1 B - Butcher Terrace'!$A$12:$A$130,"&gt;="&amp;Diagram!$O30,'J1 B - Butcher Terrace'!$A$12:$A$130,"&lt;"&amp;Diagram!$P30)))</f>
        <v>0</v>
      </c>
      <c r="DX30" s="42">
        <f ca="1">IF(OR($I$10="",$O30="",$P30="",$J$41&lt;&gt;"Yes"),0,IF($K$10=0,SUMIFS(INDIRECT(ADDRESS(12,3+18*1+(6),,,"J1 B - Butcher Terrace")&amp;":"&amp;ADDRESS(130,3+18*1+(6))),'J1 B - Butcher Terrace'!$A$12:$A$130,"&gt;="&amp;Diagram!$O30,'J1 B - Butcher Terrace'!$A$12:$A$130,"&lt;"&amp;Diagram!$P30),SUMIFS(INDIRECT(ADDRESS(12,3+18*1+(14),,,"J1 B - Butcher Terrace")&amp;":"&amp;ADDRESS(130,3+18*1+(14))),'J1 B - Butcher Terrace'!$A$12:$A$130,"&gt;="&amp;Diagram!$O30,'J1 B - Butcher Terrace'!$A$12:$A$130,"&lt;"&amp;Diagram!$P30)))</f>
        <v>0</v>
      </c>
      <c r="DY30" s="42">
        <f ca="1">IF(OR($I$10="",$O30="",$P30="",$J$41&lt;&gt;"Yes"),0,IF($K$10=0,SUMIFS(INDIRECT(ADDRESS(12,3+18*1+(6),,,"J1 C - (South) Bishopthorpe Roa")&amp;":"&amp;ADDRESS(130,3+18*1+(6))),'J1 C - (South) Bishopthorpe Roa'!$A$12:$A$130,"&gt;="&amp;Diagram!$O30,'J1 C - (South) Bishopthorpe Roa'!$A$12:$A$130,"&lt;"&amp;Diagram!$P30),SUMIFS(INDIRECT(ADDRESS(12,3+18*1+(14),,,"J1 C - (South) Bishopthorpe Roa")&amp;":"&amp;ADDRESS(130,3+18*1+(14))),'J1 C - (South) Bishopthorpe Roa'!$A$12:$A$130,"&gt;="&amp;Diagram!$O30,'J1 C - (South) Bishopthorpe Roa'!$A$12:$A$130,"&lt;"&amp;Diagram!$P30)))</f>
        <v>2</v>
      </c>
      <c r="DZ30" s="42">
        <f ca="1">IF(OR($I$10="",$O30="",$P30="",$J$41&lt;&gt;"Yes"),0,IF($K$10=0,SUMIFS(INDIRECT(ADDRESS(12,3+18*2+(6),,,"J1 C - (South) Bishopthorpe Roa")&amp;":"&amp;ADDRESS(130,3+18*2+(6))),'J1 C - (South) Bishopthorpe Roa'!$A$12:$A$130,"&gt;="&amp;Diagram!$O30,'J1 C - (South) Bishopthorpe Roa'!$A$12:$A$130,"&lt;"&amp;Diagram!$P30),SUMIFS(INDIRECT(ADDRESS(12,3+18*2+(14),,,"J1 C - (South) Bishopthorpe Roa")&amp;":"&amp;ADDRESS(130,3+18*2+(14))),'J1 C - (South) Bishopthorpe Roa'!$A$12:$A$130,"&gt;="&amp;Diagram!$O30,'J1 C - (South) Bishopthorpe Roa'!$A$12:$A$130,"&lt;"&amp;Diagram!$P30)))</f>
        <v>0</v>
      </c>
      <c r="EA30" s="42">
        <f ca="1">IF(OR($I$10="",$O30="",$P30="",$J$41&lt;&gt;"Yes"),0,IF($K$10=0,SUMIFS(INDIRECT(ADDRESS(12,3+18*3+(6),,,"J1 C - (South) Bishopthorpe Roa")&amp;":"&amp;ADDRESS(130,3+18*3+(6))),'J1 C - (South) Bishopthorpe Roa'!$A$12:$A$130,"&gt;="&amp;Diagram!$O30,'J1 C - (South) Bishopthorpe Roa'!$A$12:$A$130,"&lt;"&amp;Diagram!$P30),SUMIFS(INDIRECT(ADDRESS(12,3+18*3+(14),,,"J1 C - (South) Bishopthorpe Roa")&amp;":"&amp;ADDRESS(130,3+18*3+(14))),'J1 C - (South) Bishopthorpe Roa'!$A$12:$A$130,"&gt;="&amp;Diagram!$O30,'J1 C - (South) Bishopthorpe Roa'!$A$12:$A$130,"&lt;"&amp;Diagram!$P30)))</f>
        <v>0</v>
      </c>
      <c r="EB30" s="42">
        <f ca="1">IF(OR($I$10="",$O30="",$P30="",$J$41&lt;&gt;"Yes"),0,IF($K$10=0,SUMIFS(INDIRECT(ADDRESS(12,3+18*0+(6),,,"J1 C - (South) Bishopthorpe Roa")&amp;":"&amp;ADDRESS(130,3+18*0+(6))),'J1 C - (South) Bishopthorpe Roa'!$A$12:$A$130,"&gt;="&amp;Diagram!$O30,'J1 C - (South) Bishopthorpe Roa'!$A$12:$A$130,"&lt;"&amp;Diagram!$P30),SUMIFS(INDIRECT(ADDRESS(12,3+18*0+(14),,,"J1 C - (South) Bishopthorpe Roa")&amp;":"&amp;ADDRESS(130,3+18*0+(14))),'J1 C - (South) Bishopthorpe Roa'!$A$12:$A$130,"&gt;="&amp;Diagram!$O30,'J1 C - (South) Bishopthorpe Roa'!$A$12:$A$130,"&lt;"&amp;Diagram!$P30)))</f>
        <v>0</v>
      </c>
      <c r="EC30" s="42">
        <f ca="1">IF(OR($I$10="",$O30="",$P30="",$J$41&lt;&gt;"Yes"),0,IF($K$10=0,SUMIFS(INDIRECT(ADDRESS(12,3+18*0+(6),,,"J1 D - South Bank Avenue")&amp;":"&amp;ADDRESS(130,3+18*0+(6))),'J1 D - South Bank Avenue'!$A$12:$A$130,"&gt;="&amp;Diagram!$O30,'J1 D - South Bank Avenue'!$A$12:$A$130,"&lt;"&amp;Diagram!$P30),SUMIFS(INDIRECT(ADDRESS(12,3+18*0+(14),,,"J1 D - South Bank Avenue")&amp;":"&amp;ADDRESS(130,3+18*0+(14))),'J1 D - South Bank Avenue'!$A$12:$A$130,"&gt;="&amp;Diagram!$O30,'J1 D - South Bank Avenue'!$A$12:$A$130,"&lt;"&amp;Diagram!$P30)))</f>
        <v>0</v>
      </c>
      <c r="ED30" s="42">
        <f ca="1">IF(OR($I$10="",$O30="",$P30="",$J$41&lt;&gt;"Yes"),0,IF($K$10=0,SUMIFS(INDIRECT(ADDRESS(12,3+18*1+(6),,,"J1 D - South Bank Avenue")&amp;":"&amp;ADDRESS(130,3+18*1+(6))),'J1 D - South Bank Avenue'!$A$12:$A$130,"&gt;="&amp;Diagram!$O30,'J1 D - South Bank Avenue'!$A$12:$A$130,"&lt;"&amp;Diagram!$P30),SUMIFS(INDIRECT(ADDRESS(12,3+18*1+(14),,,"J1 D - South Bank Avenue")&amp;":"&amp;ADDRESS(130,3+18*1+(14))),'J1 D - South Bank Avenue'!$A$12:$A$130,"&gt;="&amp;Diagram!$O30,'J1 D - South Bank Avenue'!$A$12:$A$130,"&lt;"&amp;Diagram!$P30)))</f>
        <v>0</v>
      </c>
      <c r="EE30" s="42">
        <f ca="1">IF(OR($I$10="",$O30="",$P30="",$J$41&lt;&gt;"Yes"),0,IF($K$10=0,SUMIFS(INDIRECT(ADDRESS(12,3+18*2+(6),,,"J1 D - South Bank Avenue")&amp;":"&amp;ADDRESS(130,3+18*2+(6))),'J1 D - South Bank Avenue'!$A$12:$A$130,"&gt;="&amp;Diagram!$O30,'J1 D - South Bank Avenue'!$A$12:$A$130,"&lt;"&amp;Diagram!$P30),SUMIFS(INDIRECT(ADDRESS(12,3+18*2+(14),,,"J1 D - South Bank Avenue")&amp;":"&amp;ADDRESS(130,3+18*2+(14))),'J1 D - South Bank Avenue'!$A$12:$A$130,"&gt;="&amp;Diagram!$O30,'J1 D - South Bank Avenue'!$A$12:$A$130,"&lt;"&amp;Diagram!$P30)))</f>
        <v>0</v>
      </c>
      <c r="EF30" s="42">
        <f ca="1">IF(OR($I$10="",$O30="",$P30="",$J$41&lt;&gt;"Yes"),0,IF($K$10=0,SUMIFS(INDIRECT(ADDRESS(12,3+18*3+(6),,,"J1 D - South Bank Avenue")&amp;":"&amp;ADDRESS(130,3+18*3+(6))),'J1 D - South Bank Avenue'!$A$12:$A$130,"&gt;="&amp;Diagram!$O30,'J1 D - South Bank Avenue'!$A$12:$A$130,"&lt;"&amp;Diagram!$P30),SUMIFS(INDIRECT(ADDRESS(12,3+18*3+(14),,,"J1 D - South Bank Avenue")&amp;":"&amp;ADDRESS(130,3+18*3+(14))),'J1 D - South Bank Avenue'!$A$12:$A$130,"&gt;="&amp;Diagram!$O30,'J1 D - South Bank Avenue'!$A$12:$A$130,"&lt;"&amp;Diagram!$P30)))</f>
        <v>0</v>
      </c>
      <c r="EG30" s="42">
        <f t="shared" ca="1" si="8"/>
        <v>2</v>
      </c>
      <c r="EH30" s="42">
        <f ca="1">IF(OR($I$10="",$O30="",$P30="",$J$42&lt;&gt;"Yes"),0,IF($K$10=0,SUMIFS(INDIRECT(ADDRESS(12,3+18*3+(7),,,"J1 A - (North) Bishopthorpe Roa")&amp;":"&amp;ADDRESS(130,3+18*3+(7))),'J1 A - (North) Bishopthorpe Roa'!$A$12:$A$130,"&gt;="&amp;Diagram!$O30,'J1 A - (North) Bishopthorpe Roa'!$A$12:$A$130,"&lt;"&amp;Diagram!$P30),SUMIFS(INDIRECT(ADDRESS(12,3+18*3+(15),,,"J1 A - (North) Bishopthorpe Roa")&amp;":"&amp;ADDRESS(130,3+18*3+(15))),'J1 A - (North) Bishopthorpe Roa'!$A$12:$A$130,"&gt;="&amp;Diagram!$O30,'J1 A - (North) Bishopthorpe Roa'!$A$12:$A$130,"&lt;"&amp;Diagram!$P30)))</f>
        <v>0</v>
      </c>
      <c r="EI30" s="42">
        <f ca="1">IF(OR($I$10="",$O30="",$P30="",$J$42&lt;&gt;"Yes"),0,IF($K$10=0,SUMIFS(INDIRECT(ADDRESS(12,3+18*0+(7),,,"J1 A - (North) Bishopthorpe Roa")&amp;":"&amp;ADDRESS(130,3+18*0+(7))),'J1 A - (North) Bishopthorpe Roa'!$A$12:$A$130,"&gt;="&amp;Diagram!$O30,'J1 A - (North) Bishopthorpe Roa'!$A$12:$A$130,"&lt;"&amp;Diagram!$P30),SUMIFS(INDIRECT(ADDRESS(12,3+18*0+(15),,,"J1 A - (North) Bishopthorpe Roa")&amp;":"&amp;ADDRESS(130,3+18*0+(15))),'J1 A - (North) Bishopthorpe Roa'!$A$12:$A$130,"&gt;="&amp;Diagram!$O30,'J1 A - (North) Bishopthorpe Roa'!$A$12:$A$130,"&lt;"&amp;Diagram!$P30)))</f>
        <v>0</v>
      </c>
      <c r="EJ30" s="42">
        <f ca="1">IF(OR($I$10="",$O30="",$P30="",$J$42&lt;&gt;"Yes"),0,IF($K$10=0,SUMIFS(INDIRECT(ADDRESS(12,3+18*1+(7),,,"J1 A - (North) Bishopthorpe Roa")&amp;":"&amp;ADDRESS(130,3+18*1+(7))),'J1 A - (North) Bishopthorpe Roa'!$A$12:$A$130,"&gt;="&amp;Diagram!$O30,'J1 A - (North) Bishopthorpe Roa'!$A$12:$A$130,"&lt;"&amp;Diagram!$P30),SUMIFS(INDIRECT(ADDRESS(12,3+18*1+(15),,,"J1 A - (North) Bishopthorpe Roa")&amp;":"&amp;ADDRESS(130,3+18*1+(15))),'J1 A - (North) Bishopthorpe Roa'!$A$12:$A$130,"&gt;="&amp;Diagram!$O30,'J1 A - (North) Bishopthorpe Roa'!$A$12:$A$130,"&lt;"&amp;Diagram!$P30)))</f>
        <v>0</v>
      </c>
      <c r="EK30" s="42">
        <f ca="1">IF(OR($I$10="",$O30="",$P30="",$J$42&lt;&gt;"Yes"),0,IF($K$10=0,SUMIFS(INDIRECT(ADDRESS(12,3+18*2+(7),,,"J1 A - (North) Bishopthorpe Roa")&amp;":"&amp;ADDRESS(130,3+18*2+(7))),'J1 A - (North) Bishopthorpe Roa'!$A$12:$A$130,"&gt;="&amp;Diagram!$O30,'J1 A - (North) Bishopthorpe Roa'!$A$12:$A$130,"&lt;"&amp;Diagram!$P30),SUMIFS(INDIRECT(ADDRESS(12,3+18*2+(15),,,"J1 A - (North) Bishopthorpe Roa")&amp;":"&amp;ADDRESS(130,3+18*2+(15))),'J1 A - (North) Bishopthorpe Roa'!$A$12:$A$130,"&gt;="&amp;Diagram!$O30,'J1 A - (North) Bishopthorpe Roa'!$A$12:$A$130,"&lt;"&amp;Diagram!$P30)))</f>
        <v>0</v>
      </c>
      <c r="EL30" s="42">
        <f ca="1">IF(OR($I$10="",$O30="",$P30="",$J$42&lt;&gt;"Yes"),0,IF($K$10=0,SUMIFS(INDIRECT(ADDRESS(12,3+18*2+(7),,,"J1 B - Butcher Terrace")&amp;":"&amp;ADDRESS(130,3+18*2+(7))),'J1 B - Butcher Terrace'!$A$12:$A$130,"&gt;="&amp;Diagram!$O30,'J1 B - Butcher Terrace'!$A$12:$A$130,"&lt;"&amp;Diagram!$P30),SUMIFS(INDIRECT(ADDRESS(12,3+18*2+(15),,,"J1 B - Butcher Terrace")&amp;":"&amp;ADDRESS(130,3+18*2+(15))),'J1 B - Butcher Terrace'!$A$12:$A$130,"&gt;="&amp;Diagram!$O30,'J1 B - Butcher Terrace'!$A$12:$A$130,"&lt;"&amp;Diagram!$P30)))</f>
        <v>2</v>
      </c>
      <c r="EM30" s="42">
        <f ca="1">IF(OR($I$10="",$O30="",$P30="",$J$42&lt;&gt;"Yes"),0,IF($K$10=0,SUMIFS(INDIRECT(ADDRESS(12,3+18*3+(7),,,"J1 B - Butcher Terrace")&amp;":"&amp;ADDRESS(130,3+18*3+(7))),'J1 B - Butcher Terrace'!$A$12:$A$130,"&gt;="&amp;Diagram!$O30,'J1 B - Butcher Terrace'!$A$12:$A$130,"&lt;"&amp;Diagram!$P30),SUMIFS(INDIRECT(ADDRESS(12,3+18*3+(15),,,"J1 B - Butcher Terrace")&amp;":"&amp;ADDRESS(130,3+18*3+(15))),'J1 B - Butcher Terrace'!$A$12:$A$130,"&gt;="&amp;Diagram!$O30,'J1 B - Butcher Terrace'!$A$12:$A$130,"&lt;"&amp;Diagram!$P30)))</f>
        <v>0</v>
      </c>
      <c r="EN30" s="42">
        <f ca="1">IF(OR($I$10="",$O30="",$P30="",$J$42&lt;&gt;"Yes"),0,IF($K$10=0,SUMIFS(INDIRECT(ADDRESS(12,3+18*0+(7),,,"J1 B - Butcher Terrace")&amp;":"&amp;ADDRESS(130,3+18*0+(7))),'J1 B - Butcher Terrace'!$A$12:$A$130,"&gt;="&amp;Diagram!$O30,'J1 B - Butcher Terrace'!$A$12:$A$130,"&lt;"&amp;Diagram!$P30),SUMIFS(INDIRECT(ADDRESS(12,3+18*0+(15),,,"J1 B - Butcher Terrace")&amp;":"&amp;ADDRESS(130,3+18*0+(15))),'J1 B - Butcher Terrace'!$A$12:$A$130,"&gt;="&amp;Diagram!$O30,'J1 B - Butcher Terrace'!$A$12:$A$130,"&lt;"&amp;Diagram!$P30)))</f>
        <v>0</v>
      </c>
      <c r="EO30" s="42">
        <f ca="1">IF(OR($I$10="",$O30="",$P30="",$J$42&lt;&gt;"Yes"),0,IF($K$10=0,SUMIFS(INDIRECT(ADDRESS(12,3+18*1+(7),,,"J1 B - Butcher Terrace")&amp;":"&amp;ADDRESS(130,3+18*1+(7))),'J1 B - Butcher Terrace'!$A$12:$A$130,"&gt;="&amp;Diagram!$O30,'J1 B - Butcher Terrace'!$A$12:$A$130,"&lt;"&amp;Diagram!$P30),SUMIFS(INDIRECT(ADDRESS(12,3+18*1+(15),,,"J1 B - Butcher Terrace")&amp;":"&amp;ADDRESS(130,3+18*1+(15))),'J1 B - Butcher Terrace'!$A$12:$A$130,"&gt;="&amp;Diagram!$O30,'J1 B - Butcher Terrace'!$A$12:$A$130,"&lt;"&amp;Diagram!$P30)))</f>
        <v>0</v>
      </c>
      <c r="EP30" s="42">
        <f ca="1">IF(OR($I$10="",$O30="",$P30="",$J$42&lt;&gt;"Yes"),0,IF($K$10=0,SUMIFS(INDIRECT(ADDRESS(12,3+18*1+(7),,,"J1 C - (South) Bishopthorpe Roa")&amp;":"&amp;ADDRESS(130,3+18*1+(7))),'J1 C - (South) Bishopthorpe Roa'!$A$12:$A$130,"&gt;="&amp;Diagram!$O30,'J1 C - (South) Bishopthorpe Roa'!$A$12:$A$130,"&lt;"&amp;Diagram!$P30),SUMIFS(INDIRECT(ADDRESS(12,3+18*1+(15),,,"J1 C - (South) Bishopthorpe Roa")&amp;":"&amp;ADDRESS(130,3+18*1+(15))),'J1 C - (South) Bishopthorpe Roa'!$A$12:$A$130,"&gt;="&amp;Diagram!$O30,'J1 C - (South) Bishopthorpe Roa'!$A$12:$A$130,"&lt;"&amp;Diagram!$P30)))</f>
        <v>0</v>
      </c>
      <c r="EQ30" s="42">
        <f ca="1">IF(OR($I$10="",$O30="",$P30="",$J$42&lt;&gt;"Yes"),0,IF($K$10=0,SUMIFS(INDIRECT(ADDRESS(12,3+18*2+(7),,,"J1 C - (South) Bishopthorpe Roa")&amp;":"&amp;ADDRESS(130,3+18*2+(7))),'J1 C - (South) Bishopthorpe Roa'!$A$12:$A$130,"&gt;="&amp;Diagram!$O30,'J1 C - (South) Bishopthorpe Roa'!$A$12:$A$130,"&lt;"&amp;Diagram!$P30),SUMIFS(INDIRECT(ADDRESS(12,3+18*2+(15),,,"J1 C - (South) Bishopthorpe Roa")&amp;":"&amp;ADDRESS(130,3+18*2+(15))),'J1 C - (South) Bishopthorpe Roa'!$A$12:$A$130,"&gt;="&amp;Diagram!$O30,'J1 C - (South) Bishopthorpe Roa'!$A$12:$A$130,"&lt;"&amp;Diagram!$P30)))</f>
        <v>0</v>
      </c>
      <c r="ER30" s="42">
        <f ca="1">IF(OR($I$10="",$O30="",$P30="",$J$42&lt;&gt;"Yes"),0,IF($K$10=0,SUMIFS(INDIRECT(ADDRESS(12,3+18*3+(7),,,"J1 C - (South) Bishopthorpe Roa")&amp;":"&amp;ADDRESS(130,3+18*3+(7))),'J1 C - (South) Bishopthorpe Roa'!$A$12:$A$130,"&gt;="&amp;Diagram!$O30,'J1 C - (South) Bishopthorpe Roa'!$A$12:$A$130,"&lt;"&amp;Diagram!$P30),SUMIFS(INDIRECT(ADDRESS(12,3+18*3+(15),,,"J1 C - (South) Bishopthorpe Roa")&amp;":"&amp;ADDRESS(130,3+18*3+(15))),'J1 C - (South) Bishopthorpe Roa'!$A$12:$A$130,"&gt;="&amp;Diagram!$O30,'J1 C - (South) Bishopthorpe Roa'!$A$12:$A$130,"&lt;"&amp;Diagram!$P30)))</f>
        <v>0</v>
      </c>
      <c r="ES30" s="42">
        <f ca="1">IF(OR($I$10="",$O30="",$P30="",$J$42&lt;&gt;"Yes"),0,IF($K$10=0,SUMIFS(INDIRECT(ADDRESS(12,3+18*0+(7),,,"J1 C - (South) Bishopthorpe Roa")&amp;":"&amp;ADDRESS(130,3+18*0+(7))),'J1 C - (South) Bishopthorpe Roa'!$A$12:$A$130,"&gt;="&amp;Diagram!$O30,'J1 C - (South) Bishopthorpe Roa'!$A$12:$A$130,"&lt;"&amp;Diagram!$P30),SUMIFS(INDIRECT(ADDRESS(12,3+18*0+(15),,,"J1 C - (South) Bishopthorpe Roa")&amp;":"&amp;ADDRESS(130,3+18*0+(15))),'J1 C - (South) Bishopthorpe Roa'!$A$12:$A$130,"&gt;="&amp;Diagram!$O30,'J1 C - (South) Bishopthorpe Roa'!$A$12:$A$130,"&lt;"&amp;Diagram!$P30)))</f>
        <v>0</v>
      </c>
      <c r="ET30" s="42">
        <f ca="1">IF(OR($I$10="",$O30="",$P30="",$J$42&lt;&gt;"Yes"),0,IF($K$10=0,SUMIFS(INDIRECT(ADDRESS(12,3+18*0+(7),,,"J1 D - South Bank Avenue")&amp;":"&amp;ADDRESS(130,3+18*0+(7))),'J1 D - South Bank Avenue'!$A$12:$A$130,"&gt;="&amp;Diagram!$O30,'J1 D - South Bank Avenue'!$A$12:$A$130,"&lt;"&amp;Diagram!$P30),SUMIFS(INDIRECT(ADDRESS(12,3+18*0+(15),,,"J1 D - South Bank Avenue")&amp;":"&amp;ADDRESS(130,3+18*0+(15))),'J1 D - South Bank Avenue'!$A$12:$A$130,"&gt;="&amp;Diagram!$O30,'J1 D - South Bank Avenue'!$A$12:$A$130,"&lt;"&amp;Diagram!$P30)))</f>
        <v>0</v>
      </c>
      <c r="EU30" s="42">
        <f ca="1">IF(OR($I$10="",$O30="",$P30="",$J$42&lt;&gt;"Yes"),0,IF($K$10=0,SUMIFS(INDIRECT(ADDRESS(12,3+18*1+(7),,,"J1 D - South Bank Avenue")&amp;":"&amp;ADDRESS(130,3+18*1+(7))),'J1 D - South Bank Avenue'!$A$12:$A$130,"&gt;="&amp;Diagram!$O30,'J1 D - South Bank Avenue'!$A$12:$A$130,"&lt;"&amp;Diagram!$P30),SUMIFS(INDIRECT(ADDRESS(12,3+18*1+(15),,,"J1 D - South Bank Avenue")&amp;":"&amp;ADDRESS(130,3+18*1+(15))),'J1 D - South Bank Avenue'!$A$12:$A$130,"&gt;="&amp;Diagram!$O30,'J1 D - South Bank Avenue'!$A$12:$A$130,"&lt;"&amp;Diagram!$P30)))</f>
        <v>0</v>
      </c>
      <c r="EV30" s="42">
        <f ca="1">IF(OR($I$10="",$O30="",$P30="",$J$42&lt;&gt;"Yes"),0,IF($K$10=0,SUMIFS(INDIRECT(ADDRESS(12,3+18*2+(7),,,"J1 D - South Bank Avenue")&amp;":"&amp;ADDRESS(130,3+18*2+(7))),'J1 D - South Bank Avenue'!$A$12:$A$130,"&gt;="&amp;Diagram!$O30,'J1 D - South Bank Avenue'!$A$12:$A$130,"&lt;"&amp;Diagram!$P30),SUMIFS(INDIRECT(ADDRESS(12,3+18*2+(15),,,"J1 D - South Bank Avenue")&amp;":"&amp;ADDRESS(130,3+18*2+(15))),'J1 D - South Bank Avenue'!$A$12:$A$130,"&gt;="&amp;Diagram!$O30,'J1 D - South Bank Avenue'!$A$12:$A$130,"&lt;"&amp;Diagram!$P30)))</f>
        <v>0</v>
      </c>
      <c r="EW30" s="42">
        <f ca="1">IF(OR($I$10="",$O30="",$P30="",$J$42&lt;&gt;"Yes"),0,IF($K$10=0,SUMIFS(INDIRECT(ADDRESS(12,3+18*3+(7),,,"J1 D - South Bank Avenue")&amp;":"&amp;ADDRESS(130,3+18*3+(7))),'J1 D - South Bank Avenue'!$A$12:$A$130,"&gt;="&amp;Diagram!$O30,'J1 D - South Bank Avenue'!$A$12:$A$130,"&lt;"&amp;Diagram!$P30),SUMIFS(INDIRECT(ADDRESS(12,3+18*3+(15),,,"J1 D - South Bank Avenue")&amp;":"&amp;ADDRESS(130,3+18*3+(15))),'J1 D - South Bank Avenue'!$A$12:$A$130,"&gt;="&amp;Diagram!$O30,'J1 D - South Bank Avenue'!$A$12:$A$130,"&lt;"&amp;Diagram!$P30)))</f>
        <v>0</v>
      </c>
    </row>
    <row r="31" spans="1:153" ht="21" hidden="1" customHeight="1">
      <c r="A31" s="1">
        <v>44395.3125</v>
      </c>
      <c r="B31" s="1">
        <v>44395.322916666701</v>
      </c>
      <c r="I31" s="24">
        <f ca="1">SUM($V$102,$AD$102,$AL$102,$AT$102,$BB$102,$BJ$102,$BR$102,$BZ$102)</f>
        <v>496</v>
      </c>
      <c r="J31" s="24">
        <f ca="1">SUM($W$102,$AE$102,$AM$102,$AU$102,$BC$102,$BK$102,$BS$102,$CA$102)</f>
        <v>264</v>
      </c>
      <c r="K31" s="24">
        <f ca="1">SUM($X$102,$AF$102,$AN$102,$AV$102,$BD$102,$BL$102,$BT$102,$CB$102)</f>
        <v>121</v>
      </c>
      <c r="L31" s="20">
        <f ca="1">SUM($Y$102,$AG$102,$AO$102,$AW$102,$BE$102,$BM$102,$BU$102,$CC$102)</f>
        <v>0</v>
      </c>
      <c r="M31" s="35">
        <f ca="1">SUM($I$31:$L$31)</f>
        <v>881</v>
      </c>
      <c r="O31" s="3">
        <v>44395.3125</v>
      </c>
      <c r="P31" s="3">
        <v>44395.354166666701</v>
      </c>
      <c r="Q31" s="42">
        <f t="shared" ca="1" si="0"/>
        <v>630</v>
      </c>
      <c r="R31" s="42">
        <f t="shared" ca="1" si="1"/>
        <v>433</v>
      </c>
      <c r="S31" s="42">
        <f ca="1">IF(OR($I$10="",$O31="",$P31="",$J$35&lt;&gt;"Yes"),0,IF($K$10=0,SUMIFS(INDIRECT(ADDRESS(12,3+18*3+(0),,,"J1 A - (North) Bishopthorpe Roa")&amp;":"&amp;ADDRESS(130,3+18*3+(0))),'J1 A - (North) Bishopthorpe Roa'!$A$12:$A$130,"&gt;="&amp;Diagram!$O31,'J1 A - (North) Bishopthorpe Roa'!$A$12:$A$130,"&lt;"&amp;Diagram!$P31),SUMIFS(INDIRECT(ADDRESS(12,3+18*3+(8),,,"J1 A - (North) Bishopthorpe Roa")&amp;":"&amp;ADDRESS(130,3+18*3+(8))),'J1 A - (North) Bishopthorpe Roa'!$A$12:$A$130,"&gt;="&amp;Diagram!$O31,'J1 A - (North) Bishopthorpe Roa'!$A$12:$A$130,"&lt;"&amp;Diagram!$P31)))</f>
        <v>2</v>
      </c>
      <c r="T31" s="42">
        <f ca="1">IF(OR($I$10="",$O31="",$P31="",$J$35&lt;&gt;"Yes"),0,IF($K$10=0,SUMIFS(INDIRECT(ADDRESS(12,3+18*0+(0),,,"J1 A - (North) Bishopthorpe Roa")&amp;":"&amp;ADDRESS(130,3+18*0+(0))),'J1 A - (North) Bishopthorpe Roa'!$A$12:$A$130,"&gt;="&amp;Diagram!$O31,'J1 A - (North) Bishopthorpe Roa'!$A$12:$A$130,"&lt;"&amp;Diagram!$P31),SUMIFS(INDIRECT(ADDRESS(12,3+18*0+(8),,,"J1 A - (North) Bishopthorpe Roa")&amp;":"&amp;ADDRESS(130,3+18*0+(8))),'J1 A - (North) Bishopthorpe Roa'!$A$12:$A$130,"&gt;="&amp;Diagram!$O31,'J1 A - (North) Bishopthorpe Roa'!$A$12:$A$130,"&lt;"&amp;Diagram!$P31)))</f>
        <v>5</v>
      </c>
      <c r="U31" s="42">
        <f ca="1">IF(OR($I$10="",$O31="",$P31="",$J$35&lt;&gt;"Yes"),0,IF($K$10=0,SUMIFS(INDIRECT(ADDRESS(12,3+18*1+(0),,,"J1 A - (North) Bishopthorpe Roa")&amp;":"&amp;ADDRESS(130,3+18*1+(0))),'J1 A - (North) Bishopthorpe Roa'!$A$12:$A$130,"&gt;="&amp;Diagram!$O31,'J1 A - (North) Bishopthorpe Roa'!$A$12:$A$130,"&lt;"&amp;Diagram!$P31),SUMIFS(INDIRECT(ADDRESS(12,3+18*1+(8),,,"J1 A - (North) Bishopthorpe Roa")&amp;":"&amp;ADDRESS(130,3+18*1+(8))),'J1 A - (North) Bishopthorpe Roa'!$A$12:$A$130,"&gt;="&amp;Diagram!$O31,'J1 A - (North) Bishopthorpe Roa'!$A$12:$A$130,"&lt;"&amp;Diagram!$P31)))</f>
        <v>136</v>
      </c>
      <c r="V31" s="42">
        <f ca="1">IF(OR($I$10="",$O31="",$P31="",$J$35&lt;&gt;"Yes"),0,IF($K$10=0,SUMIFS(INDIRECT(ADDRESS(12,3+18*2+(0),,,"J1 A - (North) Bishopthorpe Roa")&amp;":"&amp;ADDRESS(130,3+18*2+(0))),'J1 A - (North) Bishopthorpe Roa'!$A$12:$A$130,"&gt;="&amp;Diagram!$O31,'J1 A - (North) Bishopthorpe Roa'!$A$12:$A$130,"&lt;"&amp;Diagram!$P31),SUMIFS(INDIRECT(ADDRESS(12,3+18*2+(8),,,"J1 A - (North) Bishopthorpe Roa")&amp;":"&amp;ADDRESS(130,3+18*2+(8))),'J1 A - (North) Bishopthorpe Roa'!$A$12:$A$130,"&gt;="&amp;Diagram!$O31,'J1 A - (North) Bishopthorpe Roa'!$A$12:$A$130,"&lt;"&amp;Diagram!$P31)))</f>
        <v>9</v>
      </c>
      <c r="W31" s="42">
        <f ca="1">IF(OR($I$10="",$O31="",$P31="",$J$35&lt;&gt;"Yes"),0,IF($K$10=0,SUMIFS(INDIRECT(ADDRESS(12,3+18*2+(0),,,"J1 B - Butcher Terrace")&amp;":"&amp;ADDRESS(130,3+18*2+(0))),'J1 B - Butcher Terrace'!$A$12:$A$130,"&gt;="&amp;Diagram!$O31,'J1 B - Butcher Terrace'!$A$12:$A$130,"&lt;"&amp;Diagram!$P31),SUMIFS(INDIRECT(ADDRESS(12,3+18*2+(8),,,"J1 B - Butcher Terrace")&amp;":"&amp;ADDRESS(130,3+18*2+(8))),'J1 B - Butcher Terrace'!$A$12:$A$130,"&gt;="&amp;Diagram!$O31,'J1 B - Butcher Terrace'!$A$12:$A$130,"&lt;"&amp;Diagram!$P31)))</f>
        <v>10</v>
      </c>
      <c r="X31" s="42">
        <f ca="1">IF(OR($I$10="",$O31="",$P31="",$J$35&lt;&gt;"Yes"),0,IF($K$10=0,SUMIFS(INDIRECT(ADDRESS(12,3+18*3+(0),,,"J1 B - Butcher Terrace")&amp;":"&amp;ADDRESS(130,3+18*3+(0))),'J1 B - Butcher Terrace'!$A$12:$A$130,"&gt;="&amp;Diagram!$O31,'J1 B - Butcher Terrace'!$A$12:$A$130,"&lt;"&amp;Diagram!$P31),SUMIFS(INDIRECT(ADDRESS(12,3+18*3+(8),,,"J1 B - Butcher Terrace")&amp;":"&amp;ADDRESS(130,3+18*3+(8))),'J1 B - Butcher Terrace'!$A$12:$A$130,"&gt;="&amp;Diagram!$O31,'J1 B - Butcher Terrace'!$A$12:$A$130,"&lt;"&amp;Diagram!$P31)))</f>
        <v>0</v>
      </c>
      <c r="Y31" s="42">
        <f ca="1">IF(OR($I$10="",$O31="",$P31="",$J$35&lt;&gt;"Yes"),0,IF($K$10=0,SUMIFS(INDIRECT(ADDRESS(12,3+18*0+(0),,,"J1 B - Butcher Terrace")&amp;":"&amp;ADDRESS(130,3+18*0+(0))),'J1 B - Butcher Terrace'!$A$12:$A$130,"&gt;="&amp;Diagram!$O31,'J1 B - Butcher Terrace'!$A$12:$A$130,"&lt;"&amp;Diagram!$P31),SUMIFS(INDIRECT(ADDRESS(12,3+18*0+(8),,,"J1 B - Butcher Terrace")&amp;":"&amp;ADDRESS(130,3+18*0+(8))),'J1 B - Butcher Terrace'!$A$12:$A$130,"&gt;="&amp;Diagram!$O31,'J1 B - Butcher Terrace'!$A$12:$A$130,"&lt;"&amp;Diagram!$P31)))</f>
        <v>4</v>
      </c>
      <c r="Z31" s="42">
        <f ca="1">IF(OR($I$10="",$O31="",$P31="",$J$35&lt;&gt;"Yes"),0,IF($K$10=0,SUMIFS(INDIRECT(ADDRESS(12,3+18*1+(0),,,"J1 B - Butcher Terrace")&amp;":"&amp;ADDRESS(130,3+18*1+(0))),'J1 B - Butcher Terrace'!$A$12:$A$130,"&gt;="&amp;Diagram!$O31,'J1 B - Butcher Terrace'!$A$12:$A$130,"&lt;"&amp;Diagram!$P31),SUMIFS(INDIRECT(ADDRESS(12,3+18*1+(8),,,"J1 B - Butcher Terrace")&amp;":"&amp;ADDRESS(130,3+18*1+(8))),'J1 B - Butcher Terrace'!$A$12:$A$130,"&gt;="&amp;Diagram!$O31,'J1 B - Butcher Terrace'!$A$12:$A$130,"&lt;"&amp;Diagram!$P31)))</f>
        <v>2</v>
      </c>
      <c r="AA31" s="42">
        <f ca="1">IF(OR($I$10="",$O31="",$P31="",$J$35&lt;&gt;"Yes"),0,IF($K$10=0,SUMIFS(INDIRECT(ADDRESS(12,3+18*1+(0),,,"J1 C - (South) Bishopthorpe Roa")&amp;":"&amp;ADDRESS(130,3+18*1+(0))),'J1 C - (South) Bishopthorpe Roa'!$A$12:$A$130,"&gt;="&amp;Diagram!$O31,'J1 C - (South) Bishopthorpe Roa'!$A$12:$A$130,"&lt;"&amp;Diagram!$P31),SUMIFS(INDIRECT(ADDRESS(12,3+18*1+(8),,,"J1 C - (South) Bishopthorpe Roa")&amp;":"&amp;ADDRESS(130,3+18*1+(8))),'J1 C - (South) Bishopthorpe Roa'!$A$12:$A$130,"&gt;="&amp;Diagram!$O31,'J1 C - (South) Bishopthorpe Roa'!$A$12:$A$130,"&lt;"&amp;Diagram!$P31)))</f>
        <v>223</v>
      </c>
      <c r="AB31" s="42">
        <f ca="1">IF(OR($I$10="",$O31="",$P31="",$J$35&lt;&gt;"Yes"),0,IF($K$10=0,SUMIFS(INDIRECT(ADDRESS(12,3+18*2+(0),,,"J1 C - (South) Bishopthorpe Roa")&amp;":"&amp;ADDRESS(130,3+18*2+(0))),'J1 C - (South) Bishopthorpe Roa'!$A$12:$A$130,"&gt;="&amp;Diagram!$O31,'J1 C - (South) Bishopthorpe Roa'!$A$12:$A$130,"&lt;"&amp;Diagram!$P31),SUMIFS(INDIRECT(ADDRESS(12,3+18*2+(8),,,"J1 C - (South) Bishopthorpe Roa")&amp;":"&amp;ADDRESS(130,3+18*2+(8))),'J1 C - (South) Bishopthorpe Roa'!$A$12:$A$130,"&gt;="&amp;Diagram!$O31,'J1 C - (South) Bishopthorpe Roa'!$A$12:$A$130,"&lt;"&amp;Diagram!$P31)))</f>
        <v>5</v>
      </c>
      <c r="AC31" s="42">
        <f ca="1">IF(OR($I$10="",$O31="",$P31="",$J$35&lt;&gt;"Yes"),0,IF($K$10=0,SUMIFS(INDIRECT(ADDRESS(12,3+18*3+(0),,,"J1 C - (South) Bishopthorpe Roa")&amp;":"&amp;ADDRESS(130,3+18*3+(0))),'J1 C - (South) Bishopthorpe Roa'!$A$12:$A$130,"&gt;="&amp;Diagram!$O31,'J1 C - (South) Bishopthorpe Roa'!$A$12:$A$130,"&lt;"&amp;Diagram!$P31),SUMIFS(INDIRECT(ADDRESS(12,3+18*3+(8),,,"J1 C - (South) Bishopthorpe Roa")&amp;":"&amp;ADDRESS(130,3+18*3+(8))),'J1 C - (South) Bishopthorpe Roa'!$A$12:$A$130,"&gt;="&amp;Diagram!$O31,'J1 C - (South) Bishopthorpe Roa'!$A$12:$A$130,"&lt;"&amp;Diagram!$P31)))</f>
        <v>0</v>
      </c>
      <c r="AD31" s="42">
        <f ca="1">IF(OR($I$10="",$O31="",$P31="",$J$35&lt;&gt;"Yes"),0,IF($K$10=0,SUMIFS(INDIRECT(ADDRESS(12,3+18*0+(0),,,"J1 C - (South) Bishopthorpe Roa")&amp;":"&amp;ADDRESS(130,3+18*0+(0))),'J1 C - (South) Bishopthorpe Roa'!$A$12:$A$130,"&gt;="&amp;Diagram!$O31,'J1 C - (South) Bishopthorpe Roa'!$A$12:$A$130,"&lt;"&amp;Diagram!$P31),SUMIFS(INDIRECT(ADDRESS(12,3+18*0+(8),,,"J1 C - (South) Bishopthorpe Roa")&amp;":"&amp;ADDRESS(130,3+18*0+(8))),'J1 C - (South) Bishopthorpe Roa'!$A$12:$A$130,"&gt;="&amp;Diagram!$O31,'J1 C - (South) Bishopthorpe Roa'!$A$12:$A$130,"&lt;"&amp;Diagram!$P31)))</f>
        <v>10</v>
      </c>
      <c r="AE31" s="42">
        <f ca="1">IF(OR($I$10="",$O31="",$P31="",$J$35&lt;&gt;"Yes"),0,IF($K$10=0,SUMIFS(INDIRECT(ADDRESS(12,3+18*0+(0),,,"J1 D - South Bank Avenue")&amp;":"&amp;ADDRESS(130,3+18*0+(0))),'J1 D - South Bank Avenue'!$A$12:$A$130,"&gt;="&amp;Diagram!$O31,'J1 D - South Bank Avenue'!$A$12:$A$130,"&lt;"&amp;Diagram!$P31),SUMIFS(INDIRECT(ADDRESS(12,3+18*0+(8),,,"J1 D - South Bank Avenue")&amp;":"&amp;ADDRESS(130,3+18*0+(8))),'J1 D - South Bank Avenue'!$A$12:$A$130,"&gt;="&amp;Diagram!$O31,'J1 D - South Bank Avenue'!$A$12:$A$130,"&lt;"&amp;Diagram!$P31)))</f>
        <v>21</v>
      </c>
      <c r="AF31" s="42">
        <f ca="1">IF(OR($I$10="",$O31="",$P31="",$J$35&lt;&gt;"Yes"),0,IF($K$10=0,SUMIFS(INDIRECT(ADDRESS(12,3+18*1+(0),,,"J1 D - South Bank Avenue")&amp;":"&amp;ADDRESS(130,3+18*1+(0))),'J1 D - South Bank Avenue'!$A$12:$A$130,"&gt;="&amp;Diagram!$O31,'J1 D - South Bank Avenue'!$A$12:$A$130,"&lt;"&amp;Diagram!$P31),SUMIFS(INDIRECT(ADDRESS(12,3+18*1+(8),,,"J1 D - South Bank Avenue")&amp;":"&amp;ADDRESS(130,3+18*1+(8))),'J1 D - South Bank Avenue'!$A$12:$A$130,"&gt;="&amp;Diagram!$O31,'J1 D - South Bank Avenue'!$A$12:$A$130,"&lt;"&amp;Diagram!$P31)))</f>
        <v>0</v>
      </c>
      <c r="AG31" s="42">
        <f ca="1">IF(OR($I$10="",$O31="",$P31="",$J$35&lt;&gt;"Yes"),0,IF($K$10=0,SUMIFS(INDIRECT(ADDRESS(12,3+18*2+(0),,,"J1 D - South Bank Avenue")&amp;":"&amp;ADDRESS(130,3+18*2+(0))),'J1 D - South Bank Avenue'!$A$12:$A$130,"&gt;="&amp;Diagram!$O31,'J1 D - South Bank Avenue'!$A$12:$A$130,"&lt;"&amp;Diagram!$P31),SUMIFS(INDIRECT(ADDRESS(12,3+18*2+(8),,,"J1 D - South Bank Avenue")&amp;":"&amp;ADDRESS(130,3+18*2+(8))),'J1 D - South Bank Avenue'!$A$12:$A$130,"&gt;="&amp;Diagram!$O31,'J1 D - South Bank Avenue'!$A$12:$A$130,"&lt;"&amp;Diagram!$P31)))</f>
        <v>6</v>
      </c>
      <c r="AH31" s="42">
        <f ca="1">IF(OR($I$10="",$O31="",$P31="",$J$35&lt;&gt;"Yes"),0,IF($K$10=0,SUMIFS(INDIRECT(ADDRESS(12,3+18*3+(0),,,"J1 D - South Bank Avenue")&amp;":"&amp;ADDRESS(130,3+18*3+(0))),'J1 D - South Bank Avenue'!$A$12:$A$130,"&gt;="&amp;Diagram!$O31,'J1 D - South Bank Avenue'!$A$12:$A$130,"&lt;"&amp;Diagram!$P31),SUMIFS(INDIRECT(ADDRESS(12,3+18*3+(8),,,"J1 D - South Bank Avenue")&amp;":"&amp;ADDRESS(130,3+18*3+(8))),'J1 D - South Bank Avenue'!$A$12:$A$130,"&gt;="&amp;Diagram!$O31,'J1 D - South Bank Avenue'!$A$12:$A$130,"&lt;"&amp;Diagram!$P31)))</f>
        <v>0</v>
      </c>
      <c r="AI31" s="42">
        <f t="shared" ca="1" si="2"/>
        <v>78</v>
      </c>
      <c r="AJ31" s="42">
        <f ca="1">IF(OR($I$10="",$O31="",$P31="",$J$36&lt;&gt;"Yes"),0,IF($K$10=0,SUMIFS(INDIRECT(ADDRESS(12,3+18*3+(1),,,"J1 A - (North) Bishopthorpe Roa")&amp;":"&amp;ADDRESS(130,3+18*3+(1))),'J1 A - (North) Bishopthorpe Roa'!$A$12:$A$130,"&gt;="&amp;Diagram!$O31,'J1 A - (North) Bishopthorpe Roa'!$A$12:$A$130,"&lt;"&amp;Diagram!$P31),SUMIFS(INDIRECT(ADDRESS(12,3+18*3+(9),,,"J1 A - (North) Bishopthorpe Roa")&amp;":"&amp;ADDRESS(130,3+18*3+(9))),'J1 A - (North) Bishopthorpe Roa'!$A$12:$A$130,"&gt;="&amp;Diagram!$O31,'J1 A - (North) Bishopthorpe Roa'!$A$12:$A$130,"&lt;"&amp;Diagram!$P31)))</f>
        <v>0</v>
      </c>
      <c r="AK31" s="42">
        <f ca="1">IF(OR($I$10="",$O31="",$P31="",$J$36&lt;&gt;"Yes"),0,IF($K$10=0,SUMIFS(INDIRECT(ADDRESS(12,3+18*0+(1),,,"J1 A - (North) Bishopthorpe Roa")&amp;":"&amp;ADDRESS(130,3+18*0+(1))),'J1 A - (North) Bishopthorpe Roa'!$A$12:$A$130,"&gt;="&amp;Diagram!$O31,'J1 A - (North) Bishopthorpe Roa'!$A$12:$A$130,"&lt;"&amp;Diagram!$P31),SUMIFS(INDIRECT(ADDRESS(12,3+18*0+(9),,,"J1 A - (North) Bishopthorpe Roa")&amp;":"&amp;ADDRESS(130,3+18*0+(9))),'J1 A - (North) Bishopthorpe Roa'!$A$12:$A$130,"&gt;="&amp;Diagram!$O31,'J1 A - (North) Bishopthorpe Roa'!$A$12:$A$130,"&lt;"&amp;Diagram!$P31)))</f>
        <v>2</v>
      </c>
      <c r="AL31" s="42">
        <f ca="1">IF(OR($I$10="",$O31="",$P31="",$J$36&lt;&gt;"Yes"),0,IF($K$10=0,SUMIFS(INDIRECT(ADDRESS(12,3+18*1+(1),,,"J1 A - (North) Bishopthorpe Roa")&amp;":"&amp;ADDRESS(130,3+18*1+(1))),'J1 A - (North) Bishopthorpe Roa'!$A$12:$A$130,"&gt;="&amp;Diagram!$O31,'J1 A - (North) Bishopthorpe Roa'!$A$12:$A$130,"&lt;"&amp;Diagram!$P31),SUMIFS(INDIRECT(ADDRESS(12,3+18*1+(9),,,"J1 A - (North) Bishopthorpe Roa")&amp;":"&amp;ADDRESS(130,3+18*1+(9))),'J1 A - (North) Bishopthorpe Roa'!$A$12:$A$130,"&gt;="&amp;Diagram!$O31,'J1 A - (North) Bishopthorpe Roa'!$A$12:$A$130,"&lt;"&amp;Diagram!$P31)))</f>
        <v>26</v>
      </c>
      <c r="AM31" s="42">
        <f ca="1">IF(OR($I$10="",$O31="",$P31="",$J$36&lt;&gt;"Yes"),0,IF($K$10=0,SUMIFS(INDIRECT(ADDRESS(12,3+18*2+(1),,,"J1 A - (North) Bishopthorpe Roa")&amp;":"&amp;ADDRESS(130,3+18*2+(1))),'J1 A - (North) Bishopthorpe Roa'!$A$12:$A$130,"&gt;="&amp;Diagram!$O31,'J1 A - (North) Bishopthorpe Roa'!$A$12:$A$130,"&lt;"&amp;Diagram!$P31),SUMIFS(INDIRECT(ADDRESS(12,3+18*2+(9),,,"J1 A - (North) Bishopthorpe Roa")&amp;":"&amp;ADDRESS(130,3+18*2+(9))),'J1 A - (North) Bishopthorpe Roa'!$A$12:$A$130,"&gt;="&amp;Diagram!$O31,'J1 A - (North) Bishopthorpe Roa'!$A$12:$A$130,"&lt;"&amp;Diagram!$P31)))</f>
        <v>2</v>
      </c>
      <c r="AN31" s="42">
        <f ca="1">IF(OR($I$10="",$O31="",$P31="",$J$36&lt;&gt;"Yes"),0,IF($K$10=0,SUMIFS(INDIRECT(ADDRESS(12,3+18*2+(1),,,"J1 B - Butcher Terrace")&amp;":"&amp;ADDRESS(130,3+18*2+(1))),'J1 B - Butcher Terrace'!$A$12:$A$130,"&gt;="&amp;Diagram!$O31,'J1 B - Butcher Terrace'!$A$12:$A$130,"&lt;"&amp;Diagram!$P31),SUMIFS(INDIRECT(ADDRESS(12,3+18*2+(9),,,"J1 B - Butcher Terrace")&amp;":"&amp;ADDRESS(130,3+18*2+(9))),'J1 B - Butcher Terrace'!$A$12:$A$130,"&gt;="&amp;Diagram!$O31,'J1 B - Butcher Terrace'!$A$12:$A$130,"&lt;"&amp;Diagram!$P31)))</f>
        <v>3</v>
      </c>
      <c r="AO31" s="42">
        <f ca="1">IF(OR($I$10="",$O31="",$P31="",$J$36&lt;&gt;"Yes"),0,IF($K$10=0,SUMIFS(INDIRECT(ADDRESS(12,3+18*3+(1),,,"J1 B - Butcher Terrace")&amp;":"&amp;ADDRESS(130,3+18*3+(1))),'J1 B - Butcher Terrace'!$A$12:$A$130,"&gt;="&amp;Diagram!$O31,'J1 B - Butcher Terrace'!$A$12:$A$130,"&lt;"&amp;Diagram!$P31),SUMIFS(INDIRECT(ADDRESS(12,3+18*3+(9),,,"J1 B - Butcher Terrace")&amp;":"&amp;ADDRESS(130,3+18*3+(9))),'J1 B - Butcher Terrace'!$A$12:$A$130,"&gt;="&amp;Diagram!$O31,'J1 B - Butcher Terrace'!$A$12:$A$130,"&lt;"&amp;Diagram!$P31)))</f>
        <v>0</v>
      </c>
      <c r="AP31" s="42">
        <f ca="1">IF(OR($I$10="",$O31="",$P31="",$J$36&lt;&gt;"Yes"),0,IF($K$10=0,SUMIFS(INDIRECT(ADDRESS(12,3+18*0+(1),,,"J1 B - Butcher Terrace")&amp;":"&amp;ADDRESS(130,3+18*0+(1))),'J1 B - Butcher Terrace'!$A$12:$A$130,"&gt;="&amp;Diagram!$O31,'J1 B - Butcher Terrace'!$A$12:$A$130,"&lt;"&amp;Diagram!$P31),SUMIFS(INDIRECT(ADDRESS(12,3+18*0+(9),,,"J1 B - Butcher Terrace")&amp;":"&amp;ADDRESS(130,3+18*0+(9))),'J1 B - Butcher Terrace'!$A$12:$A$130,"&gt;="&amp;Diagram!$O31,'J1 B - Butcher Terrace'!$A$12:$A$130,"&lt;"&amp;Diagram!$P31)))</f>
        <v>3</v>
      </c>
      <c r="AQ31" s="42">
        <f ca="1">IF(OR($I$10="",$O31="",$P31="",$J$36&lt;&gt;"Yes"),0,IF($K$10=0,SUMIFS(INDIRECT(ADDRESS(12,3+18*1+(1),,,"J1 B - Butcher Terrace")&amp;":"&amp;ADDRESS(130,3+18*1+(1))),'J1 B - Butcher Terrace'!$A$12:$A$130,"&gt;="&amp;Diagram!$O31,'J1 B - Butcher Terrace'!$A$12:$A$130,"&lt;"&amp;Diagram!$P31),SUMIFS(INDIRECT(ADDRESS(12,3+18*1+(9),,,"J1 B - Butcher Terrace")&amp;":"&amp;ADDRESS(130,3+18*1+(9))),'J1 B - Butcher Terrace'!$A$12:$A$130,"&gt;="&amp;Diagram!$O31,'J1 B - Butcher Terrace'!$A$12:$A$130,"&lt;"&amp;Diagram!$P31)))</f>
        <v>0</v>
      </c>
      <c r="AR31" s="42">
        <f ca="1">IF(OR($I$10="",$O31="",$P31="",$J$36&lt;&gt;"Yes"),0,IF($K$10=0,SUMIFS(INDIRECT(ADDRESS(12,3+18*1+(1),,,"J1 C - (South) Bishopthorpe Roa")&amp;":"&amp;ADDRESS(130,3+18*1+(1))),'J1 C - (South) Bishopthorpe Roa'!$A$12:$A$130,"&gt;="&amp;Diagram!$O31,'J1 C - (South) Bishopthorpe Roa'!$A$12:$A$130,"&lt;"&amp;Diagram!$P31),SUMIFS(INDIRECT(ADDRESS(12,3+18*1+(9),,,"J1 C - (South) Bishopthorpe Roa")&amp;":"&amp;ADDRESS(130,3+18*1+(9))),'J1 C - (South) Bishopthorpe Roa'!$A$12:$A$130,"&gt;="&amp;Diagram!$O31,'J1 C - (South) Bishopthorpe Roa'!$A$12:$A$130,"&lt;"&amp;Diagram!$P31)))</f>
        <v>35</v>
      </c>
      <c r="AS31" s="42">
        <f ca="1">IF(OR($I$10="",$O31="",$P31="",$J$36&lt;&gt;"Yes"),0,IF($K$10=0,SUMIFS(INDIRECT(ADDRESS(12,3+18*2+(1),,,"J1 C - (South) Bishopthorpe Roa")&amp;":"&amp;ADDRESS(130,3+18*2+(1))),'J1 C - (South) Bishopthorpe Roa'!$A$12:$A$130,"&gt;="&amp;Diagram!$O31,'J1 C - (South) Bishopthorpe Roa'!$A$12:$A$130,"&lt;"&amp;Diagram!$P31),SUMIFS(INDIRECT(ADDRESS(12,3+18*2+(9),,,"J1 C - (South) Bishopthorpe Roa")&amp;":"&amp;ADDRESS(130,3+18*2+(9))),'J1 C - (South) Bishopthorpe Roa'!$A$12:$A$130,"&gt;="&amp;Diagram!$O31,'J1 C - (South) Bishopthorpe Roa'!$A$12:$A$130,"&lt;"&amp;Diagram!$P31)))</f>
        <v>1</v>
      </c>
      <c r="AT31" s="42">
        <f ca="1">IF(OR($I$10="",$O31="",$P31="",$J$36&lt;&gt;"Yes"),0,IF($K$10=0,SUMIFS(INDIRECT(ADDRESS(12,3+18*3+(1),,,"J1 C - (South) Bishopthorpe Roa")&amp;":"&amp;ADDRESS(130,3+18*3+(1))),'J1 C - (South) Bishopthorpe Roa'!$A$12:$A$130,"&gt;="&amp;Diagram!$O31,'J1 C - (South) Bishopthorpe Roa'!$A$12:$A$130,"&lt;"&amp;Diagram!$P31),SUMIFS(INDIRECT(ADDRESS(12,3+18*3+(9),,,"J1 C - (South) Bishopthorpe Roa")&amp;":"&amp;ADDRESS(130,3+18*3+(9))),'J1 C - (South) Bishopthorpe Roa'!$A$12:$A$130,"&gt;="&amp;Diagram!$O31,'J1 C - (South) Bishopthorpe Roa'!$A$12:$A$130,"&lt;"&amp;Diagram!$P31)))</f>
        <v>0</v>
      </c>
      <c r="AU31" s="42">
        <f ca="1">IF(OR($I$10="",$O31="",$P31="",$J$36&lt;&gt;"Yes"),0,IF($K$10=0,SUMIFS(INDIRECT(ADDRESS(12,3+18*0+(1),,,"J1 C - (South) Bishopthorpe Roa")&amp;":"&amp;ADDRESS(130,3+18*0+(1))),'J1 C - (South) Bishopthorpe Roa'!$A$12:$A$130,"&gt;="&amp;Diagram!$O31,'J1 C - (South) Bishopthorpe Roa'!$A$12:$A$130,"&lt;"&amp;Diagram!$P31),SUMIFS(INDIRECT(ADDRESS(12,3+18*0+(9),,,"J1 C - (South) Bishopthorpe Roa")&amp;":"&amp;ADDRESS(130,3+18*0+(9))),'J1 C - (South) Bishopthorpe Roa'!$A$12:$A$130,"&gt;="&amp;Diagram!$O31,'J1 C - (South) Bishopthorpe Roa'!$A$12:$A$130,"&lt;"&amp;Diagram!$P31)))</f>
        <v>3</v>
      </c>
      <c r="AV31" s="42">
        <f ca="1">IF(OR($I$10="",$O31="",$P31="",$J$36&lt;&gt;"Yes"),0,IF($K$10=0,SUMIFS(INDIRECT(ADDRESS(12,3+18*0+(1),,,"J1 D - South Bank Avenue")&amp;":"&amp;ADDRESS(130,3+18*0+(1))),'J1 D - South Bank Avenue'!$A$12:$A$130,"&gt;="&amp;Diagram!$O31,'J1 D - South Bank Avenue'!$A$12:$A$130,"&lt;"&amp;Diagram!$P31),SUMIFS(INDIRECT(ADDRESS(12,3+18*0+(9),,,"J1 D - South Bank Avenue")&amp;":"&amp;ADDRESS(130,3+18*0+(9))),'J1 D - South Bank Avenue'!$A$12:$A$130,"&gt;="&amp;Diagram!$O31,'J1 D - South Bank Avenue'!$A$12:$A$130,"&lt;"&amp;Diagram!$P31)))</f>
        <v>3</v>
      </c>
      <c r="AW31" s="42">
        <f ca="1">IF(OR($I$10="",$O31="",$P31="",$J$36&lt;&gt;"Yes"),0,IF($K$10=0,SUMIFS(INDIRECT(ADDRESS(12,3+18*1+(1),,,"J1 D - South Bank Avenue")&amp;":"&amp;ADDRESS(130,3+18*1+(1))),'J1 D - South Bank Avenue'!$A$12:$A$130,"&gt;="&amp;Diagram!$O31,'J1 D - South Bank Avenue'!$A$12:$A$130,"&lt;"&amp;Diagram!$P31),SUMIFS(INDIRECT(ADDRESS(12,3+18*1+(9),,,"J1 D - South Bank Avenue")&amp;":"&amp;ADDRESS(130,3+18*1+(9))),'J1 D - South Bank Avenue'!$A$12:$A$130,"&gt;="&amp;Diagram!$O31,'J1 D - South Bank Avenue'!$A$12:$A$130,"&lt;"&amp;Diagram!$P31)))</f>
        <v>0</v>
      </c>
      <c r="AX31" s="42">
        <f ca="1">IF(OR($I$10="",$O31="",$P31="",$J$36&lt;&gt;"Yes"),0,IF($K$10=0,SUMIFS(INDIRECT(ADDRESS(12,3+18*2+(1),,,"J1 D - South Bank Avenue")&amp;":"&amp;ADDRESS(130,3+18*2+(1))),'J1 D - South Bank Avenue'!$A$12:$A$130,"&gt;="&amp;Diagram!$O31,'J1 D - South Bank Avenue'!$A$12:$A$130,"&lt;"&amp;Diagram!$P31),SUMIFS(INDIRECT(ADDRESS(12,3+18*2+(9),,,"J1 D - South Bank Avenue")&amp;":"&amp;ADDRESS(130,3+18*2+(9))),'J1 D - South Bank Avenue'!$A$12:$A$130,"&gt;="&amp;Diagram!$O31,'J1 D - South Bank Avenue'!$A$12:$A$130,"&lt;"&amp;Diagram!$P31)))</f>
        <v>0</v>
      </c>
      <c r="AY31" s="42">
        <f ca="1">IF(OR($I$10="",$O31="",$P31="",$J$36&lt;&gt;"Yes"),0,IF($K$10=0,SUMIFS(INDIRECT(ADDRESS(12,3+18*3+(1),,,"J1 D - South Bank Avenue")&amp;":"&amp;ADDRESS(130,3+18*3+(1))),'J1 D - South Bank Avenue'!$A$12:$A$130,"&gt;="&amp;Diagram!$O31,'J1 D - South Bank Avenue'!$A$12:$A$130,"&lt;"&amp;Diagram!$P31),SUMIFS(INDIRECT(ADDRESS(12,3+18*3+(9),,,"J1 D - South Bank Avenue")&amp;":"&amp;ADDRESS(130,3+18*3+(9))),'J1 D - South Bank Avenue'!$A$12:$A$130,"&gt;="&amp;Diagram!$O31,'J1 D - South Bank Avenue'!$A$12:$A$130,"&lt;"&amp;Diagram!$P31)))</f>
        <v>0</v>
      </c>
      <c r="AZ31" s="42">
        <f t="shared" ca="1" si="3"/>
        <v>11</v>
      </c>
      <c r="BA31" s="42">
        <f ca="1">IF(OR($I$10="",$O31="",$P31="",$J$37&lt;&gt;"Yes"),0,IF($K$10=0,SUMIFS(INDIRECT(ADDRESS(12,3+18*3+(2),,,"J1 A - (North) Bishopthorpe Roa")&amp;":"&amp;ADDRESS(130,3+18*3+(2))),'J1 A - (North) Bishopthorpe Roa'!$A$12:$A$130,"&gt;="&amp;Diagram!$O31,'J1 A - (North) Bishopthorpe Roa'!$A$12:$A$130,"&lt;"&amp;Diagram!$P31),SUMIFS(INDIRECT(ADDRESS(12,3+18*3+(10),,,"J1 A - (North) Bishopthorpe Roa")&amp;":"&amp;ADDRESS(130,3+18*3+(10))),'J1 A - (North) Bishopthorpe Roa'!$A$12:$A$130,"&gt;="&amp;Diagram!$O31,'J1 A - (North) Bishopthorpe Roa'!$A$12:$A$130,"&lt;"&amp;Diagram!$P31)))</f>
        <v>0</v>
      </c>
      <c r="BB31" s="42">
        <f ca="1">IF(OR($I$10="",$O31="",$P31="",$J$37&lt;&gt;"Yes"),0,IF($K$10=0,SUMIFS(INDIRECT(ADDRESS(12,3+18*0+(2),,,"J1 A - (North) Bishopthorpe Roa")&amp;":"&amp;ADDRESS(130,3+18*0+(2))),'J1 A - (North) Bishopthorpe Roa'!$A$12:$A$130,"&gt;="&amp;Diagram!$O31,'J1 A - (North) Bishopthorpe Roa'!$A$12:$A$130,"&lt;"&amp;Diagram!$P31),SUMIFS(INDIRECT(ADDRESS(12,3+18*0+(10),,,"J1 A - (North) Bishopthorpe Roa")&amp;":"&amp;ADDRESS(130,3+18*0+(10))),'J1 A - (North) Bishopthorpe Roa'!$A$12:$A$130,"&gt;="&amp;Diagram!$O31,'J1 A - (North) Bishopthorpe Roa'!$A$12:$A$130,"&lt;"&amp;Diagram!$P31)))</f>
        <v>0</v>
      </c>
      <c r="BC31" s="42">
        <f ca="1">IF(OR($I$10="",$O31="",$P31="",$J$37&lt;&gt;"Yes"),0,IF($K$10=0,SUMIFS(INDIRECT(ADDRESS(12,3+18*1+(2),,,"J1 A - (North) Bishopthorpe Roa")&amp;":"&amp;ADDRESS(130,3+18*1+(2))),'J1 A - (North) Bishopthorpe Roa'!$A$12:$A$130,"&gt;="&amp;Diagram!$O31,'J1 A - (North) Bishopthorpe Roa'!$A$12:$A$130,"&lt;"&amp;Diagram!$P31),SUMIFS(INDIRECT(ADDRESS(12,3+18*1+(10),,,"J1 A - (North) Bishopthorpe Roa")&amp;":"&amp;ADDRESS(130,3+18*1+(10))),'J1 A - (North) Bishopthorpe Roa'!$A$12:$A$130,"&gt;="&amp;Diagram!$O31,'J1 A - (North) Bishopthorpe Roa'!$A$12:$A$130,"&lt;"&amp;Diagram!$P31)))</f>
        <v>9</v>
      </c>
      <c r="BD31" s="42">
        <f ca="1">IF(OR($I$10="",$O31="",$P31="",$J$37&lt;&gt;"Yes"),0,IF($K$10=0,SUMIFS(INDIRECT(ADDRESS(12,3+18*2+(2),,,"J1 A - (North) Bishopthorpe Roa")&amp;":"&amp;ADDRESS(130,3+18*2+(2))),'J1 A - (North) Bishopthorpe Roa'!$A$12:$A$130,"&gt;="&amp;Diagram!$O31,'J1 A - (North) Bishopthorpe Roa'!$A$12:$A$130,"&lt;"&amp;Diagram!$P31),SUMIFS(INDIRECT(ADDRESS(12,3+18*2+(10),,,"J1 A - (North) Bishopthorpe Roa")&amp;":"&amp;ADDRESS(130,3+18*2+(10))),'J1 A - (North) Bishopthorpe Roa'!$A$12:$A$130,"&gt;="&amp;Diagram!$O31,'J1 A - (North) Bishopthorpe Roa'!$A$12:$A$130,"&lt;"&amp;Diagram!$P31)))</f>
        <v>0</v>
      </c>
      <c r="BE31" s="42">
        <f ca="1">IF(OR($I$10="",$O31="",$P31="",$J$37&lt;&gt;"Yes"),0,IF($K$10=0,SUMIFS(INDIRECT(ADDRESS(12,3+18*2+(2),,,"J1 B - Butcher Terrace")&amp;":"&amp;ADDRESS(130,3+18*2+(2))),'J1 B - Butcher Terrace'!$A$12:$A$130,"&gt;="&amp;Diagram!$O31,'J1 B - Butcher Terrace'!$A$12:$A$130,"&lt;"&amp;Diagram!$P31),SUMIFS(INDIRECT(ADDRESS(12,3+18*2+(10),,,"J1 B - Butcher Terrace")&amp;":"&amp;ADDRESS(130,3+18*2+(10))),'J1 B - Butcher Terrace'!$A$12:$A$130,"&gt;="&amp;Diagram!$O31,'J1 B - Butcher Terrace'!$A$12:$A$130,"&lt;"&amp;Diagram!$P31)))</f>
        <v>1</v>
      </c>
      <c r="BF31" s="42">
        <f ca="1">IF(OR($I$10="",$O31="",$P31="",$J$37&lt;&gt;"Yes"),0,IF($K$10=0,SUMIFS(INDIRECT(ADDRESS(12,3+18*3+(2),,,"J1 B - Butcher Terrace")&amp;":"&amp;ADDRESS(130,3+18*3+(2))),'J1 B - Butcher Terrace'!$A$12:$A$130,"&gt;="&amp;Diagram!$O31,'J1 B - Butcher Terrace'!$A$12:$A$130,"&lt;"&amp;Diagram!$P31),SUMIFS(INDIRECT(ADDRESS(12,3+18*3+(10),,,"J1 B - Butcher Terrace")&amp;":"&amp;ADDRESS(130,3+18*3+(10))),'J1 B - Butcher Terrace'!$A$12:$A$130,"&gt;="&amp;Diagram!$O31,'J1 B - Butcher Terrace'!$A$12:$A$130,"&lt;"&amp;Diagram!$P31)))</f>
        <v>0</v>
      </c>
      <c r="BG31" s="42">
        <f ca="1">IF(OR($I$10="",$O31="",$P31="",$J$37&lt;&gt;"Yes"),0,IF($K$10=0,SUMIFS(INDIRECT(ADDRESS(12,3+18*0+(2),,,"J1 B - Butcher Terrace")&amp;":"&amp;ADDRESS(130,3+18*0+(2))),'J1 B - Butcher Terrace'!$A$12:$A$130,"&gt;="&amp;Diagram!$O31,'J1 B - Butcher Terrace'!$A$12:$A$130,"&lt;"&amp;Diagram!$P31),SUMIFS(INDIRECT(ADDRESS(12,3+18*0+(10),,,"J1 B - Butcher Terrace")&amp;":"&amp;ADDRESS(130,3+18*0+(10))),'J1 B - Butcher Terrace'!$A$12:$A$130,"&gt;="&amp;Diagram!$O31,'J1 B - Butcher Terrace'!$A$12:$A$130,"&lt;"&amp;Diagram!$P31)))</f>
        <v>0</v>
      </c>
      <c r="BH31" s="42">
        <f ca="1">IF(OR($I$10="",$O31="",$P31="",$J$37&lt;&gt;"Yes"),0,IF($K$10=0,SUMIFS(INDIRECT(ADDRESS(12,3+18*1+(2),,,"J1 B - Butcher Terrace")&amp;":"&amp;ADDRESS(130,3+18*1+(2))),'J1 B - Butcher Terrace'!$A$12:$A$130,"&gt;="&amp;Diagram!$O31,'J1 B - Butcher Terrace'!$A$12:$A$130,"&lt;"&amp;Diagram!$P31),SUMIFS(INDIRECT(ADDRESS(12,3+18*1+(10),,,"J1 B - Butcher Terrace")&amp;":"&amp;ADDRESS(130,3+18*1+(10))),'J1 B - Butcher Terrace'!$A$12:$A$130,"&gt;="&amp;Diagram!$O31,'J1 B - Butcher Terrace'!$A$12:$A$130,"&lt;"&amp;Diagram!$P31)))</f>
        <v>0</v>
      </c>
      <c r="BI31" s="42">
        <f ca="1">IF(OR($I$10="",$O31="",$P31="",$J$37&lt;&gt;"Yes"),0,IF($K$10=0,SUMIFS(INDIRECT(ADDRESS(12,3+18*1+(2),,,"J1 C - (South) Bishopthorpe Roa")&amp;":"&amp;ADDRESS(130,3+18*1+(2))),'J1 C - (South) Bishopthorpe Roa'!$A$12:$A$130,"&gt;="&amp;Diagram!$O31,'J1 C - (South) Bishopthorpe Roa'!$A$12:$A$130,"&lt;"&amp;Diagram!$P31),SUMIFS(INDIRECT(ADDRESS(12,3+18*1+(10),,,"J1 C - (South) Bishopthorpe Roa")&amp;":"&amp;ADDRESS(130,3+18*1+(10))),'J1 C - (South) Bishopthorpe Roa'!$A$12:$A$130,"&gt;="&amp;Diagram!$O31,'J1 C - (South) Bishopthorpe Roa'!$A$12:$A$130,"&lt;"&amp;Diagram!$P31)))</f>
        <v>1</v>
      </c>
      <c r="BJ31" s="42">
        <f ca="1">IF(OR($I$10="",$O31="",$P31="",$J$37&lt;&gt;"Yes"),0,IF($K$10=0,SUMIFS(INDIRECT(ADDRESS(12,3+18*2+(2),,,"J1 C - (South) Bishopthorpe Roa")&amp;":"&amp;ADDRESS(130,3+18*2+(2))),'J1 C - (South) Bishopthorpe Roa'!$A$12:$A$130,"&gt;="&amp;Diagram!$O31,'J1 C - (South) Bishopthorpe Roa'!$A$12:$A$130,"&lt;"&amp;Diagram!$P31),SUMIFS(INDIRECT(ADDRESS(12,3+18*2+(10),,,"J1 C - (South) Bishopthorpe Roa")&amp;":"&amp;ADDRESS(130,3+18*2+(10))),'J1 C - (South) Bishopthorpe Roa'!$A$12:$A$130,"&gt;="&amp;Diagram!$O31,'J1 C - (South) Bishopthorpe Roa'!$A$12:$A$130,"&lt;"&amp;Diagram!$P31)))</f>
        <v>0</v>
      </c>
      <c r="BK31" s="42">
        <f ca="1">IF(OR($I$10="",$O31="",$P31="",$J$37&lt;&gt;"Yes"),0,IF($K$10=0,SUMIFS(INDIRECT(ADDRESS(12,3+18*3+(2),,,"J1 C - (South) Bishopthorpe Roa")&amp;":"&amp;ADDRESS(130,3+18*3+(2))),'J1 C - (South) Bishopthorpe Roa'!$A$12:$A$130,"&gt;="&amp;Diagram!$O31,'J1 C - (South) Bishopthorpe Roa'!$A$12:$A$130,"&lt;"&amp;Diagram!$P31),SUMIFS(INDIRECT(ADDRESS(12,3+18*3+(10),,,"J1 C - (South) Bishopthorpe Roa")&amp;":"&amp;ADDRESS(130,3+18*3+(10))),'J1 C - (South) Bishopthorpe Roa'!$A$12:$A$130,"&gt;="&amp;Diagram!$O31,'J1 C - (South) Bishopthorpe Roa'!$A$12:$A$130,"&lt;"&amp;Diagram!$P31)))</f>
        <v>0</v>
      </c>
      <c r="BL31" s="42">
        <f ca="1">IF(OR($I$10="",$O31="",$P31="",$J$37&lt;&gt;"Yes"),0,IF($K$10=0,SUMIFS(INDIRECT(ADDRESS(12,3+18*0+(2),,,"J1 C - (South) Bishopthorpe Roa")&amp;":"&amp;ADDRESS(130,3+18*0+(2))),'J1 C - (South) Bishopthorpe Roa'!$A$12:$A$130,"&gt;="&amp;Diagram!$O31,'J1 C - (South) Bishopthorpe Roa'!$A$12:$A$130,"&lt;"&amp;Diagram!$P31),SUMIFS(INDIRECT(ADDRESS(12,3+18*0+(10),,,"J1 C - (South) Bishopthorpe Roa")&amp;":"&amp;ADDRESS(130,3+18*0+(10))),'J1 C - (South) Bishopthorpe Roa'!$A$12:$A$130,"&gt;="&amp;Diagram!$O31,'J1 C - (South) Bishopthorpe Roa'!$A$12:$A$130,"&lt;"&amp;Diagram!$P31)))</f>
        <v>0</v>
      </c>
      <c r="BM31" s="42">
        <f ca="1">IF(OR($I$10="",$O31="",$P31="",$J$37&lt;&gt;"Yes"),0,IF($K$10=0,SUMIFS(INDIRECT(ADDRESS(12,3+18*0+(2),,,"J1 D - South Bank Avenue")&amp;":"&amp;ADDRESS(130,3+18*0+(2))),'J1 D - South Bank Avenue'!$A$12:$A$130,"&gt;="&amp;Diagram!$O31,'J1 D - South Bank Avenue'!$A$12:$A$130,"&lt;"&amp;Diagram!$P31),SUMIFS(INDIRECT(ADDRESS(12,3+18*0+(10),,,"J1 D - South Bank Avenue")&amp;":"&amp;ADDRESS(130,3+18*0+(10))),'J1 D - South Bank Avenue'!$A$12:$A$130,"&gt;="&amp;Diagram!$O31,'J1 D - South Bank Avenue'!$A$12:$A$130,"&lt;"&amp;Diagram!$P31)))</f>
        <v>0</v>
      </c>
      <c r="BN31" s="42">
        <f ca="1">IF(OR($I$10="",$O31="",$P31="",$J$37&lt;&gt;"Yes"),0,IF($K$10=0,SUMIFS(INDIRECT(ADDRESS(12,3+18*1+(2),,,"J1 D - South Bank Avenue")&amp;":"&amp;ADDRESS(130,3+18*1+(2))),'J1 D - South Bank Avenue'!$A$12:$A$130,"&gt;="&amp;Diagram!$O31,'J1 D - South Bank Avenue'!$A$12:$A$130,"&lt;"&amp;Diagram!$P31),SUMIFS(INDIRECT(ADDRESS(12,3+18*1+(10),,,"J1 D - South Bank Avenue")&amp;":"&amp;ADDRESS(130,3+18*1+(10))),'J1 D - South Bank Avenue'!$A$12:$A$130,"&gt;="&amp;Diagram!$O31,'J1 D - South Bank Avenue'!$A$12:$A$130,"&lt;"&amp;Diagram!$P31)))</f>
        <v>0</v>
      </c>
      <c r="BO31" s="42">
        <f ca="1">IF(OR($I$10="",$O31="",$P31="",$J$37&lt;&gt;"Yes"),0,IF($K$10=0,SUMIFS(INDIRECT(ADDRESS(12,3+18*2+(2),,,"J1 D - South Bank Avenue")&amp;":"&amp;ADDRESS(130,3+18*2+(2))),'J1 D - South Bank Avenue'!$A$12:$A$130,"&gt;="&amp;Diagram!$O31,'J1 D - South Bank Avenue'!$A$12:$A$130,"&lt;"&amp;Diagram!$P31),SUMIFS(INDIRECT(ADDRESS(12,3+18*2+(10),,,"J1 D - South Bank Avenue")&amp;":"&amp;ADDRESS(130,3+18*2+(10))),'J1 D - South Bank Avenue'!$A$12:$A$130,"&gt;="&amp;Diagram!$O31,'J1 D - South Bank Avenue'!$A$12:$A$130,"&lt;"&amp;Diagram!$P31)))</f>
        <v>0</v>
      </c>
      <c r="BP31" s="42">
        <f ca="1">IF(OR($I$10="",$O31="",$P31="",$J$37&lt;&gt;"Yes"),0,IF($K$10=0,SUMIFS(INDIRECT(ADDRESS(12,3+18*3+(2),,,"J1 D - South Bank Avenue")&amp;":"&amp;ADDRESS(130,3+18*3+(2))),'J1 D - South Bank Avenue'!$A$12:$A$130,"&gt;="&amp;Diagram!$O31,'J1 D - South Bank Avenue'!$A$12:$A$130,"&lt;"&amp;Diagram!$P31),SUMIFS(INDIRECT(ADDRESS(12,3+18*3+(10),,,"J1 D - South Bank Avenue")&amp;":"&amp;ADDRESS(130,3+18*3+(10))),'J1 D - South Bank Avenue'!$A$12:$A$130,"&gt;="&amp;Diagram!$O31,'J1 D - South Bank Avenue'!$A$12:$A$130,"&lt;"&amp;Diagram!$P31)))</f>
        <v>0</v>
      </c>
      <c r="BQ31" s="42">
        <f t="shared" ca="1" si="4"/>
        <v>0</v>
      </c>
      <c r="BR31" s="42">
        <f ca="1">IF(OR($I$10="",$O31="",$P31="",$J$38&lt;&gt;"Yes"),0,IF($K$10=0,SUMIFS(INDIRECT(ADDRESS(12,3+18*3+(3),,,"J1 A - (North) Bishopthorpe Roa")&amp;":"&amp;ADDRESS(130,3+18*3+(3))),'J1 A - (North) Bishopthorpe Roa'!$A$12:$A$130,"&gt;="&amp;Diagram!$O31,'J1 A - (North) Bishopthorpe Roa'!$A$12:$A$130,"&lt;"&amp;Diagram!$P31),SUMIFS(INDIRECT(ADDRESS(12,3+18*3+(11),,,"J1 A - (North) Bishopthorpe Roa")&amp;":"&amp;ADDRESS(130,3+18*3+(11))),'J1 A - (North) Bishopthorpe Roa'!$A$12:$A$130,"&gt;="&amp;Diagram!$O31,'J1 A - (North) Bishopthorpe Roa'!$A$12:$A$130,"&lt;"&amp;Diagram!$P31)))</f>
        <v>0</v>
      </c>
      <c r="BS31" s="42">
        <f ca="1">IF(OR($I$10="",$O31="",$P31="",$J$38&lt;&gt;"Yes"),0,IF($K$10=0,SUMIFS(INDIRECT(ADDRESS(12,3+18*0+(3),,,"J1 A - (North) Bishopthorpe Roa")&amp;":"&amp;ADDRESS(130,3+18*0+(3))),'J1 A - (North) Bishopthorpe Roa'!$A$12:$A$130,"&gt;="&amp;Diagram!$O31,'J1 A - (North) Bishopthorpe Roa'!$A$12:$A$130,"&lt;"&amp;Diagram!$P31),SUMIFS(INDIRECT(ADDRESS(12,3+18*0+(11),,,"J1 A - (North) Bishopthorpe Roa")&amp;":"&amp;ADDRESS(130,3+18*0+(11))),'J1 A - (North) Bishopthorpe Roa'!$A$12:$A$130,"&gt;="&amp;Diagram!$O31,'J1 A - (North) Bishopthorpe Roa'!$A$12:$A$130,"&lt;"&amp;Diagram!$P31)))</f>
        <v>0</v>
      </c>
      <c r="BT31" s="42">
        <f ca="1">IF(OR($I$10="",$O31="",$P31="",$J$38&lt;&gt;"Yes"),0,IF($K$10=0,SUMIFS(INDIRECT(ADDRESS(12,3+18*1+(3),,,"J1 A - (North) Bishopthorpe Roa")&amp;":"&amp;ADDRESS(130,3+18*1+(3))),'J1 A - (North) Bishopthorpe Roa'!$A$12:$A$130,"&gt;="&amp;Diagram!$O31,'J1 A - (North) Bishopthorpe Roa'!$A$12:$A$130,"&lt;"&amp;Diagram!$P31),SUMIFS(INDIRECT(ADDRESS(12,3+18*1+(11),,,"J1 A - (North) Bishopthorpe Roa")&amp;":"&amp;ADDRESS(130,3+18*1+(11))),'J1 A - (North) Bishopthorpe Roa'!$A$12:$A$130,"&gt;="&amp;Diagram!$O31,'J1 A - (North) Bishopthorpe Roa'!$A$12:$A$130,"&lt;"&amp;Diagram!$P31)))</f>
        <v>0</v>
      </c>
      <c r="BU31" s="42">
        <f ca="1">IF(OR($I$10="",$O31="",$P31="",$J$38&lt;&gt;"Yes"),0,IF($K$10=0,SUMIFS(INDIRECT(ADDRESS(12,3+18*2+(3),,,"J1 A - (North) Bishopthorpe Roa")&amp;":"&amp;ADDRESS(130,3+18*2+(3))),'J1 A - (North) Bishopthorpe Roa'!$A$12:$A$130,"&gt;="&amp;Diagram!$O31,'J1 A - (North) Bishopthorpe Roa'!$A$12:$A$130,"&lt;"&amp;Diagram!$P31),SUMIFS(INDIRECT(ADDRESS(12,3+18*2+(11),,,"J1 A - (North) Bishopthorpe Roa")&amp;":"&amp;ADDRESS(130,3+18*2+(11))),'J1 A - (North) Bishopthorpe Roa'!$A$12:$A$130,"&gt;="&amp;Diagram!$O31,'J1 A - (North) Bishopthorpe Roa'!$A$12:$A$130,"&lt;"&amp;Diagram!$P31)))</f>
        <v>0</v>
      </c>
      <c r="BV31" s="42">
        <f ca="1">IF(OR($I$10="",$O31="",$P31="",$J$38&lt;&gt;"Yes"),0,IF($K$10=0,SUMIFS(INDIRECT(ADDRESS(12,3+18*2+(3),,,"J1 B - Butcher Terrace")&amp;":"&amp;ADDRESS(130,3+18*2+(3))),'J1 B - Butcher Terrace'!$A$12:$A$130,"&gt;="&amp;Diagram!$O31,'J1 B - Butcher Terrace'!$A$12:$A$130,"&lt;"&amp;Diagram!$P31),SUMIFS(INDIRECT(ADDRESS(12,3+18*2+(11),,,"J1 B - Butcher Terrace")&amp;":"&amp;ADDRESS(130,3+18*2+(11))),'J1 B - Butcher Terrace'!$A$12:$A$130,"&gt;="&amp;Diagram!$O31,'J1 B - Butcher Terrace'!$A$12:$A$130,"&lt;"&amp;Diagram!$P31)))</f>
        <v>0</v>
      </c>
      <c r="BW31" s="42">
        <f ca="1">IF(OR($I$10="",$O31="",$P31="",$J$38&lt;&gt;"Yes"),0,IF($K$10=0,SUMIFS(INDIRECT(ADDRESS(12,3+18*3+(3),,,"J1 B - Butcher Terrace")&amp;":"&amp;ADDRESS(130,3+18*3+(3))),'J1 B - Butcher Terrace'!$A$12:$A$130,"&gt;="&amp;Diagram!$O31,'J1 B - Butcher Terrace'!$A$12:$A$130,"&lt;"&amp;Diagram!$P31),SUMIFS(INDIRECT(ADDRESS(12,3+18*3+(11),,,"J1 B - Butcher Terrace")&amp;":"&amp;ADDRESS(130,3+18*3+(11))),'J1 B - Butcher Terrace'!$A$12:$A$130,"&gt;="&amp;Diagram!$O31,'J1 B - Butcher Terrace'!$A$12:$A$130,"&lt;"&amp;Diagram!$P31)))</f>
        <v>0</v>
      </c>
      <c r="BX31" s="42">
        <f ca="1">IF(OR($I$10="",$O31="",$P31="",$J$38&lt;&gt;"Yes"),0,IF($K$10=0,SUMIFS(INDIRECT(ADDRESS(12,3+18*0+(3),,,"J1 B - Butcher Terrace")&amp;":"&amp;ADDRESS(130,3+18*0+(3))),'J1 B - Butcher Terrace'!$A$12:$A$130,"&gt;="&amp;Diagram!$O31,'J1 B - Butcher Terrace'!$A$12:$A$130,"&lt;"&amp;Diagram!$P31),SUMIFS(INDIRECT(ADDRESS(12,3+18*0+(11),,,"J1 B - Butcher Terrace")&amp;":"&amp;ADDRESS(130,3+18*0+(11))),'J1 B - Butcher Terrace'!$A$12:$A$130,"&gt;="&amp;Diagram!$O31,'J1 B - Butcher Terrace'!$A$12:$A$130,"&lt;"&amp;Diagram!$P31)))</f>
        <v>0</v>
      </c>
      <c r="BY31" s="42">
        <f ca="1">IF(OR($I$10="",$O31="",$P31="",$J$38&lt;&gt;"Yes"),0,IF($K$10=0,SUMIFS(INDIRECT(ADDRESS(12,3+18*1+(3),,,"J1 B - Butcher Terrace")&amp;":"&amp;ADDRESS(130,3+18*1+(3))),'J1 B - Butcher Terrace'!$A$12:$A$130,"&gt;="&amp;Diagram!$O31,'J1 B - Butcher Terrace'!$A$12:$A$130,"&lt;"&amp;Diagram!$P31),SUMIFS(INDIRECT(ADDRESS(12,3+18*1+(11),,,"J1 B - Butcher Terrace")&amp;":"&amp;ADDRESS(130,3+18*1+(11))),'J1 B - Butcher Terrace'!$A$12:$A$130,"&gt;="&amp;Diagram!$O31,'J1 B - Butcher Terrace'!$A$12:$A$130,"&lt;"&amp;Diagram!$P31)))</f>
        <v>0</v>
      </c>
      <c r="BZ31" s="42">
        <f ca="1">IF(OR($I$10="",$O31="",$P31="",$J$38&lt;&gt;"Yes"),0,IF($K$10=0,SUMIFS(INDIRECT(ADDRESS(12,3+18*1+(3),,,"J1 C - (South) Bishopthorpe Roa")&amp;":"&amp;ADDRESS(130,3+18*1+(3))),'J1 C - (South) Bishopthorpe Roa'!$A$12:$A$130,"&gt;="&amp;Diagram!$O31,'J1 C - (South) Bishopthorpe Roa'!$A$12:$A$130,"&lt;"&amp;Diagram!$P31),SUMIFS(INDIRECT(ADDRESS(12,3+18*1+(11),,,"J1 C - (South) Bishopthorpe Roa")&amp;":"&amp;ADDRESS(130,3+18*1+(11))),'J1 C - (South) Bishopthorpe Roa'!$A$12:$A$130,"&gt;="&amp;Diagram!$O31,'J1 C - (South) Bishopthorpe Roa'!$A$12:$A$130,"&lt;"&amp;Diagram!$P31)))</f>
        <v>0</v>
      </c>
      <c r="CA31" s="42">
        <f ca="1">IF(OR($I$10="",$O31="",$P31="",$J$38&lt;&gt;"Yes"),0,IF($K$10=0,SUMIFS(INDIRECT(ADDRESS(12,3+18*2+(3),,,"J1 C - (South) Bishopthorpe Roa")&amp;":"&amp;ADDRESS(130,3+18*2+(3))),'J1 C - (South) Bishopthorpe Roa'!$A$12:$A$130,"&gt;="&amp;Diagram!$O31,'J1 C - (South) Bishopthorpe Roa'!$A$12:$A$130,"&lt;"&amp;Diagram!$P31),SUMIFS(INDIRECT(ADDRESS(12,3+18*2+(11),,,"J1 C - (South) Bishopthorpe Roa")&amp;":"&amp;ADDRESS(130,3+18*2+(11))),'J1 C - (South) Bishopthorpe Roa'!$A$12:$A$130,"&gt;="&amp;Diagram!$O31,'J1 C - (South) Bishopthorpe Roa'!$A$12:$A$130,"&lt;"&amp;Diagram!$P31)))</f>
        <v>0</v>
      </c>
      <c r="CB31" s="42">
        <f ca="1">IF(OR($I$10="",$O31="",$P31="",$J$38&lt;&gt;"Yes"),0,IF($K$10=0,SUMIFS(INDIRECT(ADDRESS(12,3+18*3+(3),,,"J1 C - (South) Bishopthorpe Roa")&amp;":"&amp;ADDRESS(130,3+18*3+(3))),'J1 C - (South) Bishopthorpe Roa'!$A$12:$A$130,"&gt;="&amp;Diagram!$O31,'J1 C - (South) Bishopthorpe Roa'!$A$12:$A$130,"&lt;"&amp;Diagram!$P31),SUMIFS(INDIRECT(ADDRESS(12,3+18*3+(11),,,"J1 C - (South) Bishopthorpe Roa")&amp;":"&amp;ADDRESS(130,3+18*3+(11))),'J1 C - (South) Bishopthorpe Roa'!$A$12:$A$130,"&gt;="&amp;Diagram!$O31,'J1 C - (South) Bishopthorpe Roa'!$A$12:$A$130,"&lt;"&amp;Diagram!$P31)))</f>
        <v>0</v>
      </c>
      <c r="CC31" s="42">
        <f ca="1">IF(OR($I$10="",$O31="",$P31="",$J$38&lt;&gt;"Yes"),0,IF($K$10=0,SUMIFS(INDIRECT(ADDRESS(12,3+18*0+(3),,,"J1 C - (South) Bishopthorpe Roa")&amp;":"&amp;ADDRESS(130,3+18*0+(3))),'J1 C - (South) Bishopthorpe Roa'!$A$12:$A$130,"&gt;="&amp;Diagram!$O31,'J1 C - (South) Bishopthorpe Roa'!$A$12:$A$130,"&lt;"&amp;Diagram!$P31),SUMIFS(INDIRECT(ADDRESS(12,3+18*0+(11),,,"J1 C - (South) Bishopthorpe Roa")&amp;":"&amp;ADDRESS(130,3+18*0+(11))),'J1 C - (South) Bishopthorpe Roa'!$A$12:$A$130,"&gt;="&amp;Diagram!$O31,'J1 C - (South) Bishopthorpe Roa'!$A$12:$A$130,"&lt;"&amp;Diagram!$P31)))</f>
        <v>0</v>
      </c>
      <c r="CD31" s="42">
        <f ca="1">IF(OR($I$10="",$O31="",$P31="",$J$38&lt;&gt;"Yes"),0,IF($K$10=0,SUMIFS(INDIRECT(ADDRESS(12,3+18*0+(3),,,"J1 D - South Bank Avenue")&amp;":"&amp;ADDRESS(130,3+18*0+(3))),'J1 D - South Bank Avenue'!$A$12:$A$130,"&gt;="&amp;Diagram!$O31,'J1 D - South Bank Avenue'!$A$12:$A$130,"&lt;"&amp;Diagram!$P31),SUMIFS(INDIRECT(ADDRESS(12,3+18*0+(11),,,"J1 D - South Bank Avenue")&amp;":"&amp;ADDRESS(130,3+18*0+(11))),'J1 D - South Bank Avenue'!$A$12:$A$130,"&gt;="&amp;Diagram!$O31,'J1 D - South Bank Avenue'!$A$12:$A$130,"&lt;"&amp;Diagram!$P31)))</f>
        <v>0</v>
      </c>
      <c r="CE31" s="42">
        <f ca="1">IF(OR($I$10="",$O31="",$P31="",$J$38&lt;&gt;"Yes"),0,IF($K$10=0,SUMIFS(INDIRECT(ADDRESS(12,3+18*1+(3),,,"J1 D - South Bank Avenue")&amp;":"&amp;ADDRESS(130,3+18*1+(3))),'J1 D - South Bank Avenue'!$A$12:$A$130,"&gt;="&amp;Diagram!$O31,'J1 D - South Bank Avenue'!$A$12:$A$130,"&lt;"&amp;Diagram!$P31),SUMIFS(INDIRECT(ADDRESS(12,3+18*1+(11),,,"J1 D - South Bank Avenue")&amp;":"&amp;ADDRESS(130,3+18*1+(11))),'J1 D - South Bank Avenue'!$A$12:$A$130,"&gt;="&amp;Diagram!$O31,'J1 D - South Bank Avenue'!$A$12:$A$130,"&lt;"&amp;Diagram!$P31)))</f>
        <v>0</v>
      </c>
      <c r="CF31" s="42">
        <f ca="1">IF(OR($I$10="",$O31="",$P31="",$J$38&lt;&gt;"Yes"),0,IF($K$10=0,SUMIFS(INDIRECT(ADDRESS(12,3+18*2+(3),,,"J1 D - South Bank Avenue")&amp;":"&amp;ADDRESS(130,3+18*2+(3))),'J1 D - South Bank Avenue'!$A$12:$A$130,"&gt;="&amp;Diagram!$O31,'J1 D - South Bank Avenue'!$A$12:$A$130,"&lt;"&amp;Diagram!$P31),SUMIFS(INDIRECT(ADDRESS(12,3+18*2+(11),,,"J1 D - South Bank Avenue")&amp;":"&amp;ADDRESS(130,3+18*2+(11))),'J1 D - South Bank Avenue'!$A$12:$A$130,"&gt;="&amp;Diagram!$O31,'J1 D - South Bank Avenue'!$A$12:$A$130,"&lt;"&amp;Diagram!$P31)))</f>
        <v>0</v>
      </c>
      <c r="CG31" s="42">
        <f ca="1">IF(OR($I$10="",$O31="",$P31="",$J$38&lt;&gt;"Yes"),0,IF($K$10=0,SUMIFS(INDIRECT(ADDRESS(12,3+18*3+(3),,,"J1 D - South Bank Avenue")&amp;":"&amp;ADDRESS(130,3+18*3+(3))),'J1 D - South Bank Avenue'!$A$12:$A$130,"&gt;="&amp;Diagram!$O31,'J1 D - South Bank Avenue'!$A$12:$A$130,"&lt;"&amp;Diagram!$P31),SUMIFS(INDIRECT(ADDRESS(12,3+18*3+(11),,,"J1 D - South Bank Avenue")&amp;":"&amp;ADDRESS(130,3+18*3+(11))),'J1 D - South Bank Avenue'!$A$12:$A$130,"&gt;="&amp;Diagram!$O31,'J1 D - South Bank Avenue'!$A$12:$A$130,"&lt;"&amp;Diagram!$P31)))</f>
        <v>0</v>
      </c>
      <c r="CH31" s="42">
        <f t="shared" ca="1" si="5"/>
        <v>5</v>
      </c>
      <c r="CI31" s="42">
        <f ca="1">IF(OR($I$10="",$O31="",$P31="",$J$39&lt;&gt;"Yes"),0,IF($K$10=0,SUMIFS(INDIRECT(ADDRESS(12,3+18*3+(4),,,"J1 A - (North) Bishopthorpe Roa")&amp;":"&amp;ADDRESS(130,3+18*3+(4))),'J1 A - (North) Bishopthorpe Roa'!$A$12:$A$130,"&gt;="&amp;Diagram!$O31,'J1 A - (North) Bishopthorpe Roa'!$A$12:$A$130,"&lt;"&amp;Diagram!$P31),SUMIFS(INDIRECT(ADDRESS(12,3+18*3+(12),,,"J1 A - (North) Bishopthorpe Roa")&amp;":"&amp;ADDRESS(130,3+18*3+(12))),'J1 A - (North) Bishopthorpe Roa'!$A$12:$A$130,"&gt;="&amp;Diagram!$O31,'J1 A - (North) Bishopthorpe Roa'!$A$12:$A$130,"&lt;"&amp;Diagram!$P31)))</f>
        <v>0</v>
      </c>
      <c r="CJ31" s="42">
        <f ca="1">IF(OR($I$10="",$O31="",$P31="",$J$39&lt;&gt;"Yes"),0,IF($K$10=0,SUMIFS(INDIRECT(ADDRESS(12,3+18*0+(4),,,"J1 A - (North) Bishopthorpe Roa")&amp;":"&amp;ADDRESS(130,3+18*0+(4))),'J1 A - (North) Bishopthorpe Roa'!$A$12:$A$130,"&gt;="&amp;Diagram!$O31,'J1 A - (North) Bishopthorpe Roa'!$A$12:$A$130,"&lt;"&amp;Diagram!$P31),SUMIFS(INDIRECT(ADDRESS(12,3+18*0+(12),,,"J1 A - (North) Bishopthorpe Roa")&amp;":"&amp;ADDRESS(130,3+18*0+(12))),'J1 A - (North) Bishopthorpe Roa'!$A$12:$A$130,"&gt;="&amp;Diagram!$O31,'J1 A - (North) Bishopthorpe Roa'!$A$12:$A$130,"&lt;"&amp;Diagram!$P31)))</f>
        <v>0</v>
      </c>
      <c r="CK31" s="42">
        <f ca="1">IF(OR($I$10="",$O31="",$P31="",$J$39&lt;&gt;"Yes"),0,IF($K$10=0,SUMIFS(INDIRECT(ADDRESS(12,3+18*1+(4),,,"J1 A - (North) Bishopthorpe Roa")&amp;":"&amp;ADDRESS(130,3+18*1+(4))),'J1 A - (North) Bishopthorpe Roa'!$A$12:$A$130,"&gt;="&amp;Diagram!$O31,'J1 A - (North) Bishopthorpe Roa'!$A$12:$A$130,"&lt;"&amp;Diagram!$P31),SUMIFS(INDIRECT(ADDRESS(12,3+18*1+(12),,,"J1 A - (North) Bishopthorpe Roa")&amp;":"&amp;ADDRESS(130,3+18*1+(12))),'J1 A - (North) Bishopthorpe Roa'!$A$12:$A$130,"&gt;="&amp;Diagram!$O31,'J1 A - (North) Bishopthorpe Roa'!$A$12:$A$130,"&lt;"&amp;Diagram!$P31)))</f>
        <v>2</v>
      </c>
      <c r="CL31" s="42">
        <f ca="1">IF(OR($I$10="",$O31="",$P31="",$J$39&lt;&gt;"Yes"),0,IF($K$10=0,SUMIFS(INDIRECT(ADDRESS(12,3+18*2+(4),,,"J1 A - (North) Bishopthorpe Roa")&amp;":"&amp;ADDRESS(130,3+18*2+(4))),'J1 A - (North) Bishopthorpe Roa'!$A$12:$A$130,"&gt;="&amp;Diagram!$O31,'J1 A - (North) Bishopthorpe Roa'!$A$12:$A$130,"&lt;"&amp;Diagram!$P31),SUMIFS(INDIRECT(ADDRESS(12,3+18*2+(12),,,"J1 A - (North) Bishopthorpe Roa")&amp;":"&amp;ADDRESS(130,3+18*2+(12))),'J1 A - (North) Bishopthorpe Roa'!$A$12:$A$130,"&gt;="&amp;Diagram!$O31,'J1 A - (North) Bishopthorpe Roa'!$A$12:$A$130,"&lt;"&amp;Diagram!$P31)))</f>
        <v>0</v>
      </c>
      <c r="CM31" s="42">
        <f ca="1">IF(OR($I$10="",$O31="",$P31="",$J$39&lt;&gt;"Yes"),0,IF($K$10=0,SUMIFS(INDIRECT(ADDRESS(12,3+18*2+(4),,,"J1 B - Butcher Terrace")&amp;":"&amp;ADDRESS(130,3+18*2+(4))),'J1 B - Butcher Terrace'!$A$12:$A$130,"&gt;="&amp;Diagram!$O31,'J1 B - Butcher Terrace'!$A$12:$A$130,"&lt;"&amp;Diagram!$P31),SUMIFS(INDIRECT(ADDRESS(12,3+18*2+(12),,,"J1 B - Butcher Terrace")&amp;":"&amp;ADDRESS(130,3+18*2+(12))),'J1 B - Butcher Terrace'!$A$12:$A$130,"&gt;="&amp;Diagram!$O31,'J1 B - Butcher Terrace'!$A$12:$A$130,"&lt;"&amp;Diagram!$P31)))</f>
        <v>0</v>
      </c>
      <c r="CN31" s="42">
        <f ca="1">IF(OR($I$10="",$O31="",$P31="",$J$39&lt;&gt;"Yes"),0,IF($K$10=0,SUMIFS(INDIRECT(ADDRESS(12,3+18*3+(4),,,"J1 B - Butcher Terrace")&amp;":"&amp;ADDRESS(130,3+18*3+(4))),'J1 B - Butcher Terrace'!$A$12:$A$130,"&gt;="&amp;Diagram!$O31,'J1 B - Butcher Terrace'!$A$12:$A$130,"&lt;"&amp;Diagram!$P31),SUMIFS(INDIRECT(ADDRESS(12,3+18*3+(12),,,"J1 B - Butcher Terrace")&amp;":"&amp;ADDRESS(130,3+18*3+(12))),'J1 B - Butcher Terrace'!$A$12:$A$130,"&gt;="&amp;Diagram!$O31,'J1 B - Butcher Terrace'!$A$12:$A$130,"&lt;"&amp;Diagram!$P31)))</f>
        <v>0</v>
      </c>
      <c r="CO31" s="42">
        <f ca="1">IF(OR($I$10="",$O31="",$P31="",$J$39&lt;&gt;"Yes"),0,IF($K$10=0,SUMIFS(INDIRECT(ADDRESS(12,3+18*0+(4),,,"J1 B - Butcher Terrace")&amp;":"&amp;ADDRESS(130,3+18*0+(4))),'J1 B - Butcher Terrace'!$A$12:$A$130,"&gt;="&amp;Diagram!$O31,'J1 B - Butcher Terrace'!$A$12:$A$130,"&lt;"&amp;Diagram!$P31),SUMIFS(INDIRECT(ADDRESS(12,3+18*0+(12),,,"J1 B - Butcher Terrace")&amp;":"&amp;ADDRESS(130,3+18*0+(12))),'J1 B - Butcher Terrace'!$A$12:$A$130,"&gt;="&amp;Diagram!$O31,'J1 B - Butcher Terrace'!$A$12:$A$130,"&lt;"&amp;Diagram!$P31)))</f>
        <v>0</v>
      </c>
      <c r="CP31" s="42">
        <f ca="1">IF(OR($I$10="",$O31="",$P31="",$J$39&lt;&gt;"Yes"),0,IF($K$10=0,SUMIFS(INDIRECT(ADDRESS(12,3+18*1+(4),,,"J1 B - Butcher Terrace")&amp;":"&amp;ADDRESS(130,3+18*1+(4))),'J1 B - Butcher Terrace'!$A$12:$A$130,"&gt;="&amp;Diagram!$O31,'J1 B - Butcher Terrace'!$A$12:$A$130,"&lt;"&amp;Diagram!$P31),SUMIFS(INDIRECT(ADDRESS(12,3+18*1+(12),,,"J1 B - Butcher Terrace")&amp;":"&amp;ADDRESS(130,3+18*1+(12))),'J1 B - Butcher Terrace'!$A$12:$A$130,"&gt;="&amp;Diagram!$O31,'J1 B - Butcher Terrace'!$A$12:$A$130,"&lt;"&amp;Diagram!$P31)))</f>
        <v>0</v>
      </c>
      <c r="CQ31" s="42">
        <f ca="1">IF(OR($I$10="",$O31="",$P31="",$J$39&lt;&gt;"Yes"),0,IF($K$10=0,SUMIFS(INDIRECT(ADDRESS(12,3+18*1+(4),,,"J1 C - (South) Bishopthorpe Roa")&amp;":"&amp;ADDRESS(130,3+18*1+(4))),'J1 C - (South) Bishopthorpe Roa'!$A$12:$A$130,"&gt;="&amp;Diagram!$O31,'J1 C - (South) Bishopthorpe Roa'!$A$12:$A$130,"&lt;"&amp;Diagram!$P31),SUMIFS(INDIRECT(ADDRESS(12,3+18*1+(12),,,"J1 C - (South) Bishopthorpe Roa")&amp;":"&amp;ADDRESS(130,3+18*1+(12))),'J1 C - (South) Bishopthorpe Roa'!$A$12:$A$130,"&gt;="&amp;Diagram!$O31,'J1 C - (South) Bishopthorpe Roa'!$A$12:$A$130,"&lt;"&amp;Diagram!$P31)))</f>
        <v>3</v>
      </c>
      <c r="CR31" s="42">
        <f ca="1">IF(OR($I$10="",$O31="",$P31="",$J$39&lt;&gt;"Yes"),0,IF($K$10=0,SUMIFS(INDIRECT(ADDRESS(12,3+18*2+(4),,,"J1 C - (South) Bishopthorpe Roa")&amp;":"&amp;ADDRESS(130,3+18*2+(4))),'J1 C - (South) Bishopthorpe Roa'!$A$12:$A$130,"&gt;="&amp;Diagram!$O31,'J1 C - (South) Bishopthorpe Roa'!$A$12:$A$130,"&lt;"&amp;Diagram!$P31),SUMIFS(INDIRECT(ADDRESS(12,3+18*2+(12),,,"J1 C - (South) Bishopthorpe Roa")&amp;":"&amp;ADDRESS(130,3+18*2+(12))),'J1 C - (South) Bishopthorpe Roa'!$A$12:$A$130,"&gt;="&amp;Diagram!$O31,'J1 C - (South) Bishopthorpe Roa'!$A$12:$A$130,"&lt;"&amp;Diagram!$P31)))</f>
        <v>0</v>
      </c>
      <c r="CS31" s="42">
        <f ca="1">IF(OR($I$10="",$O31="",$P31="",$J$39&lt;&gt;"Yes"),0,IF($K$10=0,SUMIFS(INDIRECT(ADDRESS(12,3+18*3+(4),,,"J1 C - (South) Bishopthorpe Roa")&amp;":"&amp;ADDRESS(130,3+18*3+(4))),'J1 C - (South) Bishopthorpe Roa'!$A$12:$A$130,"&gt;="&amp;Diagram!$O31,'J1 C - (South) Bishopthorpe Roa'!$A$12:$A$130,"&lt;"&amp;Diagram!$P31),SUMIFS(INDIRECT(ADDRESS(12,3+18*3+(12),,,"J1 C - (South) Bishopthorpe Roa")&amp;":"&amp;ADDRESS(130,3+18*3+(12))),'J1 C - (South) Bishopthorpe Roa'!$A$12:$A$130,"&gt;="&amp;Diagram!$O31,'J1 C - (South) Bishopthorpe Roa'!$A$12:$A$130,"&lt;"&amp;Diagram!$P31)))</f>
        <v>0</v>
      </c>
      <c r="CT31" s="42">
        <f ca="1">IF(OR($I$10="",$O31="",$P31="",$J$39&lt;&gt;"Yes"),0,IF($K$10=0,SUMIFS(INDIRECT(ADDRESS(12,3+18*0+(4),,,"J1 C - (South) Bishopthorpe Roa")&amp;":"&amp;ADDRESS(130,3+18*0+(4))),'J1 C - (South) Bishopthorpe Roa'!$A$12:$A$130,"&gt;="&amp;Diagram!$O31,'J1 C - (South) Bishopthorpe Roa'!$A$12:$A$130,"&lt;"&amp;Diagram!$P31),SUMIFS(INDIRECT(ADDRESS(12,3+18*0+(12),,,"J1 C - (South) Bishopthorpe Roa")&amp;":"&amp;ADDRESS(130,3+18*0+(12))),'J1 C - (South) Bishopthorpe Roa'!$A$12:$A$130,"&gt;="&amp;Diagram!$O31,'J1 C - (South) Bishopthorpe Roa'!$A$12:$A$130,"&lt;"&amp;Diagram!$P31)))</f>
        <v>0</v>
      </c>
      <c r="CU31" s="42">
        <f ca="1">IF(OR($I$10="",$O31="",$P31="",$J$39&lt;&gt;"Yes"),0,IF($K$10=0,SUMIFS(INDIRECT(ADDRESS(12,3+18*0+(4),,,"J1 D - South Bank Avenue")&amp;":"&amp;ADDRESS(130,3+18*0+(4))),'J1 D - South Bank Avenue'!$A$12:$A$130,"&gt;="&amp;Diagram!$O31,'J1 D - South Bank Avenue'!$A$12:$A$130,"&lt;"&amp;Diagram!$P31),SUMIFS(INDIRECT(ADDRESS(12,3+18*0+(12),,,"J1 D - South Bank Avenue")&amp;":"&amp;ADDRESS(130,3+18*0+(12))),'J1 D - South Bank Avenue'!$A$12:$A$130,"&gt;="&amp;Diagram!$O31,'J1 D - South Bank Avenue'!$A$12:$A$130,"&lt;"&amp;Diagram!$P31)))</f>
        <v>0</v>
      </c>
      <c r="CV31" s="42">
        <f ca="1">IF(OR($I$10="",$O31="",$P31="",$J$39&lt;&gt;"Yes"),0,IF($K$10=0,SUMIFS(INDIRECT(ADDRESS(12,3+18*1+(4),,,"J1 D - South Bank Avenue")&amp;":"&amp;ADDRESS(130,3+18*1+(4))),'J1 D - South Bank Avenue'!$A$12:$A$130,"&gt;="&amp;Diagram!$O31,'J1 D - South Bank Avenue'!$A$12:$A$130,"&lt;"&amp;Diagram!$P31),SUMIFS(INDIRECT(ADDRESS(12,3+18*1+(12),,,"J1 D - South Bank Avenue")&amp;":"&amp;ADDRESS(130,3+18*1+(12))),'J1 D - South Bank Avenue'!$A$12:$A$130,"&gt;="&amp;Diagram!$O31,'J1 D - South Bank Avenue'!$A$12:$A$130,"&lt;"&amp;Diagram!$P31)))</f>
        <v>0</v>
      </c>
      <c r="CW31" s="42">
        <f ca="1">IF(OR($I$10="",$O31="",$P31="",$J$39&lt;&gt;"Yes"),0,IF($K$10=0,SUMIFS(INDIRECT(ADDRESS(12,3+18*2+(4),,,"J1 D - South Bank Avenue")&amp;":"&amp;ADDRESS(130,3+18*2+(4))),'J1 D - South Bank Avenue'!$A$12:$A$130,"&gt;="&amp;Diagram!$O31,'J1 D - South Bank Avenue'!$A$12:$A$130,"&lt;"&amp;Diagram!$P31),SUMIFS(INDIRECT(ADDRESS(12,3+18*2+(12),,,"J1 D - South Bank Avenue")&amp;":"&amp;ADDRESS(130,3+18*2+(12))),'J1 D - South Bank Avenue'!$A$12:$A$130,"&gt;="&amp;Diagram!$O31,'J1 D - South Bank Avenue'!$A$12:$A$130,"&lt;"&amp;Diagram!$P31)))</f>
        <v>0</v>
      </c>
      <c r="CX31" s="42">
        <f ca="1">IF(OR($I$10="",$O31="",$P31="",$J$39&lt;&gt;"Yes"),0,IF($K$10=0,SUMIFS(INDIRECT(ADDRESS(12,3+18*3+(4),,,"J1 D - South Bank Avenue")&amp;":"&amp;ADDRESS(130,3+18*3+(4))),'J1 D - South Bank Avenue'!$A$12:$A$130,"&gt;="&amp;Diagram!$O31,'J1 D - South Bank Avenue'!$A$12:$A$130,"&lt;"&amp;Diagram!$P31),SUMIFS(INDIRECT(ADDRESS(12,3+18*3+(12),,,"J1 D - South Bank Avenue")&amp;":"&amp;ADDRESS(130,3+18*3+(12))),'J1 D - South Bank Avenue'!$A$12:$A$130,"&gt;="&amp;Diagram!$O31,'J1 D - South Bank Avenue'!$A$12:$A$130,"&lt;"&amp;Diagram!$P31)))</f>
        <v>0</v>
      </c>
      <c r="CY31" s="42">
        <f t="shared" ca="1" si="6"/>
        <v>100</v>
      </c>
      <c r="CZ31" s="42">
        <f ca="1">IF(OR($I$10="",$O31="",$P31="",$J$40&lt;&gt;"Yes"),0,IF($K$10=0,SUMIFS(INDIRECT(ADDRESS(12,3+18*3+(5),,,"J1 A - (North) Bishopthorpe Roa")&amp;":"&amp;ADDRESS(130,3+18*3+(5))),'J1 A - (North) Bishopthorpe Roa'!$A$12:$A$130,"&gt;="&amp;Diagram!$O31,'J1 A - (North) Bishopthorpe Roa'!$A$12:$A$130,"&lt;"&amp;Diagram!$P31),SUMIFS(INDIRECT(ADDRESS(12,3+18*3+(13),,,"J1 A - (North) Bishopthorpe Roa")&amp;":"&amp;ADDRESS(130,3+18*3+(13))),'J1 A - (North) Bishopthorpe Roa'!$A$12:$A$130,"&gt;="&amp;Diagram!$O31,'J1 A - (North) Bishopthorpe Roa'!$A$12:$A$130,"&lt;"&amp;Diagram!$P31)))</f>
        <v>0</v>
      </c>
      <c r="DA31" s="42">
        <f ca="1">IF(OR($I$10="",$O31="",$P31="",$J$40&lt;&gt;"Yes"),0,IF($K$10=0,SUMIFS(INDIRECT(ADDRESS(12,3+18*0+(5),,,"J1 A - (North) Bishopthorpe Roa")&amp;":"&amp;ADDRESS(130,3+18*0+(5))),'J1 A - (North) Bishopthorpe Roa'!$A$12:$A$130,"&gt;="&amp;Diagram!$O31,'J1 A - (North) Bishopthorpe Roa'!$A$12:$A$130,"&lt;"&amp;Diagram!$P31),SUMIFS(INDIRECT(ADDRESS(12,3+18*0+(13),,,"J1 A - (North) Bishopthorpe Roa")&amp;":"&amp;ADDRESS(130,3+18*0+(13))),'J1 A - (North) Bishopthorpe Roa'!$A$12:$A$130,"&gt;="&amp;Diagram!$O31,'J1 A - (North) Bishopthorpe Roa'!$A$12:$A$130,"&lt;"&amp;Diagram!$P31)))</f>
        <v>8</v>
      </c>
      <c r="DB31" s="42">
        <f ca="1">IF(OR($I$10="",$O31="",$P31="",$J$40&lt;&gt;"Yes"),0,IF($K$10=0,SUMIFS(INDIRECT(ADDRESS(12,3+18*1+(5),,,"J1 A - (North) Bishopthorpe Roa")&amp;":"&amp;ADDRESS(130,3+18*1+(5))),'J1 A - (North) Bishopthorpe Roa'!$A$12:$A$130,"&gt;="&amp;Diagram!$O31,'J1 A - (North) Bishopthorpe Roa'!$A$12:$A$130,"&lt;"&amp;Diagram!$P31),SUMIFS(INDIRECT(ADDRESS(12,3+18*1+(13),,,"J1 A - (North) Bishopthorpe Roa")&amp;":"&amp;ADDRESS(130,3+18*1+(13))),'J1 A - (North) Bishopthorpe Roa'!$A$12:$A$130,"&gt;="&amp;Diagram!$O31,'J1 A - (North) Bishopthorpe Roa'!$A$12:$A$130,"&lt;"&amp;Diagram!$P31)))</f>
        <v>5</v>
      </c>
      <c r="DC31" s="42">
        <f ca="1">IF(OR($I$10="",$O31="",$P31="",$J$40&lt;&gt;"Yes"),0,IF($K$10=0,SUMIFS(INDIRECT(ADDRESS(12,3+18*2+(5),,,"J1 A - (North) Bishopthorpe Roa")&amp;":"&amp;ADDRESS(130,3+18*2+(5))),'J1 A - (North) Bishopthorpe Roa'!$A$12:$A$130,"&gt;="&amp;Diagram!$O31,'J1 A - (North) Bishopthorpe Roa'!$A$12:$A$130,"&lt;"&amp;Diagram!$P31),SUMIFS(INDIRECT(ADDRESS(12,3+18*2+(13),,,"J1 A - (North) Bishopthorpe Roa")&amp;":"&amp;ADDRESS(130,3+18*2+(13))),'J1 A - (North) Bishopthorpe Roa'!$A$12:$A$130,"&gt;="&amp;Diagram!$O31,'J1 A - (North) Bishopthorpe Roa'!$A$12:$A$130,"&lt;"&amp;Diagram!$P31)))</f>
        <v>0</v>
      </c>
      <c r="DD31" s="42">
        <f ca="1">IF(OR($I$10="",$O31="",$P31="",$J$40&lt;&gt;"Yes"),0,IF($K$10=0,SUMIFS(INDIRECT(ADDRESS(12,3+18*2+(5),,,"J1 B - Butcher Terrace")&amp;":"&amp;ADDRESS(130,3+18*2+(5))),'J1 B - Butcher Terrace'!$A$12:$A$130,"&gt;="&amp;Diagram!$O31,'J1 B - Butcher Terrace'!$A$12:$A$130,"&lt;"&amp;Diagram!$P31),SUMIFS(INDIRECT(ADDRESS(12,3+18*2+(13),,,"J1 B - Butcher Terrace")&amp;":"&amp;ADDRESS(130,3+18*2+(13))),'J1 B - Butcher Terrace'!$A$12:$A$130,"&gt;="&amp;Diagram!$O31,'J1 B - Butcher Terrace'!$A$12:$A$130,"&lt;"&amp;Diagram!$P31)))</f>
        <v>7</v>
      </c>
      <c r="DE31" s="42">
        <f ca="1">IF(OR($I$10="",$O31="",$P31="",$J$40&lt;&gt;"Yes"),0,IF($K$10=0,SUMIFS(INDIRECT(ADDRESS(12,3+18*3+(5),,,"J1 B - Butcher Terrace")&amp;":"&amp;ADDRESS(130,3+18*3+(5))),'J1 B - Butcher Terrace'!$A$12:$A$130,"&gt;="&amp;Diagram!$O31,'J1 B - Butcher Terrace'!$A$12:$A$130,"&lt;"&amp;Diagram!$P31),SUMIFS(INDIRECT(ADDRESS(12,3+18*3+(13),,,"J1 B - Butcher Terrace")&amp;":"&amp;ADDRESS(130,3+18*3+(13))),'J1 B - Butcher Terrace'!$A$12:$A$130,"&gt;="&amp;Diagram!$O31,'J1 B - Butcher Terrace'!$A$12:$A$130,"&lt;"&amp;Diagram!$P31)))</f>
        <v>0</v>
      </c>
      <c r="DF31" s="42">
        <f ca="1">IF(OR($I$10="",$O31="",$P31="",$J$40&lt;&gt;"Yes"),0,IF($K$10=0,SUMIFS(INDIRECT(ADDRESS(12,3+18*0+(5),,,"J1 B - Butcher Terrace")&amp;":"&amp;ADDRESS(130,3+18*0+(5))),'J1 B - Butcher Terrace'!$A$12:$A$130,"&gt;="&amp;Diagram!$O31,'J1 B - Butcher Terrace'!$A$12:$A$130,"&lt;"&amp;Diagram!$P31),SUMIFS(INDIRECT(ADDRESS(12,3+18*0+(13),,,"J1 B - Butcher Terrace")&amp;":"&amp;ADDRESS(130,3+18*0+(13))),'J1 B - Butcher Terrace'!$A$12:$A$130,"&gt;="&amp;Diagram!$O31,'J1 B - Butcher Terrace'!$A$12:$A$130,"&lt;"&amp;Diagram!$P31)))</f>
        <v>7</v>
      </c>
      <c r="DG31" s="42">
        <f ca="1">IF(OR($I$10="",$O31="",$P31="",$J$40&lt;&gt;"Yes"),0,IF($K$10=0,SUMIFS(INDIRECT(ADDRESS(12,3+18*1+(5),,,"J1 B - Butcher Terrace")&amp;":"&amp;ADDRESS(130,3+18*1+(5))),'J1 B - Butcher Terrace'!$A$12:$A$130,"&gt;="&amp;Diagram!$O31,'J1 B - Butcher Terrace'!$A$12:$A$130,"&lt;"&amp;Diagram!$P31),SUMIFS(INDIRECT(ADDRESS(12,3+18*1+(13),,,"J1 B - Butcher Terrace")&amp;":"&amp;ADDRESS(130,3+18*1+(13))),'J1 B - Butcher Terrace'!$A$12:$A$130,"&gt;="&amp;Diagram!$O31,'J1 B - Butcher Terrace'!$A$12:$A$130,"&lt;"&amp;Diagram!$P31)))</f>
        <v>5</v>
      </c>
      <c r="DH31" s="42">
        <f ca="1">IF(OR($I$10="",$O31="",$P31="",$J$40&lt;&gt;"Yes"),0,IF($K$10=0,SUMIFS(INDIRECT(ADDRESS(12,3+18*1+(5),,,"J1 C - (South) Bishopthorpe Roa")&amp;":"&amp;ADDRESS(130,3+18*1+(5))),'J1 C - (South) Bishopthorpe Roa'!$A$12:$A$130,"&gt;="&amp;Diagram!$O31,'J1 C - (South) Bishopthorpe Roa'!$A$12:$A$130,"&lt;"&amp;Diagram!$P31),SUMIFS(INDIRECT(ADDRESS(12,3+18*1+(13),,,"J1 C - (South) Bishopthorpe Roa")&amp;":"&amp;ADDRESS(130,3+18*1+(13))),'J1 C - (South) Bishopthorpe Roa'!$A$12:$A$130,"&gt;="&amp;Diagram!$O31,'J1 C - (South) Bishopthorpe Roa'!$A$12:$A$130,"&lt;"&amp;Diagram!$P31)))</f>
        <v>24</v>
      </c>
      <c r="DI31" s="42">
        <f ca="1">IF(OR($I$10="",$O31="",$P31="",$J$40&lt;&gt;"Yes"),0,IF($K$10=0,SUMIFS(INDIRECT(ADDRESS(12,3+18*2+(5),,,"J1 C - (South) Bishopthorpe Roa")&amp;":"&amp;ADDRESS(130,3+18*2+(5))),'J1 C - (South) Bishopthorpe Roa'!$A$12:$A$130,"&gt;="&amp;Diagram!$O31,'J1 C - (South) Bishopthorpe Roa'!$A$12:$A$130,"&lt;"&amp;Diagram!$P31),SUMIFS(INDIRECT(ADDRESS(12,3+18*2+(13),,,"J1 C - (South) Bishopthorpe Roa")&amp;":"&amp;ADDRESS(130,3+18*2+(13))),'J1 C - (South) Bishopthorpe Roa'!$A$12:$A$130,"&gt;="&amp;Diagram!$O31,'J1 C - (South) Bishopthorpe Roa'!$A$12:$A$130,"&lt;"&amp;Diagram!$P31)))</f>
        <v>5</v>
      </c>
      <c r="DJ31" s="42">
        <f ca="1">IF(OR($I$10="",$O31="",$P31="",$J$40&lt;&gt;"Yes"),0,IF($K$10=0,SUMIFS(INDIRECT(ADDRESS(12,3+18*3+(5),,,"J1 C - (South) Bishopthorpe Roa")&amp;":"&amp;ADDRESS(130,3+18*3+(5))),'J1 C - (South) Bishopthorpe Roa'!$A$12:$A$130,"&gt;="&amp;Diagram!$O31,'J1 C - (South) Bishopthorpe Roa'!$A$12:$A$130,"&lt;"&amp;Diagram!$P31),SUMIFS(INDIRECT(ADDRESS(12,3+18*3+(13),,,"J1 C - (South) Bishopthorpe Roa")&amp;":"&amp;ADDRESS(130,3+18*3+(13))),'J1 C - (South) Bishopthorpe Roa'!$A$12:$A$130,"&gt;="&amp;Diagram!$O31,'J1 C - (South) Bishopthorpe Roa'!$A$12:$A$130,"&lt;"&amp;Diagram!$P31)))</f>
        <v>0</v>
      </c>
      <c r="DK31" s="42">
        <f ca="1">IF(OR($I$10="",$O31="",$P31="",$J$40&lt;&gt;"Yes"),0,IF($K$10=0,SUMIFS(INDIRECT(ADDRESS(12,3+18*0+(5),,,"J1 C - (South) Bishopthorpe Roa")&amp;":"&amp;ADDRESS(130,3+18*0+(5))),'J1 C - (South) Bishopthorpe Roa'!$A$12:$A$130,"&gt;="&amp;Diagram!$O31,'J1 C - (South) Bishopthorpe Roa'!$A$12:$A$130,"&lt;"&amp;Diagram!$P31),SUMIFS(INDIRECT(ADDRESS(12,3+18*0+(13),,,"J1 C - (South) Bishopthorpe Roa")&amp;":"&amp;ADDRESS(130,3+18*0+(13))),'J1 C - (South) Bishopthorpe Roa'!$A$12:$A$130,"&gt;="&amp;Diagram!$O31,'J1 C - (South) Bishopthorpe Roa'!$A$12:$A$130,"&lt;"&amp;Diagram!$P31)))</f>
        <v>1</v>
      </c>
      <c r="DL31" s="42">
        <f ca="1">IF(OR($I$10="",$O31="",$P31="",$J$40&lt;&gt;"Yes"),0,IF($K$10=0,SUMIFS(INDIRECT(ADDRESS(12,3+18*0+(5),,,"J1 D - South Bank Avenue")&amp;":"&amp;ADDRESS(130,3+18*0+(5))),'J1 D - South Bank Avenue'!$A$12:$A$130,"&gt;="&amp;Diagram!$O31,'J1 D - South Bank Avenue'!$A$12:$A$130,"&lt;"&amp;Diagram!$P31),SUMIFS(INDIRECT(ADDRESS(12,3+18*0+(13),,,"J1 D - South Bank Avenue")&amp;":"&amp;ADDRESS(130,3+18*0+(13))),'J1 D - South Bank Avenue'!$A$12:$A$130,"&gt;="&amp;Diagram!$O31,'J1 D - South Bank Avenue'!$A$12:$A$130,"&lt;"&amp;Diagram!$P31)))</f>
        <v>3</v>
      </c>
      <c r="DM31" s="42">
        <f ca="1">IF(OR($I$10="",$O31="",$P31="",$J$40&lt;&gt;"Yes"),0,IF($K$10=0,SUMIFS(INDIRECT(ADDRESS(12,3+18*1+(5),,,"J1 D - South Bank Avenue")&amp;":"&amp;ADDRESS(130,3+18*1+(5))),'J1 D - South Bank Avenue'!$A$12:$A$130,"&gt;="&amp;Diagram!$O31,'J1 D - South Bank Avenue'!$A$12:$A$130,"&lt;"&amp;Diagram!$P31),SUMIFS(INDIRECT(ADDRESS(12,3+18*1+(13),,,"J1 D - South Bank Avenue")&amp;":"&amp;ADDRESS(130,3+18*1+(13))),'J1 D - South Bank Avenue'!$A$12:$A$130,"&gt;="&amp;Diagram!$O31,'J1 D - South Bank Avenue'!$A$12:$A$130,"&lt;"&amp;Diagram!$P31)))</f>
        <v>34</v>
      </c>
      <c r="DN31" s="42">
        <f ca="1">IF(OR($I$10="",$O31="",$P31="",$J$40&lt;&gt;"Yes"),0,IF($K$10=0,SUMIFS(INDIRECT(ADDRESS(12,3+18*2+(5),,,"J1 D - South Bank Avenue")&amp;":"&amp;ADDRESS(130,3+18*2+(5))),'J1 D - South Bank Avenue'!$A$12:$A$130,"&gt;="&amp;Diagram!$O31,'J1 D - South Bank Avenue'!$A$12:$A$130,"&lt;"&amp;Diagram!$P31),SUMIFS(INDIRECT(ADDRESS(12,3+18*2+(13),,,"J1 D - South Bank Avenue")&amp;":"&amp;ADDRESS(130,3+18*2+(13))),'J1 D - South Bank Avenue'!$A$12:$A$130,"&gt;="&amp;Diagram!$O31,'J1 D - South Bank Avenue'!$A$12:$A$130,"&lt;"&amp;Diagram!$P31)))</f>
        <v>1</v>
      </c>
      <c r="DO31" s="42">
        <f ca="1">IF(OR($I$10="",$O31="",$P31="",$J$40&lt;&gt;"Yes"),0,IF($K$10=0,SUMIFS(INDIRECT(ADDRESS(12,3+18*3+(5),,,"J1 D - South Bank Avenue")&amp;":"&amp;ADDRESS(130,3+18*3+(5))),'J1 D - South Bank Avenue'!$A$12:$A$130,"&gt;="&amp;Diagram!$O31,'J1 D - South Bank Avenue'!$A$12:$A$130,"&lt;"&amp;Diagram!$P31),SUMIFS(INDIRECT(ADDRESS(12,3+18*3+(13),,,"J1 D - South Bank Avenue")&amp;":"&amp;ADDRESS(130,3+18*3+(13))),'J1 D - South Bank Avenue'!$A$12:$A$130,"&gt;="&amp;Diagram!$O31,'J1 D - South Bank Avenue'!$A$12:$A$130,"&lt;"&amp;Diagram!$P31)))</f>
        <v>0</v>
      </c>
      <c r="DP31" s="42">
        <f t="shared" ca="1" si="7"/>
        <v>1</v>
      </c>
      <c r="DQ31" s="42">
        <f ca="1">IF(OR($I$10="",$O31="",$P31="",$J$41&lt;&gt;"Yes"),0,IF($K$10=0,SUMIFS(INDIRECT(ADDRESS(12,3+18*3+(6),,,"J1 A - (North) Bishopthorpe Roa")&amp;":"&amp;ADDRESS(130,3+18*3+(6))),'J1 A - (North) Bishopthorpe Roa'!$A$12:$A$130,"&gt;="&amp;Diagram!$O31,'J1 A - (North) Bishopthorpe Roa'!$A$12:$A$130,"&lt;"&amp;Diagram!$P31),SUMIFS(INDIRECT(ADDRESS(12,3+18*3+(14),,,"J1 A - (North) Bishopthorpe Roa")&amp;":"&amp;ADDRESS(130,3+18*3+(14))),'J1 A - (North) Bishopthorpe Roa'!$A$12:$A$130,"&gt;="&amp;Diagram!$O31,'J1 A - (North) Bishopthorpe Roa'!$A$12:$A$130,"&lt;"&amp;Diagram!$P31)))</f>
        <v>0</v>
      </c>
      <c r="DR31" s="42">
        <f ca="1">IF(OR($I$10="",$O31="",$P31="",$J$41&lt;&gt;"Yes"),0,IF($K$10=0,SUMIFS(INDIRECT(ADDRESS(12,3+18*0+(6),,,"J1 A - (North) Bishopthorpe Roa")&amp;":"&amp;ADDRESS(130,3+18*0+(6))),'J1 A - (North) Bishopthorpe Roa'!$A$12:$A$130,"&gt;="&amp;Diagram!$O31,'J1 A - (North) Bishopthorpe Roa'!$A$12:$A$130,"&lt;"&amp;Diagram!$P31),SUMIFS(INDIRECT(ADDRESS(12,3+18*0+(14),,,"J1 A - (North) Bishopthorpe Roa")&amp;":"&amp;ADDRESS(130,3+18*0+(14))),'J1 A - (North) Bishopthorpe Roa'!$A$12:$A$130,"&gt;="&amp;Diagram!$O31,'J1 A - (North) Bishopthorpe Roa'!$A$12:$A$130,"&lt;"&amp;Diagram!$P31)))</f>
        <v>0</v>
      </c>
      <c r="DS31" s="42">
        <f ca="1">IF(OR($I$10="",$O31="",$P31="",$J$41&lt;&gt;"Yes"),0,IF($K$10=0,SUMIFS(INDIRECT(ADDRESS(12,3+18*1+(6),,,"J1 A - (North) Bishopthorpe Roa")&amp;":"&amp;ADDRESS(130,3+18*1+(6))),'J1 A - (North) Bishopthorpe Roa'!$A$12:$A$130,"&gt;="&amp;Diagram!$O31,'J1 A - (North) Bishopthorpe Roa'!$A$12:$A$130,"&lt;"&amp;Diagram!$P31),SUMIFS(INDIRECT(ADDRESS(12,3+18*1+(14),,,"J1 A - (North) Bishopthorpe Roa")&amp;":"&amp;ADDRESS(130,3+18*1+(14))),'J1 A - (North) Bishopthorpe Roa'!$A$12:$A$130,"&gt;="&amp;Diagram!$O31,'J1 A - (North) Bishopthorpe Roa'!$A$12:$A$130,"&lt;"&amp;Diagram!$P31)))</f>
        <v>0</v>
      </c>
      <c r="DT31" s="42">
        <f ca="1">IF(OR($I$10="",$O31="",$P31="",$J$41&lt;&gt;"Yes"),0,IF($K$10=0,SUMIFS(INDIRECT(ADDRESS(12,3+18*2+(6),,,"J1 A - (North) Bishopthorpe Roa")&amp;":"&amp;ADDRESS(130,3+18*2+(6))),'J1 A - (North) Bishopthorpe Roa'!$A$12:$A$130,"&gt;="&amp;Diagram!$O31,'J1 A - (North) Bishopthorpe Roa'!$A$12:$A$130,"&lt;"&amp;Diagram!$P31),SUMIFS(INDIRECT(ADDRESS(12,3+18*2+(14),,,"J1 A - (North) Bishopthorpe Roa")&amp;":"&amp;ADDRESS(130,3+18*2+(14))),'J1 A - (North) Bishopthorpe Roa'!$A$12:$A$130,"&gt;="&amp;Diagram!$O31,'J1 A - (North) Bishopthorpe Roa'!$A$12:$A$130,"&lt;"&amp;Diagram!$P31)))</f>
        <v>0</v>
      </c>
      <c r="DU31" s="42">
        <f ca="1">IF(OR($I$10="",$O31="",$P31="",$J$41&lt;&gt;"Yes"),0,IF($K$10=0,SUMIFS(INDIRECT(ADDRESS(12,3+18*2+(6),,,"J1 B - Butcher Terrace")&amp;":"&amp;ADDRESS(130,3+18*2+(6))),'J1 B - Butcher Terrace'!$A$12:$A$130,"&gt;="&amp;Diagram!$O31,'J1 B - Butcher Terrace'!$A$12:$A$130,"&lt;"&amp;Diagram!$P31),SUMIFS(INDIRECT(ADDRESS(12,3+18*2+(14),,,"J1 B - Butcher Terrace")&amp;":"&amp;ADDRESS(130,3+18*2+(14))),'J1 B - Butcher Terrace'!$A$12:$A$130,"&gt;="&amp;Diagram!$O31,'J1 B - Butcher Terrace'!$A$12:$A$130,"&lt;"&amp;Diagram!$P31)))</f>
        <v>0</v>
      </c>
      <c r="DV31" s="42">
        <f ca="1">IF(OR($I$10="",$O31="",$P31="",$J$41&lt;&gt;"Yes"),0,IF($K$10=0,SUMIFS(INDIRECT(ADDRESS(12,3+18*3+(6),,,"J1 B - Butcher Terrace")&amp;":"&amp;ADDRESS(130,3+18*3+(6))),'J1 B - Butcher Terrace'!$A$12:$A$130,"&gt;="&amp;Diagram!$O31,'J1 B - Butcher Terrace'!$A$12:$A$130,"&lt;"&amp;Diagram!$P31),SUMIFS(INDIRECT(ADDRESS(12,3+18*3+(14),,,"J1 B - Butcher Terrace")&amp;":"&amp;ADDRESS(130,3+18*3+(14))),'J1 B - Butcher Terrace'!$A$12:$A$130,"&gt;="&amp;Diagram!$O31,'J1 B - Butcher Terrace'!$A$12:$A$130,"&lt;"&amp;Diagram!$P31)))</f>
        <v>0</v>
      </c>
      <c r="DW31" s="42">
        <f ca="1">IF(OR($I$10="",$O31="",$P31="",$J$41&lt;&gt;"Yes"),0,IF($K$10=0,SUMIFS(INDIRECT(ADDRESS(12,3+18*0+(6),,,"J1 B - Butcher Terrace")&amp;":"&amp;ADDRESS(130,3+18*0+(6))),'J1 B - Butcher Terrace'!$A$12:$A$130,"&gt;="&amp;Diagram!$O31,'J1 B - Butcher Terrace'!$A$12:$A$130,"&lt;"&amp;Diagram!$P31),SUMIFS(INDIRECT(ADDRESS(12,3+18*0+(14),,,"J1 B - Butcher Terrace")&amp;":"&amp;ADDRESS(130,3+18*0+(14))),'J1 B - Butcher Terrace'!$A$12:$A$130,"&gt;="&amp;Diagram!$O31,'J1 B - Butcher Terrace'!$A$12:$A$130,"&lt;"&amp;Diagram!$P31)))</f>
        <v>0</v>
      </c>
      <c r="DX31" s="42">
        <f ca="1">IF(OR($I$10="",$O31="",$P31="",$J$41&lt;&gt;"Yes"),0,IF($K$10=0,SUMIFS(INDIRECT(ADDRESS(12,3+18*1+(6),,,"J1 B - Butcher Terrace")&amp;":"&amp;ADDRESS(130,3+18*1+(6))),'J1 B - Butcher Terrace'!$A$12:$A$130,"&gt;="&amp;Diagram!$O31,'J1 B - Butcher Terrace'!$A$12:$A$130,"&lt;"&amp;Diagram!$P31),SUMIFS(INDIRECT(ADDRESS(12,3+18*1+(14),,,"J1 B - Butcher Terrace")&amp;":"&amp;ADDRESS(130,3+18*1+(14))),'J1 B - Butcher Terrace'!$A$12:$A$130,"&gt;="&amp;Diagram!$O31,'J1 B - Butcher Terrace'!$A$12:$A$130,"&lt;"&amp;Diagram!$P31)))</f>
        <v>0</v>
      </c>
      <c r="DY31" s="42">
        <f ca="1">IF(OR($I$10="",$O31="",$P31="",$J$41&lt;&gt;"Yes"),0,IF($K$10=0,SUMIFS(INDIRECT(ADDRESS(12,3+18*1+(6),,,"J1 C - (South) Bishopthorpe Roa")&amp;":"&amp;ADDRESS(130,3+18*1+(6))),'J1 C - (South) Bishopthorpe Roa'!$A$12:$A$130,"&gt;="&amp;Diagram!$O31,'J1 C - (South) Bishopthorpe Roa'!$A$12:$A$130,"&lt;"&amp;Diagram!$P31),SUMIFS(INDIRECT(ADDRESS(12,3+18*1+(14),,,"J1 C - (South) Bishopthorpe Roa")&amp;":"&amp;ADDRESS(130,3+18*1+(14))),'J1 C - (South) Bishopthorpe Roa'!$A$12:$A$130,"&gt;="&amp;Diagram!$O31,'J1 C - (South) Bishopthorpe Roa'!$A$12:$A$130,"&lt;"&amp;Diagram!$P31)))</f>
        <v>1</v>
      </c>
      <c r="DZ31" s="42">
        <f ca="1">IF(OR($I$10="",$O31="",$P31="",$J$41&lt;&gt;"Yes"),0,IF($K$10=0,SUMIFS(INDIRECT(ADDRESS(12,3+18*2+(6),,,"J1 C - (South) Bishopthorpe Roa")&amp;":"&amp;ADDRESS(130,3+18*2+(6))),'J1 C - (South) Bishopthorpe Roa'!$A$12:$A$130,"&gt;="&amp;Diagram!$O31,'J1 C - (South) Bishopthorpe Roa'!$A$12:$A$130,"&lt;"&amp;Diagram!$P31),SUMIFS(INDIRECT(ADDRESS(12,3+18*2+(14),,,"J1 C - (South) Bishopthorpe Roa")&amp;":"&amp;ADDRESS(130,3+18*2+(14))),'J1 C - (South) Bishopthorpe Roa'!$A$12:$A$130,"&gt;="&amp;Diagram!$O31,'J1 C - (South) Bishopthorpe Roa'!$A$12:$A$130,"&lt;"&amp;Diagram!$P31)))</f>
        <v>0</v>
      </c>
      <c r="EA31" s="42">
        <f ca="1">IF(OR($I$10="",$O31="",$P31="",$J$41&lt;&gt;"Yes"),0,IF($K$10=0,SUMIFS(INDIRECT(ADDRESS(12,3+18*3+(6),,,"J1 C - (South) Bishopthorpe Roa")&amp;":"&amp;ADDRESS(130,3+18*3+(6))),'J1 C - (South) Bishopthorpe Roa'!$A$12:$A$130,"&gt;="&amp;Diagram!$O31,'J1 C - (South) Bishopthorpe Roa'!$A$12:$A$130,"&lt;"&amp;Diagram!$P31),SUMIFS(INDIRECT(ADDRESS(12,3+18*3+(14),,,"J1 C - (South) Bishopthorpe Roa")&amp;":"&amp;ADDRESS(130,3+18*3+(14))),'J1 C - (South) Bishopthorpe Roa'!$A$12:$A$130,"&gt;="&amp;Diagram!$O31,'J1 C - (South) Bishopthorpe Roa'!$A$12:$A$130,"&lt;"&amp;Diagram!$P31)))</f>
        <v>0</v>
      </c>
      <c r="EB31" s="42">
        <f ca="1">IF(OR($I$10="",$O31="",$P31="",$J$41&lt;&gt;"Yes"),0,IF($K$10=0,SUMIFS(INDIRECT(ADDRESS(12,3+18*0+(6),,,"J1 C - (South) Bishopthorpe Roa")&amp;":"&amp;ADDRESS(130,3+18*0+(6))),'J1 C - (South) Bishopthorpe Roa'!$A$12:$A$130,"&gt;="&amp;Diagram!$O31,'J1 C - (South) Bishopthorpe Roa'!$A$12:$A$130,"&lt;"&amp;Diagram!$P31),SUMIFS(INDIRECT(ADDRESS(12,3+18*0+(14),,,"J1 C - (South) Bishopthorpe Roa")&amp;":"&amp;ADDRESS(130,3+18*0+(14))),'J1 C - (South) Bishopthorpe Roa'!$A$12:$A$130,"&gt;="&amp;Diagram!$O31,'J1 C - (South) Bishopthorpe Roa'!$A$12:$A$130,"&lt;"&amp;Diagram!$P31)))</f>
        <v>0</v>
      </c>
      <c r="EC31" s="42">
        <f ca="1">IF(OR($I$10="",$O31="",$P31="",$J$41&lt;&gt;"Yes"),0,IF($K$10=0,SUMIFS(INDIRECT(ADDRESS(12,3+18*0+(6),,,"J1 D - South Bank Avenue")&amp;":"&amp;ADDRESS(130,3+18*0+(6))),'J1 D - South Bank Avenue'!$A$12:$A$130,"&gt;="&amp;Diagram!$O31,'J1 D - South Bank Avenue'!$A$12:$A$130,"&lt;"&amp;Diagram!$P31),SUMIFS(INDIRECT(ADDRESS(12,3+18*0+(14),,,"J1 D - South Bank Avenue")&amp;":"&amp;ADDRESS(130,3+18*0+(14))),'J1 D - South Bank Avenue'!$A$12:$A$130,"&gt;="&amp;Diagram!$O31,'J1 D - South Bank Avenue'!$A$12:$A$130,"&lt;"&amp;Diagram!$P31)))</f>
        <v>0</v>
      </c>
      <c r="ED31" s="42">
        <f ca="1">IF(OR($I$10="",$O31="",$P31="",$J$41&lt;&gt;"Yes"),0,IF($K$10=0,SUMIFS(INDIRECT(ADDRESS(12,3+18*1+(6),,,"J1 D - South Bank Avenue")&amp;":"&amp;ADDRESS(130,3+18*1+(6))),'J1 D - South Bank Avenue'!$A$12:$A$130,"&gt;="&amp;Diagram!$O31,'J1 D - South Bank Avenue'!$A$12:$A$130,"&lt;"&amp;Diagram!$P31),SUMIFS(INDIRECT(ADDRESS(12,3+18*1+(14),,,"J1 D - South Bank Avenue")&amp;":"&amp;ADDRESS(130,3+18*1+(14))),'J1 D - South Bank Avenue'!$A$12:$A$130,"&gt;="&amp;Diagram!$O31,'J1 D - South Bank Avenue'!$A$12:$A$130,"&lt;"&amp;Diagram!$P31)))</f>
        <v>0</v>
      </c>
      <c r="EE31" s="42">
        <f ca="1">IF(OR($I$10="",$O31="",$P31="",$J$41&lt;&gt;"Yes"),0,IF($K$10=0,SUMIFS(INDIRECT(ADDRESS(12,3+18*2+(6),,,"J1 D - South Bank Avenue")&amp;":"&amp;ADDRESS(130,3+18*2+(6))),'J1 D - South Bank Avenue'!$A$12:$A$130,"&gt;="&amp;Diagram!$O31,'J1 D - South Bank Avenue'!$A$12:$A$130,"&lt;"&amp;Diagram!$P31),SUMIFS(INDIRECT(ADDRESS(12,3+18*2+(14),,,"J1 D - South Bank Avenue")&amp;":"&amp;ADDRESS(130,3+18*2+(14))),'J1 D - South Bank Avenue'!$A$12:$A$130,"&gt;="&amp;Diagram!$O31,'J1 D - South Bank Avenue'!$A$12:$A$130,"&lt;"&amp;Diagram!$P31)))</f>
        <v>0</v>
      </c>
      <c r="EF31" s="42">
        <f ca="1">IF(OR($I$10="",$O31="",$P31="",$J$41&lt;&gt;"Yes"),0,IF($K$10=0,SUMIFS(INDIRECT(ADDRESS(12,3+18*3+(6),,,"J1 D - South Bank Avenue")&amp;":"&amp;ADDRESS(130,3+18*3+(6))),'J1 D - South Bank Avenue'!$A$12:$A$130,"&gt;="&amp;Diagram!$O31,'J1 D - South Bank Avenue'!$A$12:$A$130,"&lt;"&amp;Diagram!$P31),SUMIFS(INDIRECT(ADDRESS(12,3+18*3+(14),,,"J1 D - South Bank Avenue")&amp;":"&amp;ADDRESS(130,3+18*3+(14))),'J1 D - South Bank Avenue'!$A$12:$A$130,"&gt;="&amp;Diagram!$O31,'J1 D - South Bank Avenue'!$A$12:$A$130,"&lt;"&amp;Diagram!$P31)))</f>
        <v>0</v>
      </c>
      <c r="EG31" s="42">
        <f t="shared" ca="1" si="8"/>
        <v>2</v>
      </c>
      <c r="EH31" s="42">
        <f ca="1">IF(OR($I$10="",$O31="",$P31="",$J$42&lt;&gt;"Yes"),0,IF($K$10=0,SUMIFS(INDIRECT(ADDRESS(12,3+18*3+(7),,,"J1 A - (North) Bishopthorpe Roa")&amp;":"&amp;ADDRESS(130,3+18*3+(7))),'J1 A - (North) Bishopthorpe Roa'!$A$12:$A$130,"&gt;="&amp;Diagram!$O31,'J1 A - (North) Bishopthorpe Roa'!$A$12:$A$130,"&lt;"&amp;Diagram!$P31),SUMIFS(INDIRECT(ADDRESS(12,3+18*3+(15),,,"J1 A - (North) Bishopthorpe Roa")&amp;":"&amp;ADDRESS(130,3+18*3+(15))),'J1 A - (North) Bishopthorpe Roa'!$A$12:$A$130,"&gt;="&amp;Diagram!$O31,'J1 A - (North) Bishopthorpe Roa'!$A$12:$A$130,"&lt;"&amp;Diagram!$P31)))</f>
        <v>0</v>
      </c>
      <c r="EI31" s="42">
        <f ca="1">IF(OR($I$10="",$O31="",$P31="",$J$42&lt;&gt;"Yes"),0,IF($K$10=0,SUMIFS(INDIRECT(ADDRESS(12,3+18*0+(7),,,"J1 A - (North) Bishopthorpe Roa")&amp;":"&amp;ADDRESS(130,3+18*0+(7))),'J1 A - (North) Bishopthorpe Roa'!$A$12:$A$130,"&gt;="&amp;Diagram!$O31,'J1 A - (North) Bishopthorpe Roa'!$A$12:$A$130,"&lt;"&amp;Diagram!$P31),SUMIFS(INDIRECT(ADDRESS(12,3+18*0+(15),,,"J1 A - (North) Bishopthorpe Roa")&amp;":"&amp;ADDRESS(130,3+18*0+(15))),'J1 A - (North) Bishopthorpe Roa'!$A$12:$A$130,"&gt;="&amp;Diagram!$O31,'J1 A - (North) Bishopthorpe Roa'!$A$12:$A$130,"&lt;"&amp;Diagram!$P31)))</f>
        <v>0</v>
      </c>
      <c r="EJ31" s="42">
        <f ca="1">IF(OR($I$10="",$O31="",$P31="",$J$42&lt;&gt;"Yes"),0,IF($K$10=0,SUMIFS(INDIRECT(ADDRESS(12,3+18*1+(7),,,"J1 A - (North) Bishopthorpe Roa")&amp;":"&amp;ADDRESS(130,3+18*1+(7))),'J1 A - (North) Bishopthorpe Roa'!$A$12:$A$130,"&gt;="&amp;Diagram!$O31,'J1 A - (North) Bishopthorpe Roa'!$A$12:$A$130,"&lt;"&amp;Diagram!$P31),SUMIFS(INDIRECT(ADDRESS(12,3+18*1+(15),,,"J1 A - (North) Bishopthorpe Roa")&amp;":"&amp;ADDRESS(130,3+18*1+(15))),'J1 A - (North) Bishopthorpe Roa'!$A$12:$A$130,"&gt;="&amp;Diagram!$O31,'J1 A - (North) Bishopthorpe Roa'!$A$12:$A$130,"&lt;"&amp;Diagram!$P31)))</f>
        <v>0</v>
      </c>
      <c r="EK31" s="42">
        <f ca="1">IF(OR($I$10="",$O31="",$P31="",$J$42&lt;&gt;"Yes"),0,IF($K$10=0,SUMIFS(INDIRECT(ADDRESS(12,3+18*2+(7),,,"J1 A - (North) Bishopthorpe Roa")&amp;":"&amp;ADDRESS(130,3+18*2+(7))),'J1 A - (North) Bishopthorpe Roa'!$A$12:$A$130,"&gt;="&amp;Diagram!$O31,'J1 A - (North) Bishopthorpe Roa'!$A$12:$A$130,"&lt;"&amp;Diagram!$P31),SUMIFS(INDIRECT(ADDRESS(12,3+18*2+(15),,,"J1 A - (North) Bishopthorpe Roa")&amp;":"&amp;ADDRESS(130,3+18*2+(15))),'J1 A - (North) Bishopthorpe Roa'!$A$12:$A$130,"&gt;="&amp;Diagram!$O31,'J1 A - (North) Bishopthorpe Roa'!$A$12:$A$130,"&lt;"&amp;Diagram!$P31)))</f>
        <v>0</v>
      </c>
      <c r="EL31" s="42">
        <f ca="1">IF(OR($I$10="",$O31="",$P31="",$J$42&lt;&gt;"Yes"),0,IF($K$10=0,SUMIFS(INDIRECT(ADDRESS(12,3+18*2+(7),,,"J1 B - Butcher Terrace")&amp;":"&amp;ADDRESS(130,3+18*2+(7))),'J1 B - Butcher Terrace'!$A$12:$A$130,"&gt;="&amp;Diagram!$O31,'J1 B - Butcher Terrace'!$A$12:$A$130,"&lt;"&amp;Diagram!$P31),SUMIFS(INDIRECT(ADDRESS(12,3+18*2+(15),,,"J1 B - Butcher Terrace")&amp;":"&amp;ADDRESS(130,3+18*2+(15))),'J1 B - Butcher Terrace'!$A$12:$A$130,"&gt;="&amp;Diagram!$O31,'J1 B - Butcher Terrace'!$A$12:$A$130,"&lt;"&amp;Diagram!$P31)))</f>
        <v>2</v>
      </c>
      <c r="EM31" s="42">
        <f ca="1">IF(OR($I$10="",$O31="",$P31="",$J$42&lt;&gt;"Yes"),0,IF($K$10=0,SUMIFS(INDIRECT(ADDRESS(12,3+18*3+(7),,,"J1 B - Butcher Terrace")&amp;":"&amp;ADDRESS(130,3+18*3+(7))),'J1 B - Butcher Terrace'!$A$12:$A$130,"&gt;="&amp;Diagram!$O31,'J1 B - Butcher Terrace'!$A$12:$A$130,"&lt;"&amp;Diagram!$P31),SUMIFS(INDIRECT(ADDRESS(12,3+18*3+(15),,,"J1 B - Butcher Terrace")&amp;":"&amp;ADDRESS(130,3+18*3+(15))),'J1 B - Butcher Terrace'!$A$12:$A$130,"&gt;="&amp;Diagram!$O31,'J1 B - Butcher Terrace'!$A$12:$A$130,"&lt;"&amp;Diagram!$P31)))</f>
        <v>0</v>
      </c>
      <c r="EN31" s="42">
        <f ca="1">IF(OR($I$10="",$O31="",$P31="",$J$42&lt;&gt;"Yes"),0,IF($K$10=0,SUMIFS(INDIRECT(ADDRESS(12,3+18*0+(7),,,"J1 B - Butcher Terrace")&amp;":"&amp;ADDRESS(130,3+18*0+(7))),'J1 B - Butcher Terrace'!$A$12:$A$130,"&gt;="&amp;Diagram!$O31,'J1 B - Butcher Terrace'!$A$12:$A$130,"&lt;"&amp;Diagram!$P31),SUMIFS(INDIRECT(ADDRESS(12,3+18*0+(15),,,"J1 B - Butcher Terrace")&amp;":"&amp;ADDRESS(130,3+18*0+(15))),'J1 B - Butcher Terrace'!$A$12:$A$130,"&gt;="&amp;Diagram!$O31,'J1 B - Butcher Terrace'!$A$12:$A$130,"&lt;"&amp;Diagram!$P31)))</f>
        <v>0</v>
      </c>
      <c r="EO31" s="42">
        <f ca="1">IF(OR($I$10="",$O31="",$P31="",$J$42&lt;&gt;"Yes"),0,IF($K$10=0,SUMIFS(INDIRECT(ADDRESS(12,3+18*1+(7),,,"J1 B - Butcher Terrace")&amp;":"&amp;ADDRESS(130,3+18*1+(7))),'J1 B - Butcher Terrace'!$A$12:$A$130,"&gt;="&amp;Diagram!$O31,'J1 B - Butcher Terrace'!$A$12:$A$130,"&lt;"&amp;Diagram!$P31),SUMIFS(INDIRECT(ADDRESS(12,3+18*1+(15),,,"J1 B - Butcher Terrace")&amp;":"&amp;ADDRESS(130,3+18*1+(15))),'J1 B - Butcher Terrace'!$A$12:$A$130,"&gt;="&amp;Diagram!$O31,'J1 B - Butcher Terrace'!$A$12:$A$130,"&lt;"&amp;Diagram!$P31)))</f>
        <v>0</v>
      </c>
      <c r="EP31" s="42">
        <f ca="1">IF(OR($I$10="",$O31="",$P31="",$J$42&lt;&gt;"Yes"),0,IF($K$10=0,SUMIFS(INDIRECT(ADDRESS(12,3+18*1+(7),,,"J1 C - (South) Bishopthorpe Roa")&amp;":"&amp;ADDRESS(130,3+18*1+(7))),'J1 C - (South) Bishopthorpe Roa'!$A$12:$A$130,"&gt;="&amp;Diagram!$O31,'J1 C - (South) Bishopthorpe Roa'!$A$12:$A$130,"&lt;"&amp;Diagram!$P31),SUMIFS(INDIRECT(ADDRESS(12,3+18*1+(15),,,"J1 C - (South) Bishopthorpe Roa")&amp;":"&amp;ADDRESS(130,3+18*1+(15))),'J1 C - (South) Bishopthorpe Roa'!$A$12:$A$130,"&gt;="&amp;Diagram!$O31,'J1 C - (South) Bishopthorpe Roa'!$A$12:$A$130,"&lt;"&amp;Diagram!$P31)))</f>
        <v>0</v>
      </c>
      <c r="EQ31" s="42">
        <f ca="1">IF(OR($I$10="",$O31="",$P31="",$J$42&lt;&gt;"Yes"),0,IF($K$10=0,SUMIFS(INDIRECT(ADDRESS(12,3+18*2+(7),,,"J1 C - (South) Bishopthorpe Roa")&amp;":"&amp;ADDRESS(130,3+18*2+(7))),'J1 C - (South) Bishopthorpe Roa'!$A$12:$A$130,"&gt;="&amp;Diagram!$O31,'J1 C - (South) Bishopthorpe Roa'!$A$12:$A$130,"&lt;"&amp;Diagram!$P31),SUMIFS(INDIRECT(ADDRESS(12,3+18*2+(15),,,"J1 C - (South) Bishopthorpe Roa")&amp;":"&amp;ADDRESS(130,3+18*2+(15))),'J1 C - (South) Bishopthorpe Roa'!$A$12:$A$130,"&gt;="&amp;Diagram!$O31,'J1 C - (South) Bishopthorpe Roa'!$A$12:$A$130,"&lt;"&amp;Diagram!$P31)))</f>
        <v>0</v>
      </c>
      <c r="ER31" s="42">
        <f ca="1">IF(OR($I$10="",$O31="",$P31="",$J$42&lt;&gt;"Yes"),0,IF($K$10=0,SUMIFS(INDIRECT(ADDRESS(12,3+18*3+(7),,,"J1 C - (South) Bishopthorpe Roa")&amp;":"&amp;ADDRESS(130,3+18*3+(7))),'J1 C - (South) Bishopthorpe Roa'!$A$12:$A$130,"&gt;="&amp;Diagram!$O31,'J1 C - (South) Bishopthorpe Roa'!$A$12:$A$130,"&lt;"&amp;Diagram!$P31),SUMIFS(INDIRECT(ADDRESS(12,3+18*3+(15),,,"J1 C - (South) Bishopthorpe Roa")&amp;":"&amp;ADDRESS(130,3+18*3+(15))),'J1 C - (South) Bishopthorpe Roa'!$A$12:$A$130,"&gt;="&amp;Diagram!$O31,'J1 C - (South) Bishopthorpe Roa'!$A$12:$A$130,"&lt;"&amp;Diagram!$P31)))</f>
        <v>0</v>
      </c>
      <c r="ES31" s="42">
        <f ca="1">IF(OR($I$10="",$O31="",$P31="",$J$42&lt;&gt;"Yes"),0,IF($K$10=0,SUMIFS(INDIRECT(ADDRESS(12,3+18*0+(7),,,"J1 C - (South) Bishopthorpe Roa")&amp;":"&amp;ADDRESS(130,3+18*0+(7))),'J1 C - (South) Bishopthorpe Roa'!$A$12:$A$130,"&gt;="&amp;Diagram!$O31,'J1 C - (South) Bishopthorpe Roa'!$A$12:$A$130,"&lt;"&amp;Diagram!$P31),SUMIFS(INDIRECT(ADDRESS(12,3+18*0+(15),,,"J1 C - (South) Bishopthorpe Roa")&amp;":"&amp;ADDRESS(130,3+18*0+(15))),'J1 C - (South) Bishopthorpe Roa'!$A$12:$A$130,"&gt;="&amp;Diagram!$O31,'J1 C - (South) Bishopthorpe Roa'!$A$12:$A$130,"&lt;"&amp;Diagram!$P31)))</f>
        <v>0</v>
      </c>
      <c r="ET31" s="42">
        <f ca="1">IF(OR($I$10="",$O31="",$P31="",$J$42&lt;&gt;"Yes"),0,IF($K$10=0,SUMIFS(INDIRECT(ADDRESS(12,3+18*0+(7),,,"J1 D - South Bank Avenue")&amp;":"&amp;ADDRESS(130,3+18*0+(7))),'J1 D - South Bank Avenue'!$A$12:$A$130,"&gt;="&amp;Diagram!$O31,'J1 D - South Bank Avenue'!$A$12:$A$130,"&lt;"&amp;Diagram!$P31),SUMIFS(INDIRECT(ADDRESS(12,3+18*0+(15),,,"J1 D - South Bank Avenue")&amp;":"&amp;ADDRESS(130,3+18*0+(15))),'J1 D - South Bank Avenue'!$A$12:$A$130,"&gt;="&amp;Diagram!$O31,'J1 D - South Bank Avenue'!$A$12:$A$130,"&lt;"&amp;Diagram!$P31)))</f>
        <v>0</v>
      </c>
      <c r="EU31" s="42">
        <f ca="1">IF(OR($I$10="",$O31="",$P31="",$J$42&lt;&gt;"Yes"),0,IF($K$10=0,SUMIFS(INDIRECT(ADDRESS(12,3+18*1+(7),,,"J1 D - South Bank Avenue")&amp;":"&amp;ADDRESS(130,3+18*1+(7))),'J1 D - South Bank Avenue'!$A$12:$A$130,"&gt;="&amp;Diagram!$O31,'J1 D - South Bank Avenue'!$A$12:$A$130,"&lt;"&amp;Diagram!$P31),SUMIFS(INDIRECT(ADDRESS(12,3+18*1+(15),,,"J1 D - South Bank Avenue")&amp;":"&amp;ADDRESS(130,3+18*1+(15))),'J1 D - South Bank Avenue'!$A$12:$A$130,"&gt;="&amp;Diagram!$O31,'J1 D - South Bank Avenue'!$A$12:$A$130,"&lt;"&amp;Diagram!$P31)))</f>
        <v>0</v>
      </c>
      <c r="EV31" s="42">
        <f ca="1">IF(OR($I$10="",$O31="",$P31="",$J$42&lt;&gt;"Yes"),0,IF($K$10=0,SUMIFS(INDIRECT(ADDRESS(12,3+18*2+(7),,,"J1 D - South Bank Avenue")&amp;":"&amp;ADDRESS(130,3+18*2+(7))),'J1 D - South Bank Avenue'!$A$12:$A$130,"&gt;="&amp;Diagram!$O31,'J1 D - South Bank Avenue'!$A$12:$A$130,"&lt;"&amp;Diagram!$P31),SUMIFS(INDIRECT(ADDRESS(12,3+18*2+(15),,,"J1 D - South Bank Avenue")&amp;":"&amp;ADDRESS(130,3+18*2+(15))),'J1 D - South Bank Avenue'!$A$12:$A$130,"&gt;="&amp;Diagram!$O31,'J1 D - South Bank Avenue'!$A$12:$A$130,"&lt;"&amp;Diagram!$P31)))</f>
        <v>0</v>
      </c>
      <c r="EW31" s="42">
        <f ca="1">IF(OR($I$10="",$O31="",$P31="",$J$42&lt;&gt;"Yes"),0,IF($K$10=0,SUMIFS(INDIRECT(ADDRESS(12,3+18*3+(7),,,"J1 D - South Bank Avenue")&amp;":"&amp;ADDRESS(130,3+18*3+(7))),'J1 D - South Bank Avenue'!$A$12:$A$130,"&gt;="&amp;Diagram!$O31,'J1 D - South Bank Avenue'!$A$12:$A$130,"&lt;"&amp;Diagram!$P31),SUMIFS(INDIRECT(ADDRESS(12,3+18*3+(15),,,"J1 D - South Bank Avenue")&amp;":"&amp;ADDRESS(130,3+18*3+(15))),'J1 D - South Bank Avenue'!$A$12:$A$130,"&gt;="&amp;Diagram!$O31,'J1 D - South Bank Avenue'!$A$12:$A$130,"&lt;"&amp;Diagram!$P31)))</f>
        <v>0</v>
      </c>
    </row>
    <row r="32" spans="1:153" hidden="1">
      <c r="A32" s="1">
        <v>44395.322916666701</v>
      </c>
      <c r="B32" s="1">
        <v>44395.333333333299</v>
      </c>
      <c r="I32" s="36">
        <f ca="1">SUM($I$28:$I$31)</f>
        <v>4370</v>
      </c>
      <c r="J32" s="27">
        <f ca="1">SUM($J$28:$J$31)</f>
        <v>954</v>
      </c>
      <c r="K32" s="27">
        <f ca="1">SUM($K$28:$K$31)</f>
        <v>4041</v>
      </c>
      <c r="L32" s="35">
        <f ca="1">SUM($L$28:$L$31)</f>
        <v>944</v>
      </c>
      <c r="O32" s="3">
        <v>44395.322916666701</v>
      </c>
      <c r="P32" s="3">
        <v>44395.364583333299</v>
      </c>
      <c r="Q32" s="42">
        <f t="shared" ca="1" si="0"/>
        <v>712</v>
      </c>
      <c r="R32" s="42">
        <f t="shared" ca="1" si="1"/>
        <v>494</v>
      </c>
      <c r="S32" s="42">
        <f ca="1">IF(OR($I$10="",$O32="",$P32="",$J$35&lt;&gt;"Yes"),0,IF($K$10=0,SUMIFS(INDIRECT(ADDRESS(12,3+18*3+(0),,,"J1 A - (North) Bishopthorpe Roa")&amp;":"&amp;ADDRESS(130,3+18*3+(0))),'J1 A - (North) Bishopthorpe Roa'!$A$12:$A$130,"&gt;="&amp;Diagram!$O32,'J1 A - (North) Bishopthorpe Roa'!$A$12:$A$130,"&lt;"&amp;Diagram!$P32),SUMIFS(INDIRECT(ADDRESS(12,3+18*3+(8),,,"J1 A - (North) Bishopthorpe Roa")&amp;":"&amp;ADDRESS(130,3+18*3+(8))),'J1 A - (North) Bishopthorpe Roa'!$A$12:$A$130,"&gt;="&amp;Diagram!$O32,'J1 A - (North) Bishopthorpe Roa'!$A$12:$A$130,"&lt;"&amp;Diagram!$P32)))</f>
        <v>3</v>
      </c>
      <c r="T32" s="42">
        <f ca="1">IF(OR($I$10="",$O32="",$P32="",$J$35&lt;&gt;"Yes"),0,IF($K$10=0,SUMIFS(INDIRECT(ADDRESS(12,3+18*0+(0),,,"J1 A - (North) Bishopthorpe Roa")&amp;":"&amp;ADDRESS(130,3+18*0+(0))),'J1 A - (North) Bishopthorpe Roa'!$A$12:$A$130,"&gt;="&amp;Diagram!$O32,'J1 A - (North) Bishopthorpe Roa'!$A$12:$A$130,"&lt;"&amp;Diagram!$P32),SUMIFS(INDIRECT(ADDRESS(12,3+18*0+(8),,,"J1 A - (North) Bishopthorpe Roa")&amp;":"&amp;ADDRESS(130,3+18*0+(8))),'J1 A - (North) Bishopthorpe Roa'!$A$12:$A$130,"&gt;="&amp;Diagram!$O32,'J1 A - (North) Bishopthorpe Roa'!$A$12:$A$130,"&lt;"&amp;Diagram!$P32)))</f>
        <v>3</v>
      </c>
      <c r="U32" s="42">
        <f ca="1">IF(OR($I$10="",$O32="",$P32="",$J$35&lt;&gt;"Yes"),0,IF($K$10=0,SUMIFS(INDIRECT(ADDRESS(12,3+18*1+(0),,,"J1 A - (North) Bishopthorpe Roa")&amp;":"&amp;ADDRESS(130,3+18*1+(0))),'J1 A - (North) Bishopthorpe Roa'!$A$12:$A$130,"&gt;="&amp;Diagram!$O32,'J1 A - (North) Bishopthorpe Roa'!$A$12:$A$130,"&lt;"&amp;Diagram!$P32),SUMIFS(INDIRECT(ADDRESS(12,3+18*1+(8),,,"J1 A - (North) Bishopthorpe Roa")&amp;":"&amp;ADDRESS(130,3+18*1+(8))),'J1 A - (North) Bishopthorpe Roa'!$A$12:$A$130,"&gt;="&amp;Diagram!$O32,'J1 A - (North) Bishopthorpe Roa'!$A$12:$A$130,"&lt;"&amp;Diagram!$P32)))</f>
        <v>160</v>
      </c>
      <c r="V32" s="42">
        <f ca="1">IF(OR($I$10="",$O32="",$P32="",$J$35&lt;&gt;"Yes"),0,IF($K$10=0,SUMIFS(INDIRECT(ADDRESS(12,3+18*2+(0),,,"J1 A - (North) Bishopthorpe Roa")&amp;":"&amp;ADDRESS(130,3+18*2+(0))),'J1 A - (North) Bishopthorpe Roa'!$A$12:$A$130,"&gt;="&amp;Diagram!$O32,'J1 A - (North) Bishopthorpe Roa'!$A$12:$A$130,"&lt;"&amp;Diagram!$P32),SUMIFS(INDIRECT(ADDRESS(12,3+18*2+(8),,,"J1 A - (North) Bishopthorpe Roa")&amp;":"&amp;ADDRESS(130,3+18*2+(8))),'J1 A - (North) Bishopthorpe Roa'!$A$12:$A$130,"&gt;="&amp;Diagram!$O32,'J1 A - (North) Bishopthorpe Roa'!$A$12:$A$130,"&lt;"&amp;Diagram!$P32)))</f>
        <v>9</v>
      </c>
      <c r="W32" s="42">
        <f ca="1">IF(OR($I$10="",$O32="",$P32="",$J$35&lt;&gt;"Yes"),0,IF($K$10=0,SUMIFS(INDIRECT(ADDRESS(12,3+18*2+(0),,,"J1 B - Butcher Terrace")&amp;":"&amp;ADDRESS(130,3+18*2+(0))),'J1 B - Butcher Terrace'!$A$12:$A$130,"&gt;="&amp;Diagram!$O32,'J1 B - Butcher Terrace'!$A$12:$A$130,"&lt;"&amp;Diagram!$P32),SUMIFS(INDIRECT(ADDRESS(12,3+18*2+(8),,,"J1 B - Butcher Terrace")&amp;":"&amp;ADDRESS(130,3+18*2+(8))),'J1 B - Butcher Terrace'!$A$12:$A$130,"&gt;="&amp;Diagram!$O32,'J1 B - Butcher Terrace'!$A$12:$A$130,"&lt;"&amp;Diagram!$P32)))</f>
        <v>10</v>
      </c>
      <c r="X32" s="42">
        <f ca="1">IF(OR($I$10="",$O32="",$P32="",$J$35&lt;&gt;"Yes"),0,IF($K$10=0,SUMIFS(INDIRECT(ADDRESS(12,3+18*3+(0),,,"J1 B - Butcher Terrace")&amp;":"&amp;ADDRESS(130,3+18*3+(0))),'J1 B - Butcher Terrace'!$A$12:$A$130,"&gt;="&amp;Diagram!$O32,'J1 B - Butcher Terrace'!$A$12:$A$130,"&lt;"&amp;Diagram!$P32),SUMIFS(INDIRECT(ADDRESS(12,3+18*3+(8),,,"J1 B - Butcher Terrace")&amp;":"&amp;ADDRESS(130,3+18*3+(8))),'J1 B - Butcher Terrace'!$A$12:$A$130,"&gt;="&amp;Diagram!$O32,'J1 B - Butcher Terrace'!$A$12:$A$130,"&lt;"&amp;Diagram!$P32)))</f>
        <v>0</v>
      </c>
      <c r="Y32" s="42">
        <f ca="1">IF(OR($I$10="",$O32="",$P32="",$J$35&lt;&gt;"Yes"),0,IF($K$10=0,SUMIFS(INDIRECT(ADDRESS(12,3+18*0+(0),,,"J1 B - Butcher Terrace")&amp;":"&amp;ADDRESS(130,3+18*0+(0))),'J1 B - Butcher Terrace'!$A$12:$A$130,"&gt;="&amp;Diagram!$O32,'J1 B - Butcher Terrace'!$A$12:$A$130,"&lt;"&amp;Diagram!$P32),SUMIFS(INDIRECT(ADDRESS(12,3+18*0+(8),,,"J1 B - Butcher Terrace")&amp;":"&amp;ADDRESS(130,3+18*0+(8))),'J1 B - Butcher Terrace'!$A$12:$A$130,"&gt;="&amp;Diagram!$O32,'J1 B - Butcher Terrace'!$A$12:$A$130,"&lt;"&amp;Diagram!$P32)))</f>
        <v>4</v>
      </c>
      <c r="Z32" s="42">
        <f ca="1">IF(OR($I$10="",$O32="",$P32="",$J$35&lt;&gt;"Yes"),0,IF($K$10=0,SUMIFS(INDIRECT(ADDRESS(12,3+18*1+(0),,,"J1 B - Butcher Terrace")&amp;":"&amp;ADDRESS(130,3+18*1+(0))),'J1 B - Butcher Terrace'!$A$12:$A$130,"&gt;="&amp;Diagram!$O32,'J1 B - Butcher Terrace'!$A$12:$A$130,"&lt;"&amp;Diagram!$P32),SUMIFS(INDIRECT(ADDRESS(12,3+18*1+(8),,,"J1 B - Butcher Terrace")&amp;":"&amp;ADDRESS(130,3+18*1+(8))),'J1 B - Butcher Terrace'!$A$12:$A$130,"&gt;="&amp;Diagram!$O32,'J1 B - Butcher Terrace'!$A$12:$A$130,"&lt;"&amp;Diagram!$P32)))</f>
        <v>2</v>
      </c>
      <c r="AA32" s="42">
        <f ca="1">IF(OR($I$10="",$O32="",$P32="",$J$35&lt;&gt;"Yes"),0,IF($K$10=0,SUMIFS(INDIRECT(ADDRESS(12,3+18*1+(0),,,"J1 C - (South) Bishopthorpe Roa")&amp;":"&amp;ADDRESS(130,3+18*1+(0))),'J1 C - (South) Bishopthorpe Roa'!$A$12:$A$130,"&gt;="&amp;Diagram!$O32,'J1 C - (South) Bishopthorpe Roa'!$A$12:$A$130,"&lt;"&amp;Diagram!$P32),SUMIFS(INDIRECT(ADDRESS(12,3+18*1+(8),,,"J1 C - (South) Bishopthorpe Roa")&amp;":"&amp;ADDRESS(130,3+18*1+(8))),'J1 C - (South) Bishopthorpe Roa'!$A$12:$A$130,"&gt;="&amp;Diagram!$O32,'J1 C - (South) Bishopthorpe Roa'!$A$12:$A$130,"&lt;"&amp;Diagram!$P32)))</f>
        <v>256</v>
      </c>
      <c r="AB32" s="42">
        <f ca="1">IF(OR($I$10="",$O32="",$P32="",$J$35&lt;&gt;"Yes"),0,IF($K$10=0,SUMIFS(INDIRECT(ADDRESS(12,3+18*2+(0),,,"J1 C - (South) Bishopthorpe Roa")&amp;":"&amp;ADDRESS(130,3+18*2+(0))),'J1 C - (South) Bishopthorpe Roa'!$A$12:$A$130,"&gt;="&amp;Diagram!$O32,'J1 C - (South) Bishopthorpe Roa'!$A$12:$A$130,"&lt;"&amp;Diagram!$P32),SUMIFS(INDIRECT(ADDRESS(12,3+18*2+(8),,,"J1 C - (South) Bishopthorpe Roa")&amp;":"&amp;ADDRESS(130,3+18*2+(8))),'J1 C - (South) Bishopthorpe Roa'!$A$12:$A$130,"&gt;="&amp;Diagram!$O32,'J1 C - (South) Bishopthorpe Roa'!$A$12:$A$130,"&lt;"&amp;Diagram!$P32)))</f>
        <v>6</v>
      </c>
      <c r="AC32" s="42">
        <f ca="1">IF(OR($I$10="",$O32="",$P32="",$J$35&lt;&gt;"Yes"),0,IF($K$10=0,SUMIFS(INDIRECT(ADDRESS(12,3+18*3+(0),,,"J1 C - (South) Bishopthorpe Roa")&amp;":"&amp;ADDRESS(130,3+18*3+(0))),'J1 C - (South) Bishopthorpe Roa'!$A$12:$A$130,"&gt;="&amp;Diagram!$O32,'J1 C - (South) Bishopthorpe Roa'!$A$12:$A$130,"&lt;"&amp;Diagram!$P32),SUMIFS(INDIRECT(ADDRESS(12,3+18*3+(8),,,"J1 C - (South) Bishopthorpe Roa")&amp;":"&amp;ADDRESS(130,3+18*3+(8))),'J1 C - (South) Bishopthorpe Roa'!$A$12:$A$130,"&gt;="&amp;Diagram!$O32,'J1 C - (South) Bishopthorpe Roa'!$A$12:$A$130,"&lt;"&amp;Diagram!$P32)))</f>
        <v>0</v>
      </c>
      <c r="AD32" s="42">
        <f ca="1">IF(OR($I$10="",$O32="",$P32="",$J$35&lt;&gt;"Yes"),0,IF($K$10=0,SUMIFS(INDIRECT(ADDRESS(12,3+18*0+(0),,,"J1 C - (South) Bishopthorpe Roa")&amp;":"&amp;ADDRESS(130,3+18*0+(0))),'J1 C - (South) Bishopthorpe Roa'!$A$12:$A$130,"&gt;="&amp;Diagram!$O32,'J1 C - (South) Bishopthorpe Roa'!$A$12:$A$130,"&lt;"&amp;Diagram!$P32),SUMIFS(INDIRECT(ADDRESS(12,3+18*0+(8),,,"J1 C - (South) Bishopthorpe Roa")&amp;":"&amp;ADDRESS(130,3+18*0+(8))),'J1 C - (South) Bishopthorpe Roa'!$A$12:$A$130,"&gt;="&amp;Diagram!$O32,'J1 C - (South) Bishopthorpe Roa'!$A$12:$A$130,"&lt;"&amp;Diagram!$P32)))</f>
        <v>13</v>
      </c>
      <c r="AE32" s="42">
        <f ca="1">IF(OR($I$10="",$O32="",$P32="",$J$35&lt;&gt;"Yes"),0,IF($K$10=0,SUMIFS(INDIRECT(ADDRESS(12,3+18*0+(0),,,"J1 D - South Bank Avenue")&amp;":"&amp;ADDRESS(130,3+18*0+(0))),'J1 D - South Bank Avenue'!$A$12:$A$130,"&gt;="&amp;Diagram!$O32,'J1 D - South Bank Avenue'!$A$12:$A$130,"&lt;"&amp;Diagram!$P32),SUMIFS(INDIRECT(ADDRESS(12,3+18*0+(8),,,"J1 D - South Bank Avenue")&amp;":"&amp;ADDRESS(130,3+18*0+(8))),'J1 D - South Bank Avenue'!$A$12:$A$130,"&gt;="&amp;Diagram!$O32,'J1 D - South Bank Avenue'!$A$12:$A$130,"&lt;"&amp;Diagram!$P32)))</f>
        <v>21</v>
      </c>
      <c r="AF32" s="42">
        <f ca="1">IF(OR($I$10="",$O32="",$P32="",$J$35&lt;&gt;"Yes"),0,IF($K$10=0,SUMIFS(INDIRECT(ADDRESS(12,3+18*1+(0),,,"J1 D - South Bank Avenue")&amp;":"&amp;ADDRESS(130,3+18*1+(0))),'J1 D - South Bank Avenue'!$A$12:$A$130,"&gt;="&amp;Diagram!$O32,'J1 D - South Bank Avenue'!$A$12:$A$130,"&lt;"&amp;Diagram!$P32),SUMIFS(INDIRECT(ADDRESS(12,3+18*1+(8),,,"J1 D - South Bank Avenue")&amp;":"&amp;ADDRESS(130,3+18*1+(8))),'J1 D - South Bank Avenue'!$A$12:$A$130,"&gt;="&amp;Diagram!$O32,'J1 D - South Bank Avenue'!$A$12:$A$130,"&lt;"&amp;Diagram!$P32)))</f>
        <v>0</v>
      </c>
      <c r="AG32" s="42">
        <f ca="1">IF(OR($I$10="",$O32="",$P32="",$J$35&lt;&gt;"Yes"),0,IF($K$10=0,SUMIFS(INDIRECT(ADDRESS(12,3+18*2+(0),,,"J1 D - South Bank Avenue")&amp;":"&amp;ADDRESS(130,3+18*2+(0))),'J1 D - South Bank Avenue'!$A$12:$A$130,"&gt;="&amp;Diagram!$O32,'J1 D - South Bank Avenue'!$A$12:$A$130,"&lt;"&amp;Diagram!$P32),SUMIFS(INDIRECT(ADDRESS(12,3+18*2+(8),,,"J1 D - South Bank Avenue")&amp;":"&amp;ADDRESS(130,3+18*2+(8))),'J1 D - South Bank Avenue'!$A$12:$A$130,"&gt;="&amp;Diagram!$O32,'J1 D - South Bank Avenue'!$A$12:$A$130,"&lt;"&amp;Diagram!$P32)))</f>
        <v>7</v>
      </c>
      <c r="AH32" s="42">
        <f ca="1">IF(OR($I$10="",$O32="",$P32="",$J$35&lt;&gt;"Yes"),0,IF($K$10=0,SUMIFS(INDIRECT(ADDRESS(12,3+18*3+(0),,,"J1 D - South Bank Avenue")&amp;":"&amp;ADDRESS(130,3+18*3+(0))),'J1 D - South Bank Avenue'!$A$12:$A$130,"&gt;="&amp;Diagram!$O32,'J1 D - South Bank Avenue'!$A$12:$A$130,"&lt;"&amp;Diagram!$P32),SUMIFS(INDIRECT(ADDRESS(12,3+18*3+(8),,,"J1 D - South Bank Avenue")&amp;":"&amp;ADDRESS(130,3+18*3+(8))),'J1 D - South Bank Avenue'!$A$12:$A$130,"&gt;="&amp;Diagram!$O32,'J1 D - South Bank Avenue'!$A$12:$A$130,"&lt;"&amp;Diagram!$P32)))</f>
        <v>0</v>
      </c>
      <c r="AI32" s="42">
        <f t="shared" ca="1" si="2"/>
        <v>85</v>
      </c>
      <c r="AJ32" s="42">
        <f ca="1">IF(OR($I$10="",$O32="",$P32="",$J$36&lt;&gt;"Yes"),0,IF($K$10=0,SUMIFS(INDIRECT(ADDRESS(12,3+18*3+(1),,,"J1 A - (North) Bishopthorpe Roa")&amp;":"&amp;ADDRESS(130,3+18*3+(1))),'J1 A - (North) Bishopthorpe Roa'!$A$12:$A$130,"&gt;="&amp;Diagram!$O32,'J1 A - (North) Bishopthorpe Roa'!$A$12:$A$130,"&lt;"&amp;Diagram!$P32),SUMIFS(INDIRECT(ADDRESS(12,3+18*3+(9),,,"J1 A - (North) Bishopthorpe Roa")&amp;":"&amp;ADDRESS(130,3+18*3+(9))),'J1 A - (North) Bishopthorpe Roa'!$A$12:$A$130,"&gt;="&amp;Diagram!$O32,'J1 A - (North) Bishopthorpe Roa'!$A$12:$A$130,"&lt;"&amp;Diagram!$P32)))</f>
        <v>0</v>
      </c>
      <c r="AK32" s="42">
        <f ca="1">IF(OR($I$10="",$O32="",$P32="",$J$36&lt;&gt;"Yes"),0,IF($K$10=0,SUMIFS(INDIRECT(ADDRESS(12,3+18*0+(1),,,"J1 A - (North) Bishopthorpe Roa")&amp;":"&amp;ADDRESS(130,3+18*0+(1))),'J1 A - (North) Bishopthorpe Roa'!$A$12:$A$130,"&gt;="&amp;Diagram!$O32,'J1 A - (North) Bishopthorpe Roa'!$A$12:$A$130,"&lt;"&amp;Diagram!$P32),SUMIFS(INDIRECT(ADDRESS(12,3+18*0+(9),,,"J1 A - (North) Bishopthorpe Roa")&amp;":"&amp;ADDRESS(130,3+18*0+(9))),'J1 A - (North) Bishopthorpe Roa'!$A$12:$A$130,"&gt;="&amp;Diagram!$O32,'J1 A - (North) Bishopthorpe Roa'!$A$12:$A$130,"&lt;"&amp;Diagram!$P32)))</f>
        <v>1</v>
      </c>
      <c r="AL32" s="42">
        <f ca="1">IF(OR($I$10="",$O32="",$P32="",$J$36&lt;&gt;"Yes"),0,IF($K$10=0,SUMIFS(INDIRECT(ADDRESS(12,3+18*1+(1),,,"J1 A - (North) Bishopthorpe Roa")&amp;":"&amp;ADDRESS(130,3+18*1+(1))),'J1 A - (North) Bishopthorpe Roa'!$A$12:$A$130,"&gt;="&amp;Diagram!$O32,'J1 A - (North) Bishopthorpe Roa'!$A$12:$A$130,"&lt;"&amp;Diagram!$P32),SUMIFS(INDIRECT(ADDRESS(12,3+18*1+(9),,,"J1 A - (North) Bishopthorpe Roa")&amp;":"&amp;ADDRESS(130,3+18*1+(9))),'J1 A - (North) Bishopthorpe Roa'!$A$12:$A$130,"&gt;="&amp;Diagram!$O32,'J1 A - (North) Bishopthorpe Roa'!$A$12:$A$130,"&lt;"&amp;Diagram!$P32)))</f>
        <v>27</v>
      </c>
      <c r="AM32" s="42">
        <f ca="1">IF(OR($I$10="",$O32="",$P32="",$J$36&lt;&gt;"Yes"),0,IF($K$10=0,SUMIFS(INDIRECT(ADDRESS(12,3+18*2+(1),,,"J1 A - (North) Bishopthorpe Roa")&amp;":"&amp;ADDRESS(130,3+18*2+(1))),'J1 A - (North) Bishopthorpe Roa'!$A$12:$A$130,"&gt;="&amp;Diagram!$O32,'J1 A - (North) Bishopthorpe Roa'!$A$12:$A$130,"&lt;"&amp;Diagram!$P32),SUMIFS(INDIRECT(ADDRESS(12,3+18*2+(9),,,"J1 A - (North) Bishopthorpe Roa")&amp;":"&amp;ADDRESS(130,3+18*2+(9))),'J1 A - (North) Bishopthorpe Roa'!$A$12:$A$130,"&gt;="&amp;Diagram!$O32,'J1 A - (North) Bishopthorpe Roa'!$A$12:$A$130,"&lt;"&amp;Diagram!$P32)))</f>
        <v>3</v>
      </c>
      <c r="AN32" s="42">
        <f ca="1">IF(OR($I$10="",$O32="",$P32="",$J$36&lt;&gt;"Yes"),0,IF($K$10=0,SUMIFS(INDIRECT(ADDRESS(12,3+18*2+(1),,,"J1 B - Butcher Terrace")&amp;":"&amp;ADDRESS(130,3+18*2+(1))),'J1 B - Butcher Terrace'!$A$12:$A$130,"&gt;="&amp;Diagram!$O32,'J1 B - Butcher Terrace'!$A$12:$A$130,"&lt;"&amp;Diagram!$P32),SUMIFS(INDIRECT(ADDRESS(12,3+18*2+(9),,,"J1 B - Butcher Terrace")&amp;":"&amp;ADDRESS(130,3+18*2+(9))),'J1 B - Butcher Terrace'!$A$12:$A$130,"&gt;="&amp;Diagram!$O32,'J1 B - Butcher Terrace'!$A$12:$A$130,"&lt;"&amp;Diagram!$P32)))</f>
        <v>2</v>
      </c>
      <c r="AO32" s="42">
        <f ca="1">IF(OR($I$10="",$O32="",$P32="",$J$36&lt;&gt;"Yes"),0,IF($K$10=0,SUMIFS(INDIRECT(ADDRESS(12,3+18*3+(1),,,"J1 B - Butcher Terrace")&amp;":"&amp;ADDRESS(130,3+18*3+(1))),'J1 B - Butcher Terrace'!$A$12:$A$130,"&gt;="&amp;Diagram!$O32,'J1 B - Butcher Terrace'!$A$12:$A$130,"&lt;"&amp;Diagram!$P32),SUMIFS(INDIRECT(ADDRESS(12,3+18*3+(9),,,"J1 B - Butcher Terrace")&amp;":"&amp;ADDRESS(130,3+18*3+(9))),'J1 B - Butcher Terrace'!$A$12:$A$130,"&gt;="&amp;Diagram!$O32,'J1 B - Butcher Terrace'!$A$12:$A$130,"&lt;"&amp;Diagram!$P32)))</f>
        <v>0</v>
      </c>
      <c r="AP32" s="42">
        <f ca="1">IF(OR($I$10="",$O32="",$P32="",$J$36&lt;&gt;"Yes"),0,IF($K$10=0,SUMIFS(INDIRECT(ADDRESS(12,3+18*0+(1),,,"J1 B - Butcher Terrace")&amp;":"&amp;ADDRESS(130,3+18*0+(1))),'J1 B - Butcher Terrace'!$A$12:$A$130,"&gt;="&amp;Diagram!$O32,'J1 B - Butcher Terrace'!$A$12:$A$130,"&lt;"&amp;Diagram!$P32),SUMIFS(INDIRECT(ADDRESS(12,3+18*0+(9),,,"J1 B - Butcher Terrace")&amp;":"&amp;ADDRESS(130,3+18*0+(9))),'J1 B - Butcher Terrace'!$A$12:$A$130,"&gt;="&amp;Diagram!$O32,'J1 B - Butcher Terrace'!$A$12:$A$130,"&lt;"&amp;Diagram!$P32)))</f>
        <v>4</v>
      </c>
      <c r="AQ32" s="42">
        <f ca="1">IF(OR($I$10="",$O32="",$P32="",$J$36&lt;&gt;"Yes"),0,IF($K$10=0,SUMIFS(INDIRECT(ADDRESS(12,3+18*1+(1),,,"J1 B - Butcher Terrace")&amp;":"&amp;ADDRESS(130,3+18*1+(1))),'J1 B - Butcher Terrace'!$A$12:$A$130,"&gt;="&amp;Diagram!$O32,'J1 B - Butcher Terrace'!$A$12:$A$130,"&lt;"&amp;Diagram!$P32),SUMIFS(INDIRECT(ADDRESS(12,3+18*1+(9),,,"J1 B - Butcher Terrace")&amp;":"&amp;ADDRESS(130,3+18*1+(9))),'J1 B - Butcher Terrace'!$A$12:$A$130,"&gt;="&amp;Diagram!$O32,'J1 B - Butcher Terrace'!$A$12:$A$130,"&lt;"&amp;Diagram!$P32)))</f>
        <v>0</v>
      </c>
      <c r="AR32" s="42">
        <f ca="1">IF(OR($I$10="",$O32="",$P32="",$J$36&lt;&gt;"Yes"),0,IF($K$10=0,SUMIFS(INDIRECT(ADDRESS(12,3+18*1+(1),,,"J1 C - (South) Bishopthorpe Roa")&amp;":"&amp;ADDRESS(130,3+18*1+(1))),'J1 C - (South) Bishopthorpe Roa'!$A$12:$A$130,"&gt;="&amp;Diagram!$O32,'J1 C - (South) Bishopthorpe Roa'!$A$12:$A$130,"&lt;"&amp;Diagram!$P32),SUMIFS(INDIRECT(ADDRESS(12,3+18*1+(9),,,"J1 C - (South) Bishopthorpe Roa")&amp;":"&amp;ADDRESS(130,3+18*1+(9))),'J1 C - (South) Bishopthorpe Roa'!$A$12:$A$130,"&gt;="&amp;Diagram!$O32,'J1 C - (South) Bishopthorpe Roa'!$A$12:$A$130,"&lt;"&amp;Diagram!$P32)))</f>
        <v>40</v>
      </c>
      <c r="AS32" s="42">
        <f ca="1">IF(OR($I$10="",$O32="",$P32="",$J$36&lt;&gt;"Yes"),0,IF($K$10=0,SUMIFS(INDIRECT(ADDRESS(12,3+18*2+(1),,,"J1 C - (South) Bishopthorpe Roa")&amp;":"&amp;ADDRESS(130,3+18*2+(1))),'J1 C - (South) Bishopthorpe Roa'!$A$12:$A$130,"&gt;="&amp;Diagram!$O32,'J1 C - (South) Bishopthorpe Roa'!$A$12:$A$130,"&lt;"&amp;Diagram!$P32),SUMIFS(INDIRECT(ADDRESS(12,3+18*2+(9),,,"J1 C - (South) Bishopthorpe Roa")&amp;":"&amp;ADDRESS(130,3+18*2+(9))),'J1 C - (South) Bishopthorpe Roa'!$A$12:$A$130,"&gt;="&amp;Diagram!$O32,'J1 C - (South) Bishopthorpe Roa'!$A$12:$A$130,"&lt;"&amp;Diagram!$P32)))</f>
        <v>1</v>
      </c>
      <c r="AT32" s="42">
        <f ca="1">IF(OR($I$10="",$O32="",$P32="",$J$36&lt;&gt;"Yes"),0,IF($K$10=0,SUMIFS(INDIRECT(ADDRESS(12,3+18*3+(1),,,"J1 C - (South) Bishopthorpe Roa")&amp;":"&amp;ADDRESS(130,3+18*3+(1))),'J1 C - (South) Bishopthorpe Roa'!$A$12:$A$130,"&gt;="&amp;Diagram!$O32,'J1 C - (South) Bishopthorpe Roa'!$A$12:$A$130,"&lt;"&amp;Diagram!$P32),SUMIFS(INDIRECT(ADDRESS(12,3+18*3+(9),,,"J1 C - (South) Bishopthorpe Roa")&amp;":"&amp;ADDRESS(130,3+18*3+(9))),'J1 C - (South) Bishopthorpe Roa'!$A$12:$A$130,"&gt;="&amp;Diagram!$O32,'J1 C - (South) Bishopthorpe Roa'!$A$12:$A$130,"&lt;"&amp;Diagram!$P32)))</f>
        <v>0</v>
      </c>
      <c r="AU32" s="42">
        <f ca="1">IF(OR($I$10="",$O32="",$P32="",$J$36&lt;&gt;"Yes"),0,IF($K$10=0,SUMIFS(INDIRECT(ADDRESS(12,3+18*0+(1),,,"J1 C - (South) Bishopthorpe Roa")&amp;":"&amp;ADDRESS(130,3+18*0+(1))),'J1 C - (South) Bishopthorpe Roa'!$A$12:$A$130,"&gt;="&amp;Diagram!$O32,'J1 C - (South) Bishopthorpe Roa'!$A$12:$A$130,"&lt;"&amp;Diagram!$P32),SUMIFS(INDIRECT(ADDRESS(12,3+18*0+(9),,,"J1 C - (South) Bishopthorpe Roa")&amp;":"&amp;ADDRESS(130,3+18*0+(9))),'J1 C - (South) Bishopthorpe Roa'!$A$12:$A$130,"&gt;="&amp;Diagram!$O32,'J1 C - (South) Bishopthorpe Roa'!$A$12:$A$130,"&lt;"&amp;Diagram!$P32)))</f>
        <v>3</v>
      </c>
      <c r="AV32" s="42">
        <f ca="1">IF(OR($I$10="",$O32="",$P32="",$J$36&lt;&gt;"Yes"),0,IF($K$10=0,SUMIFS(INDIRECT(ADDRESS(12,3+18*0+(1),,,"J1 D - South Bank Avenue")&amp;":"&amp;ADDRESS(130,3+18*0+(1))),'J1 D - South Bank Avenue'!$A$12:$A$130,"&gt;="&amp;Diagram!$O32,'J1 D - South Bank Avenue'!$A$12:$A$130,"&lt;"&amp;Diagram!$P32),SUMIFS(INDIRECT(ADDRESS(12,3+18*0+(9),,,"J1 D - South Bank Avenue")&amp;":"&amp;ADDRESS(130,3+18*0+(9))),'J1 D - South Bank Avenue'!$A$12:$A$130,"&gt;="&amp;Diagram!$O32,'J1 D - South Bank Avenue'!$A$12:$A$130,"&lt;"&amp;Diagram!$P32)))</f>
        <v>3</v>
      </c>
      <c r="AW32" s="42">
        <f ca="1">IF(OR($I$10="",$O32="",$P32="",$J$36&lt;&gt;"Yes"),0,IF($K$10=0,SUMIFS(INDIRECT(ADDRESS(12,3+18*1+(1),,,"J1 D - South Bank Avenue")&amp;":"&amp;ADDRESS(130,3+18*1+(1))),'J1 D - South Bank Avenue'!$A$12:$A$130,"&gt;="&amp;Diagram!$O32,'J1 D - South Bank Avenue'!$A$12:$A$130,"&lt;"&amp;Diagram!$P32),SUMIFS(INDIRECT(ADDRESS(12,3+18*1+(9),,,"J1 D - South Bank Avenue")&amp;":"&amp;ADDRESS(130,3+18*1+(9))),'J1 D - South Bank Avenue'!$A$12:$A$130,"&gt;="&amp;Diagram!$O32,'J1 D - South Bank Avenue'!$A$12:$A$130,"&lt;"&amp;Diagram!$P32)))</f>
        <v>0</v>
      </c>
      <c r="AX32" s="42">
        <f ca="1">IF(OR($I$10="",$O32="",$P32="",$J$36&lt;&gt;"Yes"),0,IF($K$10=0,SUMIFS(INDIRECT(ADDRESS(12,3+18*2+(1),,,"J1 D - South Bank Avenue")&amp;":"&amp;ADDRESS(130,3+18*2+(1))),'J1 D - South Bank Avenue'!$A$12:$A$130,"&gt;="&amp;Diagram!$O32,'J1 D - South Bank Avenue'!$A$12:$A$130,"&lt;"&amp;Diagram!$P32),SUMIFS(INDIRECT(ADDRESS(12,3+18*2+(9),,,"J1 D - South Bank Avenue")&amp;":"&amp;ADDRESS(130,3+18*2+(9))),'J1 D - South Bank Avenue'!$A$12:$A$130,"&gt;="&amp;Diagram!$O32,'J1 D - South Bank Avenue'!$A$12:$A$130,"&lt;"&amp;Diagram!$P32)))</f>
        <v>1</v>
      </c>
      <c r="AY32" s="42">
        <f ca="1">IF(OR($I$10="",$O32="",$P32="",$J$36&lt;&gt;"Yes"),0,IF($K$10=0,SUMIFS(INDIRECT(ADDRESS(12,3+18*3+(1),,,"J1 D - South Bank Avenue")&amp;":"&amp;ADDRESS(130,3+18*3+(1))),'J1 D - South Bank Avenue'!$A$12:$A$130,"&gt;="&amp;Diagram!$O32,'J1 D - South Bank Avenue'!$A$12:$A$130,"&lt;"&amp;Diagram!$P32),SUMIFS(INDIRECT(ADDRESS(12,3+18*3+(9),,,"J1 D - South Bank Avenue")&amp;":"&amp;ADDRESS(130,3+18*3+(9))),'J1 D - South Bank Avenue'!$A$12:$A$130,"&gt;="&amp;Diagram!$O32,'J1 D - South Bank Avenue'!$A$12:$A$130,"&lt;"&amp;Diagram!$P32)))</f>
        <v>0</v>
      </c>
      <c r="AZ32" s="42">
        <f t="shared" ca="1" si="3"/>
        <v>10</v>
      </c>
      <c r="BA32" s="42">
        <f ca="1">IF(OR($I$10="",$O32="",$P32="",$J$37&lt;&gt;"Yes"),0,IF($K$10=0,SUMIFS(INDIRECT(ADDRESS(12,3+18*3+(2),,,"J1 A - (North) Bishopthorpe Roa")&amp;":"&amp;ADDRESS(130,3+18*3+(2))),'J1 A - (North) Bishopthorpe Roa'!$A$12:$A$130,"&gt;="&amp;Diagram!$O32,'J1 A - (North) Bishopthorpe Roa'!$A$12:$A$130,"&lt;"&amp;Diagram!$P32),SUMIFS(INDIRECT(ADDRESS(12,3+18*3+(10),,,"J1 A - (North) Bishopthorpe Roa")&amp;":"&amp;ADDRESS(130,3+18*3+(10))),'J1 A - (North) Bishopthorpe Roa'!$A$12:$A$130,"&gt;="&amp;Diagram!$O32,'J1 A - (North) Bishopthorpe Roa'!$A$12:$A$130,"&lt;"&amp;Diagram!$P32)))</f>
        <v>0</v>
      </c>
      <c r="BB32" s="42">
        <f ca="1">IF(OR($I$10="",$O32="",$P32="",$J$37&lt;&gt;"Yes"),0,IF($K$10=0,SUMIFS(INDIRECT(ADDRESS(12,3+18*0+(2),,,"J1 A - (North) Bishopthorpe Roa")&amp;":"&amp;ADDRESS(130,3+18*0+(2))),'J1 A - (North) Bishopthorpe Roa'!$A$12:$A$130,"&gt;="&amp;Diagram!$O32,'J1 A - (North) Bishopthorpe Roa'!$A$12:$A$130,"&lt;"&amp;Diagram!$P32),SUMIFS(INDIRECT(ADDRESS(12,3+18*0+(10),,,"J1 A - (North) Bishopthorpe Roa")&amp;":"&amp;ADDRESS(130,3+18*0+(10))),'J1 A - (North) Bishopthorpe Roa'!$A$12:$A$130,"&gt;="&amp;Diagram!$O32,'J1 A - (North) Bishopthorpe Roa'!$A$12:$A$130,"&lt;"&amp;Diagram!$P32)))</f>
        <v>1</v>
      </c>
      <c r="BC32" s="42">
        <f ca="1">IF(OR($I$10="",$O32="",$P32="",$J$37&lt;&gt;"Yes"),0,IF($K$10=0,SUMIFS(INDIRECT(ADDRESS(12,3+18*1+(2),,,"J1 A - (North) Bishopthorpe Roa")&amp;":"&amp;ADDRESS(130,3+18*1+(2))),'J1 A - (North) Bishopthorpe Roa'!$A$12:$A$130,"&gt;="&amp;Diagram!$O32,'J1 A - (North) Bishopthorpe Roa'!$A$12:$A$130,"&lt;"&amp;Diagram!$P32),SUMIFS(INDIRECT(ADDRESS(12,3+18*1+(10),,,"J1 A - (North) Bishopthorpe Roa")&amp;":"&amp;ADDRESS(130,3+18*1+(10))),'J1 A - (North) Bishopthorpe Roa'!$A$12:$A$130,"&gt;="&amp;Diagram!$O32,'J1 A - (North) Bishopthorpe Roa'!$A$12:$A$130,"&lt;"&amp;Diagram!$P32)))</f>
        <v>6</v>
      </c>
      <c r="BD32" s="42">
        <f ca="1">IF(OR($I$10="",$O32="",$P32="",$J$37&lt;&gt;"Yes"),0,IF($K$10=0,SUMIFS(INDIRECT(ADDRESS(12,3+18*2+(2),,,"J1 A - (North) Bishopthorpe Roa")&amp;":"&amp;ADDRESS(130,3+18*2+(2))),'J1 A - (North) Bishopthorpe Roa'!$A$12:$A$130,"&gt;="&amp;Diagram!$O32,'J1 A - (North) Bishopthorpe Roa'!$A$12:$A$130,"&lt;"&amp;Diagram!$P32),SUMIFS(INDIRECT(ADDRESS(12,3+18*2+(10),,,"J1 A - (North) Bishopthorpe Roa")&amp;":"&amp;ADDRESS(130,3+18*2+(10))),'J1 A - (North) Bishopthorpe Roa'!$A$12:$A$130,"&gt;="&amp;Diagram!$O32,'J1 A - (North) Bishopthorpe Roa'!$A$12:$A$130,"&lt;"&amp;Diagram!$P32)))</f>
        <v>0</v>
      </c>
      <c r="BE32" s="42">
        <f ca="1">IF(OR($I$10="",$O32="",$P32="",$J$37&lt;&gt;"Yes"),0,IF($K$10=0,SUMIFS(INDIRECT(ADDRESS(12,3+18*2+(2),,,"J1 B - Butcher Terrace")&amp;":"&amp;ADDRESS(130,3+18*2+(2))),'J1 B - Butcher Terrace'!$A$12:$A$130,"&gt;="&amp;Diagram!$O32,'J1 B - Butcher Terrace'!$A$12:$A$130,"&lt;"&amp;Diagram!$P32),SUMIFS(INDIRECT(ADDRESS(12,3+18*2+(10),,,"J1 B - Butcher Terrace")&amp;":"&amp;ADDRESS(130,3+18*2+(10))),'J1 B - Butcher Terrace'!$A$12:$A$130,"&gt;="&amp;Diagram!$O32,'J1 B - Butcher Terrace'!$A$12:$A$130,"&lt;"&amp;Diagram!$P32)))</f>
        <v>0</v>
      </c>
      <c r="BF32" s="42">
        <f ca="1">IF(OR($I$10="",$O32="",$P32="",$J$37&lt;&gt;"Yes"),0,IF($K$10=0,SUMIFS(INDIRECT(ADDRESS(12,3+18*3+(2),,,"J1 B - Butcher Terrace")&amp;":"&amp;ADDRESS(130,3+18*3+(2))),'J1 B - Butcher Terrace'!$A$12:$A$130,"&gt;="&amp;Diagram!$O32,'J1 B - Butcher Terrace'!$A$12:$A$130,"&lt;"&amp;Diagram!$P32),SUMIFS(INDIRECT(ADDRESS(12,3+18*3+(10),,,"J1 B - Butcher Terrace")&amp;":"&amp;ADDRESS(130,3+18*3+(10))),'J1 B - Butcher Terrace'!$A$12:$A$130,"&gt;="&amp;Diagram!$O32,'J1 B - Butcher Terrace'!$A$12:$A$130,"&lt;"&amp;Diagram!$P32)))</f>
        <v>0</v>
      </c>
      <c r="BG32" s="42">
        <f ca="1">IF(OR($I$10="",$O32="",$P32="",$J$37&lt;&gt;"Yes"),0,IF($K$10=0,SUMIFS(INDIRECT(ADDRESS(12,3+18*0+(2),,,"J1 B - Butcher Terrace")&amp;":"&amp;ADDRESS(130,3+18*0+(2))),'J1 B - Butcher Terrace'!$A$12:$A$130,"&gt;="&amp;Diagram!$O32,'J1 B - Butcher Terrace'!$A$12:$A$130,"&lt;"&amp;Diagram!$P32),SUMIFS(INDIRECT(ADDRESS(12,3+18*0+(10),,,"J1 B - Butcher Terrace")&amp;":"&amp;ADDRESS(130,3+18*0+(10))),'J1 B - Butcher Terrace'!$A$12:$A$130,"&gt;="&amp;Diagram!$O32,'J1 B - Butcher Terrace'!$A$12:$A$130,"&lt;"&amp;Diagram!$P32)))</f>
        <v>0</v>
      </c>
      <c r="BH32" s="42">
        <f ca="1">IF(OR($I$10="",$O32="",$P32="",$J$37&lt;&gt;"Yes"),0,IF($K$10=0,SUMIFS(INDIRECT(ADDRESS(12,3+18*1+(2),,,"J1 B - Butcher Terrace")&amp;":"&amp;ADDRESS(130,3+18*1+(2))),'J1 B - Butcher Terrace'!$A$12:$A$130,"&gt;="&amp;Diagram!$O32,'J1 B - Butcher Terrace'!$A$12:$A$130,"&lt;"&amp;Diagram!$P32),SUMIFS(INDIRECT(ADDRESS(12,3+18*1+(10),,,"J1 B - Butcher Terrace")&amp;":"&amp;ADDRESS(130,3+18*1+(10))),'J1 B - Butcher Terrace'!$A$12:$A$130,"&gt;="&amp;Diagram!$O32,'J1 B - Butcher Terrace'!$A$12:$A$130,"&lt;"&amp;Diagram!$P32)))</f>
        <v>0</v>
      </c>
      <c r="BI32" s="42">
        <f ca="1">IF(OR($I$10="",$O32="",$P32="",$J$37&lt;&gt;"Yes"),0,IF($K$10=0,SUMIFS(INDIRECT(ADDRESS(12,3+18*1+(2),,,"J1 C - (South) Bishopthorpe Roa")&amp;":"&amp;ADDRESS(130,3+18*1+(2))),'J1 C - (South) Bishopthorpe Roa'!$A$12:$A$130,"&gt;="&amp;Diagram!$O32,'J1 C - (South) Bishopthorpe Roa'!$A$12:$A$130,"&lt;"&amp;Diagram!$P32),SUMIFS(INDIRECT(ADDRESS(12,3+18*1+(10),,,"J1 C - (South) Bishopthorpe Roa")&amp;":"&amp;ADDRESS(130,3+18*1+(10))),'J1 C - (South) Bishopthorpe Roa'!$A$12:$A$130,"&gt;="&amp;Diagram!$O32,'J1 C - (South) Bishopthorpe Roa'!$A$12:$A$130,"&lt;"&amp;Diagram!$P32)))</f>
        <v>3</v>
      </c>
      <c r="BJ32" s="42">
        <f ca="1">IF(OR($I$10="",$O32="",$P32="",$J$37&lt;&gt;"Yes"),0,IF($K$10=0,SUMIFS(INDIRECT(ADDRESS(12,3+18*2+(2),,,"J1 C - (South) Bishopthorpe Roa")&amp;":"&amp;ADDRESS(130,3+18*2+(2))),'J1 C - (South) Bishopthorpe Roa'!$A$12:$A$130,"&gt;="&amp;Diagram!$O32,'J1 C - (South) Bishopthorpe Roa'!$A$12:$A$130,"&lt;"&amp;Diagram!$P32),SUMIFS(INDIRECT(ADDRESS(12,3+18*2+(10),,,"J1 C - (South) Bishopthorpe Roa")&amp;":"&amp;ADDRESS(130,3+18*2+(10))),'J1 C - (South) Bishopthorpe Roa'!$A$12:$A$130,"&gt;="&amp;Diagram!$O32,'J1 C - (South) Bishopthorpe Roa'!$A$12:$A$130,"&lt;"&amp;Diagram!$P32)))</f>
        <v>0</v>
      </c>
      <c r="BK32" s="42">
        <f ca="1">IF(OR($I$10="",$O32="",$P32="",$J$37&lt;&gt;"Yes"),0,IF($K$10=0,SUMIFS(INDIRECT(ADDRESS(12,3+18*3+(2),,,"J1 C - (South) Bishopthorpe Roa")&amp;":"&amp;ADDRESS(130,3+18*3+(2))),'J1 C - (South) Bishopthorpe Roa'!$A$12:$A$130,"&gt;="&amp;Diagram!$O32,'J1 C - (South) Bishopthorpe Roa'!$A$12:$A$130,"&lt;"&amp;Diagram!$P32),SUMIFS(INDIRECT(ADDRESS(12,3+18*3+(10),,,"J1 C - (South) Bishopthorpe Roa")&amp;":"&amp;ADDRESS(130,3+18*3+(10))),'J1 C - (South) Bishopthorpe Roa'!$A$12:$A$130,"&gt;="&amp;Diagram!$O32,'J1 C - (South) Bishopthorpe Roa'!$A$12:$A$130,"&lt;"&amp;Diagram!$P32)))</f>
        <v>0</v>
      </c>
      <c r="BL32" s="42">
        <f ca="1">IF(OR($I$10="",$O32="",$P32="",$J$37&lt;&gt;"Yes"),0,IF($K$10=0,SUMIFS(INDIRECT(ADDRESS(12,3+18*0+(2),,,"J1 C - (South) Bishopthorpe Roa")&amp;":"&amp;ADDRESS(130,3+18*0+(2))),'J1 C - (South) Bishopthorpe Roa'!$A$12:$A$130,"&gt;="&amp;Diagram!$O32,'J1 C - (South) Bishopthorpe Roa'!$A$12:$A$130,"&lt;"&amp;Diagram!$P32),SUMIFS(INDIRECT(ADDRESS(12,3+18*0+(10),,,"J1 C - (South) Bishopthorpe Roa")&amp;":"&amp;ADDRESS(130,3+18*0+(10))),'J1 C - (South) Bishopthorpe Roa'!$A$12:$A$130,"&gt;="&amp;Diagram!$O32,'J1 C - (South) Bishopthorpe Roa'!$A$12:$A$130,"&lt;"&amp;Diagram!$P32)))</f>
        <v>0</v>
      </c>
      <c r="BM32" s="42">
        <f ca="1">IF(OR($I$10="",$O32="",$P32="",$J$37&lt;&gt;"Yes"),0,IF($K$10=0,SUMIFS(INDIRECT(ADDRESS(12,3+18*0+(2),,,"J1 D - South Bank Avenue")&amp;":"&amp;ADDRESS(130,3+18*0+(2))),'J1 D - South Bank Avenue'!$A$12:$A$130,"&gt;="&amp;Diagram!$O32,'J1 D - South Bank Avenue'!$A$12:$A$130,"&lt;"&amp;Diagram!$P32),SUMIFS(INDIRECT(ADDRESS(12,3+18*0+(10),,,"J1 D - South Bank Avenue")&amp;":"&amp;ADDRESS(130,3+18*0+(10))),'J1 D - South Bank Avenue'!$A$12:$A$130,"&gt;="&amp;Diagram!$O32,'J1 D - South Bank Avenue'!$A$12:$A$130,"&lt;"&amp;Diagram!$P32)))</f>
        <v>0</v>
      </c>
      <c r="BN32" s="42">
        <f ca="1">IF(OR($I$10="",$O32="",$P32="",$J$37&lt;&gt;"Yes"),0,IF($K$10=0,SUMIFS(INDIRECT(ADDRESS(12,3+18*1+(2),,,"J1 D - South Bank Avenue")&amp;":"&amp;ADDRESS(130,3+18*1+(2))),'J1 D - South Bank Avenue'!$A$12:$A$130,"&gt;="&amp;Diagram!$O32,'J1 D - South Bank Avenue'!$A$12:$A$130,"&lt;"&amp;Diagram!$P32),SUMIFS(INDIRECT(ADDRESS(12,3+18*1+(10),,,"J1 D - South Bank Avenue")&amp;":"&amp;ADDRESS(130,3+18*1+(10))),'J1 D - South Bank Avenue'!$A$12:$A$130,"&gt;="&amp;Diagram!$O32,'J1 D - South Bank Avenue'!$A$12:$A$130,"&lt;"&amp;Diagram!$P32)))</f>
        <v>0</v>
      </c>
      <c r="BO32" s="42">
        <f ca="1">IF(OR($I$10="",$O32="",$P32="",$J$37&lt;&gt;"Yes"),0,IF($K$10=0,SUMIFS(INDIRECT(ADDRESS(12,3+18*2+(2),,,"J1 D - South Bank Avenue")&amp;":"&amp;ADDRESS(130,3+18*2+(2))),'J1 D - South Bank Avenue'!$A$12:$A$130,"&gt;="&amp;Diagram!$O32,'J1 D - South Bank Avenue'!$A$12:$A$130,"&lt;"&amp;Diagram!$P32),SUMIFS(INDIRECT(ADDRESS(12,3+18*2+(10),,,"J1 D - South Bank Avenue")&amp;":"&amp;ADDRESS(130,3+18*2+(10))),'J1 D - South Bank Avenue'!$A$12:$A$130,"&gt;="&amp;Diagram!$O32,'J1 D - South Bank Avenue'!$A$12:$A$130,"&lt;"&amp;Diagram!$P32)))</f>
        <v>0</v>
      </c>
      <c r="BP32" s="42">
        <f ca="1">IF(OR($I$10="",$O32="",$P32="",$J$37&lt;&gt;"Yes"),0,IF($K$10=0,SUMIFS(INDIRECT(ADDRESS(12,3+18*3+(2),,,"J1 D - South Bank Avenue")&amp;":"&amp;ADDRESS(130,3+18*3+(2))),'J1 D - South Bank Avenue'!$A$12:$A$130,"&gt;="&amp;Diagram!$O32,'J1 D - South Bank Avenue'!$A$12:$A$130,"&lt;"&amp;Diagram!$P32),SUMIFS(INDIRECT(ADDRESS(12,3+18*3+(10),,,"J1 D - South Bank Avenue")&amp;":"&amp;ADDRESS(130,3+18*3+(10))),'J1 D - South Bank Avenue'!$A$12:$A$130,"&gt;="&amp;Diagram!$O32,'J1 D - South Bank Avenue'!$A$12:$A$130,"&lt;"&amp;Diagram!$P32)))</f>
        <v>0</v>
      </c>
      <c r="BQ32" s="42">
        <f t="shared" ca="1" si="4"/>
        <v>0</v>
      </c>
      <c r="BR32" s="42">
        <f ca="1">IF(OR($I$10="",$O32="",$P32="",$J$38&lt;&gt;"Yes"),0,IF($K$10=0,SUMIFS(INDIRECT(ADDRESS(12,3+18*3+(3),,,"J1 A - (North) Bishopthorpe Roa")&amp;":"&amp;ADDRESS(130,3+18*3+(3))),'J1 A - (North) Bishopthorpe Roa'!$A$12:$A$130,"&gt;="&amp;Diagram!$O32,'J1 A - (North) Bishopthorpe Roa'!$A$12:$A$130,"&lt;"&amp;Diagram!$P32),SUMIFS(INDIRECT(ADDRESS(12,3+18*3+(11),,,"J1 A - (North) Bishopthorpe Roa")&amp;":"&amp;ADDRESS(130,3+18*3+(11))),'J1 A - (North) Bishopthorpe Roa'!$A$12:$A$130,"&gt;="&amp;Diagram!$O32,'J1 A - (North) Bishopthorpe Roa'!$A$12:$A$130,"&lt;"&amp;Diagram!$P32)))</f>
        <v>0</v>
      </c>
      <c r="BS32" s="42">
        <f ca="1">IF(OR($I$10="",$O32="",$P32="",$J$38&lt;&gt;"Yes"),0,IF($K$10=0,SUMIFS(INDIRECT(ADDRESS(12,3+18*0+(3),,,"J1 A - (North) Bishopthorpe Roa")&amp;":"&amp;ADDRESS(130,3+18*0+(3))),'J1 A - (North) Bishopthorpe Roa'!$A$12:$A$130,"&gt;="&amp;Diagram!$O32,'J1 A - (North) Bishopthorpe Roa'!$A$12:$A$130,"&lt;"&amp;Diagram!$P32),SUMIFS(INDIRECT(ADDRESS(12,3+18*0+(11),,,"J1 A - (North) Bishopthorpe Roa")&amp;":"&amp;ADDRESS(130,3+18*0+(11))),'J1 A - (North) Bishopthorpe Roa'!$A$12:$A$130,"&gt;="&amp;Diagram!$O32,'J1 A - (North) Bishopthorpe Roa'!$A$12:$A$130,"&lt;"&amp;Diagram!$P32)))</f>
        <v>0</v>
      </c>
      <c r="BT32" s="42">
        <f ca="1">IF(OR($I$10="",$O32="",$P32="",$J$38&lt;&gt;"Yes"),0,IF($K$10=0,SUMIFS(INDIRECT(ADDRESS(12,3+18*1+(3),,,"J1 A - (North) Bishopthorpe Roa")&amp;":"&amp;ADDRESS(130,3+18*1+(3))),'J1 A - (North) Bishopthorpe Roa'!$A$12:$A$130,"&gt;="&amp;Diagram!$O32,'J1 A - (North) Bishopthorpe Roa'!$A$12:$A$130,"&lt;"&amp;Diagram!$P32),SUMIFS(INDIRECT(ADDRESS(12,3+18*1+(11),,,"J1 A - (North) Bishopthorpe Roa")&amp;":"&amp;ADDRESS(130,3+18*1+(11))),'J1 A - (North) Bishopthorpe Roa'!$A$12:$A$130,"&gt;="&amp;Diagram!$O32,'J1 A - (North) Bishopthorpe Roa'!$A$12:$A$130,"&lt;"&amp;Diagram!$P32)))</f>
        <v>0</v>
      </c>
      <c r="BU32" s="42">
        <f ca="1">IF(OR($I$10="",$O32="",$P32="",$J$38&lt;&gt;"Yes"),0,IF($K$10=0,SUMIFS(INDIRECT(ADDRESS(12,3+18*2+(3),,,"J1 A - (North) Bishopthorpe Roa")&amp;":"&amp;ADDRESS(130,3+18*2+(3))),'J1 A - (North) Bishopthorpe Roa'!$A$12:$A$130,"&gt;="&amp;Diagram!$O32,'J1 A - (North) Bishopthorpe Roa'!$A$12:$A$130,"&lt;"&amp;Diagram!$P32),SUMIFS(INDIRECT(ADDRESS(12,3+18*2+(11),,,"J1 A - (North) Bishopthorpe Roa")&amp;":"&amp;ADDRESS(130,3+18*2+(11))),'J1 A - (North) Bishopthorpe Roa'!$A$12:$A$130,"&gt;="&amp;Diagram!$O32,'J1 A - (North) Bishopthorpe Roa'!$A$12:$A$130,"&lt;"&amp;Diagram!$P32)))</f>
        <v>0</v>
      </c>
      <c r="BV32" s="42">
        <f ca="1">IF(OR($I$10="",$O32="",$P32="",$J$38&lt;&gt;"Yes"),0,IF($K$10=0,SUMIFS(INDIRECT(ADDRESS(12,3+18*2+(3),,,"J1 B - Butcher Terrace")&amp;":"&amp;ADDRESS(130,3+18*2+(3))),'J1 B - Butcher Terrace'!$A$12:$A$130,"&gt;="&amp;Diagram!$O32,'J1 B - Butcher Terrace'!$A$12:$A$130,"&lt;"&amp;Diagram!$P32),SUMIFS(INDIRECT(ADDRESS(12,3+18*2+(11),,,"J1 B - Butcher Terrace")&amp;":"&amp;ADDRESS(130,3+18*2+(11))),'J1 B - Butcher Terrace'!$A$12:$A$130,"&gt;="&amp;Diagram!$O32,'J1 B - Butcher Terrace'!$A$12:$A$130,"&lt;"&amp;Diagram!$P32)))</f>
        <v>0</v>
      </c>
      <c r="BW32" s="42">
        <f ca="1">IF(OR($I$10="",$O32="",$P32="",$J$38&lt;&gt;"Yes"),0,IF($K$10=0,SUMIFS(INDIRECT(ADDRESS(12,3+18*3+(3),,,"J1 B - Butcher Terrace")&amp;":"&amp;ADDRESS(130,3+18*3+(3))),'J1 B - Butcher Terrace'!$A$12:$A$130,"&gt;="&amp;Diagram!$O32,'J1 B - Butcher Terrace'!$A$12:$A$130,"&lt;"&amp;Diagram!$P32),SUMIFS(INDIRECT(ADDRESS(12,3+18*3+(11),,,"J1 B - Butcher Terrace")&amp;":"&amp;ADDRESS(130,3+18*3+(11))),'J1 B - Butcher Terrace'!$A$12:$A$130,"&gt;="&amp;Diagram!$O32,'J1 B - Butcher Terrace'!$A$12:$A$130,"&lt;"&amp;Diagram!$P32)))</f>
        <v>0</v>
      </c>
      <c r="BX32" s="42">
        <f ca="1">IF(OR($I$10="",$O32="",$P32="",$J$38&lt;&gt;"Yes"),0,IF($K$10=0,SUMIFS(INDIRECT(ADDRESS(12,3+18*0+(3),,,"J1 B - Butcher Terrace")&amp;":"&amp;ADDRESS(130,3+18*0+(3))),'J1 B - Butcher Terrace'!$A$12:$A$130,"&gt;="&amp;Diagram!$O32,'J1 B - Butcher Terrace'!$A$12:$A$130,"&lt;"&amp;Diagram!$P32),SUMIFS(INDIRECT(ADDRESS(12,3+18*0+(11),,,"J1 B - Butcher Terrace")&amp;":"&amp;ADDRESS(130,3+18*0+(11))),'J1 B - Butcher Terrace'!$A$12:$A$130,"&gt;="&amp;Diagram!$O32,'J1 B - Butcher Terrace'!$A$12:$A$130,"&lt;"&amp;Diagram!$P32)))</f>
        <v>0</v>
      </c>
      <c r="BY32" s="42">
        <f ca="1">IF(OR($I$10="",$O32="",$P32="",$J$38&lt;&gt;"Yes"),0,IF($K$10=0,SUMIFS(INDIRECT(ADDRESS(12,3+18*1+(3),,,"J1 B - Butcher Terrace")&amp;":"&amp;ADDRESS(130,3+18*1+(3))),'J1 B - Butcher Terrace'!$A$12:$A$130,"&gt;="&amp;Diagram!$O32,'J1 B - Butcher Terrace'!$A$12:$A$130,"&lt;"&amp;Diagram!$P32),SUMIFS(INDIRECT(ADDRESS(12,3+18*1+(11),,,"J1 B - Butcher Terrace")&amp;":"&amp;ADDRESS(130,3+18*1+(11))),'J1 B - Butcher Terrace'!$A$12:$A$130,"&gt;="&amp;Diagram!$O32,'J1 B - Butcher Terrace'!$A$12:$A$130,"&lt;"&amp;Diagram!$P32)))</f>
        <v>0</v>
      </c>
      <c r="BZ32" s="42">
        <f ca="1">IF(OR($I$10="",$O32="",$P32="",$J$38&lt;&gt;"Yes"),0,IF($K$10=0,SUMIFS(INDIRECT(ADDRESS(12,3+18*1+(3),,,"J1 C - (South) Bishopthorpe Roa")&amp;":"&amp;ADDRESS(130,3+18*1+(3))),'J1 C - (South) Bishopthorpe Roa'!$A$12:$A$130,"&gt;="&amp;Diagram!$O32,'J1 C - (South) Bishopthorpe Roa'!$A$12:$A$130,"&lt;"&amp;Diagram!$P32),SUMIFS(INDIRECT(ADDRESS(12,3+18*1+(11),,,"J1 C - (South) Bishopthorpe Roa")&amp;":"&amp;ADDRESS(130,3+18*1+(11))),'J1 C - (South) Bishopthorpe Roa'!$A$12:$A$130,"&gt;="&amp;Diagram!$O32,'J1 C - (South) Bishopthorpe Roa'!$A$12:$A$130,"&lt;"&amp;Diagram!$P32)))</f>
        <v>0</v>
      </c>
      <c r="CA32" s="42">
        <f ca="1">IF(OR($I$10="",$O32="",$P32="",$J$38&lt;&gt;"Yes"),0,IF($K$10=0,SUMIFS(INDIRECT(ADDRESS(12,3+18*2+(3),,,"J1 C - (South) Bishopthorpe Roa")&amp;":"&amp;ADDRESS(130,3+18*2+(3))),'J1 C - (South) Bishopthorpe Roa'!$A$12:$A$130,"&gt;="&amp;Diagram!$O32,'J1 C - (South) Bishopthorpe Roa'!$A$12:$A$130,"&lt;"&amp;Diagram!$P32),SUMIFS(INDIRECT(ADDRESS(12,3+18*2+(11),,,"J1 C - (South) Bishopthorpe Roa")&amp;":"&amp;ADDRESS(130,3+18*2+(11))),'J1 C - (South) Bishopthorpe Roa'!$A$12:$A$130,"&gt;="&amp;Diagram!$O32,'J1 C - (South) Bishopthorpe Roa'!$A$12:$A$130,"&lt;"&amp;Diagram!$P32)))</f>
        <v>0</v>
      </c>
      <c r="CB32" s="42">
        <f ca="1">IF(OR($I$10="",$O32="",$P32="",$J$38&lt;&gt;"Yes"),0,IF($K$10=0,SUMIFS(INDIRECT(ADDRESS(12,3+18*3+(3),,,"J1 C - (South) Bishopthorpe Roa")&amp;":"&amp;ADDRESS(130,3+18*3+(3))),'J1 C - (South) Bishopthorpe Roa'!$A$12:$A$130,"&gt;="&amp;Diagram!$O32,'J1 C - (South) Bishopthorpe Roa'!$A$12:$A$130,"&lt;"&amp;Diagram!$P32),SUMIFS(INDIRECT(ADDRESS(12,3+18*3+(11),,,"J1 C - (South) Bishopthorpe Roa")&amp;":"&amp;ADDRESS(130,3+18*3+(11))),'J1 C - (South) Bishopthorpe Roa'!$A$12:$A$130,"&gt;="&amp;Diagram!$O32,'J1 C - (South) Bishopthorpe Roa'!$A$12:$A$130,"&lt;"&amp;Diagram!$P32)))</f>
        <v>0</v>
      </c>
      <c r="CC32" s="42">
        <f ca="1">IF(OR($I$10="",$O32="",$P32="",$J$38&lt;&gt;"Yes"),0,IF($K$10=0,SUMIFS(INDIRECT(ADDRESS(12,3+18*0+(3),,,"J1 C - (South) Bishopthorpe Roa")&amp;":"&amp;ADDRESS(130,3+18*0+(3))),'J1 C - (South) Bishopthorpe Roa'!$A$12:$A$130,"&gt;="&amp;Diagram!$O32,'J1 C - (South) Bishopthorpe Roa'!$A$12:$A$130,"&lt;"&amp;Diagram!$P32),SUMIFS(INDIRECT(ADDRESS(12,3+18*0+(11),,,"J1 C - (South) Bishopthorpe Roa")&amp;":"&amp;ADDRESS(130,3+18*0+(11))),'J1 C - (South) Bishopthorpe Roa'!$A$12:$A$130,"&gt;="&amp;Diagram!$O32,'J1 C - (South) Bishopthorpe Roa'!$A$12:$A$130,"&lt;"&amp;Diagram!$P32)))</f>
        <v>0</v>
      </c>
      <c r="CD32" s="42">
        <f ca="1">IF(OR($I$10="",$O32="",$P32="",$J$38&lt;&gt;"Yes"),0,IF($K$10=0,SUMIFS(INDIRECT(ADDRESS(12,3+18*0+(3),,,"J1 D - South Bank Avenue")&amp;":"&amp;ADDRESS(130,3+18*0+(3))),'J1 D - South Bank Avenue'!$A$12:$A$130,"&gt;="&amp;Diagram!$O32,'J1 D - South Bank Avenue'!$A$12:$A$130,"&lt;"&amp;Diagram!$P32),SUMIFS(INDIRECT(ADDRESS(12,3+18*0+(11),,,"J1 D - South Bank Avenue")&amp;":"&amp;ADDRESS(130,3+18*0+(11))),'J1 D - South Bank Avenue'!$A$12:$A$130,"&gt;="&amp;Diagram!$O32,'J1 D - South Bank Avenue'!$A$12:$A$130,"&lt;"&amp;Diagram!$P32)))</f>
        <v>0</v>
      </c>
      <c r="CE32" s="42">
        <f ca="1">IF(OR($I$10="",$O32="",$P32="",$J$38&lt;&gt;"Yes"),0,IF($K$10=0,SUMIFS(INDIRECT(ADDRESS(12,3+18*1+(3),,,"J1 D - South Bank Avenue")&amp;":"&amp;ADDRESS(130,3+18*1+(3))),'J1 D - South Bank Avenue'!$A$12:$A$130,"&gt;="&amp;Diagram!$O32,'J1 D - South Bank Avenue'!$A$12:$A$130,"&lt;"&amp;Diagram!$P32),SUMIFS(INDIRECT(ADDRESS(12,3+18*1+(11),,,"J1 D - South Bank Avenue")&amp;":"&amp;ADDRESS(130,3+18*1+(11))),'J1 D - South Bank Avenue'!$A$12:$A$130,"&gt;="&amp;Diagram!$O32,'J1 D - South Bank Avenue'!$A$12:$A$130,"&lt;"&amp;Diagram!$P32)))</f>
        <v>0</v>
      </c>
      <c r="CF32" s="42">
        <f ca="1">IF(OR($I$10="",$O32="",$P32="",$J$38&lt;&gt;"Yes"),0,IF($K$10=0,SUMIFS(INDIRECT(ADDRESS(12,3+18*2+(3),,,"J1 D - South Bank Avenue")&amp;":"&amp;ADDRESS(130,3+18*2+(3))),'J1 D - South Bank Avenue'!$A$12:$A$130,"&gt;="&amp;Diagram!$O32,'J1 D - South Bank Avenue'!$A$12:$A$130,"&lt;"&amp;Diagram!$P32),SUMIFS(INDIRECT(ADDRESS(12,3+18*2+(11),,,"J1 D - South Bank Avenue")&amp;":"&amp;ADDRESS(130,3+18*2+(11))),'J1 D - South Bank Avenue'!$A$12:$A$130,"&gt;="&amp;Diagram!$O32,'J1 D - South Bank Avenue'!$A$12:$A$130,"&lt;"&amp;Diagram!$P32)))</f>
        <v>0</v>
      </c>
      <c r="CG32" s="42">
        <f ca="1">IF(OR($I$10="",$O32="",$P32="",$J$38&lt;&gt;"Yes"),0,IF($K$10=0,SUMIFS(INDIRECT(ADDRESS(12,3+18*3+(3),,,"J1 D - South Bank Avenue")&amp;":"&amp;ADDRESS(130,3+18*3+(3))),'J1 D - South Bank Avenue'!$A$12:$A$130,"&gt;="&amp;Diagram!$O32,'J1 D - South Bank Avenue'!$A$12:$A$130,"&lt;"&amp;Diagram!$P32),SUMIFS(INDIRECT(ADDRESS(12,3+18*3+(11),,,"J1 D - South Bank Avenue")&amp;":"&amp;ADDRESS(130,3+18*3+(11))),'J1 D - South Bank Avenue'!$A$12:$A$130,"&gt;="&amp;Diagram!$O32,'J1 D - South Bank Avenue'!$A$12:$A$130,"&lt;"&amp;Diagram!$P32)))</f>
        <v>0</v>
      </c>
      <c r="CH32" s="42">
        <f t="shared" ca="1" si="5"/>
        <v>8</v>
      </c>
      <c r="CI32" s="42">
        <f ca="1">IF(OR($I$10="",$O32="",$P32="",$J$39&lt;&gt;"Yes"),0,IF($K$10=0,SUMIFS(INDIRECT(ADDRESS(12,3+18*3+(4),,,"J1 A - (North) Bishopthorpe Roa")&amp;":"&amp;ADDRESS(130,3+18*3+(4))),'J1 A - (North) Bishopthorpe Roa'!$A$12:$A$130,"&gt;="&amp;Diagram!$O32,'J1 A - (North) Bishopthorpe Roa'!$A$12:$A$130,"&lt;"&amp;Diagram!$P32),SUMIFS(INDIRECT(ADDRESS(12,3+18*3+(12),,,"J1 A - (North) Bishopthorpe Roa")&amp;":"&amp;ADDRESS(130,3+18*3+(12))),'J1 A - (North) Bishopthorpe Roa'!$A$12:$A$130,"&gt;="&amp;Diagram!$O32,'J1 A - (North) Bishopthorpe Roa'!$A$12:$A$130,"&lt;"&amp;Diagram!$P32)))</f>
        <v>0</v>
      </c>
      <c r="CJ32" s="42">
        <f ca="1">IF(OR($I$10="",$O32="",$P32="",$J$39&lt;&gt;"Yes"),0,IF($K$10=0,SUMIFS(INDIRECT(ADDRESS(12,3+18*0+(4),,,"J1 A - (North) Bishopthorpe Roa")&amp;":"&amp;ADDRESS(130,3+18*0+(4))),'J1 A - (North) Bishopthorpe Roa'!$A$12:$A$130,"&gt;="&amp;Diagram!$O32,'J1 A - (North) Bishopthorpe Roa'!$A$12:$A$130,"&lt;"&amp;Diagram!$P32),SUMIFS(INDIRECT(ADDRESS(12,3+18*0+(12),,,"J1 A - (North) Bishopthorpe Roa")&amp;":"&amp;ADDRESS(130,3+18*0+(12))),'J1 A - (North) Bishopthorpe Roa'!$A$12:$A$130,"&gt;="&amp;Diagram!$O32,'J1 A - (North) Bishopthorpe Roa'!$A$12:$A$130,"&lt;"&amp;Diagram!$P32)))</f>
        <v>0</v>
      </c>
      <c r="CK32" s="42">
        <f ca="1">IF(OR($I$10="",$O32="",$P32="",$J$39&lt;&gt;"Yes"),0,IF($K$10=0,SUMIFS(INDIRECT(ADDRESS(12,3+18*1+(4),,,"J1 A - (North) Bishopthorpe Roa")&amp;":"&amp;ADDRESS(130,3+18*1+(4))),'J1 A - (North) Bishopthorpe Roa'!$A$12:$A$130,"&gt;="&amp;Diagram!$O32,'J1 A - (North) Bishopthorpe Roa'!$A$12:$A$130,"&lt;"&amp;Diagram!$P32),SUMIFS(INDIRECT(ADDRESS(12,3+18*1+(12),,,"J1 A - (North) Bishopthorpe Roa")&amp;":"&amp;ADDRESS(130,3+18*1+(12))),'J1 A - (North) Bishopthorpe Roa'!$A$12:$A$130,"&gt;="&amp;Diagram!$O32,'J1 A - (North) Bishopthorpe Roa'!$A$12:$A$130,"&lt;"&amp;Diagram!$P32)))</f>
        <v>4</v>
      </c>
      <c r="CL32" s="42">
        <f ca="1">IF(OR($I$10="",$O32="",$P32="",$J$39&lt;&gt;"Yes"),0,IF($K$10=0,SUMIFS(INDIRECT(ADDRESS(12,3+18*2+(4),,,"J1 A - (North) Bishopthorpe Roa")&amp;":"&amp;ADDRESS(130,3+18*2+(4))),'J1 A - (North) Bishopthorpe Roa'!$A$12:$A$130,"&gt;="&amp;Diagram!$O32,'J1 A - (North) Bishopthorpe Roa'!$A$12:$A$130,"&lt;"&amp;Diagram!$P32),SUMIFS(INDIRECT(ADDRESS(12,3+18*2+(12),,,"J1 A - (North) Bishopthorpe Roa")&amp;":"&amp;ADDRESS(130,3+18*2+(12))),'J1 A - (North) Bishopthorpe Roa'!$A$12:$A$130,"&gt;="&amp;Diagram!$O32,'J1 A - (North) Bishopthorpe Roa'!$A$12:$A$130,"&lt;"&amp;Diagram!$P32)))</f>
        <v>0</v>
      </c>
      <c r="CM32" s="42">
        <f ca="1">IF(OR($I$10="",$O32="",$P32="",$J$39&lt;&gt;"Yes"),0,IF($K$10=0,SUMIFS(INDIRECT(ADDRESS(12,3+18*2+(4),,,"J1 B - Butcher Terrace")&amp;":"&amp;ADDRESS(130,3+18*2+(4))),'J1 B - Butcher Terrace'!$A$12:$A$130,"&gt;="&amp;Diagram!$O32,'J1 B - Butcher Terrace'!$A$12:$A$130,"&lt;"&amp;Diagram!$P32),SUMIFS(INDIRECT(ADDRESS(12,3+18*2+(12),,,"J1 B - Butcher Terrace")&amp;":"&amp;ADDRESS(130,3+18*2+(12))),'J1 B - Butcher Terrace'!$A$12:$A$130,"&gt;="&amp;Diagram!$O32,'J1 B - Butcher Terrace'!$A$12:$A$130,"&lt;"&amp;Diagram!$P32)))</f>
        <v>0</v>
      </c>
      <c r="CN32" s="42">
        <f ca="1">IF(OR($I$10="",$O32="",$P32="",$J$39&lt;&gt;"Yes"),0,IF($K$10=0,SUMIFS(INDIRECT(ADDRESS(12,3+18*3+(4),,,"J1 B - Butcher Terrace")&amp;":"&amp;ADDRESS(130,3+18*3+(4))),'J1 B - Butcher Terrace'!$A$12:$A$130,"&gt;="&amp;Diagram!$O32,'J1 B - Butcher Terrace'!$A$12:$A$130,"&lt;"&amp;Diagram!$P32),SUMIFS(INDIRECT(ADDRESS(12,3+18*3+(12),,,"J1 B - Butcher Terrace")&amp;":"&amp;ADDRESS(130,3+18*3+(12))),'J1 B - Butcher Terrace'!$A$12:$A$130,"&gt;="&amp;Diagram!$O32,'J1 B - Butcher Terrace'!$A$12:$A$130,"&lt;"&amp;Diagram!$P32)))</f>
        <v>0</v>
      </c>
      <c r="CO32" s="42">
        <f ca="1">IF(OR($I$10="",$O32="",$P32="",$J$39&lt;&gt;"Yes"),0,IF($K$10=0,SUMIFS(INDIRECT(ADDRESS(12,3+18*0+(4),,,"J1 B - Butcher Terrace")&amp;":"&amp;ADDRESS(130,3+18*0+(4))),'J1 B - Butcher Terrace'!$A$12:$A$130,"&gt;="&amp;Diagram!$O32,'J1 B - Butcher Terrace'!$A$12:$A$130,"&lt;"&amp;Diagram!$P32),SUMIFS(INDIRECT(ADDRESS(12,3+18*0+(12),,,"J1 B - Butcher Terrace")&amp;":"&amp;ADDRESS(130,3+18*0+(12))),'J1 B - Butcher Terrace'!$A$12:$A$130,"&gt;="&amp;Diagram!$O32,'J1 B - Butcher Terrace'!$A$12:$A$130,"&lt;"&amp;Diagram!$P32)))</f>
        <v>0</v>
      </c>
      <c r="CP32" s="42">
        <f ca="1">IF(OR($I$10="",$O32="",$P32="",$J$39&lt;&gt;"Yes"),0,IF($K$10=0,SUMIFS(INDIRECT(ADDRESS(12,3+18*1+(4),,,"J1 B - Butcher Terrace")&amp;":"&amp;ADDRESS(130,3+18*1+(4))),'J1 B - Butcher Terrace'!$A$12:$A$130,"&gt;="&amp;Diagram!$O32,'J1 B - Butcher Terrace'!$A$12:$A$130,"&lt;"&amp;Diagram!$P32),SUMIFS(INDIRECT(ADDRESS(12,3+18*1+(12),,,"J1 B - Butcher Terrace")&amp;":"&amp;ADDRESS(130,3+18*1+(12))),'J1 B - Butcher Terrace'!$A$12:$A$130,"&gt;="&amp;Diagram!$O32,'J1 B - Butcher Terrace'!$A$12:$A$130,"&lt;"&amp;Diagram!$P32)))</f>
        <v>0</v>
      </c>
      <c r="CQ32" s="42">
        <f ca="1">IF(OR($I$10="",$O32="",$P32="",$J$39&lt;&gt;"Yes"),0,IF($K$10=0,SUMIFS(INDIRECT(ADDRESS(12,3+18*1+(4),,,"J1 C - (South) Bishopthorpe Roa")&amp;":"&amp;ADDRESS(130,3+18*1+(4))),'J1 C - (South) Bishopthorpe Roa'!$A$12:$A$130,"&gt;="&amp;Diagram!$O32,'J1 C - (South) Bishopthorpe Roa'!$A$12:$A$130,"&lt;"&amp;Diagram!$P32),SUMIFS(INDIRECT(ADDRESS(12,3+18*1+(12),,,"J1 C - (South) Bishopthorpe Roa")&amp;":"&amp;ADDRESS(130,3+18*1+(12))),'J1 C - (South) Bishopthorpe Roa'!$A$12:$A$130,"&gt;="&amp;Diagram!$O32,'J1 C - (South) Bishopthorpe Roa'!$A$12:$A$130,"&lt;"&amp;Diagram!$P32)))</f>
        <v>4</v>
      </c>
      <c r="CR32" s="42">
        <f ca="1">IF(OR($I$10="",$O32="",$P32="",$J$39&lt;&gt;"Yes"),0,IF($K$10=0,SUMIFS(INDIRECT(ADDRESS(12,3+18*2+(4),,,"J1 C - (South) Bishopthorpe Roa")&amp;":"&amp;ADDRESS(130,3+18*2+(4))),'J1 C - (South) Bishopthorpe Roa'!$A$12:$A$130,"&gt;="&amp;Diagram!$O32,'J1 C - (South) Bishopthorpe Roa'!$A$12:$A$130,"&lt;"&amp;Diagram!$P32),SUMIFS(INDIRECT(ADDRESS(12,3+18*2+(12),,,"J1 C - (South) Bishopthorpe Roa")&amp;":"&amp;ADDRESS(130,3+18*2+(12))),'J1 C - (South) Bishopthorpe Roa'!$A$12:$A$130,"&gt;="&amp;Diagram!$O32,'J1 C - (South) Bishopthorpe Roa'!$A$12:$A$130,"&lt;"&amp;Diagram!$P32)))</f>
        <v>0</v>
      </c>
      <c r="CS32" s="42">
        <f ca="1">IF(OR($I$10="",$O32="",$P32="",$J$39&lt;&gt;"Yes"),0,IF($K$10=0,SUMIFS(INDIRECT(ADDRESS(12,3+18*3+(4),,,"J1 C - (South) Bishopthorpe Roa")&amp;":"&amp;ADDRESS(130,3+18*3+(4))),'J1 C - (South) Bishopthorpe Roa'!$A$12:$A$130,"&gt;="&amp;Diagram!$O32,'J1 C - (South) Bishopthorpe Roa'!$A$12:$A$130,"&lt;"&amp;Diagram!$P32),SUMIFS(INDIRECT(ADDRESS(12,3+18*3+(12),,,"J1 C - (South) Bishopthorpe Roa")&amp;":"&amp;ADDRESS(130,3+18*3+(12))),'J1 C - (South) Bishopthorpe Roa'!$A$12:$A$130,"&gt;="&amp;Diagram!$O32,'J1 C - (South) Bishopthorpe Roa'!$A$12:$A$130,"&lt;"&amp;Diagram!$P32)))</f>
        <v>0</v>
      </c>
      <c r="CT32" s="42">
        <f ca="1">IF(OR($I$10="",$O32="",$P32="",$J$39&lt;&gt;"Yes"),0,IF($K$10=0,SUMIFS(INDIRECT(ADDRESS(12,3+18*0+(4),,,"J1 C - (South) Bishopthorpe Roa")&amp;":"&amp;ADDRESS(130,3+18*0+(4))),'J1 C - (South) Bishopthorpe Roa'!$A$12:$A$130,"&gt;="&amp;Diagram!$O32,'J1 C - (South) Bishopthorpe Roa'!$A$12:$A$130,"&lt;"&amp;Diagram!$P32),SUMIFS(INDIRECT(ADDRESS(12,3+18*0+(12),,,"J1 C - (South) Bishopthorpe Roa")&amp;":"&amp;ADDRESS(130,3+18*0+(12))),'J1 C - (South) Bishopthorpe Roa'!$A$12:$A$130,"&gt;="&amp;Diagram!$O32,'J1 C - (South) Bishopthorpe Roa'!$A$12:$A$130,"&lt;"&amp;Diagram!$P32)))</f>
        <v>0</v>
      </c>
      <c r="CU32" s="42">
        <f ca="1">IF(OR($I$10="",$O32="",$P32="",$J$39&lt;&gt;"Yes"),0,IF($K$10=0,SUMIFS(INDIRECT(ADDRESS(12,3+18*0+(4),,,"J1 D - South Bank Avenue")&amp;":"&amp;ADDRESS(130,3+18*0+(4))),'J1 D - South Bank Avenue'!$A$12:$A$130,"&gt;="&amp;Diagram!$O32,'J1 D - South Bank Avenue'!$A$12:$A$130,"&lt;"&amp;Diagram!$P32),SUMIFS(INDIRECT(ADDRESS(12,3+18*0+(12),,,"J1 D - South Bank Avenue")&amp;":"&amp;ADDRESS(130,3+18*0+(12))),'J1 D - South Bank Avenue'!$A$12:$A$130,"&gt;="&amp;Diagram!$O32,'J1 D - South Bank Avenue'!$A$12:$A$130,"&lt;"&amp;Diagram!$P32)))</f>
        <v>0</v>
      </c>
      <c r="CV32" s="42">
        <f ca="1">IF(OR($I$10="",$O32="",$P32="",$J$39&lt;&gt;"Yes"),0,IF($K$10=0,SUMIFS(INDIRECT(ADDRESS(12,3+18*1+(4),,,"J1 D - South Bank Avenue")&amp;":"&amp;ADDRESS(130,3+18*1+(4))),'J1 D - South Bank Avenue'!$A$12:$A$130,"&gt;="&amp;Diagram!$O32,'J1 D - South Bank Avenue'!$A$12:$A$130,"&lt;"&amp;Diagram!$P32),SUMIFS(INDIRECT(ADDRESS(12,3+18*1+(12),,,"J1 D - South Bank Avenue")&amp;":"&amp;ADDRESS(130,3+18*1+(12))),'J1 D - South Bank Avenue'!$A$12:$A$130,"&gt;="&amp;Diagram!$O32,'J1 D - South Bank Avenue'!$A$12:$A$130,"&lt;"&amp;Diagram!$P32)))</f>
        <v>0</v>
      </c>
      <c r="CW32" s="42">
        <f ca="1">IF(OR($I$10="",$O32="",$P32="",$J$39&lt;&gt;"Yes"),0,IF($K$10=0,SUMIFS(INDIRECT(ADDRESS(12,3+18*2+(4),,,"J1 D - South Bank Avenue")&amp;":"&amp;ADDRESS(130,3+18*2+(4))),'J1 D - South Bank Avenue'!$A$12:$A$130,"&gt;="&amp;Diagram!$O32,'J1 D - South Bank Avenue'!$A$12:$A$130,"&lt;"&amp;Diagram!$P32),SUMIFS(INDIRECT(ADDRESS(12,3+18*2+(12),,,"J1 D - South Bank Avenue")&amp;":"&amp;ADDRESS(130,3+18*2+(12))),'J1 D - South Bank Avenue'!$A$12:$A$130,"&gt;="&amp;Diagram!$O32,'J1 D - South Bank Avenue'!$A$12:$A$130,"&lt;"&amp;Diagram!$P32)))</f>
        <v>0</v>
      </c>
      <c r="CX32" s="42">
        <f ca="1">IF(OR($I$10="",$O32="",$P32="",$J$39&lt;&gt;"Yes"),0,IF($K$10=0,SUMIFS(INDIRECT(ADDRESS(12,3+18*3+(4),,,"J1 D - South Bank Avenue")&amp;":"&amp;ADDRESS(130,3+18*3+(4))),'J1 D - South Bank Avenue'!$A$12:$A$130,"&gt;="&amp;Diagram!$O32,'J1 D - South Bank Avenue'!$A$12:$A$130,"&lt;"&amp;Diagram!$P32),SUMIFS(INDIRECT(ADDRESS(12,3+18*3+(12),,,"J1 D - South Bank Avenue")&amp;":"&amp;ADDRESS(130,3+18*3+(12))),'J1 D - South Bank Avenue'!$A$12:$A$130,"&gt;="&amp;Diagram!$O32,'J1 D - South Bank Avenue'!$A$12:$A$130,"&lt;"&amp;Diagram!$P32)))</f>
        <v>0</v>
      </c>
      <c r="CY32" s="42">
        <f t="shared" ca="1" si="6"/>
        <v>107</v>
      </c>
      <c r="CZ32" s="42">
        <f ca="1">IF(OR($I$10="",$O32="",$P32="",$J$40&lt;&gt;"Yes"),0,IF($K$10=0,SUMIFS(INDIRECT(ADDRESS(12,3+18*3+(5),,,"J1 A - (North) Bishopthorpe Roa")&amp;":"&amp;ADDRESS(130,3+18*3+(5))),'J1 A - (North) Bishopthorpe Roa'!$A$12:$A$130,"&gt;="&amp;Diagram!$O32,'J1 A - (North) Bishopthorpe Roa'!$A$12:$A$130,"&lt;"&amp;Diagram!$P32),SUMIFS(INDIRECT(ADDRESS(12,3+18*3+(13),,,"J1 A - (North) Bishopthorpe Roa")&amp;":"&amp;ADDRESS(130,3+18*3+(13))),'J1 A - (North) Bishopthorpe Roa'!$A$12:$A$130,"&gt;="&amp;Diagram!$O32,'J1 A - (North) Bishopthorpe Roa'!$A$12:$A$130,"&lt;"&amp;Diagram!$P32)))</f>
        <v>0</v>
      </c>
      <c r="DA32" s="42">
        <f ca="1">IF(OR($I$10="",$O32="",$P32="",$J$40&lt;&gt;"Yes"),0,IF($K$10=0,SUMIFS(INDIRECT(ADDRESS(12,3+18*0+(5),,,"J1 A - (North) Bishopthorpe Roa")&amp;":"&amp;ADDRESS(130,3+18*0+(5))),'J1 A - (North) Bishopthorpe Roa'!$A$12:$A$130,"&gt;="&amp;Diagram!$O32,'J1 A - (North) Bishopthorpe Roa'!$A$12:$A$130,"&lt;"&amp;Diagram!$P32),SUMIFS(INDIRECT(ADDRESS(12,3+18*0+(13),,,"J1 A - (North) Bishopthorpe Roa")&amp;":"&amp;ADDRESS(130,3+18*0+(13))),'J1 A - (North) Bishopthorpe Roa'!$A$12:$A$130,"&gt;="&amp;Diagram!$O32,'J1 A - (North) Bishopthorpe Roa'!$A$12:$A$130,"&lt;"&amp;Diagram!$P32)))</f>
        <v>12</v>
      </c>
      <c r="DB32" s="42">
        <f ca="1">IF(OR($I$10="",$O32="",$P32="",$J$40&lt;&gt;"Yes"),0,IF($K$10=0,SUMIFS(INDIRECT(ADDRESS(12,3+18*1+(5),,,"J1 A - (North) Bishopthorpe Roa")&amp;":"&amp;ADDRESS(130,3+18*1+(5))),'J1 A - (North) Bishopthorpe Roa'!$A$12:$A$130,"&gt;="&amp;Diagram!$O32,'J1 A - (North) Bishopthorpe Roa'!$A$12:$A$130,"&lt;"&amp;Diagram!$P32),SUMIFS(INDIRECT(ADDRESS(12,3+18*1+(13),,,"J1 A - (North) Bishopthorpe Roa")&amp;":"&amp;ADDRESS(130,3+18*1+(13))),'J1 A - (North) Bishopthorpe Roa'!$A$12:$A$130,"&gt;="&amp;Diagram!$O32,'J1 A - (North) Bishopthorpe Roa'!$A$12:$A$130,"&lt;"&amp;Diagram!$P32)))</f>
        <v>3</v>
      </c>
      <c r="DC32" s="42">
        <f ca="1">IF(OR($I$10="",$O32="",$P32="",$J$40&lt;&gt;"Yes"),0,IF($K$10=0,SUMIFS(INDIRECT(ADDRESS(12,3+18*2+(5),,,"J1 A - (North) Bishopthorpe Roa")&amp;":"&amp;ADDRESS(130,3+18*2+(5))),'J1 A - (North) Bishopthorpe Roa'!$A$12:$A$130,"&gt;="&amp;Diagram!$O32,'J1 A - (North) Bishopthorpe Roa'!$A$12:$A$130,"&lt;"&amp;Diagram!$P32),SUMIFS(INDIRECT(ADDRESS(12,3+18*2+(13),,,"J1 A - (North) Bishopthorpe Roa")&amp;":"&amp;ADDRESS(130,3+18*2+(13))),'J1 A - (North) Bishopthorpe Roa'!$A$12:$A$130,"&gt;="&amp;Diagram!$O32,'J1 A - (North) Bishopthorpe Roa'!$A$12:$A$130,"&lt;"&amp;Diagram!$P32)))</f>
        <v>0</v>
      </c>
      <c r="DD32" s="42">
        <f ca="1">IF(OR($I$10="",$O32="",$P32="",$J$40&lt;&gt;"Yes"),0,IF($K$10=0,SUMIFS(INDIRECT(ADDRESS(12,3+18*2+(5),,,"J1 B - Butcher Terrace")&amp;":"&amp;ADDRESS(130,3+18*2+(5))),'J1 B - Butcher Terrace'!$A$12:$A$130,"&gt;="&amp;Diagram!$O32,'J1 B - Butcher Terrace'!$A$12:$A$130,"&lt;"&amp;Diagram!$P32),SUMIFS(INDIRECT(ADDRESS(12,3+18*2+(13),,,"J1 B - Butcher Terrace")&amp;":"&amp;ADDRESS(130,3+18*2+(13))),'J1 B - Butcher Terrace'!$A$12:$A$130,"&gt;="&amp;Diagram!$O32,'J1 B - Butcher Terrace'!$A$12:$A$130,"&lt;"&amp;Diagram!$P32)))</f>
        <v>7</v>
      </c>
      <c r="DE32" s="42">
        <f ca="1">IF(OR($I$10="",$O32="",$P32="",$J$40&lt;&gt;"Yes"),0,IF($K$10=0,SUMIFS(INDIRECT(ADDRESS(12,3+18*3+(5),,,"J1 B - Butcher Terrace")&amp;":"&amp;ADDRESS(130,3+18*3+(5))),'J1 B - Butcher Terrace'!$A$12:$A$130,"&gt;="&amp;Diagram!$O32,'J1 B - Butcher Terrace'!$A$12:$A$130,"&lt;"&amp;Diagram!$P32),SUMIFS(INDIRECT(ADDRESS(12,3+18*3+(13),,,"J1 B - Butcher Terrace")&amp;":"&amp;ADDRESS(130,3+18*3+(13))),'J1 B - Butcher Terrace'!$A$12:$A$130,"&gt;="&amp;Diagram!$O32,'J1 B - Butcher Terrace'!$A$12:$A$130,"&lt;"&amp;Diagram!$P32)))</f>
        <v>0</v>
      </c>
      <c r="DF32" s="42">
        <f ca="1">IF(OR($I$10="",$O32="",$P32="",$J$40&lt;&gt;"Yes"),0,IF($K$10=0,SUMIFS(INDIRECT(ADDRESS(12,3+18*0+(5),,,"J1 B - Butcher Terrace")&amp;":"&amp;ADDRESS(130,3+18*0+(5))),'J1 B - Butcher Terrace'!$A$12:$A$130,"&gt;="&amp;Diagram!$O32,'J1 B - Butcher Terrace'!$A$12:$A$130,"&lt;"&amp;Diagram!$P32),SUMIFS(INDIRECT(ADDRESS(12,3+18*0+(13),,,"J1 B - Butcher Terrace")&amp;":"&amp;ADDRESS(130,3+18*0+(13))),'J1 B - Butcher Terrace'!$A$12:$A$130,"&gt;="&amp;Diagram!$O32,'J1 B - Butcher Terrace'!$A$12:$A$130,"&lt;"&amp;Diagram!$P32)))</f>
        <v>3</v>
      </c>
      <c r="DG32" s="42">
        <f ca="1">IF(OR($I$10="",$O32="",$P32="",$J$40&lt;&gt;"Yes"),0,IF($K$10=0,SUMIFS(INDIRECT(ADDRESS(12,3+18*1+(5),,,"J1 B - Butcher Terrace")&amp;":"&amp;ADDRESS(130,3+18*1+(5))),'J1 B - Butcher Terrace'!$A$12:$A$130,"&gt;="&amp;Diagram!$O32,'J1 B - Butcher Terrace'!$A$12:$A$130,"&lt;"&amp;Diagram!$P32),SUMIFS(INDIRECT(ADDRESS(12,3+18*1+(13),,,"J1 B - Butcher Terrace")&amp;":"&amp;ADDRESS(130,3+18*1+(13))),'J1 B - Butcher Terrace'!$A$12:$A$130,"&gt;="&amp;Diagram!$O32,'J1 B - Butcher Terrace'!$A$12:$A$130,"&lt;"&amp;Diagram!$P32)))</f>
        <v>12</v>
      </c>
      <c r="DH32" s="42">
        <f ca="1">IF(OR($I$10="",$O32="",$P32="",$J$40&lt;&gt;"Yes"),0,IF($K$10=0,SUMIFS(INDIRECT(ADDRESS(12,3+18*1+(5),,,"J1 C - (South) Bishopthorpe Roa")&amp;":"&amp;ADDRESS(130,3+18*1+(5))),'J1 C - (South) Bishopthorpe Roa'!$A$12:$A$130,"&gt;="&amp;Diagram!$O32,'J1 C - (South) Bishopthorpe Roa'!$A$12:$A$130,"&lt;"&amp;Diagram!$P32),SUMIFS(INDIRECT(ADDRESS(12,3+18*1+(13),,,"J1 C - (South) Bishopthorpe Roa")&amp;":"&amp;ADDRESS(130,3+18*1+(13))),'J1 C - (South) Bishopthorpe Roa'!$A$12:$A$130,"&gt;="&amp;Diagram!$O32,'J1 C - (South) Bishopthorpe Roa'!$A$12:$A$130,"&lt;"&amp;Diagram!$P32)))</f>
        <v>21</v>
      </c>
      <c r="DI32" s="42">
        <f ca="1">IF(OR($I$10="",$O32="",$P32="",$J$40&lt;&gt;"Yes"),0,IF($K$10=0,SUMIFS(INDIRECT(ADDRESS(12,3+18*2+(5),,,"J1 C - (South) Bishopthorpe Roa")&amp;":"&amp;ADDRESS(130,3+18*2+(5))),'J1 C - (South) Bishopthorpe Roa'!$A$12:$A$130,"&gt;="&amp;Diagram!$O32,'J1 C - (South) Bishopthorpe Roa'!$A$12:$A$130,"&lt;"&amp;Diagram!$P32),SUMIFS(INDIRECT(ADDRESS(12,3+18*2+(13),,,"J1 C - (South) Bishopthorpe Roa")&amp;":"&amp;ADDRESS(130,3+18*2+(13))),'J1 C - (South) Bishopthorpe Roa'!$A$12:$A$130,"&gt;="&amp;Diagram!$O32,'J1 C - (South) Bishopthorpe Roa'!$A$12:$A$130,"&lt;"&amp;Diagram!$P32)))</f>
        <v>6</v>
      </c>
      <c r="DJ32" s="42">
        <f ca="1">IF(OR($I$10="",$O32="",$P32="",$J$40&lt;&gt;"Yes"),0,IF($K$10=0,SUMIFS(INDIRECT(ADDRESS(12,3+18*3+(5),,,"J1 C - (South) Bishopthorpe Roa")&amp;":"&amp;ADDRESS(130,3+18*3+(5))),'J1 C - (South) Bishopthorpe Roa'!$A$12:$A$130,"&gt;="&amp;Diagram!$O32,'J1 C - (South) Bishopthorpe Roa'!$A$12:$A$130,"&lt;"&amp;Diagram!$P32),SUMIFS(INDIRECT(ADDRESS(12,3+18*3+(13),,,"J1 C - (South) Bishopthorpe Roa")&amp;":"&amp;ADDRESS(130,3+18*3+(13))),'J1 C - (South) Bishopthorpe Roa'!$A$12:$A$130,"&gt;="&amp;Diagram!$O32,'J1 C - (South) Bishopthorpe Roa'!$A$12:$A$130,"&lt;"&amp;Diagram!$P32)))</f>
        <v>0</v>
      </c>
      <c r="DK32" s="42">
        <f ca="1">IF(OR($I$10="",$O32="",$P32="",$J$40&lt;&gt;"Yes"),0,IF($K$10=0,SUMIFS(INDIRECT(ADDRESS(12,3+18*0+(5),,,"J1 C - (South) Bishopthorpe Roa")&amp;":"&amp;ADDRESS(130,3+18*0+(5))),'J1 C - (South) Bishopthorpe Roa'!$A$12:$A$130,"&gt;="&amp;Diagram!$O32,'J1 C - (South) Bishopthorpe Roa'!$A$12:$A$130,"&lt;"&amp;Diagram!$P32),SUMIFS(INDIRECT(ADDRESS(12,3+18*0+(13),,,"J1 C - (South) Bishopthorpe Roa")&amp;":"&amp;ADDRESS(130,3+18*0+(13))),'J1 C - (South) Bishopthorpe Roa'!$A$12:$A$130,"&gt;="&amp;Diagram!$O32,'J1 C - (South) Bishopthorpe Roa'!$A$12:$A$130,"&lt;"&amp;Diagram!$P32)))</f>
        <v>1</v>
      </c>
      <c r="DL32" s="42">
        <f ca="1">IF(OR($I$10="",$O32="",$P32="",$J$40&lt;&gt;"Yes"),0,IF($K$10=0,SUMIFS(INDIRECT(ADDRESS(12,3+18*0+(5),,,"J1 D - South Bank Avenue")&amp;":"&amp;ADDRESS(130,3+18*0+(5))),'J1 D - South Bank Avenue'!$A$12:$A$130,"&gt;="&amp;Diagram!$O32,'J1 D - South Bank Avenue'!$A$12:$A$130,"&lt;"&amp;Diagram!$P32),SUMIFS(INDIRECT(ADDRESS(12,3+18*0+(13),,,"J1 D - South Bank Avenue")&amp;":"&amp;ADDRESS(130,3+18*0+(13))),'J1 D - South Bank Avenue'!$A$12:$A$130,"&gt;="&amp;Diagram!$O32,'J1 D - South Bank Avenue'!$A$12:$A$130,"&lt;"&amp;Diagram!$P32)))</f>
        <v>3</v>
      </c>
      <c r="DM32" s="42">
        <f ca="1">IF(OR($I$10="",$O32="",$P32="",$J$40&lt;&gt;"Yes"),0,IF($K$10=0,SUMIFS(INDIRECT(ADDRESS(12,3+18*1+(5),,,"J1 D - South Bank Avenue")&amp;":"&amp;ADDRESS(130,3+18*1+(5))),'J1 D - South Bank Avenue'!$A$12:$A$130,"&gt;="&amp;Diagram!$O32,'J1 D - South Bank Avenue'!$A$12:$A$130,"&lt;"&amp;Diagram!$P32),SUMIFS(INDIRECT(ADDRESS(12,3+18*1+(13),,,"J1 D - South Bank Avenue")&amp;":"&amp;ADDRESS(130,3+18*1+(13))),'J1 D - South Bank Avenue'!$A$12:$A$130,"&gt;="&amp;Diagram!$O32,'J1 D - South Bank Avenue'!$A$12:$A$130,"&lt;"&amp;Diagram!$P32)))</f>
        <v>38</v>
      </c>
      <c r="DN32" s="42">
        <f ca="1">IF(OR($I$10="",$O32="",$P32="",$J$40&lt;&gt;"Yes"),0,IF($K$10=0,SUMIFS(INDIRECT(ADDRESS(12,3+18*2+(5),,,"J1 D - South Bank Avenue")&amp;":"&amp;ADDRESS(130,3+18*2+(5))),'J1 D - South Bank Avenue'!$A$12:$A$130,"&gt;="&amp;Diagram!$O32,'J1 D - South Bank Avenue'!$A$12:$A$130,"&lt;"&amp;Diagram!$P32),SUMIFS(INDIRECT(ADDRESS(12,3+18*2+(13),,,"J1 D - South Bank Avenue")&amp;":"&amp;ADDRESS(130,3+18*2+(13))),'J1 D - South Bank Avenue'!$A$12:$A$130,"&gt;="&amp;Diagram!$O32,'J1 D - South Bank Avenue'!$A$12:$A$130,"&lt;"&amp;Diagram!$P32)))</f>
        <v>1</v>
      </c>
      <c r="DO32" s="42">
        <f ca="1">IF(OR($I$10="",$O32="",$P32="",$J$40&lt;&gt;"Yes"),0,IF($K$10=0,SUMIFS(INDIRECT(ADDRESS(12,3+18*3+(5),,,"J1 D - South Bank Avenue")&amp;":"&amp;ADDRESS(130,3+18*3+(5))),'J1 D - South Bank Avenue'!$A$12:$A$130,"&gt;="&amp;Diagram!$O32,'J1 D - South Bank Avenue'!$A$12:$A$130,"&lt;"&amp;Diagram!$P32),SUMIFS(INDIRECT(ADDRESS(12,3+18*3+(13),,,"J1 D - South Bank Avenue")&amp;":"&amp;ADDRESS(130,3+18*3+(13))),'J1 D - South Bank Avenue'!$A$12:$A$130,"&gt;="&amp;Diagram!$O32,'J1 D - South Bank Avenue'!$A$12:$A$130,"&lt;"&amp;Diagram!$P32)))</f>
        <v>0</v>
      </c>
      <c r="DP32" s="42">
        <f t="shared" ca="1" si="7"/>
        <v>2</v>
      </c>
      <c r="DQ32" s="42">
        <f ca="1">IF(OR($I$10="",$O32="",$P32="",$J$41&lt;&gt;"Yes"),0,IF($K$10=0,SUMIFS(INDIRECT(ADDRESS(12,3+18*3+(6),,,"J1 A - (North) Bishopthorpe Roa")&amp;":"&amp;ADDRESS(130,3+18*3+(6))),'J1 A - (North) Bishopthorpe Roa'!$A$12:$A$130,"&gt;="&amp;Diagram!$O32,'J1 A - (North) Bishopthorpe Roa'!$A$12:$A$130,"&lt;"&amp;Diagram!$P32),SUMIFS(INDIRECT(ADDRESS(12,3+18*3+(14),,,"J1 A - (North) Bishopthorpe Roa")&amp;":"&amp;ADDRESS(130,3+18*3+(14))),'J1 A - (North) Bishopthorpe Roa'!$A$12:$A$130,"&gt;="&amp;Diagram!$O32,'J1 A - (North) Bishopthorpe Roa'!$A$12:$A$130,"&lt;"&amp;Diagram!$P32)))</f>
        <v>0</v>
      </c>
      <c r="DR32" s="42">
        <f ca="1">IF(OR($I$10="",$O32="",$P32="",$J$41&lt;&gt;"Yes"),0,IF($K$10=0,SUMIFS(INDIRECT(ADDRESS(12,3+18*0+(6),,,"J1 A - (North) Bishopthorpe Roa")&amp;":"&amp;ADDRESS(130,3+18*0+(6))),'J1 A - (North) Bishopthorpe Roa'!$A$12:$A$130,"&gt;="&amp;Diagram!$O32,'J1 A - (North) Bishopthorpe Roa'!$A$12:$A$130,"&lt;"&amp;Diagram!$P32),SUMIFS(INDIRECT(ADDRESS(12,3+18*0+(14),,,"J1 A - (North) Bishopthorpe Roa")&amp;":"&amp;ADDRESS(130,3+18*0+(14))),'J1 A - (North) Bishopthorpe Roa'!$A$12:$A$130,"&gt;="&amp;Diagram!$O32,'J1 A - (North) Bishopthorpe Roa'!$A$12:$A$130,"&lt;"&amp;Diagram!$P32)))</f>
        <v>0</v>
      </c>
      <c r="DS32" s="42">
        <f ca="1">IF(OR($I$10="",$O32="",$P32="",$J$41&lt;&gt;"Yes"),0,IF($K$10=0,SUMIFS(INDIRECT(ADDRESS(12,3+18*1+(6),,,"J1 A - (North) Bishopthorpe Roa")&amp;":"&amp;ADDRESS(130,3+18*1+(6))),'J1 A - (North) Bishopthorpe Roa'!$A$12:$A$130,"&gt;="&amp;Diagram!$O32,'J1 A - (North) Bishopthorpe Roa'!$A$12:$A$130,"&lt;"&amp;Diagram!$P32),SUMIFS(INDIRECT(ADDRESS(12,3+18*1+(14),,,"J1 A - (North) Bishopthorpe Roa")&amp;":"&amp;ADDRESS(130,3+18*1+(14))),'J1 A - (North) Bishopthorpe Roa'!$A$12:$A$130,"&gt;="&amp;Diagram!$O32,'J1 A - (North) Bishopthorpe Roa'!$A$12:$A$130,"&lt;"&amp;Diagram!$P32)))</f>
        <v>1</v>
      </c>
      <c r="DT32" s="42">
        <f ca="1">IF(OR($I$10="",$O32="",$P32="",$J$41&lt;&gt;"Yes"),0,IF($K$10=0,SUMIFS(INDIRECT(ADDRESS(12,3+18*2+(6),,,"J1 A - (North) Bishopthorpe Roa")&amp;":"&amp;ADDRESS(130,3+18*2+(6))),'J1 A - (North) Bishopthorpe Roa'!$A$12:$A$130,"&gt;="&amp;Diagram!$O32,'J1 A - (North) Bishopthorpe Roa'!$A$12:$A$130,"&lt;"&amp;Diagram!$P32),SUMIFS(INDIRECT(ADDRESS(12,3+18*2+(14),,,"J1 A - (North) Bishopthorpe Roa")&amp;":"&amp;ADDRESS(130,3+18*2+(14))),'J1 A - (North) Bishopthorpe Roa'!$A$12:$A$130,"&gt;="&amp;Diagram!$O32,'J1 A - (North) Bishopthorpe Roa'!$A$12:$A$130,"&lt;"&amp;Diagram!$P32)))</f>
        <v>0</v>
      </c>
      <c r="DU32" s="42">
        <f ca="1">IF(OR($I$10="",$O32="",$P32="",$J$41&lt;&gt;"Yes"),0,IF($K$10=0,SUMIFS(INDIRECT(ADDRESS(12,3+18*2+(6),,,"J1 B - Butcher Terrace")&amp;":"&amp;ADDRESS(130,3+18*2+(6))),'J1 B - Butcher Terrace'!$A$12:$A$130,"&gt;="&amp;Diagram!$O32,'J1 B - Butcher Terrace'!$A$12:$A$130,"&lt;"&amp;Diagram!$P32),SUMIFS(INDIRECT(ADDRESS(12,3+18*2+(14),,,"J1 B - Butcher Terrace")&amp;":"&amp;ADDRESS(130,3+18*2+(14))),'J1 B - Butcher Terrace'!$A$12:$A$130,"&gt;="&amp;Diagram!$O32,'J1 B - Butcher Terrace'!$A$12:$A$130,"&lt;"&amp;Diagram!$P32)))</f>
        <v>0</v>
      </c>
      <c r="DV32" s="42">
        <f ca="1">IF(OR($I$10="",$O32="",$P32="",$J$41&lt;&gt;"Yes"),0,IF($K$10=0,SUMIFS(INDIRECT(ADDRESS(12,3+18*3+(6),,,"J1 B - Butcher Terrace")&amp;":"&amp;ADDRESS(130,3+18*3+(6))),'J1 B - Butcher Terrace'!$A$12:$A$130,"&gt;="&amp;Diagram!$O32,'J1 B - Butcher Terrace'!$A$12:$A$130,"&lt;"&amp;Diagram!$P32),SUMIFS(INDIRECT(ADDRESS(12,3+18*3+(14),,,"J1 B - Butcher Terrace")&amp;":"&amp;ADDRESS(130,3+18*3+(14))),'J1 B - Butcher Terrace'!$A$12:$A$130,"&gt;="&amp;Diagram!$O32,'J1 B - Butcher Terrace'!$A$12:$A$130,"&lt;"&amp;Diagram!$P32)))</f>
        <v>0</v>
      </c>
      <c r="DW32" s="42">
        <f ca="1">IF(OR($I$10="",$O32="",$P32="",$J$41&lt;&gt;"Yes"),0,IF($K$10=0,SUMIFS(INDIRECT(ADDRESS(12,3+18*0+(6),,,"J1 B - Butcher Terrace")&amp;":"&amp;ADDRESS(130,3+18*0+(6))),'J1 B - Butcher Terrace'!$A$12:$A$130,"&gt;="&amp;Diagram!$O32,'J1 B - Butcher Terrace'!$A$12:$A$130,"&lt;"&amp;Diagram!$P32),SUMIFS(INDIRECT(ADDRESS(12,3+18*0+(14),,,"J1 B - Butcher Terrace")&amp;":"&amp;ADDRESS(130,3+18*0+(14))),'J1 B - Butcher Terrace'!$A$12:$A$130,"&gt;="&amp;Diagram!$O32,'J1 B - Butcher Terrace'!$A$12:$A$130,"&lt;"&amp;Diagram!$P32)))</f>
        <v>0</v>
      </c>
      <c r="DX32" s="42">
        <f ca="1">IF(OR($I$10="",$O32="",$P32="",$J$41&lt;&gt;"Yes"),0,IF($K$10=0,SUMIFS(INDIRECT(ADDRESS(12,3+18*1+(6),,,"J1 B - Butcher Terrace")&amp;":"&amp;ADDRESS(130,3+18*1+(6))),'J1 B - Butcher Terrace'!$A$12:$A$130,"&gt;="&amp;Diagram!$O32,'J1 B - Butcher Terrace'!$A$12:$A$130,"&lt;"&amp;Diagram!$P32),SUMIFS(INDIRECT(ADDRESS(12,3+18*1+(14),,,"J1 B - Butcher Terrace")&amp;":"&amp;ADDRESS(130,3+18*1+(14))),'J1 B - Butcher Terrace'!$A$12:$A$130,"&gt;="&amp;Diagram!$O32,'J1 B - Butcher Terrace'!$A$12:$A$130,"&lt;"&amp;Diagram!$P32)))</f>
        <v>0</v>
      </c>
      <c r="DY32" s="42">
        <f ca="1">IF(OR($I$10="",$O32="",$P32="",$J$41&lt;&gt;"Yes"),0,IF($K$10=0,SUMIFS(INDIRECT(ADDRESS(12,3+18*1+(6),,,"J1 C - (South) Bishopthorpe Roa")&amp;":"&amp;ADDRESS(130,3+18*1+(6))),'J1 C - (South) Bishopthorpe Roa'!$A$12:$A$130,"&gt;="&amp;Diagram!$O32,'J1 C - (South) Bishopthorpe Roa'!$A$12:$A$130,"&lt;"&amp;Diagram!$P32),SUMIFS(INDIRECT(ADDRESS(12,3+18*1+(14),,,"J1 C - (South) Bishopthorpe Roa")&amp;":"&amp;ADDRESS(130,3+18*1+(14))),'J1 C - (South) Bishopthorpe Roa'!$A$12:$A$130,"&gt;="&amp;Diagram!$O32,'J1 C - (South) Bishopthorpe Roa'!$A$12:$A$130,"&lt;"&amp;Diagram!$P32)))</f>
        <v>1</v>
      </c>
      <c r="DZ32" s="42">
        <f ca="1">IF(OR($I$10="",$O32="",$P32="",$J$41&lt;&gt;"Yes"),0,IF($K$10=0,SUMIFS(INDIRECT(ADDRESS(12,3+18*2+(6),,,"J1 C - (South) Bishopthorpe Roa")&amp;":"&amp;ADDRESS(130,3+18*2+(6))),'J1 C - (South) Bishopthorpe Roa'!$A$12:$A$130,"&gt;="&amp;Diagram!$O32,'J1 C - (South) Bishopthorpe Roa'!$A$12:$A$130,"&lt;"&amp;Diagram!$P32),SUMIFS(INDIRECT(ADDRESS(12,3+18*2+(14),,,"J1 C - (South) Bishopthorpe Roa")&amp;":"&amp;ADDRESS(130,3+18*2+(14))),'J1 C - (South) Bishopthorpe Roa'!$A$12:$A$130,"&gt;="&amp;Diagram!$O32,'J1 C - (South) Bishopthorpe Roa'!$A$12:$A$130,"&lt;"&amp;Diagram!$P32)))</f>
        <v>0</v>
      </c>
      <c r="EA32" s="42">
        <f ca="1">IF(OR($I$10="",$O32="",$P32="",$J$41&lt;&gt;"Yes"),0,IF($K$10=0,SUMIFS(INDIRECT(ADDRESS(12,3+18*3+(6),,,"J1 C - (South) Bishopthorpe Roa")&amp;":"&amp;ADDRESS(130,3+18*3+(6))),'J1 C - (South) Bishopthorpe Roa'!$A$12:$A$130,"&gt;="&amp;Diagram!$O32,'J1 C - (South) Bishopthorpe Roa'!$A$12:$A$130,"&lt;"&amp;Diagram!$P32),SUMIFS(INDIRECT(ADDRESS(12,3+18*3+(14),,,"J1 C - (South) Bishopthorpe Roa")&amp;":"&amp;ADDRESS(130,3+18*3+(14))),'J1 C - (South) Bishopthorpe Roa'!$A$12:$A$130,"&gt;="&amp;Diagram!$O32,'J1 C - (South) Bishopthorpe Roa'!$A$12:$A$130,"&lt;"&amp;Diagram!$P32)))</f>
        <v>0</v>
      </c>
      <c r="EB32" s="42">
        <f ca="1">IF(OR($I$10="",$O32="",$P32="",$J$41&lt;&gt;"Yes"),0,IF($K$10=0,SUMIFS(INDIRECT(ADDRESS(12,3+18*0+(6),,,"J1 C - (South) Bishopthorpe Roa")&amp;":"&amp;ADDRESS(130,3+18*0+(6))),'J1 C - (South) Bishopthorpe Roa'!$A$12:$A$130,"&gt;="&amp;Diagram!$O32,'J1 C - (South) Bishopthorpe Roa'!$A$12:$A$130,"&lt;"&amp;Diagram!$P32),SUMIFS(INDIRECT(ADDRESS(12,3+18*0+(14),,,"J1 C - (South) Bishopthorpe Roa")&amp;":"&amp;ADDRESS(130,3+18*0+(14))),'J1 C - (South) Bishopthorpe Roa'!$A$12:$A$130,"&gt;="&amp;Diagram!$O32,'J1 C - (South) Bishopthorpe Roa'!$A$12:$A$130,"&lt;"&amp;Diagram!$P32)))</f>
        <v>0</v>
      </c>
      <c r="EC32" s="42">
        <f ca="1">IF(OR($I$10="",$O32="",$P32="",$J$41&lt;&gt;"Yes"),0,IF($K$10=0,SUMIFS(INDIRECT(ADDRESS(12,3+18*0+(6),,,"J1 D - South Bank Avenue")&amp;":"&amp;ADDRESS(130,3+18*0+(6))),'J1 D - South Bank Avenue'!$A$12:$A$130,"&gt;="&amp;Diagram!$O32,'J1 D - South Bank Avenue'!$A$12:$A$130,"&lt;"&amp;Diagram!$P32),SUMIFS(INDIRECT(ADDRESS(12,3+18*0+(14),,,"J1 D - South Bank Avenue")&amp;":"&amp;ADDRESS(130,3+18*0+(14))),'J1 D - South Bank Avenue'!$A$12:$A$130,"&gt;="&amp;Diagram!$O32,'J1 D - South Bank Avenue'!$A$12:$A$130,"&lt;"&amp;Diagram!$P32)))</f>
        <v>0</v>
      </c>
      <c r="ED32" s="42">
        <f ca="1">IF(OR($I$10="",$O32="",$P32="",$J$41&lt;&gt;"Yes"),0,IF($K$10=0,SUMIFS(INDIRECT(ADDRESS(12,3+18*1+(6),,,"J1 D - South Bank Avenue")&amp;":"&amp;ADDRESS(130,3+18*1+(6))),'J1 D - South Bank Avenue'!$A$12:$A$130,"&gt;="&amp;Diagram!$O32,'J1 D - South Bank Avenue'!$A$12:$A$130,"&lt;"&amp;Diagram!$P32),SUMIFS(INDIRECT(ADDRESS(12,3+18*1+(14),,,"J1 D - South Bank Avenue")&amp;":"&amp;ADDRESS(130,3+18*1+(14))),'J1 D - South Bank Avenue'!$A$12:$A$130,"&gt;="&amp;Diagram!$O32,'J1 D - South Bank Avenue'!$A$12:$A$130,"&lt;"&amp;Diagram!$P32)))</f>
        <v>0</v>
      </c>
      <c r="EE32" s="42">
        <f ca="1">IF(OR($I$10="",$O32="",$P32="",$J$41&lt;&gt;"Yes"),0,IF($K$10=0,SUMIFS(INDIRECT(ADDRESS(12,3+18*2+(6),,,"J1 D - South Bank Avenue")&amp;":"&amp;ADDRESS(130,3+18*2+(6))),'J1 D - South Bank Avenue'!$A$12:$A$130,"&gt;="&amp;Diagram!$O32,'J1 D - South Bank Avenue'!$A$12:$A$130,"&lt;"&amp;Diagram!$P32),SUMIFS(INDIRECT(ADDRESS(12,3+18*2+(14),,,"J1 D - South Bank Avenue")&amp;":"&amp;ADDRESS(130,3+18*2+(14))),'J1 D - South Bank Avenue'!$A$12:$A$130,"&gt;="&amp;Diagram!$O32,'J1 D - South Bank Avenue'!$A$12:$A$130,"&lt;"&amp;Diagram!$P32)))</f>
        <v>0</v>
      </c>
      <c r="EF32" s="42">
        <f ca="1">IF(OR($I$10="",$O32="",$P32="",$J$41&lt;&gt;"Yes"),0,IF($K$10=0,SUMIFS(INDIRECT(ADDRESS(12,3+18*3+(6),,,"J1 D - South Bank Avenue")&amp;":"&amp;ADDRESS(130,3+18*3+(6))),'J1 D - South Bank Avenue'!$A$12:$A$130,"&gt;="&amp;Diagram!$O32,'J1 D - South Bank Avenue'!$A$12:$A$130,"&lt;"&amp;Diagram!$P32),SUMIFS(INDIRECT(ADDRESS(12,3+18*3+(14),,,"J1 D - South Bank Avenue")&amp;":"&amp;ADDRESS(130,3+18*3+(14))),'J1 D - South Bank Avenue'!$A$12:$A$130,"&gt;="&amp;Diagram!$O32,'J1 D - South Bank Avenue'!$A$12:$A$130,"&lt;"&amp;Diagram!$P32)))</f>
        <v>0</v>
      </c>
      <c r="EG32" s="42">
        <f t="shared" ca="1" si="8"/>
        <v>6</v>
      </c>
      <c r="EH32" s="42">
        <f ca="1">IF(OR($I$10="",$O32="",$P32="",$J$42&lt;&gt;"Yes"),0,IF($K$10=0,SUMIFS(INDIRECT(ADDRESS(12,3+18*3+(7),,,"J1 A - (North) Bishopthorpe Roa")&amp;":"&amp;ADDRESS(130,3+18*3+(7))),'J1 A - (North) Bishopthorpe Roa'!$A$12:$A$130,"&gt;="&amp;Diagram!$O32,'J1 A - (North) Bishopthorpe Roa'!$A$12:$A$130,"&lt;"&amp;Diagram!$P32),SUMIFS(INDIRECT(ADDRESS(12,3+18*3+(15),,,"J1 A - (North) Bishopthorpe Roa")&amp;":"&amp;ADDRESS(130,3+18*3+(15))),'J1 A - (North) Bishopthorpe Roa'!$A$12:$A$130,"&gt;="&amp;Diagram!$O32,'J1 A - (North) Bishopthorpe Roa'!$A$12:$A$130,"&lt;"&amp;Diagram!$P32)))</f>
        <v>0</v>
      </c>
      <c r="EI32" s="42">
        <f ca="1">IF(OR($I$10="",$O32="",$P32="",$J$42&lt;&gt;"Yes"),0,IF($K$10=0,SUMIFS(INDIRECT(ADDRESS(12,3+18*0+(7),,,"J1 A - (North) Bishopthorpe Roa")&amp;":"&amp;ADDRESS(130,3+18*0+(7))),'J1 A - (North) Bishopthorpe Roa'!$A$12:$A$130,"&gt;="&amp;Diagram!$O32,'J1 A - (North) Bishopthorpe Roa'!$A$12:$A$130,"&lt;"&amp;Diagram!$P32),SUMIFS(INDIRECT(ADDRESS(12,3+18*0+(15),,,"J1 A - (North) Bishopthorpe Roa")&amp;":"&amp;ADDRESS(130,3+18*0+(15))),'J1 A - (North) Bishopthorpe Roa'!$A$12:$A$130,"&gt;="&amp;Diagram!$O32,'J1 A - (North) Bishopthorpe Roa'!$A$12:$A$130,"&lt;"&amp;Diagram!$P32)))</f>
        <v>0</v>
      </c>
      <c r="EJ32" s="42">
        <f ca="1">IF(OR($I$10="",$O32="",$P32="",$J$42&lt;&gt;"Yes"),0,IF($K$10=0,SUMIFS(INDIRECT(ADDRESS(12,3+18*1+(7),,,"J1 A - (North) Bishopthorpe Roa")&amp;":"&amp;ADDRESS(130,3+18*1+(7))),'J1 A - (North) Bishopthorpe Roa'!$A$12:$A$130,"&gt;="&amp;Diagram!$O32,'J1 A - (North) Bishopthorpe Roa'!$A$12:$A$130,"&lt;"&amp;Diagram!$P32),SUMIFS(INDIRECT(ADDRESS(12,3+18*1+(15),,,"J1 A - (North) Bishopthorpe Roa")&amp;":"&amp;ADDRESS(130,3+18*1+(15))),'J1 A - (North) Bishopthorpe Roa'!$A$12:$A$130,"&gt;="&amp;Diagram!$O32,'J1 A - (North) Bishopthorpe Roa'!$A$12:$A$130,"&lt;"&amp;Diagram!$P32)))</f>
        <v>0</v>
      </c>
      <c r="EK32" s="42">
        <f ca="1">IF(OR($I$10="",$O32="",$P32="",$J$42&lt;&gt;"Yes"),0,IF($K$10=0,SUMIFS(INDIRECT(ADDRESS(12,3+18*2+(7),,,"J1 A - (North) Bishopthorpe Roa")&amp;":"&amp;ADDRESS(130,3+18*2+(7))),'J1 A - (North) Bishopthorpe Roa'!$A$12:$A$130,"&gt;="&amp;Diagram!$O32,'J1 A - (North) Bishopthorpe Roa'!$A$12:$A$130,"&lt;"&amp;Diagram!$P32),SUMIFS(INDIRECT(ADDRESS(12,3+18*2+(15),,,"J1 A - (North) Bishopthorpe Roa")&amp;":"&amp;ADDRESS(130,3+18*2+(15))),'J1 A - (North) Bishopthorpe Roa'!$A$12:$A$130,"&gt;="&amp;Diagram!$O32,'J1 A - (North) Bishopthorpe Roa'!$A$12:$A$130,"&lt;"&amp;Diagram!$P32)))</f>
        <v>0</v>
      </c>
      <c r="EL32" s="42">
        <f ca="1">IF(OR($I$10="",$O32="",$P32="",$J$42&lt;&gt;"Yes"),0,IF($K$10=0,SUMIFS(INDIRECT(ADDRESS(12,3+18*2+(7),,,"J1 B - Butcher Terrace")&amp;":"&amp;ADDRESS(130,3+18*2+(7))),'J1 B - Butcher Terrace'!$A$12:$A$130,"&gt;="&amp;Diagram!$O32,'J1 B - Butcher Terrace'!$A$12:$A$130,"&lt;"&amp;Diagram!$P32),SUMIFS(INDIRECT(ADDRESS(12,3+18*2+(15),,,"J1 B - Butcher Terrace")&amp;":"&amp;ADDRESS(130,3+18*2+(15))),'J1 B - Butcher Terrace'!$A$12:$A$130,"&gt;="&amp;Diagram!$O32,'J1 B - Butcher Terrace'!$A$12:$A$130,"&lt;"&amp;Diagram!$P32)))</f>
        <v>4</v>
      </c>
      <c r="EM32" s="42">
        <f ca="1">IF(OR($I$10="",$O32="",$P32="",$J$42&lt;&gt;"Yes"),0,IF($K$10=0,SUMIFS(INDIRECT(ADDRESS(12,3+18*3+(7),,,"J1 B - Butcher Terrace")&amp;":"&amp;ADDRESS(130,3+18*3+(7))),'J1 B - Butcher Terrace'!$A$12:$A$130,"&gt;="&amp;Diagram!$O32,'J1 B - Butcher Terrace'!$A$12:$A$130,"&lt;"&amp;Diagram!$P32),SUMIFS(INDIRECT(ADDRESS(12,3+18*3+(15),,,"J1 B - Butcher Terrace")&amp;":"&amp;ADDRESS(130,3+18*3+(15))),'J1 B - Butcher Terrace'!$A$12:$A$130,"&gt;="&amp;Diagram!$O32,'J1 B - Butcher Terrace'!$A$12:$A$130,"&lt;"&amp;Diagram!$P32)))</f>
        <v>0</v>
      </c>
      <c r="EN32" s="42">
        <f ca="1">IF(OR($I$10="",$O32="",$P32="",$J$42&lt;&gt;"Yes"),0,IF($K$10=0,SUMIFS(INDIRECT(ADDRESS(12,3+18*0+(7),,,"J1 B - Butcher Terrace")&amp;":"&amp;ADDRESS(130,3+18*0+(7))),'J1 B - Butcher Terrace'!$A$12:$A$130,"&gt;="&amp;Diagram!$O32,'J1 B - Butcher Terrace'!$A$12:$A$130,"&lt;"&amp;Diagram!$P32),SUMIFS(INDIRECT(ADDRESS(12,3+18*0+(15),,,"J1 B - Butcher Terrace")&amp;":"&amp;ADDRESS(130,3+18*0+(15))),'J1 B - Butcher Terrace'!$A$12:$A$130,"&gt;="&amp;Diagram!$O32,'J1 B - Butcher Terrace'!$A$12:$A$130,"&lt;"&amp;Diagram!$P32)))</f>
        <v>2</v>
      </c>
      <c r="EO32" s="42">
        <f ca="1">IF(OR($I$10="",$O32="",$P32="",$J$42&lt;&gt;"Yes"),0,IF($K$10=0,SUMIFS(INDIRECT(ADDRESS(12,3+18*1+(7),,,"J1 B - Butcher Terrace")&amp;":"&amp;ADDRESS(130,3+18*1+(7))),'J1 B - Butcher Terrace'!$A$12:$A$130,"&gt;="&amp;Diagram!$O32,'J1 B - Butcher Terrace'!$A$12:$A$130,"&lt;"&amp;Diagram!$P32),SUMIFS(INDIRECT(ADDRESS(12,3+18*1+(15),,,"J1 B - Butcher Terrace")&amp;":"&amp;ADDRESS(130,3+18*1+(15))),'J1 B - Butcher Terrace'!$A$12:$A$130,"&gt;="&amp;Diagram!$O32,'J1 B - Butcher Terrace'!$A$12:$A$130,"&lt;"&amp;Diagram!$P32)))</f>
        <v>0</v>
      </c>
      <c r="EP32" s="42">
        <f ca="1">IF(OR($I$10="",$O32="",$P32="",$J$42&lt;&gt;"Yes"),0,IF($K$10=0,SUMIFS(INDIRECT(ADDRESS(12,3+18*1+(7),,,"J1 C - (South) Bishopthorpe Roa")&amp;":"&amp;ADDRESS(130,3+18*1+(7))),'J1 C - (South) Bishopthorpe Roa'!$A$12:$A$130,"&gt;="&amp;Diagram!$O32,'J1 C - (South) Bishopthorpe Roa'!$A$12:$A$130,"&lt;"&amp;Diagram!$P32),SUMIFS(INDIRECT(ADDRESS(12,3+18*1+(15),,,"J1 C - (South) Bishopthorpe Roa")&amp;":"&amp;ADDRESS(130,3+18*1+(15))),'J1 C - (South) Bishopthorpe Roa'!$A$12:$A$130,"&gt;="&amp;Diagram!$O32,'J1 C - (South) Bishopthorpe Roa'!$A$12:$A$130,"&lt;"&amp;Diagram!$P32)))</f>
        <v>0</v>
      </c>
      <c r="EQ32" s="42">
        <f ca="1">IF(OR($I$10="",$O32="",$P32="",$J$42&lt;&gt;"Yes"),0,IF($K$10=0,SUMIFS(INDIRECT(ADDRESS(12,3+18*2+(7),,,"J1 C - (South) Bishopthorpe Roa")&amp;":"&amp;ADDRESS(130,3+18*2+(7))),'J1 C - (South) Bishopthorpe Roa'!$A$12:$A$130,"&gt;="&amp;Diagram!$O32,'J1 C - (South) Bishopthorpe Roa'!$A$12:$A$130,"&lt;"&amp;Diagram!$P32),SUMIFS(INDIRECT(ADDRESS(12,3+18*2+(15),,,"J1 C - (South) Bishopthorpe Roa")&amp;":"&amp;ADDRESS(130,3+18*2+(15))),'J1 C - (South) Bishopthorpe Roa'!$A$12:$A$130,"&gt;="&amp;Diagram!$O32,'J1 C - (South) Bishopthorpe Roa'!$A$12:$A$130,"&lt;"&amp;Diagram!$P32)))</f>
        <v>0</v>
      </c>
      <c r="ER32" s="42">
        <f ca="1">IF(OR($I$10="",$O32="",$P32="",$J$42&lt;&gt;"Yes"),0,IF($K$10=0,SUMIFS(INDIRECT(ADDRESS(12,3+18*3+(7),,,"J1 C - (South) Bishopthorpe Roa")&amp;":"&amp;ADDRESS(130,3+18*3+(7))),'J1 C - (South) Bishopthorpe Roa'!$A$12:$A$130,"&gt;="&amp;Diagram!$O32,'J1 C - (South) Bishopthorpe Roa'!$A$12:$A$130,"&lt;"&amp;Diagram!$P32),SUMIFS(INDIRECT(ADDRESS(12,3+18*3+(15),,,"J1 C - (South) Bishopthorpe Roa")&amp;":"&amp;ADDRESS(130,3+18*3+(15))),'J1 C - (South) Bishopthorpe Roa'!$A$12:$A$130,"&gt;="&amp;Diagram!$O32,'J1 C - (South) Bishopthorpe Roa'!$A$12:$A$130,"&lt;"&amp;Diagram!$P32)))</f>
        <v>0</v>
      </c>
      <c r="ES32" s="42">
        <f ca="1">IF(OR($I$10="",$O32="",$P32="",$J$42&lt;&gt;"Yes"),0,IF($K$10=0,SUMIFS(INDIRECT(ADDRESS(12,3+18*0+(7),,,"J1 C - (South) Bishopthorpe Roa")&amp;":"&amp;ADDRESS(130,3+18*0+(7))),'J1 C - (South) Bishopthorpe Roa'!$A$12:$A$130,"&gt;="&amp;Diagram!$O32,'J1 C - (South) Bishopthorpe Roa'!$A$12:$A$130,"&lt;"&amp;Diagram!$P32),SUMIFS(INDIRECT(ADDRESS(12,3+18*0+(15),,,"J1 C - (South) Bishopthorpe Roa")&amp;":"&amp;ADDRESS(130,3+18*0+(15))),'J1 C - (South) Bishopthorpe Roa'!$A$12:$A$130,"&gt;="&amp;Diagram!$O32,'J1 C - (South) Bishopthorpe Roa'!$A$12:$A$130,"&lt;"&amp;Diagram!$P32)))</f>
        <v>0</v>
      </c>
      <c r="ET32" s="42">
        <f ca="1">IF(OR($I$10="",$O32="",$P32="",$J$42&lt;&gt;"Yes"),0,IF($K$10=0,SUMIFS(INDIRECT(ADDRESS(12,3+18*0+(7),,,"J1 D - South Bank Avenue")&amp;":"&amp;ADDRESS(130,3+18*0+(7))),'J1 D - South Bank Avenue'!$A$12:$A$130,"&gt;="&amp;Diagram!$O32,'J1 D - South Bank Avenue'!$A$12:$A$130,"&lt;"&amp;Diagram!$P32),SUMIFS(INDIRECT(ADDRESS(12,3+18*0+(15),,,"J1 D - South Bank Avenue")&amp;":"&amp;ADDRESS(130,3+18*0+(15))),'J1 D - South Bank Avenue'!$A$12:$A$130,"&gt;="&amp;Diagram!$O32,'J1 D - South Bank Avenue'!$A$12:$A$130,"&lt;"&amp;Diagram!$P32)))</f>
        <v>0</v>
      </c>
      <c r="EU32" s="42">
        <f ca="1">IF(OR($I$10="",$O32="",$P32="",$J$42&lt;&gt;"Yes"),0,IF($K$10=0,SUMIFS(INDIRECT(ADDRESS(12,3+18*1+(7),,,"J1 D - South Bank Avenue")&amp;":"&amp;ADDRESS(130,3+18*1+(7))),'J1 D - South Bank Avenue'!$A$12:$A$130,"&gt;="&amp;Diagram!$O32,'J1 D - South Bank Avenue'!$A$12:$A$130,"&lt;"&amp;Diagram!$P32),SUMIFS(INDIRECT(ADDRESS(12,3+18*1+(15),,,"J1 D - South Bank Avenue")&amp;":"&amp;ADDRESS(130,3+18*1+(15))),'J1 D - South Bank Avenue'!$A$12:$A$130,"&gt;="&amp;Diagram!$O32,'J1 D - South Bank Avenue'!$A$12:$A$130,"&lt;"&amp;Diagram!$P32)))</f>
        <v>0</v>
      </c>
      <c r="EV32" s="42">
        <f ca="1">IF(OR($I$10="",$O32="",$P32="",$J$42&lt;&gt;"Yes"),0,IF($K$10=0,SUMIFS(INDIRECT(ADDRESS(12,3+18*2+(7),,,"J1 D - South Bank Avenue")&amp;":"&amp;ADDRESS(130,3+18*2+(7))),'J1 D - South Bank Avenue'!$A$12:$A$130,"&gt;="&amp;Diagram!$O32,'J1 D - South Bank Avenue'!$A$12:$A$130,"&lt;"&amp;Diagram!$P32),SUMIFS(INDIRECT(ADDRESS(12,3+18*2+(15),,,"J1 D - South Bank Avenue")&amp;":"&amp;ADDRESS(130,3+18*2+(15))),'J1 D - South Bank Avenue'!$A$12:$A$130,"&gt;="&amp;Diagram!$O32,'J1 D - South Bank Avenue'!$A$12:$A$130,"&lt;"&amp;Diagram!$P32)))</f>
        <v>0</v>
      </c>
      <c r="EW32" s="42">
        <f ca="1">IF(OR($I$10="",$O32="",$P32="",$J$42&lt;&gt;"Yes"),0,IF($K$10=0,SUMIFS(INDIRECT(ADDRESS(12,3+18*3+(7),,,"J1 D - South Bank Avenue")&amp;":"&amp;ADDRESS(130,3+18*3+(7))),'J1 D - South Bank Avenue'!$A$12:$A$130,"&gt;="&amp;Diagram!$O32,'J1 D - South Bank Avenue'!$A$12:$A$130,"&lt;"&amp;Diagram!$P32),SUMIFS(INDIRECT(ADDRESS(12,3+18*3+(15),,,"J1 D - South Bank Avenue")&amp;":"&amp;ADDRESS(130,3+18*3+(15))),'J1 D - South Bank Avenue'!$A$12:$A$130,"&gt;="&amp;Diagram!$O32,'J1 D - South Bank Avenue'!$A$12:$A$130,"&lt;"&amp;Diagram!$P32)))</f>
        <v>0</v>
      </c>
    </row>
    <row r="33" spans="1:153">
      <c r="A33" s="1">
        <v>44395.333333333299</v>
      </c>
      <c r="B33" s="1">
        <v>44395.34375</v>
      </c>
      <c r="O33" s="3">
        <v>44395.333333333299</v>
      </c>
      <c r="P33" s="3">
        <v>44395.375</v>
      </c>
      <c r="Q33" s="42">
        <f t="shared" ca="1" si="0"/>
        <v>747</v>
      </c>
      <c r="R33" s="42">
        <f t="shared" ca="1" si="1"/>
        <v>519</v>
      </c>
      <c r="S33" s="42">
        <f ca="1">IF(OR($I$10="",$O33="",$P33="",$J$35&lt;&gt;"Yes"),0,IF($K$10=0,SUMIFS(INDIRECT(ADDRESS(12,3+18*3+(0),,,"J1 A - (North) Bishopthorpe Roa")&amp;":"&amp;ADDRESS(130,3+18*3+(0))),'J1 A - (North) Bishopthorpe Roa'!$A$12:$A$130,"&gt;="&amp;Diagram!$O33,'J1 A - (North) Bishopthorpe Roa'!$A$12:$A$130,"&lt;"&amp;Diagram!$P33),SUMIFS(INDIRECT(ADDRESS(12,3+18*3+(8),,,"J1 A - (North) Bishopthorpe Roa")&amp;":"&amp;ADDRESS(130,3+18*3+(8))),'J1 A - (North) Bishopthorpe Roa'!$A$12:$A$130,"&gt;="&amp;Diagram!$O33,'J1 A - (North) Bishopthorpe Roa'!$A$12:$A$130,"&lt;"&amp;Diagram!$P33)))</f>
        <v>2</v>
      </c>
      <c r="T33" s="42">
        <f ca="1">IF(OR($I$10="",$O33="",$P33="",$J$35&lt;&gt;"Yes"),0,IF($K$10=0,SUMIFS(INDIRECT(ADDRESS(12,3+18*0+(0),,,"J1 A - (North) Bishopthorpe Roa")&amp;":"&amp;ADDRESS(130,3+18*0+(0))),'J1 A - (North) Bishopthorpe Roa'!$A$12:$A$130,"&gt;="&amp;Diagram!$O33,'J1 A - (North) Bishopthorpe Roa'!$A$12:$A$130,"&lt;"&amp;Diagram!$P33),SUMIFS(INDIRECT(ADDRESS(12,3+18*0+(8),,,"J1 A - (North) Bishopthorpe Roa")&amp;":"&amp;ADDRESS(130,3+18*0+(8))),'J1 A - (North) Bishopthorpe Roa'!$A$12:$A$130,"&gt;="&amp;Diagram!$O33,'J1 A - (North) Bishopthorpe Roa'!$A$12:$A$130,"&lt;"&amp;Diagram!$P33)))</f>
        <v>3</v>
      </c>
      <c r="U33" s="42">
        <f ca="1">IF(OR($I$10="",$O33="",$P33="",$J$35&lt;&gt;"Yes"),0,IF($K$10=0,SUMIFS(INDIRECT(ADDRESS(12,3+18*1+(0),,,"J1 A - (North) Bishopthorpe Roa")&amp;":"&amp;ADDRESS(130,3+18*1+(0))),'J1 A - (North) Bishopthorpe Roa'!$A$12:$A$130,"&gt;="&amp;Diagram!$O33,'J1 A - (North) Bishopthorpe Roa'!$A$12:$A$130,"&lt;"&amp;Diagram!$P33),SUMIFS(INDIRECT(ADDRESS(12,3+18*1+(8),,,"J1 A - (North) Bishopthorpe Roa")&amp;":"&amp;ADDRESS(130,3+18*1+(8))),'J1 A - (North) Bishopthorpe Roa'!$A$12:$A$130,"&gt;="&amp;Diagram!$O33,'J1 A - (North) Bishopthorpe Roa'!$A$12:$A$130,"&lt;"&amp;Diagram!$P33)))</f>
        <v>173</v>
      </c>
      <c r="V33" s="42">
        <f ca="1">IF(OR($I$10="",$O33="",$P33="",$J$35&lt;&gt;"Yes"),0,IF($K$10=0,SUMIFS(INDIRECT(ADDRESS(12,3+18*2+(0),,,"J1 A - (North) Bishopthorpe Roa")&amp;":"&amp;ADDRESS(130,3+18*2+(0))),'J1 A - (North) Bishopthorpe Roa'!$A$12:$A$130,"&gt;="&amp;Diagram!$O33,'J1 A - (North) Bishopthorpe Roa'!$A$12:$A$130,"&lt;"&amp;Diagram!$P33),SUMIFS(INDIRECT(ADDRESS(12,3+18*2+(8),,,"J1 A - (North) Bishopthorpe Roa")&amp;":"&amp;ADDRESS(130,3+18*2+(8))),'J1 A - (North) Bishopthorpe Roa'!$A$12:$A$130,"&gt;="&amp;Diagram!$O33,'J1 A - (North) Bishopthorpe Roa'!$A$12:$A$130,"&lt;"&amp;Diagram!$P33)))</f>
        <v>12</v>
      </c>
      <c r="W33" s="42">
        <f ca="1">IF(OR($I$10="",$O33="",$P33="",$J$35&lt;&gt;"Yes"),0,IF($K$10=0,SUMIFS(INDIRECT(ADDRESS(12,3+18*2+(0),,,"J1 B - Butcher Terrace")&amp;":"&amp;ADDRESS(130,3+18*2+(0))),'J1 B - Butcher Terrace'!$A$12:$A$130,"&gt;="&amp;Diagram!$O33,'J1 B - Butcher Terrace'!$A$12:$A$130,"&lt;"&amp;Diagram!$P33),SUMIFS(INDIRECT(ADDRESS(12,3+18*2+(8),,,"J1 B - Butcher Terrace")&amp;":"&amp;ADDRESS(130,3+18*2+(8))),'J1 B - Butcher Terrace'!$A$12:$A$130,"&gt;="&amp;Diagram!$O33,'J1 B - Butcher Terrace'!$A$12:$A$130,"&lt;"&amp;Diagram!$P33)))</f>
        <v>8</v>
      </c>
      <c r="X33" s="42">
        <f ca="1">IF(OR($I$10="",$O33="",$P33="",$J$35&lt;&gt;"Yes"),0,IF($K$10=0,SUMIFS(INDIRECT(ADDRESS(12,3+18*3+(0),,,"J1 B - Butcher Terrace")&amp;":"&amp;ADDRESS(130,3+18*3+(0))),'J1 B - Butcher Terrace'!$A$12:$A$130,"&gt;="&amp;Diagram!$O33,'J1 B - Butcher Terrace'!$A$12:$A$130,"&lt;"&amp;Diagram!$P33),SUMIFS(INDIRECT(ADDRESS(12,3+18*3+(8),,,"J1 B - Butcher Terrace")&amp;":"&amp;ADDRESS(130,3+18*3+(8))),'J1 B - Butcher Terrace'!$A$12:$A$130,"&gt;="&amp;Diagram!$O33,'J1 B - Butcher Terrace'!$A$12:$A$130,"&lt;"&amp;Diagram!$P33)))</f>
        <v>0</v>
      </c>
      <c r="Y33" s="42">
        <f ca="1">IF(OR($I$10="",$O33="",$P33="",$J$35&lt;&gt;"Yes"),0,IF($K$10=0,SUMIFS(INDIRECT(ADDRESS(12,3+18*0+(0),,,"J1 B - Butcher Terrace")&amp;":"&amp;ADDRESS(130,3+18*0+(0))),'J1 B - Butcher Terrace'!$A$12:$A$130,"&gt;="&amp;Diagram!$O33,'J1 B - Butcher Terrace'!$A$12:$A$130,"&lt;"&amp;Diagram!$P33),SUMIFS(INDIRECT(ADDRESS(12,3+18*0+(8),,,"J1 B - Butcher Terrace")&amp;":"&amp;ADDRESS(130,3+18*0+(8))),'J1 B - Butcher Terrace'!$A$12:$A$130,"&gt;="&amp;Diagram!$O33,'J1 B - Butcher Terrace'!$A$12:$A$130,"&lt;"&amp;Diagram!$P33)))</f>
        <v>5</v>
      </c>
      <c r="Z33" s="42">
        <f ca="1">IF(OR($I$10="",$O33="",$P33="",$J$35&lt;&gt;"Yes"),0,IF($K$10=0,SUMIFS(INDIRECT(ADDRESS(12,3+18*1+(0),,,"J1 B - Butcher Terrace")&amp;":"&amp;ADDRESS(130,3+18*1+(0))),'J1 B - Butcher Terrace'!$A$12:$A$130,"&gt;="&amp;Diagram!$O33,'J1 B - Butcher Terrace'!$A$12:$A$130,"&lt;"&amp;Diagram!$P33),SUMIFS(INDIRECT(ADDRESS(12,3+18*1+(8),,,"J1 B - Butcher Terrace")&amp;":"&amp;ADDRESS(130,3+18*1+(8))),'J1 B - Butcher Terrace'!$A$12:$A$130,"&gt;="&amp;Diagram!$O33,'J1 B - Butcher Terrace'!$A$12:$A$130,"&lt;"&amp;Diagram!$P33)))</f>
        <v>2</v>
      </c>
      <c r="AA33" s="42">
        <f ca="1">IF(OR($I$10="",$O33="",$P33="",$J$35&lt;&gt;"Yes"),0,IF($K$10=0,SUMIFS(INDIRECT(ADDRESS(12,3+18*1+(0),,,"J1 C - (South) Bishopthorpe Roa")&amp;":"&amp;ADDRESS(130,3+18*1+(0))),'J1 C - (South) Bishopthorpe Roa'!$A$12:$A$130,"&gt;="&amp;Diagram!$O33,'J1 C - (South) Bishopthorpe Roa'!$A$12:$A$130,"&lt;"&amp;Diagram!$P33),SUMIFS(INDIRECT(ADDRESS(12,3+18*1+(8),,,"J1 C - (South) Bishopthorpe Roa")&amp;":"&amp;ADDRESS(130,3+18*1+(8))),'J1 C - (South) Bishopthorpe Roa'!$A$12:$A$130,"&gt;="&amp;Diagram!$O33,'J1 C - (South) Bishopthorpe Roa'!$A$12:$A$130,"&lt;"&amp;Diagram!$P33)))</f>
        <v>261</v>
      </c>
      <c r="AB33" s="42">
        <f ca="1">IF(OR($I$10="",$O33="",$P33="",$J$35&lt;&gt;"Yes"),0,IF($K$10=0,SUMIFS(INDIRECT(ADDRESS(12,3+18*2+(0),,,"J1 C - (South) Bishopthorpe Roa")&amp;":"&amp;ADDRESS(130,3+18*2+(0))),'J1 C - (South) Bishopthorpe Roa'!$A$12:$A$130,"&gt;="&amp;Diagram!$O33,'J1 C - (South) Bishopthorpe Roa'!$A$12:$A$130,"&lt;"&amp;Diagram!$P33),SUMIFS(INDIRECT(ADDRESS(12,3+18*2+(8),,,"J1 C - (South) Bishopthorpe Roa")&amp;":"&amp;ADDRESS(130,3+18*2+(8))),'J1 C - (South) Bishopthorpe Roa'!$A$12:$A$130,"&gt;="&amp;Diagram!$O33,'J1 C - (South) Bishopthorpe Roa'!$A$12:$A$130,"&lt;"&amp;Diagram!$P33)))</f>
        <v>6</v>
      </c>
      <c r="AC33" s="42">
        <f ca="1">IF(OR($I$10="",$O33="",$P33="",$J$35&lt;&gt;"Yes"),0,IF($K$10=0,SUMIFS(INDIRECT(ADDRESS(12,3+18*3+(0),,,"J1 C - (South) Bishopthorpe Roa")&amp;":"&amp;ADDRESS(130,3+18*3+(0))),'J1 C - (South) Bishopthorpe Roa'!$A$12:$A$130,"&gt;="&amp;Diagram!$O33,'J1 C - (South) Bishopthorpe Roa'!$A$12:$A$130,"&lt;"&amp;Diagram!$P33),SUMIFS(INDIRECT(ADDRESS(12,3+18*3+(8),,,"J1 C - (South) Bishopthorpe Roa")&amp;":"&amp;ADDRESS(130,3+18*3+(8))),'J1 C - (South) Bishopthorpe Roa'!$A$12:$A$130,"&gt;="&amp;Diagram!$O33,'J1 C - (South) Bishopthorpe Roa'!$A$12:$A$130,"&lt;"&amp;Diagram!$P33)))</f>
        <v>0</v>
      </c>
      <c r="AD33" s="42">
        <f ca="1">IF(OR($I$10="",$O33="",$P33="",$J$35&lt;&gt;"Yes"),0,IF($K$10=0,SUMIFS(INDIRECT(ADDRESS(12,3+18*0+(0),,,"J1 C - (South) Bishopthorpe Roa")&amp;":"&amp;ADDRESS(130,3+18*0+(0))),'J1 C - (South) Bishopthorpe Roa'!$A$12:$A$130,"&gt;="&amp;Diagram!$O33,'J1 C - (South) Bishopthorpe Roa'!$A$12:$A$130,"&lt;"&amp;Diagram!$P33),SUMIFS(INDIRECT(ADDRESS(12,3+18*0+(8),,,"J1 C - (South) Bishopthorpe Roa")&amp;":"&amp;ADDRESS(130,3+18*0+(8))),'J1 C - (South) Bishopthorpe Roa'!$A$12:$A$130,"&gt;="&amp;Diagram!$O33,'J1 C - (South) Bishopthorpe Roa'!$A$12:$A$130,"&lt;"&amp;Diagram!$P33)))</f>
        <v>13</v>
      </c>
      <c r="AE33" s="42">
        <f ca="1">IF(OR($I$10="",$O33="",$P33="",$J$35&lt;&gt;"Yes"),0,IF($K$10=0,SUMIFS(INDIRECT(ADDRESS(12,3+18*0+(0),,,"J1 D - South Bank Avenue")&amp;":"&amp;ADDRESS(130,3+18*0+(0))),'J1 D - South Bank Avenue'!$A$12:$A$130,"&gt;="&amp;Diagram!$O33,'J1 D - South Bank Avenue'!$A$12:$A$130,"&lt;"&amp;Diagram!$P33),SUMIFS(INDIRECT(ADDRESS(12,3+18*0+(8),,,"J1 D - South Bank Avenue")&amp;":"&amp;ADDRESS(130,3+18*0+(8))),'J1 D - South Bank Avenue'!$A$12:$A$130,"&gt;="&amp;Diagram!$O33,'J1 D - South Bank Avenue'!$A$12:$A$130,"&lt;"&amp;Diagram!$P33)))</f>
        <v>25</v>
      </c>
      <c r="AF33" s="42">
        <f ca="1">IF(OR($I$10="",$O33="",$P33="",$J$35&lt;&gt;"Yes"),0,IF($K$10=0,SUMIFS(INDIRECT(ADDRESS(12,3+18*1+(0),,,"J1 D - South Bank Avenue")&amp;":"&amp;ADDRESS(130,3+18*1+(0))),'J1 D - South Bank Avenue'!$A$12:$A$130,"&gt;="&amp;Diagram!$O33,'J1 D - South Bank Avenue'!$A$12:$A$130,"&lt;"&amp;Diagram!$P33),SUMIFS(INDIRECT(ADDRESS(12,3+18*1+(8),,,"J1 D - South Bank Avenue")&amp;":"&amp;ADDRESS(130,3+18*1+(8))),'J1 D - South Bank Avenue'!$A$12:$A$130,"&gt;="&amp;Diagram!$O33,'J1 D - South Bank Avenue'!$A$12:$A$130,"&lt;"&amp;Diagram!$P33)))</f>
        <v>0</v>
      </c>
      <c r="AG33" s="42">
        <f ca="1">IF(OR($I$10="",$O33="",$P33="",$J$35&lt;&gt;"Yes"),0,IF($K$10=0,SUMIFS(INDIRECT(ADDRESS(12,3+18*2+(0),,,"J1 D - South Bank Avenue")&amp;":"&amp;ADDRESS(130,3+18*2+(0))),'J1 D - South Bank Avenue'!$A$12:$A$130,"&gt;="&amp;Diagram!$O33,'J1 D - South Bank Avenue'!$A$12:$A$130,"&lt;"&amp;Diagram!$P33),SUMIFS(INDIRECT(ADDRESS(12,3+18*2+(8),,,"J1 D - South Bank Avenue")&amp;":"&amp;ADDRESS(130,3+18*2+(8))),'J1 D - South Bank Avenue'!$A$12:$A$130,"&gt;="&amp;Diagram!$O33,'J1 D - South Bank Avenue'!$A$12:$A$130,"&lt;"&amp;Diagram!$P33)))</f>
        <v>9</v>
      </c>
      <c r="AH33" s="42">
        <f ca="1">IF(OR($I$10="",$O33="",$P33="",$J$35&lt;&gt;"Yes"),0,IF($K$10=0,SUMIFS(INDIRECT(ADDRESS(12,3+18*3+(0),,,"J1 D - South Bank Avenue")&amp;":"&amp;ADDRESS(130,3+18*3+(0))),'J1 D - South Bank Avenue'!$A$12:$A$130,"&gt;="&amp;Diagram!$O33,'J1 D - South Bank Avenue'!$A$12:$A$130,"&lt;"&amp;Diagram!$P33),SUMIFS(INDIRECT(ADDRESS(12,3+18*3+(8),,,"J1 D - South Bank Avenue")&amp;":"&amp;ADDRESS(130,3+18*3+(8))),'J1 D - South Bank Avenue'!$A$12:$A$130,"&gt;="&amp;Diagram!$O33,'J1 D - South Bank Avenue'!$A$12:$A$130,"&lt;"&amp;Diagram!$P33)))</f>
        <v>0</v>
      </c>
      <c r="AI33" s="42">
        <f t="shared" ca="1" si="2"/>
        <v>90</v>
      </c>
      <c r="AJ33" s="42">
        <f ca="1">IF(OR($I$10="",$O33="",$P33="",$J$36&lt;&gt;"Yes"),0,IF($K$10=0,SUMIFS(INDIRECT(ADDRESS(12,3+18*3+(1),,,"J1 A - (North) Bishopthorpe Roa")&amp;":"&amp;ADDRESS(130,3+18*3+(1))),'J1 A - (North) Bishopthorpe Roa'!$A$12:$A$130,"&gt;="&amp;Diagram!$O33,'J1 A - (North) Bishopthorpe Roa'!$A$12:$A$130,"&lt;"&amp;Diagram!$P33),SUMIFS(INDIRECT(ADDRESS(12,3+18*3+(9),,,"J1 A - (North) Bishopthorpe Roa")&amp;":"&amp;ADDRESS(130,3+18*3+(9))),'J1 A - (North) Bishopthorpe Roa'!$A$12:$A$130,"&gt;="&amp;Diagram!$O33,'J1 A - (North) Bishopthorpe Roa'!$A$12:$A$130,"&lt;"&amp;Diagram!$P33)))</f>
        <v>0</v>
      </c>
      <c r="AK33" s="42">
        <f ca="1">IF(OR($I$10="",$O33="",$P33="",$J$36&lt;&gt;"Yes"),0,IF($K$10=0,SUMIFS(INDIRECT(ADDRESS(12,3+18*0+(1),,,"J1 A - (North) Bishopthorpe Roa")&amp;":"&amp;ADDRESS(130,3+18*0+(1))),'J1 A - (North) Bishopthorpe Roa'!$A$12:$A$130,"&gt;="&amp;Diagram!$O33,'J1 A - (North) Bishopthorpe Roa'!$A$12:$A$130,"&lt;"&amp;Diagram!$P33),SUMIFS(INDIRECT(ADDRESS(12,3+18*0+(9),,,"J1 A - (North) Bishopthorpe Roa")&amp;":"&amp;ADDRESS(130,3+18*0+(9))),'J1 A - (North) Bishopthorpe Roa'!$A$12:$A$130,"&gt;="&amp;Diagram!$O33,'J1 A - (North) Bishopthorpe Roa'!$A$12:$A$130,"&lt;"&amp;Diagram!$P33)))</f>
        <v>0</v>
      </c>
      <c r="AL33" s="42">
        <f ca="1">IF(OR($I$10="",$O33="",$P33="",$J$36&lt;&gt;"Yes"),0,IF($K$10=0,SUMIFS(INDIRECT(ADDRESS(12,3+18*1+(1),,,"J1 A - (North) Bishopthorpe Roa")&amp;":"&amp;ADDRESS(130,3+18*1+(1))),'J1 A - (North) Bishopthorpe Roa'!$A$12:$A$130,"&gt;="&amp;Diagram!$O33,'J1 A - (North) Bishopthorpe Roa'!$A$12:$A$130,"&lt;"&amp;Diagram!$P33),SUMIFS(INDIRECT(ADDRESS(12,3+18*1+(9),,,"J1 A - (North) Bishopthorpe Roa")&amp;":"&amp;ADDRESS(130,3+18*1+(9))),'J1 A - (North) Bishopthorpe Roa'!$A$12:$A$130,"&gt;="&amp;Diagram!$O33,'J1 A - (North) Bishopthorpe Roa'!$A$12:$A$130,"&lt;"&amp;Diagram!$P33)))</f>
        <v>30</v>
      </c>
      <c r="AM33" s="42">
        <f ca="1">IF(OR($I$10="",$O33="",$P33="",$J$36&lt;&gt;"Yes"),0,IF($K$10=0,SUMIFS(INDIRECT(ADDRESS(12,3+18*2+(1),,,"J1 A - (North) Bishopthorpe Roa")&amp;":"&amp;ADDRESS(130,3+18*2+(1))),'J1 A - (North) Bishopthorpe Roa'!$A$12:$A$130,"&gt;="&amp;Diagram!$O33,'J1 A - (North) Bishopthorpe Roa'!$A$12:$A$130,"&lt;"&amp;Diagram!$P33),SUMIFS(INDIRECT(ADDRESS(12,3+18*2+(9),,,"J1 A - (North) Bishopthorpe Roa")&amp;":"&amp;ADDRESS(130,3+18*2+(9))),'J1 A - (North) Bishopthorpe Roa'!$A$12:$A$130,"&gt;="&amp;Diagram!$O33,'J1 A - (North) Bishopthorpe Roa'!$A$12:$A$130,"&lt;"&amp;Diagram!$P33)))</f>
        <v>2</v>
      </c>
      <c r="AN33" s="42">
        <f ca="1">IF(OR($I$10="",$O33="",$P33="",$J$36&lt;&gt;"Yes"),0,IF($K$10=0,SUMIFS(INDIRECT(ADDRESS(12,3+18*2+(1),,,"J1 B - Butcher Terrace")&amp;":"&amp;ADDRESS(130,3+18*2+(1))),'J1 B - Butcher Terrace'!$A$12:$A$130,"&gt;="&amp;Diagram!$O33,'J1 B - Butcher Terrace'!$A$12:$A$130,"&lt;"&amp;Diagram!$P33),SUMIFS(INDIRECT(ADDRESS(12,3+18*2+(9),,,"J1 B - Butcher Terrace")&amp;":"&amp;ADDRESS(130,3+18*2+(9))),'J1 B - Butcher Terrace'!$A$12:$A$130,"&gt;="&amp;Diagram!$O33,'J1 B - Butcher Terrace'!$A$12:$A$130,"&lt;"&amp;Diagram!$P33)))</f>
        <v>3</v>
      </c>
      <c r="AO33" s="42">
        <f ca="1">IF(OR($I$10="",$O33="",$P33="",$J$36&lt;&gt;"Yes"),0,IF($K$10=0,SUMIFS(INDIRECT(ADDRESS(12,3+18*3+(1),,,"J1 B - Butcher Terrace")&amp;":"&amp;ADDRESS(130,3+18*3+(1))),'J1 B - Butcher Terrace'!$A$12:$A$130,"&gt;="&amp;Diagram!$O33,'J1 B - Butcher Terrace'!$A$12:$A$130,"&lt;"&amp;Diagram!$P33),SUMIFS(INDIRECT(ADDRESS(12,3+18*3+(9),,,"J1 B - Butcher Terrace")&amp;":"&amp;ADDRESS(130,3+18*3+(9))),'J1 B - Butcher Terrace'!$A$12:$A$130,"&gt;="&amp;Diagram!$O33,'J1 B - Butcher Terrace'!$A$12:$A$130,"&lt;"&amp;Diagram!$P33)))</f>
        <v>0</v>
      </c>
      <c r="AP33" s="42">
        <f ca="1">IF(OR($I$10="",$O33="",$P33="",$J$36&lt;&gt;"Yes"),0,IF($K$10=0,SUMIFS(INDIRECT(ADDRESS(12,3+18*0+(1),,,"J1 B - Butcher Terrace")&amp;":"&amp;ADDRESS(130,3+18*0+(1))),'J1 B - Butcher Terrace'!$A$12:$A$130,"&gt;="&amp;Diagram!$O33,'J1 B - Butcher Terrace'!$A$12:$A$130,"&lt;"&amp;Diagram!$P33),SUMIFS(INDIRECT(ADDRESS(12,3+18*0+(9),,,"J1 B - Butcher Terrace")&amp;":"&amp;ADDRESS(130,3+18*0+(9))),'J1 B - Butcher Terrace'!$A$12:$A$130,"&gt;="&amp;Diagram!$O33,'J1 B - Butcher Terrace'!$A$12:$A$130,"&lt;"&amp;Diagram!$P33)))</f>
        <v>5</v>
      </c>
      <c r="AQ33" s="42">
        <f ca="1">IF(OR($I$10="",$O33="",$P33="",$J$36&lt;&gt;"Yes"),0,IF($K$10=0,SUMIFS(INDIRECT(ADDRESS(12,3+18*1+(1),,,"J1 B - Butcher Terrace")&amp;":"&amp;ADDRESS(130,3+18*1+(1))),'J1 B - Butcher Terrace'!$A$12:$A$130,"&gt;="&amp;Diagram!$O33,'J1 B - Butcher Terrace'!$A$12:$A$130,"&lt;"&amp;Diagram!$P33),SUMIFS(INDIRECT(ADDRESS(12,3+18*1+(9),,,"J1 B - Butcher Terrace")&amp;":"&amp;ADDRESS(130,3+18*1+(9))),'J1 B - Butcher Terrace'!$A$12:$A$130,"&gt;="&amp;Diagram!$O33,'J1 B - Butcher Terrace'!$A$12:$A$130,"&lt;"&amp;Diagram!$P33)))</f>
        <v>0</v>
      </c>
      <c r="AR33" s="42">
        <f ca="1">IF(OR($I$10="",$O33="",$P33="",$J$36&lt;&gt;"Yes"),0,IF($K$10=0,SUMIFS(INDIRECT(ADDRESS(12,3+18*1+(1),,,"J1 C - (South) Bishopthorpe Roa")&amp;":"&amp;ADDRESS(130,3+18*1+(1))),'J1 C - (South) Bishopthorpe Roa'!$A$12:$A$130,"&gt;="&amp;Diagram!$O33,'J1 C - (South) Bishopthorpe Roa'!$A$12:$A$130,"&lt;"&amp;Diagram!$P33),SUMIFS(INDIRECT(ADDRESS(12,3+18*1+(9),,,"J1 C - (South) Bishopthorpe Roa")&amp;":"&amp;ADDRESS(130,3+18*1+(9))),'J1 C - (South) Bishopthorpe Roa'!$A$12:$A$130,"&gt;="&amp;Diagram!$O33,'J1 C - (South) Bishopthorpe Roa'!$A$12:$A$130,"&lt;"&amp;Diagram!$P33)))</f>
        <v>38</v>
      </c>
      <c r="AS33" s="42">
        <f ca="1">IF(OR($I$10="",$O33="",$P33="",$J$36&lt;&gt;"Yes"),0,IF($K$10=0,SUMIFS(INDIRECT(ADDRESS(12,3+18*2+(1),,,"J1 C - (South) Bishopthorpe Roa")&amp;":"&amp;ADDRESS(130,3+18*2+(1))),'J1 C - (South) Bishopthorpe Roa'!$A$12:$A$130,"&gt;="&amp;Diagram!$O33,'J1 C - (South) Bishopthorpe Roa'!$A$12:$A$130,"&lt;"&amp;Diagram!$P33),SUMIFS(INDIRECT(ADDRESS(12,3+18*2+(9),,,"J1 C - (South) Bishopthorpe Roa")&amp;":"&amp;ADDRESS(130,3+18*2+(9))),'J1 C - (South) Bishopthorpe Roa'!$A$12:$A$130,"&gt;="&amp;Diagram!$O33,'J1 C - (South) Bishopthorpe Roa'!$A$12:$A$130,"&lt;"&amp;Diagram!$P33)))</f>
        <v>1</v>
      </c>
      <c r="AT33" s="42">
        <f ca="1">IF(OR($I$10="",$O33="",$P33="",$J$36&lt;&gt;"Yes"),0,IF($K$10=0,SUMIFS(INDIRECT(ADDRESS(12,3+18*3+(1),,,"J1 C - (South) Bishopthorpe Roa")&amp;":"&amp;ADDRESS(130,3+18*3+(1))),'J1 C - (South) Bishopthorpe Roa'!$A$12:$A$130,"&gt;="&amp;Diagram!$O33,'J1 C - (South) Bishopthorpe Roa'!$A$12:$A$130,"&lt;"&amp;Diagram!$P33),SUMIFS(INDIRECT(ADDRESS(12,3+18*3+(9),,,"J1 C - (South) Bishopthorpe Roa")&amp;":"&amp;ADDRESS(130,3+18*3+(9))),'J1 C - (South) Bishopthorpe Roa'!$A$12:$A$130,"&gt;="&amp;Diagram!$O33,'J1 C - (South) Bishopthorpe Roa'!$A$12:$A$130,"&lt;"&amp;Diagram!$P33)))</f>
        <v>0</v>
      </c>
      <c r="AU33" s="42">
        <f ca="1">IF(OR($I$10="",$O33="",$P33="",$J$36&lt;&gt;"Yes"),0,IF($K$10=0,SUMIFS(INDIRECT(ADDRESS(12,3+18*0+(1),,,"J1 C - (South) Bishopthorpe Roa")&amp;":"&amp;ADDRESS(130,3+18*0+(1))),'J1 C - (South) Bishopthorpe Roa'!$A$12:$A$130,"&gt;="&amp;Diagram!$O33,'J1 C - (South) Bishopthorpe Roa'!$A$12:$A$130,"&lt;"&amp;Diagram!$P33),SUMIFS(INDIRECT(ADDRESS(12,3+18*0+(9),,,"J1 C - (South) Bishopthorpe Roa")&amp;":"&amp;ADDRESS(130,3+18*0+(9))),'J1 C - (South) Bishopthorpe Roa'!$A$12:$A$130,"&gt;="&amp;Diagram!$O33,'J1 C - (South) Bishopthorpe Roa'!$A$12:$A$130,"&lt;"&amp;Diagram!$P33)))</f>
        <v>5</v>
      </c>
      <c r="AV33" s="42">
        <f ca="1">IF(OR($I$10="",$O33="",$P33="",$J$36&lt;&gt;"Yes"),0,IF($K$10=0,SUMIFS(INDIRECT(ADDRESS(12,3+18*0+(1),,,"J1 D - South Bank Avenue")&amp;":"&amp;ADDRESS(130,3+18*0+(1))),'J1 D - South Bank Avenue'!$A$12:$A$130,"&gt;="&amp;Diagram!$O33,'J1 D - South Bank Avenue'!$A$12:$A$130,"&lt;"&amp;Diagram!$P33),SUMIFS(INDIRECT(ADDRESS(12,3+18*0+(9),,,"J1 D - South Bank Avenue")&amp;":"&amp;ADDRESS(130,3+18*0+(9))),'J1 D - South Bank Avenue'!$A$12:$A$130,"&gt;="&amp;Diagram!$O33,'J1 D - South Bank Avenue'!$A$12:$A$130,"&lt;"&amp;Diagram!$P33)))</f>
        <v>5</v>
      </c>
      <c r="AW33" s="42">
        <f ca="1">IF(OR($I$10="",$O33="",$P33="",$J$36&lt;&gt;"Yes"),0,IF($K$10=0,SUMIFS(INDIRECT(ADDRESS(12,3+18*1+(1),,,"J1 D - South Bank Avenue")&amp;":"&amp;ADDRESS(130,3+18*1+(1))),'J1 D - South Bank Avenue'!$A$12:$A$130,"&gt;="&amp;Diagram!$O33,'J1 D - South Bank Avenue'!$A$12:$A$130,"&lt;"&amp;Diagram!$P33),SUMIFS(INDIRECT(ADDRESS(12,3+18*1+(9),,,"J1 D - South Bank Avenue")&amp;":"&amp;ADDRESS(130,3+18*1+(9))),'J1 D - South Bank Avenue'!$A$12:$A$130,"&gt;="&amp;Diagram!$O33,'J1 D - South Bank Avenue'!$A$12:$A$130,"&lt;"&amp;Diagram!$P33)))</f>
        <v>0</v>
      </c>
      <c r="AX33" s="42">
        <f ca="1">IF(OR($I$10="",$O33="",$P33="",$J$36&lt;&gt;"Yes"),0,IF($K$10=0,SUMIFS(INDIRECT(ADDRESS(12,3+18*2+(1),,,"J1 D - South Bank Avenue")&amp;":"&amp;ADDRESS(130,3+18*2+(1))),'J1 D - South Bank Avenue'!$A$12:$A$130,"&gt;="&amp;Diagram!$O33,'J1 D - South Bank Avenue'!$A$12:$A$130,"&lt;"&amp;Diagram!$P33),SUMIFS(INDIRECT(ADDRESS(12,3+18*2+(9),,,"J1 D - South Bank Avenue")&amp;":"&amp;ADDRESS(130,3+18*2+(9))),'J1 D - South Bank Avenue'!$A$12:$A$130,"&gt;="&amp;Diagram!$O33,'J1 D - South Bank Avenue'!$A$12:$A$130,"&lt;"&amp;Diagram!$P33)))</f>
        <v>1</v>
      </c>
      <c r="AY33" s="42">
        <f ca="1">IF(OR($I$10="",$O33="",$P33="",$J$36&lt;&gt;"Yes"),0,IF($K$10=0,SUMIFS(INDIRECT(ADDRESS(12,3+18*3+(1),,,"J1 D - South Bank Avenue")&amp;":"&amp;ADDRESS(130,3+18*3+(1))),'J1 D - South Bank Avenue'!$A$12:$A$130,"&gt;="&amp;Diagram!$O33,'J1 D - South Bank Avenue'!$A$12:$A$130,"&lt;"&amp;Diagram!$P33),SUMIFS(INDIRECT(ADDRESS(12,3+18*3+(9),,,"J1 D - South Bank Avenue")&amp;":"&amp;ADDRESS(130,3+18*3+(9))),'J1 D - South Bank Avenue'!$A$12:$A$130,"&gt;="&amp;Diagram!$O33,'J1 D - South Bank Avenue'!$A$12:$A$130,"&lt;"&amp;Diagram!$P33)))</f>
        <v>0</v>
      </c>
      <c r="AZ33" s="42">
        <f t="shared" ca="1" si="3"/>
        <v>10</v>
      </c>
      <c r="BA33" s="42">
        <f ca="1">IF(OR($I$10="",$O33="",$P33="",$J$37&lt;&gt;"Yes"),0,IF($K$10=0,SUMIFS(INDIRECT(ADDRESS(12,3+18*3+(2),,,"J1 A - (North) Bishopthorpe Roa")&amp;":"&amp;ADDRESS(130,3+18*3+(2))),'J1 A - (North) Bishopthorpe Roa'!$A$12:$A$130,"&gt;="&amp;Diagram!$O33,'J1 A - (North) Bishopthorpe Roa'!$A$12:$A$130,"&lt;"&amp;Diagram!$P33),SUMIFS(INDIRECT(ADDRESS(12,3+18*3+(10),,,"J1 A - (North) Bishopthorpe Roa")&amp;":"&amp;ADDRESS(130,3+18*3+(10))),'J1 A - (North) Bishopthorpe Roa'!$A$12:$A$130,"&gt;="&amp;Diagram!$O33,'J1 A - (North) Bishopthorpe Roa'!$A$12:$A$130,"&lt;"&amp;Diagram!$P33)))</f>
        <v>0</v>
      </c>
      <c r="BB33" s="42">
        <f ca="1">IF(OR($I$10="",$O33="",$P33="",$J$37&lt;&gt;"Yes"),0,IF($K$10=0,SUMIFS(INDIRECT(ADDRESS(12,3+18*0+(2),,,"J1 A - (North) Bishopthorpe Roa")&amp;":"&amp;ADDRESS(130,3+18*0+(2))),'J1 A - (North) Bishopthorpe Roa'!$A$12:$A$130,"&gt;="&amp;Diagram!$O33,'J1 A - (North) Bishopthorpe Roa'!$A$12:$A$130,"&lt;"&amp;Diagram!$P33),SUMIFS(INDIRECT(ADDRESS(12,3+18*0+(10),,,"J1 A - (North) Bishopthorpe Roa")&amp;":"&amp;ADDRESS(130,3+18*0+(10))),'J1 A - (North) Bishopthorpe Roa'!$A$12:$A$130,"&gt;="&amp;Diagram!$O33,'J1 A - (North) Bishopthorpe Roa'!$A$12:$A$130,"&lt;"&amp;Diagram!$P33)))</f>
        <v>1</v>
      </c>
      <c r="BC33" s="42">
        <f ca="1">IF(OR($I$10="",$O33="",$P33="",$J$37&lt;&gt;"Yes"),0,IF($K$10=0,SUMIFS(INDIRECT(ADDRESS(12,3+18*1+(2),,,"J1 A - (North) Bishopthorpe Roa")&amp;":"&amp;ADDRESS(130,3+18*1+(2))),'J1 A - (North) Bishopthorpe Roa'!$A$12:$A$130,"&gt;="&amp;Diagram!$O33,'J1 A - (North) Bishopthorpe Roa'!$A$12:$A$130,"&lt;"&amp;Diagram!$P33),SUMIFS(INDIRECT(ADDRESS(12,3+18*1+(10),,,"J1 A - (North) Bishopthorpe Roa")&amp;":"&amp;ADDRESS(130,3+18*1+(10))),'J1 A - (North) Bishopthorpe Roa'!$A$12:$A$130,"&gt;="&amp;Diagram!$O33,'J1 A - (North) Bishopthorpe Roa'!$A$12:$A$130,"&lt;"&amp;Diagram!$P33)))</f>
        <v>5</v>
      </c>
      <c r="BD33" s="42">
        <f ca="1">IF(OR($I$10="",$O33="",$P33="",$J$37&lt;&gt;"Yes"),0,IF($K$10=0,SUMIFS(INDIRECT(ADDRESS(12,3+18*2+(2),,,"J1 A - (North) Bishopthorpe Roa")&amp;":"&amp;ADDRESS(130,3+18*2+(2))),'J1 A - (North) Bishopthorpe Roa'!$A$12:$A$130,"&gt;="&amp;Diagram!$O33,'J1 A - (North) Bishopthorpe Roa'!$A$12:$A$130,"&lt;"&amp;Diagram!$P33),SUMIFS(INDIRECT(ADDRESS(12,3+18*2+(10),,,"J1 A - (North) Bishopthorpe Roa")&amp;":"&amp;ADDRESS(130,3+18*2+(10))),'J1 A - (North) Bishopthorpe Roa'!$A$12:$A$130,"&gt;="&amp;Diagram!$O33,'J1 A - (North) Bishopthorpe Roa'!$A$12:$A$130,"&lt;"&amp;Diagram!$P33)))</f>
        <v>0</v>
      </c>
      <c r="BE33" s="42">
        <f ca="1">IF(OR($I$10="",$O33="",$P33="",$J$37&lt;&gt;"Yes"),0,IF($K$10=0,SUMIFS(INDIRECT(ADDRESS(12,3+18*2+(2),,,"J1 B - Butcher Terrace")&amp;":"&amp;ADDRESS(130,3+18*2+(2))),'J1 B - Butcher Terrace'!$A$12:$A$130,"&gt;="&amp;Diagram!$O33,'J1 B - Butcher Terrace'!$A$12:$A$130,"&lt;"&amp;Diagram!$P33),SUMIFS(INDIRECT(ADDRESS(12,3+18*2+(10),,,"J1 B - Butcher Terrace")&amp;":"&amp;ADDRESS(130,3+18*2+(10))),'J1 B - Butcher Terrace'!$A$12:$A$130,"&gt;="&amp;Diagram!$O33,'J1 B - Butcher Terrace'!$A$12:$A$130,"&lt;"&amp;Diagram!$P33)))</f>
        <v>0</v>
      </c>
      <c r="BF33" s="42">
        <f ca="1">IF(OR($I$10="",$O33="",$P33="",$J$37&lt;&gt;"Yes"),0,IF($K$10=0,SUMIFS(INDIRECT(ADDRESS(12,3+18*3+(2),,,"J1 B - Butcher Terrace")&amp;":"&amp;ADDRESS(130,3+18*3+(2))),'J1 B - Butcher Terrace'!$A$12:$A$130,"&gt;="&amp;Diagram!$O33,'J1 B - Butcher Terrace'!$A$12:$A$130,"&lt;"&amp;Diagram!$P33),SUMIFS(INDIRECT(ADDRESS(12,3+18*3+(10),,,"J1 B - Butcher Terrace")&amp;":"&amp;ADDRESS(130,3+18*3+(10))),'J1 B - Butcher Terrace'!$A$12:$A$130,"&gt;="&amp;Diagram!$O33,'J1 B - Butcher Terrace'!$A$12:$A$130,"&lt;"&amp;Diagram!$P33)))</f>
        <v>0</v>
      </c>
      <c r="BG33" s="42">
        <f ca="1">IF(OR($I$10="",$O33="",$P33="",$J$37&lt;&gt;"Yes"),0,IF($K$10=0,SUMIFS(INDIRECT(ADDRESS(12,3+18*0+(2),,,"J1 B - Butcher Terrace")&amp;":"&amp;ADDRESS(130,3+18*0+(2))),'J1 B - Butcher Terrace'!$A$12:$A$130,"&gt;="&amp;Diagram!$O33,'J1 B - Butcher Terrace'!$A$12:$A$130,"&lt;"&amp;Diagram!$P33),SUMIFS(INDIRECT(ADDRESS(12,3+18*0+(10),,,"J1 B - Butcher Terrace")&amp;":"&amp;ADDRESS(130,3+18*0+(10))),'J1 B - Butcher Terrace'!$A$12:$A$130,"&gt;="&amp;Diagram!$O33,'J1 B - Butcher Terrace'!$A$12:$A$130,"&lt;"&amp;Diagram!$P33)))</f>
        <v>0</v>
      </c>
      <c r="BH33" s="42">
        <f ca="1">IF(OR($I$10="",$O33="",$P33="",$J$37&lt;&gt;"Yes"),0,IF($K$10=0,SUMIFS(INDIRECT(ADDRESS(12,3+18*1+(2),,,"J1 B - Butcher Terrace")&amp;":"&amp;ADDRESS(130,3+18*1+(2))),'J1 B - Butcher Terrace'!$A$12:$A$130,"&gt;="&amp;Diagram!$O33,'J1 B - Butcher Terrace'!$A$12:$A$130,"&lt;"&amp;Diagram!$P33),SUMIFS(INDIRECT(ADDRESS(12,3+18*1+(10),,,"J1 B - Butcher Terrace")&amp;":"&amp;ADDRESS(130,3+18*1+(10))),'J1 B - Butcher Terrace'!$A$12:$A$130,"&gt;="&amp;Diagram!$O33,'J1 B - Butcher Terrace'!$A$12:$A$130,"&lt;"&amp;Diagram!$P33)))</f>
        <v>0</v>
      </c>
      <c r="BI33" s="42">
        <f ca="1">IF(OR($I$10="",$O33="",$P33="",$J$37&lt;&gt;"Yes"),0,IF($K$10=0,SUMIFS(INDIRECT(ADDRESS(12,3+18*1+(2),,,"J1 C - (South) Bishopthorpe Roa")&amp;":"&amp;ADDRESS(130,3+18*1+(2))),'J1 C - (South) Bishopthorpe Roa'!$A$12:$A$130,"&gt;="&amp;Diagram!$O33,'J1 C - (South) Bishopthorpe Roa'!$A$12:$A$130,"&lt;"&amp;Diagram!$P33),SUMIFS(INDIRECT(ADDRESS(12,3+18*1+(10),,,"J1 C - (South) Bishopthorpe Roa")&amp;":"&amp;ADDRESS(130,3+18*1+(10))),'J1 C - (South) Bishopthorpe Roa'!$A$12:$A$130,"&gt;="&amp;Diagram!$O33,'J1 C - (South) Bishopthorpe Roa'!$A$12:$A$130,"&lt;"&amp;Diagram!$P33)))</f>
        <v>4</v>
      </c>
      <c r="BJ33" s="42">
        <f ca="1">IF(OR($I$10="",$O33="",$P33="",$J$37&lt;&gt;"Yes"),0,IF($K$10=0,SUMIFS(INDIRECT(ADDRESS(12,3+18*2+(2),,,"J1 C - (South) Bishopthorpe Roa")&amp;":"&amp;ADDRESS(130,3+18*2+(2))),'J1 C - (South) Bishopthorpe Roa'!$A$12:$A$130,"&gt;="&amp;Diagram!$O33,'J1 C - (South) Bishopthorpe Roa'!$A$12:$A$130,"&lt;"&amp;Diagram!$P33),SUMIFS(INDIRECT(ADDRESS(12,3+18*2+(10),,,"J1 C - (South) Bishopthorpe Roa")&amp;":"&amp;ADDRESS(130,3+18*2+(10))),'J1 C - (South) Bishopthorpe Roa'!$A$12:$A$130,"&gt;="&amp;Diagram!$O33,'J1 C - (South) Bishopthorpe Roa'!$A$12:$A$130,"&lt;"&amp;Diagram!$P33)))</f>
        <v>0</v>
      </c>
      <c r="BK33" s="42">
        <f ca="1">IF(OR($I$10="",$O33="",$P33="",$J$37&lt;&gt;"Yes"),0,IF($K$10=0,SUMIFS(INDIRECT(ADDRESS(12,3+18*3+(2),,,"J1 C - (South) Bishopthorpe Roa")&amp;":"&amp;ADDRESS(130,3+18*3+(2))),'J1 C - (South) Bishopthorpe Roa'!$A$12:$A$130,"&gt;="&amp;Diagram!$O33,'J1 C - (South) Bishopthorpe Roa'!$A$12:$A$130,"&lt;"&amp;Diagram!$P33),SUMIFS(INDIRECT(ADDRESS(12,3+18*3+(10),,,"J1 C - (South) Bishopthorpe Roa")&amp;":"&amp;ADDRESS(130,3+18*3+(10))),'J1 C - (South) Bishopthorpe Roa'!$A$12:$A$130,"&gt;="&amp;Diagram!$O33,'J1 C - (South) Bishopthorpe Roa'!$A$12:$A$130,"&lt;"&amp;Diagram!$P33)))</f>
        <v>0</v>
      </c>
      <c r="BL33" s="42">
        <f ca="1">IF(OR($I$10="",$O33="",$P33="",$J$37&lt;&gt;"Yes"),0,IF($K$10=0,SUMIFS(INDIRECT(ADDRESS(12,3+18*0+(2),,,"J1 C - (South) Bishopthorpe Roa")&amp;":"&amp;ADDRESS(130,3+18*0+(2))),'J1 C - (South) Bishopthorpe Roa'!$A$12:$A$130,"&gt;="&amp;Diagram!$O33,'J1 C - (South) Bishopthorpe Roa'!$A$12:$A$130,"&lt;"&amp;Diagram!$P33),SUMIFS(INDIRECT(ADDRESS(12,3+18*0+(10),,,"J1 C - (South) Bishopthorpe Roa")&amp;":"&amp;ADDRESS(130,3+18*0+(10))),'J1 C - (South) Bishopthorpe Roa'!$A$12:$A$130,"&gt;="&amp;Diagram!$O33,'J1 C - (South) Bishopthorpe Roa'!$A$12:$A$130,"&lt;"&amp;Diagram!$P33)))</f>
        <v>0</v>
      </c>
      <c r="BM33" s="42">
        <f ca="1">IF(OR($I$10="",$O33="",$P33="",$J$37&lt;&gt;"Yes"),0,IF($K$10=0,SUMIFS(INDIRECT(ADDRESS(12,3+18*0+(2),,,"J1 D - South Bank Avenue")&amp;":"&amp;ADDRESS(130,3+18*0+(2))),'J1 D - South Bank Avenue'!$A$12:$A$130,"&gt;="&amp;Diagram!$O33,'J1 D - South Bank Avenue'!$A$12:$A$130,"&lt;"&amp;Diagram!$P33),SUMIFS(INDIRECT(ADDRESS(12,3+18*0+(10),,,"J1 D - South Bank Avenue")&amp;":"&amp;ADDRESS(130,3+18*0+(10))),'J1 D - South Bank Avenue'!$A$12:$A$130,"&gt;="&amp;Diagram!$O33,'J1 D - South Bank Avenue'!$A$12:$A$130,"&lt;"&amp;Diagram!$P33)))</f>
        <v>0</v>
      </c>
      <c r="BN33" s="42">
        <f ca="1">IF(OR($I$10="",$O33="",$P33="",$J$37&lt;&gt;"Yes"),0,IF($K$10=0,SUMIFS(INDIRECT(ADDRESS(12,3+18*1+(2),,,"J1 D - South Bank Avenue")&amp;":"&amp;ADDRESS(130,3+18*1+(2))),'J1 D - South Bank Avenue'!$A$12:$A$130,"&gt;="&amp;Diagram!$O33,'J1 D - South Bank Avenue'!$A$12:$A$130,"&lt;"&amp;Diagram!$P33),SUMIFS(INDIRECT(ADDRESS(12,3+18*1+(10),,,"J1 D - South Bank Avenue")&amp;":"&amp;ADDRESS(130,3+18*1+(10))),'J1 D - South Bank Avenue'!$A$12:$A$130,"&gt;="&amp;Diagram!$O33,'J1 D - South Bank Avenue'!$A$12:$A$130,"&lt;"&amp;Diagram!$P33)))</f>
        <v>0</v>
      </c>
      <c r="BO33" s="42">
        <f ca="1">IF(OR($I$10="",$O33="",$P33="",$J$37&lt;&gt;"Yes"),0,IF($K$10=0,SUMIFS(INDIRECT(ADDRESS(12,3+18*2+(2),,,"J1 D - South Bank Avenue")&amp;":"&amp;ADDRESS(130,3+18*2+(2))),'J1 D - South Bank Avenue'!$A$12:$A$130,"&gt;="&amp;Diagram!$O33,'J1 D - South Bank Avenue'!$A$12:$A$130,"&lt;"&amp;Diagram!$P33),SUMIFS(INDIRECT(ADDRESS(12,3+18*2+(10),,,"J1 D - South Bank Avenue")&amp;":"&amp;ADDRESS(130,3+18*2+(10))),'J1 D - South Bank Avenue'!$A$12:$A$130,"&gt;="&amp;Diagram!$O33,'J1 D - South Bank Avenue'!$A$12:$A$130,"&lt;"&amp;Diagram!$P33)))</f>
        <v>0</v>
      </c>
      <c r="BP33" s="42">
        <f ca="1">IF(OR($I$10="",$O33="",$P33="",$J$37&lt;&gt;"Yes"),0,IF($K$10=0,SUMIFS(INDIRECT(ADDRESS(12,3+18*3+(2),,,"J1 D - South Bank Avenue")&amp;":"&amp;ADDRESS(130,3+18*3+(2))),'J1 D - South Bank Avenue'!$A$12:$A$130,"&gt;="&amp;Diagram!$O33,'J1 D - South Bank Avenue'!$A$12:$A$130,"&lt;"&amp;Diagram!$P33),SUMIFS(INDIRECT(ADDRESS(12,3+18*3+(10),,,"J1 D - South Bank Avenue")&amp;":"&amp;ADDRESS(130,3+18*3+(10))),'J1 D - South Bank Avenue'!$A$12:$A$130,"&gt;="&amp;Diagram!$O33,'J1 D - South Bank Avenue'!$A$12:$A$130,"&lt;"&amp;Diagram!$P33)))</f>
        <v>0</v>
      </c>
      <c r="BQ33" s="42">
        <f t="shared" ca="1" si="4"/>
        <v>0</v>
      </c>
      <c r="BR33" s="42">
        <f ca="1">IF(OR($I$10="",$O33="",$P33="",$J$38&lt;&gt;"Yes"),0,IF($K$10=0,SUMIFS(INDIRECT(ADDRESS(12,3+18*3+(3),,,"J1 A - (North) Bishopthorpe Roa")&amp;":"&amp;ADDRESS(130,3+18*3+(3))),'J1 A - (North) Bishopthorpe Roa'!$A$12:$A$130,"&gt;="&amp;Diagram!$O33,'J1 A - (North) Bishopthorpe Roa'!$A$12:$A$130,"&lt;"&amp;Diagram!$P33),SUMIFS(INDIRECT(ADDRESS(12,3+18*3+(11),,,"J1 A - (North) Bishopthorpe Roa")&amp;":"&amp;ADDRESS(130,3+18*3+(11))),'J1 A - (North) Bishopthorpe Roa'!$A$12:$A$130,"&gt;="&amp;Diagram!$O33,'J1 A - (North) Bishopthorpe Roa'!$A$12:$A$130,"&lt;"&amp;Diagram!$P33)))</f>
        <v>0</v>
      </c>
      <c r="BS33" s="42">
        <f ca="1">IF(OR($I$10="",$O33="",$P33="",$J$38&lt;&gt;"Yes"),0,IF($K$10=0,SUMIFS(INDIRECT(ADDRESS(12,3+18*0+(3),,,"J1 A - (North) Bishopthorpe Roa")&amp;":"&amp;ADDRESS(130,3+18*0+(3))),'J1 A - (North) Bishopthorpe Roa'!$A$12:$A$130,"&gt;="&amp;Diagram!$O33,'J1 A - (North) Bishopthorpe Roa'!$A$12:$A$130,"&lt;"&amp;Diagram!$P33),SUMIFS(INDIRECT(ADDRESS(12,3+18*0+(11),,,"J1 A - (North) Bishopthorpe Roa")&amp;":"&amp;ADDRESS(130,3+18*0+(11))),'J1 A - (North) Bishopthorpe Roa'!$A$12:$A$130,"&gt;="&amp;Diagram!$O33,'J1 A - (North) Bishopthorpe Roa'!$A$12:$A$130,"&lt;"&amp;Diagram!$P33)))</f>
        <v>0</v>
      </c>
      <c r="BT33" s="42">
        <f ca="1">IF(OR($I$10="",$O33="",$P33="",$J$38&lt;&gt;"Yes"),0,IF($K$10=0,SUMIFS(INDIRECT(ADDRESS(12,3+18*1+(3),,,"J1 A - (North) Bishopthorpe Roa")&amp;":"&amp;ADDRESS(130,3+18*1+(3))),'J1 A - (North) Bishopthorpe Roa'!$A$12:$A$130,"&gt;="&amp;Diagram!$O33,'J1 A - (North) Bishopthorpe Roa'!$A$12:$A$130,"&lt;"&amp;Diagram!$P33),SUMIFS(INDIRECT(ADDRESS(12,3+18*1+(11),,,"J1 A - (North) Bishopthorpe Roa")&amp;":"&amp;ADDRESS(130,3+18*1+(11))),'J1 A - (North) Bishopthorpe Roa'!$A$12:$A$130,"&gt;="&amp;Diagram!$O33,'J1 A - (North) Bishopthorpe Roa'!$A$12:$A$130,"&lt;"&amp;Diagram!$P33)))</f>
        <v>0</v>
      </c>
      <c r="BU33" s="42">
        <f ca="1">IF(OR($I$10="",$O33="",$P33="",$J$38&lt;&gt;"Yes"),0,IF($K$10=0,SUMIFS(INDIRECT(ADDRESS(12,3+18*2+(3),,,"J1 A - (North) Bishopthorpe Roa")&amp;":"&amp;ADDRESS(130,3+18*2+(3))),'J1 A - (North) Bishopthorpe Roa'!$A$12:$A$130,"&gt;="&amp;Diagram!$O33,'J1 A - (North) Bishopthorpe Roa'!$A$12:$A$130,"&lt;"&amp;Diagram!$P33),SUMIFS(INDIRECT(ADDRESS(12,3+18*2+(11),,,"J1 A - (North) Bishopthorpe Roa")&amp;":"&amp;ADDRESS(130,3+18*2+(11))),'J1 A - (North) Bishopthorpe Roa'!$A$12:$A$130,"&gt;="&amp;Diagram!$O33,'J1 A - (North) Bishopthorpe Roa'!$A$12:$A$130,"&lt;"&amp;Diagram!$P33)))</f>
        <v>0</v>
      </c>
      <c r="BV33" s="42">
        <f ca="1">IF(OR($I$10="",$O33="",$P33="",$J$38&lt;&gt;"Yes"),0,IF($K$10=0,SUMIFS(INDIRECT(ADDRESS(12,3+18*2+(3),,,"J1 B - Butcher Terrace")&amp;":"&amp;ADDRESS(130,3+18*2+(3))),'J1 B - Butcher Terrace'!$A$12:$A$130,"&gt;="&amp;Diagram!$O33,'J1 B - Butcher Terrace'!$A$12:$A$130,"&lt;"&amp;Diagram!$P33),SUMIFS(INDIRECT(ADDRESS(12,3+18*2+(11),,,"J1 B - Butcher Terrace")&amp;":"&amp;ADDRESS(130,3+18*2+(11))),'J1 B - Butcher Terrace'!$A$12:$A$130,"&gt;="&amp;Diagram!$O33,'J1 B - Butcher Terrace'!$A$12:$A$130,"&lt;"&amp;Diagram!$P33)))</f>
        <v>0</v>
      </c>
      <c r="BW33" s="42">
        <f ca="1">IF(OR($I$10="",$O33="",$P33="",$J$38&lt;&gt;"Yes"),0,IF($K$10=0,SUMIFS(INDIRECT(ADDRESS(12,3+18*3+(3),,,"J1 B - Butcher Terrace")&amp;":"&amp;ADDRESS(130,3+18*3+(3))),'J1 B - Butcher Terrace'!$A$12:$A$130,"&gt;="&amp;Diagram!$O33,'J1 B - Butcher Terrace'!$A$12:$A$130,"&lt;"&amp;Diagram!$P33),SUMIFS(INDIRECT(ADDRESS(12,3+18*3+(11),,,"J1 B - Butcher Terrace")&amp;":"&amp;ADDRESS(130,3+18*3+(11))),'J1 B - Butcher Terrace'!$A$12:$A$130,"&gt;="&amp;Diagram!$O33,'J1 B - Butcher Terrace'!$A$12:$A$130,"&lt;"&amp;Diagram!$P33)))</f>
        <v>0</v>
      </c>
      <c r="BX33" s="42">
        <f ca="1">IF(OR($I$10="",$O33="",$P33="",$J$38&lt;&gt;"Yes"),0,IF($K$10=0,SUMIFS(INDIRECT(ADDRESS(12,3+18*0+(3),,,"J1 B - Butcher Terrace")&amp;":"&amp;ADDRESS(130,3+18*0+(3))),'J1 B - Butcher Terrace'!$A$12:$A$130,"&gt;="&amp;Diagram!$O33,'J1 B - Butcher Terrace'!$A$12:$A$130,"&lt;"&amp;Diagram!$P33),SUMIFS(INDIRECT(ADDRESS(12,3+18*0+(11),,,"J1 B - Butcher Terrace")&amp;":"&amp;ADDRESS(130,3+18*0+(11))),'J1 B - Butcher Terrace'!$A$12:$A$130,"&gt;="&amp;Diagram!$O33,'J1 B - Butcher Terrace'!$A$12:$A$130,"&lt;"&amp;Diagram!$P33)))</f>
        <v>0</v>
      </c>
      <c r="BY33" s="42">
        <f ca="1">IF(OR($I$10="",$O33="",$P33="",$J$38&lt;&gt;"Yes"),0,IF($K$10=0,SUMIFS(INDIRECT(ADDRESS(12,3+18*1+(3),,,"J1 B - Butcher Terrace")&amp;":"&amp;ADDRESS(130,3+18*1+(3))),'J1 B - Butcher Terrace'!$A$12:$A$130,"&gt;="&amp;Diagram!$O33,'J1 B - Butcher Terrace'!$A$12:$A$130,"&lt;"&amp;Diagram!$P33),SUMIFS(INDIRECT(ADDRESS(12,3+18*1+(11),,,"J1 B - Butcher Terrace")&amp;":"&amp;ADDRESS(130,3+18*1+(11))),'J1 B - Butcher Terrace'!$A$12:$A$130,"&gt;="&amp;Diagram!$O33,'J1 B - Butcher Terrace'!$A$12:$A$130,"&lt;"&amp;Diagram!$P33)))</f>
        <v>0</v>
      </c>
      <c r="BZ33" s="42">
        <f ca="1">IF(OR($I$10="",$O33="",$P33="",$J$38&lt;&gt;"Yes"),0,IF($K$10=0,SUMIFS(INDIRECT(ADDRESS(12,3+18*1+(3),,,"J1 C - (South) Bishopthorpe Roa")&amp;":"&amp;ADDRESS(130,3+18*1+(3))),'J1 C - (South) Bishopthorpe Roa'!$A$12:$A$130,"&gt;="&amp;Diagram!$O33,'J1 C - (South) Bishopthorpe Roa'!$A$12:$A$130,"&lt;"&amp;Diagram!$P33),SUMIFS(INDIRECT(ADDRESS(12,3+18*1+(11),,,"J1 C - (South) Bishopthorpe Roa")&amp;":"&amp;ADDRESS(130,3+18*1+(11))),'J1 C - (South) Bishopthorpe Roa'!$A$12:$A$130,"&gt;="&amp;Diagram!$O33,'J1 C - (South) Bishopthorpe Roa'!$A$12:$A$130,"&lt;"&amp;Diagram!$P33)))</f>
        <v>0</v>
      </c>
      <c r="CA33" s="42">
        <f ca="1">IF(OR($I$10="",$O33="",$P33="",$J$38&lt;&gt;"Yes"),0,IF($K$10=0,SUMIFS(INDIRECT(ADDRESS(12,3+18*2+(3),,,"J1 C - (South) Bishopthorpe Roa")&amp;":"&amp;ADDRESS(130,3+18*2+(3))),'J1 C - (South) Bishopthorpe Roa'!$A$12:$A$130,"&gt;="&amp;Diagram!$O33,'J1 C - (South) Bishopthorpe Roa'!$A$12:$A$130,"&lt;"&amp;Diagram!$P33),SUMIFS(INDIRECT(ADDRESS(12,3+18*2+(11),,,"J1 C - (South) Bishopthorpe Roa")&amp;":"&amp;ADDRESS(130,3+18*2+(11))),'J1 C - (South) Bishopthorpe Roa'!$A$12:$A$130,"&gt;="&amp;Diagram!$O33,'J1 C - (South) Bishopthorpe Roa'!$A$12:$A$130,"&lt;"&amp;Diagram!$P33)))</f>
        <v>0</v>
      </c>
      <c r="CB33" s="42">
        <f ca="1">IF(OR($I$10="",$O33="",$P33="",$J$38&lt;&gt;"Yes"),0,IF($K$10=0,SUMIFS(INDIRECT(ADDRESS(12,3+18*3+(3),,,"J1 C - (South) Bishopthorpe Roa")&amp;":"&amp;ADDRESS(130,3+18*3+(3))),'J1 C - (South) Bishopthorpe Roa'!$A$12:$A$130,"&gt;="&amp;Diagram!$O33,'J1 C - (South) Bishopthorpe Roa'!$A$12:$A$130,"&lt;"&amp;Diagram!$P33),SUMIFS(INDIRECT(ADDRESS(12,3+18*3+(11),,,"J1 C - (South) Bishopthorpe Roa")&amp;":"&amp;ADDRESS(130,3+18*3+(11))),'J1 C - (South) Bishopthorpe Roa'!$A$12:$A$130,"&gt;="&amp;Diagram!$O33,'J1 C - (South) Bishopthorpe Roa'!$A$12:$A$130,"&lt;"&amp;Diagram!$P33)))</f>
        <v>0</v>
      </c>
      <c r="CC33" s="42">
        <f ca="1">IF(OR($I$10="",$O33="",$P33="",$J$38&lt;&gt;"Yes"),0,IF($K$10=0,SUMIFS(INDIRECT(ADDRESS(12,3+18*0+(3),,,"J1 C - (South) Bishopthorpe Roa")&amp;":"&amp;ADDRESS(130,3+18*0+(3))),'J1 C - (South) Bishopthorpe Roa'!$A$12:$A$130,"&gt;="&amp;Diagram!$O33,'J1 C - (South) Bishopthorpe Roa'!$A$12:$A$130,"&lt;"&amp;Diagram!$P33),SUMIFS(INDIRECT(ADDRESS(12,3+18*0+(11),,,"J1 C - (South) Bishopthorpe Roa")&amp;":"&amp;ADDRESS(130,3+18*0+(11))),'J1 C - (South) Bishopthorpe Roa'!$A$12:$A$130,"&gt;="&amp;Diagram!$O33,'J1 C - (South) Bishopthorpe Roa'!$A$12:$A$130,"&lt;"&amp;Diagram!$P33)))</f>
        <v>0</v>
      </c>
      <c r="CD33" s="42">
        <f ca="1">IF(OR($I$10="",$O33="",$P33="",$J$38&lt;&gt;"Yes"),0,IF($K$10=0,SUMIFS(INDIRECT(ADDRESS(12,3+18*0+(3),,,"J1 D - South Bank Avenue")&amp;":"&amp;ADDRESS(130,3+18*0+(3))),'J1 D - South Bank Avenue'!$A$12:$A$130,"&gt;="&amp;Diagram!$O33,'J1 D - South Bank Avenue'!$A$12:$A$130,"&lt;"&amp;Diagram!$P33),SUMIFS(INDIRECT(ADDRESS(12,3+18*0+(11),,,"J1 D - South Bank Avenue")&amp;":"&amp;ADDRESS(130,3+18*0+(11))),'J1 D - South Bank Avenue'!$A$12:$A$130,"&gt;="&amp;Diagram!$O33,'J1 D - South Bank Avenue'!$A$12:$A$130,"&lt;"&amp;Diagram!$P33)))</f>
        <v>0</v>
      </c>
      <c r="CE33" s="42">
        <f ca="1">IF(OR($I$10="",$O33="",$P33="",$J$38&lt;&gt;"Yes"),0,IF($K$10=0,SUMIFS(INDIRECT(ADDRESS(12,3+18*1+(3),,,"J1 D - South Bank Avenue")&amp;":"&amp;ADDRESS(130,3+18*1+(3))),'J1 D - South Bank Avenue'!$A$12:$A$130,"&gt;="&amp;Diagram!$O33,'J1 D - South Bank Avenue'!$A$12:$A$130,"&lt;"&amp;Diagram!$P33),SUMIFS(INDIRECT(ADDRESS(12,3+18*1+(11),,,"J1 D - South Bank Avenue")&amp;":"&amp;ADDRESS(130,3+18*1+(11))),'J1 D - South Bank Avenue'!$A$12:$A$130,"&gt;="&amp;Diagram!$O33,'J1 D - South Bank Avenue'!$A$12:$A$130,"&lt;"&amp;Diagram!$P33)))</f>
        <v>0</v>
      </c>
      <c r="CF33" s="42">
        <f ca="1">IF(OR($I$10="",$O33="",$P33="",$J$38&lt;&gt;"Yes"),0,IF($K$10=0,SUMIFS(INDIRECT(ADDRESS(12,3+18*2+(3),,,"J1 D - South Bank Avenue")&amp;":"&amp;ADDRESS(130,3+18*2+(3))),'J1 D - South Bank Avenue'!$A$12:$A$130,"&gt;="&amp;Diagram!$O33,'J1 D - South Bank Avenue'!$A$12:$A$130,"&lt;"&amp;Diagram!$P33),SUMIFS(INDIRECT(ADDRESS(12,3+18*2+(11),,,"J1 D - South Bank Avenue")&amp;":"&amp;ADDRESS(130,3+18*2+(11))),'J1 D - South Bank Avenue'!$A$12:$A$130,"&gt;="&amp;Diagram!$O33,'J1 D - South Bank Avenue'!$A$12:$A$130,"&lt;"&amp;Diagram!$P33)))</f>
        <v>0</v>
      </c>
      <c r="CG33" s="42">
        <f ca="1">IF(OR($I$10="",$O33="",$P33="",$J$38&lt;&gt;"Yes"),0,IF($K$10=0,SUMIFS(INDIRECT(ADDRESS(12,3+18*3+(3),,,"J1 D - South Bank Avenue")&amp;":"&amp;ADDRESS(130,3+18*3+(3))),'J1 D - South Bank Avenue'!$A$12:$A$130,"&gt;="&amp;Diagram!$O33,'J1 D - South Bank Avenue'!$A$12:$A$130,"&lt;"&amp;Diagram!$P33),SUMIFS(INDIRECT(ADDRESS(12,3+18*3+(11),,,"J1 D - South Bank Avenue")&amp;":"&amp;ADDRESS(130,3+18*3+(11))),'J1 D - South Bank Avenue'!$A$12:$A$130,"&gt;="&amp;Diagram!$O33,'J1 D - South Bank Avenue'!$A$12:$A$130,"&lt;"&amp;Diagram!$P33)))</f>
        <v>0</v>
      </c>
      <c r="CH33" s="42">
        <f t="shared" ca="1" si="5"/>
        <v>8</v>
      </c>
      <c r="CI33" s="42">
        <f ca="1">IF(OR($I$10="",$O33="",$P33="",$J$39&lt;&gt;"Yes"),0,IF($K$10=0,SUMIFS(INDIRECT(ADDRESS(12,3+18*3+(4),,,"J1 A - (North) Bishopthorpe Roa")&amp;":"&amp;ADDRESS(130,3+18*3+(4))),'J1 A - (North) Bishopthorpe Roa'!$A$12:$A$130,"&gt;="&amp;Diagram!$O33,'J1 A - (North) Bishopthorpe Roa'!$A$12:$A$130,"&lt;"&amp;Diagram!$P33),SUMIFS(INDIRECT(ADDRESS(12,3+18*3+(12),,,"J1 A - (North) Bishopthorpe Roa")&amp;":"&amp;ADDRESS(130,3+18*3+(12))),'J1 A - (North) Bishopthorpe Roa'!$A$12:$A$130,"&gt;="&amp;Diagram!$O33,'J1 A - (North) Bishopthorpe Roa'!$A$12:$A$130,"&lt;"&amp;Diagram!$P33)))</f>
        <v>0</v>
      </c>
      <c r="CJ33" s="42">
        <f ca="1">IF(OR($I$10="",$O33="",$P33="",$J$39&lt;&gt;"Yes"),0,IF($K$10=0,SUMIFS(INDIRECT(ADDRESS(12,3+18*0+(4),,,"J1 A - (North) Bishopthorpe Roa")&amp;":"&amp;ADDRESS(130,3+18*0+(4))),'J1 A - (North) Bishopthorpe Roa'!$A$12:$A$130,"&gt;="&amp;Diagram!$O33,'J1 A - (North) Bishopthorpe Roa'!$A$12:$A$130,"&lt;"&amp;Diagram!$P33),SUMIFS(INDIRECT(ADDRESS(12,3+18*0+(12),,,"J1 A - (North) Bishopthorpe Roa")&amp;":"&amp;ADDRESS(130,3+18*0+(12))),'J1 A - (North) Bishopthorpe Roa'!$A$12:$A$130,"&gt;="&amp;Diagram!$O33,'J1 A - (North) Bishopthorpe Roa'!$A$12:$A$130,"&lt;"&amp;Diagram!$P33)))</f>
        <v>0</v>
      </c>
      <c r="CK33" s="42">
        <f ca="1">IF(OR($I$10="",$O33="",$P33="",$J$39&lt;&gt;"Yes"),0,IF($K$10=0,SUMIFS(INDIRECT(ADDRESS(12,3+18*1+(4),,,"J1 A - (North) Bishopthorpe Roa")&amp;":"&amp;ADDRESS(130,3+18*1+(4))),'J1 A - (North) Bishopthorpe Roa'!$A$12:$A$130,"&gt;="&amp;Diagram!$O33,'J1 A - (North) Bishopthorpe Roa'!$A$12:$A$130,"&lt;"&amp;Diagram!$P33),SUMIFS(INDIRECT(ADDRESS(12,3+18*1+(12),,,"J1 A - (North) Bishopthorpe Roa")&amp;":"&amp;ADDRESS(130,3+18*1+(12))),'J1 A - (North) Bishopthorpe Roa'!$A$12:$A$130,"&gt;="&amp;Diagram!$O33,'J1 A - (North) Bishopthorpe Roa'!$A$12:$A$130,"&lt;"&amp;Diagram!$P33)))</f>
        <v>3</v>
      </c>
      <c r="CL33" s="42">
        <f ca="1">IF(OR($I$10="",$O33="",$P33="",$J$39&lt;&gt;"Yes"),0,IF($K$10=0,SUMIFS(INDIRECT(ADDRESS(12,3+18*2+(4),,,"J1 A - (North) Bishopthorpe Roa")&amp;":"&amp;ADDRESS(130,3+18*2+(4))),'J1 A - (North) Bishopthorpe Roa'!$A$12:$A$130,"&gt;="&amp;Diagram!$O33,'J1 A - (North) Bishopthorpe Roa'!$A$12:$A$130,"&lt;"&amp;Diagram!$P33),SUMIFS(INDIRECT(ADDRESS(12,3+18*2+(12),,,"J1 A - (North) Bishopthorpe Roa")&amp;":"&amp;ADDRESS(130,3+18*2+(12))),'J1 A - (North) Bishopthorpe Roa'!$A$12:$A$130,"&gt;="&amp;Diagram!$O33,'J1 A - (North) Bishopthorpe Roa'!$A$12:$A$130,"&lt;"&amp;Diagram!$P33)))</f>
        <v>0</v>
      </c>
      <c r="CM33" s="42">
        <f ca="1">IF(OR($I$10="",$O33="",$P33="",$J$39&lt;&gt;"Yes"),0,IF($K$10=0,SUMIFS(INDIRECT(ADDRESS(12,3+18*2+(4),,,"J1 B - Butcher Terrace")&amp;":"&amp;ADDRESS(130,3+18*2+(4))),'J1 B - Butcher Terrace'!$A$12:$A$130,"&gt;="&amp;Diagram!$O33,'J1 B - Butcher Terrace'!$A$12:$A$130,"&lt;"&amp;Diagram!$P33),SUMIFS(INDIRECT(ADDRESS(12,3+18*2+(12),,,"J1 B - Butcher Terrace")&amp;":"&amp;ADDRESS(130,3+18*2+(12))),'J1 B - Butcher Terrace'!$A$12:$A$130,"&gt;="&amp;Diagram!$O33,'J1 B - Butcher Terrace'!$A$12:$A$130,"&lt;"&amp;Diagram!$P33)))</f>
        <v>0</v>
      </c>
      <c r="CN33" s="42">
        <f ca="1">IF(OR($I$10="",$O33="",$P33="",$J$39&lt;&gt;"Yes"),0,IF($K$10=0,SUMIFS(INDIRECT(ADDRESS(12,3+18*3+(4),,,"J1 B - Butcher Terrace")&amp;":"&amp;ADDRESS(130,3+18*3+(4))),'J1 B - Butcher Terrace'!$A$12:$A$130,"&gt;="&amp;Diagram!$O33,'J1 B - Butcher Terrace'!$A$12:$A$130,"&lt;"&amp;Diagram!$P33),SUMIFS(INDIRECT(ADDRESS(12,3+18*3+(12),,,"J1 B - Butcher Terrace")&amp;":"&amp;ADDRESS(130,3+18*3+(12))),'J1 B - Butcher Terrace'!$A$12:$A$130,"&gt;="&amp;Diagram!$O33,'J1 B - Butcher Terrace'!$A$12:$A$130,"&lt;"&amp;Diagram!$P33)))</f>
        <v>0</v>
      </c>
      <c r="CO33" s="42">
        <f ca="1">IF(OR($I$10="",$O33="",$P33="",$J$39&lt;&gt;"Yes"),0,IF($K$10=0,SUMIFS(INDIRECT(ADDRESS(12,3+18*0+(4),,,"J1 B - Butcher Terrace")&amp;":"&amp;ADDRESS(130,3+18*0+(4))),'J1 B - Butcher Terrace'!$A$12:$A$130,"&gt;="&amp;Diagram!$O33,'J1 B - Butcher Terrace'!$A$12:$A$130,"&lt;"&amp;Diagram!$P33),SUMIFS(INDIRECT(ADDRESS(12,3+18*0+(12),,,"J1 B - Butcher Terrace")&amp;":"&amp;ADDRESS(130,3+18*0+(12))),'J1 B - Butcher Terrace'!$A$12:$A$130,"&gt;="&amp;Diagram!$O33,'J1 B - Butcher Terrace'!$A$12:$A$130,"&lt;"&amp;Diagram!$P33)))</f>
        <v>0</v>
      </c>
      <c r="CP33" s="42">
        <f ca="1">IF(OR($I$10="",$O33="",$P33="",$J$39&lt;&gt;"Yes"),0,IF($K$10=0,SUMIFS(INDIRECT(ADDRESS(12,3+18*1+(4),,,"J1 B - Butcher Terrace")&amp;":"&amp;ADDRESS(130,3+18*1+(4))),'J1 B - Butcher Terrace'!$A$12:$A$130,"&gt;="&amp;Diagram!$O33,'J1 B - Butcher Terrace'!$A$12:$A$130,"&lt;"&amp;Diagram!$P33),SUMIFS(INDIRECT(ADDRESS(12,3+18*1+(12),,,"J1 B - Butcher Terrace")&amp;":"&amp;ADDRESS(130,3+18*1+(12))),'J1 B - Butcher Terrace'!$A$12:$A$130,"&gt;="&amp;Diagram!$O33,'J1 B - Butcher Terrace'!$A$12:$A$130,"&lt;"&amp;Diagram!$P33)))</f>
        <v>0</v>
      </c>
      <c r="CQ33" s="42">
        <f ca="1">IF(OR($I$10="",$O33="",$P33="",$J$39&lt;&gt;"Yes"),0,IF($K$10=0,SUMIFS(INDIRECT(ADDRESS(12,3+18*1+(4),,,"J1 C - (South) Bishopthorpe Roa")&amp;":"&amp;ADDRESS(130,3+18*1+(4))),'J1 C - (South) Bishopthorpe Roa'!$A$12:$A$130,"&gt;="&amp;Diagram!$O33,'J1 C - (South) Bishopthorpe Roa'!$A$12:$A$130,"&lt;"&amp;Diagram!$P33),SUMIFS(INDIRECT(ADDRESS(12,3+18*1+(12),,,"J1 C - (South) Bishopthorpe Roa")&amp;":"&amp;ADDRESS(130,3+18*1+(12))),'J1 C - (South) Bishopthorpe Roa'!$A$12:$A$130,"&gt;="&amp;Diagram!$O33,'J1 C - (South) Bishopthorpe Roa'!$A$12:$A$130,"&lt;"&amp;Diagram!$P33)))</f>
        <v>5</v>
      </c>
      <c r="CR33" s="42">
        <f ca="1">IF(OR($I$10="",$O33="",$P33="",$J$39&lt;&gt;"Yes"),0,IF($K$10=0,SUMIFS(INDIRECT(ADDRESS(12,3+18*2+(4),,,"J1 C - (South) Bishopthorpe Roa")&amp;":"&amp;ADDRESS(130,3+18*2+(4))),'J1 C - (South) Bishopthorpe Roa'!$A$12:$A$130,"&gt;="&amp;Diagram!$O33,'J1 C - (South) Bishopthorpe Roa'!$A$12:$A$130,"&lt;"&amp;Diagram!$P33),SUMIFS(INDIRECT(ADDRESS(12,3+18*2+(12),,,"J1 C - (South) Bishopthorpe Roa")&amp;":"&amp;ADDRESS(130,3+18*2+(12))),'J1 C - (South) Bishopthorpe Roa'!$A$12:$A$130,"&gt;="&amp;Diagram!$O33,'J1 C - (South) Bishopthorpe Roa'!$A$12:$A$130,"&lt;"&amp;Diagram!$P33)))</f>
        <v>0</v>
      </c>
      <c r="CS33" s="42">
        <f ca="1">IF(OR($I$10="",$O33="",$P33="",$J$39&lt;&gt;"Yes"),0,IF($K$10=0,SUMIFS(INDIRECT(ADDRESS(12,3+18*3+(4),,,"J1 C - (South) Bishopthorpe Roa")&amp;":"&amp;ADDRESS(130,3+18*3+(4))),'J1 C - (South) Bishopthorpe Roa'!$A$12:$A$130,"&gt;="&amp;Diagram!$O33,'J1 C - (South) Bishopthorpe Roa'!$A$12:$A$130,"&lt;"&amp;Diagram!$P33),SUMIFS(INDIRECT(ADDRESS(12,3+18*3+(12),,,"J1 C - (South) Bishopthorpe Roa")&amp;":"&amp;ADDRESS(130,3+18*3+(12))),'J1 C - (South) Bishopthorpe Roa'!$A$12:$A$130,"&gt;="&amp;Diagram!$O33,'J1 C - (South) Bishopthorpe Roa'!$A$12:$A$130,"&lt;"&amp;Diagram!$P33)))</f>
        <v>0</v>
      </c>
      <c r="CT33" s="42">
        <f ca="1">IF(OR($I$10="",$O33="",$P33="",$J$39&lt;&gt;"Yes"),0,IF($K$10=0,SUMIFS(INDIRECT(ADDRESS(12,3+18*0+(4),,,"J1 C - (South) Bishopthorpe Roa")&amp;":"&amp;ADDRESS(130,3+18*0+(4))),'J1 C - (South) Bishopthorpe Roa'!$A$12:$A$130,"&gt;="&amp;Diagram!$O33,'J1 C - (South) Bishopthorpe Roa'!$A$12:$A$130,"&lt;"&amp;Diagram!$P33),SUMIFS(INDIRECT(ADDRESS(12,3+18*0+(12),,,"J1 C - (South) Bishopthorpe Roa")&amp;":"&amp;ADDRESS(130,3+18*0+(12))),'J1 C - (South) Bishopthorpe Roa'!$A$12:$A$130,"&gt;="&amp;Diagram!$O33,'J1 C - (South) Bishopthorpe Roa'!$A$12:$A$130,"&lt;"&amp;Diagram!$P33)))</f>
        <v>0</v>
      </c>
      <c r="CU33" s="42">
        <f ca="1">IF(OR($I$10="",$O33="",$P33="",$J$39&lt;&gt;"Yes"),0,IF($K$10=0,SUMIFS(INDIRECT(ADDRESS(12,3+18*0+(4),,,"J1 D - South Bank Avenue")&amp;":"&amp;ADDRESS(130,3+18*0+(4))),'J1 D - South Bank Avenue'!$A$12:$A$130,"&gt;="&amp;Diagram!$O33,'J1 D - South Bank Avenue'!$A$12:$A$130,"&lt;"&amp;Diagram!$P33),SUMIFS(INDIRECT(ADDRESS(12,3+18*0+(12),,,"J1 D - South Bank Avenue")&amp;":"&amp;ADDRESS(130,3+18*0+(12))),'J1 D - South Bank Avenue'!$A$12:$A$130,"&gt;="&amp;Diagram!$O33,'J1 D - South Bank Avenue'!$A$12:$A$130,"&lt;"&amp;Diagram!$P33)))</f>
        <v>0</v>
      </c>
      <c r="CV33" s="42">
        <f ca="1">IF(OR($I$10="",$O33="",$P33="",$J$39&lt;&gt;"Yes"),0,IF($K$10=0,SUMIFS(INDIRECT(ADDRESS(12,3+18*1+(4),,,"J1 D - South Bank Avenue")&amp;":"&amp;ADDRESS(130,3+18*1+(4))),'J1 D - South Bank Avenue'!$A$12:$A$130,"&gt;="&amp;Diagram!$O33,'J1 D - South Bank Avenue'!$A$12:$A$130,"&lt;"&amp;Diagram!$P33),SUMIFS(INDIRECT(ADDRESS(12,3+18*1+(12),,,"J1 D - South Bank Avenue")&amp;":"&amp;ADDRESS(130,3+18*1+(12))),'J1 D - South Bank Avenue'!$A$12:$A$130,"&gt;="&amp;Diagram!$O33,'J1 D - South Bank Avenue'!$A$12:$A$130,"&lt;"&amp;Diagram!$P33)))</f>
        <v>0</v>
      </c>
      <c r="CW33" s="42">
        <f ca="1">IF(OR($I$10="",$O33="",$P33="",$J$39&lt;&gt;"Yes"),0,IF($K$10=0,SUMIFS(INDIRECT(ADDRESS(12,3+18*2+(4),,,"J1 D - South Bank Avenue")&amp;":"&amp;ADDRESS(130,3+18*2+(4))),'J1 D - South Bank Avenue'!$A$12:$A$130,"&gt;="&amp;Diagram!$O33,'J1 D - South Bank Avenue'!$A$12:$A$130,"&lt;"&amp;Diagram!$P33),SUMIFS(INDIRECT(ADDRESS(12,3+18*2+(12),,,"J1 D - South Bank Avenue")&amp;":"&amp;ADDRESS(130,3+18*2+(12))),'J1 D - South Bank Avenue'!$A$12:$A$130,"&gt;="&amp;Diagram!$O33,'J1 D - South Bank Avenue'!$A$12:$A$130,"&lt;"&amp;Diagram!$P33)))</f>
        <v>0</v>
      </c>
      <c r="CX33" s="42">
        <f ca="1">IF(OR($I$10="",$O33="",$P33="",$J$39&lt;&gt;"Yes"),0,IF($K$10=0,SUMIFS(INDIRECT(ADDRESS(12,3+18*3+(4),,,"J1 D - South Bank Avenue")&amp;":"&amp;ADDRESS(130,3+18*3+(4))),'J1 D - South Bank Avenue'!$A$12:$A$130,"&gt;="&amp;Diagram!$O33,'J1 D - South Bank Avenue'!$A$12:$A$130,"&lt;"&amp;Diagram!$P33),SUMIFS(INDIRECT(ADDRESS(12,3+18*3+(12),,,"J1 D - South Bank Avenue")&amp;":"&amp;ADDRESS(130,3+18*3+(12))),'J1 D - South Bank Avenue'!$A$12:$A$130,"&gt;="&amp;Diagram!$O33,'J1 D - South Bank Avenue'!$A$12:$A$130,"&lt;"&amp;Diagram!$P33)))</f>
        <v>0</v>
      </c>
      <c r="CY33" s="42">
        <f t="shared" ca="1" si="6"/>
        <v>114</v>
      </c>
      <c r="CZ33" s="42">
        <f ca="1">IF(OR($I$10="",$O33="",$P33="",$J$40&lt;&gt;"Yes"),0,IF($K$10=0,SUMIFS(INDIRECT(ADDRESS(12,3+18*3+(5),,,"J1 A - (North) Bishopthorpe Roa")&amp;":"&amp;ADDRESS(130,3+18*3+(5))),'J1 A - (North) Bishopthorpe Roa'!$A$12:$A$130,"&gt;="&amp;Diagram!$O33,'J1 A - (North) Bishopthorpe Roa'!$A$12:$A$130,"&lt;"&amp;Diagram!$P33),SUMIFS(INDIRECT(ADDRESS(12,3+18*3+(13),,,"J1 A - (North) Bishopthorpe Roa")&amp;":"&amp;ADDRESS(130,3+18*3+(13))),'J1 A - (North) Bishopthorpe Roa'!$A$12:$A$130,"&gt;="&amp;Diagram!$O33,'J1 A - (North) Bishopthorpe Roa'!$A$12:$A$130,"&lt;"&amp;Diagram!$P33)))</f>
        <v>0</v>
      </c>
      <c r="DA33" s="42">
        <f ca="1">IF(OR($I$10="",$O33="",$P33="",$J$40&lt;&gt;"Yes"),0,IF($K$10=0,SUMIFS(INDIRECT(ADDRESS(12,3+18*0+(5),,,"J1 A - (North) Bishopthorpe Roa")&amp;":"&amp;ADDRESS(130,3+18*0+(5))),'J1 A - (North) Bishopthorpe Roa'!$A$12:$A$130,"&gt;="&amp;Diagram!$O33,'J1 A - (North) Bishopthorpe Roa'!$A$12:$A$130,"&lt;"&amp;Diagram!$P33),SUMIFS(INDIRECT(ADDRESS(12,3+18*0+(13),,,"J1 A - (North) Bishopthorpe Roa")&amp;":"&amp;ADDRESS(130,3+18*0+(13))),'J1 A - (North) Bishopthorpe Roa'!$A$12:$A$130,"&gt;="&amp;Diagram!$O33,'J1 A - (North) Bishopthorpe Roa'!$A$12:$A$130,"&lt;"&amp;Diagram!$P33)))</f>
        <v>13</v>
      </c>
      <c r="DB33" s="42">
        <f ca="1">IF(OR($I$10="",$O33="",$P33="",$J$40&lt;&gt;"Yes"),0,IF($K$10=0,SUMIFS(INDIRECT(ADDRESS(12,3+18*1+(5),,,"J1 A - (North) Bishopthorpe Roa")&amp;":"&amp;ADDRESS(130,3+18*1+(5))),'J1 A - (North) Bishopthorpe Roa'!$A$12:$A$130,"&gt;="&amp;Diagram!$O33,'J1 A - (North) Bishopthorpe Roa'!$A$12:$A$130,"&lt;"&amp;Diagram!$P33),SUMIFS(INDIRECT(ADDRESS(12,3+18*1+(13),,,"J1 A - (North) Bishopthorpe Roa")&amp;":"&amp;ADDRESS(130,3+18*1+(13))),'J1 A - (North) Bishopthorpe Roa'!$A$12:$A$130,"&gt;="&amp;Diagram!$O33,'J1 A - (North) Bishopthorpe Roa'!$A$12:$A$130,"&lt;"&amp;Diagram!$P33)))</f>
        <v>6</v>
      </c>
      <c r="DC33" s="42">
        <f ca="1">IF(OR($I$10="",$O33="",$P33="",$J$40&lt;&gt;"Yes"),0,IF($K$10=0,SUMIFS(INDIRECT(ADDRESS(12,3+18*2+(5),,,"J1 A - (North) Bishopthorpe Roa")&amp;":"&amp;ADDRESS(130,3+18*2+(5))),'J1 A - (North) Bishopthorpe Roa'!$A$12:$A$130,"&gt;="&amp;Diagram!$O33,'J1 A - (North) Bishopthorpe Roa'!$A$12:$A$130,"&lt;"&amp;Diagram!$P33),SUMIFS(INDIRECT(ADDRESS(12,3+18*2+(13),,,"J1 A - (North) Bishopthorpe Roa")&amp;":"&amp;ADDRESS(130,3+18*2+(13))),'J1 A - (North) Bishopthorpe Roa'!$A$12:$A$130,"&gt;="&amp;Diagram!$O33,'J1 A - (North) Bishopthorpe Roa'!$A$12:$A$130,"&lt;"&amp;Diagram!$P33)))</f>
        <v>1</v>
      </c>
      <c r="DD33" s="42">
        <f ca="1">IF(OR($I$10="",$O33="",$P33="",$J$40&lt;&gt;"Yes"),0,IF($K$10=0,SUMIFS(INDIRECT(ADDRESS(12,3+18*2+(5),,,"J1 B - Butcher Terrace")&amp;":"&amp;ADDRESS(130,3+18*2+(5))),'J1 B - Butcher Terrace'!$A$12:$A$130,"&gt;="&amp;Diagram!$O33,'J1 B - Butcher Terrace'!$A$12:$A$130,"&lt;"&amp;Diagram!$P33),SUMIFS(INDIRECT(ADDRESS(12,3+18*2+(13),,,"J1 B - Butcher Terrace")&amp;":"&amp;ADDRESS(130,3+18*2+(13))),'J1 B - Butcher Terrace'!$A$12:$A$130,"&gt;="&amp;Diagram!$O33,'J1 B - Butcher Terrace'!$A$12:$A$130,"&lt;"&amp;Diagram!$P33)))</f>
        <v>9</v>
      </c>
      <c r="DE33" s="42">
        <f ca="1">IF(OR($I$10="",$O33="",$P33="",$J$40&lt;&gt;"Yes"),0,IF($K$10=0,SUMIFS(INDIRECT(ADDRESS(12,3+18*3+(5),,,"J1 B - Butcher Terrace")&amp;":"&amp;ADDRESS(130,3+18*3+(5))),'J1 B - Butcher Terrace'!$A$12:$A$130,"&gt;="&amp;Diagram!$O33,'J1 B - Butcher Terrace'!$A$12:$A$130,"&lt;"&amp;Diagram!$P33),SUMIFS(INDIRECT(ADDRESS(12,3+18*3+(13),,,"J1 B - Butcher Terrace")&amp;":"&amp;ADDRESS(130,3+18*3+(13))),'J1 B - Butcher Terrace'!$A$12:$A$130,"&gt;="&amp;Diagram!$O33,'J1 B - Butcher Terrace'!$A$12:$A$130,"&lt;"&amp;Diagram!$P33)))</f>
        <v>0</v>
      </c>
      <c r="DF33" s="42">
        <f ca="1">IF(OR($I$10="",$O33="",$P33="",$J$40&lt;&gt;"Yes"),0,IF($K$10=0,SUMIFS(INDIRECT(ADDRESS(12,3+18*0+(5),,,"J1 B - Butcher Terrace")&amp;":"&amp;ADDRESS(130,3+18*0+(5))),'J1 B - Butcher Terrace'!$A$12:$A$130,"&gt;="&amp;Diagram!$O33,'J1 B - Butcher Terrace'!$A$12:$A$130,"&lt;"&amp;Diagram!$P33),SUMIFS(INDIRECT(ADDRESS(12,3+18*0+(13),,,"J1 B - Butcher Terrace")&amp;":"&amp;ADDRESS(130,3+18*0+(13))),'J1 B - Butcher Terrace'!$A$12:$A$130,"&gt;="&amp;Diagram!$O33,'J1 B - Butcher Terrace'!$A$12:$A$130,"&lt;"&amp;Diagram!$P33)))</f>
        <v>4</v>
      </c>
      <c r="DG33" s="42">
        <f ca="1">IF(OR($I$10="",$O33="",$P33="",$J$40&lt;&gt;"Yes"),0,IF($K$10=0,SUMIFS(INDIRECT(ADDRESS(12,3+18*1+(5),,,"J1 B - Butcher Terrace")&amp;":"&amp;ADDRESS(130,3+18*1+(5))),'J1 B - Butcher Terrace'!$A$12:$A$130,"&gt;="&amp;Diagram!$O33,'J1 B - Butcher Terrace'!$A$12:$A$130,"&lt;"&amp;Diagram!$P33),SUMIFS(INDIRECT(ADDRESS(12,3+18*1+(13),,,"J1 B - Butcher Terrace")&amp;":"&amp;ADDRESS(130,3+18*1+(13))),'J1 B - Butcher Terrace'!$A$12:$A$130,"&gt;="&amp;Diagram!$O33,'J1 B - Butcher Terrace'!$A$12:$A$130,"&lt;"&amp;Diagram!$P33)))</f>
        <v>13</v>
      </c>
      <c r="DH33" s="42">
        <f ca="1">IF(OR($I$10="",$O33="",$P33="",$J$40&lt;&gt;"Yes"),0,IF($K$10=0,SUMIFS(INDIRECT(ADDRESS(12,3+18*1+(5),,,"J1 C - (South) Bishopthorpe Roa")&amp;":"&amp;ADDRESS(130,3+18*1+(5))),'J1 C - (South) Bishopthorpe Roa'!$A$12:$A$130,"&gt;="&amp;Diagram!$O33,'J1 C - (South) Bishopthorpe Roa'!$A$12:$A$130,"&lt;"&amp;Diagram!$P33),SUMIFS(INDIRECT(ADDRESS(12,3+18*1+(13),,,"J1 C - (South) Bishopthorpe Roa")&amp;":"&amp;ADDRESS(130,3+18*1+(13))),'J1 C - (South) Bishopthorpe Roa'!$A$12:$A$130,"&gt;="&amp;Diagram!$O33,'J1 C - (South) Bishopthorpe Roa'!$A$12:$A$130,"&lt;"&amp;Diagram!$P33)))</f>
        <v>17</v>
      </c>
      <c r="DI33" s="42">
        <f ca="1">IF(OR($I$10="",$O33="",$P33="",$J$40&lt;&gt;"Yes"),0,IF($K$10=0,SUMIFS(INDIRECT(ADDRESS(12,3+18*2+(5),,,"J1 C - (South) Bishopthorpe Roa")&amp;":"&amp;ADDRESS(130,3+18*2+(5))),'J1 C - (South) Bishopthorpe Roa'!$A$12:$A$130,"&gt;="&amp;Diagram!$O33,'J1 C - (South) Bishopthorpe Roa'!$A$12:$A$130,"&lt;"&amp;Diagram!$P33),SUMIFS(INDIRECT(ADDRESS(12,3+18*2+(13),,,"J1 C - (South) Bishopthorpe Roa")&amp;":"&amp;ADDRESS(130,3+18*2+(13))),'J1 C - (South) Bishopthorpe Roa'!$A$12:$A$130,"&gt;="&amp;Diagram!$O33,'J1 C - (South) Bishopthorpe Roa'!$A$12:$A$130,"&lt;"&amp;Diagram!$P33)))</f>
        <v>8</v>
      </c>
      <c r="DJ33" s="42">
        <f ca="1">IF(OR($I$10="",$O33="",$P33="",$J$40&lt;&gt;"Yes"),0,IF($K$10=0,SUMIFS(INDIRECT(ADDRESS(12,3+18*3+(5),,,"J1 C - (South) Bishopthorpe Roa")&amp;":"&amp;ADDRESS(130,3+18*3+(5))),'J1 C - (South) Bishopthorpe Roa'!$A$12:$A$130,"&gt;="&amp;Diagram!$O33,'J1 C - (South) Bishopthorpe Roa'!$A$12:$A$130,"&lt;"&amp;Diagram!$P33),SUMIFS(INDIRECT(ADDRESS(12,3+18*3+(13),,,"J1 C - (South) Bishopthorpe Roa")&amp;":"&amp;ADDRESS(130,3+18*3+(13))),'J1 C - (South) Bishopthorpe Roa'!$A$12:$A$130,"&gt;="&amp;Diagram!$O33,'J1 C - (South) Bishopthorpe Roa'!$A$12:$A$130,"&lt;"&amp;Diagram!$P33)))</f>
        <v>0</v>
      </c>
      <c r="DK33" s="42">
        <f ca="1">IF(OR($I$10="",$O33="",$P33="",$J$40&lt;&gt;"Yes"),0,IF($K$10=0,SUMIFS(INDIRECT(ADDRESS(12,3+18*0+(5),,,"J1 C - (South) Bishopthorpe Roa")&amp;":"&amp;ADDRESS(130,3+18*0+(5))),'J1 C - (South) Bishopthorpe Roa'!$A$12:$A$130,"&gt;="&amp;Diagram!$O33,'J1 C - (South) Bishopthorpe Roa'!$A$12:$A$130,"&lt;"&amp;Diagram!$P33),SUMIFS(INDIRECT(ADDRESS(12,3+18*0+(13),,,"J1 C - (South) Bishopthorpe Roa")&amp;":"&amp;ADDRESS(130,3+18*0+(13))),'J1 C - (South) Bishopthorpe Roa'!$A$12:$A$130,"&gt;="&amp;Diagram!$O33,'J1 C - (South) Bishopthorpe Roa'!$A$12:$A$130,"&lt;"&amp;Diagram!$P33)))</f>
        <v>1</v>
      </c>
      <c r="DL33" s="42">
        <f ca="1">IF(OR($I$10="",$O33="",$P33="",$J$40&lt;&gt;"Yes"),0,IF($K$10=0,SUMIFS(INDIRECT(ADDRESS(12,3+18*0+(5),,,"J1 D - South Bank Avenue")&amp;":"&amp;ADDRESS(130,3+18*0+(5))),'J1 D - South Bank Avenue'!$A$12:$A$130,"&gt;="&amp;Diagram!$O33,'J1 D - South Bank Avenue'!$A$12:$A$130,"&lt;"&amp;Diagram!$P33),SUMIFS(INDIRECT(ADDRESS(12,3+18*0+(13),,,"J1 D - South Bank Avenue")&amp;":"&amp;ADDRESS(130,3+18*0+(13))),'J1 D - South Bank Avenue'!$A$12:$A$130,"&gt;="&amp;Diagram!$O33,'J1 D - South Bank Avenue'!$A$12:$A$130,"&lt;"&amp;Diagram!$P33)))</f>
        <v>4</v>
      </c>
      <c r="DM33" s="42">
        <f ca="1">IF(OR($I$10="",$O33="",$P33="",$J$40&lt;&gt;"Yes"),0,IF($K$10=0,SUMIFS(INDIRECT(ADDRESS(12,3+18*1+(5),,,"J1 D - South Bank Avenue")&amp;":"&amp;ADDRESS(130,3+18*1+(5))),'J1 D - South Bank Avenue'!$A$12:$A$130,"&gt;="&amp;Diagram!$O33,'J1 D - South Bank Avenue'!$A$12:$A$130,"&lt;"&amp;Diagram!$P33),SUMIFS(INDIRECT(ADDRESS(12,3+18*1+(13),,,"J1 D - South Bank Avenue")&amp;":"&amp;ADDRESS(130,3+18*1+(13))),'J1 D - South Bank Avenue'!$A$12:$A$130,"&gt;="&amp;Diagram!$O33,'J1 D - South Bank Avenue'!$A$12:$A$130,"&lt;"&amp;Diagram!$P33)))</f>
        <v>37</v>
      </c>
      <c r="DN33" s="42">
        <f ca="1">IF(OR($I$10="",$O33="",$P33="",$J$40&lt;&gt;"Yes"),0,IF($K$10=0,SUMIFS(INDIRECT(ADDRESS(12,3+18*2+(5),,,"J1 D - South Bank Avenue")&amp;":"&amp;ADDRESS(130,3+18*2+(5))),'J1 D - South Bank Avenue'!$A$12:$A$130,"&gt;="&amp;Diagram!$O33,'J1 D - South Bank Avenue'!$A$12:$A$130,"&lt;"&amp;Diagram!$P33),SUMIFS(INDIRECT(ADDRESS(12,3+18*2+(13),,,"J1 D - South Bank Avenue")&amp;":"&amp;ADDRESS(130,3+18*2+(13))),'J1 D - South Bank Avenue'!$A$12:$A$130,"&gt;="&amp;Diagram!$O33,'J1 D - South Bank Avenue'!$A$12:$A$130,"&lt;"&amp;Diagram!$P33)))</f>
        <v>1</v>
      </c>
      <c r="DO33" s="42">
        <f ca="1">IF(OR($I$10="",$O33="",$P33="",$J$40&lt;&gt;"Yes"),0,IF($K$10=0,SUMIFS(INDIRECT(ADDRESS(12,3+18*3+(5),,,"J1 D - South Bank Avenue")&amp;":"&amp;ADDRESS(130,3+18*3+(5))),'J1 D - South Bank Avenue'!$A$12:$A$130,"&gt;="&amp;Diagram!$O33,'J1 D - South Bank Avenue'!$A$12:$A$130,"&lt;"&amp;Diagram!$P33),SUMIFS(INDIRECT(ADDRESS(12,3+18*3+(13),,,"J1 D - South Bank Avenue")&amp;":"&amp;ADDRESS(130,3+18*3+(13))),'J1 D - South Bank Avenue'!$A$12:$A$130,"&gt;="&amp;Diagram!$O33,'J1 D - South Bank Avenue'!$A$12:$A$130,"&lt;"&amp;Diagram!$P33)))</f>
        <v>0</v>
      </c>
      <c r="DP33" s="42">
        <f t="shared" ca="1" si="7"/>
        <v>2</v>
      </c>
      <c r="DQ33" s="42">
        <f ca="1">IF(OR($I$10="",$O33="",$P33="",$J$41&lt;&gt;"Yes"),0,IF($K$10=0,SUMIFS(INDIRECT(ADDRESS(12,3+18*3+(6),,,"J1 A - (North) Bishopthorpe Roa")&amp;":"&amp;ADDRESS(130,3+18*3+(6))),'J1 A - (North) Bishopthorpe Roa'!$A$12:$A$130,"&gt;="&amp;Diagram!$O33,'J1 A - (North) Bishopthorpe Roa'!$A$12:$A$130,"&lt;"&amp;Diagram!$P33),SUMIFS(INDIRECT(ADDRESS(12,3+18*3+(14),,,"J1 A - (North) Bishopthorpe Roa")&amp;":"&amp;ADDRESS(130,3+18*3+(14))),'J1 A - (North) Bishopthorpe Roa'!$A$12:$A$130,"&gt;="&amp;Diagram!$O33,'J1 A - (North) Bishopthorpe Roa'!$A$12:$A$130,"&lt;"&amp;Diagram!$P33)))</f>
        <v>0</v>
      </c>
      <c r="DR33" s="42">
        <f ca="1">IF(OR($I$10="",$O33="",$P33="",$J$41&lt;&gt;"Yes"),0,IF($K$10=0,SUMIFS(INDIRECT(ADDRESS(12,3+18*0+(6),,,"J1 A - (North) Bishopthorpe Roa")&amp;":"&amp;ADDRESS(130,3+18*0+(6))),'J1 A - (North) Bishopthorpe Roa'!$A$12:$A$130,"&gt;="&amp;Diagram!$O33,'J1 A - (North) Bishopthorpe Roa'!$A$12:$A$130,"&lt;"&amp;Diagram!$P33),SUMIFS(INDIRECT(ADDRESS(12,3+18*0+(14),,,"J1 A - (North) Bishopthorpe Roa")&amp;":"&amp;ADDRESS(130,3+18*0+(14))),'J1 A - (North) Bishopthorpe Roa'!$A$12:$A$130,"&gt;="&amp;Diagram!$O33,'J1 A - (North) Bishopthorpe Roa'!$A$12:$A$130,"&lt;"&amp;Diagram!$P33)))</f>
        <v>0</v>
      </c>
      <c r="DS33" s="42">
        <f ca="1">IF(OR($I$10="",$O33="",$P33="",$J$41&lt;&gt;"Yes"),0,IF($K$10=0,SUMIFS(INDIRECT(ADDRESS(12,3+18*1+(6),,,"J1 A - (North) Bishopthorpe Roa")&amp;":"&amp;ADDRESS(130,3+18*1+(6))),'J1 A - (North) Bishopthorpe Roa'!$A$12:$A$130,"&gt;="&amp;Diagram!$O33,'J1 A - (North) Bishopthorpe Roa'!$A$12:$A$130,"&lt;"&amp;Diagram!$P33),SUMIFS(INDIRECT(ADDRESS(12,3+18*1+(14),,,"J1 A - (North) Bishopthorpe Roa")&amp;":"&amp;ADDRESS(130,3+18*1+(14))),'J1 A - (North) Bishopthorpe Roa'!$A$12:$A$130,"&gt;="&amp;Diagram!$O33,'J1 A - (North) Bishopthorpe Roa'!$A$12:$A$130,"&lt;"&amp;Diagram!$P33)))</f>
        <v>1</v>
      </c>
      <c r="DT33" s="42">
        <f ca="1">IF(OR($I$10="",$O33="",$P33="",$J$41&lt;&gt;"Yes"),0,IF($K$10=0,SUMIFS(INDIRECT(ADDRESS(12,3+18*2+(6),,,"J1 A - (North) Bishopthorpe Roa")&amp;":"&amp;ADDRESS(130,3+18*2+(6))),'J1 A - (North) Bishopthorpe Roa'!$A$12:$A$130,"&gt;="&amp;Diagram!$O33,'J1 A - (North) Bishopthorpe Roa'!$A$12:$A$130,"&lt;"&amp;Diagram!$P33),SUMIFS(INDIRECT(ADDRESS(12,3+18*2+(14),,,"J1 A - (North) Bishopthorpe Roa")&amp;":"&amp;ADDRESS(130,3+18*2+(14))),'J1 A - (North) Bishopthorpe Roa'!$A$12:$A$130,"&gt;="&amp;Diagram!$O33,'J1 A - (North) Bishopthorpe Roa'!$A$12:$A$130,"&lt;"&amp;Diagram!$P33)))</f>
        <v>0</v>
      </c>
      <c r="DU33" s="42">
        <f ca="1">IF(OR($I$10="",$O33="",$P33="",$J$41&lt;&gt;"Yes"),0,IF($K$10=0,SUMIFS(INDIRECT(ADDRESS(12,3+18*2+(6),,,"J1 B - Butcher Terrace")&amp;":"&amp;ADDRESS(130,3+18*2+(6))),'J1 B - Butcher Terrace'!$A$12:$A$130,"&gt;="&amp;Diagram!$O33,'J1 B - Butcher Terrace'!$A$12:$A$130,"&lt;"&amp;Diagram!$P33),SUMIFS(INDIRECT(ADDRESS(12,3+18*2+(14),,,"J1 B - Butcher Terrace")&amp;":"&amp;ADDRESS(130,3+18*2+(14))),'J1 B - Butcher Terrace'!$A$12:$A$130,"&gt;="&amp;Diagram!$O33,'J1 B - Butcher Terrace'!$A$12:$A$130,"&lt;"&amp;Diagram!$P33)))</f>
        <v>0</v>
      </c>
      <c r="DV33" s="42">
        <f ca="1">IF(OR($I$10="",$O33="",$P33="",$J$41&lt;&gt;"Yes"),0,IF($K$10=0,SUMIFS(INDIRECT(ADDRESS(12,3+18*3+(6),,,"J1 B - Butcher Terrace")&amp;":"&amp;ADDRESS(130,3+18*3+(6))),'J1 B - Butcher Terrace'!$A$12:$A$130,"&gt;="&amp;Diagram!$O33,'J1 B - Butcher Terrace'!$A$12:$A$130,"&lt;"&amp;Diagram!$P33),SUMIFS(INDIRECT(ADDRESS(12,3+18*3+(14),,,"J1 B - Butcher Terrace")&amp;":"&amp;ADDRESS(130,3+18*3+(14))),'J1 B - Butcher Terrace'!$A$12:$A$130,"&gt;="&amp;Diagram!$O33,'J1 B - Butcher Terrace'!$A$12:$A$130,"&lt;"&amp;Diagram!$P33)))</f>
        <v>0</v>
      </c>
      <c r="DW33" s="42">
        <f ca="1">IF(OR($I$10="",$O33="",$P33="",$J$41&lt;&gt;"Yes"),0,IF($K$10=0,SUMIFS(INDIRECT(ADDRESS(12,3+18*0+(6),,,"J1 B - Butcher Terrace")&amp;":"&amp;ADDRESS(130,3+18*0+(6))),'J1 B - Butcher Terrace'!$A$12:$A$130,"&gt;="&amp;Diagram!$O33,'J1 B - Butcher Terrace'!$A$12:$A$130,"&lt;"&amp;Diagram!$P33),SUMIFS(INDIRECT(ADDRESS(12,3+18*0+(14),,,"J1 B - Butcher Terrace")&amp;":"&amp;ADDRESS(130,3+18*0+(14))),'J1 B - Butcher Terrace'!$A$12:$A$130,"&gt;="&amp;Diagram!$O33,'J1 B - Butcher Terrace'!$A$12:$A$130,"&lt;"&amp;Diagram!$P33)))</f>
        <v>0</v>
      </c>
      <c r="DX33" s="42">
        <f ca="1">IF(OR($I$10="",$O33="",$P33="",$J$41&lt;&gt;"Yes"),0,IF($K$10=0,SUMIFS(INDIRECT(ADDRESS(12,3+18*1+(6),,,"J1 B - Butcher Terrace")&amp;":"&amp;ADDRESS(130,3+18*1+(6))),'J1 B - Butcher Terrace'!$A$12:$A$130,"&gt;="&amp;Diagram!$O33,'J1 B - Butcher Terrace'!$A$12:$A$130,"&lt;"&amp;Diagram!$P33),SUMIFS(INDIRECT(ADDRESS(12,3+18*1+(14),,,"J1 B - Butcher Terrace")&amp;":"&amp;ADDRESS(130,3+18*1+(14))),'J1 B - Butcher Terrace'!$A$12:$A$130,"&gt;="&amp;Diagram!$O33,'J1 B - Butcher Terrace'!$A$12:$A$130,"&lt;"&amp;Diagram!$P33)))</f>
        <v>0</v>
      </c>
      <c r="DY33" s="42">
        <f ca="1">IF(OR($I$10="",$O33="",$P33="",$J$41&lt;&gt;"Yes"),0,IF($K$10=0,SUMIFS(INDIRECT(ADDRESS(12,3+18*1+(6),,,"J1 C - (South) Bishopthorpe Roa")&amp;":"&amp;ADDRESS(130,3+18*1+(6))),'J1 C - (South) Bishopthorpe Roa'!$A$12:$A$130,"&gt;="&amp;Diagram!$O33,'J1 C - (South) Bishopthorpe Roa'!$A$12:$A$130,"&lt;"&amp;Diagram!$P33),SUMIFS(INDIRECT(ADDRESS(12,3+18*1+(14),,,"J1 C - (South) Bishopthorpe Roa")&amp;":"&amp;ADDRESS(130,3+18*1+(14))),'J1 C - (South) Bishopthorpe Roa'!$A$12:$A$130,"&gt;="&amp;Diagram!$O33,'J1 C - (South) Bishopthorpe Roa'!$A$12:$A$130,"&lt;"&amp;Diagram!$P33)))</f>
        <v>1</v>
      </c>
      <c r="DZ33" s="42">
        <f ca="1">IF(OR($I$10="",$O33="",$P33="",$J$41&lt;&gt;"Yes"),0,IF($K$10=0,SUMIFS(INDIRECT(ADDRESS(12,3+18*2+(6),,,"J1 C - (South) Bishopthorpe Roa")&amp;":"&amp;ADDRESS(130,3+18*2+(6))),'J1 C - (South) Bishopthorpe Roa'!$A$12:$A$130,"&gt;="&amp;Diagram!$O33,'J1 C - (South) Bishopthorpe Roa'!$A$12:$A$130,"&lt;"&amp;Diagram!$P33),SUMIFS(INDIRECT(ADDRESS(12,3+18*2+(14),,,"J1 C - (South) Bishopthorpe Roa")&amp;":"&amp;ADDRESS(130,3+18*2+(14))),'J1 C - (South) Bishopthorpe Roa'!$A$12:$A$130,"&gt;="&amp;Diagram!$O33,'J1 C - (South) Bishopthorpe Roa'!$A$12:$A$130,"&lt;"&amp;Diagram!$P33)))</f>
        <v>0</v>
      </c>
      <c r="EA33" s="42">
        <f ca="1">IF(OR($I$10="",$O33="",$P33="",$J$41&lt;&gt;"Yes"),0,IF($K$10=0,SUMIFS(INDIRECT(ADDRESS(12,3+18*3+(6),,,"J1 C - (South) Bishopthorpe Roa")&amp;":"&amp;ADDRESS(130,3+18*3+(6))),'J1 C - (South) Bishopthorpe Roa'!$A$12:$A$130,"&gt;="&amp;Diagram!$O33,'J1 C - (South) Bishopthorpe Roa'!$A$12:$A$130,"&lt;"&amp;Diagram!$P33),SUMIFS(INDIRECT(ADDRESS(12,3+18*3+(14),,,"J1 C - (South) Bishopthorpe Roa")&amp;":"&amp;ADDRESS(130,3+18*3+(14))),'J1 C - (South) Bishopthorpe Roa'!$A$12:$A$130,"&gt;="&amp;Diagram!$O33,'J1 C - (South) Bishopthorpe Roa'!$A$12:$A$130,"&lt;"&amp;Diagram!$P33)))</f>
        <v>0</v>
      </c>
      <c r="EB33" s="42">
        <f ca="1">IF(OR($I$10="",$O33="",$P33="",$J$41&lt;&gt;"Yes"),0,IF($K$10=0,SUMIFS(INDIRECT(ADDRESS(12,3+18*0+(6),,,"J1 C - (South) Bishopthorpe Roa")&amp;":"&amp;ADDRESS(130,3+18*0+(6))),'J1 C - (South) Bishopthorpe Roa'!$A$12:$A$130,"&gt;="&amp;Diagram!$O33,'J1 C - (South) Bishopthorpe Roa'!$A$12:$A$130,"&lt;"&amp;Diagram!$P33),SUMIFS(INDIRECT(ADDRESS(12,3+18*0+(14),,,"J1 C - (South) Bishopthorpe Roa")&amp;":"&amp;ADDRESS(130,3+18*0+(14))),'J1 C - (South) Bishopthorpe Roa'!$A$12:$A$130,"&gt;="&amp;Diagram!$O33,'J1 C - (South) Bishopthorpe Roa'!$A$12:$A$130,"&lt;"&amp;Diagram!$P33)))</f>
        <v>0</v>
      </c>
      <c r="EC33" s="42">
        <f ca="1">IF(OR($I$10="",$O33="",$P33="",$J$41&lt;&gt;"Yes"),0,IF($K$10=0,SUMIFS(INDIRECT(ADDRESS(12,3+18*0+(6),,,"J1 D - South Bank Avenue")&amp;":"&amp;ADDRESS(130,3+18*0+(6))),'J1 D - South Bank Avenue'!$A$12:$A$130,"&gt;="&amp;Diagram!$O33,'J1 D - South Bank Avenue'!$A$12:$A$130,"&lt;"&amp;Diagram!$P33),SUMIFS(INDIRECT(ADDRESS(12,3+18*0+(14),,,"J1 D - South Bank Avenue")&amp;":"&amp;ADDRESS(130,3+18*0+(14))),'J1 D - South Bank Avenue'!$A$12:$A$130,"&gt;="&amp;Diagram!$O33,'J1 D - South Bank Avenue'!$A$12:$A$130,"&lt;"&amp;Diagram!$P33)))</f>
        <v>0</v>
      </c>
      <c r="ED33" s="42">
        <f ca="1">IF(OR($I$10="",$O33="",$P33="",$J$41&lt;&gt;"Yes"),0,IF($K$10=0,SUMIFS(INDIRECT(ADDRESS(12,3+18*1+(6),,,"J1 D - South Bank Avenue")&amp;":"&amp;ADDRESS(130,3+18*1+(6))),'J1 D - South Bank Avenue'!$A$12:$A$130,"&gt;="&amp;Diagram!$O33,'J1 D - South Bank Avenue'!$A$12:$A$130,"&lt;"&amp;Diagram!$P33),SUMIFS(INDIRECT(ADDRESS(12,3+18*1+(14),,,"J1 D - South Bank Avenue")&amp;":"&amp;ADDRESS(130,3+18*1+(14))),'J1 D - South Bank Avenue'!$A$12:$A$130,"&gt;="&amp;Diagram!$O33,'J1 D - South Bank Avenue'!$A$12:$A$130,"&lt;"&amp;Diagram!$P33)))</f>
        <v>0</v>
      </c>
      <c r="EE33" s="42">
        <f ca="1">IF(OR($I$10="",$O33="",$P33="",$J$41&lt;&gt;"Yes"),0,IF($K$10=0,SUMIFS(INDIRECT(ADDRESS(12,3+18*2+(6),,,"J1 D - South Bank Avenue")&amp;":"&amp;ADDRESS(130,3+18*2+(6))),'J1 D - South Bank Avenue'!$A$12:$A$130,"&gt;="&amp;Diagram!$O33,'J1 D - South Bank Avenue'!$A$12:$A$130,"&lt;"&amp;Diagram!$P33),SUMIFS(INDIRECT(ADDRESS(12,3+18*2+(14),,,"J1 D - South Bank Avenue")&amp;":"&amp;ADDRESS(130,3+18*2+(14))),'J1 D - South Bank Avenue'!$A$12:$A$130,"&gt;="&amp;Diagram!$O33,'J1 D - South Bank Avenue'!$A$12:$A$130,"&lt;"&amp;Diagram!$P33)))</f>
        <v>0</v>
      </c>
      <c r="EF33" s="42">
        <f ca="1">IF(OR($I$10="",$O33="",$P33="",$J$41&lt;&gt;"Yes"),0,IF($K$10=0,SUMIFS(INDIRECT(ADDRESS(12,3+18*3+(6),,,"J1 D - South Bank Avenue")&amp;":"&amp;ADDRESS(130,3+18*3+(6))),'J1 D - South Bank Avenue'!$A$12:$A$130,"&gt;="&amp;Diagram!$O33,'J1 D - South Bank Avenue'!$A$12:$A$130,"&lt;"&amp;Diagram!$P33),SUMIFS(INDIRECT(ADDRESS(12,3+18*3+(14),,,"J1 D - South Bank Avenue")&amp;":"&amp;ADDRESS(130,3+18*3+(14))),'J1 D - South Bank Avenue'!$A$12:$A$130,"&gt;="&amp;Diagram!$O33,'J1 D - South Bank Avenue'!$A$12:$A$130,"&lt;"&amp;Diagram!$P33)))</f>
        <v>0</v>
      </c>
      <c r="EG33" s="42">
        <f t="shared" ca="1" si="8"/>
        <v>4</v>
      </c>
      <c r="EH33" s="42">
        <f ca="1">IF(OR($I$10="",$O33="",$P33="",$J$42&lt;&gt;"Yes"),0,IF($K$10=0,SUMIFS(INDIRECT(ADDRESS(12,3+18*3+(7),,,"J1 A - (North) Bishopthorpe Roa")&amp;":"&amp;ADDRESS(130,3+18*3+(7))),'J1 A - (North) Bishopthorpe Roa'!$A$12:$A$130,"&gt;="&amp;Diagram!$O33,'J1 A - (North) Bishopthorpe Roa'!$A$12:$A$130,"&lt;"&amp;Diagram!$P33),SUMIFS(INDIRECT(ADDRESS(12,3+18*3+(15),,,"J1 A - (North) Bishopthorpe Roa")&amp;":"&amp;ADDRESS(130,3+18*3+(15))),'J1 A - (North) Bishopthorpe Roa'!$A$12:$A$130,"&gt;="&amp;Diagram!$O33,'J1 A - (North) Bishopthorpe Roa'!$A$12:$A$130,"&lt;"&amp;Diagram!$P33)))</f>
        <v>0</v>
      </c>
      <c r="EI33" s="42">
        <f ca="1">IF(OR($I$10="",$O33="",$P33="",$J$42&lt;&gt;"Yes"),0,IF($K$10=0,SUMIFS(INDIRECT(ADDRESS(12,3+18*0+(7),,,"J1 A - (North) Bishopthorpe Roa")&amp;":"&amp;ADDRESS(130,3+18*0+(7))),'J1 A - (North) Bishopthorpe Roa'!$A$12:$A$130,"&gt;="&amp;Diagram!$O33,'J1 A - (North) Bishopthorpe Roa'!$A$12:$A$130,"&lt;"&amp;Diagram!$P33),SUMIFS(INDIRECT(ADDRESS(12,3+18*0+(15),,,"J1 A - (North) Bishopthorpe Roa")&amp;":"&amp;ADDRESS(130,3+18*0+(15))),'J1 A - (North) Bishopthorpe Roa'!$A$12:$A$130,"&gt;="&amp;Diagram!$O33,'J1 A - (North) Bishopthorpe Roa'!$A$12:$A$130,"&lt;"&amp;Diagram!$P33)))</f>
        <v>0</v>
      </c>
      <c r="EJ33" s="42">
        <f ca="1">IF(OR($I$10="",$O33="",$P33="",$J$42&lt;&gt;"Yes"),0,IF($K$10=0,SUMIFS(INDIRECT(ADDRESS(12,3+18*1+(7),,,"J1 A - (North) Bishopthorpe Roa")&amp;":"&amp;ADDRESS(130,3+18*1+(7))),'J1 A - (North) Bishopthorpe Roa'!$A$12:$A$130,"&gt;="&amp;Diagram!$O33,'J1 A - (North) Bishopthorpe Roa'!$A$12:$A$130,"&lt;"&amp;Diagram!$P33),SUMIFS(INDIRECT(ADDRESS(12,3+18*1+(15),,,"J1 A - (North) Bishopthorpe Roa")&amp;":"&amp;ADDRESS(130,3+18*1+(15))),'J1 A - (North) Bishopthorpe Roa'!$A$12:$A$130,"&gt;="&amp;Diagram!$O33,'J1 A - (North) Bishopthorpe Roa'!$A$12:$A$130,"&lt;"&amp;Diagram!$P33)))</f>
        <v>0</v>
      </c>
      <c r="EK33" s="42">
        <f ca="1">IF(OR($I$10="",$O33="",$P33="",$J$42&lt;&gt;"Yes"),0,IF($K$10=0,SUMIFS(INDIRECT(ADDRESS(12,3+18*2+(7),,,"J1 A - (North) Bishopthorpe Roa")&amp;":"&amp;ADDRESS(130,3+18*2+(7))),'J1 A - (North) Bishopthorpe Roa'!$A$12:$A$130,"&gt;="&amp;Diagram!$O33,'J1 A - (North) Bishopthorpe Roa'!$A$12:$A$130,"&lt;"&amp;Diagram!$P33),SUMIFS(INDIRECT(ADDRESS(12,3+18*2+(15),,,"J1 A - (North) Bishopthorpe Roa")&amp;":"&amp;ADDRESS(130,3+18*2+(15))),'J1 A - (North) Bishopthorpe Roa'!$A$12:$A$130,"&gt;="&amp;Diagram!$O33,'J1 A - (North) Bishopthorpe Roa'!$A$12:$A$130,"&lt;"&amp;Diagram!$P33)))</f>
        <v>0</v>
      </c>
      <c r="EL33" s="42">
        <f ca="1">IF(OR($I$10="",$O33="",$P33="",$J$42&lt;&gt;"Yes"),0,IF($K$10=0,SUMIFS(INDIRECT(ADDRESS(12,3+18*2+(7),,,"J1 B - Butcher Terrace")&amp;":"&amp;ADDRESS(130,3+18*2+(7))),'J1 B - Butcher Terrace'!$A$12:$A$130,"&gt;="&amp;Diagram!$O33,'J1 B - Butcher Terrace'!$A$12:$A$130,"&lt;"&amp;Diagram!$P33),SUMIFS(INDIRECT(ADDRESS(12,3+18*2+(15),,,"J1 B - Butcher Terrace")&amp;":"&amp;ADDRESS(130,3+18*2+(15))),'J1 B - Butcher Terrace'!$A$12:$A$130,"&gt;="&amp;Diagram!$O33,'J1 B - Butcher Terrace'!$A$12:$A$130,"&lt;"&amp;Diagram!$P33)))</f>
        <v>2</v>
      </c>
      <c r="EM33" s="42">
        <f ca="1">IF(OR($I$10="",$O33="",$P33="",$J$42&lt;&gt;"Yes"),0,IF($K$10=0,SUMIFS(INDIRECT(ADDRESS(12,3+18*3+(7),,,"J1 B - Butcher Terrace")&amp;":"&amp;ADDRESS(130,3+18*3+(7))),'J1 B - Butcher Terrace'!$A$12:$A$130,"&gt;="&amp;Diagram!$O33,'J1 B - Butcher Terrace'!$A$12:$A$130,"&lt;"&amp;Diagram!$P33),SUMIFS(INDIRECT(ADDRESS(12,3+18*3+(15),,,"J1 B - Butcher Terrace")&amp;":"&amp;ADDRESS(130,3+18*3+(15))),'J1 B - Butcher Terrace'!$A$12:$A$130,"&gt;="&amp;Diagram!$O33,'J1 B - Butcher Terrace'!$A$12:$A$130,"&lt;"&amp;Diagram!$P33)))</f>
        <v>0</v>
      </c>
      <c r="EN33" s="42">
        <f ca="1">IF(OR($I$10="",$O33="",$P33="",$J$42&lt;&gt;"Yes"),0,IF($K$10=0,SUMIFS(INDIRECT(ADDRESS(12,3+18*0+(7),,,"J1 B - Butcher Terrace")&amp;":"&amp;ADDRESS(130,3+18*0+(7))),'J1 B - Butcher Terrace'!$A$12:$A$130,"&gt;="&amp;Diagram!$O33,'J1 B - Butcher Terrace'!$A$12:$A$130,"&lt;"&amp;Diagram!$P33),SUMIFS(INDIRECT(ADDRESS(12,3+18*0+(15),,,"J1 B - Butcher Terrace")&amp;":"&amp;ADDRESS(130,3+18*0+(15))),'J1 B - Butcher Terrace'!$A$12:$A$130,"&gt;="&amp;Diagram!$O33,'J1 B - Butcher Terrace'!$A$12:$A$130,"&lt;"&amp;Diagram!$P33)))</f>
        <v>2</v>
      </c>
      <c r="EO33" s="42">
        <f ca="1">IF(OR($I$10="",$O33="",$P33="",$J$42&lt;&gt;"Yes"),0,IF($K$10=0,SUMIFS(INDIRECT(ADDRESS(12,3+18*1+(7),,,"J1 B - Butcher Terrace")&amp;":"&amp;ADDRESS(130,3+18*1+(7))),'J1 B - Butcher Terrace'!$A$12:$A$130,"&gt;="&amp;Diagram!$O33,'J1 B - Butcher Terrace'!$A$12:$A$130,"&lt;"&amp;Diagram!$P33),SUMIFS(INDIRECT(ADDRESS(12,3+18*1+(15),,,"J1 B - Butcher Terrace")&amp;":"&amp;ADDRESS(130,3+18*1+(15))),'J1 B - Butcher Terrace'!$A$12:$A$130,"&gt;="&amp;Diagram!$O33,'J1 B - Butcher Terrace'!$A$12:$A$130,"&lt;"&amp;Diagram!$P33)))</f>
        <v>0</v>
      </c>
      <c r="EP33" s="42">
        <f ca="1">IF(OR($I$10="",$O33="",$P33="",$J$42&lt;&gt;"Yes"),0,IF($K$10=0,SUMIFS(INDIRECT(ADDRESS(12,3+18*1+(7),,,"J1 C - (South) Bishopthorpe Roa")&amp;":"&amp;ADDRESS(130,3+18*1+(7))),'J1 C - (South) Bishopthorpe Roa'!$A$12:$A$130,"&gt;="&amp;Diagram!$O33,'J1 C - (South) Bishopthorpe Roa'!$A$12:$A$130,"&lt;"&amp;Diagram!$P33),SUMIFS(INDIRECT(ADDRESS(12,3+18*1+(15),,,"J1 C - (South) Bishopthorpe Roa")&amp;":"&amp;ADDRESS(130,3+18*1+(15))),'J1 C - (South) Bishopthorpe Roa'!$A$12:$A$130,"&gt;="&amp;Diagram!$O33,'J1 C - (South) Bishopthorpe Roa'!$A$12:$A$130,"&lt;"&amp;Diagram!$P33)))</f>
        <v>0</v>
      </c>
      <c r="EQ33" s="42">
        <f ca="1">IF(OR($I$10="",$O33="",$P33="",$J$42&lt;&gt;"Yes"),0,IF($K$10=0,SUMIFS(INDIRECT(ADDRESS(12,3+18*2+(7),,,"J1 C - (South) Bishopthorpe Roa")&amp;":"&amp;ADDRESS(130,3+18*2+(7))),'J1 C - (South) Bishopthorpe Roa'!$A$12:$A$130,"&gt;="&amp;Diagram!$O33,'J1 C - (South) Bishopthorpe Roa'!$A$12:$A$130,"&lt;"&amp;Diagram!$P33),SUMIFS(INDIRECT(ADDRESS(12,3+18*2+(15),,,"J1 C - (South) Bishopthorpe Roa")&amp;":"&amp;ADDRESS(130,3+18*2+(15))),'J1 C - (South) Bishopthorpe Roa'!$A$12:$A$130,"&gt;="&amp;Diagram!$O33,'J1 C - (South) Bishopthorpe Roa'!$A$12:$A$130,"&lt;"&amp;Diagram!$P33)))</f>
        <v>0</v>
      </c>
      <c r="ER33" s="42">
        <f ca="1">IF(OR($I$10="",$O33="",$P33="",$J$42&lt;&gt;"Yes"),0,IF($K$10=0,SUMIFS(INDIRECT(ADDRESS(12,3+18*3+(7),,,"J1 C - (South) Bishopthorpe Roa")&amp;":"&amp;ADDRESS(130,3+18*3+(7))),'J1 C - (South) Bishopthorpe Roa'!$A$12:$A$130,"&gt;="&amp;Diagram!$O33,'J1 C - (South) Bishopthorpe Roa'!$A$12:$A$130,"&lt;"&amp;Diagram!$P33),SUMIFS(INDIRECT(ADDRESS(12,3+18*3+(15),,,"J1 C - (South) Bishopthorpe Roa")&amp;":"&amp;ADDRESS(130,3+18*3+(15))),'J1 C - (South) Bishopthorpe Roa'!$A$12:$A$130,"&gt;="&amp;Diagram!$O33,'J1 C - (South) Bishopthorpe Roa'!$A$12:$A$130,"&lt;"&amp;Diagram!$P33)))</f>
        <v>0</v>
      </c>
      <c r="ES33" s="42">
        <f ca="1">IF(OR($I$10="",$O33="",$P33="",$J$42&lt;&gt;"Yes"),0,IF($K$10=0,SUMIFS(INDIRECT(ADDRESS(12,3+18*0+(7),,,"J1 C - (South) Bishopthorpe Roa")&amp;":"&amp;ADDRESS(130,3+18*0+(7))),'J1 C - (South) Bishopthorpe Roa'!$A$12:$A$130,"&gt;="&amp;Diagram!$O33,'J1 C - (South) Bishopthorpe Roa'!$A$12:$A$130,"&lt;"&amp;Diagram!$P33),SUMIFS(INDIRECT(ADDRESS(12,3+18*0+(15),,,"J1 C - (South) Bishopthorpe Roa")&amp;":"&amp;ADDRESS(130,3+18*0+(15))),'J1 C - (South) Bishopthorpe Roa'!$A$12:$A$130,"&gt;="&amp;Diagram!$O33,'J1 C - (South) Bishopthorpe Roa'!$A$12:$A$130,"&lt;"&amp;Diagram!$P33)))</f>
        <v>0</v>
      </c>
      <c r="ET33" s="42">
        <f ca="1">IF(OR($I$10="",$O33="",$P33="",$J$42&lt;&gt;"Yes"),0,IF($K$10=0,SUMIFS(INDIRECT(ADDRESS(12,3+18*0+(7),,,"J1 D - South Bank Avenue")&amp;":"&amp;ADDRESS(130,3+18*0+(7))),'J1 D - South Bank Avenue'!$A$12:$A$130,"&gt;="&amp;Diagram!$O33,'J1 D - South Bank Avenue'!$A$12:$A$130,"&lt;"&amp;Diagram!$P33),SUMIFS(INDIRECT(ADDRESS(12,3+18*0+(15),,,"J1 D - South Bank Avenue")&amp;":"&amp;ADDRESS(130,3+18*0+(15))),'J1 D - South Bank Avenue'!$A$12:$A$130,"&gt;="&amp;Diagram!$O33,'J1 D - South Bank Avenue'!$A$12:$A$130,"&lt;"&amp;Diagram!$P33)))</f>
        <v>0</v>
      </c>
      <c r="EU33" s="42">
        <f ca="1">IF(OR($I$10="",$O33="",$P33="",$J$42&lt;&gt;"Yes"),0,IF($K$10=0,SUMIFS(INDIRECT(ADDRESS(12,3+18*1+(7),,,"J1 D - South Bank Avenue")&amp;":"&amp;ADDRESS(130,3+18*1+(7))),'J1 D - South Bank Avenue'!$A$12:$A$130,"&gt;="&amp;Diagram!$O33,'J1 D - South Bank Avenue'!$A$12:$A$130,"&lt;"&amp;Diagram!$P33),SUMIFS(INDIRECT(ADDRESS(12,3+18*1+(15),,,"J1 D - South Bank Avenue")&amp;":"&amp;ADDRESS(130,3+18*1+(15))),'J1 D - South Bank Avenue'!$A$12:$A$130,"&gt;="&amp;Diagram!$O33,'J1 D - South Bank Avenue'!$A$12:$A$130,"&lt;"&amp;Diagram!$P33)))</f>
        <v>0</v>
      </c>
      <c r="EV33" s="42">
        <f ca="1">IF(OR($I$10="",$O33="",$P33="",$J$42&lt;&gt;"Yes"),0,IF($K$10=0,SUMIFS(INDIRECT(ADDRESS(12,3+18*2+(7),,,"J1 D - South Bank Avenue")&amp;":"&amp;ADDRESS(130,3+18*2+(7))),'J1 D - South Bank Avenue'!$A$12:$A$130,"&gt;="&amp;Diagram!$O33,'J1 D - South Bank Avenue'!$A$12:$A$130,"&lt;"&amp;Diagram!$P33),SUMIFS(INDIRECT(ADDRESS(12,3+18*2+(15),,,"J1 D - South Bank Avenue")&amp;":"&amp;ADDRESS(130,3+18*2+(15))),'J1 D - South Bank Avenue'!$A$12:$A$130,"&gt;="&amp;Diagram!$O33,'J1 D - South Bank Avenue'!$A$12:$A$130,"&lt;"&amp;Diagram!$P33)))</f>
        <v>0</v>
      </c>
      <c r="EW33" s="42">
        <f ca="1">IF(OR($I$10="",$O33="",$P33="",$J$42&lt;&gt;"Yes"),0,IF($K$10=0,SUMIFS(INDIRECT(ADDRESS(12,3+18*3+(7),,,"J1 D - South Bank Avenue")&amp;":"&amp;ADDRESS(130,3+18*3+(7))),'J1 D - South Bank Avenue'!$A$12:$A$130,"&gt;="&amp;Diagram!$O33,'J1 D - South Bank Avenue'!$A$12:$A$130,"&lt;"&amp;Diagram!$P33),SUMIFS(INDIRECT(ADDRESS(12,3+18*3+(15),,,"J1 D - South Bank Avenue")&amp;":"&amp;ADDRESS(130,3+18*3+(15))),'J1 D - South Bank Avenue'!$A$12:$A$130,"&gt;="&amp;Diagram!$O33,'J1 D - South Bank Avenue'!$A$12:$A$130,"&lt;"&amp;Diagram!$P33)))</f>
        <v>0</v>
      </c>
    </row>
    <row r="34" spans="1:153" ht="21" customHeight="1">
      <c r="A34" s="1">
        <v>44395.34375</v>
      </c>
      <c r="B34" s="1">
        <v>44395.354166666701</v>
      </c>
      <c r="I34" s="37" t="s">
        <v>164</v>
      </c>
      <c r="J34" s="37" t="s">
        <v>165</v>
      </c>
      <c r="O34" s="3">
        <v>44395.34375</v>
      </c>
      <c r="P34" s="3">
        <v>44395.385416666701</v>
      </c>
      <c r="Q34" s="42">
        <f t="shared" ca="1" si="0"/>
        <v>753</v>
      </c>
      <c r="R34" s="42">
        <f t="shared" ca="1" si="1"/>
        <v>518</v>
      </c>
      <c r="S34" s="42">
        <f ca="1">IF(OR($I$10="",$O34="",$P34="",$J$35&lt;&gt;"Yes"),0,IF($K$10=0,SUMIFS(INDIRECT(ADDRESS(12,3+18*3+(0),,,"J1 A - (North) Bishopthorpe Roa")&amp;":"&amp;ADDRESS(130,3+18*3+(0))),'J1 A - (North) Bishopthorpe Roa'!$A$12:$A$130,"&gt;="&amp;Diagram!$O34,'J1 A - (North) Bishopthorpe Roa'!$A$12:$A$130,"&lt;"&amp;Diagram!$P34),SUMIFS(INDIRECT(ADDRESS(12,3+18*3+(8),,,"J1 A - (North) Bishopthorpe Roa")&amp;":"&amp;ADDRESS(130,3+18*3+(8))),'J1 A - (North) Bishopthorpe Roa'!$A$12:$A$130,"&gt;="&amp;Diagram!$O34,'J1 A - (North) Bishopthorpe Roa'!$A$12:$A$130,"&lt;"&amp;Diagram!$P34)))</f>
        <v>2</v>
      </c>
      <c r="T34" s="42">
        <f ca="1">IF(OR($I$10="",$O34="",$P34="",$J$35&lt;&gt;"Yes"),0,IF($K$10=0,SUMIFS(INDIRECT(ADDRESS(12,3+18*0+(0),,,"J1 A - (North) Bishopthorpe Roa")&amp;":"&amp;ADDRESS(130,3+18*0+(0))),'J1 A - (North) Bishopthorpe Roa'!$A$12:$A$130,"&gt;="&amp;Diagram!$O34,'J1 A - (North) Bishopthorpe Roa'!$A$12:$A$130,"&lt;"&amp;Diagram!$P34),SUMIFS(INDIRECT(ADDRESS(12,3+18*0+(8),,,"J1 A - (North) Bishopthorpe Roa")&amp;":"&amp;ADDRESS(130,3+18*0+(8))),'J1 A - (North) Bishopthorpe Roa'!$A$12:$A$130,"&gt;="&amp;Diagram!$O34,'J1 A - (North) Bishopthorpe Roa'!$A$12:$A$130,"&lt;"&amp;Diagram!$P34)))</f>
        <v>1</v>
      </c>
      <c r="U34" s="42">
        <f ca="1">IF(OR($I$10="",$O34="",$P34="",$J$35&lt;&gt;"Yes"),0,IF($K$10=0,SUMIFS(INDIRECT(ADDRESS(12,3+18*1+(0),,,"J1 A - (North) Bishopthorpe Roa")&amp;":"&amp;ADDRESS(130,3+18*1+(0))),'J1 A - (North) Bishopthorpe Roa'!$A$12:$A$130,"&gt;="&amp;Diagram!$O34,'J1 A - (North) Bishopthorpe Roa'!$A$12:$A$130,"&lt;"&amp;Diagram!$P34),SUMIFS(INDIRECT(ADDRESS(12,3+18*1+(8),,,"J1 A - (North) Bishopthorpe Roa")&amp;":"&amp;ADDRESS(130,3+18*1+(8))),'J1 A - (North) Bishopthorpe Roa'!$A$12:$A$130,"&gt;="&amp;Diagram!$O34,'J1 A - (North) Bishopthorpe Roa'!$A$12:$A$130,"&lt;"&amp;Diagram!$P34)))</f>
        <v>177</v>
      </c>
      <c r="V34" s="42">
        <f ca="1">IF(OR($I$10="",$O34="",$P34="",$J$35&lt;&gt;"Yes"),0,IF($K$10=0,SUMIFS(INDIRECT(ADDRESS(12,3+18*2+(0),,,"J1 A - (North) Bishopthorpe Roa")&amp;":"&amp;ADDRESS(130,3+18*2+(0))),'J1 A - (North) Bishopthorpe Roa'!$A$12:$A$130,"&gt;="&amp;Diagram!$O34,'J1 A - (North) Bishopthorpe Roa'!$A$12:$A$130,"&lt;"&amp;Diagram!$P34),SUMIFS(INDIRECT(ADDRESS(12,3+18*2+(8),,,"J1 A - (North) Bishopthorpe Roa")&amp;":"&amp;ADDRESS(130,3+18*2+(8))),'J1 A - (North) Bishopthorpe Roa'!$A$12:$A$130,"&gt;="&amp;Diagram!$O34,'J1 A - (North) Bishopthorpe Roa'!$A$12:$A$130,"&lt;"&amp;Diagram!$P34)))</f>
        <v>12</v>
      </c>
      <c r="W34" s="42">
        <f ca="1">IF(OR($I$10="",$O34="",$P34="",$J$35&lt;&gt;"Yes"),0,IF($K$10=0,SUMIFS(INDIRECT(ADDRESS(12,3+18*2+(0),,,"J1 B - Butcher Terrace")&amp;":"&amp;ADDRESS(130,3+18*2+(0))),'J1 B - Butcher Terrace'!$A$12:$A$130,"&gt;="&amp;Diagram!$O34,'J1 B - Butcher Terrace'!$A$12:$A$130,"&lt;"&amp;Diagram!$P34),SUMIFS(INDIRECT(ADDRESS(12,3+18*2+(8),,,"J1 B - Butcher Terrace")&amp;":"&amp;ADDRESS(130,3+18*2+(8))),'J1 B - Butcher Terrace'!$A$12:$A$130,"&gt;="&amp;Diagram!$O34,'J1 B - Butcher Terrace'!$A$12:$A$130,"&lt;"&amp;Diagram!$P34)))</f>
        <v>11</v>
      </c>
      <c r="X34" s="42">
        <f ca="1">IF(OR($I$10="",$O34="",$P34="",$J$35&lt;&gt;"Yes"),0,IF($K$10=0,SUMIFS(INDIRECT(ADDRESS(12,3+18*3+(0),,,"J1 B - Butcher Terrace")&amp;":"&amp;ADDRESS(130,3+18*3+(0))),'J1 B - Butcher Terrace'!$A$12:$A$130,"&gt;="&amp;Diagram!$O34,'J1 B - Butcher Terrace'!$A$12:$A$130,"&lt;"&amp;Diagram!$P34),SUMIFS(INDIRECT(ADDRESS(12,3+18*3+(8),,,"J1 B - Butcher Terrace")&amp;":"&amp;ADDRESS(130,3+18*3+(8))),'J1 B - Butcher Terrace'!$A$12:$A$130,"&gt;="&amp;Diagram!$O34,'J1 B - Butcher Terrace'!$A$12:$A$130,"&lt;"&amp;Diagram!$P34)))</f>
        <v>0</v>
      </c>
      <c r="Y34" s="42">
        <f ca="1">IF(OR($I$10="",$O34="",$P34="",$J$35&lt;&gt;"Yes"),0,IF($K$10=0,SUMIFS(INDIRECT(ADDRESS(12,3+18*0+(0),,,"J1 B - Butcher Terrace")&amp;":"&amp;ADDRESS(130,3+18*0+(0))),'J1 B - Butcher Terrace'!$A$12:$A$130,"&gt;="&amp;Diagram!$O34,'J1 B - Butcher Terrace'!$A$12:$A$130,"&lt;"&amp;Diagram!$P34),SUMIFS(INDIRECT(ADDRESS(12,3+18*0+(8),,,"J1 B - Butcher Terrace")&amp;":"&amp;ADDRESS(130,3+18*0+(8))),'J1 B - Butcher Terrace'!$A$12:$A$130,"&gt;="&amp;Diagram!$O34,'J1 B - Butcher Terrace'!$A$12:$A$130,"&lt;"&amp;Diagram!$P34)))</f>
        <v>5</v>
      </c>
      <c r="Z34" s="42">
        <f ca="1">IF(OR($I$10="",$O34="",$P34="",$J$35&lt;&gt;"Yes"),0,IF($K$10=0,SUMIFS(INDIRECT(ADDRESS(12,3+18*1+(0),,,"J1 B - Butcher Terrace")&amp;":"&amp;ADDRESS(130,3+18*1+(0))),'J1 B - Butcher Terrace'!$A$12:$A$130,"&gt;="&amp;Diagram!$O34,'J1 B - Butcher Terrace'!$A$12:$A$130,"&lt;"&amp;Diagram!$P34),SUMIFS(INDIRECT(ADDRESS(12,3+18*1+(8),,,"J1 B - Butcher Terrace")&amp;":"&amp;ADDRESS(130,3+18*1+(8))),'J1 B - Butcher Terrace'!$A$12:$A$130,"&gt;="&amp;Diagram!$O34,'J1 B - Butcher Terrace'!$A$12:$A$130,"&lt;"&amp;Diagram!$P34)))</f>
        <v>1</v>
      </c>
      <c r="AA34" s="42">
        <f ca="1">IF(OR($I$10="",$O34="",$P34="",$J$35&lt;&gt;"Yes"),0,IF($K$10=0,SUMIFS(INDIRECT(ADDRESS(12,3+18*1+(0),,,"J1 C - (South) Bishopthorpe Roa")&amp;":"&amp;ADDRESS(130,3+18*1+(0))),'J1 C - (South) Bishopthorpe Roa'!$A$12:$A$130,"&gt;="&amp;Diagram!$O34,'J1 C - (South) Bishopthorpe Roa'!$A$12:$A$130,"&lt;"&amp;Diagram!$P34),SUMIFS(INDIRECT(ADDRESS(12,3+18*1+(8),,,"J1 C - (South) Bishopthorpe Roa")&amp;":"&amp;ADDRESS(130,3+18*1+(8))),'J1 C - (South) Bishopthorpe Roa'!$A$12:$A$130,"&gt;="&amp;Diagram!$O34,'J1 C - (South) Bishopthorpe Roa'!$A$12:$A$130,"&lt;"&amp;Diagram!$P34)))</f>
        <v>255</v>
      </c>
      <c r="AB34" s="42">
        <f ca="1">IF(OR($I$10="",$O34="",$P34="",$J$35&lt;&gt;"Yes"),0,IF($K$10=0,SUMIFS(INDIRECT(ADDRESS(12,3+18*2+(0),,,"J1 C - (South) Bishopthorpe Roa")&amp;":"&amp;ADDRESS(130,3+18*2+(0))),'J1 C - (South) Bishopthorpe Roa'!$A$12:$A$130,"&gt;="&amp;Diagram!$O34,'J1 C - (South) Bishopthorpe Roa'!$A$12:$A$130,"&lt;"&amp;Diagram!$P34),SUMIFS(INDIRECT(ADDRESS(12,3+18*2+(8),,,"J1 C - (South) Bishopthorpe Roa")&amp;":"&amp;ADDRESS(130,3+18*2+(8))),'J1 C - (South) Bishopthorpe Roa'!$A$12:$A$130,"&gt;="&amp;Diagram!$O34,'J1 C - (South) Bishopthorpe Roa'!$A$12:$A$130,"&lt;"&amp;Diagram!$P34)))</f>
        <v>4</v>
      </c>
      <c r="AC34" s="42">
        <f ca="1">IF(OR($I$10="",$O34="",$P34="",$J$35&lt;&gt;"Yes"),0,IF($K$10=0,SUMIFS(INDIRECT(ADDRESS(12,3+18*3+(0),,,"J1 C - (South) Bishopthorpe Roa")&amp;":"&amp;ADDRESS(130,3+18*3+(0))),'J1 C - (South) Bishopthorpe Roa'!$A$12:$A$130,"&gt;="&amp;Diagram!$O34,'J1 C - (South) Bishopthorpe Roa'!$A$12:$A$130,"&lt;"&amp;Diagram!$P34),SUMIFS(INDIRECT(ADDRESS(12,3+18*3+(8),,,"J1 C - (South) Bishopthorpe Roa")&amp;":"&amp;ADDRESS(130,3+18*3+(8))),'J1 C - (South) Bishopthorpe Roa'!$A$12:$A$130,"&gt;="&amp;Diagram!$O34,'J1 C - (South) Bishopthorpe Roa'!$A$12:$A$130,"&lt;"&amp;Diagram!$P34)))</f>
        <v>0</v>
      </c>
      <c r="AD34" s="42">
        <f ca="1">IF(OR($I$10="",$O34="",$P34="",$J$35&lt;&gt;"Yes"),0,IF($K$10=0,SUMIFS(INDIRECT(ADDRESS(12,3+18*0+(0),,,"J1 C - (South) Bishopthorpe Roa")&amp;":"&amp;ADDRESS(130,3+18*0+(0))),'J1 C - (South) Bishopthorpe Roa'!$A$12:$A$130,"&gt;="&amp;Diagram!$O34,'J1 C - (South) Bishopthorpe Roa'!$A$12:$A$130,"&lt;"&amp;Diagram!$P34),SUMIFS(INDIRECT(ADDRESS(12,3+18*0+(8),,,"J1 C - (South) Bishopthorpe Roa")&amp;":"&amp;ADDRESS(130,3+18*0+(8))),'J1 C - (South) Bishopthorpe Roa'!$A$12:$A$130,"&gt;="&amp;Diagram!$O34,'J1 C - (South) Bishopthorpe Roa'!$A$12:$A$130,"&lt;"&amp;Diagram!$P34)))</f>
        <v>12</v>
      </c>
      <c r="AE34" s="42">
        <f ca="1">IF(OR($I$10="",$O34="",$P34="",$J$35&lt;&gt;"Yes"),0,IF($K$10=0,SUMIFS(INDIRECT(ADDRESS(12,3+18*0+(0),,,"J1 D - South Bank Avenue")&amp;":"&amp;ADDRESS(130,3+18*0+(0))),'J1 D - South Bank Avenue'!$A$12:$A$130,"&gt;="&amp;Diagram!$O34,'J1 D - South Bank Avenue'!$A$12:$A$130,"&lt;"&amp;Diagram!$P34),SUMIFS(INDIRECT(ADDRESS(12,3+18*0+(8),,,"J1 D - South Bank Avenue")&amp;":"&amp;ADDRESS(130,3+18*0+(8))),'J1 D - South Bank Avenue'!$A$12:$A$130,"&gt;="&amp;Diagram!$O34,'J1 D - South Bank Avenue'!$A$12:$A$130,"&lt;"&amp;Diagram!$P34)))</f>
        <v>29</v>
      </c>
      <c r="AF34" s="42">
        <f ca="1">IF(OR($I$10="",$O34="",$P34="",$J$35&lt;&gt;"Yes"),0,IF($K$10=0,SUMIFS(INDIRECT(ADDRESS(12,3+18*1+(0),,,"J1 D - South Bank Avenue")&amp;":"&amp;ADDRESS(130,3+18*1+(0))),'J1 D - South Bank Avenue'!$A$12:$A$130,"&gt;="&amp;Diagram!$O34,'J1 D - South Bank Avenue'!$A$12:$A$130,"&lt;"&amp;Diagram!$P34),SUMIFS(INDIRECT(ADDRESS(12,3+18*1+(8),,,"J1 D - South Bank Avenue")&amp;":"&amp;ADDRESS(130,3+18*1+(8))),'J1 D - South Bank Avenue'!$A$12:$A$130,"&gt;="&amp;Diagram!$O34,'J1 D - South Bank Avenue'!$A$12:$A$130,"&lt;"&amp;Diagram!$P34)))</f>
        <v>0</v>
      </c>
      <c r="AG34" s="42">
        <f ca="1">IF(OR($I$10="",$O34="",$P34="",$J$35&lt;&gt;"Yes"),0,IF($K$10=0,SUMIFS(INDIRECT(ADDRESS(12,3+18*2+(0),,,"J1 D - South Bank Avenue")&amp;":"&amp;ADDRESS(130,3+18*2+(0))),'J1 D - South Bank Avenue'!$A$12:$A$130,"&gt;="&amp;Diagram!$O34,'J1 D - South Bank Avenue'!$A$12:$A$130,"&lt;"&amp;Diagram!$P34),SUMIFS(INDIRECT(ADDRESS(12,3+18*2+(8),,,"J1 D - South Bank Avenue")&amp;":"&amp;ADDRESS(130,3+18*2+(8))),'J1 D - South Bank Avenue'!$A$12:$A$130,"&gt;="&amp;Diagram!$O34,'J1 D - South Bank Avenue'!$A$12:$A$130,"&lt;"&amp;Diagram!$P34)))</f>
        <v>9</v>
      </c>
      <c r="AH34" s="42">
        <f ca="1">IF(OR($I$10="",$O34="",$P34="",$J$35&lt;&gt;"Yes"),0,IF($K$10=0,SUMIFS(INDIRECT(ADDRESS(12,3+18*3+(0),,,"J1 D - South Bank Avenue")&amp;":"&amp;ADDRESS(130,3+18*3+(0))),'J1 D - South Bank Avenue'!$A$12:$A$130,"&gt;="&amp;Diagram!$O34,'J1 D - South Bank Avenue'!$A$12:$A$130,"&lt;"&amp;Diagram!$P34),SUMIFS(INDIRECT(ADDRESS(12,3+18*3+(8),,,"J1 D - South Bank Avenue")&amp;":"&amp;ADDRESS(130,3+18*3+(8))),'J1 D - South Bank Avenue'!$A$12:$A$130,"&gt;="&amp;Diagram!$O34,'J1 D - South Bank Avenue'!$A$12:$A$130,"&lt;"&amp;Diagram!$P34)))</f>
        <v>0</v>
      </c>
      <c r="AI34" s="42">
        <f t="shared" ca="1" si="2"/>
        <v>91</v>
      </c>
      <c r="AJ34" s="42">
        <f ca="1">IF(OR($I$10="",$O34="",$P34="",$J$36&lt;&gt;"Yes"),0,IF($K$10=0,SUMIFS(INDIRECT(ADDRESS(12,3+18*3+(1),,,"J1 A - (North) Bishopthorpe Roa")&amp;":"&amp;ADDRESS(130,3+18*3+(1))),'J1 A - (North) Bishopthorpe Roa'!$A$12:$A$130,"&gt;="&amp;Diagram!$O34,'J1 A - (North) Bishopthorpe Roa'!$A$12:$A$130,"&lt;"&amp;Diagram!$P34),SUMIFS(INDIRECT(ADDRESS(12,3+18*3+(9),,,"J1 A - (North) Bishopthorpe Roa")&amp;":"&amp;ADDRESS(130,3+18*3+(9))),'J1 A - (North) Bishopthorpe Roa'!$A$12:$A$130,"&gt;="&amp;Diagram!$O34,'J1 A - (North) Bishopthorpe Roa'!$A$12:$A$130,"&lt;"&amp;Diagram!$P34)))</f>
        <v>0</v>
      </c>
      <c r="AK34" s="42">
        <f ca="1">IF(OR($I$10="",$O34="",$P34="",$J$36&lt;&gt;"Yes"),0,IF($K$10=0,SUMIFS(INDIRECT(ADDRESS(12,3+18*0+(1),,,"J1 A - (North) Bishopthorpe Roa")&amp;":"&amp;ADDRESS(130,3+18*0+(1))),'J1 A - (North) Bishopthorpe Roa'!$A$12:$A$130,"&gt;="&amp;Diagram!$O34,'J1 A - (North) Bishopthorpe Roa'!$A$12:$A$130,"&lt;"&amp;Diagram!$P34),SUMIFS(INDIRECT(ADDRESS(12,3+18*0+(9),,,"J1 A - (North) Bishopthorpe Roa")&amp;":"&amp;ADDRESS(130,3+18*0+(9))),'J1 A - (North) Bishopthorpe Roa'!$A$12:$A$130,"&gt;="&amp;Diagram!$O34,'J1 A - (North) Bishopthorpe Roa'!$A$12:$A$130,"&lt;"&amp;Diagram!$P34)))</f>
        <v>3</v>
      </c>
      <c r="AL34" s="42">
        <f ca="1">IF(OR($I$10="",$O34="",$P34="",$J$36&lt;&gt;"Yes"),0,IF($K$10=0,SUMIFS(INDIRECT(ADDRESS(12,3+18*1+(1),,,"J1 A - (North) Bishopthorpe Roa")&amp;":"&amp;ADDRESS(130,3+18*1+(1))),'J1 A - (North) Bishopthorpe Roa'!$A$12:$A$130,"&gt;="&amp;Diagram!$O34,'J1 A - (North) Bishopthorpe Roa'!$A$12:$A$130,"&lt;"&amp;Diagram!$P34),SUMIFS(INDIRECT(ADDRESS(12,3+18*1+(9),,,"J1 A - (North) Bishopthorpe Roa")&amp;":"&amp;ADDRESS(130,3+18*1+(9))),'J1 A - (North) Bishopthorpe Roa'!$A$12:$A$130,"&gt;="&amp;Diagram!$O34,'J1 A - (North) Bishopthorpe Roa'!$A$12:$A$130,"&lt;"&amp;Diagram!$P34)))</f>
        <v>32</v>
      </c>
      <c r="AM34" s="42">
        <f ca="1">IF(OR($I$10="",$O34="",$P34="",$J$36&lt;&gt;"Yes"),0,IF($K$10=0,SUMIFS(INDIRECT(ADDRESS(12,3+18*2+(1),,,"J1 A - (North) Bishopthorpe Roa")&amp;":"&amp;ADDRESS(130,3+18*2+(1))),'J1 A - (North) Bishopthorpe Roa'!$A$12:$A$130,"&gt;="&amp;Diagram!$O34,'J1 A - (North) Bishopthorpe Roa'!$A$12:$A$130,"&lt;"&amp;Diagram!$P34),SUMIFS(INDIRECT(ADDRESS(12,3+18*2+(9),,,"J1 A - (North) Bishopthorpe Roa")&amp;":"&amp;ADDRESS(130,3+18*2+(9))),'J1 A - (North) Bishopthorpe Roa'!$A$12:$A$130,"&gt;="&amp;Diagram!$O34,'J1 A - (North) Bishopthorpe Roa'!$A$12:$A$130,"&lt;"&amp;Diagram!$P34)))</f>
        <v>3</v>
      </c>
      <c r="AN34" s="42">
        <f ca="1">IF(OR($I$10="",$O34="",$P34="",$J$36&lt;&gt;"Yes"),0,IF($K$10=0,SUMIFS(INDIRECT(ADDRESS(12,3+18*2+(1),,,"J1 B - Butcher Terrace")&amp;":"&amp;ADDRESS(130,3+18*2+(1))),'J1 B - Butcher Terrace'!$A$12:$A$130,"&gt;="&amp;Diagram!$O34,'J1 B - Butcher Terrace'!$A$12:$A$130,"&lt;"&amp;Diagram!$P34),SUMIFS(INDIRECT(ADDRESS(12,3+18*2+(9),,,"J1 B - Butcher Terrace")&amp;":"&amp;ADDRESS(130,3+18*2+(9))),'J1 B - Butcher Terrace'!$A$12:$A$130,"&gt;="&amp;Diagram!$O34,'J1 B - Butcher Terrace'!$A$12:$A$130,"&lt;"&amp;Diagram!$P34)))</f>
        <v>1</v>
      </c>
      <c r="AO34" s="42">
        <f ca="1">IF(OR($I$10="",$O34="",$P34="",$J$36&lt;&gt;"Yes"),0,IF($K$10=0,SUMIFS(INDIRECT(ADDRESS(12,3+18*3+(1),,,"J1 B - Butcher Terrace")&amp;":"&amp;ADDRESS(130,3+18*3+(1))),'J1 B - Butcher Terrace'!$A$12:$A$130,"&gt;="&amp;Diagram!$O34,'J1 B - Butcher Terrace'!$A$12:$A$130,"&lt;"&amp;Diagram!$P34),SUMIFS(INDIRECT(ADDRESS(12,3+18*3+(9),,,"J1 B - Butcher Terrace")&amp;":"&amp;ADDRESS(130,3+18*3+(9))),'J1 B - Butcher Terrace'!$A$12:$A$130,"&gt;="&amp;Diagram!$O34,'J1 B - Butcher Terrace'!$A$12:$A$130,"&lt;"&amp;Diagram!$P34)))</f>
        <v>0</v>
      </c>
      <c r="AP34" s="42">
        <f ca="1">IF(OR($I$10="",$O34="",$P34="",$J$36&lt;&gt;"Yes"),0,IF($K$10=0,SUMIFS(INDIRECT(ADDRESS(12,3+18*0+(1),,,"J1 B - Butcher Terrace")&amp;":"&amp;ADDRESS(130,3+18*0+(1))),'J1 B - Butcher Terrace'!$A$12:$A$130,"&gt;="&amp;Diagram!$O34,'J1 B - Butcher Terrace'!$A$12:$A$130,"&lt;"&amp;Diagram!$P34),SUMIFS(INDIRECT(ADDRESS(12,3+18*0+(9),,,"J1 B - Butcher Terrace")&amp;":"&amp;ADDRESS(130,3+18*0+(9))),'J1 B - Butcher Terrace'!$A$12:$A$130,"&gt;="&amp;Diagram!$O34,'J1 B - Butcher Terrace'!$A$12:$A$130,"&lt;"&amp;Diagram!$P34)))</f>
        <v>6</v>
      </c>
      <c r="AQ34" s="42">
        <f ca="1">IF(OR($I$10="",$O34="",$P34="",$J$36&lt;&gt;"Yes"),0,IF($K$10=0,SUMIFS(INDIRECT(ADDRESS(12,3+18*1+(1),,,"J1 B - Butcher Terrace")&amp;":"&amp;ADDRESS(130,3+18*1+(1))),'J1 B - Butcher Terrace'!$A$12:$A$130,"&gt;="&amp;Diagram!$O34,'J1 B - Butcher Terrace'!$A$12:$A$130,"&lt;"&amp;Diagram!$P34),SUMIFS(INDIRECT(ADDRESS(12,3+18*1+(9),,,"J1 B - Butcher Terrace")&amp;":"&amp;ADDRESS(130,3+18*1+(9))),'J1 B - Butcher Terrace'!$A$12:$A$130,"&gt;="&amp;Diagram!$O34,'J1 B - Butcher Terrace'!$A$12:$A$130,"&lt;"&amp;Diagram!$P34)))</f>
        <v>0</v>
      </c>
      <c r="AR34" s="42">
        <f ca="1">IF(OR($I$10="",$O34="",$P34="",$J$36&lt;&gt;"Yes"),0,IF($K$10=0,SUMIFS(INDIRECT(ADDRESS(12,3+18*1+(1),,,"J1 C - (South) Bishopthorpe Roa")&amp;":"&amp;ADDRESS(130,3+18*1+(1))),'J1 C - (South) Bishopthorpe Roa'!$A$12:$A$130,"&gt;="&amp;Diagram!$O34,'J1 C - (South) Bishopthorpe Roa'!$A$12:$A$130,"&lt;"&amp;Diagram!$P34),SUMIFS(INDIRECT(ADDRESS(12,3+18*1+(9),,,"J1 C - (South) Bishopthorpe Roa")&amp;":"&amp;ADDRESS(130,3+18*1+(9))),'J1 C - (South) Bishopthorpe Roa'!$A$12:$A$130,"&gt;="&amp;Diagram!$O34,'J1 C - (South) Bishopthorpe Roa'!$A$12:$A$130,"&lt;"&amp;Diagram!$P34)))</f>
        <v>35</v>
      </c>
      <c r="AS34" s="42">
        <f ca="1">IF(OR($I$10="",$O34="",$P34="",$J$36&lt;&gt;"Yes"),0,IF($K$10=0,SUMIFS(INDIRECT(ADDRESS(12,3+18*2+(1),,,"J1 C - (South) Bishopthorpe Roa")&amp;":"&amp;ADDRESS(130,3+18*2+(1))),'J1 C - (South) Bishopthorpe Roa'!$A$12:$A$130,"&gt;="&amp;Diagram!$O34,'J1 C - (South) Bishopthorpe Roa'!$A$12:$A$130,"&lt;"&amp;Diagram!$P34),SUMIFS(INDIRECT(ADDRESS(12,3+18*2+(9),,,"J1 C - (South) Bishopthorpe Roa")&amp;":"&amp;ADDRESS(130,3+18*2+(9))),'J1 C - (South) Bishopthorpe Roa'!$A$12:$A$130,"&gt;="&amp;Diagram!$O34,'J1 C - (South) Bishopthorpe Roa'!$A$12:$A$130,"&lt;"&amp;Diagram!$P34)))</f>
        <v>0</v>
      </c>
      <c r="AT34" s="42">
        <f ca="1">IF(OR($I$10="",$O34="",$P34="",$J$36&lt;&gt;"Yes"),0,IF($K$10=0,SUMIFS(INDIRECT(ADDRESS(12,3+18*3+(1),,,"J1 C - (South) Bishopthorpe Roa")&amp;":"&amp;ADDRESS(130,3+18*3+(1))),'J1 C - (South) Bishopthorpe Roa'!$A$12:$A$130,"&gt;="&amp;Diagram!$O34,'J1 C - (South) Bishopthorpe Roa'!$A$12:$A$130,"&lt;"&amp;Diagram!$P34),SUMIFS(INDIRECT(ADDRESS(12,3+18*3+(9),,,"J1 C - (South) Bishopthorpe Roa")&amp;":"&amp;ADDRESS(130,3+18*3+(9))),'J1 C - (South) Bishopthorpe Roa'!$A$12:$A$130,"&gt;="&amp;Diagram!$O34,'J1 C - (South) Bishopthorpe Roa'!$A$12:$A$130,"&lt;"&amp;Diagram!$P34)))</f>
        <v>0</v>
      </c>
      <c r="AU34" s="42">
        <f ca="1">IF(OR($I$10="",$O34="",$P34="",$J$36&lt;&gt;"Yes"),0,IF($K$10=0,SUMIFS(INDIRECT(ADDRESS(12,3+18*0+(1),,,"J1 C - (South) Bishopthorpe Roa")&amp;":"&amp;ADDRESS(130,3+18*0+(1))),'J1 C - (South) Bishopthorpe Roa'!$A$12:$A$130,"&gt;="&amp;Diagram!$O34,'J1 C - (South) Bishopthorpe Roa'!$A$12:$A$130,"&lt;"&amp;Diagram!$P34),SUMIFS(INDIRECT(ADDRESS(12,3+18*0+(9),,,"J1 C - (South) Bishopthorpe Roa")&amp;":"&amp;ADDRESS(130,3+18*0+(9))),'J1 C - (South) Bishopthorpe Roa'!$A$12:$A$130,"&gt;="&amp;Diagram!$O34,'J1 C - (South) Bishopthorpe Roa'!$A$12:$A$130,"&lt;"&amp;Diagram!$P34)))</f>
        <v>5</v>
      </c>
      <c r="AV34" s="42">
        <f ca="1">IF(OR($I$10="",$O34="",$P34="",$J$36&lt;&gt;"Yes"),0,IF($K$10=0,SUMIFS(INDIRECT(ADDRESS(12,3+18*0+(1),,,"J1 D - South Bank Avenue")&amp;":"&amp;ADDRESS(130,3+18*0+(1))),'J1 D - South Bank Avenue'!$A$12:$A$130,"&gt;="&amp;Diagram!$O34,'J1 D - South Bank Avenue'!$A$12:$A$130,"&lt;"&amp;Diagram!$P34),SUMIFS(INDIRECT(ADDRESS(12,3+18*0+(9),,,"J1 D - South Bank Avenue")&amp;":"&amp;ADDRESS(130,3+18*0+(9))),'J1 D - South Bank Avenue'!$A$12:$A$130,"&gt;="&amp;Diagram!$O34,'J1 D - South Bank Avenue'!$A$12:$A$130,"&lt;"&amp;Diagram!$P34)))</f>
        <v>5</v>
      </c>
      <c r="AW34" s="42">
        <f ca="1">IF(OR($I$10="",$O34="",$P34="",$J$36&lt;&gt;"Yes"),0,IF($K$10=0,SUMIFS(INDIRECT(ADDRESS(12,3+18*1+(1),,,"J1 D - South Bank Avenue")&amp;":"&amp;ADDRESS(130,3+18*1+(1))),'J1 D - South Bank Avenue'!$A$12:$A$130,"&gt;="&amp;Diagram!$O34,'J1 D - South Bank Avenue'!$A$12:$A$130,"&lt;"&amp;Diagram!$P34),SUMIFS(INDIRECT(ADDRESS(12,3+18*1+(9),,,"J1 D - South Bank Avenue")&amp;":"&amp;ADDRESS(130,3+18*1+(9))),'J1 D - South Bank Avenue'!$A$12:$A$130,"&gt;="&amp;Diagram!$O34,'J1 D - South Bank Avenue'!$A$12:$A$130,"&lt;"&amp;Diagram!$P34)))</f>
        <v>0</v>
      </c>
      <c r="AX34" s="42">
        <f ca="1">IF(OR($I$10="",$O34="",$P34="",$J$36&lt;&gt;"Yes"),0,IF($K$10=0,SUMIFS(INDIRECT(ADDRESS(12,3+18*2+(1),,,"J1 D - South Bank Avenue")&amp;":"&amp;ADDRESS(130,3+18*2+(1))),'J1 D - South Bank Avenue'!$A$12:$A$130,"&gt;="&amp;Diagram!$O34,'J1 D - South Bank Avenue'!$A$12:$A$130,"&lt;"&amp;Diagram!$P34),SUMIFS(INDIRECT(ADDRESS(12,3+18*2+(9),,,"J1 D - South Bank Avenue")&amp;":"&amp;ADDRESS(130,3+18*2+(9))),'J1 D - South Bank Avenue'!$A$12:$A$130,"&gt;="&amp;Diagram!$O34,'J1 D - South Bank Avenue'!$A$12:$A$130,"&lt;"&amp;Diagram!$P34)))</f>
        <v>1</v>
      </c>
      <c r="AY34" s="42">
        <f ca="1">IF(OR($I$10="",$O34="",$P34="",$J$36&lt;&gt;"Yes"),0,IF($K$10=0,SUMIFS(INDIRECT(ADDRESS(12,3+18*3+(1),,,"J1 D - South Bank Avenue")&amp;":"&amp;ADDRESS(130,3+18*3+(1))),'J1 D - South Bank Avenue'!$A$12:$A$130,"&gt;="&amp;Diagram!$O34,'J1 D - South Bank Avenue'!$A$12:$A$130,"&lt;"&amp;Diagram!$P34),SUMIFS(INDIRECT(ADDRESS(12,3+18*3+(9),,,"J1 D - South Bank Avenue")&amp;":"&amp;ADDRESS(130,3+18*3+(9))),'J1 D - South Bank Avenue'!$A$12:$A$130,"&gt;="&amp;Diagram!$O34,'J1 D - South Bank Avenue'!$A$12:$A$130,"&lt;"&amp;Diagram!$P34)))</f>
        <v>0</v>
      </c>
      <c r="AZ34" s="42">
        <f t="shared" ca="1" si="3"/>
        <v>11</v>
      </c>
      <c r="BA34" s="42">
        <f ca="1">IF(OR($I$10="",$O34="",$P34="",$J$37&lt;&gt;"Yes"),0,IF($K$10=0,SUMIFS(INDIRECT(ADDRESS(12,3+18*3+(2),,,"J1 A - (North) Bishopthorpe Roa")&amp;":"&amp;ADDRESS(130,3+18*3+(2))),'J1 A - (North) Bishopthorpe Roa'!$A$12:$A$130,"&gt;="&amp;Diagram!$O34,'J1 A - (North) Bishopthorpe Roa'!$A$12:$A$130,"&lt;"&amp;Diagram!$P34),SUMIFS(INDIRECT(ADDRESS(12,3+18*3+(10),,,"J1 A - (North) Bishopthorpe Roa")&amp;":"&amp;ADDRESS(130,3+18*3+(10))),'J1 A - (North) Bishopthorpe Roa'!$A$12:$A$130,"&gt;="&amp;Diagram!$O34,'J1 A - (North) Bishopthorpe Roa'!$A$12:$A$130,"&lt;"&amp;Diagram!$P34)))</f>
        <v>0</v>
      </c>
      <c r="BB34" s="42">
        <f ca="1">IF(OR($I$10="",$O34="",$P34="",$J$37&lt;&gt;"Yes"),0,IF($K$10=0,SUMIFS(INDIRECT(ADDRESS(12,3+18*0+(2),,,"J1 A - (North) Bishopthorpe Roa")&amp;":"&amp;ADDRESS(130,3+18*0+(2))),'J1 A - (North) Bishopthorpe Roa'!$A$12:$A$130,"&gt;="&amp;Diagram!$O34,'J1 A - (North) Bishopthorpe Roa'!$A$12:$A$130,"&lt;"&amp;Diagram!$P34),SUMIFS(INDIRECT(ADDRESS(12,3+18*0+(10),,,"J1 A - (North) Bishopthorpe Roa")&amp;":"&amp;ADDRESS(130,3+18*0+(10))),'J1 A - (North) Bishopthorpe Roa'!$A$12:$A$130,"&gt;="&amp;Diagram!$O34,'J1 A - (North) Bishopthorpe Roa'!$A$12:$A$130,"&lt;"&amp;Diagram!$P34)))</f>
        <v>1</v>
      </c>
      <c r="BC34" s="42">
        <f ca="1">IF(OR($I$10="",$O34="",$P34="",$J$37&lt;&gt;"Yes"),0,IF($K$10=0,SUMIFS(INDIRECT(ADDRESS(12,3+18*1+(2),,,"J1 A - (North) Bishopthorpe Roa")&amp;":"&amp;ADDRESS(130,3+18*1+(2))),'J1 A - (North) Bishopthorpe Roa'!$A$12:$A$130,"&gt;="&amp;Diagram!$O34,'J1 A - (North) Bishopthorpe Roa'!$A$12:$A$130,"&lt;"&amp;Diagram!$P34),SUMIFS(INDIRECT(ADDRESS(12,3+18*1+(10),,,"J1 A - (North) Bishopthorpe Roa")&amp;":"&amp;ADDRESS(130,3+18*1+(10))),'J1 A - (North) Bishopthorpe Roa'!$A$12:$A$130,"&gt;="&amp;Diagram!$O34,'J1 A - (North) Bishopthorpe Roa'!$A$12:$A$130,"&lt;"&amp;Diagram!$P34)))</f>
        <v>5</v>
      </c>
      <c r="BD34" s="42">
        <f ca="1">IF(OR($I$10="",$O34="",$P34="",$J$37&lt;&gt;"Yes"),0,IF($K$10=0,SUMIFS(INDIRECT(ADDRESS(12,3+18*2+(2),,,"J1 A - (North) Bishopthorpe Roa")&amp;":"&amp;ADDRESS(130,3+18*2+(2))),'J1 A - (North) Bishopthorpe Roa'!$A$12:$A$130,"&gt;="&amp;Diagram!$O34,'J1 A - (North) Bishopthorpe Roa'!$A$12:$A$130,"&lt;"&amp;Diagram!$P34),SUMIFS(INDIRECT(ADDRESS(12,3+18*2+(10),,,"J1 A - (North) Bishopthorpe Roa")&amp;":"&amp;ADDRESS(130,3+18*2+(10))),'J1 A - (North) Bishopthorpe Roa'!$A$12:$A$130,"&gt;="&amp;Diagram!$O34,'J1 A - (North) Bishopthorpe Roa'!$A$12:$A$130,"&lt;"&amp;Diagram!$P34)))</f>
        <v>0</v>
      </c>
      <c r="BE34" s="42">
        <f ca="1">IF(OR($I$10="",$O34="",$P34="",$J$37&lt;&gt;"Yes"),0,IF($K$10=0,SUMIFS(INDIRECT(ADDRESS(12,3+18*2+(2),,,"J1 B - Butcher Terrace")&amp;":"&amp;ADDRESS(130,3+18*2+(2))),'J1 B - Butcher Terrace'!$A$12:$A$130,"&gt;="&amp;Diagram!$O34,'J1 B - Butcher Terrace'!$A$12:$A$130,"&lt;"&amp;Diagram!$P34),SUMIFS(INDIRECT(ADDRESS(12,3+18*2+(10),,,"J1 B - Butcher Terrace")&amp;":"&amp;ADDRESS(130,3+18*2+(10))),'J1 B - Butcher Terrace'!$A$12:$A$130,"&gt;="&amp;Diagram!$O34,'J1 B - Butcher Terrace'!$A$12:$A$130,"&lt;"&amp;Diagram!$P34)))</f>
        <v>0</v>
      </c>
      <c r="BF34" s="42">
        <f ca="1">IF(OR($I$10="",$O34="",$P34="",$J$37&lt;&gt;"Yes"),0,IF($K$10=0,SUMIFS(INDIRECT(ADDRESS(12,3+18*3+(2),,,"J1 B - Butcher Terrace")&amp;":"&amp;ADDRESS(130,3+18*3+(2))),'J1 B - Butcher Terrace'!$A$12:$A$130,"&gt;="&amp;Diagram!$O34,'J1 B - Butcher Terrace'!$A$12:$A$130,"&lt;"&amp;Diagram!$P34),SUMIFS(INDIRECT(ADDRESS(12,3+18*3+(10),,,"J1 B - Butcher Terrace")&amp;":"&amp;ADDRESS(130,3+18*3+(10))),'J1 B - Butcher Terrace'!$A$12:$A$130,"&gt;="&amp;Diagram!$O34,'J1 B - Butcher Terrace'!$A$12:$A$130,"&lt;"&amp;Diagram!$P34)))</f>
        <v>0</v>
      </c>
      <c r="BG34" s="42">
        <f ca="1">IF(OR($I$10="",$O34="",$P34="",$J$37&lt;&gt;"Yes"),0,IF($K$10=0,SUMIFS(INDIRECT(ADDRESS(12,3+18*0+(2),,,"J1 B - Butcher Terrace")&amp;":"&amp;ADDRESS(130,3+18*0+(2))),'J1 B - Butcher Terrace'!$A$12:$A$130,"&gt;="&amp;Diagram!$O34,'J1 B - Butcher Terrace'!$A$12:$A$130,"&lt;"&amp;Diagram!$P34),SUMIFS(INDIRECT(ADDRESS(12,3+18*0+(10),,,"J1 B - Butcher Terrace")&amp;":"&amp;ADDRESS(130,3+18*0+(10))),'J1 B - Butcher Terrace'!$A$12:$A$130,"&gt;="&amp;Diagram!$O34,'J1 B - Butcher Terrace'!$A$12:$A$130,"&lt;"&amp;Diagram!$P34)))</f>
        <v>0</v>
      </c>
      <c r="BH34" s="42">
        <f ca="1">IF(OR($I$10="",$O34="",$P34="",$J$37&lt;&gt;"Yes"),0,IF($K$10=0,SUMIFS(INDIRECT(ADDRESS(12,3+18*1+(2),,,"J1 B - Butcher Terrace")&amp;":"&amp;ADDRESS(130,3+18*1+(2))),'J1 B - Butcher Terrace'!$A$12:$A$130,"&gt;="&amp;Diagram!$O34,'J1 B - Butcher Terrace'!$A$12:$A$130,"&lt;"&amp;Diagram!$P34),SUMIFS(INDIRECT(ADDRESS(12,3+18*1+(10),,,"J1 B - Butcher Terrace")&amp;":"&amp;ADDRESS(130,3+18*1+(10))),'J1 B - Butcher Terrace'!$A$12:$A$130,"&gt;="&amp;Diagram!$O34,'J1 B - Butcher Terrace'!$A$12:$A$130,"&lt;"&amp;Diagram!$P34)))</f>
        <v>0</v>
      </c>
      <c r="BI34" s="42">
        <f ca="1">IF(OR($I$10="",$O34="",$P34="",$J$37&lt;&gt;"Yes"),0,IF($K$10=0,SUMIFS(INDIRECT(ADDRESS(12,3+18*1+(2),,,"J1 C - (South) Bishopthorpe Roa")&amp;":"&amp;ADDRESS(130,3+18*1+(2))),'J1 C - (South) Bishopthorpe Roa'!$A$12:$A$130,"&gt;="&amp;Diagram!$O34,'J1 C - (South) Bishopthorpe Roa'!$A$12:$A$130,"&lt;"&amp;Diagram!$P34),SUMIFS(INDIRECT(ADDRESS(12,3+18*1+(10),,,"J1 C - (South) Bishopthorpe Roa")&amp;":"&amp;ADDRESS(130,3+18*1+(10))),'J1 C - (South) Bishopthorpe Roa'!$A$12:$A$130,"&gt;="&amp;Diagram!$O34,'J1 C - (South) Bishopthorpe Roa'!$A$12:$A$130,"&lt;"&amp;Diagram!$P34)))</f>
        <v>3</v>
      </c>
      <c r="BJ34" s="42">
        <f ca="1">IF(OR($I$10="",$O34="",$P34="",$J$37&lt;&gt;"Yes"),0,IF($K$10=0,SUMIFS(INDIRECT(ADDRESS(12,3+18*2+(2),,,"J1 C - (South) Bishopthorpe Roa")&amp;":"&amp;ADDRESS(130,3+18*2+(2))),'J1 C - (South) Bishopthorpe Roa'!$A$12:$A$130,"&gt;="&amp;Diagram!$O34,'J1 C - (South) Bishopthorpe Roa'!$A$12:$A$130,"&lt;"&amp;Diagram!$P34),SUMIFS(INDIRECT(ADDRESS(12,3+18*2+(10),,,"J1 C - (South) Bishopthorpe Roa")&amp;":"&amp;ADDRESS(130,3+18*2+(10))),'J1 C - (South) Bishopthorpe Roa'!$A$12:$A$130,"&gt;="&amp;Diagram!$O34,'J1 C - (South) Bishopthorpe Roa'!$A$12:$A$130,"&lt;"&amp;Diagram!$P34)))</f>
        <v>1</v>
      </c>
      <c r="BK34" s="42">
        <f ca="1">IF(OR($I$10="",$O34="",$P34="",$J$37&lt;&gt;"Yes"),0,IF($K$10=0,SUMIFS(INDIRECT(ADDRESS(12,3+18*3+(2),,,"J1 C - (South) Bishopthorpe Roa")&amp;":"&amp;ADDRESS(130,3+18*3+(2))),'J1 C - (South) Bishopthorpe Roa'!$A$12:$A$130,"&gt;="&amp;Diagram!$O34,'J1 C - (South) Bishopthorpe Roa'!$A$12:$A$130,"&lt;"&amp;Diagram!$P34),SUMIFS(INDIRECT(ADDRESS(12,3+18*3+(10),,,"J1 C - (South) Bishopthorpe Roa")&amp;":"&amp;ADDRESS(130,3+18*3+(10))),'J1 C - (South) Bishopthorpe Roa'!$A$12:$A$130,"&gt;="&amp;Diagram!$O34,'J1 C - (South) Bishopthorpe Roa'!$A$12:$A$130,"&lt;"&amp;Diagram!$P34)))</f>
        <v>0</v>
      </c>
      <c r="BL34" s="42">
        <f ca="1">IF(OR($I$10="",$O34="",$P34="",$J$37&lt;&gt;"Yes"),0,IF($K$10=0,SUMIFS(INDIRECT(ADDRESS(12,3+18*0+(2),,,"J1 C - (South) Bishopthorpe Roa")&amp;":"&amp;ADDRESS(130,3+18*0+(2))),'J1 C - (South) Bishopthorpe Roa'!$A$12:$A$130,"&gt;="&amp;Diagram!$O34,'J1 C - (South) Bishopthorpe Roa'!$A$12:$A$130,"&lt;"&amp;Diagram!$P34),SUMIFS(INDIRECT(ADDRESS(12,3+18*0+(10),,,"J1 C - (South) Bishopthorpe Roa")&amp;":"&amp;ADDRESS(130,3+18*0+(10))),'J1 C - (South) Bishopthorpe Roa'!$A$12:$A$130,"&gt;="&amp;Diagram!$O34,'J1 C - (South) Bishopthorpe Roa'!$A$12:$A$130,"&lt;"&amp;Diagram!$P34)))</f>
        <v>0</v>
      </c>
      <c r="BM34" s="42">
        <f ca="1">IF(OR($I$10="",$O34="",$P34="",$J$37&lt;&gt;"Yes"),0,IF($K$10=0,SUMIFS(INDIRECT(ADDRESS(12,3+18*0+(2),,,"J1 D - South Bank Avenue")&amp;":"&amp;ADDRESS(130,3+18*0+(2))),'J1 D - South Bank Avenue'!$A$12:$A$130,"&gt;="&amp;Diagram!$O34,'J1 D - South Bank Avenue'!$A$12:$A$130,"&lt;"&amp;Diagram!$P34),SUMIFS(INDIRECT(ADDRESS(12,3+18*0+(10),,,"J1 D - South Bank Avenue")&amp;":"&amp;ADDRESS(130,3+18*0+(10))),'J1 D - South Bank Avenue'!$A$12:$A$130,"&gt;="&amp;Diagram!$O34,'J1 D - South Bank Avenue'!$A$12:$A$130,"&lt;"&amp;Diagram!$P34)))</f>
        <v>1</v>
      </c>
      <c r="BN34" s="42">
        <f ca="1">IF(OR($I$10="",$O34="",$P34="",$J$37&lt;&gt;"Yes"),0,IF($K$10=0,SUMIFS(INDIRECT(ADDRESS(12,3+18*1+(2),,,"J1 D - South Bank Avenue")&amp;":"&amp;ADDRESS(130,3+18*1+(2))),'J1 D - South Bank Avenue'!$A$12:$A$130,"&gt;="&amp;Diagram!$O34,'J1 D - South Bank Avenue'!$A$12:$A$130,"&lt;"&amp;Diagram!$P34),SUMIFS(INDIRECT(ADDRESS(12,3+18*1+(10),,,"J1 D - South Bank Avenue")&amp;":"&amp;ADDRESS(130,3+18*1+(10))),'J1 D - South Bank Avenue'!$A$12:$A$130,"&gt;="&amp;Diagram!$O34,'J1 D - South Bank Avenue'!$A$12:$A$130,"&lt;"&amp;Diagram!$P34)))</f>
        <v>0</v>
      </c>
      <c r="BO34" s="42">
        <f ca="1">IF(OR($I$10="",$O34="",$P34="",$J$37&lt;&gt;"Yes"),0,IF($K$10=0,SUMIFS(INDIRECT(ADDRESS(12,3+18*2+(2),,,"J1 D - South Bank Avenue")&amp;":"&amp;ADDRESS(130,3+18*2+(2))),'J1 D - South Bank Avenue'!$A$12:$A$130,"&gt;="&amp;Diagram!$O34,'J1 D - South Bank Avenue'!$A$12:$A$130,"&lt;"&amp;Diagram!$P34),SUMIFS(INDIRECT(ADDRESS(12,3+18*2+(10),,,"J1 D - South Bank Avenue")&amp;":"&amp;ADDRESS(130,3+18*2+(10))),'J1 D - South Bank Avenue'!$A$12:$A$130,"&gt;="&amp;Diagram!$O34,'J1 D - South Bank Avenue'!$A$12:$A$130,"&lt;"&amp;Diagram!$P34)))</f>
        <v>0</v>
      </c>
      <c r="BP34" s="42">
        <f ca="1">IF(OR($I$10="",$O34="",$P34="",$J$37&lt;&gt;"Yes"),0,IF($K$10=0,SUMIFS(INDIRECT(ADDRESS(12,3+18*3+(2),,,"J1 D - South Bank Avenue")&amp;":"&amp;ADDRESS(130,3+18*3+(2))),'J1 D - South Bank Avenue'!$A$12:$A$130,"&gt;="&amp;Diagram!$O34,'J1 D - South Bank Avenue'!$A$12:$A$130,"&lt;"&amp;Diagram!$P34),SUMIFS(INDIRECT(ADDRESS(12,3+18*3+(10),,,"J1 D - South Bank Avenue")&amp;":"&amp;ADDRESS(130,3+18*3+(10))),'J1 D - South Bank Avenue'!$A$12:$A$130,"&gt;="&amp;Diagram!$O34,'J1 D - South Bank Avenue'!$A$12:$A$130,"&lt;"&amp;Diagram!$P34)))</f>
        <v>0</v>
      </c>
      <c r="BQ34" s="42">
        <f t="shared" ca="1" si="4"/>
        <v>0</v>
      </c>
      <c r="BR34" s="42">
        <f ca="1">IF(OR($I$10="",$O34="",$P34="",$J$38&lt;&gt;"Yes"),0,IF($K$10=0,SUMIFS(INDIRECT(ADDRESS(12,3+18*3+(3),,,"J1 A - (North) Bishopthorpe Roa")&amp;":"&amp;ADDRESS(130,3+18*3+(3))),'J1 A - (North) Bishopthorpe Roa'!$A$12:$A$130,"&gt;="&amp;Diagram!$O34,'J1 A - (North) Bishopthorpe Roa'!$A$12:$A$130,"&lt;"&amp;Diagram!$P34),SUMIFS(INDIRECT(ADDRESS(12,3+18*3+(11),,,"J1 A - (North) Bishopthorpe Roa")&amp;":"&amp;ADDRESS(130,3+18*3+(11))),'J1 A - (North) Bishopthorpe Roa'!$A$12:$A$130,"&gt;="&amp;Diagram!$O34,'J1 A - (North) Bishopthorpe Roa'!$A$12:$A$130,"&lt;"&amp;Diagram!$P34)))</f>
        <v>0</v>
      </c>
      <c r="BS34" s="42">
        <f ca="1">IF(OR($I$10="",$O34="",$P34="",$J$38&lt;&gt;"Yes"),0,IF($K$10=0,SUMIFS(INDIRECT(ADDRESS(12,3+18*0+(3),,,"J1 A - (North) Bishopthorpe Roa")&amp;":"&amp;ADDRESS(130,3+18*0+(3))),'J1 A - (North) Bishopthorpe Roa'!$A$12:$A$130,"&gt;="&amp;Diagram!$O34,'J1 A - (North) Bishopthorpe Roa'!$A$12:$A$130,"&lt;"&amp;Diagram!$P34),SUMIFS(INDIRECT(ADDRESS(12,3+18*0+(11),,,"J1 A - (North) Bishopthorpe Roa")&amp;":"&amp;ADDRESS(130,3+18*0+(11))),'J1 A - (North) Bishopthorpe Roa'!$A$12:$A$130,"&gt;="&amp;Diagram!$O34,'J1 A - (North) Bishopthorpe Roa'!$A$12:$A$130,"&lt;"&amp;Diagram!$P34)))</f>
        <v>0</v>
      </c>
      <c r="BT34" s="42">
        <f ca="1">IF(OR($I$10="",$O34="",$P34="",$J$38&lt;&gt;"Yes"),0,IF($K$10=0,SUMIFS(INDIRECT(ADDRESS(12,3+18*1+(3),,,"J1 A - (North) Bishopthorpe Roa")&amp;":"&amp;ADDRESS(130,3+18*1+(3))),'J1 A - (North) Bishopthorpe Roa'!$A$12:$A$130,"&gt;="&amp;Diagram!$O34,'J1 A - (North) Bishopthorpe Roa'!$A$12:$A$130,"&lt;"&amp;Diagram!$P34),SUMIFS(INDIRECT(ADDRESS(12,3+18*1+(11),,,"J1 A - (North) Bishopthorpe Roa")&amp;":"&amp;ADDRESS(130,3+18*1+(11))),'J1 A - (North) Bishopthorpe Roa'!$A$12:$A$130,"&gt;="&amp;Diagram!$O34,'J1 A - (North) Bishopthorpe Roa'!$A$12:$A$130,"&lt;"&amp;Diagram!$P34)))</f>
        <v>0</v>
      </c>
      <c r="BU34" s="42">
        <f ca="1">IF(OR($I$10="",$O34="",$P34="",$J$38&lt;&gt;"Yes"),0,IF($K$10=0,SUMIFS(INDIRECT(ADDRESS(12,3+18*2+(3),,,"J1 A - (North) Bishopthorpe Roa")&amp;":"&amp;ADDRESS(130,3+18*2+(3))),'J1 A - (North) Bishopthorpe Roa'!$A$12:$A$130,"&gt;="&amp;Diagram!$O34,'J1 A - (North) Bishopthorpe Roa'!$A$12:$A$130,"&lt;"&amp;Diagram!$P34),SUMIFS(INDIRECT(ADDRESS(12,3+18*2+(11),,,"J1 A - (North) Bishopthorpe Roa")&amp;":"&amp;ADDRESS(130,3+18*2+(11))),'J1 A - (North) Bishopthorpe Roa'!$A$12:$A$130,"&gt;="&amp;Diagram!$O34,'J1 A - (North) Bishopthorpe Roa'!$A$12:$A$130,"&lt;"&amp;Diagram!$P34)))</f>
        <v>0</v>
      </c>
      <c r="BV34" s="42">
        <f ca="1">IF(OR($I$10="",$O34="",$P34="",$J$38&lt;&gt;"Yes"),0,IF($K$10=0,SUMIFS(INDIRECT(ADDRESS(12,3+18*2+(3),,,"J1 B - Butcher Terrace")&amp;":"&amp;ADDRESS(130,3+18*2+(3))),'J1 B - Butcher Terrace'!$A$12:$A$130,"&gt;="&amp;Diagram!$O34,'J1 B - Butcher Terrace'!$A$12:$A$130,"&lt;"&amp;Diagram!$P34),SUMIFS(INDIRECT(ADDRESS(12,3+18*2+(11),,,"J1 B - Butcher Terrace")&amp;":"&amp;ADDRESS(130,3+18*2+(11))),'J1 B - Butcher Terrace'!$A$12:$A$130,"&gt;="&amp;Diagram!$O34,'J1 B - Butcher Terrace'!$A$12:$A$130,"&lt;"&amp;Diagram!$P34)))</f>
        <v>0</v>
      </c>
      <c r="BW34" s="42">
        <f ca="1">IF(OR($I$10="",$O34="",$P34="",$J$38&lt;&gt;"Yes"),0,IF($K$10=0,SUMIFS(INDIRECT(ADDRESS(12,3+18*3+(3),,,"J1 B - Butcher Terrace")&amp;":"&amp;ADDRESS(130,3+18*3+(3))),'J1 B - Butcher Terrace'!$A$12:$A$130,"&gt;="&amp;Diagram!$O34,'J1 B - Butcher Terrace'!$A$12:$A$130,"&lt;"&amp;Diagram!$P34),SUMIFS(INDIRECT(ADDRESS(12,3+18*3+(11),,,"J1 B - Butcher Terrace")&amp;":"&amp;ADDRESS(130,3+18*3+(11))),'J1 B - Butcher Terrace'!$A$12:$A$130,"&gt;="&amp;Diagram!$O34,'J1 B - Butcher Terrace'!$A$12:$A$130,"&lt;"&amp;Diagram!$P34)))</f>
        <v>0</v>
      </c>
      <c r="BX34" s="42">
        <f ca="1">IF(OR($I$10="",$O34="",$P34="",$J$38&lt;&gt;"Yes"),0,IF($K$10=0,SUMIFS(INDIRECT(ADDRESS(12,3+18*0+(3),,,"J1 B - Butcher Terrace")&amp;":"&amp;ADDRESS(130,3+18*0+(3))),'J1 B - Butcher Terrace'!$A$12:$A$130,"&gt;="&amp;Diagram!$O34,'J1 B - Butcher Terrace'!$A$12:$A$130,"&lt;"&amp;Diagram!$P34),SUMIFS(INDIRECT(ADDRESS(12,3+18*0+(11),,,"J1 B - Butcher Terrace")&amp;":"&amp;ADDRESS(130,3+18*0+(11))),'J1 B - Butcher Terrace'!$A$12:$A$130,"&gt;="&amp;Diagram!$O34,'J1 B - Butcher Terrace'!$A$12:$A$130,"&lt;"&amp;Diagram!$P34)))</f>
        <v>0</v>
      </c>
      <c r="BY34" s="42">
        <f ca="1">IF(OR($I$10="",$O34="",$P34="",$J$38&lt;&gt;"Yes"),0,IF($K$10=0,SUMIFS(INDIRECT(ADDRESS(12,3+18*1+(3),,,"J1 B - Butcher Terrace")&amp;":"&amp;ADDRESS(130,3+18*1+(3))),'J1 B - Butcher Terrace'!$A$12:$A$130,"&gt;="&amp;Diagram!$O34,'J1 B - Butcher Terrace'!$A$12:$A$130,"&lt;"&amp;Diagram!$P34),SUMIFS(INDIRECT(ADDRESS(12,3+18*1+(11),,,"J1 B - Butcher Terrace")&amp;":"&amp;ADDRESS(130,3+18*1+(11))),'J1 B - Butcher Terrace'!$A$12:$A$130,"&gt;="&amp;Diagram!$O34,'J1 B - Butcher Terrace'!$A$12:$A$130,"&lt;"&amp;Diagram!$P34)))</f>
        <v>0</v>
      </c>
      <c r="BZ34" s="42">
        <f ca="1">IF(OR($I$10="",$O34="",$P34="",$J$38&lt;&gt;"Yes"),0,IF($K$10=0,SUMIFS(INDIRECT(ADDRESS(12,3+18*1+(3),,,"J1 C - (South) Bishopthorpe Roa")&amp;":"&amp;ADDRESS(130,3+18*1+(3))),'J1 C - (South) Bishopthorpe Roa'!$A$12:$A$130,"&gt;="&amp;Diagram!$O34,'J1 C - (South) Bishopthorpe Roa'!$A$12:$A$130,"&lt;"&amp;Diagram!$P34),SUMIFS(INDIRECT(ADDRESS(12,3+18*1+(11),,,"J1 C - (South) Bishopthorpe Roa")&amp;":"&amp;ADDRESS(130,3+18*1+(11))),'J1 C - (South) Bishopthorpe Roa'!$A$12:$A$130,"&gt;="&amp;Diagram!$O34,'J1 C - (South) Bishopthorpe Roa'!$A$12:$A$130,"&lt;"&amp;Diagram!$P34)))</f>
        <v>0</v>
      </c>
      <c r="CA34" s="42">
        <f ca="1">IF(OR($I$10="",$O34="",$P34="",$J$38&lt;&gt;"Yes"),0,IF($K$10=0,SUMIFS(INDIRECT(ADDRESS(12,3+18*2+(3),,,"J1 C - (South) Bishopthorpe Roa")&amp;":"&amp;ADDRESS(130,3+18*2+(3))),'J1 C - (South) Bishopthorpe Roa'!$A$12:$A$130,"&gt;="&amp;Diagram!$O34,'J1 C - (South) Bishopthorpe Roa'!$A$12:$A$130,"&lt;"&amp;Diagram!$P34),SUMIFS(INDIRECT(ADDRESS(12,3+18*2+(11),,,"J1 C - (South) Bishopthorpe Roa")&amp;":"&amp;ADDRESS(130,3+18*2+(11))),'J1 C - (South) Bishopthorpe Roa'!$A$12:$A$130,"&gt;="&amp;Diagram!$O34,'J1 C - (South) Bishopthorpe Roa'!$A$12:$A$130,"&lt;"&amp;Diagram!$P34)))</f>
        <v>0</v>
      </c>
      <c r="CB34" s="42">
        <f ca="1">IF(OR($I$10="",$O34="",$P34="",$J$38&lt;&gt;"Yes"),0,IF($K$10=0,SUMIFS(INDIRECT(ADDRESS(12,3+18*3+(3),,,"J1 C - (South) Bishopthorpe Roa")&amp;":"&amp;ADDRESS(130,3+18*3+(3))),'J1 C - (South) Bishopthorpe Roa'!$A$12:$A$130,"&gt;="&amp;Diagram!$O34,'J1 C - (South) Bishopthorpe Roa'!$A$12:$A$130,"&lt;"&amp;Diagram!$P34),SUMIFS(INDIRECT(ADDRESS(12,3+18*3+(11),,,"J1 C - (South) Bishopthorpe Roa")&amp;":"&amp;ADDRESS(130,3+18*3+(11))),'J1 C - (South) Bishopthorpe Roa'!$A$12:$A$130,"&gt;="&amp;Diagram!$O34,'J1 C - (South) Bishopthorpe Roa'!$A$12:$A$130,"&lt;"&amp;Diagram!$P34)))</f>
        <v>0</v>
      </c>
      <c r="CC34" s="42">
        <f ca="1">IF(OR($I$10="",$O34="",$P34="",$J$38&lt;&gt;"Yes"),0,IF($K$10=0,SUMIFS(INDIRECT(ADDRESS(12,3+18*0+(3),,,"J1 C - (South) Bishopthorpe Roa")&amp;":"&amp;ADDRESS(130,3+18*0+(3))),'J1 C - (South) Bishopthorpe Roa'!$A$12:$A$130,"&gt;="&amp;Diagram!$O34,'J1 C - (South) Bishopthorpe Roa'!$A$12:$A$130,"&lt;"&amp;Diagram!$P34),SUMIFS(INDIRECT(ADDRESS(12,3+18*0+(11),,,"J1 C - (South) Bishopthorpe Roa")&amp;":"&amp;ADDRESS(130,3+18*0+(11))),'J1 C - (South) Bishopthorpe Roa'!$A$12:$A$130,"&gt;="&amp;Diagram!$O34,'J1 C - (South) Bishopthorpe Roa'!$A$12:$A$130,"&lt;"&amp;Diagram!$P34)))</f>
        <v>0</v>
      </c>
      <c r="CD34" s="42">
        <f ca="1">IF(OR($I$10="",$O34="",$P34="",$J$38&lt;&gt;"Yes"),0,IF($K$10=0,SUMIFS(INDIRECT(ADDRESS(12,3+18*0+(3),,,"J1 D - South Bank Avenue")&amp;":"&amp;ADDRESS(130,3+18*0+(3))),'J1 D - South Bank Avenue'!$A$12:$A$130,"&gt;="&amp;Diagram!$O34,'J1 D - South Bank Avenue'!$A$12:$A$130,"&lt;"&amp;Diagram!$P34),SUMIFS(INDIRECT(ADDRESS(12,3+18*0+(11),,,"J1 D - South Bank Avenue")&amp;":"&amp;ADDRESS(130,3+18*0+(11))),'J1 D - South Bank Avenue'!$A$12:$A$130,"&gt;="&amp;Diagram!$O34,'J1 D - South Bank Avenue'!$A$12:$A$130,"&lt;"&amp;Diagram!$P34)))</f>
        <v>0</v>
      </c>
      <c r="CE34" s="42">
        <f ca="1">IF(OR($I$10="",$O34="",$P34="",$J$38&lt;&gt;"Yes"),0,IF($K$10=0,SUMIFS(INDIRECT(ADDRESS(12,3+18*1+(3),,,"J1 D - South Bank Avenue")&amp;":"&amp;ADDRESS(130,3+18*1+(3))),'J1 D - South Bank Avenue'!$A$12:$A$130,"&gt;="&amp;Diagram!$O34,'J1 D - South Bank Avenue'!$A$12:$A$130,"&lt;"&amp;Diagram!$P34),SUMIFS(INDIRECT(ADDRESS(12,3+18*1+(11),,,"J1 D - South Bank Avenue")&amp;":"&amp;ADDRESS(130,3+18*1+(11))),'J1 D - South Bank Avenue'!$A$12:$A$130,"&gt;="&amp;Diagram!$O34,'J1 D - South Bank Avenue'!$A$12:$A$130,"&lt;"&amp;Diagram!$P34)))</f>
        <v>0</v>
      </c>
      <c r="CF34" s="42">
        <f ca="1">IF(OR($I$10="",$O34="",$P34="",$J$38&lt;&gt;"Yes"),0,IF($K$10=0,SUMIFS(INDIRECT(ADDRESS(12,3+18*2+(3),,,"J1 D - South Bank Avenue")&amp;":"&amp;ADDRESS(130,3+18*2+(3))),'J1 D - South Bank Avenue'!$A$12:$A$130,"&gt;="&amp;Diagram!$O34,'J1 D - South Bank Avenue'!$A$12:$A$130,"&lt;"&amp;Diagram!$P34),SUMIFS(INDIRECT(ADDRESS(12,3+18*2+(11),,,"J1 D - South Bank Avenue")&amp;":"&amp;ADDRESS(130,3+18*2+(11))),'J1 D - South Bank Avenue'!$A$12:$A$130,"&gt;="&amp;Diagram!$O34,'J1 D - South Bank Avenue'!$A$12:$A$130,"&lt;"&amp;Diagram!$P34)))</f>
        <v>0</v>
      </c>
      <c r="CG34" s="42">
        <f ca="1">IF(OR($I$10="",$O34="",$P34="",$J$38&lt;&gt;"Yes"),0,IF($K$10=0,SUMIFS(INDIRECT(ADDRESS(12,3+18*3+(3),,,"J1 D - South Bank Avenue")&amp;":"&amp;ADDRESS(130,3+18*3+(3))),'J1 D - South Bank Avenue'!$A$12:$A$130,"&gt;="&amp;Diagram!$O34,'J1 D - South Bank Avenue'!$A$12:$A$130,"&lt;"&amp;Diagram!$P34),SUMIFS(INDIRECT(ADDRESS(12,3+18*3+(11),,,"J1 D - South Bank Avenue")&amp;":"&amp;ADDRESS(130,3+18*3+(11))),'J1 D - South Bank Avenue'!$A$12:$A$130,"&gt;="&amp;Diagram!$O34,'J1 D - South Bank Avenue'!$A$12:$A$130,"&lt;"&amp;Diagram!$P34)))</f>
        <v>0</v>
      </c>
      <c r="CH34" s="42">
        <f t="shared" ca="1" si="5"/>
        <v>8</v>
      </c>
      <c r="CI34" s="42">
        <f ca="1">IF(OR($I$10="",$O34="",$P34="",$J$39&lt;&gt;"Yes"),0,IF($K$10=0,SUMIFS(INDIRECT(ADDRESS(12,3+18*3+(4),,,"J1 A - (North) Bishopthorpe Roa")&amp;":"&amp;ADDRESS(130,3+18*3+(4))),'J1 A - (North) Bishopthorpe Roa'!$A$12:$A$130,"&gt;="&amp;Diagram!$O34,'J1 A - (North) Bishopthorpe Roa'!$A$12:$A$130,"&lt;"&amp;Diagram!$P34),SUMIFS(INDIRECT(ADDRESS(12,3+18*3+(12),,,"J1 A - (North) Bishopthorpe Roa")&amp;":"&amp;ADDRESS(130,3+18*3+(12))),'J1 A - (North) Bishopthorpe Roa'!$A$12:$A$130,"&gt;="&amp;Diagram!$O34,'J1 A - (North) Bishopthorpe Roa'!$A$12:$A$130,"&lt;"&amp;Diagram!$P34)))</f>
        <v>0</v>
      </c>
      <c r="CJ34" s="42">
        <f ca="1">IF(OR($I$10="",$O34="",$P34="",$J$39&lt;&gt;"Yes"),0,IF($K$10=0,SUMIFS(INDIRECT(ADDRESS(12,3+18*0+(4),,,"J1 A - (North) Bishopthorpe Roa")&amp;":"&amp;ADDRESS(130,3+18*0+(4))),'J1 A - (North) Bishopthorpe Roa'!$A$12:$A$130,"&gt;="&amp;Diagram!$O34,'J1 A - (North) Bishopthorpe Roa'!$A$12:$A$130,"&lt;"&amp;Diagram!$P34),SUMIFS(INDIRECT(ADDRESS(12,3+18*0+(12),,,"J1 A - (North) Bishopthorpe Roa")&amp;":"&amp;ADDRESS(130,3+18*0+(12))),'J1 A - (North) Bishopthorpe Roa'!$A$12:$A$130,"&gt;="&amp;Diagram!$O34,'J1 A - (North) Bishopthorpe Roa'!$A$12:$A$130,"&lt;"&amp;Diagram!$P34)))</f>
        <v>0</v>
      </c>
      <c r="CK34" s="42">
        <f ca="1">IF(OR($I$10="",$O34="",$P34="",$J$39&lt;&gt;"Yes"),0,IF($K$10=0,SUMIFS(INDIRECT(ADDRESS(12,3+18*1+(4),,,"J1 A - (North) Bishopthorpe Roa")&amp;":"&amp;ADDRESS(130,3+18*1+(4))),'J1 A - (North) Bishopthorpe Roa'!$A$12:$A$130,"&gt;="&amp;Diagram!$O34,'J1 A - (North) Bishopthorpe Roa'!$A$12:$A$130,"&lt;"&amp;Diagram!$P34),SUMIFS(INDIRECT(ADDRESS(12,3+18*1+(12),,,"J1 A - (North) Bishopthorpe Roa")&amp;":"&amp;ADDRESS(130,3+18*1+(12))),'J1 A - (North) Bishopthorpe Roa'!$A$12:$A$130,"&gt;="&amp;Diagram!$O34,'J1 A - (North) Bishopthorpe Roa'!$A$12:$A$130,"&lt;"&amp;Diagram!$P34)))</f>
        <v>3</v>
      </c>
      <c r="CL34" s="42">
        <f ca="1">IF(OR($I$10="",$O34="",$P34="",$J$39&lt;&gt;"Yes"),0,IF($K$10=0,SUMIFS(INDIRECT(ADDRESS(12,3+18*2+(4),,,"J1 A - (North) Bishopthorpe Roa")&amp;":"&amp;ADDRESS(130,3+18*2+(4))),'J1 A - (North) Bishopthorpe Roa'!$A$12:$A$130,"&gt;="&amp;Diagram!$O34,'J1 A - (North) Bishopthorpe Roa'!$A$12:$A$130,"&lt;"&amp;Diagram!$P34),SUMIFS(INDIRECT(ADDRESS(12,3+18*2+(12),,,"J1 A - (North) Bishopthorpe Roa")&amp;":"&amp;ADDRESS(130,3+18*2+(12))),'J1 A - (North) Bishopthorpe Roa'!$A$12:$A$130,"&gt;="&amp;Diagram!$O34,'J1 A - (North) Bishopthorpe Roa'!$A$12:$A$130,"&lt;"&amp;Diagram!$P34)))</f>
        <v>0</v>
      </c>
      <c r="CM34" s="42">
        <f ca="1">IF(OR($I$10="",$O34="",$P34="",$J$39&lt;&gt;"Yes"),0,IF($K$10=0,SUMIFS(INDIRECT(ADDRESS(12,3+18*2+(4),,,"J1 B - Butcher Terrace")&amp;":"&amp;ADDRESS(130,3+18*2+(4))),'J1 B - Butcher Terrace'!$A$12:$A$130,"&gt;="&amp;Diagram!$O34,'J1 B - Butcher Terrace'!$A$12:$A$130,"&lt;"&amp;Diagram!$P34),SUMIFS(INDIRECT(ADDRESS(12,3+18*2+(12),,,"J1 B - Butcher Terrace")&amp;":"&amp;ADDRESS(130,3+18*2+(12))),'J1 B - Butcher Terrace'!$A$12:$A$130,"&gt;="&amp;Diagram!$O34,'J1 B - Butcher Terrace'!$A$12:$A$130,"&lt;"&amp;Diagram!$P34)))</f>
        <v>0</v>
      </c>
      <c r="CN34" s="42">
        <f ca="1">IF(OR($I$10="",$O34="",$P34="",$J$39&lt;&gt;"Yes"),0,IF($K$10=0,SUMIFS(INDIRECT(ADDRESS(12,3+18*3+(4),,,"J1 B - Butcher Terrace")&amp;":"&amp;ADDRESS(130,3+18*3+(4))),'J1 B - Butcher Terrace'!$A$12:$A$130,"&gt;="&amp;Diagram!$O34,'J1 B - Butcher Terrace'!$A$12:$A$130,"&lt;"&amp;Diagram!$P34),SUMIFS(INDIRECT(ADDRESS(12,3+18*3+(12),,,"J1 B - Butcher Terrace")&amp;":"&amp;ADDRESS(130,3+18*3+(12))),'J1 B - Butcher Terrace'!$A$12:$A$130,"&gt;="&amp;Diagram!$O34,'J1 B - Butcher Terrace'!$A$12:$A$130,"&lt;"&amp;Diagram!$P34)))</f>
        <v>0</v>
      </c>
      <c r="CO34" s="42">
        <f ca="1">IF(OR($I$10="",$O34="",$P34="",$J$39&lt;&gt;"Yes"),0,IF($K$10=0,SUMIFS(INDIRECT(ADDRESS(12,3+18*0+(4),,,"J1 B - Butcher Terrace")&amp;":"&amp;ADDRESS(130,3+18*0+(4))),'J1 B - Butcher Terrace'!$A$12:$A$130,"&gt;="&amp;Diagram!$O34,'J1 B - Butcher Terrace'!$A$12:$A$130,"&lt;"&amp;Diagram!$P34),SUMIFS(INDIRECT(ADDRESS(12,3+18*0+(12),,,"J1 B - Butcher Terrace")&amp;":"&amp;ADDRESS(130,3+18*0+(12))),'J1 B - Butcher Terrace'!$A$12:$A$130,"&gt;="&amp;Diagram!$O34,'J1 B - Butcher Terrace'!$A$12:$A$130,"&lt;"&amp;Diagram!$P34)))</f>
        <v>0</v>
      </c>
      <c r="CP34" s="42">
        <f ca="1">IF(OR($I$10="",$O34="",$P34="",$J$39&lt;&gt;"Yes"),0,IF($K$10=0,SUMIFS(INDIRECT(ADDRESS(12,3+18*1+(4),,,"J1 B - Butcher Terrace")&amp;":"&amp;ADDRESS(130,3+18*1+(4))),'J1 B - Butcher Terrace'!$A$12:$A$130,"&gt;="&amp;Diagram!$O34,'J1 B - Butcher Terrace'!$A$12:$A$130,"&lt;"&amp;Diagram!$P34),SUMIFS(INDIRECT(ADDRESS(12,3+18*1+(12),,,"J1 B - Butcher Terrace")&amp;":"&amp;ADDRESS(130,3+18*1+(12))),'J1 B - Butcher Terrace'!$A$12:$A$130,"&gt;="&amp;Diagram!$O34,'J1 B - Butcher Terrace'!$A$12:$A$130,"&lt;"&amp;Diagram!$P34)))</f>
        <v>0</v>
      </c>
      <c r="CQ34" s="42">
        <f ca="1">IF(OR($I$10="",$O34="",$P34="",$J$39&lt;&gt;"Yes"),0,IF($K$10=0,SUMIFS(INDIRECT(ADDRESS(12,3+18*1+(4),,,"J1 C - (South) Bishopthorpe Roa")&amp;":"&amp;ADDRESS(130,3+18*1+(4))),'J1 C - (South) Bishopthorpe Roa'!$A$12:$A$130,"&gt;="&amp;Diagram!$O34,'J1 C - (South) Bishopthorpe Roa'!$A$12:$A$130,"&lt;"&amp;Diagram!$P34),SUMIFS(INDIRECT(ADDRESS(12,3+18*1+(12),,,"J1 C - (South) Bishopthorpe Roa")&amp;":"&amp;ADDRESS(130,3+18*1+(12))),'J1 C - (South) Bishopthorpe Roa'!$A$12:$A$130,"&gt;="&amp;Diagram!$O34,'J1 C - (South) Bishopthorpe Roa'!$A$12:$A$130,"&lt;"&amp;Diagram!$P34)))</f>
        <v>5</v>
      </c>
      <c r="CR34" s="42">
        <f ca="1">IF(OR($I$10="",$O34="",$P34="",$J$39&lt;&gt;"Yes"),0,IF($K$10=0,SUMIFS(INDIRECT(ADDRESS(12,3+18*2+(4),,,"J1 C - (South) Bishopthorpe Roa")&amp;":"&amp;ADDRESS(130,3+18*2+(4))),'J1 C - (South) Bishopthorpe Roa'!$A$12:$A$130,"&gt;="&amp;Diagram!$O34,'J1 C - (South) Bishopthorpe Roa'!$A$12:$A$130,"&lt;"&amp;Diagram!$P34),SUMIFS(INDIRECT(ADDRESS(12,3+18*2+(12),,,"J1 C - (South) Bishopthorpe Roa")&amp;":"&amp;ADDRESS(130,3+18*2+(12))),'J1 C - (South) Bishopthorpe Roa'!$A$12:$A$130,"&gt;="&amp;Diagram!$O34,'J1 C - (South) Bishopthorpe Roa'!$A$12:$A$130,"&lt;"&amp;Diagram!$P34)))</f>
        <v>0</v>
      </c>
      <c r="CS34" s="42">
        <f ca="1">IF(OR($I$10="",$O34="",$P34="",$J$39&lt;&gt;"Yes"),0,IF($K$10=0,SUMIFS(INDIRECT(ADDRESS(12,3+18*3+(4),,,"J1 C - (South) Bishopthorpe Roa")&amp;":"&amp;ADDRESS(130,3+18*3+(4))),'J1 C - (South) Bishopthorpe Roa'!$A$12:$A$130,"&gt;="&amp;Diagram!$O34,'J1 C - (South) Bishopthorpe Roa'!$A$12:$A$130,"&lt;"&amp;Diagram!$P34),SUMIFS(INDIRECT(ADDRESS(12,3+18*3+(12),,,"J1 C - (South) Bishopthorpe Roa")&amp;":"&amp;ADDRESS(130,3+18*3+(12))),'J1 C - (South) Bishopthorpe Roa'!$A$12:$A$130,"&gt;="&amp;Diagram!$O34,'J1 C - (South) Bishopthorpe Roa'!$A$12:$A$130,"&lt;"&amp;Diagram!$P34)))</f>
        <v>0</v>
      </c>
      <c r="CT34" s="42">
        <f ca="1">IF(OR($I$10="",$O34="",$P34="",$J$39&lt;&gt;"Yes"),0,IF($K$10=0,SUMIFS(INDIRECT(ADDRESS(12,3+18*0+(4),,,"J1 C - (South) Bishopthorpe Roa")&amp;":"&amp;ADDRESS(130,3+18*0+(4))),'J1 C - (South) Bishopthorpe Roa'!$A$12:$A$130,"&gt;="&amp;Diagram!$O34,'J1 C - (South) Bishopthorpe Roa'!$A$12:$A$130,"&lt;"&amp;Diagram!$P34),SUMIFS(INDIRECT(ADDRESS(12,3+18*0+(12),,,"J1 C - (South) Bishopthorpe Roa")&amp;":"&amp;ADDRESS(130,3+18*0+(12))),'J1 C - (South) Bishopthorpe Roa'!$A$12:$A$130,"&gt;="&amp;Diagram!$O34,'J1 C - (South) Bishopthorpe Roa'!$A$12:$A$130,"&lt;"&amp;Diagram!$P34)))</f>
        <v>0</v>
      </c>
      <c r="CU34" s="42">
        <f ca="1">IF(OR($I$10="",$O34="",$P34="",$J$39&lt;&gt;"Yes"),0,IF($K$10=0,SUMIFS(INDIRECT(ADDRESS(12,3+18*0+(4),,,"J1 D - South Bank Avenue")&amp;":"&amp;ADDRESS(130,3+18*0+(4))),'J1 D - South Bank Avenue'!$A$12:$A$130,"&gt;="&amp;Diagram!$O34,'J1 D - South Bank Avenue'!$A$12:$A$130,"&lt;"&amp;Diagram!$P34),SUMIFS(INDIRECT(ADDRESS(12,3+18*0+(12),,,"J1 D - South Bank Avenue")&amp;":"&amp;ADDRESS(130,3+18*0+(12))),'J1 D - South Bank Avenue'!$A$12:$A$130,"&gt;="&amp;Diagram!$O34,'J1 D - South Bank Avenue'!$A$12:$A$130,"&lt;"&amp;Diagram!$P34)))</f>
        <v>0</v>
      </c>
      <c r="CV34" s="42">
        <f ca="1">IF(OR($I$10="",$O34="",$P34="",$J$39&lt;&gt;"Yes"),0,IF($K$10=0,SUMIFS(INDIRECT(ADDRESS(12,3+18*1+(4),,,"J1 D - South Bank Avenue")&amp;":"&amp;ADDRESS(130,3+18*1+(4))),'J1 D - South Bank Avenue'!$A$12:$A$130,"&gt;="&amp;Diagram!$O34,'J1 D - South Bank Avenue'!$A$12:$A$130,"&lt;"&amp;Diagram!$P34),SUMIFS(INDIRECT(ADDRESS(12,3+18*1+(12),,,"J1 D - South Bank Avenue")&amp;":"&amp;ADDRESS(130,3+18*1+(12))),'J1 D - South Bank Avenue'!$A$12:$A$130,"&gt;="&amp;Diagram!$O34,'J1 D - South Bank Avenue'!$A$12:$A$130,"&lt;"&amp;Diagram!$P34)))</f>
        <v>0</v>
      </c>
      <c r="CW34" s="42">
        <f ca="1">IF(OR($I$10="",$O34="",$P34="",$J$39&lt;&gt;"Yes"),0,IF($K$10=0,SUMIFS(INDIRECT(ADDRESS(12,3+18*2+(4),,,"J1 D - South Bank Avenue")&amp;":"&amp;ADDRESS(130,3+18*2+(4))),'J1 D - South Bank Avenue'!$A$12:$A$130,"&gt;="&amp;Diagram!$O34,'J1 D - South Bank Avenue'!$A$12:$A$130,"&lt;"&amp;Diagram!$P34),SUMIFS(INDIRECT(ADDRESS(12,3+18*2+(12),,,"J1 D - South Bank Avenue")&amp;":"&amp;ADDRESS(130,3+18*2+(12))),'J1 D - South Bank Avenue'!$A$12:$A$130,"&gt;="&amp;Diagram!$O34,'J1 D - South Bank Avenue'!$A$12:$A$130,"&lt;"&amp;Diagram!$P34)))</f>
        <v>0</v>
      </c>
      <c r="CX34" s="42">
        <f ca="1">IF(OR($I$10="",$O34="",$P34="",$J$39&lt;&gt;"Yes"),0,IF($K$10=0,SUMIFS(INDIRECT(ADDRESS(12,3+18*3+(4),,,"J1 D - South Bank Avenue")&amp;":"&amp;ADDRESS(130,3+18*3+(4))),'J1 D - South Bank Avenue'!$A$12:$A$130,"&gt;="&amp;Diagram!$O34,'J1 D - South Bank Avenue'!$A$12:$A$130,"&lt;"&amp;Diagram!$P34),SUMIFS(INDIRECT(ADDRESS(12,3+18*3+(12),,,"J1 D - South Bank Avenue")&amp;":"&amp;ADDRESS(130,3+18*3+(12))),'J1 D - South Bank Avenue'!$A$12:$A$130,"&gt;="&amp;Diagram!$O34,'J1 D - South Bank Avenue'!$A$12:$A$130,"&lt;"&amp;Diagram!$P34)))</f>
        <v>0</v>
      </c>
      <c r="CY34" s="42">
        <f t="shared" ca="1" si="6"/>
        <v>118</v>
      </c>
      <c r="CZ34" s="42">
        <f ca="1">IF(OR($I$10="",$O34="",$P34="",$J$40&lt;&gt;"Yes"),0,IF($K$10=0,SUMIFS(INDIRECT(ADDRESS(12,3+18*3+(5),,,"J1 A - (North) Bishopthorpe Roa")&amp;":"&amp;ADDRESS(130,3+18*3+(5))),'J1 A - (North) Bishopthorpe Roa'!$A$12:$A$130,"&gt;="&amp;Diagram!$O34,'J1 A - (North) Bishopthorpe Roa'!$A$12:$A$130,"&lt;"&amp;Diagram!$P34),SUMIFS(INDIRECT(ADDRESS(12,3+18*3+(13),,,"J1 A - (North) Bishopthorpe Roa")&amp;":"&amp;ADDRESS(130,3+18*3+(13))),'J1 A - (North) Bishopthorpe Roa'!$A$12:$A$130,"&gt;="&amp;Diagram!$O34,'J1 A - (North) Bishopthorpe Roa'!$A$12:$A$130,"&lt;"&amp;Diagram!$P34)))</f>
        <v>0</v>
      </c>
      <c r="DA34" s="42">
        <f ca="1">IF(OR($I$10="",$O34="",$P34="",$J$40&lt;&gt;"Yes"),0,IF($K$10=0,SUMIFS(INDIRECT(ADDRESS(12,3+18*0+(5),,,"J1 A - (North) Bishopthorpe Roa")&amp;":"&amp;ADDRESS(130,3+18*0+(5))),'J1 A - (North) Bishopthorpe Roa'!$A$12:$A$130,"&gt;="&amp;Diagram!$O34,'J1 A - (North) Bishopthorpe Roa'!$A$12:$A$130,"&lt;"&amp;Diagram!$P34),SUMIFS(INDIRECT(ADDRESS(12,3+18*0+(13),,,"J1 A - (North) Bishopthorpe Roa")&amp;":"&amp;ADDRESS(130,3+18*0+(13))),'J1 A - (North) Bishopthorpe Roa'!$A$12:$A$130,"&gt;="&amp;Diagram!$O34,'J1 A - (North) Bishopthorpe Roa'!$A$12:$A$130,"&lt;"&amp;Diagram!$P34)))</f>
        <v>18</v>
      </c>
      <c r="DB34" s="42">
        <f ca="1">IF(OR($I$10="",$O34="",$P34="",$J$40&lt;&gt;"Yes"),0,IF($K$10=0,SUMIFS(INDIRECT(ADDRESS(12,3+18*1+(5),,,"J1 A - (North) Bishopthorpe Roa")&amp;":"&amp;ADDRESS(130,3+18*1+(5))),'J1 A - (North) Bishopthorpe Roa'!$A$12:$A$130,"&gt;="&amp;Diagram!$O34,'J1 A - (North) Bishopthorpe Roa'!$A$12:$A$130,"&lt;"&amp;Diagram!$P34),SUMIFS(INDIRECT(ADDRESS(12,3+18*1+(13),,,"J1 A - (North) Bishopthorpe Roa")&amp;":"&amp;ADDRESS(130,3+18*1+(13))),'J1 A - (North) Bishopthorpe Roa'!$A$12:$A$130,"&gt;="&amp;Diagram!$O34,'J1 A - (North) Bishopthorpe Roa'!$A$12:$A$130,"&lt;"&amp;Diagram!$P34)))</f>
        <v>10</v>
      </c>
      <c r="DC34" s="42">
        <f ca="1">IF(OR($I$10="",$O34="",$P34="",$J$40&lt;&gt;"Yes"),0,IF($K$10=0,SUMIFS(INDIRECT(ADDRESS(12,3+18*2+(5),,,"J1 A - (North) Bishopthorpe Roa")&amp;":"&amp;ADDRESS(130,3+18*2+(5))),'J1 A - (North) Bishopthorpe Roa'!$A$12:$A$130,"&gt;="&amp;Diagram!$O34,'J1 A - (North) Bishopthorpe Roa'!$A$12:$A$130,"&lt;"&amp;Diagram!$P34),SUMIFS(INDIRECT(ADDRESS(12,3+18*2+(13),,,"J1 A - (North) Bishopthorpe Roa")&amp;":"&amp;ADDRESS(130,3+18*2+(13))),'J1 A - (North) Bishopthorpe Roa'!$A$12:$A$130,"&gt;="&amp;Diagram!$O34,'J1 A - (North) Bishopthorpe Roa'!$A$12:$A$130,"&lt;"&amp;Diagram!$P34)))</f>
        <v>1</v>
      </c>
      <c r="DD34" s="42">
        <f ca="1">IF(OR($I$10="",$O34="",$P34="",$J$40&lt;&gt;"Yes"),0,IF($K$10=0,SUMIFS(INDIRECT(ADDRESS(12,3+18*2+(5),,,"J1 B - Butcher Terrace")&amp;":"&amp;ADDRESS(130,3+18*2+(5))),'J1 B - Butcher Terrace'!$A$12:$A$130,"&gt;="&amp;Diagram!$O34,'J1 B - Butcher Terrace'!$A$12:$A$130,"&lt;"&amp;Diagram!$P34),SUMIFS(INDIRECT(ADDRESS(12,3+18*2+(13),,,"J1 B - Butcher Terrace")&amp;":"&amp;ADDRESS(130,3+18*2+(13))),'J1 B - Butcher Terrace'!$A$12:$A$130,"&gt;="&amp;Diagram!$O34,'J1 B - Butcher Terrace'!$A$12:$A$130,"&lt;"&amp;Diagram!$P34)))</f>
        <v>4</v>
      </c>
      <c r="DE34" s="42">
        <f ca="1">IF(OR($I$10="",$O34="",$P34="",$J$40&lt;&gt;"Yes"),0,IF($K$10=0,SUMIFS(INDIRECT(ADDRESS(12,3+18*3+(5),,,"J1 B - Butcher Terrace")&amp;":"&amp;ADDRESS(130,3+18*3+(5))),'J1 B - Butcher Terrace'!$A$12:$A$130,"&gt;="&amp;Diagram!$O34,'J1 B - Butcher Terrace'!$A$12:$A$130,"&lt;"&amp;Diagram!$P34),SUMIFS(INDIRECT(ADDRESS(12,3+18*3+(13),,,"J1 B - Butcher Terrace")&amp;":"&amp;ADDRESS(130,3+18*3+(13))),'J1 B - Butcher Terrace'!$A$12:$A$130,"&gt;="&amp;Diagram!$O34,'J1 B - Butcher Terrace'!$A$12:$A$130,"&lt;"&amp;Diagram!$P34)))</f>
        <v>0</v>
      </c>
      <c r="DF34" s="42">
        <f ca="1">IF(OR($I$10="",$O34="",$P34="",$J$40&lt;&gt;"Yes"),0,IF($K$10=0,SUMIFS(INDIRECT(ADDRESS(12,3+18*0+(5),,,"J1 B - Butcher Terrace")&amp;":"&amp;ADDRESS(130,3+18*0+(5))),'J1 B - Butcher Terrace'!$A$12:$A$130,"&gt;="&amp;Diagram!$O34,'J1 B - Butcher Terrace'!$A$12:$A$130,"&lt;"&amp;Diagram!$P34),SUMIFS(INDIRECT(ADDRESS(12,3+18*0+(13),,,"J1 B - Butcher Terrace")&amp;":"&amp;ADDRESS(130,3+18*0+(13))),'J1 B - Butcher Terrace'!$A$12:$A$130,"&gt;="&amp;Diagram!$O34,'J1 B - Butcher Terrace'!$A$12:$A$130,"&lt;"&amp;Diagram!$P34)))</f>
        <v>2</v>
      </c>
      <c r="DG34" s="42">
        <f ca="1">IF(OR($I$10="",$O34="",$P34="",$J$40&lt;&gt;"Yes"),0,IF($K$10=0,SUMIFS(INDIRECT(ADDRESS(12,3+18*1+(5),,,"J1 B - Butcher Terrace")&amp;":"&amp;ADDRESS(130,3+18*1+(5))),'J1 B - Butcher Terrace'!$A$12:$A$130,"&gt;="&amp;Diagram!$O34,'J1 B - Butcher Terrace'!$A$12:$A$130,"&lt;"&amp;Diagram!$P34),SUMIFS(INDIRECT(ADDRESS(12,3+18*1+(13),,,"J1 B - Butcher Terrace")&amp;":"&amp;ADDRESS(130,3+18*1+(13))),'J1 B - Butcher Terrace'!$A$12:$A$130,"&gt;="&amp;Diagram!$O34,'J1 B - Butcher Terrace'!$A$12:$A$130,"&lt;"&amp;Diagram!$P34)))</f>
        <v>12</v>
      </c>
      <c r="DH34" s="42">
        <f ca="1">IF(OR($I$10="",$O34="",$P34="",$J$40&lt;&gt;"Yes"),0,IF($K$10=0,SUMIFS(INDIRECT(ADDRESS(12,3+18*1+(5),,,"J1 C - (South) Bishopthorpe Roa")&amp;":"&amp;ADDRESS(130,3+18*1+(5))),'J1 C - (South) Bishopthorpe Roa'!$A$12:$A$130,"&gt;="&amp;Diagram!$O34,'J1 C - (South) Bishopthorpe Roa'!$A$12:$A$130,"&lt;"&amp;Diagram!$P34),SUMIFS(INDIRECT(ADDRESS(12,3+18*1+(13),,,"J1 C - (South) Bishopthorpe Roa")&amp;":"&amp;ADDRESS(130,3+18*1+(13))),'J1 C - (South) Bishopthorpe Roa'!$A$12:$A$130,"&gt;="&amp;Diagram!$O34,'J1 C - (South) Bishopthorpe Roa'!$A$12:$A$130,"&lt;"&amp;Diagram!$P34)))</f>
        <v>16</v>
      </c>
      <c r="DI34" s="42">
        <f ca="1">IF(OR($I$10="",$O34="",$P34="",$J$40&lt;&gt;"Yes"),0,IF($K$10=0,SUMIFS(INDIRECT(ADDRESS(12,3+18*2+(5),,,"J1 C - (South) Bishopthorpe Roa")&amp;":"&amp;ADDRESS(130,3+18*2+(5))),'J1 C - (South) Bishopthorpe Roa'!$A$12:$A$130,"&gt;="&amp;Diagram!$O34,'J1 C - (South) Bishopthorpe Roa'!$A$12:$A$130,"&lt;"&amp;Diagram!$P34),SUMIFS(INDIRECT(ADDRESS(12,3+18*2+(13),,,"J1 C - (South) Bishopthorpe Roa")&amp;":"&amp;ADDRESS(130,3+18*2+(13))),'J1 C - (South) Bishopthorpe Roa'!$A$12:$A$130,"&gt;="&amp;Diagram!$O34,'J1 C - (South) Bishopthorpe Roa'!$A$12:$A$130,"&lt;"&amp;Diagram!$P34)))</f>
        <v>12</v>
      </c>
      <c r="DJ34" s="42">
        <f ca="1">IF(OR($I$10="",$O34="",$P34="",$J$40&lt;&gt;"Yes"),0,IF($K$10=0,SUMIFS(INDIRECT(ADDRESS(12,3+18*3+(5),,,"J1 C - (South) Bishopthorpe Roa")&amp;":"&amp;ADDRESS(130,3+18*3+(5))),'J1 C - (South) Bishopthorpe Roa'!$A$12:$A$130,"&gt;="&amp;Diagram!$O34,'J1 C - (South) Bishopthorpe Roa'!$A$12:$A$130,"&lt;"&amp;Diagram!$P34),SUMIFS(INDIRECT(ADDRESS(12,3+18*3+(13),,,"J1 C - (South) Bishopthorpe Roa")&amp;":"&amp;ADDRESS(130,3+18*3+(13))),'J1 C - (South) Bishopthorpe Roa'!$A$12:$A$130,"&gt;="&amp;Diagram!$O34,'J1 C - (South) Bishopthorpe Roa'!$A$12:$A$130,"&lt;"&amp;Diagram!$P34)))</f>
        <v>0</v>
      </c>
      <c r="DK34" s="42">
        <f ca="1">IF(OR($I$10="",$O34="",$P34="",$J$40&lt;&gt;"Yes"),0,IF($K$10=0,SUMIFS(INDIRECT(ADDRESS(12,3+18*0+(5),,,"J1 C - (South) Bishopthorpe Roa")&amp;":"&amp;ADDRESS(130,3+18*0+(5))),'J1 C - (South) Bishopthorpe Roa'!$A$12:$A$130,"&gt;="&amp;Diagram!$O34,'J1 C - (South) Bishopthorpe Roa'!$A$12:$A$130,"&lt;"&amp;Diagram!$P34),SUMIFS(INDIRECT(ADDRESS(12,3+18*0+(13),,,"J1 C - (South) Bishopthorpe Roa")&amp;":"&amp;ADDRESS(130,3+18*0+(13))),'J1 C - (South) Bishopthorpe Roa'!$A$12:$A$130,"&gt;="&amp;Diagram!$O34,'J1 C - (South) Bishopthorpe Roa'!$A$12:$A$130,"&lt;"&amp;Diagram!$P34)))</f>
        <v>2</v>
      </c>
      <c r="DL34" s="42">
        <f ca="1">IF(OR($I$10="",$O34="",$P34="",$J$40&lt;&gt;"Yes"),0,IF($K$10=0,SUMIFS(INDIRECT(ADDRESS(12,3+18*0+(5),,,"J1 D - South Bank Avenue")&amp;":"&amp;ADDRESS(130,3+18*0+(5))),'J1 D - South Bank Avenue'!$A$12:$A$130,"&gt;="&amp;Diagram!$O34,'J1 D - South Bank Avenue'!$A$12:$A$130,"&lt;"&amp;Diagram!$P34),SUMIFS(INDIRECT(ADDRESS(12,3+18*0+(13),,,"J1 D - South Bank Avenue")&amp;":"&amp;ADDRESS(130,3+18*0+(13))),'J1 D - South Bank Avenue'!$A$12:$A$130,"&gt;="&amp;Diagram!$O34,'J1 D - South Bank Avenue'!$A$12:$A$130,"&lt;"&amp;Diagram!$P34)))</f>
        <v>4</v>
      </c>
      <c r="DM34" s="42">
        <f ca="1">IF(OR($I$10="",$O34="",$P34="",$J$40&lt;&gt;"Yes"),0,IF($K$10=0,SUMIFS(INDIRECT(ADDRESS(12,3+18*1+(5),,,"J1 D - South Bank Avenue")&amp;":"&amp;ADDRESS(130,3+18*1+(5))),'J1 D - South Bank Avenue'!$A$12:$A$130,"&gt;="&amp;Diagram!$O34,'J1 D - South Bank Avenue'!$A$12:$A$130,"&lt;"&amp;Diagram!$P34),SUMIFS(INDIRECT(ADDRESS(12,3+18*1+(13),,,"J1 D - South Bank Avenue")&amp;":"&amp;ADDRESS(130,3+18*1+(13))),'J1 D - South Bank Avenue'!$A$12:$A$130,"&gt;="&amp;Diagram!$O34,'J1 D - South Bank Avenue'!$A$12:$A$130,"&lt;"&amp;Diagram!$P34)))</f>
        <v>36</v>
      </c>
      <c r="DN34" s="42">
        <f ca="1">IF(OR($I$10="",$O34="",$P34="",$J$40&lt;&gt;"Yes"),0,IF($K$10=0,SUMIFS(INDIRECT(ADDRESS(12,3+18*2+(5),,,"J1 D - South Bank Avenue")&amp;":"&amp;ADDRESS(130,3+18*2+(5))),'J1 D - South Bank Avenue'!$A$12:$A$130,"&gt;="&amp;Diagram!$O34,'J1 D - South Bank Avenue'!$A$12:$A$130,"&lt;"&amp;Diagram!$P34),SUMIFS(INDIRECT(ADDRESS(12,3+18*2+(13),,,"J1 D - South Bank Avenue")&amp;":"&amp;ADDRESS(130,3+18*2+(13))),'J1 D - South Bank Avenue'!$A$12:$A$130,"&gt;="&amp;Diagram!$O34,'J1 D - South Bank Avenue'!$A$12:$A$130,"&lt;"&amp;Diagram!$P34)))</f>
        <v>1</v>
      </c>
      <c r="DO34" s="42">
        <f ca="1">IF(OR($I$10="",$O34="",$P34="",$J$40&lt;&gt;"Yes"),0,IF($K$10=0,SUMIFS(INDIRECT(ADDRESS(12,3+18*3+(5),,,"J1 D - South Bank Avenue")&amp;":"&amp;ADDRESS(130,3+18*3+(5))),'J1 D - South Bank Avenue'!$A$12:$A$130,"&gt;="&amp;Diagram!$O34,'J1 D - South Bank Avenue'!$A$12:$A$130,"&lt;"&amp;Diagram!$P34),SUMIFS(INDIRECT(ADDRESS(12,3+18*3+(13),,,"J1 D - South Bank Avenue")&amp;":"&amp;ADDRESS(130,3+18*3+(13))),'J1 D - South Bank Avenue'!$A$12:$A$130,"&gt;="&amp;Diagram!$O34,'J1 D - South Bank Avenue'!$A$12:$A$130,"&lt;"&amp;Diagram!$P34)))</f>
        <v>0</v>
      </c>
      <c r="DP34" s="42">
        <f t="shared" ca="1" si="7"/>
        <v>2</v>
      </c>
      <c r="DQ34" s="42">
        <f ca="1">IF(OR($I$10="",$O34="",$P34="",$J$41&lt;&gt;"Yes"),0,IF($K$10=0,SUMIFS(INDIRECT(ADDRESS(12,3+18*3+(6),,,"J1 A - (North) Bishopthorpe Roa")&amp;":"&amp;ADDRESS(130,3+18*3+(6))),'J1 A - (North) Bishopthorpe Roa'!$A$12:$A$130,"&gt;="&amp;Diagram!$O34,'J1 A - (North) Bishopthorpe Roa'!$A$12:$A$130,"&lt;"&amp;Diagram!$P34),SUMIFS(INDIRECT(ADDRESS(12,3+18*3+(14),,,"J1 A - (North) Bishopthorpe Roa")&amp;":"&amp;ADDRESS(130,3+18*3+(14))),'J1 A - (North) Bishopthorpe Roa'!$A$12:$A$130,"&gt;="&amp;Diagram!$O34,'J1 A - (North) Bishopthorpe Roa'!$A$12:$A$130,"&lt;"&amp;Diagram!$P34)))</f>
        <v>0</v>
      </c>
      <c r="DR34" s="42">
        <f ca="1">IF(OR($I$10="",$O34="",$P34="",$J$41&lt;&gt;"Yes"),0,IF($K$10=0,SUMIFS(INDIRECT(ADDRESS(12,3+18*0+(6),,,"J1 A - (North) Bishopthorpe Roa")&amp;":"&amp;ADDRESS(130,3+18*0+(6))),'J1 A - (North) Bishopthorpe Roa'!$A$12:$A$130,"&gt;="&amp;Diagram!$O34,'J1 A - (North) Bishopthorpe Roa'!$A$12:$A$130,"&lt;"&amp;Diagram!$P34),SUMIFS(INDIRECT(ADDRESS(12,3+18*0+(14),,,"J1 A - (North) Bishopthorpe Roa")&amp;":"&amp;ADDRESS(130,3+18*0+(14))),'J1 A - (North) Bishopthorpe Roa'!$A$12:$A$130,"&gt;="&amp;Diagram!$O34,'J1 A - (North) Bishopthorpe Roa'!$A$12:$A$130,"&lt;"&amp;Diagram!$P34)))</f>
        <v>0</v>
      </c>
      <c r="DS34" s="42">
        <f ca="1">IF(OR($I$10="",$O34="",$P34="",$J$41&lt;&gt;"Yes"),0,IF($K$10=0,SUMIFS(INDIRECT(ADDRESS(12,3+18*1+(6),,,"J1 A - (North) Bishopthorpe Roa")&amp;":"&amp;ADDRESS(130,3+18*1+(6))),'J1 A - (North) Bishopthorpe Roa'!$A$12:$A$130,"&gt;="&amp;Diagram!$O34,'J1 A - (North) Bishopthorpe Roa'!$A$12:$A$130,"&lt;"&amp;Diagram!$P34),SUMIFS(INDIRECT(ADDRESS(12,3+18*1+(14),,,"J1 A - (North) Bishopthorpe Roa")&amp;":"&amp;ADDRESS(130,3+18*1+(14))),'J1 A - (North) Bishopthorpe Roa'!$A$12:$A$130,"&gt;="&amp;Diagram!$O34,'J1 A - (North) Bishopthorpe Roa'!$A$12:$A$130,"&lt;"&amp;Diagram!$P34)))</f>
        <v>1</v>
      </c>
      <c r="DT34" s="42">
        <f ca="1">IF(OR($I$10="",$O34="",$P34="",$J$41&lt;&gt;"Yes"),0,IF($K$10=0,SUMIFS(INDIRECT(ADDRESS(12,3+18*2+(6),,,"J1 A - (North) Bishopthorpe Roa")&amp;":"&amp;ADDRESS(130,3+18*2+(6))),'J1 A - (North) Bishopthorpe Roa'!$A$12:$A$130,"&gt;="&amp;Diagram!$O34,'J1 A - (North) Bishopthorpe Roa'!$A$12:$A$130,"&lt;"&amp;Diagram!$P34),SUMIFS(INDIRECT(ADDRESS(12,3+18*2+(14),,,"J1 A - (North) Bishopthorpe Roa")&amp;":"&amp;ADDRESS(130,3+18*2+(14))),'J1 A - (North) Bishopthorpe Roa'!$A$12:$A$130,"&gt;="&amp;Diagram!$O34,'J1 A - (North) Bishopthorpe Roa'!$A$12:$A$130,"&lt;"&amp;Diagram!$P34)))</f>
        <v>0</v>
      </c>
      <c r="DU34" s="42">
        <f ca="1">IF(OR($I$10="",$O34="",$P34="",$J$41&lt;&gt;"Yes"),0,IF($K$10=0,SUMIFS(INDIRECT(ADDRESS(12,3+18*2+(6),,,"J1 B - Butcher Terrace")&amp;":"&amp;ADDRESS(130,3+18*2+(6))),'J1 B - Butcher Terrace'!$A$12:$A$130,"&gt;="&amp;Diagram!$O34,'J1 B - Butcher Terrace'!$A$12:$A$130,"&lt;"&amp;Diagram!$P34),SUMIFS(INDIRECT(ADDRESS(12,3+18*2+(14),,,"J1 B - Butcher Terrace")&amp;":"&amp;ADDRESS(130,3+18*2+(14))),'J1 B - Butcher Terrace'!$A$12:$A$130,"&gt;="&amp;Diagram!$O34,'J1 B - Butcher Terrace'!$A$12:$A$130,"&lt;"&amp;Diagram!$P34)))</f>
        <v>0</v>
      </c>
      <c r="DV34" s="42">
        <f ca="1">IF(OR($I$10="",$O34="",$P34="",$J$41&lt;&gt;"Yes"),0,IF($K$10=0,SUMIFS(INDIRECT(ADDRESS(12,3+18*3+(6),,,"J1 B - Butcher Terrace")&amp;":"&amp;ADDRESS(130,3+18*3+(6))),'J1 B - Butcher Terrace'!$A$12:$A$130,"&gt;="&amp;Diagram!$O34,'J1 B - Butcher Terrace'!$A$12:$A$130,"&lt;"&amp;Diagram!$P34),SUMIFS(INDIRECT(ADDRESS(12,3+18*3+(14),,,"J1 B - Butcher Terrace")&amp;":"&amp;ADDRESS(130,3+18*3+(14))),'J1 B - Butcher Terrace'!$A$12:$A$130,"&gt;="&amp;Diagram!$O34,'J1 B - Butcher Terrace'!$A$12:$A$130,"&lt;"&amp;Diagram!$P34)))</f>
        <v>0</v>
      </c>
      <c r="DW34" s="42">
        <f ca="1">IF(OR($I$10="",$O34="",$P34="",$J$41&lt;&gt;"Yes"),0,IF($K$10=0,SUMIFS(INDIRECT(ADDRESS(12,3+18*0+(6),,,"J1 B - Butcher Terrace")&amp;":"&amp;ADDRESS(130,3+18*0+(6))),'J1 B - Butcher Terrace'!$A$12:$A$130,"&gt;="&amp;Diagram!$O34,'J1 B - Butcher Terrace'!$A$12:$A$130,"&lt;"&amp;Diagram!$P34),SUMIFS(INDIRECT(ADDRESS(12,3+18*0+(14),,,"J1 B - Butcher Terrace")&amp;":"&amp;ADDRESS(130,3+18*0+(14))),'J1 B - Butcher Terrace'!$A$12:$A$130,"&gt;="&amp;Diagram!$O34,'J1 B - Butcher Terrace'!$A$12:$A$130,"&lt;"&amp;Diagram!$P34)))</f>
        <v>0</v>
      </c>
      <c r="DX34" s="42">
        <f ca="1">IF(OR($I$10="",$O34="",$P34="",$J$41&lt;&gt;"Yes"),0,IF($K$10=0,SUMIFS(INDIRECT(ADDRESS(12,3+18*1+(6),,,"J1 B - Butcher Terrace")&amp;":"&amp;ADDRESS(130,3+18*1+(6))),'J1 B - Butcher Terrace'!$A$12:$A$130,"&gt;="&amp;Diagram!$O34,'J1 B - Butcher Terrace'!$A$12:$A$130,"&lt;"&amp;Diagram!$P34),SUMIFS(INDIRECT(ADDRESS(12,3+18*1+(14),,,"J1 B - Butcher Terrace")&amp;":"&amp;ADDRESS(130,3+18*1+(14))),'J1 B - Butcher Terrace'!$A$12:$A$130,"&gt;="&amp;Diagram!$O34,'J1 B - Butcher Terrace'!$A$12:$A$130,"&lt;"&amp;Diagram!$P34)))</f>
        <v>0</v>
      </c>
      <c r="DY34" s="42">
        <f ca="1">IF(OR($I$10="",$O34="",$P34="",$J$41&lt;&gt;"Yes"),0,IF($K$10=0,SUMIFS(INDIRECT(ADDRESS(12,3+18*1+(6),,,"J1 C - (South) Bishopthorpe Roa")&amp;":"&amp;ADDRESS(130,3+18*1+(6))),'J1 C - (South) Bishopthorpe Roa'!$A$12:$A$130,"&gt;="&amp;Diagram!$O34,'J1 C - (South) Bishopthorpe Roa'!$A$12:$A$130,"&lt;"&amp;Diagram!$P34),SUMIFS(INDIRECT(ADDRESS(12,3+18*1+(14),,,"J1 C - (South) Bishopthorpe Roa")&amp;":"&amp;ADDRESS(130,3+18*1+(14))),'J1 C - (South) Bishopthorpe Roa'!$A$12:$A$130,"&gt;="&amp;Diagram!$O34,'J1 C - (South) Bishopthorpe Roa'!$A$12:$A$130,"&lt;"&amp;Diagram!$P34)))</f>
        <v>1</v>
      </c>
      <c r="DZ34" s="42">
        <f ca="1">IF(OR($I$10="",$O34="",$P34="",$J$41&lt;&gt;"Yes"),0,IF($K$10=0,SUMIFS(INDIRECT(ADDRESS(12,3+18*2+(6),,,"J1 C - (South) Bishopthorpe Roa")&amp;":"&amp;ADDRESS(130,3+18*2+(6))),'J1 C - (South) Bishopthorpe Roa'!$A$12:$A$130,"&gt;="&amp;Diagram!$O34,'J1 C - (South) Bishopthorpe Roa'!$A$12:$A$130,"&lt;"&amp;Diagram!$P34),SUMIFS(INDIRECT(ADDRESS(12,3+18*2+(14),,,"J1 C - (South) Bishopthorpe Roa")&amp;":"&amp;ADDRESS(130,3+18*2+(14))),'J1 C - (South) Bishopthorpe Roa'!$A$12:$A$130,"&gt;="&amp;Diagram!$O34,'J1 C - (South) Bishopthorpe Roa'!$A$12:$A$130,"&lt;"&amp;Diagram!$P34)))</f>
        <v>0</v>
      </c>
      <c r="EA34" s="42">
        <f ca="1">IF(OR($I$10="",$O34="",$P34="",$J$41&lt;&gt;"Yes"),0,IF($K$10=0,SUMIFS(INDIRECT(ADDRESS(12,3+18*3+(6),,,"J1 C - (South) Bishopthorpe Roa")&amp;":"&amp;ADDRESS(130,3+18*3+(6))),'J1 C - (South) Bishopthorpe Roa'!$A$12:$A$130,"&gt;="&amp;Diagram!$O34,'J1 C - (South) Bishopthorpe Roa'!$A$12:$A$130,"&lt;"&amp;Diagram!$P34),SUMIFS(INDIRECT(ADDRESS(12,3+18*3+(14),,,"J1 C - (South) Bishopthorpe Roa")&amp;":"&amp;ADDRESS(130,3+18*3+(14))),'J1 C - (South) Bishopthorpe Roa'!$A$12:$A$130,"&gt;="&amp;Diagram!$O34,'J1 C - (South) Bishopthorpe Roa'!$A$12:$A$130,"&lt;"&amp;Diagram!$P34)))</f>
        <v>0</v>
      </c>
      <c r="EB34" s="42">
        <f ca="1">IF(OR($I$10="",$O34="",$P34="",$J$41&lt;&gt;"Yes"),0,IF($K$10=0,SUMIFS(INDIRECT(ADDRESS(12,3+18*0+(6),,,"J1 C - (South) Bishopthorpe Roa")&amp;":"&amp;ADDRESS(130,3+18*0+(6))),'J1 C - (South) Bishopthorpe Roa'!$A$12:$A$130,"&gt;="&amp;Diagram!$O34,'J1 C - (South) Bishopthorpe Roa'!$A$12:$A$130,"&lt;"&amp;Diagram!$P34),SUMIFS(INDIRECT(ADDRESS(12,3+18*0+(14),,,"J1 C - (South) Bishopthorpe Roa")&amp;":"&amp;ADDRESS(130,3+18*0+(14))),'J1 C - (South) Bishopthorpe Roa'!$A$12:$A$130,"&gt;="&amp;Diagram!$O34,'J1 C - (South) Bishopthorpe Roa'!$A$12:$A$130,"&lt;"&amp;Diagram!$P34)))</f>
        <v>0</v>
      </c>
      <c r="EC34" s="42">
        <f ca="1">IF(OR($I$10="",$O34="",$P34="",$J$41&lt;&gt;"Yes"),0,IF($K$10=0,SUMIFS(INDIRECT(ADDRESS(12,3+18*0+(6),,,"J1 D - South Bank Avenue")&amp;":"&amp;ADDRESS(130,3+18*0+(6))),'J1 D - South Bank Avenue'!$A$12:$A$130,"&gt;="&amp;Diagram!$O34,'J1 D - South Bank Avenue'!$A$12:$A$130,"&lt;"&amp;Diagram!$P34),SUMIFS(INDIRECT(ADDRESS(12,3+18*0+(14),,,"J1 D - South Bank Avenue")&amp;":"&amp;ADDRESS(130,3+18*0+(14))),'J1 D - South Bank Avenue'!$A$12:$A$130,"&gt;="&amp;Diagram!$O34,'J1 D - South Bank Avenue'!$A$12:$A$130,"&lt;"&amp;Diagram!$P34)))</f>
        <v>0</v>
      </c>
      <c r="ED34" s="42">
        <f ca="1">IF(OR($I$10="",$O34="",$P34="",$J$41&lt;&gt;"Yes"),0,IF($K$10=0,SUMIFS(INDIRECT(ADDRESS(12,3+18*1+(6),,,"J1 D - South Bank Avenue")&amp;":"&amp;ADDRESS(130,3+18*1+(6))),'J1 D - South Bank Avenue'!$A$12:$A$130,"&gt;="&amp;Diagram!$O34,'J1 D - South Bank Avenue'!$A$12:$A$130,"&lt;"&amp;Diagram!$P34),SUMIFS(INDIRECT(ADDRESS(12,3+18*1+(14),,,"J1 D - South Bank Avenue")&amp;":"&amp;ADDRESS(130,3+18*1+(14))),'J1 D - South Bank Avenue'!$A$12:$A$130,"&gt;="&amp;Diagram!$O34,'J1 D - South Bank Avenue'!$A$12:$A$130,"&lt;"&amp;Diagram!$P34)))</f>
        <v>0</v>
      </c>
      <c r="EE34" s="42">
        <f ca="1">IF(OR($I$10="",$O34="",$P34="",$J$41&lt;&gt;"Yes"),0,IF($K$10=0,SUMIFS(INDIRECT(ADDRESS(12,3+18*2+(6),,,"J1 D - South Bank Avenue")&amp;":"&amp;ADDRESS(130,3+18*2+(6))),'J1 D - South Bank Avenue'!$A$12:$A$130,"&gt;="&amp;Diagram!$O34,'J1 D - South Bank Avenue'!$A$12:$A$130,"&lt;"&amp;Diagram!$P34),SUMIFS(INDIRECT(ADDRESS(12,3+18*2+(14),,,"J1 D - South Bank Avenue")&amp;":"&amp;ADDRESS(130,3+18*2+(14))),'J1 D - South Bank Avenue'!$A$12:$A$130,"&gt;="&amp;Diagram!$O34,'J1 D - South Bank Avenue'!$A$12:$A$130,"&lt;"&amp;Diagram!$P34)))</f>
        <v>0</v>
      </c>
      <c r="EF34" s="42">
        <f ca="1">IF(OR($I$10="",$O34="",$P34="",$J$41&lt;&gt;"Yes"),0,IF($K$10=0,SUMIFS(INDIRECT(ADDRESS(12,3+18*3+(6),,,"J1 D - South Bank Avenue")&amp;":"&amp;ADDRESS(130,3+18*3+(6))),'J1 D - South Bank Avenue'!$A$12:$A$130,"&gt;="&amp;Diagram!$O34,'J1 D - South Bank Avenue'!$A$12:$A$130,"&lt;"&amp;Diagram!$P34),SUMIFS(INDIRECT(ADDRESS(12,3+18*3+(14),,,"J1 D - South Bank Avenue")&amp;":"&amp;ADDRESS(130,3+18*3+(14))),'J1 D - South Bank Avenue'!$A$12:$A$130,"&gt;="&amp;Diagram!$O34,'J1 D - South Bank Avenue'!$A$12:$A$130,"&lt;"&amp;Diagram!$P34)))</f>
        <v>0</v>
      </c>
      <c r="EG34" s="42">
        <f t="shared" ca="1" si="8"/>
        <v>5</v>
      </c>
      <c r="EH34" s="42">
        <f ca="1">IF(OR($I$10="",$O34="",$P34="",$J$42&lt;&gt;"Yes"),0,IF($K$10=0,SUMIFS(INDIRECT(ADDRESS(12,3+18*3+(7),,,"J1 A - (North) Bishopthorpe Roa")&amp;":"&amp;ADDRESS(130,3+18*3+(7))),'J1 A - (North) Bishopthorpe Roa'!$A$12:$A$130,"&gt;="&amp;Diagram!$O34,'J1 A - (North) Bishopthorpe Roa'!$A$12:$A$130,"&lt;"&amp;Diagram!$P34),SUMIFS(INDIRECT(ADDRESS(12,3+18*3+(15),,,"J1 A - (North) Bishopthorpe Roa")&amp;":"&amp;ADDRESS(130,3+18*3+(15))),'J1 A - (North) Bishopthorpe Roa'!$A$12:$A$130,"&gt;="&amp;Diagram!$O34,'J1 A - (North) Bishopthorpe Roa'!$A$12:$A$130,"&lt;"&amp;Diagram!$P34)))</f>
        <v>0</v>
      </c>
      <c r="EI34" s="42">
        <f ca="1">IF(OR($I$10="",$O34="",$P34="",$J$42&lt;&gt;"Yes"),0,IF($K$10=0,SUMIFS(INDIRECT(ADDRESS(12,3+18*0+(7),,,"J1 A - (North) Bishopthorpe Roa")&amp;":"&amp;ADDRESS(130,3+18*0+(7))),'J1 A - (North) Bishopthorpe Roa'!$A$12:$A$130,"&gt;="&amp;Diagram!$O34,'J1 A - (North) Bishopthorpe Roa'!$A$12:$A$130,"&lt;"&amp;Diagram!$P34),SUMIFS(INDIRECT(ADDRESS(12,3+18*0+(15),,,"J1 A - (North) Bishopthorpe Roa")&amp;":"&amp;ADDRESS(130,3+18*0+(15))),'J1 A - (North) Bishopthorpe Roa'!$A$12:$A$130,"&gt;="&amp;Diagram!$O34,'J1 A - (North) Bishopthorpe Roa'!$A$12:$A$130,"&lt;"&amp;Diagram!$P34)))</f>
        <v>0</v>
      </c>
      <c r="EJ34" s="42">
        <f ca="1">IF(OR($I$10="",$O34="",$P34="",$J$42&lt;&gt;"Yes"),0,IF($K$10=0,SUMIFS(INDIRECT(ADDRESS(12,3+18*1+(7),,,"J1 A - (North) Bishopthorpe Roa")&amp;":"&amp;ADDRESS(130,3+18*1+(7))),'J1 A - (North) Bishopthorpe Roa'!$A$12:$A$130,"&gt;="&amp;Diagram!$O34,'J1 A - (North) Bishopthorpe Roa'!$A$12:$A$130,"&lt;"&amp;Diagram!$P34),SUMIFS(INDIRECT(ADDRESS(12,3+18*1+(15),,,"J1 A - (North) Bishopthorpe Roa")&amp;":"&amp;ADDRESS(130,3+18*1+(15))),'J1 A - (North) Bishopthorpe Roa'!$A$12:$A$130,"&gt;="&amp;Diagram!$O34,'J1 A - (North) Bishopthorpe Roa'!$A$12:$A$130,"&lt;"&amp;Diagram!$P34)))</f>
        <v>0</v>
      </c>
      <c r="EK34" s="42">
        <f ca="1">IF(OR($I$10="",$O34="",$P34="",$J$42&lt;&gt;"Yes"),0,IF($K$10=0,SUMIFS(INDIRECT(ADDRESS(12,3+18*2+(7),,,"J1 A - (North) Bishopthorpe Roa")&amp;":"&amp;ADDRESS(130,3+18*2+(7))),'J1 A - (North) Bishopthorpe Roa'!$A$12:$A$130,"&gt;="&amp;Diagram!$O34,'J1 A - (North) Bishopthorpe Roa'!$A$12:$A$130,"&lt;"&amp;Diagram!$P34),SUMIFS(INDIRECT(ADDRESS(12,3+18*2+(15),,,"J1 A - (North) Bishopthorpe Roa")&amp;":"&amp;ADDRESS(130,3+18*2+(15))),'J1 A - (North) Bishopthorpe Roa'!$A$12:$A$130,"&gt;="&amp;Diagram!$O34,'J1 A - (North) Bishopthorpe Roa'!$A$12:$A$130,"&lt;"&amp;Diagram!$P34)))</f>
        <v>0</v>
      </c>
      <c r="EL34" s="42">
        <f ca="1">IF(OR($I$10="",$O34="",$P34="",$J$42&lt;&gt;"Yes"),0,IF($K$10=0,SUMIFS(INDIRECT(ADDRESS(12,3+18*2+(7),,,"J1 B - Butcher Terrace")&amp;":"&amp;ADDRESS(130,3+18*2+(7))),'J1 B - Butcher Terrace'!$A$12:$A$130,"&gt;="&amp;Diagram!$O34,'J1 B - Butcher Terrace'!$A$12:$A$130,"&lt;"&amp;Diagram!$P34),SUMIFS(INDIRECT(ADDRESS(12,3+18*2+(15),,,"J1 B - Butcher Terrace")&amp;":"&amp;ADDRESS(130,3+18*2+(15))),'J1 B - Butcher Terrace'!$A$12:$A$130,"&gt;="&amp;Diagram!$O34,'J1 B - Butcher Terrace'!$A$12:$A$130,"&lt;"&amp;Diagram!$P34)))</f>
        <v>3</v>
      </c>
      <c r="EM34" s="42">
        <f ca="1">IF(OR($I$10="",$O34="",$P34="",$J$42&lt;&gt;"Yes"),0,IF($K$10=0,SUMIFS(INDIRECT(ADDRESS(12,3+18*3+(7),,,"J1 B - Butcher Terrace")&amp;":"&amp;ADDRESS(130,3+18*3+(7))),'J1 B - Butcher Terrace'!$A$12:$A$130,"&gt;="&amp;Diagram!$O34,'J1 B - Butcher Terrace'!$A$12:$A$130,"&lt;"&amp;Diagram!$P34),SUMIFS(INDIRECT(ADDRESS(12,3+18*3+(15),,,"J1 B - Butcher Terrace")&amp;":"&amp;ADDRESS(130,3+18*3+(15))),'J1 B - Butcher Terrace'!$A$12:$A$130,"&gt;="&amp;Diagram!$O34,'J1 B - Butcher Terrace'!$A$12:$A$130,"&lt;"&amp;Diagram!$P34)))</f>
        <v>0</v>
      </c>
      <c r="EN34" s="42">
        <f ca="1">IF(OR($I$10="",$O34="",$P34="",$J$42&lt;&gt;"Yes"),0,IF($K$10=0,SUMIFS(INDIRECT(ADDRESS(12,3+18*0+(7),,,"J1 B - Butcher Terrace")&amp;":"&amp;ADDRESS(130,3+18*0+(7))),'J1 B - Butcher Terrace'!$A$12:$A$130,"&gt;="&amp;Diagram!$O34,'J1 B - Butcher Terrace'!$A$12:$A$130,"&lt;"&amp;Diagram!$P34),SUMIFS(INDIRECT(ADDRESS(12,3+18*0+(15),,,"J1 B - Butcher Terrace")&amp;":"&amp;ADDRESS(130,3+18*0+(15))),'J1 B - Butcher Terrace'!$A$12:$A$130,"&gt;="&amp;Diagram!$O34,'J1 B - Butcher Terrace'!$A$12:$A$130,"&lt;"&amp;Diagram!$P34)))</f>
        <v>2</v>
      </c>
      <c r="EO34" s="42">
        <f ca="1">IF(OR($I$10="",$O34="",$P34="",$J$42&lt;&gt;"Yes"),0,IF($K$10=0,SUMIFS(INDIRECT(ADDRESS(12,3+18*1+(7),,,"J1 B - Butcher Terrace")&amp;":"&amp;ADDRESS(130,3+18*1+(7))),'J1 B - Butcher Terrace'!$A$12:$A$130,"&gt;="&amp;Diagram!$O34,'J1 B - Butcher Terrace'!$A$12:$A$130,"&lt;"&amp;Diagram!$P34),SUMIFS(INDIRECT(ADDRESS(12,3+18*1+(15),,,"J1 B - Butcher Terrace")&amp;":"&amp;ADDRESS(130,3+18*1+(15))),'J1 B - Butcher Terrace'!$A$12:$A$130,"&gt;="&amp;Diagram!$O34,'J1 B - Butcher Terrace'!$A$12:$A$130,"&lt;"&amp;Diagram!$P34)))</f>
        <v>0</v>
      </c>
      <c r="EP34" s="42">
        <f ca="1">IF(OR($I$10="",$O34="",$P34="",$J$42&lt;&gt;"Yes"),0,IF($K$10=0,SUMIFS(INDIRECT(ADDRESS(12,3+18*1+(7),,,"J1 C - (South) Bishopthorpe Roa")&amp;":"&amp;ADDRESS(130,3+18*1+(7))),'J1 C - (South) Bishopthorpe Roa'!$A$12:$A$130,"&gt;="&amp;Diagram!$O34,'J1 C - (South) Bishopthorpe Roa'!$A$12:$A$130,"&lt;"&amp;Diagram!$P34),SUMIFS(INDIRECT(ADDRESS(12,3+18*1+(15),,,"J1 C - (South) Bishopthorpe Roa")&amp;":"&amp;ADDRESS(130,3+18*1+(15))),'J1 C - (South) Bishopthorpe Roa'!$A$12:$A$130,"&gt;="&amp;Diagram!$O34,'J1 C - (South) Bishopthorpe Roa'!$A$12:$A$130,"&lt;"&amp;Diagram!$P34)))</f>
        <v>0</v>
      </c>
      <c r="EQ34" s="42">
        <f ca="1">IF(OR($I$10="",$O34="",$P34="",$J$42&lt;&gt;"Yes"),0,IF($K$10=0,SUMIFS(INDIRECT(ADDRESS(12,3+18*2+(7),,,"J1 C - (South) Bishopthorpe Roa")&amp;":"&amp;ADDRESS(130,3+18*2+(7))),'J1 C - (South) Bishopthorpe Roa'!$A$12:$A$130,"&gt;="&amp;Diagram!$O34,'J1 C - (South) Bishopthorpe Roa'!$A$12:$A$130,"&lt;"&amp;Diagram!$P34),SUMIFS(INDIRECT(ADDRESS(12,3+18*2+(15),,,"J1 C - (South) Bishopthorpe Roa")&amp;":"&amp;ADDRESS(130,3+18*2+(15))),'J1 C - (South) Bishopthorpe Roa'!$A$12:$A$130,"&gt;="&amp;Diagram!$O34,'J1 C - (South) Bishopthorpe Roa'!$A$12:$A$130,"&lt;"&amp;Diagram!$P34)))</f>
        <v>0</v>
      </c>
      <c r="ER34" s="42">
        <f ca="1">IF(OR($I$10="",$O34="",$P34="",$J$42&lt;&gt;"Yes"),0,IF($K$10=0,SUMIFS(INDIRECT(ADDRESS(12,3+18*3+(7),,,"J1 C - (South) Bishopthorpe Roa")&amp;":"&amp;ADDRESS(130,3+18*3+(7))),'J1 C - (South) Bishopthorpe Roa'!$A$12:$A$130,"&gt;="&amp;Diagram!$O34,'J1 C - (South) Bishopthorpe Roa'!$A$12:$A$130,"&lt;"&amp;Diagram!$P34),SUMIFS(INDIRECT(ADDRESS(12,3+18*3+(15),,,"J1 C - (South) Bishopthorpe Roa")&amp;":"&amp;ADDRESS(130,3+18*3+(15))),'J1 C - (South) Bishopthorpe Roa'!$A$12:$A$130,"&gt;="&amp;Diagram!$O34,'J1 C - (South) Bishopthorpe Roa'!$A$12:$A$130,"&lt;"&amp;Diagram!$P34)))</f>
        <v>0</v>
      </c>
      <c r="ES34" s="42">
        <f ca="1">IF(OR($I$10="",$O34="",$P34="",$J$42&lt;&gt;"Yes"),0,IF($K$10=0,SUMIFS(INDIRECT(ADDRESS(12,3+18*0+(7),,,"J1 C - (South) Bishopthorpe Roa")&amp;":"&amp;ADDRESS(130,3+18*0+(7))),'J1 C - (South) Bishopthorpe Roa'!$A$12:$A$130,"&gt;="&amp;Diagram!$O34,'J1 C - (South) Bishopthorpe Roa'!$A$12:$A$130,"&lt;"&amp;Diagram!$P34),SUMIFS(INDIRECT(ADDRESS(12,3+18*0+(15),,,"J1 C - (South) Bishopthorpe Roa")&amp;":"&amp;ADDRESS(130,3+18*0+(15))),'J1 C - (South) Bishopthorpe Roa'!$A$12:$A$130,"&gt;="&amp;Diagram!$O34,'J1 C - (South) Bishopthorpe Roa'!$A$12:$A$130,"&lt;"&amp;Diagram!$P34)))</f>
        <v>0</v>
      </c>
      <c r="ET34" s="42">
        <f ca="1">IF(OR($I$10="",$O34="",$P34="",$J$42&lt;&gt;"Yes"),0,IF($K$10=0,SUMIFS(INDIRECT(ADDRESS(12,3+18*0+(7),,,"J1 D - South Bank Avenue")&amp;":"&amp;ADDRESS(130,3+18*0+(7))),'J1 D - South Bank Avenue'!$A$12:$A$130,"&gt;="&amp;Diagram!$O34,'J1 D - South Bank Avenue'!$A$12:$A$130,"&lt;"&amp;Diagram!$P34),SUMIFS(INDIRECT(ADDRESS(12,3+18*0+(15),,,"J1 D - South Bank Avenue")&amp;":"&amp;ADDRESS(130,3+18*0+(15))),'J1 D - South Bank Avenue'!$A$12:$A$130,"&gt;="&amp;Diagram!$O34,'J1 D - South Bank Avenue'!$A$12:$A$130,"&lt;"&amp;Diagram!$P34)))</f>
        <v>0</v>
      </c>
      <c r="EU34" s="42">
        <f ca="1">IF(OR($I$10="",$O34="",$P34="",$J$42&lt;&gt;"Yes"),0,IF($K$10=0,SUMIFS(INDIRECT(ADDRESS(12,3+18*1+(7),,,"J1 D - South Bank Avenue")&amp;":"&amp;ADDRESS(130,3+18*1+(7))),'J1 D - South Bank Avenue'!$A$12:$A$130,"&gt;="&amp;Diagram!$O34,'J1 D - South Bank Avenue'!$A$12:$A$130,"&lt;"&amp;Diagram!$P34),SUMIFS(INDIRECT(ADDRESS(12,3+18*1+(15),,,"J1 D - South Bank Avenue")&amp;":"&amp;ADDRESS(130,3+18*1+(15))),'J1 D - South Bank Avenue'!$A$12:$A$130,"&gt;="&amp;Diagram!$O34,'J1 D - South Bank Avenue'!$A$12:$A$130,"&lt;"&amp;Diagram!$P34)))</f>
        <v>0</v>
      </c>
      <c r="EV34" s="42">
        <f ca="1">IF(OR($I$10="",$O34="",$P34="",$J$42&lt;&gt;"Yes"),0,IF($K$10=0,SUMIFS(INDIRECT(ADDRESS(12,3+18*2+(7),,,"J1 D - South Bank Avenue")&amp;":"&amp;ADDRESS(130,3+18*2+(7))),'J1 D - South Bank Avenue'!$A$12:$A$130,"&gt;="&amp;Diagram!$O34,'J1 D - South Bank Avenue'!$A$12:$A$130,"&lt;"&amp;Diagram!$P34),SUMIFS(INDIRECT(ADDRESS(12,3+18*2+(15),,,"J1 D - South Bank Avenue")&amp;":"&amp;ADDRESS(130,3+18*2+(15))),'J1 D - South Bank Avenue'!$A$12:$A$130,"&gt;="&amp;Diagram!$O34,'J1 D - South Bank Avenue'!$A$12:$A$130,"&lt;"&amp;Diagram!$P34)))</f>
        <v>0</v>
      </c>
      <c r="EW34" s="42">
        <f ca="1">IF(OR($I$10="",$O34="",$P34="",$J$42&lt;&gt;"Yes"),0,IF($K$10=0,SUMIFS(INDIRECT(ADDRESS(12,3+18*3+(7),,,"J1 D - South Bank Avenue")&amp;":"&amp;ADDRESS(130,3+18*3+(7))),'J1 D - South Bank Avenue'!$A$12:$A$130,"&gt;="&amp;Diagram!$O34,'J1 D - South Bank Avenue'!$A$12:$A$130,"&lt;"&amp;Diagram!$P34),SUMIFS(INDIRECT(ADDRESS(12,3+18*3+(15),,,"J1 D - South Bank Avenue")&amp;":"&amp;ADDRESS(130,3+18*3+(15))),'J1 D - South Bank Avenue'!$A$12:$A$130,"&gt;="&amp;Diagram!$O34,'J1 D - South Bank Avenue'!$A$12:$A$130,"&lt;"&amp;Diagram!$P34)))</f>
        <v>0</v>
      </c>
    </row>
    <row r="35" spans="1:153" ht="21" customHeight="1">
      <c r="A35" s="1">
        <v>44395.354166666701</v>
      </c>
      <c r="B35" s="1">
        <v>44395.364583333299</v>
      </c>
      <c r="I35" s="38" t="s">
        <v>12</v>
      </c>
      <c r="J35" s="39" t="s">
        <v>166</v>
      </c>
      <c r="K35" s="13">
        <v>0</v>
      </c>
      <c r="O35" s="3">
        <v>44395.354166666701</v>
      </c>
      <c r="P35" s="3">
        <v>44395.395833333299</v>
      </c>
      <c r="Q35" s="42">
        <f t="shared" ca="1" si="0"/>
        <v>727</v>
      </c>
      <c r="R35" s="42">
        <f t="shared" ca="1" si="1"/>
        <v>498</v>
      </c>
      <c r="S35" s="42">
        <f ca="1">IF(OR($I$10="",$O35="",$P35="",$J$35&lt;&gt;"Yes"),0,IF($K$10=0,SUMIFS(INDIRECT(ADDRESS(12,3+18*3+(0),,,"J1 A - (North) Bishopthorpe Roa")&amp;":"&amp;ADDRESS(130,3+18*3+(0))),'J1 A - (North) Bishopthorpe Roa'!$A$12:$A$130,"&gt;="&amp;Diagram!$O35,'J1 A - (North) Bishopthorpe Roa'!$A$12:$A$130,"&lt;"&amp;Diagram!$P35),SUMIFS(INDIRECT(ADDRESS(12,3+18*3+(8),,,"J1 A - (North) Bishopthorpe Roa")&amp;":"&amp;ADDRESS(130,3+18*3+(8))),'J1 A - (North) Bishopthorpe Roa'!$A$12:$A$130,"&gt;="&amp;Diagram!$O35,'J1 A - (North) Bishopthorpe Roa'!$A$12:$A$130,"&lt;"&amp;Diagram!$P35)))</f>
        <v>1</v>
      </c>
      <c r="T35" s="42">
        <f ca="1">IF(OR($I$10="",$O35="",$P35="",$J$35&lt;&gt;"Yes"),0,IF($K$10=0,SUMIFS(INDIRECT(ADDRESS(12,3+18*0+(0),,,"J1 A - (North) Bishopthorpe Roa")&amp;":"&amp;ADDRESS(130,3+18*0+(0))),'J1 A - (North) Bishopthorpe Roa'!$A$12:$A$130,"&gt;="&amp;Diagram!$O35,'J1 A - (North) Bishopthorpe Roa'!$A$12:$A$130,"&lt;"&amp;Diagram!$P35),SUMIFS(INDIRECT(ADDRESS(12,3+18*0+(8),,,"J1 A - (North) Bishopthorpe Roa")&amp;":"&amp;ADDRESS(130,3+18*0+(8))),'J1 A - (North) Bishopthorpe Roa'!$A$12:$A$130,"&gt;="&amp;Diagram!$O35,'J1 A - (North) Bishopthorpe Roa'!$A$12:$A$130,"&lt;"&amp;Diagram!$P35)))</f>
        <v>2</v>
      </c>
      <c r="U35" s="42">
        <f ca="1">IF(OR($I$10="",$O35="",$P35="",$J$35&lt;&gt;"Yes"),0,IF($K$10=0,SUMIFS(INDIRECT(ADDRESS(12,3+18*1+(0),,,"J1 A - (North) Bishopthorpe Roa")&amp;":"&amp;ADDRESS(130,3+18*1+(0))),'J1 A - (North) Bishopthorpe Roa'!$A$12:$A$130,"&gt;="&amp;Diagram!$O35,'J1 A - (North) Bishopthorpe Roa'!$A$12:$A$130,"&lt;"&amp;Diagram!$P35),SUMIFS(INDIRECT(ADDRESS(12,3+18*1+(8),,,"J1 A - (North) Bishopthorpe Roa")&amp;":"&amp;ADDRESS(130,3+18*1+(8))),'J1 A - (North) Bishopthorpe Roa'!$A$12:$A$130,"&gt;="&amp;Diagram!$O35,'J1 A - (North) Bishopthorpe Roa'!$A$12:$A$130,"&lt;"&amp;Diagram!$P35)))</f>
        <v>177</v>
      </c>
      <c r="V35" s="42">
        <f ca="1">IF(OR($I$10="",$O35="",$P35="",$J$35&lt;&gt;"Yes"),0,IF($K$10=0,SUMIFS(INDIRECT(ADDRESS(12,3+18*2+(0),,,"J1 A - (North) Bishopthorpe Roa")&amp;":"&amp;ADDRESS(130,3+18*2+(0))),'J1 A - (North) Bishopthorpe Roa'!$A$12:$A$130,"&gt;="&amp;Diagram!$O35,'J1 A - (North) Bishopthorpe Roa'!$A$12:$A$130,"&lt;"&amp;Diagram!$P35),SUMIFS(INDIRECT(ADDRESS(12,3+18*2+(8),,,"J1 A - (North) Bishopthorpe Roa")&amp;":"&amp;ADDRESS(130,3+18*2+(8))),'J1 A - (North) Bishopthorpe Roa'!$A$12:$A$130,"&gt;="&amp;Diagram!$O35,'J1 A - (North) Bishopthorpe Roa'!$A$12:$A$130,"&lt;"&amp;Diagram!$P35)))</f>
        <v>12</v>
      </c>
      <c r="W35" s="42">
        <f ca="1">IF(OR($I$10="",$O35="",$P35="",$J$35&lt;&gt;"Yes"),0,IF($K$10=0,SUMIFS(INDIRECT(ADDRESS(12,3+18*2+(0),,,"J1 B - Butcher Terrace")&amp;":"&amp;ADDRESS(130,3+18*2+(0))),'J1 B - Butcher Terrace'!$A$12:$A$130,"&gt;="&amp;Diagram!$O35,'J1 B - Butcher Terrace'!$A$12:$A$130,"&lt;"&amp;Diagram!$P35),SUMIFS(INDIRECT(ADDRESS(12,3+18*2+(8),,,"J1 B - Butcher Terrace")&amp;":"&amp;ADDRESS(130,3+18*2+(8))),'J1 B - Butcher Terrace'!$A$12:$A$130,"&gt;="&amp;Diagram!$O35,'J1 B - Butcher Terrace'!$A$12:$A$130,"&lt;"&amp;Diagram!$P35)))</f>
        <v>12</v>
      </c>
      <c r="X35" s="42">
        <f ca="1">IF(OR($I$10="",$O35="",$P35="",$J$35&lt;&gt;"Yes"),0,IF($K$10=0,SUMIFS(INDIRECT(ADDRESS(12,3+18*3+(0),,,"J1 B - Butcher Terrace")&amp;":"&amp;ADDRESS(130,3+18*3+(0))),'J1 B - Butcher Terrace'!$A$12:$A$130,"&gt;="&amp;Diagram!$O35,'J1 B - Butcher Terrace'!$A$12:$A$130,"&lt;"&amp;Diagram!$P35),SUMIFS(INDIRECT(ADDRESS(12,3+18*3+(8),,,"J1 B - Butcher Terrace")&amp;":"&amp;ADDRESS(130,3+18*3+(8))),'J1 B - Butcher Terrace'!$A$12:$A$130,"&gt;="&amp;Diagram!$O35,'J1 B - Butcher Terrace'!$A$12:$A$130,"&lt;"&amp;Diagram!$P35)))</f>
        <v>0</v>
      </c>
      <c r="Y35" s="42">
        <f ca="1">IF(OR($I$10="",$O35="",$P35="",$J$35&lt;&gt;"Yes"),0,IF($K$10=0,SUMIFS(INDIRECT(ADDRESS(12,3+18*0+(0),,,"J1 B - Butcher Terrace")&amp;":"&amp;ADDRESS(130,3+18*0+(0))),'J1 B - Butcher Terrace'!$A$12:$A$130,"&gt;="&amp;Diagram!$O35,'J1 B - Butcher Terrace'!$A$12:$A$130,"&lt;"&amp;Diagram!$P35),SUMIFS(INDIRECT(ADDRESS(12,3+18*0+(8),,,"J1 B - Butcher Terrace")&amp;":"&amp;ADDRESS(130,3+18*0+(8))),'J1 B - Butcher Terrace'!$A$12:$A$130,"&gt;="&amp;Diagram!$O35,'J1 B - Butcher Terrace'!$A$12:$A$130,"&lt;"&amp;Diagram!$P35)))</f>
        <v>4</v>
      </c>
      <c r="Z35" s="42">
        <f ca="1">IF(OR($I$10="",$O35="",$P35="",$J$35&lt;&gt;"Yes"),0,IF($K$10=0,SUMIFS(INDIRECT(ADDRESS(12,3+18*1+(0),,,"J1 B - Butcher Terrace")&amp;":"&amp;ADDRESS(130,3+18*1+(0))),'J1 B - Butcher Terrace'!$A$12:$A$130,"&gt;="&amp;Diagram!$O35,'J1 B - Butcher Terrace'!$A$12:$A$130,"&lt;"&amp;Diagram!$P35),SUMIFS(INDIRECT(ADDRESS(12,3+18*1+(8),,,"J1 B - Butcher Terrace")&amp;":"&amp;ADDRESS(130,3+18*1+(8))),'J1 B - Butcher Terrace'!$A$12:$A$130,"&gt;="&amp;Diagram!$O35,'J1 B - Butcher Terrace'!$A$12:$A$130,"&lt;"&amp;Diagram!$P35)))</f>
        <v>0</v>
      </c>
      <c r="AA35" s="42">
        <f ca="1">IF(OR($I$10="",$O35="",$P35="",$J$35&lt;&gt;"Yes"),0,IF($K$10=0,SUMIFS(INDIRECT(ADDRESS(12,3+18*1+(0),,,"J1 C - (South) Bishopthorpe Roa")&amp;":"&amp;ADDRESS(130,3+18*1+(0))),'J1 C - (South) Bishopthorpe Roa'!$A$12:$A$130,"&gt;="&amp;Diagram!$O35,'J1 C - (South) Bishopthorpe Roa'!$A$12:$A$130,"&lt;"&amp;Diagram!$P35),SUMIFS(INDIRECT(ADDRESS(12,3+18*1+(8),,,"J1 C - (South) Bishopthorpe Roa")&amp;":"&amp;ADDRESS(130,3+18*1+(8))),'J1 C - (South) Bishopthorpe Roa'!$A$12:$A$130,"&gt;="&amp;Diagram!$O35,'J1 C - (South) Bishopthorpe Roa'!$A$12:$A$130,"&lt;"&amp;Diagram!$P35)))</f>
        <v>235</v>
      </c>
      <c r="AB35" s="42">
        <f ca="1">IF(OR($I$10="",$O35="",$P35="",$J$35&lt;&gt;"Yes"),0,IF($K$10=0,SUMIFS(INDIRECT(ADDRESS(12,3+18*2+(0),,,"J1 C - (South) Bishopthorpe Roa")&amp;":"&amp;ADDRESS(130,3+18*2+(0))),'J1 C - (South) Bishopthorpe Roa'!$A$12:$A$130,"&gt;="&amp;Diagram!$O35,'J1 C - (South) Bishopthorpe Roa'!$A$12:$A$130,"&lt;"&amp;Diagram!$P35),SUMIFS(INDIRECT(ADDRESS(12,3+18*2+(8),,,"J1 C - (South) Bishopthorpe Roa")&amp;":"&amp;ADDRESS(130,3+18*2+(8))),'J1 C - (South) Bishopthorpe Roa'!$A$12:$A$130,"&gt;="&amp;Diagram!$O35,'J1 C - (South) Bishopthorpe Roa'!$A$12:$A$130,"&lt;"&amp;Diagram!$P35)))</f>
        <v>3</v>
      </c>
      <c r="AC35" s="42">
        <f ca="1">IF(OR($I$10="",$O35="",$P35="",$J$35&lt;&gt;"Yes"),0,IF($K$10=0,SUMIFS(INDIRECT(ADDRESS(12,3+18*3+(0),,,"J1 C - (South) Bishopthorpe Roa")&amp;":"&amp;ADDRESS(130,3+18*3+(0))),'J1 C - (South) Bishopthorpe Roa'!$A$12:$A$130,"&gt;="&amp;Diagram!$O35,'J1 C - (South) Bishopthorpe Roa'!$A$12:$A$130,"&lt;"&amp;Diagram!$P35),SUMIFS(INDIRECT(ADDRESS(12,3+18*3+(8),,,"J1 C - (South) Bishopthorpe Roa")&amp;":"&amp;ADDRESS(130,3+18*3+(8))),'J1 C - (South) Bishopthorpe Roa'!$A$12:$A$130,"&gt;="&amp;Diagram!$O35,'J1 C - (South) Bishopthorpe Roa'!$A$12:$A$130,"&lt;"&amp;Diagram!$P35)))</f>
        <v>0</v>
      </c>
      <c r="AD35" s="42">
        <f ca="1">IF(OR($I$10="",$O35="",$P35="",$J$35&lt;&gt;"Yes"),0,IF($K$10=0,SUMIFS(INDIRECT(ADDRESS(12,3+18*0+(0),,,"J1 C - (South) Bishopthorpe Roa")&amp;":"&amp;ADDRESS(130,3+18*0+(0))),'J1 C - (South) Bishopthorpe Roa'!$A$12:$A$130,"&gt;="&amp;Diagram!$O35,'J1 C - (South) Bishopthorpe Roa'!$A$12:$A$130,"&lt;"&amp;Diagram!$P35),SUMIFS(INDIRECT(ADDRESS(12,3+18*0+(8),,,"J1 C - (South) Bishopthorpe Roa")&amp;":"&amp;ADDRESS(130,3+18*0+(8))),'J1 C - (South) Bishopthorpe Roa'!$A$12:$A$130,"&gt;="&amp;Diagram!$O35,'J1 C - (South) Bishopthorpe Roa'!$A$12:$A$130,"&lt;"&amp;Diagram!$P35)))</f>
        <v>9</v>
      </c>
      <c r="AE35" s="42">
        <f ca="1">IF(OR($I$10="",$O35="",$P35="",$J$35&lt;&gt;"Yes"),0,IF($K$10=0,SUMIFS(INDIRECT(ADDRESS(12,3+18*0+(0),,,"J1 D - South Bank Avenue")&amp;":"&amp;ADDRESS(130,3+18*0+(0))),'J1 D - South Bank Avenue'!$A$12:$A$130,"&gt;="&amp;Diagram!$O35,'J1 D - South Bank Avenue'!$A$12:$A$130,"&lt;"&amp;Diagram!$P35),SUMIFS(INDIRECT(ADDRESS(12,3+18*0+(8),,,"J1 D - South Bank Avenue")&amp;":"&amp;ADDRESS(130,3+18*0+(8))),'J1 D - South Bank Avenue'!$A$12:$A$130,"&gt;="&amp;Diagram!$O35,'J1 D - South Bank Avenue'!$A$12:$A$130,"&lt;"&amp;Diagram!$P35)))</f>
        <v>34</v>
      </c>
      <c r="AF35" s="42">
        <f ca="1">IF(OR($I$10="",$O35="",$P35="",$J$35&lt;&gt;"Yes"),0,IF($K$10=0,SUMIFS(INDIRECT(ADDRESS(12,3+18*1+(0),,,"J1 D - South Bank Avenue")&amp;":"&amp;ADDRESS(130,3+18*1+(0))),'J1 D - South Bank Avenue'!$A$12:$A$130,"&gt;="&amp;Diagram!$O35,'J1 D - South Bank Avenue'!$A$12:$A$130,"&lt;"&amp;Diagram!$P35),SUMIFS(INDIRECT(ADDRESS(12,3+18*1+(8),,,"J1 D - South Bank Avenue")&amp;":"&amp;ADDRESS(130,3+18*1+(8))),'J1 D - South Bank Avenue'!$A$12:$A$130,"&gt;="&amp;Diagram!$O35,'J1 D - South Bank Avenue'!$A$12:$A$130,"&lt;"&amp;Diagram!$P35)))</f>
        <v>0</v>
      </c>
      <c r="AG35" s="42">
        <f ca="1">IF(OR($I$10="",$O35="",$P35="",$J$35&lt;&gt;"Yes"),0,IF($K$10=0,SUMIFS(INDIRECT(ADDRESS(12,3+18*2+(0),,,"J1 D - South Bank Avenue")&amp;":"&amp;ADDRESS(130,3+18*2+(0))),'J1 D - South Bank Avenue'!$A$12:$A$130,"&gt;="&amp;Diagram!$O35,'J1 D - South Bank Avenue'!$A$12:$A$130,"&lt;"&amp;Diagram!$P35),SUMIFS(INDIRECT(ADDRESS(12,3+18*2+(8),,,"J1 D - South Bank Avenue")&amp;":"&amp;ADDRESS(130,3+18*2+(8))),'J1 D - South Bank Avenue'!$A$12:$A$130,"&gt;="&amp;Diagram!$O35,'J1 D - South Bank Avenue'!$A$12:$A$130,"&lt;"&amp;Diagram!$P35)))</f>
        <v>9</v>
      </c>
      <c r="AH35" s="42">
        <f ca="1">IF(OR($I$10="",$O35="",$P35="",$J$35&lt;&gt;"Yes"),0,IF($K$10=0,SUMIFS(INDIRECT(ADDRESS(12,3+18*3+(0),,,"J1 D - South Bank Avenue")&amp;":"&amp;ADDRESS(130,3+18*3+(0))),'J1 D - South Bank Avenue'!$A$12:$A$130,"&gt;="&amp;Diagram!$O35,'J1 D - South Bank Avenue'!$A$12:$A$130,"&lt;"&amp;Diagram!$P35),SUMIFS(INDIRECT(ADDRESS(12,3+18*3+(8),,,"J1 D - South Bank Avenue")&amp;":"&amp;ADDRESS(130,3+18*3+(8))),'J1 D - South Bank Avenue'!$A$12:$A$130,"&gt;="&amp;Diagram!$O35,'J1 D - South Bank Avenue'!$A$12:$A$130,"&lt;"&amp;Diagram!$P35)))</f>
        <v>0</v>
      </c>
      <c r="AI35" s="42">
        <f t="shared" ca="1" si="2"/>
        <v>87</v>
      </c>
      <c r="AJ35" s="42">
        <f ca="1">IF(OR($I$10="",$O35="",$P35="",$J$36&lt;&gt;"Yes"),0,IF($K$10=0,SUMIFS(INDIRECT(ADDRESS(12,3+18*3+(1),,,"J1 A - (North) Bishopthorpe Roa")&amp;":"&amp;ADDRESS(130,3+18*3+(1))),'J1 A - (North) Bishopthorpe Roa'!$A$12:$A$130,"&gt;="&amp;Diagram!$O35,'J1 A - (North) Bishopthorpe Roa'!$A$12:$A$130,"&lt;"&amp;Diagram!$P35),SUMIFS(INDIRECT(ADDRESS(12,3+18*3+(9),,,"J1 A - (North) Bishopthorpe Roa")&amp;":"&amp;ADDRESS(130,3+18*3+(9))),'J1 A - (North) Bishopthorpe Roa'!$A$12:$A$130,"&gt;="&amp;Diagram!$O35,'J1 A - (North) Bishopthorpe Roa'!$A$12:$A$130,"&lt;"&amp;Diagram!$P35)))</f>
        <v>0</v>
      </c>
      <c r="AK35" s="42">
        <f ca="1">IF(OR($I$10="",$O35="",$P35="",$J$36&lt;&gt;"Yes"),0,IF($K$10=0,SUMIFS(INDIRECT(ADDRESS(12,3+18*0+(1),,,"J1 A - (North) Bishopthorpe Roa")&amp;":"&amp;ADDRESS(130,3+18*0+(1))),'J1 A - (North) Bishopthorpe Roa'!$A$12:$A$130,"&gt;="&amp;Diagram!$O35,'J1 A - (North) Bishopthorpe Roa'!$A$12:$A$130,"&lt;"&amp;Diagram!$P35),SUMIFS(INDIRECT(ADDRESS(12,3+18*0+(9),,,"J1 A - (North) Bishopthorpe Roa")&amp;":"&amp;ADDRESS(130,3+18*0+(9))),'J1 A - (North) Bishopthorpe Roa'!$A$12:$A$130,"&gt;="&amp;Diagram!$O35,'J1 A - (North) Bishopthorpe Roa'!$A$12:$A$130,"&lt;"&amp;Diagram!$P35)))</f>
        <v>3</v>
      </c>
      <c r="AL35" s="42">
        <f ca="1">IF(OR($I$10="",$O35="",$P35="",$J$36&lt;&gt;"Yes"),0,IF($K$10=0,SUMIFS(INDIRECT(ADDRESS(12,3+18*1+(1),,,"J1 A - (North) Bishopthorpe Roa")&amp;":"&amp;ADDRESS(130,3+18*1+(1))),'J1 A - (North) Bishopthorpe Roa'!$A$12:$A$130,"&gt;="&amp;Diagram!$O35,'J1 A - (North) Bishopthorpe Roa'!$A$12:$A$130,"&lt;"&amp;Diagram!$P35),SUMIFS(INDIRECT(ADDRESS(12,3+18*1+(9),,,"J1 A - (North) Bishopthorpe Roa")&amp;":"&amp;ADDRESS(130,3+18*1+(9))),'J1 A - (North) Bishopthorpe Roa'!$A$12:$A$130,"&gt;="&amp;Diagram!$O35,'J1 A - (North) Bishopthorpe Roa'!$A$12:$A$130,"&lt;"&amp;Diagram!$P35)))</f>
        <v>36</v>
      </c>
      <c r="AM35" s="42">
        <f ca="1">IF(OR($I$10="",$O35="",$P35="",$J$36&lt;&gt;"Yes"),0,IF($K$10=0,SUMIFS(INDIRECT(ADDRESS(12,3+18*2+(1),,,"J1 A - (North) Bishopthorpe Roa")&amp;":"&amp;ADDRESS(130,3+18*2+(1))),'J1 A - (North) Bishopthorpe Roa'!$A$12:$A$130,"&gt;="&amp;Diagram!$O35,'J1 A - (North) Bishopthorpe Roa'!$A$12:$A$130,"&lt;"&amp;Diagram!$P35),SUMIFS(INDIRECT(ADDRESS(12,3+18*2+(9),,,"J1 A - (North) Bishopthorpe Roa")&amp;":"&amp;ADDRESS(130,3+18*2+(9))),'J1 A - (North) Bishopthorpe Roa'!$A$12:$A$130,"&gt;="&amp;Diagram!$O35,'J1 A - (North) Bishopthorpe Roa'!$A$12:$A$130,"&lt;"&amp;Diagram!$P35)))</f>
        <v>3</v>
      </c>
      <c r="AN35" s="42">
        <f ca="1">IF(OR($I$10="",$O35="",$P35="",$J$36&lt;&gt;"Yes"),0,IF($K$10=0,SUMIFS(INDIRECT(ADDRESS(12,3+18*2+(1),,,"J1 B - Butcher Terrace")&amp;":"&amp;ADDRESS(130,3+18*2+(1))),'J1 B - Butcher Terrace'!$A$12:$A$130,"&gt;="&amp;Diagram!$O35,'J1 B - Butcher Terrace'!$A$12:$A$130,"&lt;"&amp;Diagram!$P35),SUMIFS(INDIRECT(ADDRESS(12,3+18*2+(9),,,"J1 B - Butcher Terrace")&amp;":"&amp;ADDRESS(130,3+18*2+(9))),'J1 B - Butcher Terrace'!$A$12:$A$130,"&gt;="&amp;Diagram!$O35,'J1 B - Butcher Terrace'!$A$12:$A$130,"&lt;"&amp;Diagram!$P35)))</f>
        <v>2</v>
      </c>
      <c r="AO35" s="42">
        <f ca="1">IF(OR($I$10="",$O35="",$P35="",$J$36&lt;&gt;"Yes"),0,IF($K$10=0,SUMIFS(INDIRECT(ADDRESS(12,3+18*3+(1),,,"J1 B - Butcher Terrace")&amp;":"&amp;ADDRESS(130,3+18*3+(1))),'J1 B - Butcher Terrace'!$A$12:$A$130,"&gt;="&amp;Diagram!$O35,'J1 B - Butcher Terrace'!$A$12:$A$130,"&lt;"&amp;Diagram!$P35),SUMIFS(INDIRECT(ADDRESS(12,3+18*3+(9),,,"J1 B - Butcher Terrace")&amp;":"&amp;ADDRESS(130,3+18*3+(9))),'J1 B - Butcher Terrace'!$A$12:$A$130,"&gt;="&amp;Diagram!$O35,'J1 B - Butcher Terrace'!$A$12:$A$130,"&lt;"&amp;Diagram!$P35)))</f>
        <v>0</v>
      </c>
      <c r="AP35" s="42">
        <f ca="1">IF(OR($I$10="",$O35="",$P35="",$J$36&lt;&gt;"Yes"),0,IF($K$10=0,SUMIFS(INDIRECT(ADDRESS(12,3+18*0+(1),,,"J1 B - Butcher Terrace")&amp;":"&amp;ADDRESS(130,3+18*0+(1))),'J1 B - Butcher Terrace'!$A$12:$A$130,"&gt;="&amp;Diagram!$O35,'J1 B - Butcher Terrace'!$A$12:$A$130,"&lt;"&amp;Diagram!$P35),SUMIFS(INDIRECT(ADDRESS(12,3+18*0+(9),,,"J1 B - Butcher Terrace")&amp;":"&amp;ADDRESS(130,3+18*0+(9))),'J1 B - Butcher Terrace'!$A$12:$A$130,"&gt;="&amp;Diagram!$O35,'J1 B - Butcher Terrace'!$A$12:$A$130,"&lt;"&amp;Diagram!$P35)))</f>
        <v>5</v>
      </c>
      <c r="AQ35" s="42">
        <f ca="1">IF(OR($I$10="",$O35="",$P35="",$J$36&lt;&gt;"Yes"),0,IF($K$10=0,SUMIFS(INDIRECT(ADDRESS(12,3+18*1+(1),,,"J1 B - Butcher Terrace")&amp;":"&amp;ADDRESS(130,3+18*1+(1))),'J1 B - Butcher Terrace'!$A$12:$A$130,"&gt;="&amp;Diagram!$O35,'J1 B - Butcher Terrace'!$A$12:$A$130,"&lt;"&amp;Diagram!$P35),SUMIFS(INDIRECT(ADDRESS(12,3+18*1+(9),,,"J1 B - Butcher Terrace")&amp;":"&amp;ADDRESS(130,3+18*1+(9))),'J1 B - Butcher Terrace'!$A$12:$A$130,"&gt;="&amp;Diagram!$O35,'J1 B - Butcher Terrace'!$A$12:$A$130,"&lt;"&amp;Diagram!$P35)))</f>
        <v>0</v>
      </c>
      <c r="AR35" s="42">
        <f ca="1">IF(OR($I$10="",$O35="",$P35="",$J$36&lt;&gt;"Yes"),0,IF($K$10=0,SUMIFS(INDIRECT(ADDRESS(12,3+18*1+(1),,,"J1 C - (South) Bishopthorpe Roa")&amp;":"&amp;ADDRESS(130,3+18*1+(1))),'J1 C - (South) Bishopthorpe Roa'!$A$12:$A$130,"&gt;="&amp;Diagram!$O35,'J1 C - (South) Bishopthorpe Roa'!$A$12:$A$130,"&lt;"&amp;Diagram!$P35),SUMIFS(INDIRECT(ADDRESS(12,3+18*1+(9),,,"J1 C - (South) Bishopthorpe Roa")&amp;":"&amp;ADDRESS(130,3+18*1+(9))),'J1 C - (South) Bishopthorpe Roa'!$A$12:$A$130,"&gt;="&amp;Diagram!$O35,'J1 C - (South) Bishopthorpe Roa'!$A$12:$A$130,"&lt;"&amp;Diagram!$P35)))</f>
        <v>30</v>
      </c>
      <c r="AS35" s="42">
        <f ca="1">IF(OR($I$10="",$O35="",$P35="",$J$36&lt;&gt;"Yes"),0,IF($K$10=0,SUMIFS(INDIRECT(ADDRESS(12,3+18*2+(1),,,"J1 C - (South) Bishopthorpe Roa")&amp;":"&amp;ADDRESS(130,3+18*2+(1))),'J1 C - (South) Bishopthorpe Roa'!$A$12:$A$130,"&gt;="&amp;Diagram!$O35,'J1 C - (South) Bishopthorpe Roa'!$A$12:$A$130,"&lt;"&amp;Diagram!$P35),SUMIFS(INDIRECT(ADDRESS(12,3+18*2+(9),,,"J1 C - (South) Bishopthorpe Roa")&amp;":"&amp;ADDRESS(130,3+18*2+(9))),'J1 C - (South) Bishopthorpe Roa'!$A$12:$A$130,"&gt;="&amp;Diagram!$O35,'J1 C - (South) Bishopthorpe Roa'!$A$12:$A$130,"&lt;"&amp;Diagram!$P35)))</f>
        <v>0</v>
      </c>
      <c r="AT35" s="42">
        <f ca="1">IF(OR($I$10="",$O35="",$P35="",$J$36&lt;&gt;"Yes"),0,IF($K$10=0,SUMIFS(INDIRECT(ADDRESS(12,3+18*3+(1),,,"J1 C - (South) Bishopthorpe Roa")&amp;":"&amp;ADDRESS(130,3+18*3+(1))),'J1 C - (South) Bishopthorpe Roa'!$A$12:$A$130,"&gt;="&amp;Diagram!$O35,'J1 C - (South) Bishopthorpe Roa'!$A$12:$A$130,"&lt;"&amp;Diagram!$P35),SUMIFS(INDIRECT(ADDRESS(12,3+18*3+(9),,,"J1 C - (South) Bishopthorpe Roa")&amp;":"&amp;ADDRESS(130,3+18*3+(9))),'J1 C - (South) Bishopthorpe Roa'!$A$12:$A$130,"&gt;="&amp;Diagram!$O35,'J1 C - (South) Bishopthorpe Roa'!$A$12:$A$130,"&lt;"&amp;Diagram!$P35)))</f>
        <v>0</v>
      </c>
      <c r="AU35" s="42">
        <f ca="1">IF(OR($I$10="",$O35="",$P35="",$J$36&lt;&gt;"Yes"),0,IF($K$10=0,SUMIFS(INDIRECT(ADDRESS(12,3+18*0+(1),,,"J1 C - (South) Bishopthorpe Roa")&amp;":"&amp;ADDRESS(130,3+18*0+(1))),'J1 C - (South) Bishopthorpe Roa'!$A$12:$A$130,"&gt;="&amp;Diagram!$O35,'J1 C - (South) Bishopthorpe Roa'!$A$12:$A$130,"&lt;"&amp;Diagram!$P35),SUMIFS(INDIRECT(ADDRESS(12,3+18*0+(9),,,"J1 C - (South) Bishopthorpe Roa")&amp;":"&amp;ADDRESS(130,3+18*0+(9))),'J1 C - (South) Bishopthorpe Roa'!$A$12:$A$130,"&gt;="&amp;Diagram!$O35,'J1 C - (South) Bishopthorpe Roa'!$A$12:$A$130,"&lt;"&amp;Diagram!$P35)))</f>
        <v>3</v>
      </c>
      <c r="AV35" s="42">
        <f ca="1">IF(OR($I$10="",$O35="",$P35="",$J$36&lt;&gt;"Yes"),0,IF($K$10=0,SUMIFS(INDIRECT(ADDRESS(12,3+18*0+(1),,,"J1 D - South Bank Avenue")&amp;":"&amp;ADDRESS(130,3+18*0+(1))),'J1 D - South Bank Avenue'!$A$12:$A$130,"&gt;="&amp;Diagram!$O35,'J1 D - South Bank Avenue'!$A$12:$A$130,"&lt;"&amp;Diagram!$P35),SUMIFS(INDIRECT(ADDRESS(12,3+18*0+(9),,,"J1 D - South Bank Avenue")&amp;":"&amp;ADDRESS(130,3+18*0+(9))),'J1 D - South Bank Avenue'!$A$12:$A$130,"&gt;="&amp;Diagram!$O35,'J1 D - South Bank Avenue'!$A$12:$A$130,"&lt;"&amp;Diagram!$P35)))</f>
        <v>4</v>
      </c>
      <c r="AW35" s="42">
        <f ca="1">IF(OR($I$10="",$O35="",$P35="",$J$36&lt;&gt;"Yes"),0,IF($K$10=0,SUMIFS(INDIRECT(ADDRESS(12,3+18*1+(1),,,"J1 D - South Bank Avenue")&amp;":"&amp;ADDRESS(130,3+18*1+(1))),'J1 D - South Bank Avenue'!$A$12:$A$130,"&gt;="&amp;Diagram!$O35,'J1 D - South Bank Avenue'!$A$12:$A$130,"&lt;"&amp;Diagram!$P35),SUMIFS(INDIRECT(ADDRESS(12,3+18*1+(9),,,"J1 D - South Bank Avenue")&amp;":"&amp;ADDRESS(130,3+18*1+(9))),'J1 D - South Bank Avenue'!$A$12:$A$130,"&gt;="&amp;Diagram!$O35,'J1 D - South Bank Avenue'!$A$12:$A$130,"&lt;"&amp;Diagram!$P35)))</f>
        <v>0</v>
      </c>
      <c r="AX35" s="42">
        <f ca="1">IF(OR($I$10="",$O35="",$P35="",$J$36&lt;&gt;"Yes"),0,IF($K$10=0,SUMIFS(INDIRECT(ADDRESS(12,3+18*2+(1),,,"J1 D - South Bank Avenue")&amp;":"&amp;ADDRESS(130,3+18*2+(1))),'J1 D - South Bank Avenue'!$A$12:$A$130,"&gt;="&amp;Diagram!$O35,'J1 D - South Bank Avenue'!$A$12:$A$130,"&lt;"&amp;Diagram!$P35),SUMIFS(INDIRECT(ADDRESS(12,3+18*2+(9),,,"J1 D - South Bank Avenue")&amp;":"&amp;ADDRESS(130,3+18*2+(9))),'J1 D - South Bank Avenue'!$A$12:$A$130,"&gt;="&amp;Diagram!$O35,'J1 D - South Bank Avenue'!$A$12:$A$130,"&lt;"&amp;Diagram!$P35)))</f>
        <v>1</v>
      </c>
      <c r="AY35" s="42">
        <f ca="1">IF(OR($I$10="",$O35="",$P35="",$J$36&lt;&gt;"Yes"),0,IF($K$10=0,SUMIFS(INDIRECT(ADDRESS(12,3+18*3+(1),,,"J1 D - South Bank Avenue")&amp;":"&amp;ADDRESS(130,3+18*3+(1))),'J1 D - South Bank Avenue'!$A$12:$A$130,"&gt;="&amp;Diagram!$O35,'J1 D - South Bank Avenue'!$A$12:$A$130,"&lt;"&amp;Diagram!$P35),SUMIFS(INDIRECT(ADDRESS(12,3+18*3+(9),,,"J1 D - South Bank Avenue")&amp;":"&amp;ADDRESS(130,3+18*3+(9))),'J1 D - South Bank Avenue'!$A$12:$A$130,"&gt;="&amp;Diagram!$O35,'J1 D - South Bank Avenue'!$A$12:$A$130,"&lt;"&amp;Diagram!$P35)))</f>
        <v>0</v>
      </c>
      <c r="AZ35" s="42">
        <f t="shared" ca="1" si="3"/>
        <v>12</v>
      </c>
      <c r="BA35" s="42">
        <f ca="1">IF(OR($I$10="",$O35="",$P35="",$J$37&lt;&gt;"Yes"),0,IF($K$10=0,SUMIFS(INDIRECT(ADDRESS(12,3+18*3+(2),,,"J1 A - (North) Bishopthorpe Roa")&amp;":"&amp;ADDRESS(130,3+18*3+(2))),'J1 A - (North) Bishopthorpe Roa'!$A$12:$A$130,"&gt;="&amp;Diagram!$O35,'J1 A - (North) Bishopthorpe Roa'!$A$12:$A$130,"&lt;"&amp;Diagram!$P35),SUMIFS(INDIRECT(ADDRESS(12,3+18*3+(10),,,"J1 A - (North) Bishopthorpe Roa")&amp;":"&amp;ADDRESS(130,3+18*3+(10))),'J1 A - (North) Bishopthorpe Roa'!$A$12:$A$130,"&gt;="&amp;Diagram!$O35,'J1 A - (North) Bishopthorpe Roa'!$A$12:$A$130,"&lt;"&amp;Diagram!$P35)))</f>
        <v>0</v>
      </c>
      <c r="BB35" s="42">
        <f ca="1">IF(OR($I$10="",$O35="",$P35="",$J$37&lt;&gt;"Yes"),0,IF($K$10=0,SUMIFS(INDIRECT(ADDRESS(12,3+18*0+(2),,,"J1 A - (North) Bishopthorpe Roa")&amp;":"&amp;ADDRESS(130,3+18*0+(2))),'J1 A - (North) Bishopthorpe Roa'!$A$12:$A$130,"&gt;="&amp;Diagram!$O35,'J1 A - (North) Bishopthorpe Roa'!$A$12:$A$130,"&lt;"&amp;Diagram!$P35),SUMIFS(INDIRECT(ADDRESS(12,3+18*0+(10),,,"J1 A - (North) Bishopthorpe Roa")&amp;":"&amp;ADDRESS(130,3+18*0+(10))),'J1 A - (North) Bishopthorpe Roa'!$A$12:$A$130,"&gt;="&amp;Diagram!$O35,'J1 A - (North) Bishopthorpe Roa'!$A$12:$A$130,"&lt;"&amp;Diagram!$P35)))</f>
        <v>1</v>
      </c>
      <c r="BC35" s="42">
        <f ca="1">IF(OR($I$10="",$O35="",$P35="",$J$37&lt;&gt;"Yes"),0,IF($K$10=0,SUMIFS(INDIRECT(ADDRESS(12,3+18*1+(2),,,"J1 A - (North) Bishopthorpe Roa")&amp;":"&amp;ADDRESS(130,3+18*1+(2))),'J1 A - (North) Bishopthorpe Roa'!$A$12:$A$130,"&gt;="&amp;Diagram!$O35,'J1 A - (North) Bishopthorpe Roa'!$A$12:$A$130,"&lt;"&amp;Diagram!$P35),SUMIFS(INDIRECT(ADDRESS(12,3+18*1+(10),,,"J1 A - (North) Bishopthorpe Roa")&amp;":"&amp;ADDRESS(130,3+18*1+(10))),'J1 A - (North) Bishopthorpe Roa'!$A$12:$A$130,"&gt;="&amp;Diagram!$O35,'J1 A - (North) Bishopthorpe Roa'!$A$12:$A$130,"&lt;"&amp;Diagram!$P35)))</f>
        <v>3</v>
      </c>
      <c r="BD35" s="42">
        <f ca="1">IF(OR($I$10="",$O35="",$P35="",$J$37&lt;&gt;"Yes"),0,IF($K$10=0,SUMIFS(INDIRECT(ADDRESS(12,3+18*2+(2),,,"J1 A - (North) Bishopthorpe Roa")&amp;":"&amp;ADDRESS(130,3+18*2+(2))),'J1 A - (North) Bishopthorpe Roa'!$A$12:$A$130,"&gt;="&amp;Diagram!$O35,'J1 A - (North) Bishopthorpe Roa'!$A$12:$A$130,"&lt;"&amp;Diagram!$P35),SUMIFS(INDIRECT(ADDRESS(12,3+18*2+(10),,,"J1 A - (North) Bishopthorpe Roa")&amp;":"&amp;ADDRESS(130,3+18*2+(10))),'J1 A - (North) Bishopthorpe Roa'!$A$12:$A$130,"&gt;="&amp;Diagram!$O35,'J1 A - (North) Bishopthorpe Roa'!$A$12:$A$130,"&lt;"&amp;Diagram!$P35)))</f>
        <v>0</v>
      </c>
      <c r="BE35" s="42">
        <f ca="1">IF(OR($I$10="",$O35="",$P35="",$J$37&lt;&gt;"Yes"),0,IF($K$10=0,SUMIFS(INDIRECT(ADDRESS(12,3+18*2+(2),,,"J1 B - Butcher Terrace")&amp;":"&amp;ADDRESS(130,3+18*2+(2))),'J1 B - Butcher Terrace'!$A$12:$A$130,"&gt;="&amp;Diagram!$O35,'J1 B - Butcher Terrace'!$A$12:$A$130,"&lt;"&amp;Diagram!$P35),SUMIFS(INDIRECT(ADDRESS(12,3+18*2+(10),,,"J1 B - Butcher Terrace")&amp;":"&amp;ADDRESS(130,3+18*2+(10))),'J1 B - Butcher Terrace'!$A$12:$A$130,"&gt;="&amp;Diagram!$O35,'J1 B - Butcher Terrace'!$A$12:$A$130,"&lt;"&amp;Diagram!$P35)))</f>
        <v>1</v>
      </c>
      <c r="BF35" s="42">
        <f ca="1">IF(OR($I$10="",$O35="",$P35="",$J$37&lt;&gt;"Yes"),0,IF($K$10=0,SUMIFS(INDIRECT(ADDRESS(12,3+18*3+(2),,,"J1 B - Butcher Terrace")&amp;":"&amp;ADDRESS(130,3+18*3+(2))),'J1 B - Butcher Terrace'!$A$12:$A$130,"&gt;="&amp;Diagram!$O35,'J1 B - Butcher Terrace'!$A$12:$A$130,"&lt;"&amp;Diagram!$P35),SUMIFS(INDIRECT(ADDRESS(12,3+18*3+(10),,,"J1 B - Butcher Terrace")&amp;":"&amp;ADDRESS(130,3+18*3+(10))),'J1 B - Butcher Terrace'!$A$12:$A$130,"&gt;="&amp;Diagram!$O35,'J1 B - Butcher Terrace'!$A$12:$A$130,"&lt;"&amp;Diagram!$P35)))</f>
        <v>0</v>
      </c>
      <c r="BG35" s="42">
        <f ca="1">IF(OR($I$10="",$O35="",$P35="",$J$37&lt;&gt;"Yes"),0,IF($K$10=0,SUMIFS(INDIRECT(ADDRESS(12,3+18*0+(2),,,"J1 B - Butcher Terrace")&amp;":"&amp;ADDRESS(130,3+18*0+(2))),'J1 B - Butcher Terrace'!$A$12:$A$130,"&gt;="&amp;Diagram!$O35,'J1 B - Butcher Terrace'!$A$12:$A$130,"&lt;"&amp;Diagram!$P35),SUMIFS(INDIRECT(ADDRESS(12,3+18*0+(10),,,"J1 B - Butcher Terrace")&amp;":"&amp;ADDRESS(130,3+18*0+(10))),'J1 B - Butcher Terrace'!$A$12:$A$130,"&gt;="&amp;Diagram!$O35,'J1 B - Butcher Terrace'!$A$12:$A$130,"&lt;"&amp;Diagram!$P35)))</f>
        <v>0</v>
      </c>
      <c r="BH35" s="42">
        <f ca="1">IF(OR($I$10="",$O35="",$P35="",$J$37&lt;&gt;"Yes"),0,IF($K$10=0,SUMIFS(INDIRECT(ADDRESS(12,3+18*1+(2),,,"J1 B - Butcher Terrace")&amp;":"&amp;ADDRESS(130,3+18*1+(2))),'J1 B - Butcher Terrace'!$A$12:$A$130,"&gt;="&amp;Diagram!$O35,'J1 B - Butcher Terrace'!$A$12:$A$130,"&lt;"&amp;Diagram!$P35),SUMIFS(INDIRECT(ADDRESS(12,3+18*1+(10),,,"J1 B - Butcher Terrace")&amp;":"&amp;ADDRESS(130,3+18*1+(10))),'J1 B - Butcher Terrace'!$A$12:$A$130,"&gt;="&amp;Diagram!$O35,'J1 B - Butcher Terrace'!$A$12:$A$130,"&lt;"&amp;Diagram!$P35)))</f>
        <v>0</v>
      </c>
      <c r="BI35" s="42">
        <f ca="1">IF(OR($I$10="",$O35="",$P35="",$J$37&lt;&gt;"Yes"),0,IF($K$10=0,SUMIFS(INDIRECT(ADDRESS(12,3+18*1+(2),,,"J1 C - (South) Bishopthorpe Roa")&amp;":"&amp;ADDRESS(130,3+18*1+(2))),'J1 C - (South) Bishopthorpe Roa'!$A$12:$A$130,"&gt;="&amp;Diagram!$O35,'J1 C - (South) Bishopthorpe Roa'!$A$12:$A$130,"&lt;"&amp;Diagram!$P35),SUMIFS(INDIRECT(ADDRESS(12,3+18*1+(10),,,"J1 C - (South) Bishopthorpe Roa")&amp;":"&amp;ADDRESS(130,3+18*1+(10))),'J1 C - (South) Bishopthorpe Roa'!$A$12:$A$130,"&gt;="&amp;Diagram!$O35,'J1 C - (South) Bishopthorpe Roa'!$A$12:$A$130,"&lt;"&amp;Diagram!$P35)))</f>
        <v>5</v>
      </c>
      <c r="BJ35" s="42">
        <f ca="1">IF(OR($I$10="",$O35="",$P35="",$J$37&lt;&gt;"Yes"),0,IF($K$10=0,SUMIFS(INDIRECT(ADDRESS(12,3+18*2+(2),,,"J1 C - (South) Bishopthorpe Roa")&amp;":"&amp;ADDRESS(130,3+18*2+(2))),'J1 C - (South) Bishopthorpe Roa'!$A$12:$A$130,"&gt;="&amp;Diagram!$O35,'J1 C - (South) Bishopthorpe Roa'!$A$12:$A$130,"&lt;"&amp;Diagram!$P35),SUMIFS(INDIRECT(ADDRESS(12,3+18*2+(10),,,"J1 C - (South) Bishopthorpe Roa")&amp;":"&amp;ADDRESS(130,3+18*2+(10))),'J1 C - (South) Bishopthorpe Roa'!$A$12:$A$130,"&gt;="&amp;Diagram!$O35,'J1 C - (South) Bishopthorpe Roa'!$A$12:$A$130,"&lt;"&amp;Diagram!$P35)))</f>
        <v>1</v>
      </c>
      <c r="BK35" s="42">
        <f ca="1">IF(OR($I$10="",$O35="",$P35="",$J$37&lt;&gt;"Yes"),0,IF($K$10=0,SUMIFS(INDIRECT(ADDRESS(12,3+18*3+(2),,,"J1 C - (South) Bishopthorpe Roa")&amp;":"&amp;ADDRESS(130,3+18*3+(2))),'J1 C - (South) Bishopthorpe Roa'!$A$12:$A$130,"&gt;="&amp;Diagram!$O35,'J1 C - (South) Bishopthorpe Roa'!$A$12:$A$130,"&lt;"&amp;Diagram!$P35),SUMIFS(INDIRECT(ADDRESS(12,3+18*3+(10),,,"J1 C - (South) Bishopthorpe Roa")&amp;":"&amp;ADDRESS(130,3+18*3+(10))),'J1 C - (South) Bishopthorpe Roa'!$A$12:$A$130,"&gt;="&amp;Diagram!$O35,'J1 C - (South) Bishopthorpe Roa'!$A$12:$A$130,"&lt;"&amp;Diagram!$P35)))</f>
        <v>0</v>
      </c>
      <c r="BL35" s="42">
        <f ca="1">IF(OR($I$10="",$O35="",$P35="",$J$37&lt;&gt;"Yes"),0,IF($K$10=0,SUMIFS(INDIRECT(ADDRESS(12,3+18*0+(2),,,"J1 C - (South) Bishopthorpe Roa")&amp;":"&amp;ADDRESS(130,3+18*0+(2))),'J1 C - (South) Bishopthorpe Roa'!$A$12:$A$130,"&gt;="&amp;Diagram!$O35,'J1 C - (South) Bishopthorpe Roa'!$A$12:$A$130,"&lt;"&amp;Diagram!$P35),SUMIFS(INDIRECT(ADDRESS(12,3+18*0+(10),,,"J1 C - (South) Bishopthorpe Roa")&amp;":"&amp;ADDRESS(130,3+18*0+(10))),'J1 C - (South) Bishopthorpe Roa'!$A$12:$A$130,"&gt;="&amp;Diagram!$O35,'J1 C - (South) Bishopthorpe Roa'!$A$12:$A$130,"&lt;"&amp;Diagram!$P35)))</f>
        <v>0</v>
      </c>
      <c r="BM35" s="42">
        <f ca="1">IF(OR($I$10="",$O35="",$P35="",$J$37&lt;&gt;"Yes"),0,IF($K$10=0,SUMIFS(INDIRECT(ADDRESS(12,3+18*0+(2),,,"J1 D - South Bank Avenue")&amp;":"&amp;ADDRESS(130,3+18*0+(2))),'J1 D - South Bank Avenue'!$A$12:$A$130,"&gt;="&amp;Diagram!$O35,'J1 D - South Bank Avenue'!$A$12:$A$130,"&lt;"&amp;Diagram!$P35),SUMIFS(INDIRECT(ADDRESS(12,3+18*0+(10),,,"J1 D - South Bank Avenue")&amp;":"&amp;ADDRESS(130,3+18*0+(10))),'J1 D - South Bank Avenue'!$A$12:$A$130,"&gt;="&amp;Diagram!$O35,'J1 D - South Bank Avenue'!$A$12:$A$130,"&lt;"&amp;Diagram!$P35)))</f>
        <v>1</v>
      </c>
      <c r="BN35" s="42">
        <f ca="1">IF(OR($I$10="",$O35="",$P35="",$J$37&lt;&gt;"Yes"),0,IF($K$10=0,SUMIFS(INDIRECT(ADDRESS(12,3+18*1+(2),,,"J1 D - South Bank Avenue")&amp;":"&amp;ADDRESS(130,3+18*1+(2))),'J1 D - South Bank Avenue'!$A$12:$A$130,"&gt;="&amp;Diagram!$O35,'J1 D - South Bank Avenue'!$A$12:$A$130,"&lt;"&amp;Diagram!$P35),SUMIFS(INDIRECT(ADDRESS(12,3+18*1+(10),,,"J1 D - South Bank Avenue")&amp;":"&amp;ADDRESS(130,3+18*1+(10))),'J1 D - South Bank Avenue'!$A$12:$A$130,"&gt;="&amp;Diagram!$O35,'J1 D - South Bank Avenue'!$A$12:$A$130,"&lt;"&amp;Diagram!$P35)))</f>
        <v>0</v>
      </c>
      <c r="BO35" s="42">
        <f ca="1">IF(OR($I$10="",$O35="",$P35="",$J$37&lt;&gt;"Yes"),0,IF($K$10=0,SUMIFS(INDIRECT(ADDRESS(12,3+18*2+(2),,,"J1 D - South Bank Avenue")&amp;":"&amp;ADDRESS(130,3+18*2+(2))),'J1 D - South Bank Avenue'!$A$12:$A$130,"&gt;="&amp;Diagram!$O35,'J1 D - South Bank Avenue'!$A$12:$A$130,"&lt;"&amp;Diagram!$P35),SUMIFS(INDIRECT(ADDRESS(12,3+18*2+(10),,,"J1 D - South Bank Avenue")&amp;":"&amp;ADDRESS(130,3+18*2+(10))),'J1 D - South Bank Avenue'!$A$12:$A$130,"&gt;="&amp;Diagram!$O35,'J1 D - South Bank Avenue'!$A$12:$A$130,"&lt;"&amp;Diagram!$P35)))</f>
        <v>0</v>
      </c>
      <c r="BP35" s="42">
        <f ca="1">IF(OR($I$10="",$O35="",$P35="",$J$37&lt;&gt;"Yes"),0,IF($K$10=0,SUMIFS(INDIRECT(ADDRESS(12,3+18*3+(2),,,"J1 D - South Bank Avenue")&amp;":"&amp;ADDRESS(130,3+18*3+(2))),'J1 D - South Bank Avenue'!$A$12:$A$130,"&gt;="&amp;Diagram!$O35,'J1 D - South Bank Avenue'!$A$12:$A$130,"&lt;"&amp;Diagram!$P35),SUMIFS(INDIRECT(ADDRESS(12,3+18*3+(10),,,"J1 D - South Bank Avenue")&amp;":"&amp;ADDRESS(130,3+18*3+(10))),'J1 D - South Bank Avenue'!$A$12:$A$130,"&gt;="&amp;Diagram!$O35,'J1 D - South Bank Avenue'!$A$12:$A$130,"&lt;"&amp;Diagram!$P35)))</f>
        <v>0</v>
      </c>
      <c r="BQ35" s="42">
        <f t="shared" ca="1" si="4"/>
        <v>2</v>
      </c>
      <c r="BR35" s="42">
        <f ca="1">IF(OR($I$10="",$O35="",$P35="",$J$38&lt;&gt;"Yes"),0,IF($K$10=0,SUMIFS(INDIRECT(ADDRESS(12,3+18*3+(3),,,"J1 A - (North) Bishopthorpe Roa")&amp;":"&amp;ADDRESS(130,3+18*3+(3))),'J1 A - (North) Bishopthorpe Roa'!$A$12:$A$130,"&gt;="&amp;Diagram!$O35,'J1 A - (North) Bishopthorpe Roa'!$A$12:$A$130,"&lt;"&amp;Diagram!$P35),SUMIFS(INDIRECT(ADDRESS(12,3+18*3+(11),,,"J1 A - (North) Bishopthorpe Roa")&amp;":"&amp;ADDRESS(130,3+18*3+(11))),'J1 A - (North) Bishopthorpe Roa'!$A$12:$A$130,"&gt;="&amp;Diagram!$O35,'J1 A - (North) Bishopthorpe Roa'!$A$12:$A$130,"&lt;"&amp;Diagram!$P35)))</f>
        <v>0</v>
      </c>
      <c r="BS35" s="42">
        <f ca="1">IF(OR($I$10="",$O35="",$P35="",$J$38&lt;&gt;"Yes"),0,IF($K$10=0,SUMIFS(INDIRECT(ADDRESS(12,3+18*0+(3),,,"J1 A - (North) Bishopthorpe Roa")&amp;":"&amp;ADDRESS(130,3+18*0+(3))),'J1 A - (North) Bishopthorpe Roa'!$A$12:$A$130,"&gt;="&amp;Diagram!$O35,'J1 A - (North) Bishopthorpe Roa'!$A$12:$A$130,"&lt;"&amp;Diagram!$P35),SUMIFS(INDIRECT(ADDRESS(12,3+18*0+(11),,,"J1 A - (North) Bishopthorpe Roa")&amp;":"&amp;ADDRESS(130,3+18*0+(11))),'J1 A - (North) Bishopthorpe Roa'!$A$12:$A$130,"&gt;="&amp;Diagram!$O35,'J1 A - (North) Bishopthorpe Roa'!$A$12:$A$130,"&lt;"&amp;Diagram!$P35)))</f>
        <v>0</v>
      </c>
      <c r="BT35" s="42">
        <f ca="1">IF(OR($I$10="",$O35="",$P35="",$J$38&lt;&gt;"Yes"),0,IF($K$10=0,SUMIFS(INDIRECT(ADDRESS(12,3+18*1+(3),,,"J1 A - (North) Bishopthorpe Roa")&amp;":"&amp;ADDRESS(130,3+18*1+(3))),'J1 A - (North) Bishopthorpe Roa'!$A$12:$A$130,"&gt;="&amp;Diagram!$O35,'J1 A - (North) Bishopthorpe Roa'!$A$12:$A$130,"&lt;"&amp;Diagram!$P35),SUMIFS(INDIRECT(ADDRESS(12,3+18*1+(11),,,"J1 A - (North) Bishopthorpe Roa")&amp;":"&amp;ADDRESS(130,3+18*1+(11))),'J1 A - (North) Bishopthorpe Roa'!$A$12:$A$130,"&gt;="&amp;Diagram!$O35,'J1 A - (North) Bishopthorpe Roa'!$A$12:$A$130,"&lt;"&amp;Diagram!$P35)))</f>
        <v>1</v>
      </c>
      <c r="BU35" s="42">
        <f ca="1">IF(OR($I$10="",$O35="",$P35="",$J$38&lt;&gt;"Yes"),0,IF($K$10=0,SUMIFS(INDIRECT(ADDRESS(12,3+18*2+(3),,,"J1 A - (North) Bishopthorpe Roa")&amp;":"&amp;ADDRESS(130,3+18*2+(3))),'J1 A - (North) Bishopthorpe Roa'!$A$12:$A$130,"&gt;="&amp;Diagram!$O35,'J1 A - (North) Bishopthorpe Roa'!$A$12:$A$130,"&lt;"&amp;Diagram!$P35),SUMIFS(INDIRECT(ADDRESS(12,3+18*2+(11),,,"J1 A - (North) Bishopthorpe Roa")&amp;":"&amp;ADDRESS(130,3+18*2+(11))),'J1 A - (North) Bishopthorpe Roa'!$A$12:$A$130,"&gt;="&amp;Diagram!$O35,'J1 A - (North) Bishopthorpe Roa'!$A$12:$A$130,"&lt;"&amp;Diagram!$P35)))</f>
        <v>0</v>
      </c>
      <c r="BV35" s="42">
        <f ca="1">IF(OR($I$10="",$O35="",$P35="",$J$38&lt;&gt;"Yes"),0,IF($K$10=0,SUMIFS(INDIRECT(ADDRESS(12,3+18*2+(3),,,"J1 B - Butcher Terrace")&amp;":"&amp;ADDRESS(130,3+18*2+(3))),'J1 B - Butcher Terrace'!$A$12:$A$130,"&gt;="&amp;Diagram!$O35,'J1 B - Butcher Terrace'!$A$12:$A$130,"&lt;"&amp;Diagram!$P35),SUMIFS(INDIRECT(ADDRESS(12,3+18*2+(11),,,"J1 B - Butcher Terrace")&amp;":"&amp;ADDRESS(130,3+18*2+(11))),'J1 B - Butcher Terrace'!$A$12:$A$130,"&gt;="&amp;Diagram!$O35,'J1 B - Butcher Terrace'!$A$12:$A$130,"&lt;"&amp;Diagram!$P35)))</f>
        <v>0</v>
      </c>
      <c r="BW35" s="42">
        <f ca="1">IF(OR($I$10="",$O35="",$P35="",$J$38&lt;&gt;"Yes"),0,IF($K$10=0,SUMIFS(INDIRECT(ADDRESS(12,3+18*3+(3),,,"J1 B - Butcher Terrace")&amp;":"&amp;ADDRESS(130,3+18*3+(3))),'J1 B - Butcher Terrace'!$A$12:$A$130,"&gt;="&amp;Diagram!$O35,'J1 B - Butcher Terrace'!$A$12:$A$130,"&lt;"&amp;Diagram!$P35),SUMIFS(INDIRECT(ADDRESS(12,3+18*3+(11),,,"J1 B - Butcher Terrace")&amp;":"&amp;ADDRESS(130,3+18*3+(11))),'J1 B - Butcher Terrace'!$A$12:$A$130,"&gt;="&amp;Diagram!$O35,'J1 B - Butcher Terrace'!$A$12:$A$130,"&lt;"&amp;Diagram!$P35)))</f>
        <v>0</v>
      </c>
      <c r="BX35" s="42">
        <f ca="1">IF(OR($I$10="",$O35="",$P35="",$J$38&lt;&gt;"Yes"),0,IF($K$10=0,SUMIFS(INDIRECT(ADDRESS(12,3+18*0+(3),,,"J1 B - Butcher Terrace")&amp;":"&amp;ADDRESS(130,3+18*0+(3))),'J1 B - Butcher Terrace'!$A$12:$A$130,"&gt;="&amp;Diagram!$O35,'J1 B - Butcher Terrace'!$A$12:$A$130,"&lt;"&amp;Diagram!$P35),SUMIFS(INDIRECT(ADDRESS(12,3+18*0+(11),,,"J1 B - Butcher Terrace")&amp;":"&amp;ADDRESS(130,3+18*0+(11))),'J1 B - Butcher Terrace'!$A$12:$A$130,"&gt;="&amp;Diagram!$O35,'J1 B - Butcher Terrace'!$A$12:$A$130,"&lt;"&amp;Diagram!$P35)))</f>
        <v>0</v>
      </c>
      <c r="BY35" s="42">
        <f ca="1">IF(OR($I$10="",$O35="",$P35="",$J$38&lt;&gt;"Yes"),0,IF($K$10=0,SUMIFS(INDIRECT(ADDRESS(12,3+18*1+(3),,,"J1 B - Butcher Terrace")&amp;":"&amp;ADDRESS(130,3+18*1+(3))),'J1 B - Butcher Terrace'!$A$12:$A$130,"&gt;="&amp;Diagram!$O35,'J1 B - Butcher Terrace'!$A$12:$A$130,"&lt;"&amp;Diagram!$P35),SUMIFS(INDIRECT(ADDRESS(12,3+18*1+(11),,,"J1 B - Butcher Terrace")&amp;":"&amp;ADDRESS(130,3+18*1+(11))),'J1 B - Butcher Terrace'!$A$12:$A$130,"&gt;="&amp;Diagram!$O35,'J1 B - Butcher Terrace'!$A$12:$A$130,"&lt;"&amp;Diagram!$P35)))</f>
        <v>0</v>
      </c>
      <c r="BZ35" s="42">
        <f ca="1">IF(OR($I$10="",$O35="",$P35="",$J$38&lt;&gt;"Yes"),0,IF($K$10=0,SUMIFS(INDIRECT(ADDRESS(12,3+18*1+(3),,,"J1 C - (South) Bishopthorpe Roa")&amp;":"&amp;ADDRESS(130,3+18*1+(3))),'J1 C - (South) Bishopthorpe Roa'!$A$12:$A$130,"&gt;="&amp;Diagram!$O35,'J1 C - (South) Bishopthorpe Roa'!$A$12:$A$130,"&lt;"&amp;Diagram!$P35),SUMIFS(INDIRECT(ADDRESS(12,3+18*1+(11),,,"J1 C - (South) Bishopthorpe Roa")&amp;":"&amp;ADDRESS(130,3+18*1+(11))),'J1 C - (South) Bishopthorpe Roa'!$A$12:$A$130,"&gt;="&amp;Diagram!$O35,'J1 C - (South) Bishopthorpe Roa'!$A$12:$A$130,"&lt;"&amp;Diagram!$P35)))</f>
        <v>1</v>
      </c>
      <c r="CA35" s="42">
        <f ca="1">IF(OR($I$10="",$O35="",$P35="",$J$38&lt;&gt;"Yes"),0,IF($K$10=0,SUMIFS(INDIRECT(ADDRESS(12,3+18*2+(3),,,"J1 C - (South) Bishopthorpe Roa")&amp;":"&amp;ADDRESS(130,3+18*2+(3))),'J1 C - (South) Bishopthorpe Roa'!$A$12:$A$130,"&gt;="&amp;Diagram!$O35,'J1 C - (South) Bishopthorpe Roa'!$A$12:$A$130,"&lt;"&amp;Diagram!$P35),SUMIFS(INDIRECT(ADDRESS(12,3+18*2+(11),,,"J1 C - (South) Bishopthorpe Roa")&amp;":"&amp;ADDRESS(130,3+18*2+(11))),'J1 C - (South) Bishopthorpe Roa'!$A$12:$A$130,"&gt;="&amp;Diagram!$O35,'J1 C - (South) Bishopthorpe Roa'!$A$12:$A$130,"&lt;"&amp;Diagram!$P35)))</f>
        <v>0</v>
      </c>
      <c r="CB35" s="42">
        <f ca="1">IF(OR($I$10="",$O35="",$P35="",$J$38&lt;&gt;"Yes"),0,IF($K$10=0,SUMIFS(INDIRECT(ADDRESS(12,3+18*3+(3),,,"J1 C - (South) Bishopthorpe Roa")&amp;":"&amp;ADDRESS(130,3+18*3+(3))),'J1 C - (South) Bishopthorpe Roa'!$A$12:$A$130,"&gt;="&amp;Diagram!$O35,'J1 C - (South) Bishopthorpe Roa'!$A$12:$A$130,"&lt;"&amp;Diagram!$P35),SUMIFS(INDIRECT(ADDRESS(12,3+18*3+(11),,,"J1 C - (South) Bishopthorpe Roa")&amp;":"&amp;ADDRESS(130,3+18*3+(11))),'J1 C - (South) Bishopthorpe Roa'!$A$12:$A$130,"&gt;="&amp;Diagram!$O35,'J1 C - (South) Bishopthorpe Roa'!$A$12:$A$130,"&lt;"&amp;Diagram!$P35)))</f>
        <v>0</v>
      </c>
      <c r="CC35" s="42">
        <f ca="1">IF(OR($I$10="",$O35="",$P35="",$J$38&lt;&gt;"Yes"),0,IF($K$10=0,SUMIFS(INDIRECT(ADDRESS(12,3+18*0+(3),,,"J1 C - (South) Bishopthorpe Roa")&amp;":"&amp;ADDRESS(130,3+18*0+(3))),'J1 C - (South) Bishopthorpe Roa'!$A$12:$A$130,"&gt;="&amp;Diagram!$O35,'J1 C - (South) Bishopthorpe Roa'!$A$12:$A$130,"&lt;"&amp;Diagram!$P35),SUMIFS(INDIRECT(ADDRESS(12,3+18*0+(11),,,"J1 C - (South) Bishopthorpe Roa")&amp;":"&amp;ADDRESS(130,3+18*0+(11))),'J1 C - (South) Bishopthorpe Roa'!$A$12:$A$130,"&gt;="&amp;Diagram!$O35,'J1 C - (South) Bishopthorpe Roa'!$A$12:$A$130,"&lt;"&amp;Diagram!$P35)))</f>
        <v>0</v>
      </c>
      <c r="CD35" s="42">
        <f ca="1">IF(OR($I$10="",$O35="",$P35="",$J$38&lt;&gt;"Yes"),0,IF($K$10=0,SUMIFS(INDIRECT(ADDRESS(12,3+18*0+(3),,,"J1 D - South Bank Avenue")&amp;":"&amp;ADDRESS(130,3+18*0+(3))),'J1 D - South Bank Avenue'!$A$12:$A$130,"&gt;="&amp;Diagram!$O35,'J1 D - South Bank Avenue'!$A$12:$A$130,"&lt;"&amp;Diagram!$P35),SUMIFS(INDIRECT(ADDRESS(12,3+18*0+(11),,,"J1 D - South Bank Avenue")&amp;":"&amp;ADDRESS(130,3+18*0+(11))),'J1 D - South Bank Avenue'!$A$12:$A$130,"&gt;="&amp;Diagram!$O35,'J1 D - South Bank Avenue'!$A$12:$A$130,"&lt;"&amp;Diagram!$P35)))</f>
        <v>0</v>
      </c>
      <c r="CE35" s="42">
        <f ca="1">IF(OR($I$10="",$O35="",$P35="",$J$38&lt;&gt;"Yes"),0,IF($K$10=0,SUMIFS(INDIRECT(ADDRESS(12,3+18*1+(3),,,"J1 D - South Bank Avenue")&amp;":"&amp;ADDRESS(130,3+18*1+(3))),'J1 D - South Bank Avenue'!$A$12:$A$130,"&gt;="&amp;Diagram!$O35,'J1 D - South Bank Avenue'!$A$12:$A$130,"&lt;"&amp;Diagram!$P35),SUMIFS(INDIRECT(ADDRESS(12,3+18*1+(11),,,"J1 D - South Bank Avenue")&amp;":"&amp;ADDRESS(130,3+18*1+(11))),'J1 D - South Bank Avenue'!$A$12:$A$130,"&gt;="&amp;Diagram!$O35,'J1 D - South Bank Avenue'!$A$12:$A$130,"&lt;"&amp;Diagram!$P35)))</f>
        <v>0</v>
      </c>
      <c r="CF35" s="42">
        <f ca="1">IF(OR($I$10="",$O35="",$P35="",$J$38&lt;&gt;"Yes"),0,IF($K$10=0,SUMIFS(INDIRECT(ADDRESS(12,3+18*2+(3),,,"J1 D - South Bank Avenue")&amp;":"&amp;ADDRESS(130,3+18*2+(3))),'J1 D - South Bank Avenue'!$A$12:$A$130,"&gt;="&amp;Diagram!$O35,'J1 D - South Bank Avenue'!$A$12:$A$130,"&lt;"&amp;Diagram!$P35),SUMIFS(INDIRECT(ADDRESS(12,3+18*2+(11),,,"J1 D - South Bank Avenue")&amp;":"&amp;ADDRESS(130,3+18*2+(11))),'J1 D - South Bank Avenue'!$A$12:$A$130,"&gt;="&amp;Diagram!$O35,'J1 D - South Bank Avenue'!$A$12:$A$130,"&lt;"&amp;Diagram!$P35)))</f>
        <v>0</v>
      </c>
      <c r="CG35" s="42">
        <f ca="1">IF(OR($I$10="",$O35="",$P35="",$J$38&lt;&gt;"Yes"),0,IF($K$10=0,SUMIFS(INDIRECT(ADDRESS(12,3+18*3+(3),,,"J1 D - South Bank Avenue")&amp;":"&amp;ADDRESS(130,3+18*3+(3))),'J1 D - South Bank Avenue'!$A$12:$A$130,"&gt;="&amp;Diagram!$O35,'J1 D - South Bank Avenue'!$A$12:$A$130,"&lt;"&amp;Diagram!$P35),SUMIFS(INDIRECT(ADDRESS(12,3+18*3+(11),,,"J1 D - South Bank Avenue")&amp;":"&amp;ADDRESS(130,3+18*3+(11))),'J1 D - South Bank Avenue'!$A$12:$A$130,"&gt;="&amp;Diagram!$O35,'J1 D - South Bank Avenue'!$A$12:$A$130,"&lt;"&amp;Diagram!$P35)))</f>
        <v>0</v>
      </c>
      <c r="CH35" s="42">
        <f t="shared" ca="1" si="5"/>
        <v>8</v>
      </c>
      <c r="CI35" s="42">
        <f ca="1">IF(OR($I$10="",$O35="",$P35="",$J$39&lt;&gt;"Yes"),0,IF($K$10=0,SUMIFS(INDIRECT(ADDRESS(12,3+18*3+(4),,,"J1 A - (North) Bishopthorpe Roa")&amp;":"&amp;ADDRESS(130,3+18*3+(4))),'J1 A - (North) Bishopthorpe Roa'!$A$12:$A$130,"&gt;="&amp;Diagram!$O35,'J1 A - (North) Bishopthorpe Roa'!$A$12:$A$130,"&lt;"&amp;Diagram!$P35),SUMIFS(INDIRECT(ADDRESS(12,3+18*3+(12),,,"J1 A - (North) Bishopthorpe Roa")&amp;":"&amp;ADDRESS(130,3+18*3+(12))),'J1 A - (North) Bishopthorpe Roa'!$A$12:$A$130,"&gt;="&amp;Diagram!$O35,'J1 A - (North) Bishopthorpe Roa'!$A$12:$A$130,"&lt;"&amp;Diagram!$P35)))</f>
        <v>0</v>
      </c>
      <c r="CJ35" s="42">
        <f ca="1">IF(OR($I$10="",$O35="",$P35="",$J$39&lt;&gt;"Yes"),0,IF($K$10=0,SUMIFS(INDIRECT(ADDRESS(12,3+18*0+(4),,,"J1 A - (North) Bishopthorpe Roa")&amp;":"&amp;ADDRESS(130,3+18*0+(4))),'J1 A - (North) Bishopthorpe Roa'!$A$12:$A$130,"&gt;="&amp;Diagram!$O35,'J1 A - (North) Bishopthorpe Roa'!$A$12:$A$130,"&lt;"&amp;Diagram!$P35),SUMIFS(INDIRECT(ADDRESS(12,3+18*0+(12),,,"J1 A - (North) Bishopthorpe Roa")&amp;":"&amp;ADDRESS(130,3+18*0+(12))),'J1 A - (North) Bishopthorpe Roa'!$A$12:$A$130,"&gt;="&amp;Diagram!$O35,'J1 A - (North) Bishopthorpe Roa'!$A$12:$A$130,"&lt;"&amp;Diagram!$P35)))</f>
        <v>0</v>
      </c>
      <c r="CK35" s="42">
        <f ca="1">IF(OR($I$10="",$O35="",$P35="",$J$39&lt;&gt;"Yes"),0,IF($K$10=0,SUMIFS(INDIRECT(ADDRESS(12,3+18*1+(4),,,"J1 A - (North) Bishopthorpe Roa")&amp;":"&amp;ADDRESS(130,3+18*1+(4))),'J1 A - (North) Bishopthorpe Roa'!$A$12:$A$130,"&gt;="&amp;Diagram!$O35,'J1 A - (North) Bishopthorpe Roa'!$A$12:$A$130,"&lt;"&amp;Diagram!$P35),SUMIFS(INDIRECT(ADDRESS(12,3+18*1+(12),,,"J1 A - (North) Bishopthorpe Roa")&amp;":"&amp;ADDRESS(130,3+18*1+(12))),'J1 A - (North) Bishopthorpe Roa'!$A$12:$A$130,"&gt;="&amp;Diagram!$O35,'J1 A - (North) Bishopthorpe Roa'!$A$12:$A$130,"&lt;"&amp;Diagram!$P35)))</f>
        <v>4</v>
      </c>
      <c r="CL35" s="42">
        <f ca="1">IF(OR($I$10="",$O35="",$P35="",$J$39&lt;&gt;"Yes"),0,IF($K$10=0,SUMIFS(INDIRECT(ADDRESS(12,3+18*2+(4),,,"J1 A - (North) Bishopthorpe Roa")&amp;":"&amp;ADDRESS(130,3+18*2+(4))),'J1 A - (North) Bishopthorpe Roa'!$A$12:$A$130,"&gt;="&amp;Diagram!$O35,'J1 A - (North) Bishopthorpe Roa'!$A$12:$A$130,"&lt;"&amp;Diagram!$P35),SUMIFS(INDIRECT(ADDRESS(12,3+18*2+(12),,,"J1 A - (North) Bishopthorpe Roa")&amp;":"&amp;ADDRESS(130,3+18*2+(12))),'J1 A - (North) Bishopthorpe Roa'!$A$12:$A$130,"&gt;="&amp;Diagram!$O35,'J1 A - (North) Bishopthorpe Roa'!$A$12:$A$130,"&lt;"&amp;Diagram!$P35)))</f>
        <v>0</v>
      </c>
      <c r="CM35" s="42">
        <f ca="1">IF(OR($I$10="",$O35="",$P35="",$J$39&lt;&gt;"Yes"),0,IF($K$10=0,SUMIFS(INDIRECT(ADDRESS(12,3+18*2+(4),,,"J1 B - Butcher Terrace")&amp;":"&amp;ADDRESS(130,3+18*2+(4))),'J1 B - Butcher Terrace'!$A$12:$A$130,"&gt;="&amp;Diagram!$O35,'J1 B - Butcher Terrace'!$A$12:$A$130,"&lt;"&amp;Diagram!$P35),SUMIFS(INDIRECT(ADDRESS(12,3+18*2+(12),,,"J1 B - Butcher Terrace")&amp;":"&amp;ADDRESS(130,3+18*2+(12))),'J1 B - Butcher Terrace'!$A$12:$A$130,"&gt;="&amp;Diagram!$O35,'J1 B - Butcher Terrace'!$A$12:$A$130,"&lt;"&amp;Diagram!$P35)))</f>
        <v>0</v>
      </c>
      <c r="CN35" s="42">
        <f ca="1">IF(OR($I$10="",$O35="",$P35="",$J$39&lt;&gt;"Yes"),0,IF($K$10=0,SUMIFS(INDIRECT(ADDRESS(12,3+18*3+(4),,,"J1 B - Butcher Terrace")&amp;":"&amp;ADDRESS(130,3+18*3+(4))),'J1 B - Butcher Terrace'!$A$12:$A$130,"&gt;="&amp;Diagram!$O35,'J1 B - Butcher Terrace'!$A$12:$A$130,"&lt;"&amp;Diagram!$P35),SUMIFS(INDIRECT(ADDRESS(12,3+18*3+(12),,,"J1 B - Butcher Terrace")&amp;":"&amp;ADDRESS(130,3+18*3+(12))),'J1 B - Butcher Terrace'!$A$12:$A$130,"&gt;="&amp;Diagram!$O35,'J1 B - Butcher Terrace'!$A$12:$A$130,"&lt;"&amp;Diagram!$P35)))</f>
        <v>0</v>
      </c>
      <c r="CO35" s="42">
        <f ca="1">IF(OR($I$10="",$O35="",$P35="",$J$39&lt;&gt;"Yes"),0,IF($K$10=0,SUMIFS(INDIRECT(ADDRESS(12,3+18*0+(4),,,"J1 B - Butcher Terrace")&amp;":"&amp;ADDRESS(130,3+18*0+(4))),'J1 B - Butcher Terrace'!$A$12:$A$130,"&gt;="&amp;Diagram!$O35,'J1 B - Butcher Terrace'!$A$12:$A$130,"&lt;"&amp;Diagram!$P35),SUMIFS(INDIRECT(ADDRESS(12,3+18*0+(12),,,"J1 B - Butcher Terrace")&amp;":"&amp;ADDRESS(130,3+18*0+(12))),'J1 B - Butcher Terrace'!$A$12:$A$130,"&gt;="&amp;Diagram!$O35,'J1 B - Butcher Terrace'!$A$12:$A$130,"&lt;"&amp;Diagram!$P35)))</f>
        <v>0</v>
      </c>
      <c r="CP35" s="42">
        <f ca="1">IF(OR($I$10="",$O35="",$P35="",$J$39&lt;&gt;"Yes"),0,IF($K$10=0,SUMIFS(INDIRECT(ADDRESS(12,3+18*1+(4),,,"J1 B - Butcher Terrace")&amp;":"&amp;ADDRESS(130,3+18*1+(4))),'J1 B - Butcher Terrace'!$A$12:$A$130,"&gt;="&amp;Diagram!$O35,'J1 B - Butcher Terrace'!$A$12:$A$130,"&lt;"&amp;Diagram!$P35),SUMIFS(INDIRECT(ADDRESS(12,3+18*1+(12),,,"J1 B - Butcher Terrace")&amp;":"&amp;ADDRESS(130,3+18*1+(12))),'J1 B - Butcher Terrace'!$A$12:$A$130,"&gt;="&amp;Diagram!$O35,'J1 B - Butcher Terrace'!$A$12:$A$130,"&lt;"&amp;Diagram!$P35)))</f>
        <v>0</v>
      </c>
      <c r="CQ35" s="42">
        <f ca="1">IF(OR($I$10="",$O35="",$P35="",$J$39&lt;&gt;"Yes"),0,IF($K$10=0,SUMIFS(INDIRECT(ADDRESS(12,3+18*1+(4),,,"J1 C - (South) Bishopthorpe Roa")&amp;":"&amp;ADDRESS(130,3+18*1+(4))),'J1 C - (South) Bishopthorpe Roa'!$A$12:$A$130,"&gt;="&amp;Diagram!$O35,'J1 C - (South) Bishopthorpe Roa'!$A$12:$A$130,"&lt;"&amp;Diagram!$P35),SUMIFS(INDIRECT(ADDRESS(12,3+18*1+(12),,,"J1 C - (South) Bishopthorpe Roa")&amp;":"&amp;ADDRESS(130,3+18*1+(12))),'J1 C - (South) Bishopthorpe Roa'!$A$12:$A$130,"&gt;="&amp;Diagram!$O35,'J1 C - (South) Bishopthorpe Roa'!$A$12:$A$130,"&lt;"&amp;Diagram!$P35)))</f>
        <v>4</v>
      </c>
      <c r="CR35" s="42">
        <f ca="1">IF(OR($I$10="",$O35="",$P35="",$J$39&lt;&gt;"Yes"),0,IF($K$10=0,SUMIFS(INDIRECT(ADDRESS(12,3+18*2+(4),,,"J1 C - (South) Bishopthorpe Roa")&amp;":"&amp;ADDRESS(130,3+18*2+(4))),'J1 C - (South) Bishopthorpe Roa'!$A$12:$A$130,"&gt;="&amp;Diagram!$O35,'J1 C - (South) Bishopthorpe Roa'!$A$12:$A$130,"&lt;"&amp;Diagram!$P35),SUMIFS(INDIRECT(ADDRESS(12,3+18*2+(12),,,"J1 C - (South) Bishopthorpe Roa")&amp;":"&amp;ADDRESS(130,3+18*2+(12))),'J1 C - (South) Bishopthorpe Roa'!$A$12:$A$130,"&gt;="&amp;Diagram!$O35,'J1 C - (South) Bishopthorpe Roa'!$A$12:$A$130,"&lt;"&amp;Diagram!$P35)))</f>
        <v>0</v>
      </c>
      <c r="CS35" s="42">
        <f ca="1">IF(OR($I$10="",$O35="",$P35="",$J$39&lt;&gt;"Yes"),0,IF($K$10=0,SUMIFS(INDIRECT(ADDRESS(12,3+18*3+(4),,,"J1 C - (South) Bishopthorpe Roa")&amp;":"&amp;ADDRESS(130,3+18*3+(4))),'J1 C - (South) Bishopthorpe Roa'!$A$12:$A$130,"&gt;="&amp;Diagram!$O35,'J1 C - (South) Bishopthorpe Roa'!$A$12:$A$130,"&lt;"&amp;Diagram!$P35),SUMIFS(INDIRECT(ADDRESS(12,3+18*3+(12),,,"J1 C - (South) Bishopthorpe Roa")&amp;":"&amp;ADDRESS(130,3+18*3+(12))),'J1 C - (South) Bishopthorpe Roa'!$A$12:$A$130,"&gt;="&amp;Diagram!$O35,'J1 C - (South) Bishopthorpe Roa'!$A$12:$A$130,"&lt;"&amp;Diagram!$P35)))</f>
        <v>0</v>
      </c>
      <c r="CT35" s="42">
        <f ca="1">IF(OR($I$10="",$O35="",$P35="",$J$39&lt;&gt;"Yes"),0,IF($K$10=0,SUMIFS(INDIRECT(ADDRESS(12,3+18*0+(4),,,"J1 C - (South) Bishopthorpe Roa")&amp;":"&amp;ADDRESS(130,3+18*0+(4))),'J1 C - (South) Bishopthorpe Roa'!$A$12:$A$130,"&gt;="&amp;Diagram!$O35,'J1 C - (South) Bishopthorpe Roa'!$A$12:$A$130,"&lt;"&amp;Diagram!$P35),SUMIFS(INDIRECT(ADDRESS(12,3+18*0+(12),,,"J1 C - (South) Bishopthorpe Roa")&amp;":"&amp;ADDRESS(130,3+18*0+(12))),'J1 C - (South) Bishopthorpe Roa'!$A$12:$A$130,"&gt;="&amp;Diagram!$O35,'J1 C - (South) Bishopthorpe Roa'!$A$12:$A$130,"&lt;"&amp;Diagram!$P35)))</f>
        <v>0</v>
      </c>
      <c r="CU35" s="42">
        <f ca="1">IF(OR($I$10="",$O35="",$P35="",$J$39&lt;&gt;"Yes"),0,IF($K$10=0,SUMIFS(INDIRECT(ADDRESS(12,3+18*0+(4),,,"J1 D - South Bank Avenue")&amp;":"&amp;ADDRESS(130,3+18*0+(4))),'J1 D - South Bank Avenue'!$A$12:$A$130,"&gt;="&amp;Diagram!$O35,'J1 D - South Bank Avenue'!$A$12:$A$130,"&lt;"&amp;Diagram!$P35),SUMIFS(INDIRECT(ADDRESS(12,3+18*0+(12),,,"J1 D - South Bank Avenue")&amp;":"&amp;ADDRESS(130,3+18*0+(12))),'J1 D - South Bank Avenue'!$A$12:$A$130,"&gt;="&amp;Diagram!$O35,'J1 D - South Bank Avenue'!$A$12:$A$130,"&lt;"&amp;Diagram!$P35)))</f>
        <v>0</v>
      </c>
      <c r="CV35" s="42">
        <f ca="1">IF(OR($I$10="",$O35="",$P35="",$J$39&lt;&gt;"Yes"),0,IF($K$10=0,SUMIFS(INDIRECT(ADDRESS(12,3+18*1+(4),,,"J1 D - South Bank Avenue")&amp;":"&amp;ADDRESS(130,3+18*1+(4))),'J1 D - South Bank Avenue'!$A$12:$A$130,"&gt;="&amp;Diagram!$O35,'J1 D - South Bank Avenue'!$A$12:$A$130,"&lt;"&amp;Diagram!$P35),SUMIFS(INDIRECT(ADDRESS(12,3+18*1+(12),,,"J1 D - South Bank Avenue")&amp;":"&amp;ADDRESS(130,3+18*1+(12))),'J1 D - South Bank Avenue'!$A$12:$A$130,"&gt;="&amp;Diagram!$O35,'J1 D - South Bank Avenue'!$A$12:$A$130,"&lt;"&amp;Diagram!$P35)))</f>
        <v>0</v>
      </c>
      <c r="CW35" s="42">
        <f ca="1">IF(OR($I$10="",$O35="",$P35="",$J$39&lt;&gt;"Yes"),0,IF($K$10=0,SUMIFS(INDIRECT(ADDRESS(12,3+18*2+(4),,,"J1 D - South Bank Avenue")&amp;":"&amp;ADDRESS(130,3+18*2+(4))),'J1 D - South Bank Avenue'!$A$12:$A$130,"&gt;="&amp;Diagram!$O35,'J1 D - South Bank Avenue'!$A$12:$A$130,"&lt;"&amp;Diagram!$P35),SUMIFS(INDIRECT(ADDRESS(12,3+18*2+(12),,,"J1 D - South Bank Avenue")&amp;":"&amp;ADDRESS(130,3+18*2+(12))),'J1 D - South Bank Avenue'!$A$12:$A$130,"&gt;="&amp;Diagram!$O35,'J1 D - South Bank Avenue'!$A$12:$A$130,"&lt;"&amp;Diagram!$P35)))</f>
        <v>0</v>
      </c>
      <c r="CX35" s="42">
        <f ca="1">IF(OR($I$10="",$O35="",$P35="",$J$39&lt;&gt;"Yes"),0,IF($K$10=0,SUMIFS(INDIRECT(ADDRESS(12,3+18*3+(4),,,"J1 D - South Bank Avenue")&amp;":"&amp;ADDRESS(130,3+18*3+(4))),'J1 D - South Bank Avenue'!$A$12:$A$130,"&gt;="&amp;Diagram!$O35,'J1 D - South Bank Avenue'!$A$12:$A$130,"&lt;"&amp;Diagram!$P35),SUMIFS(INDIRECT(ADDRESS(12,3+18*3+(12),,,"J1 D - South Bank Avenue")&amp;":"&amp;ADDRESS(130,3+18*3+(12))),'J1 D - South Bank Avenue'!$A$12:$A$130,"&gt;="&amp;Diagram!$O35,'J1 D - South Bank Avenue'!$A$12:$A$130,"&lt;"&amp;Diagram!$P35)))</f>
        <v>0</v>
      </c>
      <c r="CY35" s="42">
        <f t="shared" ca="1" si="6"/>
        <v>112</v>
      </c>
      <c r="CZ35" s="42">
        <f ca="1">IF(OR($I$10="",$O35="",$P35="",$J$40&lt;&gt;"Yes"),0,IF($K$10=0,SUMIFS(INDIRECT(ADDRESS(12,3+18*3+(5),,,"J1 A - (North) Bishopthorpe Roa")&amp;":"&amp;ADDRESS(130,3+18*3+(5))),'J1 A - (North) Bishopthorpe Roa'!$A$12:$A$130,"&gt;="&amp;Diagram!$O35,'J1 A - (North) Bishopthorpe Roa'!$A$12:$A$130,"&lt;"&amp;Diagram!$P35),SUMIFS(INDIRECT(ADDRESS(12,3+18*3+(13),,,"J1 A - (North) Bishopthorpe Roa")&amp;":"&amp;ADDRESS(130,3+18*3+(13))),'J1 A - (North) Bishopthorpe Roa'!$A$12:$A$130,"&gt;="&amp;Diagram!$O35,'J1 A - (North) Bishopthorpe Roa'!$A$12:$A$130,"&lt;"&amp;Diagram!$P35)))</f>
        <v>0</v>
      </c>
      <c r="DA35" s="42">
        <f ca="1">IF(OR($I$10="",$O35="",$P35="",$J$40&lt;&gt;"Yes"),0,IF($K$10=0,SUMIFS(INDIRECT(ADDRESS(12,3+18*0+(5),,,"J1 A - (North) Bishopthorpe Roa")&amp;":"&amp;ADDRESS(130,3+18*0+(5))),'J1 A - (North) Bishopthorpe Roa'!$A$12:$A$130,"&gt;="&amp;Diagram!$O35,'J1 A - (North) Bishopthorpe Roa'!$A$12:$A$130,"&lt;"&amp;Diagram!$P35),SUMIFS(INDIRECT(ADDRESS(12,3+18*0+(13),,,"J1 A - (North) Bishopthorpe Roa")&amp;":"&amp;ADDRESS(130,3+18*0+(13))),'J1 A - (North) Bishopthorpe Roa'!$A$12:$A$130,"&gt;="&amp;Diagram!$O35,'J1 A - (North) Bishopthorpe Roa'!$A$12:$A$130,"&lt;"&amp;Diagram!$P35)))</f>
        <v>16</v>
      </c>
      <c r="DB35" s="42">
        <f ca="1">IF(OR($I$10="",$O35="",$P35="",$J$40&lt;&gt;"Yes"),0,IF($K$10=0,SUMIFS(INDIRECT(ADDRESS(12,3+18*1+(5),,,"J1 A - (North) Bishopthorpe Roa")&amp;":"&amp;ADDRESS(130,3+18*1+(5))),'J1 A - (North) Bishopthorpe Roa'!$A$12:$A$130,"&gt;="&amp;Diagram!$O35,'J1 A - (North) Bishopthorpe Roa'!$A$12:$A$130,"&lt;"&amp;Diagram!$P35),SUMIFS(INDIRECT(ADDRESS(12,3+18*1+(13),,,"J1 A - (North) Bishopthorpe Roa")&amp;":"&amp;ADDRESS(130,3+18*1+(13))),'J1 A - (North) Bishopthorpe Roa'!$A$12:$A$130,"&gt;="&amp;Diagram!$O35,'J1 A - (North) Bishopthorpe Roa'!$A$12:$A$130,"&lt;"&amp;Diagram!$P35)))</f>
        <v>10</v>
      </c>
      <c r="DC35" s="42">
        <f ca="1">IF(OR($I$10="",$O35="",$P35="",$J$40&lt;&gt;"Yes"),0,IF($K$10=0,SUMIFS(INDIRECT(ADDRESS(12,3+18*2+(5),,,"J1 A - (North) Bishopthorpe Roa")&amp;":"&amp;ADDRESS(130,3+18*2+(5))),'J1 A - (North) Bishopthorpe Roa'!$A$12:$A$130,"&gt;="&amp;Diagram!$O35,'J1 A - (North) Bishopthorpe Roa'!$A$12:$A$130,"&lt;"&amp;Diagram!$P35),SUMIFS(INDIRECT(ADDRESS(12,3+18*2+(13),,,"J1 A - (North) Bishopthorpe Roa")&amp;":"&amp;ADDRESS(130,3+18*2+(13))),'J1 A - (North) Bishopthorpe Roa'!$A$12:$A$130,"&gt;="&amp;Diagram!$O35,'J1 A - (North) Bishopthorpe Roa'!$A$12:$A$130,"&lt;"&amp;Diagram!$P35)))</f>
        <v>1</v>
      </c>
      <c r="DD35" s="42">
        <f ca="1">IF(OR($I$10="",$O35="",$P35="",$J$40&lt;&gt;"Yes"),0,IF($K$10=0,SUMIFS(INDIRECT(ADDRESS(12,3+18*2+(5),,,"J1 B - Butcher Terrace")&amp;":"&amp;ADDRESS(130,3+18*2+(5))),'J1 B - Butcher Terrace'!$A$12:$A$130,"&gt;="&amp;Diagram!$O35,'J1 B - Butcher Terrace'!$A$12:$A$130,"&lt;"&amp;Diagram!$P35),SUMIFS(INDIRECT(ADDRESS(12,3+18*2+(13),,,"J1 B - Butcher Terrace")&amp;":"&amp;ADDRESS(130,3+18*2+(13))),'J1 B - Butcher Terrace'!$A$12:$A$130,"&gt;="&amp;Diagram!$O35,'J1 B - Butcher Terrace'!$A$12:$A$130,"&lt;"&amp;Diagram!$P35)))</f>
        <v>4</v>
      </c>
      <c r="DE35" s="42">
        <f ca="1">IF(OR($I$10="",$O35="",$P35="",$J$40&lt;&gt;"Yes"),0,IF($K$10=0,SUMIFS(INDIRECT(ADDRESS(12,3+18*3+(5),,,"J1 B - Butcher Terrace")&amp;":"&amp;ADDRESS(130,3+18*3+(5))),'J1 B - Butcher Terrace'!$A$12:$A$130,"&gt;="&amp;Diagram!$O35,'J1 B - Butcher Terrace'!$A$12:$A$130,"&lt;"&amp;Diagram!$P35),SUMIFS(INDIRECT(ADDRESS(12,3+18*3+(13),,,"J1 B - Butcher Terrace")&amp;":"&amp;ADDRESS(130,3+18*3+(13))),'J1 B - Butcher Terrace'!$A$12:$A$130,"&gt;="&amp;Diagram!$O35,'J1 B - Butcher Terrace'!$A$12:$A$130,"&lt;"&amp;Diagram!$P35)))</f>
        <v>0</v>
      </c>
      <c r="DF35" s="42">
        <f ca="1">IF(OR($I$10="",$O35="",$P35="",$J$40&lt;&gt;"Yes"),0,IF($K$10=0,SUMIFS(INDIRECT(ADDRESS(12,3+18*0+(5),,,"J1 B - Butcher Terrace")&amp;":"&amp;ADDRESS(130,3+18*0+(5))),'J1 B - Butcher Terrace'!$A$12:$A$130,"&gt;="&amp;Diagram!$O35,'J1 B - Butcher Terrace'!$A$12:$A$130,"&lt;"&amp;Diagram!$P35),SUMIFS(INDIRECT(ADDRESS(12,3+18*0+(13),,,"J1 B - Butcher Terrace")&amp;":"&amp;ADDRESS(130,3+18*0+(13))),'J1 B - Butcher Terrace'!$A$12:$A$130,"&gt;="&amp;Diagram!$O35,'J1 B - Butcher Terrace'!$A$12:$A$130,"&lt;"&amp;Diagram!$P35)))</f>
        <v>3</v>
      </c>
      <c r="DG35" s="42">
        <f ca="1">IF(OR($I$10="",$O35="",$P35="",$J$40&lt;&gt;"Yes"),0,IF($K$10=0,SUMIFS(INDIRECT(ADDRESS(12,3+18*1+(5),,,"J1 B - Butcher Terrace")&amp;":"&amp;ADDRESS(130,3+18*1+(5))),'J1 B - Butcher Terrace'!$A$12:$A$130,"&gt;="&amp;Diagram!$O35,'J1 B - Butcher Terrace'!$A$12:$A$130,"&lt;"&amp;Diagram!$P35),SUMIFS(INDIRECT(ADDRESS(12,3+18*1+(13),,,"J1 B - Butcher Terrace")&amp;":"&amp;ADDRESS(130,3+18*1+(13))),'J1 B - Butcher Terrace'!$A$12:$A$130,"&gt;="&amp;Diagram!$O35,'J1 B - Butcher Terrace'!$A$12:$A$130,"&lt;"&amp;Diagram!$P35)))</f>
        <v>13</v>
      </c>
      <c r="DH35" s="42">
        <f ca="1">IF(OR($I$10="",$O35="",$P35="",$J$40&lt;&gt;"Yes"),0,IF($K$10=0,SUMIFS(INDIRECT(ADDRESS(12,3+18*1+(5),,,"J1 C - (South) Bishopthorpe Roa")&amp;":"&amp;ADDRESS(130,3+18*1+(5))),'J1 C - (South) Bishopthorpe Roa'!$A$12:$A$130,"&gt;="&amp;Diagram!$O35,'J1 C - (South) Bishopthorpe Roa'!$A$12:$A$130,"&lt;"&amp;Diagram!$P35),SUMIFS(INDIRECT(ADDRESS(12,3+18*1+(13),,,"J1 C - (South) Bishopthorpe Roa")&amp;":"&amp;ADDRESS(130,3+18*1+(13))),'J1 C - (South) Bishopthorpe Roa'!$A$12:$A$130,"&gt;="&amp;Diagram!$O35,'J1 C - (South) Bishopthorpe Roa'!$A$12:$A$130,"&lt;"&amp;Diagram!$P35)))</f>
        <v>18</v>
      </c>
      <c r="DI35" s="42">
        <f ca="1">IF(OR($I$10="",$O35="",$P35="",$J$40&lt;&gt;"Yes"),0,IF($K$10=0,SUMIFS(INDIRECT(ADDRESS(12,3+18*2+(5),,,"J1 C - (South) Bishopthorpe Roa")&amp;":"&amp;ADDRESS(130,3+18*2+(5))),'J1 C - (South) Bishopthorpe Roa'!$A$12:$A$130,"&gt;="&amp;Diagram!$O35,'J1 C - (South) Bishopthorpe Roa'!$A$12:$A$130,"&lt;"&amp;Diagram!$P35),SUMIFS(INDIRECT(ADDRESS(12,3+18*2+(13),,,"J1 C - (South) Bishopthorpe Roa")&amp;":"&amp;ADDRESS(130,3+18*2+(13))),'J1 C - (South) Bishopthorpe Roa'!$A$12:$A$130,"&gt;="&amp;Diagram!$O35,'J1 C - (South) Bishopthorpe Roa'!$A$12:$A$130,"&lt;"&amp;Diagram!$P35)))</f>
        <v>12</v>
      </c>
      <c r="DJ35" s="42">
        <f ca="1">IF(OR($I$10="",$O35="",$P35="",$J$40&lt;&gt;"Yes"),0,IF($K$10=0,SUMIFS(INDIRECT(ADDRESS(12,3+18*3+(5),,,"J1 C - (South) Bishopthorpe Roa")&amp;":"&amp;ADDRESS(130,3+18*3+(5))),'J1 C - (South) Bishopthorpe Roa'!$A$12:$A$130,"&gt;="&amp;Diagram!$O35,'J1 C - (South) Bishopthorpe Roa'!$A$12:$A$130,"&lt;"&amp;Diagram!$P35),SUMIFS(INDIRECT(ADDRESS(12,3+18*3+(13),,,"J1 C - (South) Bishopthorpe Roa")&amp;":"&amp;ADDRESS(130,3+18*3+(13))),'J1 C - (South) Bishopthorpe Roa'!$A$12:$A$130,"&gt;="&amp;Diagram!$O35,'J1 C - (South) Bishopthorpe Roa'!$A$12:$A$130,"&lt;"&amp;Diagram!$P35)))</f>
        <v>0</v>
      </c>
      <c r="DK35" s="42">
        <f ca="1">IF(OR($I$10="",$O35="",$P35="",$J$40&lt;&gt;"Yes"),0,IF($K$10=0,SUMIFS(INDIRECT(ADDRESS(12,3+18*0+(5),,,"J1 C - (South) Bishopthorpe Roa")&amp;":"&amp;ADDRESS(130,3+18*0+(5))),'J1 C - (South) Bishopthorpe Roa'!$A$12:$A$130,"&gt;="&amp;Diagram!$O35,'J1 C - (South) Bishopthorpe Roa'!$A$12:$A$130,"&lt;"&amp;Diagram!$P35),SUMIFS(INDIRECT(ADDRESS(12,3+18*0+(13),,,"J1 C - (South) Bishopthorpe Roa")&amp;":"&amp;ADDRESS(130,3+18*0+(13))),'J1 C - (South) Bishopthorpe Roa'!$A$12:$A$130,"&gt;="&amp;Diagram!$O35,'J1 C - (South) Bishopthorpe Roa'!$A$12:$A$130,"&lt;"&amp;Diagram!$P35)))</f>
        <v>1</v>
      </c>
      <c r="DL35" s="42">
        <f ca="1">IF(OR($I$10="",$O35="",$P35="",$J$40&lt;&gt;"Yes"),0,IF($K$10=0,SUMIFS(INDIRECT(ADDRESS(12,3+18*0+(5),,,"J1 D - South Bank Avenue")&amp;":"&amp;ADDRESS(130,3+18*0+(5))),'J1 D - South Bank Avenue'!$A$12:$A$130,"&gt;="&amp;Diagram!$O35,'J1 D - South Bank Avenue'!$A$12:$A$130,"&lt;"&amp;Diagram!$P35),SUMIFS(INDIRECT(ADDRESS(12,3+18*0+(13),,,"J1 D - South Bank Avenue")&amp;":"&amp;ADDRESS(130,3+18*0+(13))),'J1 D - South Bank Avenue'!$A$12:$A$130,"&gt;="&amp;Diagram!$O35,'J1 D - South Bank Avenue'!$A$12:$A$130,"&lt;"&amp;Diagram!$P35)))</f>
        <v>6</v>
      </c>
      <c r="DM35" s="42">
        <f ca="1">IF(OR($I$10="",$O35="",$P35="",$J$40&lt;&gt;"Yes"),0,IF($K$10=0,SUMIFS(INDIRECT(ADDRESS(12,3+18*1+(5),,,"J1 D - South Bank Avenue")&amp;":"&amp;ADDRESS(130,3+18*1+(5))),'J1 D - South Bank Avenue'!$A$12:$A$130,"&gt;="&amp;Diagram!$O35,'J1 D - South Bank Avenue'!$A$12:$A$130,"&lt;"&amp;Diagram!$P35),SUMIFS(INDIRECT(ADDRESS(12,3+18*1+(13),,,"J1 D - South Bank Avenue")&amp;":"&amp;ADDRESS(130,3+18*1+(13))),'J1 D - South Bank Avenue'!$A$12:$A$130,"&gt;="&amp;Diagram!$O35,'J1 D - South Bank Avenue'!$A$12:$A$130,"&lt;"&amp;Diagram!$P35)))</f>
        <v>28</v>
      </c>
      <c r="DN35" s="42">
        <f ca="1">IF(OR($I$10="",$O35="",$P35="",$J$40&lt;&gt;"Yes"),0,IF($K$10=0,SUMIFS(INDIRECT(ADDRESS(12,3+18*2+(5),,,"J1 D - South Bank Avenue")&amp;":"&amp;ADDRESS(130,3+18*2+(5))),'J1 D - South Bank Avenue'!$A$12:$A$130,"&gt;="&amp;Diagram!$O35,'J1 D - South Bank Avenue'!$A$12:$A$130,"&lt;"&amp;Diagram!$P35),SUMIFS(INDIRECT(ADDRESS(12,3+18*2+(13),,,"J1 D - South Bank Avenue")&amp;":"&amp;ADDRESS(130,3+18*2+(13))),'J1 D - South Bank Avenue'!$A$12:$A$130,"&gt;="&amp;Diagram!$O35,'J1 D - South Bank Avenue'!$A$12:$A$130,"&lt;"&amp;Diagram!$P35)))</f>
        <v>0</v>
      </c>
      <c r="DO35" s="42">
        <f ca="1">IF(OR($I$10="",$O35="",$P35="",$J$40&lt;&gt;"Yes"),0,IF($K$10=0,SUMIFS(INDIRECT(ADDRESS(12,3+18*3+(5),,,"J1 D - South Bank Avenue")&amp;":"&amp;ADDRESS(130,3+18*3+(5))),'J1 D - South Bank Avenue'!$A$12:$A$130,"&gt;="&amp;Diagram!$O35,'J1 D - South Bank Avenue'!$A$12:$A$130,"&lt;"&amp;Diagram!$P35),SUMIFS(INDIRECT(ADDRESS(12,3+18*3+(13),,,"J1 D - South Bank Avenue")&amp;":"&amp;ADDRESS(130,3+18*3+(13))),'J1 D - South Bank Avenue'!$A$12:$A$130,"&gt;="&amp;Diagram!$O35,'J1 D - South Bank Avenue'!$A$12:$A$130,"&lt;"&amp;Diagram!$P35)))</f>
        <v>0</v>
      </c>
      <c r="DP35" s="42">
        <f t="shared" ca="1" si="7"/>
        <v>2</v>
      </c>
      <c r="DQ35" s="42">
        <f ca="1">IF(OR($I$10="",$O35="",$P35="",$J$41&lt;&gt;"Yes"),0,IF($K$10=0,SUMIFS(INDIRECT(ADDRESS(12,3+18*3+(6),,,"J1 A - (North) Bishopthorpe Roa")&amp;":"&amp;ADDRESS(130,3+18*3+(6))),'J1 A - (North) Bishopthorpe Roa'!$A$12:$A$130,"&gt;="&amp;Diagram!$O35,'J1 A - (North) Bishopthorpe Roa'!$A$12:$A$130,"&lt;"&amp;Diagram!$P35),SUMIFS(INDIRECT(ADDRESS(12,3+18*3+(14),,,"J1 A - (North) Bishopthorpe Roa")&amp;":"&amp;ADDRESS(130,3+18*3+(14))),'J1 A - (North) Bishopthorpe Roa'!$A$12:$A$130,"&gt;="&amp;Diagram!$O35,'J1 A - (North) Bishopthorpe Roa'!$A$12:$A$130,"&lt;"&amp;Diagram!$P35)))</f>
        <v>0</v>
      </c>
      <c r="DR35" s="42">
        <f ca="1">IF(OR($I$10="",$O35="",$P35="",$J$41&lt;&gt;"Yes"),0,IF($K$10=0,SUMIFS(INDIRECT(ADDRESS(12,3+18*0+(6),,,"J1 A - (North) Bishopthorpe Roa")&amp;":"&amp;ADDRESS(130,3+18*0+(6))),'J1 A - (North) Bishopthorpe Roa'!$A$12:$A$130,"&gt;="&amp;Diagram!$O35,'J1 A - (North) Bishopthorpe Roa'!$A$12:$A$130,"&lt;"&amp;Diagram!$P35),SUMIFS(INDIRECT(ADDRESS(12,3+18*0+(14),,,"J1 A - (North) Bishopthorpe Roa")&amp;":"&amp;ADDRESS(130,3+18*0+(14))),'J1 A - (North) Bishopthorpe Roa'!$A$12:$A$130,"&gt;="&amp;Diagram!$O35,'J1 A - (North) Bishopthorpe Roa'!$A$12:$A$130,"&lt;"&amp;Diagram!$P35)))</f>
        <v>0</v>
      </c>
      <c r="DS35" s="42">
        <f ca="1">IF(OR($I$10="",$O35="",$P35="",$J$41&lt;&gt;"Yes"),0,IF($K$10=0,SUMIFS(INDIRECT(ADDRESS(12,3+18*1+(6),,,"J1 A - (North) Bishopthorpe Roa")&amp;":"&amp;ADDRESS(130,3+18*1+(6))),'J1 A - (North) Bishopthorpe Roa'!$A$12:$A$130,"&gt;="&amp;Diagram!$O35,'J1 A - (North) Bishopthorpe Roa'!$A$12:$A$130,"&lt;"&amp;Diagram!$P35),SUMIFS(INDIRECT(ADDRESS(12,3+18*1+(14),,,"J1 A - (North) Bishopthorpe Roa")&amp;":"&amp;ADDRESS(130,3+18*1+(14))),'J1 A - (North) Bishopthorpe Roa'!$A$12:$A$130,"&gt;="&amp;Diagram!$O35,'J1 A - (North) Bishopthorpe Roa'!$A$12:$A$130,"&lt;"&amp;Diagram!$P35)))</f>
        <v>1</v>
      </c>
      <c r="DT35" s="42">
        <f ca="1">IF(OR($I$10="",$O35="",$P35="",$J$41&lt;&gt;"Yes"),0,IF($K$10=0,SUMIFS(INDIRECT(ADDRESS(12,3+18*2+(6),,,"J1 A - (North) Bishopthorpe Roa")&amp;":"&amp;ADDRESS(130,3+18*2+(6))),'J1 A - (North) Bishopthorpe Roa'!$A$12:$A$130,"&gt;="&amp;Diagram!$O35,'J1 A - (North) Bishopthorpe Roa'!$A$12:$A$130,"&lt;"&amp;Diagram!$P35),SUMIFS(INDIRECT(ADDRESS(12,3+18*2+(14),,,"J1 A - (North) Bishopthorpe Roa")&amp;":"&amp;ADDRESS(130,3+18*2+(14))),'J1 A - (North) Bishopthorpe Roa'!$A$12:$A$130,"&gt;="&amp;Diagram!$O35,'J1 A - (North) Bishopthorpe Roa'!$A$12:$A$130,"&lt;"&amp;Diagram!$P35)))</f>
        <v>0</v>
      </c>
      <c r="DU35" s="42">
        <f ca="1">IF(OR($I$10="",$O35="",$P35="",$J$41&lt;&gt;"Yes"),0,IF($K$10=0,SUMIFS(INDIRECT(ADDRESS(12,3+18*2+(6),,,"J1 B - Butcher Terrace")&amp;":"&amp;ADDRESS(130,3+18*2+(6))),'J1 B - Butcher Terrace'!$A$12:$A$130,"&gt;="&amp;Diagram!$O35,'J1 B - Butcher Terrace'!$A$12:$A$130,"&lt;"&amp;Diagram!$P35),SUMIFS(INDIRECT(ADDRESS(12,3+18*2+(14),,,"J1 B - Butcher Terrace")&amp;":"&amp;ADDRESS(130,3+18*2+(14))),'J1 B - Butcher Terrace'!$A$12:$A$130,"&gt;="&amp;Diagram!$O35,'J1 B - Butcher Terrace'!$A$12:$A$130,"&lt;"&amp;Diagram!$P35)))</f>
        <v>0</v>
      </c>
      <c r="DV35" s="42">
        <f ca="1">IF(OR($I$10="",$O35="",$P35="",$J$41&lt;&gt;"Yes"),0,IF($K$10=0,SUMIFS(INDIRECT(ADDRESS(12,3+18*3+(6),,,"J1 B - Butcher Terrace")&amp;":"&amp;ADDRESS(130,3+18*3+(6))),'J1 B - Butcher Terrace'!$A$12:$A$130,"&gt;="&amp;Diagram!$O35,'J1 B - Butcher Terrace'!$A$12:$A$130,"&lt;"&amp;Diagram!$P35),SUMIFS(INDIRECT(ADDRESS(12,3+18*3+(14),,,"J1 B - Butcher Terrace")&amp;":"&amp;ADDRESS(130,3+18*3+(14))),'J1 B - Butcher Terrace'!$A$12:$A$130,"&gt;="&amp;Diagram!$O35,'J1 B - Butcher Terrace'!$A$12:$A$130,"&lt;"&amp;Diagram!$P35)))</f>
        <v>0</v>
      </c>
      <c r="DW35" s="42">
        <f ca="1">IF(OR($I$10="",$O35="",$P35="",$J$41&lt;&gt;"Yes"),0,IF($K$10=0,SUMIFS(INDIRECT(ADDRESS(12,3+18*0+(6),,,"J1 B - Butcher Terrace")&amp;":"&amp;ADDRESS(130,3+18*0+(6))),'J1 B - Butcher Terrace'!$A$12:$A$130,"&gt;="&amp;Diagram!$O35,'J1 B - Butcher Terrace'!$A$12:$A$130,"&lt;"&amp;Diagram!$P35),SUMIFS(INDIRECT(ADDRESS(12,3+18*0+(14),,,"J1 B - Butcher Terrace")&amp;":"&amp;ADDRESS(130,3+18*0+(14))),'J1 B - Butcher Terrace'!$A$12:$A$130,"&gt;="&amp;Diagram!$O35,'J1 B - Butcher Terrace'!$A$12:$A$130,"&lt;"&amp;Diagram!$P35)))</f>
        <v>0</v>
      </c>
      <c r="DX35" s="42">
        <f ca="1">IF(OR($I$10="",$O35="",$P35="",$J$41&lt;&gt;"Yes"),0,IF($K$10=0,SUMIFS(INDIRECT(ADDRESS(12,3+18*1+(6),,,"J1 B - Butcher Terrace")&amp;":"&amp;ADDRESS(130,3+18*1+(6))),'J1 B - Butcher Terrace'!$A$12:$A$130,"&gt;="&amp;Diagram!$O35,'J1 B - Butcher Terrace'!$A$12:$A$130,"&lt;"&amp;Diagram!$P35),SUMIFS(INDIRECT(ADDRESS(12,3+18*1+(14),,,"J1 B - Butcher Terrace")&amp;":"&amp;ADDRESS(130,3+18*1+(14))),'J1 B - Butcher Terrace'!$A$12:$A$130,"&gt;="&amp;Diagram!$O35,'J1 B - Butcher Terrace'!$A$12:$A$130,"&lt;"&amp;Diagram!$P35)))</f>
        <v>0</v>
      </c>
      <c r="DY35" s="42">
        <f ca="1">IF(OR($I$10="",$O35="",$P35="",$J$41&lt;&gt;"Yes"),0,IF($K$10=0,SUMIFS(INDIRECT(ADDRESS(12,3+18*1+(6),,,"J1 C - (South) Bishopthorpe Roa")&amp;":"&amp;ADDRESS(130,3+18*1+(6))),'J1 C - (South) Bishopthorpe Roa'!$A$12:$A$130,"&gt;="&amp;Diagram!$O35,'J1 C - (South) Bishopthorpe Roa'!$A$12:$A$130,"&lt;"&amp;Diagram!$P35),SUMIFS(INDIRECT(ADDRESS(12,3+18*1+(14),,,"J1 C - (South) Bishopthorpe Roa")&amp;":"&amp;ADDRESS(130,3+18*1+(14))),'J1 C - (South) Bishopthorpe Roa'!$A$12:$A$130,"&gt;="&amp;Diagram!$O35,'J1 C - (South) Bishopthorpe Roa'!$A$12:$A$130,"&lt;"&amp;Diagram!$P35)))</f>
        <v>0</v>
      </c>
      <c r="DZ35" s="42">
        <f ca="1">IF(OR($I$10="",$O35="",$P35="",$J$41&lt;&gt;"Yes"),0,IF($K$10=0,SUMIFS(INDIRECT(ADDRESS(12,3+18*2+(6),,,"J1 C - (South) Bishopthorpe Roa")&amp;":"&amp;ADDRESS(130,3+18*2+(6))),'J1 C - (South) Bishopthorpe Roa'!$A$12:$A$130,"&gt;="&amp;Diagram!$O35,'J1 C - (South) Bishopthorpe Roa'!$A$12:$A$130,"&lt;"&amp;Diagram!$P35),SUMIFS(INDIRECT(ADDRESS(12,3+18*2+(14),,,"J1 C - (South) Bishopthorpe Roa")&amp;":"&amp;ADDRESS(130,3+18*2+(14))),'J1 C - (South) Bishopthorpe Roa'!$A$12:$A$130,"&gt;="&amp;Diagram!$O35,'J1 C - (South) Bishopthorpe Roa'!$A$12:$A$130,"&lt;"&amp;Diagram!$P35)))</f>
        <v>1</v>
      </c>
      <c r="EA35" s="42">
        <f ca="1">IF(OR($I$10="",$O35="",$P35="",$J$41&lt;&gt;"Yes"),0,IF($K$10=0,SUMIFS(INDIRECT(ADDRESS(12,3+18*3+(6),,,"J1 C - (South) Bishopthorpe Roa")&amp;":"&amp;ADDRESS(130,3+18*3+(6))),'J1 C - (South) Bishopthorpe Roa'!$A$12:$A$130,"&gt;="&amp;Diagram!$O35,'J1 C - (South) Bishopthorpe Roa'!$A$12:$A$130,"&lt;"&amp;Diagram!$P35),SUMIFS(INDIRECT(ADDRESS(12,3+18*3+(14),,,"J1 C - (South) Bishopthorpe Roa")&amp;":"&amp;ADDRESS(130,3+18*3+(14))),'J1 C - (South) Bishopthorpe Roa'!$A$12:$A$130,"&gt;="&amp;Diagram!$O35,'J1 C - (South) Bishopthorpe Roa'!$A$12:$A$130,"&lt;"&amp;Diagram!$P35)))</f>
        <v>0</v>
      </c>
      <c r="EB35" s="42">
        <f ca="1">IF(OR($I$10="",$O35="",$P35="",$J$41&lt;&gt;"Yes"),0,IF($K$10=0,SUMIFS(INDIRECT(ADDRESS(12,3+18*0+(6),,,"J1 C - (South) Bishopthorpe Roa")&amp;":"&amp;ADDRESS(130,3+18*0+(6))),'J1 C - (South) Bishopthorpe Roa'!$A$12:$A$130,"&gt;="&amp;Diagram!$O35,'J1 C - (South) Bishopthorpe Roa'!$A$12:$A$130,"&lt;"&amp;Diagram!$P35),SUMIFS(INDIRECT(ADDRESS(12,3+18*0+(14),,,"J1 C - (South) Bishopthorpe Roa")&amp;":"&amp;ADDRESS(130,3+18*0+(14))),'J1 C - (South) Bishopthorpe Roa'!$A$12:$A$130,"&gt;="&amp;Diagram!$O35,'J1 C - (South) Bishopthorpe Roa'!$A$12:$A$130,"&lt;"&amp;Diagram!$P35)))</f>
        <v>0</v>
      </c>
      <c r="EC35" s="42">
        <f ca="1">IF(OR($I$10="",$O35="",$P35="",$J$41&lt;&gt;"Yes"),0,IF($K$10=0,SUMIFS(INDIRECT(ADDRESS(12,3+18*0+(6),,,"J1 D - South Bank Avenue")&amp;":"&amp;ADDRESS(130,3+18*0+(6))),'J1 D - South Bank Avenue'!$A$12:$A$130,"&gt;="&amp;Diagram!$O35,'J1 D - South Bank Avenue'!$A$12:$A$130,"&lt;"&amp;Diagram!$P35),SUMIFS(INDIRECT(ADDRESS(12,3+18*0+(14),,,"J1 D - South Bank Avenue")&amp;":"&amp;ADDRESS(130,3+18*0+(14))),'J1 D - South Bank Avenue'!$A$12:$A$130,"&gt;="&amp;Diagram!$O35,'J1 D - South Bank Avenue'!$A$12:$A$130,"&lt;"&amp;Diagram!$P35)))</f>
        <v>0</v>
      </c>
      <c r="ED35" s="42">
        <f ca="1">IF(OR($I$10="",$O35="",$P35="",$J$41&lt;&gt;"Yes"),0,IF($K$10=0,SUMIFS(INDIRECT(ADDRESS(12,3+18*1+(6),,,"J1 D - South Bank Avenue")&amp;":"&amp;ADDRESS(130,3+18*1+(6))),'J1 D - South Bank Avenue'!$A$12:$A$130,"&gt;="&amp;Diagram!$O35,'J1 D - South Bank Avenue'!$A$12:$A$130,"&lt;"&amp;Diagram!$P35),SUMIFS(INDIRECT(ADDRESS(12,3+18*1+(14),,,"J1 D - South Bank Avenue")&amp;":"&amp;ADDRESS(130,3+18*1+(14))),'J1 D - South Bank Avenue'!$A$12:$A$130,"&gt;="&amp;Diagram!$O35,'J1 D - South Bank Avenue'!$A$12:$A$130,"&lt;"&amp;Diagram!$P35)))</f>
        <v>0</v>
      </c>
      <c r="EE35" s="42">
        <f ca="1">IF(OR($I$10="",$O35="",$P35="",$J$41&lt;&gt;"Yes"),0,IF($K$10=0,SUMIFS(INDIRECT(ADDRESS(12,3+18*2+(6),,,"J1 D - South Bank Avenue")&amp;":"&amp;ADDRESS(130,3+18*2+(6))),'J1 D - South Bank Avenue'!$A$12:$A$130,"&gt;="&amp;Diagram!$O35,'J1 D - South Bank Avenue'!$A$12:$A$130,"&lt;"&amp;Diagram!$P35),SUMIFS(INDIRECT(ADDRESS(12,3+18*2+(14),,,"J1 D - South Bank Avenue")&amp;":"&amp;ADDRESS(130,3+18*2+(14))),'J1 D - South Bank Avenue'!$A$12:$A$130,"&gt;="&amp;Diagram!$O35,'J1 D - South Bank Avenue'!$A$12:$A$130,"&lt;"&amp;Diagram!$P35)))</f>
        <v>0</v>
      </c>
      <c r="EF35" s="42">
        <f ca="1">IF(OR($I$10="",$O35="",$P35="",$J$41&lt;&gt;"Yes"),0,IF($K$10=0,SUMIFS(INDIRECT(ADDRESS(12,3+18*3+(6),,,"J1 D - South Bank Avenue")&amp;":"&amp;ADDRESS(130,3+18*3+(6))),'J1 D - South Bank Avenue'!$A$12:$A$130,"&gt;="&amp;Diagram!$O35,'J1 D - South Bank Avenue'!$A$12:$A$130,"&lt;"&amp;Diagram!$P35),SUMIFS(INDIRECT(ADDRESS(12,3+18*3+(14),,,"J1 D - South Bank Avenue")&amp;":"&amp;ADDRESS(130,3+18*3+(14))),'J1 D - South Bank Avenue'!$A$12:$A$130,"&gt;="&amp;Diagram!$O35,'J1 D - South Bank Avenue'!$A$12:$A$130,"&lt;"&amp;Diagram!$P35)))</f>
        <v>0</v>
      </c>
      <c r="EG35" s="42">
        <f t="shared" ca="1" si="8"/>
        <v>6</v>
      </c>
      <c r="EH35" s="42">
        <f ca="1">IF(OR($I$10="",$O35="",$P35="",$J$42&lt;&gt;"Yes"),0,IF($K$10=0,SUMIFS(INDIRECT(ADDRESS(12,3+18*3+(7),,,"J1 A - (North) Bishopthorpe Roa")&amp;":"&amp;ADDRESS(130,3+18*3+(7))),'J1 A - (North) Bishopthorpe Roa'!$A$12:$A$130,"&gt;="&amp;Diagram!$O35,'J1 A - (North) Bishopthorpe Roa'!$A$12:$A$130,"&lt;"&amp;Diagram!$P35),SUMIFS(INDIRECT(ADDRESS(12,3+18*3+(15),,,"J1 A - (North) Bishopthorpe Roa")&amp;":"&amp;ADDRESS(130,3+18*3+(15))),'J1 A - (North) Bishopthorpe Roa'!$A$12:$A$130,"&gt;="&amp;Diagram!$O35,'J1 A - (North) Bishopthorpe Roa'!$A$12:$A$130,"&lt;"&amp;Diagram!$P35)))</f>
        <v>0</v>
      </c>
      <c r="EI35" s="42">
        <f ca="1">IF(OR($I$10="",$O35="",$P35="",$J$42&lt;&gt;"Yes"),0,IF($K$10=0,SUMIFS(INDIRECT(ADDRESS(12,3+18*0+(7),,,"J1 A - (North) Bishopthorpe Roa")&amp;":"&amp;ADDRESS(130,3+18*0+(7))),'J1 A - (North) Bishopthorpe Roa'!$A$12:$A$130,"&gt;="&amp;Diagram!$O35,'J1 A - (North) Bishopthorpe Roa'!$A$12:$A$130,"&lt;"&amp;Diagram!$P35),SUMIFS(INDIRECT(ADDRESS(12,3+18*0+(15),,,"J1 A - (North) Bishopthorpe Roa")&amp;":"&amp;ADDRESS(130,3+18*0+(15))),'J1 A - (North) Bishopthorpe Roa'!$A$12:$A$130,"&gt;="&amp;Diagram!$O35,'J1 A - (North) Bishopthorpe Roa'!$A$12:$A$130,"&lt;"&amp;Diagram!$P35)))</f>
        <v>0</v>
      </c>
      <c r="EJ35" s="42">
        <f ca="1">IF(OR($I$10="",$O35="",$P35="",$J$42&lt;&gt;"Yes"),0,IF($K$10=0,SUMIFS(INDIRECT(ADDRESS(12,3+18*1+(7),,,"J1 A - (North) Bishopthorpe Roa")&amp;":"&amp;ADDRESS(130,3+18*1+(7))),'J1 A - (North) Bishopthorpe Roa'!$A$12:$A$130,"&gt;="&amp;Diagram!$O35,'J1 A - (North) Bishopthorpe Roa'!$A$12:$A$130,"&lt;"&amp;Diagram!$P35),SUMIFS(INDIRECT(ADDRESS(12,3+18*1+(15),,,"J1 A - (North) Bishopthorpe Roa")&amp;":"&amp;ADDRESS(130,3+18*1+(15))),'J1 A - (North) Bishopthorpe Roa'!$A$12:$A$130,"&gt;="&amp;Diagram!$O35,'J1 A - (North) Bishopthorpe Roa'!$A$12:$A$130,"&lt;"&amp;Diagram!$P35)))</f>
        <v>0</v>
      </c>
      <c r="EK35" s="42">
        <f ca="1">IF(OR($I$10="",$O35="",$P35="",$J$42&lt;&gt;"Yes"),0,IF($K$10=0,SUMIFS(INDIRECT(ADDRESS(12,3+18*2+(7),,,"J1 A - (North) Bishopthorpe Roa")&amp;":"&amp;ADDRESS(130,3+18*2+(7))),'J1 A - (North) Bishopthorpe Roa'!$A$12:$A$130,"&gt;="&amp;Diagram!$O35,'J1 A - (North) Bishopthorpe Roa'!$A$12:$A$130,"&lt;"&amp;Diagram!$P35),SUMIFS(INDIRECT(ADDRESS(12,3+18*2+(15),,,"J1 A - (North) Bishopthorpe Roa")&amp;":"&amp;ADDRESS(130,3+18*2+(15))),'J1 A - (North) Bishopthorpe Roa'!$A$12:$A$130,"&gt;="&amp;Diagram!$O35,'J1 A - (North) Bishopthorpe Roa'!$A$12:$A$130,"&lt;"&amp;Diagram!$P35)))</f>
        <v>0</v>
      </c>
      <c r="EL35" s="42">
        <f ca="1">IF(OR($I$10="",$O35="",$P35="",$J$42&lt;&gt;"Yes"),0,IF($K$10=0,SUMIFS(INDIRECT(ADDRESS(12,3+18*2+(7),,,"J1 B - Butcher Terrace")&amp;":"&amp;ADDRESS(130,3+18*2+(7))),'J1 B - Butcher Terrace'!$A$12:$A$130,"&gt;="&amp;Diagram!$O35,'J1 B - Butcher Terrace'!$A$12:$A$130,"&lt;"&amp;Diagram!$P35),SUMIFS(INDIRECT(ADDRESS(12,3+18*2+(15),,,"J1 B - Butcher Terrace")&amp;":"&amp;ADDRESS(130,3+18*2+(15))),'J1 B - Butcher Terrace'!$A$12:$A$130,"&gt;="&amp;Diagram!$O35,'J1 B - Butcher Terrace'!$A$12:$A$130,"&lt;"&amp;Diagram!$P35)))</f>
        <v>4</v>
      </c>
      <c r="EM35" s="42">
        <f ca="1">IF(OR($I$10="",$O35="",$P35="",$J$42&lt;&gt;"Yes"),0,IF($K$10=0,SUMIFS(INDIRECT(ADDRESS(12,3+18*3+(7),,,"J1 B - Butcher Terrace")&amp;":"&amp;ADDRESS(130,3+18*3+(7))),'J1 B - Butcher Terrace'!$A$12:$A$130,"&gt;="&amp;Diagram!$O35,'J1 B - Butcher Terrace'!$A$12:$A$130,"&lt;"&amp;Diagram!$P35),SUMIFS(INDIRECT(ADDRESS(12,3+18*3+(15),,,"J1 B - Butcher Terrace")&amp;":"&amp;ADDRESS(130,3+18*3+(15))),'J1 B - Butcher Terrace'!$A$12:$A$130,"&gt;="&amp;Diagram!$O35,'J1 B - Butcher Terrace'!$A$12:$A$130,"&lt;"&amp;Diagram!$P35)))</f>
        <v>0</v>
      </c>
      <c r="EN35" s="42">
        <f ca="1">IF(OR($I$10="",$O35="",$P35="",$J$42&lt;&gt;"Yes"),0,IF($K$10=0,SUMIFS(INDIRECT(ADDRESS(12,3+18*0+(7),,,"J1 B - Butcher Terrace")&amp;":"&amp;ADDRESS(130,3+18*0+(7))),'J1 B - Butcher Terrace'!$A$12:$A$130,"&gt;="&amp;Diagram!$O35,'J1 B - Butcher Terrace'!$A$12:$A$130,"&lt;"&amp;Diagram!$P35),SUMIFS(INDIRECT(ADDRESS(12,3+18*0+(15),,,"J1 B - Butcher Terrace")&amp;":"&amp;ADDRESS(130,3+18*0+(15))),'J1 B - Butcher Terrace'!$A$12:$A$130,"&gt;="&amp;Diagram!$O35,'J1 B - Butcher Terrace'!$A$12:$A$130,"&lt;"&amp;Diagram!$P35)))</f>
        <v>2</v>
      </c>
      <c r="EO35" s="42">
        <f ca="1">IF(OR($I$10="",$O35="",$P35="",$J$42&lt;&gt;"Yes"),0,IF($K$10=0,SUMIFS(INDIRECT(ADDRESS(12,3+18*1+(7),,,"J1 B - Butcher Terrace")&amp;":"&amp;ADDRESS(130,3+18*1+(7))),'J1 B - Butcher Terrace'!$A$12:$A$130,"&gt;="&amp;Diagram!$O35,'J1 B - Butcher Terrace'!$A$12:$A$130,"&lt;"&amp;Diagram!$P35),SUMIFS(INDIRECT(ADDRESS(12,3+18*1+(15),,,"J1 B - Butcher Terrace")&amp;":"&amp;ADDRESS(130,3+18*1+(15))),'J1 B - Butcher Terrace'!$A$12:$A$130,"&gt;="&amp;Diagram!$O35,'J1 B - Butcher Terrace'!$A$12:$A$130,"&lt;"&amp;Diagram!$P35)))</f>
        <v>0</v>
      </c>
      <c r="EP35" s="42">
        <f ca="1">IF(OR($I$10="",$O35="",$P35="",$J$42&lt;&gt;"Yes"),0,IF($K$10=0,SUMIFS(INDIRECT(ADDRESS(12,3+18*1+(7),,,"J1 C - (South) Bishopthorpe Roa")&amp;":"&amp;ADDRESS(130,3+18*1+(7))),'J1 C - (South) Bishopthorpe Roa'!$A$12:$A$130,"&gt;="&amp;Diagram!$O35,'J1 C - (South) Bishopthorpe Roa'!$A$12:$A$130,"&lt;"&amp;Diagram!$P35),SUMIFS(INDIRECT(ADDRESS(12,3+18*1+(15),,,"J1 C - (South) Bishopthorpe Roa")&amp;":"&amp;ADDRESS(130,3+18*1+(15))),'J1 C - (South) Bishopthorpe Roa'!$A$12:$A$130,"&gt;="&amp;Diagram!$O35,'J1 C - (South) Bishopthorpe Roa'!$A$12:$A$130,"&lt;"&amp;Diagram!$P35)))</f>
        <v>0</v>
      </c>
      <c r="EQ35" s="42">
        <f ca="1">IF(OR($I$10="",$O35="",$P35="",$J$42&lt;&gt;"Yes"),0,IF($K$10=0,SUMIFS(INDIRECT(ADDRESS(12,3+18*2+(7),,,"J1 C - (South) Bishopthorpe Roa")&amp;":"&amp;ADDRESS(130,3+18*2+(7))),'J1 C - (South) Bishopthorpe Roa'!$A$12:$A$130,"&gt;="&amp;Diagram!$O35,'J1 C - (South) Bishopthorpe Roa'!$A$12:$A$130,"&lt;"&amp;Diagram!$P35),SUMIFS(INDIRECT(ADDRESS(12,3+18*2+(15),,,"J1 C - (South) Bishopthorpe Roa")&amp;":"&amp;ADDRESS(130,3+18*2+(15))),'J1 C - (South) Bishopthorpe Roa'!$A$12:$A$130,"&gt;="&amp;Diagram!$O35,'J1 C - (South) Bishopthorpe Roa'!$A$12:$A$130,"&lt;"&amp;Diagram!$P35)))</f>
        <v>0</v>
      </c>
      <c r="ER35" s="42">
        <f ca="1">IF(OR($I$10="",$O35="",$P35="",$J$42&lt;&gt;"Yes"),0,IF($K$10=0,SUMIFS(INDIRECT(ADDRESS(12,3+18*3+(7),,,"J1 C - (South) Bishopthorpe Roa")&amp;":"&amp;ADDRESS(130,3+18*3+(7))),'J1 C - (South) Bishopthorpe Roa'!$A$12:$A$130,"&gt;="&amp;Diagram!$O35,'J1 C - (South) Bishopthorpe Roa'!$A$12:$A$130,"&lt;"&amp;Diagram!$P35),SUMIFS(INDIRECT(ADDRESS(12,3+18*3+(15),,,"J1 C - (South) Bishopthorpe Roa")&amp;":"&amp;ADDRESS(130,3+18*3+(15))),'J1 C - (South) Bishopthorpe Roa'!$A$12:$A$130,"&gt;="&amp;Diagram!$O35,'J1 C - (South) Bishopthorpe Roa'!$A$12:$A$130,"&lt;"&amp;Diagram!$P35)))</f>
        <v>0</v>
      </c>
      <c r="ES35" s="42">
        <f ca="1">IF(OR($I$10="",$O35="",$P35="",$J$42&lt;&gt;"Yes"),0,IF($K$10=0,SUMIFS(INDIRECT(ADDRESS(12,3+18*0+(7),,,"J1 C - (South) Bishopthorpe Roa")&amp;":"&amp;ADDRESS(130,3+18*0+(7))),'J1 C - (South) Bishopthorpe Roa'!$A$12:$A$130,"&gt;="&amp;Diagram!$O35,'J1 C - (South) Bishopthorpe Roa'!$A$12:$A$130,"&lt;"&amp;Diagram!$P35),SUMIFS(INDIRECT(ADDRESS(12,3+18*0+(15),,,"J1 C - (South) Bishopthorpe Roa")&amp;":"&amp;ADDRESS(130,3+18*0+(15))),'J1 C - (South) Bishopthorpe Roa'!$A$12:$A$130,"&gt;="&amp;Diagram!$O35,'J1 C - (South) Bishopthorpe Roa'!$A$12:$A$130,"&lt;"&amp;Diagram!$P35)))</f>
        <v>0</v>
      </c>
      <c r="ET35" s="42">
        <f ca="1">IF(OR($I$10="",$O35="",$P35="",$J$42&lt;&gt;"Yes"),0,IF($K$10=0,SUMIFS(INDIRECT(ADDRESS(12,3+18*0+(7),,,"J1 D - South Bank Avenue")&amp;":"&amp;ADDRESS(130,3+18*0+(7))),'J1 D - South Bank Avenue'!$A$12:$A$130,"&gt;="&amp;Diagram!$O35,'J1 D - South Bank Avenue'!$A$12:$A$130,"&lt;"&amp;Diagram!$P35),SUMIFS(INDIRECT(ADDRESS(12,3+18*0+(15),,,"J1 D - South Bank Avenue")&amp;":"&amp;ADDRESS(130,3+18*0+(15))),'J1 D - South Bank Avenue'!$A$12:$A$130,"&gt;="&amp;Diagram!$O35,'J1 D - South Bank Avenue'!$A$12:$A$130,"&lt;"&amp;Diagram!$P35)))</f>
        <v>0</v>
      </c>
      <c r="EU35" s="42">
        <f ca="1">IF(OR($I$10="",$O35="",$P35="",$J$42&lt;&gt;"Yes"),0,IF($K$10=0,SUMIFS(INDIRECT(ADDRESS(12,3+18*1+(7),,,"J1 D - South Bank Avenue")&amp;":"&amp;ADDRESS(130,3+18*1+(7))),'J1 D - South Bank Avenue'!$A$12:$A$130,"&gt;="&amp;Diagram!$O35,'J1 D - South Bank Avenue'!$A$12:$A$130,"&lt;"&amp;Diagram!$P35),SUMIFS(INDIRECT(ADDRESS(12,3+18*1+(15),,,"J1 D - South Bank Avenue")&amp;":"&amp;ADDRESS(130,3+18*1+(15))),'J1 D - South Bank Avenue'!$A$12:$A$130,"&gt;="&amp;Diagram!$O35,'J1 D - South Bank Avenue'!$A$12:$A$130,"&lt;"&amp;Diagram!$P35)))</f>
        <v>0</v>
      </c>
      <c r="EV35" s="42">
        <f ca="1">IF(OR($I$10="",$O35="",$P35="",$J$42&lt;&gt;"Yes"),0,IF($K$10=0,SUMIFS(INDIRECT(ADDRESS(12,3+18*2+(7),,,"J1 D - South Bank Avenue")&amp;":"&amp;ADDRESS(130,3+18*2+(7))),'J1 D - South Bank Avenue'!$A$12:$A$130,"&gt;="&amp;Diagram!$O35,'J1 D - South Bank Avenue'!$A$12:$A$130,"&lt;"&amp;Diagram!$P35),SUMIFS(INDIRECT(ADDRESS(12,3+18*2+(15),,,"J1 D - South Bank Avenue")&amp;":"&amp;ADDRESS(130,3+18*2+(15))),'J1 D - South Bank Avenue'!$A$12:$A$130,"&gt;="&amp;Diagram!$O35,'J1 D - South Bank Avenue'!$A$12:$A$130,"&lt;"&amp;Diagram!$P35)))</f>
        <v>0</v>
      </c>
      <c r="EW35" s="42">
        <f ca="1">IF(OR($I$10="",$O35="",$P35="",$J$42&lt;&gt;"Yes"),0,IF($K$10=0,SUMIFS(INDIRECT(ADDRESS(12,3+18*3+(7),,,"J1 D - South Bank Avenue")&amp;":"&amp;ADDRESS(130,3+18*3+(7))),'J1 D - South Bank Avenue'!$A$12:$A$130,"&gt;="&amp;Diagram!$O35,'J1 D - South Bank Avenue'!$A$12:$A$130,"&lt;"&amp;Diagram!$P35),SUMIFS(INDIRECT(ADDRESS(12,3+18*3+(15),,,"J1 D - South Bank Avenue")&amp;":"&amp;ADDRESS(130,3+18*3+(15))),'J1 D - South Bank Avenue'!$A$12:$A$130,"&gt;="&amp;Diagram!$O35,'J1 D - South Bank Avenue'!$A$12:$A$130,"&lt;"&amp;Diagram!$P35)))</f>
        <v>0</v>
      </c>
    </row>
    <row r="36" spans="1:153" ht="21" customHeight="1">
      <c r="A36" s="1">
        <v>44395.364583333299</v>
      </c>
      <c r="B36" s="1">
        <v>44395.375</v>
      </c>
      <c r="I36" s="38" t="s">
        <v>13</v>
      </c>
      <c r="J36" s="39" t="s">
        <v>166</v>
      </c>
      <c r="K36" s="13">
        <v>1</v>
      </c>
      <c r="O36" s="3">
        <v>44395.364583333299</v>
      </c>
      <c r="P36" s="3">
        <v>44395.40625</v>
      </c>
      <c r="Q36" s="42">
        <f t="shared" ca="1" si="0"/>
        <v>709</v>
      </c>
      <c r="R36" s="42">
        <f t="shared" ca="1" si="1"/>
        <v>497</v>
      </c>
      <c r="S36" s="42">
        <f ca="1">IF(OR($I$10="",$O36="",$P36="",$J$35&lt;&gt;"Yes"),0,IF($K$10=0,SUMIFS(INDIRECT(ADDRESS(12,3+18*3+(0),,,"J1 A - (North) Bishopthorpe Roa")&amp;":"&amp;ADDRESS(130,3+18*3+(0))),'J1 A - (North) Bishopthorpe Roa'!$A$12:$A$130,"&gt;="&amp;Diagram!$O36,'J1 A - (North) Bishopthorpe Roa'!$A$12:$A$130,"&lt;"&amp;Diagram!$P36),SUMIFS(INDIRECT(ADDRESS(12,3+18*3+(8),,,"J1 A - (North) Bishopthorpe Roa")&amp;":"&amp;ADDRESS(130,3+18*3+(8))),'J1 A - (North) Bishopthorpe Roa'!$A$12:$A$130,"&gt;="&amp;Diagram!$O36,'J1 A - (North) Bishopthorpe Roa'!$A$12:$A$130,"&lt;"&amp;Diagram!$P36)))</f>
        <v>1</v>
      </c>
      <c r="T36" s="42">
        <f ca="1">IF(OR($I$10="",$O36="",$P36="",$J$35&lt;&gt;"Yes"),0,IF($K$10=0,SUMIFS(INDIRECT(ADDRESS(12,3+18*0+(0),,,"J1 A - (North) Bishopthorpe Roa")&amp;":"&amp;ADDRESS(130,3+18*0+(0))),'J1 A - (North) Bishopthorpe Roa'!$A$12:$A$130,"&gt;="&amp;Diagram!$O36,'J1 A - (North) Bishopthorpe Roa'!$A$12:$A$130,"&lt;"&amp;Diagram!$P36),SUMIFS(INDIRECT(ADDRESS(12,3+18*0+(8),,,"J1 A - (North) Bishopthorpe Roa")&amp;":"&amp;ADDRESS(130,3+18*0+(8))),'J1 A - (North) Bishopthorpe Roa'!$A$12:$A$130,"&gt;="&amp;Diagram!$O36,'J1 A - (North) Bishopthorpe Roa'!$A$12:$A$130,"&lt;"&amp;Diagram!$P36)))</f>
        <v>5</v>
      </c>
      <c r="U36" s="42">
        <f ca="1">IF(OR($I$10="",$O36="",$P36="",$J$35&lt;&gt;"Yes"),0,IF($K$10=0,SUMIFS(INDIRECT(ADDRESS(12,3+18*1+(0),,,"J1 A - (North) Bishopthorpe Roa")&amp;":"&amp;ADDRESS(130,3+18*1+(0))),'J1 A - (North) Bishopthorpe Roa'!$A$12:$A$130,"&gt;="&amp;Diagram!$O36,'J1 A - (North) Bishopthorpe Roa'!$A$12:$A$130,"&lt;"&amp;Diagram!$P36),SUMIFS(INDIRECT(ADDRESS(12,3+18*1+(8),,,"J1 A - (North) Bishopthorpe Roa")&amp;":"&amp;ADDRESS(130,3+18*1+(8))),'J1 A - (North) Bishopthorpe Roa'!$A$12:$A$130,"&gt;="&amp;Diagram!$O36,'J1 A - (North) Bishopthorpe Roa'!$A$12:$A$130,"&lt;"&amp;Diagram!$P36)))</f>
        <v>187</v>
      </c>
      <c r="V36" s="42">
        <f ca="1">IF(OR($I$10="",$O36="",$P36="",$J$35&lt;&gt;"Yes"),0,IF($K$10=0,SUMIFS(INDIRECT(ADDRESS(12,3+18*2+(0),,,"J1 A - (North) Bishopthorpe Roa")&amp;":"&amp;ADDRESS(130,3+18*2+(0))),'J1 A - (North) Bishopthorpe Roa'!$A$12:$A$130,"&gt;="&amp;Diagram!$O36,'J1 A - (North) Bishopthorpe Roa'!$A$12:$A$130,"&lt;"&amp;Diagram!$P36),SUMIFS(INDIRECT(ADDRESS(12,3+18*2+(8),,,"J1 A - (North) Bishopthorpe Roa")&amp;":"&amp;ADDRESS(130,3+18*2+(8))),'J1 A - (North) Bishopthorpe Roa'!$A$12:$A$130,"&gt;="&amp;Diagram!$O36,'J1 A - (North) Bishopthorpe Roa'!$A$12:$A$130,"&lt;"&amp;Diagram!$P36)))</f>
        <v>15</v>
      </c>
      <c r="W36" s="42">
        <f ca="1">IF(OR($I$10="",$O36="",$P36="",$J$35&lt;&gt;"Yes"),0,IF($K$10=0,SUMIFS(INDIRECT(ADDRESS(12,3+18*2+(0),,,"J1 B - Butcher Terrace")&amp;":"&amp;ADDRESS(130,3+18*2+(0))),'J1 B - Butcher Terrace'!$A$12:$A$130,"&gt;="&amp;Diagram!$O36,'J1 B - Butcher Terrace'!$A$12:$A$130,"&lt;"&amp;Diagram!$P36),SUMIFS(INDIRECT(ADDRESS(12,3+18*2+(8),,,"J1 B - Butcher Terrace")&amp;":"&amp;ADDRESS(130,3+18*2+(8))),'J1 B - Butcher Terrace'!$A$12:$A$130,"&gt;="&amp;Diagram!$O36,'J1 B - Butcher Terrace'!$A$12:$A$130,"&lt;"&amp;Diagram!$P36)))</f>
        <v>14</v>
      </c>
      <c r="X36" s="42">
        <f ca="1">IF(OR($I$10="",$O36="",$P36="",$J$35&lt;&gt;"Yes"),0,IF($K$10=0,SUMIFS(INDIRECT(ADDRESS(12,3+18*3+(0),,,"J1 B - Butcher Terrace")&amp;":"&amp;ADDRESS(130,3+18*3+(0))),'J1 B - Butcher Terrace'!$A$12:$A$130,"&gt;="&amp;Diagram!$O36,'J1 B - Butcher Terrace'!$A$12:$A$130,"&lt;"&amp;Diagram!$P36),SUMIFS(INDIRECT(ADDRESS(12,3+18*3+(8),,,"J1 B - Butcher Terrace")&amp;":"&amp;ADDRESS(130,3+18*3+(8))),'J1 B - Butcher Terrace'!$A$12:$A$130,"&gt;="&amp;Diagram!$O36,'J1 B - Butcher Terrace'!$A$12:$A$130,"&lt;"&amp;Diagram!$P36)))</f>
        <v>0</v>
      </c>
      <c r="Y36" s="42">
        <f ca="1">IF(OR($I$10="",$O36="",$P36="",$J$35&lt;&gt;"Yes"),0,IF($K$10=0,SUMIFS(INDIRECT(ADDRESS(12,3+18*0+(0),,,"J1 B - Butcher Terrace")&amp;":"&amp;ADDRESS(130,3+18*0+(0))),'J1 B - Butcher Terrace'!$A$12:$A$130,"&gt;="&amp;Diagram!$O36,'J1 B - Butcher Terrace'!$A$12:$A$130,"&lt;"&amp;Diagram!$P36),SUMIFS(INDIRECT(ADDRESS(12,3+18*0+(8),,,"J1 B - Butcher Terrace")&amp;":"&amp;ADDRESS(130,3+18*0+(8))),'J1 B - Butcher Terrace'!$A$12:$A$130,"&gt;="&amp;Diagram!$O36,'J1 B - Butcher Terrace'!$A$12:$A$130,"&lt;"&amp;Diagram!$P36)))</f>
        <v>4</v>
      </c>
      <c r="Z36" s="42">
        <f ca="1">IF(OR($I$10="",$O36="",$P36="",$J$35&lt;&gt;"Yes"),0,IF($K$10=0,SUMIFS(INDIRECT(ADDRESS(12,3+18*1+(0),,,"J1 B - Butcher Terrace")&amp;":"&amp;ADDRESS(130,3+18*1+(0))),'J1 B - Butcher Terrace'!$A$12:$A$130,"&gt;="&amp;Diagram!$O36,'J1 B - Butcher Terrace'!$A$12:$A$130,"&lt;"&amp;Diagram!$P36),SUMIFS(INDIRECT(ADDRESS(12,3+18*1+(8),,,"J1 B - Butcher Terrace")&amp;":"&amp;ADDRESS(130,3+18*1+(8))),'J1 B - Butcher Terrace'!$A$12:$A$130,"&gt;="&amp;Diagram!$O36,'J1 B - Butcher Terrace'!$A$12:$A$130,"&lt;"&amp;Diagram!$P36)))</f>
        <v>0</v>
      </c>
      <c r="AA36" s="42">
        <f ca="1">IF(OR($I$10="",$O36="",$P36="",$J$35&lt;&gt;"Yes"),0,IF($K$10=0,SUMIFS(INDIRECT(ADDRESS(12,3+18*1+(0),,,"J1 C - (South) Bishopthorpe Roa")&amp;":"&amp;ADDRESS(130,3+18*1+(0))),'J1 C - (South) Bishopthorpe Roa'!$A$12:$A$130,"&gt;="&amp;Diagram!$O36,'J1 C - (South) Bishopthorpe Roa'!$A$12:$A$130,"&lt;"&amp;Diagram!$P36),SUMIFS(INDIRECT(ADDRESS(12,3+18*1+(8),,,"J1 C - (South) Bishopthorpe Roa")&amp;":"&amp;ADDRESS(130,3+18*1+(8))),'J1 C - (South) Bishopthorpe Roa'!$A$12:$A$130,"&gt;="&amp;Diagram!$O36,'J1 C - (South) Bishopthorpe Roa'!$A$12:$A$130,"&lt;"&amp;Diagram!$P36)))</f>
        <v>221</v>
      </c>
      <c r="AB36" s="42">
        <f ca="1">IF(OR($I$10="",$O36="",$P36="",$J$35&lt;&gt;"Yes"),0,IF($K$10=0,SUMIFS(INDIRECT(ADDRESS(12,3+18*2+(0),,,"J1 C - (South) Bishopthorpe Roa")&amp;":"&amp;ADDRESS(130,3+18*2+(0))),'J1 C - (South) Bishopthorpe Roa'!$A$12:$A$130,"&gt;="&amp;Diagram!$O36,'J1 C - (South) Bishopthorpe Roa'!$A$12:$A$130,"&lt;"&amp;Diagram!$P36),SUMIFS(INDIRECT(ADDRESS(12,3+18*2+(8),,,"J1 C - (South) Bishopthorpe Roa")&amp;":"&amp;ADDRESS(130,3+18*2+(8))),'J1 C - (South) Bishopthorpe Roa'!$A$12:$A$130,"&gt;="&amp;Diagram!$O36,'J1 C - (South) Bishopthorpe Roa'!$A$12:$A$130,"&lt;"&amp;Diagram!$P36)))</f>
        <v>1</v>
      </c>
      <c r="AC36" s="42">
        <f ca="1">IF(OR($I$10="",$O36="",$P36="",$J$35&lt;&gt;"Yes"),0,IF($K$10=0,SUMIFS(INDIRECT(ADDRESS(12,3+18*3+(0),,,"J1 C - (South) Bishopthorpe Roa")&amp;":"&amp;ADDRESS(130,3+18*3+(0))),'J1 C - (South) Bishopthorpe Roa'!$A$12:$A$130,"&gt;="&amp;Diagram!$O36,'J1 C - (South) Bishopthorpe Roa'!$A$12:$A$130,"&lt;"&amp;Diagram!$P36),SUMIFS(INDIRECT(ADDRESS(12,3+18*3+(8),,,"J1 C - (South) Bishopthorpe Roa")&amp;":"&amp;ADDRESS(130,3+18*3+(8))),'J1 C - (South) Bishopthorpe Roa'!$A$12:$A$130,"&gt;="&amp;Diagram!$O36,'J1 C - (South) Bishopthorpe Roa'!$A$12:$A$130,"&lt;"&amp;Diagram!$P36)))</f>
        <v>0</v>
      </c>
      <c r="AD36" s="42">
        <f ca="1">IF(OR($I$10="",$O36="",$P36="",$J$35&lt;&gt;"Yes"),0,IF($K$10=0,SUMIFS(INDIRECT(ADDRESS(12,3+18*0+(0),,,"J1 C - (South) Bishopthorpe Roa")&amp;":"&amp;ADDRESS(130,3+18*0+(0))),'J1 C - (South) Bishopthorpe Roa'!$A$12:$A$130,"&gt;="&amp;Diagram!$O36,'J1 C - (South) Bishopthorpe Roa'!$A$12:$A$130,"&lt;"&amp;Diagram!$P36),SUMIFS(INDIRECT(ADDRESS(12,3+18*0+(8),,,"J1 C - (South) Bishopthorpe Roa")&amp;":"&amp;ADDRESS(130,3+18*0+(8))),'J1 C - (South) Bishopthorpe Roa'!$A$12:$A$130,"&gt;="&amp;Diagram!$O36,'J1 C - (South) Bishopthorpe Roa'!$A$12:$A$130,"&lt;"&amp;Diagram!$P36)))</f>
        <v>5</v>
      </c>
      <c r="AE36" s="42">
        <f ca="1">IF(OR($I$10="",$O36="",$P36="",$J$35&lt;&gt;"Yes"),0,IF($K$10=0,SUMIFS(INDIRECT(ADDRESS(12,3+18*0+(0),,,"J1 D - South Bank Avenue")&amp;":"&amp;ADDRESS(130,3+18*0+(0))),'J1 D - South Bank Avenue'!$A$12:$A$130,"&gt;="&amp;Diagram!$O36,'J1 D - South Bank Avenue'!$A$12:$A$130,"&lt;"&amp;Diagram!$P36),SUMIFS(INDIRECT(ADDRESS(12,3+18*0+(8),,,"J1 D - South Bank Avenue")&amp;":"&amp;ADDRESS(130,3+18*0+(8))),'J1 D - South Bank Avenue'!$A$12:$A$130,"&gt;="&amp;Diagram!$O36,'J1 D - South Bank Avenue'!$A$12:$A$130,"&lt;"&amp;Diagram!$P36)))</f>
        <v>38</v>
      </c>
      <c r="AF36" s="42">
        <f ca="1">IF(OR($I$10="",$O36="",$P36="",$J$35&lt;&gt;"Yes"),0,IF($K$10=0,SUMIFS(INDIRECT(ADDRESS(12,3+18*1+(0),,,"J1 D - South Bank Avenue")&amp;":"&amp;ADDRESS(130,3+18*1+(0))),'J1 D - South Bank Avenue'!$A$12:$A$130,"&gt;="&amp;Diagram!$O36,'J1 D - South Bank Avenue'!$A$12:$A$130,"&lt;"&amp;Diagram!$P36),SUMIFS(INDIRECT(ADDRESS(12,3+18*1+(8),,,"J1 D - South Bank Avenue")&amp;":"&amp;ADDRESS(130,3+18*1+(8))),'J1 D - South Bank Avenue'!$A$12:$A$130,"&gt;="&amp;Diagram!$O36,'J1 D - South Bank Avenue'!$A$12:$A$130,"&lt;"&amp;Diagram!$P36)))</f>
        <v>0</v>
      </c>
      <c r="AG36" s="42">
        <f ca="1">IF(OR($I$10="",$O36="",$P36="",$J$35&lt;&gt;"Yes"),0,IF($K$10=0,SUMIFS(INDIRECT(ADDRESS(12,3+18*2+(0),,,"J1 D - South Bank Avenue")&amp;":"&amp;ADDRESS(130,3+18*2+(0))),'J1 D - South Bank Avenue'!$A$12:$A$130,"&gt;="&amp;Diagram!$O36,'J1 D - South Bank Avenue'!$A$12:$A$130,"&lt;"&amp;Diagram!$P36),SUMIFS(INDIRECT(ADDRESS(12,3+18*2+(8),,,"J1 D - South Bank Avenue")&amp;":"&amp;ADDRESS(130,3+18*2+(8))),'J1 D - South Bank Avenue'!$A$12:$A$130,"&gt;="&amp;Diagram!$O36,'J1 D - South Bank Avenue'!$A$12:$A$130,"&lt;"&amp;Diagram!$P36)))</f>
        <v>6</v>
      </c>
      <c r="AH36" s="42">
        <f ca="1">IF(OR($I$10="",$O36="",$P36="",$J$35&lt;&gt;"Yes"),0,IF($K$10=0,SUMIFS(INDIRECT(ADDRESS(12,3+18*3+(0),,,"J1 D - South Bank Avenue")&amp;":"&amp;ADDRESS(130,3+18*3+(0))),'J1 D - South Bank Avenue'!$A$12:$A$130,"&gt;="&amp;Diagram!$O36,'J1 D - South Bank Avenue'!$A$12:$A$130,"&lt;"&amp;Diagram!$P36),SUMIFS(INDIRECT(ADDRESS(12,3+18*3+(8),,,"J1 D - South Bank Avenue")&amp;":"&amp;ADDRESS(130,3+18*3+(8))),'J1 D - South Bank Avenue'!$A$12:$A$130,"&gt;="&amp;Diagram!$O36,'J1 D - South Bank Avenue'!$A$12:$A$130,"&lt;"&amp;Diagram!$P36)))</f>
        <v>0</v>
      </c>
      <c r="AI36" s="42">
        <f t="shared" ca="1" si="2"/>
        <v>87</v>
      </c>
      <c r="AJ36" s="42">
        <f ca="1">IF(OR($I$10="",$O36="",$P36="",$J$36&lt;&gt;"Yes"),0,IF($K$10=0,SUMIFS(INDIRECT(ADDRESS(12,3+18*3+(1),,,"J1 A - (North) Bishopthorpe Roa")&amp;":"&amp;ADDRESS(130,3+18*3+(1))),'J1 A - (North) Bishopthorpe Roa'!$A$12:$A$130,"&gt;="&amp;Diagram!$O36,'J1 A - (North) Bishopthorpe Roa'!$A$12:$A$130,"&lt;"&amp;Diagram!$P36),SUMIFS(INDIRECT(ADDRESS(12,3+18*3+(9),,,"J1 A - (North) Bishopthorpe Roa")&amp;":"&amp;ADDRESS(130,3+18*3+(9))),'J1 A - (North) Bishopthorpe Roa'!$A$12:$A$130,"&gt;="&amp;Diagram!$O36,'J1 A - (North) Bishopthorpe Roa'!$A$12:$A$130,"&lt;"&amp;Diagram!$P36)))</f>
        <v>0</v>
      </c>
      <c r="AK36" s="42">
        <f ca="1">IF(OR($I$10="",$O36="",$P36="",$J$36&lt;&gt;"Yes"),0,IF($K$10=0,SUMIFS(INDIRECT(ADDRESS(12,3+18*0+(1),,,"J1 A - (North) Bishopthorpe Roa")&amp;":"&amp;ADDRESS(130,3+18*0+(1))),'J1 A - (North) Bishopthorpe Roa'!$A$12:$A$130,"&gt;="&amp;Diagram!$O36,'J1 A - (North) Bishopthorpe Roa'!$A$12:$A$130,"&lt;"&amp;Diagram!$P36),SUMIFS(INDIRECT(ADDRESS(12,3+18*0+(9),,,"J1 A - (North) Bishopthorpe Roa")&amp;":"&amp;ADDRESS(130,3+18*0+(9))),'J1 A - (North) Bishopthorpe Roa'!$A$12:$A$130,"&gt;="&amp;Diagram!$O36,'J1 A - (North) Bishopthorpe Roa'!$A$12:$A$130,"&lt;"&amp;Diagram!$P36)))</f>
        <v>4</v>
      </c>
      <c r="AL36" s="42">
        <f ca="1">IF(OR($I$10="",$O36="",$P36="",$J$36&lt;&gt;"Yes"),0,IF($K$10=0,SUMIFS(INDIRECT(ADDRESS(12,3+18*1+(1),,,"J1 A - (North) Bishopthorpe Roa")&amp;":"&amp;ADDRESS(130,3+18*1+(1))),'J1 A - (North) Bishopthorpe Roa'!$A$12:$A$130,"&gt;="&amp;Diagram!$O36,'J1 A - (North) Bishopthorpe Roa'!$A$12:$A$130,"&lt;"&amp;Diagram!$P36),SUMIFS(INDIRECT(ADDRESS(12,3+18*1+(9),,,"J1 A - (North) Bishopthorpe Roa")&amp;":"&amp;ADDRESS(130,3+18*1+(9))),'J1 A - (North) Bishopthorpe Roa'!$A$12:$A$130,"&gt;="&amp;Diagram!$O36,'J1 A - (North) Bishopthorpe Roa'!$A$12:$A$130,"&lt;"&amp;Diagram!$P36)))</f>
        <v>37</v>
      </c>
      <c r="AM36" s="42">
        <f ca="1">IF(OR($I$10="",$O36="",$P36="",$J$36&lt;&gt;"Yes"),0,IF($K$10=0,SUMIFS(INDIRECT(ADDRESS(12,3+18*2+(1),,,"J1 A - (North) Bishopthorpe Roa")&amp;":"&amp;ADDRESS(130,3+18*2+(1))),'J1 A - (North) Bishopthorpe Roa'!$A$12:$A$130,"&gt;="&amp;Diagram!$O36,'J1 A - (North) Bishopthorpe Roa'!$A$12:$A$130,"&lt;"&amp;Diagram!$P36),SUMIFS(INDIRECT(ADDRESS(12,3+18*2+(9),,,"J1 A - (North) Bishopthorpe Roa")&amp;":"&amp;ADDRESS(130,3+18*2+(9))),'J1 A - (North) Bishopthorpe Roa'!$A$12:$A$130,"&gt;="&amp;Diagram!$O36,'J1 A - (North) Bishopthorpe Roa'!$A$12:$A$130,"&lt;"&amp;Diagram!$P36)))</f>
        <v>2</v>
      </c>
      <c r="AN36" s="42">
        <f ca="1">IF(OR($I$10="",$O36="",$P36="",$J$36&lt;&gt;"Yes"),0,IF($K$10=0,SUMIFS(INDIRECT(ADDRESS(12,3+18*2+(1),,,"J1 B - Butcher Terrace")&amp;":"&amp;ADDRESS(130,3+18*2+(1))),'J1 B - Butcher Terrace'!$A$12:$A$130,"&gt;="&amp;Diagram!$O36,'J1 B - Butcher Terrace'!$A$12:$A$130,"&lt;"&amp;Diagram!$P36),SUMIFS(INDIRECT(ADDRESS(12,3+18*2+(9),,,"J1 B - Butcher Terrace")&amp;":"&amp;ADDRESS(130,3+18*2+(9))),'J1 B - Butcher Terrace'!$A$12:$A$130,"&gt;="&amp;Diagram!$O36,'J1 B - Butcher Terrace'!$A$12:$A$130,"&lt;"&amp;Diagram!$P36)))</f>
        <v>4</v>
      </c>
      <c r="AO36" s="42">
        <f ca="1">IF(OR($I$10="",$O36="",$P36="",$J$36&lt;&gt;"Yes"),0,IF($K$10=0,SUMIFS(INDIRECT(ADDRESS(12,3+18*3+(1),,,"J1 B - Butcher Terrace")&amp;":"&amp;ADDRESS(130,3+18*3+(1))),'J1 B - Butcher Terrace'!$A$12:$A$130,"&gt;="&amp;Diagram!$O36,'J1 B - Butcher Terrace'!$A$12:$A$130,"&lt;"&amp;Diagram!$P36),SUMIFS(INDIRECT(ADDRESS(12,3+18*3+(9),,,"J1 B - Butcher Terrace")&amp;":"&amp;ADDRESS(130,3+18*3+(9))),'J1 B - Butcher Terrace'!$A$12:$A$130,"&gt;="&amp;Diagram!$O36,'J1 B - Butcher Terrace'!$A$12:$A$130,"&lt;"&amp;Diagram!$P36)))</f>
        <v>0</v>
      </c>
      <c r="AP36" s="42">
        <f ca="1">IF(OR($I$10="",$O36="",$P36="",$J$36&lt;&gt;"Yes"),0,IF($K$10=0,SUMIFS(INDIRECT(ADDRESS(12,3+18*0+(1),,,"J1 B - Butcher Terrace")&amp;":"&amp;ADDRESS(130,3+18*0+(1))),'J1 B - Butcher Terrace'!$A$12:$A$130,"&gt;="&amp;Diagram!$O36,'J1 B - Butcher Terrace'!$A$12:$A$130,"&lt;"&amp;Diagram!$P36),SUMIFS(INDIRECT(ADDRESS(12,3+18*0+(9),,,"J1 B - Butcher Terrace")&amp;":"&amp;ADDRESS(130,3+18*0+(9))),'J1 B - Butcher Terrace'!$A$12:$A$130,"&gt;="&amp;Diagram!$O36,'J1 B - Butcher Terrace'!$A$12:$A$130,"&lt;"&amp;Diagram!$P36)))</f>
        <v>4</v>
      </c>
      <c r="AQ36" s="42">
        <f ca="1">IF(OR($I$10="",$O36="",$P36="",$J$36&lt;&gt;"Yes"),0,IF($K$10=0,SUMIFS(INDIRECT(ADDRESS(12,3+18*1+(1),,,"J1 B - Butcher Terrace")&amp;":"&amp;ADDRESS(130,3+18*1+(1))),'J1 B - Butcher Terrace'!$A$12:$A$130,"&gt;="&amp;Diagram!$O36,'J1 B - Butcher Terrace'!$A$12:$A$130,"&lt;"&amp;Diagram!$P36),SUMIFS(INDIRECT(ADDRESS(12,3+18*1+(9),,,"J1 B - Butcher Terrace")&amp;":"&amp;ADDRESS(130,3+18*1+(9))),'J1 B - Butcher Terrace'!$A$12:$A$130,"&gt;="&amp;Diagram!$O36,'J1 B - Butcher Terrace'!$A$12:$A$130,"&lt;"&amp;Diagram!$P36)))</f>
        <v>0</v>
      </c>
      <c r="AR36" s="42">
        <f ca="1">IF(OR($I$10="",$O36="",$P36="",$J$36&lt;&gt;"Yes"),0,IF($K$10=0,SUMIFS(INDIRECT(ADDRESS(12,3+18*1+(1),,,"J1 C - (South) Bishopthorpe Roa")&amp;":"&amp;ADDRESS(130,3+18*1+(1))),'J1 C - (South) Bishopthorpe Roa'!$A$12:$A$130,"&gt;="&amp;Diagram!$O36,'J1 C - (South) Bishopthorpe Roa'!$A$12:$A$130,"&lt;"&amp;Diagram!$P36),SUMIFS(INDIRECT(ADDRESS(12,3+18*1+(9),,,"J1 C - (South) Bishopthorpe Roa")&amp;":"&amp;ADDRESS(130,3+18*1+(9))),'J1 C - (South) Bishopthorpe Roa'!$A$12:$A$130,"&gt;="&amp;Diagram!$O36,'J1 C - (South) Bishopthorpe Roa'!$A$12:$A$130,"&lt;"&amp;Diagram!$P36)))</f>
        <v>24</v>
      </c>
      <c r="AS36" s="42">
        <f ca="1">IF(OR($I$10="",$O36="",$P36="",$J$36&lt;&gt;"Yes"),0,IF($K$10=0,SUMIFS(INDIRECT(ADDRESS(12,3+18*2+(1),,,"J1 C - (South) Bishopthorpe Roa")&amp;":"&amp;ADDRESS(130,3+18*2+(1))),'J1 C - (South) Bishopthorpe Roa'!$A$12:$A$130,"&gt;="&amp;Diagram!$O36,'J1 C - (South) Bishopthorpe Roa'!$A$12:$A$130,"&lt;"&amp;Diagram!$P36),SUMIFS(INDIRECT(ADDRESS(12,3+18*2+(9),,,"J1 C - (South) Bishopthorpe Roa")&amp;":"&amp;ADDRESS(130,3+18*2+(9))),'J1 C - (South) Bishopthorpe Roa'!$A$12:$A$130,"&gt;="&amp;Diagram!$O36,'J1 C - (South) Bishopthorpe Roa'!$A$12:$A$130,"&lt;"&amp;Diagram!$P36)))</f>
        <v>0</v>
      </c>
      <c r="AT36" s="42">
        <f ca="1">IF(OR($I$10="",$O36="",$P36="",$J$36&lt;&gt;"Yes"),0,IF($K$10=0,SUMIFS(INDIRECT(ADDRESS(12,3+18*3+(1),,,"J1 C - (South) Bishopthorpe Roa")&amp;":"&amp;ADDRESS(130,3+18*3+(1))),'J1 C - (South) Bishopthorpe Roa'!$A$12:$A$130,"&gt;="&amp;Diagram!$O36,'J1 C - (South) Bishopthorpe Roa'!$A$12:$A$130,"&lt;"&amp;Diagram!$P36),SUMIFS(INDIRECT(ADDRESS(12,3+18*3+(9),,,"J1 C - (South) Bishopthorpe Roa")&amp;":"&amp;ADDRESS(130,3+18*3+(9))),'J1 C - (South) Bishopthorpe Roa'!$A$12:$A$130,"&gt;="&amp;Diagram!$O36,'J1 C - (South) Bishopthorpe Roa'!$A$12:$A$130,"&lt;"&amp;Diagram!$P36)))</f>
        <v>0</v>
      </c>
      <c r="AU36" s="42">
        <f ca="1">IF(OR($I$10="",$O36="",$P36="",$J$36&lt;&gt;"Yes"),0,IF($K$10=0,SUMIFS(INDIRECT(ADDRESS(12,3+18*0+(1),,,"J1 C - (South) Bishopthorpe Roa")&amp;":"&amp;ADDRESS(130,3+18*0+(1))),'J1 C - (South) Bishopthorpe Roa'!$A$12:$A$130,"&gt;="&amp;Diagram!$O36,'J1 C - (South) Bishopthorpe Roa'!$A$12:$A$130,"&lt;"&amp;Diagram!$P36),SUMIFS(INDIRECT(ADDRESS(12,3+18*0+(9),,,"J1 C - (South) Bishopthorpe Roa")&amp;":"&amp;ADDRESS(130,3+18*0+(9))),'J1 C - (South) Bishopthorpe Roa'!$A$12:$A$130,"&gt;="&amp;Diagram!$O36,'J1 C - (South) Bishopthorpe Roa'!$A$12:$A$130,"&lt;"&amp;Diagram!$P36)))</f>
        <v>3</v>
      </c>
      <c r="AV36" s="42">
        <f ca="1">IF(OR($I$10="",$O36="",$P36="",$J$36&lt;&gt;"Yes"),0,IF($K$10=0,SUMIFS(INDIRECT(ADDRESS(12,3+18*0+(1),,,"J1 D - South Bank Avenue")&amp;":"&amp;ADDRESS(130,3+18*0+(1))),'J1 D - South Bank Avenue'!$A$12:$A$130,"&gt;="&amp;Diagram!$O36,'J1 D - South Bank Avenue'!$A$12:$A$130,"&lt;"&amp;Diagram!$P36),SUMIFS(INDIRECT(ADDRESS(12,3+18*0+(9),,,"J1 D - South Bank Avenue")&amp;":"&amp;ADDRESS(130,3+18*0+(9))),'J1 D - South Bank Avenue'!$A$12:$A$130,"&gt;="&amp;Diagram!$O36,'J1 D - South Bank Avenue'!$A$12:$A$130,"&lt;"&amp;Diagram!$P36)))</f>
        <v>5</v>
      </c>
      <c r="AW36" s="42">
        <f ca="1">IF(OR($I$10="",$O36="",$P36="",$J$36&lt;&gt;"Yes"),0,IF($K$10=0,SUMIFS(INDIRECT(ADDRESS(12,3+18*1+(1),,,"J1 D - South Bank Avenue")&amp;":"&amp;ADDRESS(130,3+18*1+(1))),'J1 D - South Bank Avenue'!$A$12:$A$130,"&gt;="&amp;Diagram!$O36,'J1 D - South Bank Avenue'!$A$12:$A$130,"&lt;"&amp;Diagram!$P36),SUMIFS(INDIRECT(ADDRESS(12,3+18*1+(9),,,"J1 D - South Bank Avenue")&amp;":"&amp;ADDRESS(130,3+18*1+(9))),'J1 D - South Bank Avenue'!$A$12:$A$130,"&gt;="&amp;Diagram!$O36,'J1 D - South Bank Avenue'!$A$12:$A$130,"&lt;"&amp;Diagram!$P36)))</f>
        <v>0</v>
      </c>
      <c r="AX36" s="42">
        <f ca="1">IF(OR($I$10="",$O36="",$P36="",$J$36&lt;&gt;"Yes"),0,IF($K$10=0,SUMIFS(INDIRECT(ADDRESS(12,3+18*2+(1),,,"J1 D - South Bank Avenue")&amp;":"&amp;ADDRESS(130,3+18*2+(1))),'J1 D - South Bank Avenue'!$A$12:$A$130,"&gt;="&amp;Diagram!$O36,'J1 D - South Bank Avenue'!$A$12:$A$130,"&lt;"&amp;Diagram!$P36),SUMIFS(INDIRECT(ADDRESS(12,3+18*2+(9),,,"J1 D - South Bank Avenue")&amp;":"&amp;ADDRESS(130,3+18*2+(9))),'J1 D - South Bank Avenue'!$A$12:$A$130,"&gt;="&amp;Diagram!$O36,'J1 D - South Bank Avenue'!$A$12:$A$130,"&lt;"&amp;Diagram!$P36)))</f>
        <v>4</v>
      </c>
      <c r="AY36" s="42">
        <f ca="1">IF(OR($I$10="",$O36="",$P36="",$J$36&lt;&gt;"Yes"),0,IF($K$10=0,SUMIFS(INDIRECT(ADDRESS(12,3+18*3+(1),,,"J1 D - South Bank Avenue")&amp;":"&amp;ADDRESS(130,3+18*3+(1))),'J1 D - South Bank Avenue'!$A$12:$A$130,"&gt;="&amp;Diagram!$O36,'J1 D - South Bank Avenue'!$A$12:$A$130,"&lt;"&amp;Diagram!$P36),SUMIFS(INDIRECT(ADDRESS(12,3+18*3+(9),,,"J1 D - South Bank Avenue")&amp;":"&amp;ADDRESS(130,3+18*3+(9))),'J1 D - South Bank Avenue'!$A$12:$A$130,"&gt;="&amp;Diagram!$O36,'J1 D - South Bank Avenue'!$A$12:$A$130,"&lt;"&amp;Diagram!$P36)))</f>
        <v>0</v>
      </c>
      <c r="AZ36" s="42">
        <f t="shared" ca="1" si="3"/>
        <v>10</v>
      </c>
      <c r="BA36" s="42">
        <f ca="1">IF(OR($I$10="",$O36="",$P36="",$J$37&lt;&gt;"Yes"),0,IF($K$10=0,SUMIFS(INDIRECT(ADDRESS(12,3+18*3+(2),,,"J1 A - (North) Bishopthorpe Roa")&amp;":"&amp;ADDRESS(130,3+18*3+(2))),'J1 A - (North) Bishopthorpe Roa'!$A$12:$A$130,"&gt;="&amp;Diagram!$O36,'J1 A - (North) Bishopthorpe Roa'!$A$12:$A$130,"&lt;"&amp;Diagram!$P36),SUMIFS(INDIRECT(ADDRESS(12,3+18*3+(10),,,"J1 A - (North) Bishopthorpe Roa")&amp;":"&amp;ADDRESS(130,3+18*3+(10))),'J1 A - (North) Bishopthorpe Roa'!$A$12:$A$130,"&gt;="&amp;Diagram!$O36,'J1 A - (North) Bishopthorpe Roa'!$A$12:$A$130,"&lt;"&amp;Diagram!$P36)))</f>
        <v>0</v>
      </c>
      <c r="BB36" s="42">
        <f ca="1">IF(OR($I$10="",$O36="",$P36="",$J$37&lt;&gt;"Yes"),0,IF($K$10=0,SUMIFS(INDIRECT(ADDRESS(12,3+18*0+(2),,,"J1 A - (North) Bishopthorpe Roa")&amp;":"&amp;ADDRESS(130,3+18*0+(2))),'J1 A - (North) Bishopthorpe Roa'!$A$12:$A$130,"&gt;="&amp;Diagram!$O36,'J1 A - (North) Bishopthorpe Roa'!$A$12:$A$130,"&lt;"&amp;Diagram!$P36),SUMIFS(INDIRECT(ADDRESS(12,3+18*0+(10),,,"J1 A - (North) Bishopthorpe Roa")&amp;":"&amp;ADDRESS(130,3+18*0+(10))),'J1 A - (North) Bishopthorpe Roa'!$A$12:$A$130,"&gt;="&amp;Diagram!$O36,'J1 A - (North) Bishopthorpe Roa'!$A$12:$A$130,"&lt;"&amp;Diagram!$P36)))</f>
        <v>1</v>
      </c>
      <c r="BC36" s="42">
        <f ca="1">IF(OR($I$10="",$O36="",$P36="",$J$37&lt;&gt;"Yes"),0,IF($K$10=0,SUMIFS(INDIRECT(ADDRESS(12,3+18*1+(2),,,"J1 A - (North) Bishopthorpe Roa")&amp;":"&amp;ADDRESS(130,3+18*1+(2))),'J1 A - (North) Bishopthorpe Roa'!$A$12:$A$130,"&gt;="&amp;Diagram!$O36,'J1 A - (North) Bishopthorpe Roa'!$A$12:$A$130,"&lt;"&amp;Diagram!$P36),SUMIFS(INDIRECT(ADDRESS(12,3+18*1+(10),,,"J1 A - (North) Bishopthorpe Roa")&amp;":"&amp;ADDRESS(130,3+18*1+(10))),'J1 A - (North) Bishopthorpe Roa'!$A$12:$A$130,"&gt;="&amp;Diagram!$O36,'J1 A - (North) Bishopthorpe Roa'!$A$12:$A$130,"&lt;"&amp;Diagram!$P36)))</f>
        <v>2</v>
      </c>
      <c r="BD36" s="42">
        <f ca="1">IF(OR($I$10="",$O36="",$P36="",$J$37&lt;&gt;"Yes"),0,IF($K$10=0,SUMIFS(INDIRECT(ADDRESS(12,3+18*2+(2),,,"J1 A - (North) Bishopthorpe Roa")&amp;":"&amp;ADDRESS(130,3+18*2+(2))),'J1 A - (North) Bishopthorpe Roa'!$A$12:$A$130,"&gt;="&amp;Diagram!$O36,'J1 A - (North) Bishopthorpe Roa'!$A$12:$A$130,"&lt;"&amp;Diagram!$P36),SUMIFS(INDIRECT(ADDRESS(12,3+18*2+(10),,,"J1 A - (North) Bishopthorpe Roa")&amp;":"&amp;ADDRESS(130,3+18*2+(10))),'J1 A - (North) Bishopthorpe Roa'!$A$12:$A$130,"&gt;="&amp;Diagram!$O36,'J1 A - (North) Bishopthorpe Roa'!$A$12:$A$130,"&lt;"&amp;Diagram!$P36)))</f>
        <v>0</v>
      </c>
      <c r="BE36" s="42">
        <f ca="1">IF(OR($I$10="",$O36="",$P36="",$J$37&lt;&gt;"Yes"),0,IF($K$10=0,SUMIFS(INDIRECT(ADDRESS(12,3+18*2+(2),,,"J1 B - Butcher Terrace")&amp;":"&amp;ADDRESS(130,3+18*2+(2))),'J1 B - Butcher Terrace'!$A$12:$A$130,"&gt;="&amp;Diagram!$O36,'J1 B - Butcher Terrace'!$A$12:$A$130,"&lt;"&amp;Diagram!$P36),SUMIFS(INDIRECT(ADDRESS(12,3+18*2+(10),,,"J1 B - Butcher Terrace")&amp;":"&amp;ADDRESS(130,3+18*2+(10))),'J1 B - Butcher Terrace'!$A$12:$A$130,"&gt;="&amp;Diagram!$O36,'J1 B - Butcher Terrace'!$A$12:$A$130,"&lt;"&amp;Diagram!$P36)))</f>
        <v>1</v>
      </c>
      <c r="BF36" s="42">
        <f ca="1">IF(OR($I$10="",$O36="",$P36="",$J$37&lt;&gt;"Yes"),0,IF($K$10=0,SUMIFS(INDIRECT(ADDRESS(12,3+18*3+(2),,,"J1 B - Butcher Terrace")&amp;":"&amp;ADDRESS(130,3+18*3+(2))),'J1 B - Butcher Terrace'!$A$12:$A$130,"&gt;="&amp;Diagram!$O36,'J1 B - Butcher Terrace'!$A$12:$A$130,"&lt;"&amp;Diagram!$P36),SUMIFS(INDIRECT(ADDRESS(12,3+18*3+(10),,,"J1 B - Butcher Terrace")&amp;":"&amp;ADDRESS(130,3+18*3+(10))),'J1 B - Butcher Terrace'!$A$12:$A$130,"&gt;="&amp;Diagram!$O36,'J1 B - Butcher Terrace'!$A$12:$A$130,"&lt;"&amp;Diagram!$P36)))</f>
        <v>0</v>
      </c>
      <c r="BG36" s="42">
        <f ca="1">IF(OR($I$10="",$O36="",$P36="",$J$37&lt;&gt;"Yes"),0,IF($K$10=0,SUMIFS(INDIRECT(ADDRESS(12,3+18*0+(2),,,"J1 B - Butcher Terrace")&amp;":"&amp;ADDRESS(130,3+18*0+(2))),'J1 B - Butcher Terrace'!$A$12:$A$130,"&gt;="&amp;Diagram!$O36,'J1 B - Butcher Terrace'!$A$12:$A$130,"&lt;"&amp;Diagram!$P36),SUMIFS(INDIRECT(ADDRESS(12,3+18*0+(10),,,"J1 B - Butcher Terrace")&amp;":"&amp;ADDRESS(130,3+18*0+(10))),'J1 B - Butcher Terrace'!$A$12:$A$130,"&gt;="&amp;Diagram!$O36,'J1 B - Butcher Terrace'!$A$12:$A$130,"&lt;"&amp;Diagram!$P36)))</f>
        <v>0</v>
      </c>
      <c r="BH36" s="42">
        <f ca="1">IF(OR($I$10="",$O36="",$P36="",$J$37&lt;&gt;"Yes"),0,IF($K$10=0,SUMIFS(INDIRECT(ADDRESS(12,3+18*1+(2),,,"J1 B - Butcher Terrace")&amp;":"&amp;ADDRESS(130,3+18*1+(2))),'J1 B - Butcher Terrace'!$A$12:$A$130,"&gt;="&amp;Diagram!$O36,'J1 B - Butcher Terrace'!$A$12:$A$130,"&lt;"&amp;Diagram!$P36),SUMIFS(INDIRECT(ADDRESS(12,3+18*1+(10),,,"J1 B - Butcher Terrace")&amp;":"&amp;ADDRESS(130,3+18*1+(10))),'J1 B - Butcher Terrace'!$A$12:$A$130,"&gt;="&amp;Diagram!$O36,'J1 B - Butcher Terrace'!$A$12:$A$130,"&lt;"&amp;Diagram!$P36)))</f>
        <v>0</v>
      </c>
      <c r="BI36" s="42">
        <f ca="1">IF(OR($I$10="",$O36="",$P36="",$J$37&lt;&gt;"Yes"),0,IF($K$10=0,SUMIFS(INDIRECT(ADDRESS(12,3+18*1+(2),,,"J1 C - (South) Bishopthorpe Roa")&amp;":"&amp;ADDRESS(130,3+18*1+(2))),'J1 C - (South) Bishopthorpe Roa'!$A$12:$A$130,"&gt;="&amp;Diagram!$O36,'J1 C - (South) Bishopthorpe Roa'!$A$12:$A$130,"&lt;"&amp;Diagram!$P36),SUMIFS(INDIRECT(ADDRESS(12,3+18*1+(10),,,"J1 C - (South) Bishopthorpe Roa")&amp;":"&amp;ADDRESS(130,3+18*1+(10))),'J1 C - (South) Bishopthorpe Roa'!$A$12:$A$130,"&gt;="&amp;Diagram!$O36,'J1 C - (South) Bishopthorpe Roa'!$A$12:$A$130,"&lt;"&amp;Diagram!$P36)))</f>
        <v>4</v>
      </c>
      <c r="BJ36" s="42">
        <f ca="1">IF(OR($I$10="",$O36="",$P36="",$J$37&lt;&gt;"Yes"),0,IF($K$10=0,SUMIFS(INDIRECT(ADDRESS(12,3+18*2+(2),,,"J1 C - (South) Bishopthorpe Roa")&amp;":"&amp;ADDRESS(130,3+18*2+(2))),'J1 C - (South) Bishopthorpe Roa'!$A$12:$A$130,"&gt;="&amp;Diagram!$O36,'J1 C - (South) Bishopthorpe Roa'!$A$12:$A$130,"&lt;"&amp;Diagram!$P36),SUMIFS(INDIRECT(ADDRESS(12,3+18*2+(10),,,"J1 C - (South) Bishopthorpe Roa")&amp;":"&amp;ADDRESS(130,3+18*2+(10))),'J1 C - (South) Bishopthorpe Roa'!$A$12:$A$130,"&gt;="&amp;Diagram!$O36,'J1 C - (South) Bishopthorpe Roa'!$A$12:$A$130,"&lt;"&amp;Diagram!$P36)))</f>
        <v>1</v>
      </c>
      <c r="BK36" s="42">
        <f ca="1">IF(OR($I$10="",$O36="",$P36="",$J$37&lt;&gt;"Yes"),0,IF($K$10=0,SUMIFS(INDIRECT(ADDRESS(12,3+18*3+(2),,,"J1 C - (South) Bishopthorpe Roa")&amp;":"&amp;ADDRESS(130,3+18*3+(2))),'J1 C - (South) Bishopthorpe Roa'!$A$12:$A$130,"&gt;="&amp;Diagram!$O36,'J1 C - (South) Bishopthorpe Roa'!$A$12:$A$130,"&lt;"&amp;Diagram!$P36),SUMIFS(INDIRECT(ADDRESS(12,3+18*3+(10),,,"J1 C - (South) Bishopthorpe Roa")&amp;":"&amp;ADDRESS(130,3+18*3+(10))),'J1 C - (South) Bishopthorpe Roa'!$A$12:$A$130,"&gt;="&amp;Diagram!$O36,'J1 C - (South) Bishopthorpe Roa'!$A$12:$A$130,"&lt;"&amp;Diagram!$P36)))</f>
        <v>0</v>
      </c>
      <c r="BL36" s="42">
        <f ca="1">IF(OR($I$10="",$O36="",$P36="",$J$37&lt;&gt;"Yes"),0,IF($K$10=0,SUMIFS(INDIRECT(ADDRESS(12,3+18*0+(2),,,"J1 C - (South) Bishopthorpe Roa")&amp;":"&amp;ADDRESS(130,3+18*0+(2))),'J1 C - (South) Bishopthorpe Roa'!$A$12:$A$130,"&gt;="&amp;Diagram!$O36,'J1 C - (South) Bishopthorpe Roa'!$A$12:$A$130,"&lt;"&amp;Diagram!$P36),SUMIFS(INDIRECT(ADDRESS(12,3+18*0+(10),,,"J1 C - (South) Bishopthorpe Roa")&amp;":"&amp;ADDRESS(130,3+18*0+(10))),'J1 C - (South) Bishopthorpe Roa'!$A$12:$A$130,"&gt;="&amp;Diagram!$O36,'J1 C - (South) Bishopthorpe Roa'!$A$12:$A$130,"&lt;"&amp;Diagram!$P36)))</f>
        <v>0</v>
      </c>
      <c r="BM36" s="42">
        <f ca="1">IF(OR($I$10="",$O36="",$P36="",$J$37&lt;&gt;"Yes"),0,IF($K$10=0,SUMIFS(INDIRECT(ADDRESS(12,3+18*0+(2),,,"J1 D - South Bank Avenue")&amp;":"&amp;ADDRESS(130,3+18*0+(2))),'J1 D - South Bank Avenue'!$A$12:$A$130,"&gt;="&amp;Diagram!$O36,'J1 D - South Bank Avenue'!$A$12:$A$130,"&lt;"&amp;Diagram!$P36),SUMIFS(INDIRECT(ADDRESS(12,3+18*0+(10),,,"J1 D - South Bank Avenue")&amp;":"&amp;ADDRESS(130,3+18*0+(10))),'J1 D - South Bank Avenue'!$A$12:$A$130,"&gt;="&amp;Diagram!$O36,'J1 D - South Bank Avenue'!$A$12:$A$130,"&lt;"&amp;Diagram!$P36)))</f>
        <v>1</v>
      </c>
      <c r="BN36" s="42">
        <f ca="1">IF(OR($I$10="",$O36="",$P36="",$J$37&lt;&gt;"Yes"),0,IF($K$10=0,SUMIFS(INDIRECT(ADDRESS(12,3+18*1+(2),,,"J1 D - South Bank Avenue")&amp;":"&amp;ADDRESS(130,3+18*1+(2))),'J1 D - South Bank Avenue'!$A$12:$A$130,"&gt;="&amp;Diagram!$O36,'J1 D - South Bank Avenue'!$A$12:$A$130,"&lt;"&amp;Diagram!$P36),SUMIFS(INDIRECT(ADDRESS(12,3+18*1+(10),,,"J1 D - South Bank Avenue")&amp;":"&amp;ADDRESS(130,3+18*1+(10))),'J1 D - South Bank Avenue'!$A$12:$A$130,"&gt;="&amp;Diagram!$O36,'J1 D - South Bank Avenue'!$A$12:$A$130,"&lt;"&amp;Diagram!$P36)))</f>
        <v>0</v>
      </c>
      <c r="BO36" s="42">
        <f ca="1">IF(OR($I$10="",$O36="",$P36="",$J$37&lt;&gt;"Yes"),0,IF($K$10=0,SUMIFS(INDIRECT(ADDRESS(12,3+18*2+(2),,,"J1 D - South Bank Avenue")&amp;":"&amp;ADDRESS(130,3+18*2+(2))),'J1 D - South Bank Avenue'!$A$12:$A$130,"&gt;="&amp;Diagram!$O36,'J1 D - South Bank Avenue'!$A$12:$A$130,"&lt;"&amp;Diagram!$P36),SUMIFS(INDIRECT(ADDRESS(12,3+18*2+(10),,,"J1 D - South Bank Avenue")&amp;":"&amp;ADDRESS(130,3+18*2+(10))),'J1 D - South Bank Avenue'!$A$12:$A$130,"&gt;="&amp;Diagram!$O36,'J1 D - South Bank Avenue'!$A$12:$A$130,"&lt;"&amp;Diagram!$P36)))</f>
        <v>0</v>
      </c>
      <c r="BP36" s="42">
        <f ca="1">IF(OR($I$10="",$O36="",$P36="",$J$37&lt;&gt;"Yes"),0,IF($K$10=0,SUMIFS(INDIRECT(ADDRESS(12,3+18*3+(2),,,"J1 D - South Bank Avenue")&amp;":"&amp;ADDRESS(130,3+18*3+(2))),'J1 D - South Bank Avenue'!$A$12:$A$130,"&gt;="&amp;Diagram!$O36,'J1 D - South Bank Avenue'!$A$12:$A$130,"&lt;"&amp;Diagram!$P36),SUMIFS(INDIRECT(ADDRESS(12,3+18*3+(10),,,"J1 D - South Bank Avenue")&amp;":"&amp;ADDRESS(130,3+18*3+(10))),'J1 D - South Bank Avenue'!$A$12:$A$130,"&gt;="&amp;Diagram!$O36,'J1 D - South Bank Avenue'!$A$12:$A$130,"&lt;"&amp;Diagram!$P36)))</f>
        <v>0</v>
      </c>
      <c r="BQ36" s="42">
        <f t="shared" ca="1" si="4"/>
        <v>2</v>
      </c>
      <c r="BR36" s="42">
        <f ca="1">IF(OR($I$10="",$O36="",$P36="",$J$38&lt;&gt;"Yes"),0,IF($K$10=0,SUMIFS(INDIRECT(ADDRESS(12,3+18*3+(3),,,"J1 A - (North) Bishopthorpe Roa")&amp;":"&amp;ADDRESS(130,3+18*3+(3))),'J1 A - (North) Bishopthorpe Roa'!$A$12:$A$130,"&gt;="&amp;Diagram!$O36,'J1 A - (North) Bishopthorpe Roa'!$A$12:$A$130,"&lt;"&amp;Diagram!$P36),SUMIFS(INDIRECT(ADDRESS(12,3+18*3+(11),,,"J1 A - (North) Bishopthorpe Roa")&amp;":"&amp;ADDRESS(130,3+18*3+(11))),'J1 A - (North) Bishopthorpe Roa'!$A$12:$A$130,"&gt;="&amp;Diagram!$O36,'J1 A - (North) Bishopthorpe Roa'!$A$12:$A$130,"&lt;"&amp;Diagram!$P36)))</f>
        <v>0</v>
      </c>
      <c r="BS36" s="42">
        <f ca="1">IF(OR($I$10="",$O36="",$P36="",$J$38&lt;&gt;"Yes"),0,IF($K$10=0,SUMIFS(INDIRECT(ADDRESS(12,3+18*0+(3),,,"J1 A - (North) Bishopthorpe Roa")&amp;":"&amp;ADDRESS(130,3+18*0+(3))),'J1 A - (North) Bishopthorpe Roa'!$A$12:$A$130,"&gt;="&amp;Diagram!$O36,'J1 A - (North) Bishopthorpe Roa'!$A$12:$A$130,"&lt;"&amp;Diagram!$P36),SUMIFS(INDIRECT(ADDRESS(12,3+18*0+(11),,,"J1 A - (North) Bishopthorpe Roa")&amp;":"&amp;ADDRESS(130,3+18*0+(11))),'J1 A - (North) Bishopthorpe Roa'!$A$12:$A$130,"&gt;="&amp;Diagram!$O36,'J1 A - (North) Bishopthorpe Roa'!$A$12:$A$130,"&lt;"&amp;Diagram!$P36)))</f>
        <v>0</v>
      </c>
      <c r="BT36" s="42">
        <f ca="1">IF(OR($I$10="",$O36="",$P36="",$J$38&lt;&gt;"Yes"),0,IF($K$10=0,SUMIFS(INDIRECT(ADDRESS(12,3+18*1+(3),,,"J1 A - (North) Bishopthorpe Roa")&amp;":"&amp;ADDRESS(130,3+18*1+(3))),'J1 A - (North) Bishopthorpe Roa'!$A$12:$A$130,"&gt;="&amp;Diagram!$O36,'J1 A - (North) Bishopthorpe Roa'!$A$12:$A$130,"&lt;"&amp;Diagram!$P36),SUMIFS(INDIRECT(ADDRESS(12,3+18*1+(11),,,"J1 A - (North) Bishopthorpe Roa")&amp;":"&amp;ADDRESS(130,3+18*1+(11))),'J1 A - (North) Bishopthorpe Roa'!$A$12:$A$130,"&gt;="&amp;Diagram!$O36,'J1 A - (North) Bishopthorpe Roa'!$A$12:$A$130,"&lt;"&amp;Diagram!$P36)))</f>
        <v>1</v>
      </c>
      <c r="BU36" s="42">
        <f ca="1">IF(OR($I$10="",$O36="",$P36="",$J$38&lt;&gt;"Yes"),0,IF($K$10=0,SUMIFS(INDIRECT(ADDRESS(12,3+18*2+(3),,,"J1 A - (North) Bishopthorpe Roa")&amp;":"&amp;ADDRESS(130,3+18*2+(3))),'J1 A - (North) Bishopthorpe Roa'!$A$12:$A$130,"&gt;="&amp;Diagram!$O36,'J1 A - (North) Bishopthorpe Roa'!$A$12:$A$130,"&lt;"&amp;Diagram!$P36),SUMIFS(INDIRECT(ADDRESS(12,3+18*2+(11),,,"J1 A - (North) Bishopthorpe Roa")&amp;":"&amp;ADDRESS(130,3+18*2+(11))),'J1 A - (North) Bishopthorpe Roa'!$A$12:$A$130,"&gt;="&amp;Diagram!$O36,'J1 A - (North) Bishopthorpe Roa'!$A$12:$A$130,"&lt;"&amp;Diagram!$P36)))</f>
        <v>0</v>
      </c>
      <c r="BV36" s="42">
        <f ca="1">IF(OR($I$10="",$O36="",$P36="",$J$38&lt;&gt;"Yes"),0,IF($K$10=0,SUMIFS(INDIRECT(ADDRESS(12,3+18*2+(3),,,"J1 B - Butcher Terrace")&amp;":"&amp;ADDRESS(130,3+18*2+(3))),'J1 B - Butcher Terrace'!$A$12:$A$130,"&gt;="&amp;Diagram!$O36,'J1 B - Butcher Terrace'!$A$12:$A$130,"&lt;"&amp;Diagram!$P36),SUMIFS(INDIRECT(ADDRESS(12,3+18*2+(11),,,"J1 B - Butcher Terrace")&amp;":"&amp;ADDRESS(130,3+18*2+(11))),'J1 B - Butcher Terrace'!$A$12:$A$130,"&gt;="&amp;Diagram!$O36,'J1 B - Butcher Terrace'!$A$12:$A$130,"&lt;"&amp;Diagram!$P36)))</f>
        <v>0</v>
      </c>
      <c r="BW36" s="42">
        <f ca="1">IF(OR($I$10="",$O36="",$P36="",$J$38&lt;&gt;"Yes"),0,IF($K$10=0,SUMIFS(INDIRECT(ADDRESS(12,3+18*3+(3),,,"J1 B - Butcher Terrace")&amp;":"&amp;ADDRESS(130,3+18*3+(3))),'J1 B - Butcher Terrace'!$A$12:$A$130,"&gt;="&amp;Diagram!$O36,'J1 B - Butcher Terrace'!$A$12:$A$130,"&lt;"&amp;Diagram!$P36),SUMIFS(INDIRECT(ADDRESS(12,3+18*3+(11),,,"J1 B - Butcher Terrace")&amp;":"&amp;ADDRESS(130,3+18*3+(11))),'J1 B - Butcher Terrace'!$A$12:$A$130,"&gt;="&amp;Diagram!$O36,'J1 B - Butcher Terrace'!$A$12:$A$130,"&lt;"&amp;Diagram!$P36)))</f>
        <v>0</v>
      </c>
      <c r="BX36" s="42">
        <f ca="1">IF(OR($I$10="",$O36="",$P36="",$J$38&lt;&gt;"Yes"),0,IF($K$10=0,SUMIFS(INDIRECT(ADDRESS(12,3+18*0+(3),,,"J1 B - Butcher Terrace")&amp;":"&amp;ADDRESS(130,3+18*0+(3))),'J1 B - Butcher Terrace'!$A$12:$A$130,"&gt;="&amp;Diagram!$O36,'J1 B - Butcher Terrace'!$A$12:$A$130,"&lt;"&amp;Diagram!$P36),SUMIFS(INDIRECT(ADDRESS(12,3+18*0+(11),,,"J1 B - Butcher Terrace")&amp;":"&amp;ADDRESS(130,3+18*0+(11))),'J1 B - Butcher Terrace'!$A$12:$A$130,"&gt;="&amp;Diagram!$O36,'J1 B - Butcher Terrace'!$A$12:$A$130,"&lt;"&amp;Diagram!$P36)))</f>
        <v>0</v>
      </c>
      <c r="BY36" s="42">
        <f ca="1">IF(OR($I$10="",$O36="",$P36="",$J$38&lt;&gt;"Yes"),0,IF($K$10=0,SUMIFS(INDIRECT(ADDRESS(12,3+18*1+(3),,,"J1 B - Butcher Terrace")&amp;":"&amp;ADDRESS(130,3+18*1+(3))),'J1 B - Butcher Terrace'!$A$12:$A$130,"&gt;="&amp;Diagram!$O36,'J1 B - Butcher Terrace'!$A$12:$A$130,"&lt;"&amp;Diagram!$P36),SUMIFS(INDIRECT(ADDRESS(12,3+18*1+(11),,,"J1 B - Butcher Terrace")&amp;":"&amp;ADDRESS(130,3+18*1+(11))),'J1 B - Butcher Terrace'!$A$12:$A$130,"&gt;="&amp;Diagram!$O36,'J1 B - Butcher Terrace'!$A$12:$A$130,"&lt;"&amp;Diagram!$P36)))</f>
        <v>0</v>
      </c>
      <c r="BZ36" s="42">
        <f ca="1">IF(OR($I$10="",$O36="",$P36="",$J$38&lt;&gt;"Yes"),0,IF($K$10=0,SUMIFS(INDIRECT(ADDRESS(12,3+18*1+(3),,,"J1 C - (South) Bishopthorpe Roa")&amp;":"&amp;ADDRESS(130,3+18*1+(3))),'J1 C - (South) Bishopthorpe Roa'!$A$12:$A$130,"&gt;="&amp;Diagram!$O36,'J1 C - (South) Bishopthorpe Roa'!$A$12:$A$130,"&lt;"&amp;Diagram!$P36),SUMIFS(INDIRECT(ADDRESS(12,3+18*1+(11),,,"J1 C - (South) Bishopthorpe Roa")&amp;":"&amp;ADDRESS(130,3+18*1+(11))),'J1 C - (South) Bishopthorpe Roa'!$A$12:$A$130,"&gt;="&amp;Diagram!$O36,'J1 C - (South) Bishopthorpe Roa'!$A$12:$A$130,"&lt;"&amp;Diagram!$P36)))</f>
        <v>1</v>
      </c>
      <c r="CA36" s="42">
        <f ca="1">IF(OR($I$10="",$O36="",$P36="",$J$38&lt;&gt;"Yes"),0,IF($K$10=0,SUMIFS(INDIRECT(ADDRESS(12,3+18*2+(3),,,"J1 C - (South) Bishopthorpe Roa")&amp;":"&amp;ADDRESS(130,3+18*2+(3))),'J1 C - (South) Bishopthorpe Roa'!$A$12:$A$130,"&gt;="&amp;Diagram!$O36,'J1 C - (South) Bishopthorpe Roa'!$A$12:$A$130,"&lt;"&amp;Diagram!$P36),SUMIFS(INDIRECT(ADDRESS(12,3+18*2+(11),,,"J1 C - (South) Bishopthorpe Roa")&amp;":"&amp;ADDRESS(130,3+18*2+(11))),'J1 C - (South) Bishopthorpe Roa'!$A$12:$A$130,"&gt;="&amp;Diagram!$O36,'J1 C - (South) Bishopthorpe Roa'!$A$12:$A$130,"&lt;"&amp;Diagram!$P36)))</f>
        <v>0</v>
      </c>
      <c r="CB36" s="42">
        <f ca="1">IF(OR($I$10="",$O36="",$P36="",$J$38&lt;&gt;"Yes"),0,IF($K$10=0,SUMIFS(INDIRECT(ADDRESS(12,3+18*3+(3),,,"J1 C - (South) Bishopthorpe Roa")&amp;":"&amp;ADDRESS(130,3+18*3+(3))),'J1 C - (South) Bishopthorpe Roa'!$A$12:$A$130,"&gt;="&amp;Diagram!$O36,'J1 C - (South) Bishopthorpe Roa'!$A$12:$A$130,"&lt;"&amp;Diagram!$P36),SUMIFS(INDIRECT(ADDRESS(12,3+18*3+(11),,,"J1 C - (South) Bishopthorpe Roa")&amp;":"&amp;ADDRESS(130,3+18*3+(11))),'J1 C - (South) Bishopthorpe Roa'!$A$12:$A$130,"&gt;="&amp;Diagram!$O36,'J1 C - (South) Bishopthorpe Roa'!$A$12:$A$130,"&lt;"&amp;Diagram!$P36)))</f>
        <v>0</v>
      </c>
      <c r="CC36" s="42">
        <f ca="1">IF(OR($I$10="",$O36="",$P36="",$J$38&lt;&gt;"Yes"),0,IF($K$10=0,SUMIFS(INDIRECT(ADDRESS(12,3+18*0+(3),,,"J1 C - (South) Bishopthorpe Roa")&amp;":"&amp;ADDRESS(130,3+18*0+(3))),'J1 C - (South) Bishopthorpe Roa'!$A$12:$A$130,"&gt;="&amp;Diagram!$O36,'J1 C - (South) Bishopthorpe Roa'!$A$12:$A$130,"&lt;"&amp;Diagram!$P36),SUMIFS(INDIRECT(ADDRESS(12,3+18*0+(11),,,"J1 C - (South) Bishopthorpe Roa")&amp;":"&amp;ADDRESS(130,3+18*0+(11))),'J1 C - (South) Bishopthorpe Roa'!$A$12:$A$130,"&gt;="&amp;Diagram!$O36,'J1 C - (South) Bishopthorpe Roa'!$A$12:$A$130,"&lt;"&amp;Diagram!$P36)))</f>
        <v>0</v>
      </c>
      <c r="CD36" s="42">
        <f ca="1">IF(OR($I$10="",$O36="",$P36="",$J$38&lt;&gt;"Yes"),0,IF($K$10=0,SUMIFS(INDIRECT(ADDRESS(12,3+18*0+(3),,,"J1 D - South Bank Avenue")&amp;":"&amp;ADDRESS(130,3+18*0+(3))),'J1 D - South Bank Avenue'!$A$12:$A$130,"&gt;="&amp;Diagram!$O36,'J1 D - South Bank Avenue'!$A$12:$A$130,"&lt;"&amp;Diagram!$P36),SUMIFS(INDIRECT(ADDRESS(12,3+18*0+(11),,,"J1 D - South Bank Avenue")&amp;":"&amp;ADDRESS(130,3+18*0+(11))),'J1 D - South Bank Avenue'!$A$12:$A$130,"&gt;="&amp;Diagram!$O36,'J1 D - South Bank Avenue'!$A$12:$A$130,"&lt;"&amp;Diagram!$P36)))</f>
        <v>0</v>
      </c>
      <c r="CE36" s="42">
        <f ca="1">IF(OR($I$10="",$O36="",$P36="",$J$38&lt;&gt;"Yes"),0,IF($K$10=0,SUMIFS(INDIRECT(ADDRESS(12,3+18*1+(3),,,"J1 D - South Bank Avenue")&amp;":"&amp;ADDRESS(130,3+18*1+(3))),'J1 D - South Bank Avenue'!$A$12:$A$130,"&gt;="&amp;Diagram!$O36,'J1 D - South Bank Avenue'!$A$12:$A$130,"&lt;"&amp;Diagram!$P36),SUMIFS(INDIRECT(ADDRESS(12,3+18*1+(11),,,"J1 D - South Bank Avenue")&amp;":"&amp;ADDRESS(130,3+18*1+(11))),'J1 D - South Bank Avenue'!$A$12:$A$130,"&gt;="&amp;Diagram!$O36,'J1 D - South Bank Avenue'!$A$12:$A$130,"&lt;"&amp;Diagram!$P36)))</f>
        <v>0</v>
      </c>
      <c r="CF36" s="42">
        <f ca="1">IF(OR($I$10="",$O36="",$P36="",$J$38&lt;&gt;"Yes"),0,IF($K$10=0,SUMIFS(INDIRECT(ADDRESS(12,3+18*2+(3),,,"J1 D - South Bank Avenue")&amp;":"&amp;ADDRESS(130,3+18*2+(3))),'J1 D - South Bank Avenue'!$A$12:$A$130,"&gt;="&amp;Diagram!$O36,'J1 D - South Bank Avenue'!$A$12:$A$130,"&lt;"&amp;Diagram!$P36),SUMIFS(INDIRECT(ADDRESS(12,3+18*2+(11),,,"J1 D - South Bank Avenue")&amp;":"&amp;ADDRESS(130,3+18*2+(11))),'J1 D - South Bank Avenue'!$A$12:$A$130,"&gt;="&amp;Diagram!$O36,'J1 D - South Bank Avenue'!$A$12:$A$130,"&lt;"&amp;Diagram!$P36)))</f>
        <v>0</v>
      </c>
      <c r="CG36" s="42">
        <f ca="1">IF(OR($I$10="",$O36="",$P36="",$J$38&lt;&gt;"Yes"),0,IF($K$10=0,SUMIFS(INDIRECT(ADDRESS(12,3+18*3+(3),,,"J1 D - South Bank Avenue")&amp;":"&amp;ADDRESS(130,3+18*3+(3))),'J1 D - South Bank Avenue'!$A$12:$A$130,"&gt;="&amp;Diagram!$O36,'J1 D - South Bank Avenue'!$A$12:$A$130,"&lt;"&amp;Diagram!$P36),SUMIFS(INDIRECT(ADDRESS(12,3+18*3+(11),,,"J1 D - South Bank Avenue")&amp;":"&amp;ADDRESS(130,3+18*3+(11))),'J1 D - South Bank Avenue'!$A$12:$A$130,"&gt;="&amp;Diagram!$O36,'J1 D - South Bank Avenue'!$A$12:$A$130,"&lt;"&amp;Diagram!$P36)))</f>
        <v>0</v>
      </c>
      <c r="CH36" s="42">
        <f t="shared" ca="1" si="5"/>
        <v>8</v>
      </c>
      <c r="CI36" s="42">
        <f ca="1">IF(OR($I$10="",$O36="",$P36="",$J$39&lt;&gt;"Yes"),0,IF($K$10=0,SUMIFS(INDIRECT(ADDRESS(12,3+18*3+(4),,,"J1 A - (North) Bishopthorpe Roa")&amp;":"&amp;ADDRESS(130,3+18*3+(4))),'J1 A - (North) Bishopthorpe Roa'!$A$12:$A$130,"&gt;="&amp;Diagram!$O36,'J1 A - (North) Bishopthorpe Roa'!$A$12:$A$130,"&lt;"&amp;Diagram!$P36),SUMIFS(INDIRECT(ADDRESS(12,3+18*3+(12),,,"J1 A - (North) Bishopthorpe Roa")&amp;":"&amp;ADDRESS(130,3+18*3+(12))),'J1 A - (North) Bishopthorpe Roa'!$A$12:$A$130,"&gt;="&amp;Diagram!$O36,'J1 A - (North) Bishopthorpe Roa'!$A$12:$A$130,"&lt;"&amp;Diagram!$P36)))</f>
        <v>0</v>
      </c>
      <c r="CJ36" s="42">
        <f ca="1">IF(OR($I$10="",$O36="",$P36="",$J$39&lt;&gt;"Yes"),0,IF($K$10=0,SUMIFS(INDIRECT(ADDRESS(12,3+18*0+(4),,,"J1 A - (North) Bishopthorpe Roa")&amp;":"&amp;ADDRESS(130,3+18*0+(4))),'J1 A - (North) Bishopthorpe Roa'!$A$12:$A$130,"&gt;="&amp;Diagram!$O36,'J1 A - (North) Bishopthorpe Roa'!$A$12:$A$130,"&lt;"&amp;Diagram!$P36),SUMIFS(INDIRECT(ADDRESS(12,3+18*0+(12),,,"J1 A - (North) Bishopthorpe Roa")&amp;":"&amp;ADDRESS(130,3+18*0+(12))),'J1 A - (North) Bishopthorpe Roa'!$A$12:$A$130,"&gt;="&amp;Diagram!$O36,'J1 A - (North) Bishopthorpe Roa'!$A$12:$A$130,"&lt;"&amp;Diagram!$P36)))</f>
        <v>0</v>
      </c>
      <c r="CK36" s="42">
        <f ca="1">IF(OR($I$10="",$O36="",$P36="",$J$39&lt;&gt;"Yes"),0,IF($K$10=0,SUMIFS(INDIRECT(ADDRESS(12,3+18*1+(4),,,"J1 A - (North) Bishopthorpe Roa")&amp;":"&amp;ADDRESS(130,3+18*1+(4))),'J1 A - (North) Bishopthorpe Roa'!$A$12:$A$130,"&gt;="&amp;Diagram!$O36,'J1 A - (North) Bishopthorpe Roa'!$A$12:$A$130,"&lt;"&amp;Diagram!$P36),SUMIFS(INDIRECT(ADDRESS(12,3+18*1+(12),,,"J1 A - (North) Bishopthorpe Roa")&amp;":"&amp;ADDRESS(130,3+18*1+(12))),'J1 A - (North) Bishopthorpe Roa'!$A$12:$A$130,"&gt;="&amp;Diagram!$O36,'J1 A - (North) Bishopthorpe Roa'!$A$12:$A$130,"&lt;"&amp;Diagram!$P36)))</f>
        <v>4</v>
      </c>
      <c r="CL36" s="42">
        <f ca="1">IF(OR($I$10="",$O36="",$P36="",$J$39&lt;&gt;"Yes"),0,IF($K$10=0,SUMIFS(INDIRECT(ADDRESS(12,3+18*2+(4),,,"J1 A - (North) Bishopthorpe Roa")&amp;":"&amp;ADDRESS(130,3+18*2+(4))),'J1 A - (North) Bishopthorpe Roa'!$A$12:$A$130,"&gt;="&amp;Diagram!$O36,'J1 A - (North) Bishopthorpe Roa'!$A$12:$A$130,"&lt;"&amp;Diagram!$P36),SUMIFS(INDIRECT(ADDRESS(12,3+18*2+(12),,,"J1 A - (North) Bishopthorpe Roa")&amp;":"&amp;ADDRESS(130,3+18*2+(12))),'J1 A - (North) Bishopthorpe Roa'!$A$12:$A$130,"&gt;="&amp;Diagram!$O36,'J1 A - (North) Bishopthorpe Roa'!$A$12:$A$130,"&lt;"&amp;Diagram!$P36)))</f>
        <v>0</v>
      </c>
      <c r="CM36" s="42">
        <f ca="1">IF(OR($I$10="",$O36="",$P36="",$J$39&lt;&gt;"Yes"),0,IF($K$10=0,SUMIFS(INDIRECT(ADDRESS(12,3+18*2+(4),,,"J1 B - Butcher Terrace")&amp;":"&amp;ADDRESS(130,3+18*2+(4))),'J1 B - Butcher Terrace'!$A$12:$A$130,"&gt;="&amp;Diagram!$O36,'J1 B - Butcher Terrace'!$A$12:$A$130,"&lt;"&amp;Diagram!$P36),SUMIFS(INDIRECT(ADDRESS(12,3+18*2+(12),,,"J1 B - Butcher Terrace")&amp;":"&amp;ADDRESS(130,3+18*2+(12))),'J1 B - Butcher Terrace'!$A$12:$A$130,"&gt;="&amp;Diagram!$O36,'J1 B - Butcher Terrace'!$A$12:$A$130,"&lt;"&amp;Diagram!$P36)))</f>
        <v>0</v>
      </c>
      <c r="CN36" s="42">
        <f ca="1">IF(OR($I$10="",$O36="",$P36="",$J$39&lt;&gt;"Yes"),0,IF($K$10=0,SUMIFS(INDIRECT(ADDRESS(12,3+18*3+(4),,,"J1 B - Butcher Terrace")&amp;":"&amp;ADDRESS(130,3+18*3+(4))),'J1 B - Butcher Terrace'!$A$12:$A$130,"&gt;="&amp;Diagram!$O36,'J1 B - Butcher Terrace'!$A$12:$A$130,"&lt;"&amp;Diagram!$P36),SUMIFS(INDIRECT(ADDRESS(12,3+18*3+(12),,,"J1 B - Butcher Terrace")&amp;":"&amp;ADDRESS(130,3+18*3+(12))),'J1 B - Butcher Terrace'!$A$12:$A$130,"&gt;="&amp;Diagram!$O36,'J1 B - Butcher Terrace'!$A$12:$A$130,"&lt;"&amp;Diagram!$P36)))</f>
        <v>0</v>
      </c>
      <c r="CO36" s="42">
        <f ca="1">IF(OR($I$10="",$O36="",$P36="",$J$39&lt;&gt;"Yes"),0,IF($K$10=0,SUMIFS(INDIRECT(ADDRESS(12,3+18*0+(4),,,"J1 B - Butcher Terrace")&amp;":"&amp;ADDRESS(130,3+18*0+(4))),'J1 B - Butcher Terrace'!$A$12:$A$130,"&gt;="&amp;Diagram!$O36,'J1 B - Butcher Terrace'!$A$12:$A$130,"&lt;"&amp;Diagram!$P36),SUMIFS(INDIRECT(ADDRESS(12,3+18*0+(12),,,"J1 B - Butcher Terrace")&amp;":"&amp;ADDRESS(130,3+18*0+(12))),'J1 B - Butcher Terrace'!$A$12:$A$130,"&gt;="&amp;Diagram!$O36,'J1 B - Butcher Terrace'!$A$12:$A$130,"&lt;"&amp;Diagram!$P36)))</f>
        <v>0</v>
      </c>
      <c r="CP36" s="42">
        <f ca="1">IF(OR($I$10="",$O36="",$P36="",$J$39&lt;&gt;"Yes"),0,IF($K$10=0,SUMIFS(INDIRECT(ADDRESS(12,3+18*1+(4),,,"J1 B - Butcher Terrace")&amp;":"&amp;ADDRESS(130,3+18*1+(4))),'J1 B - Butcher Terrace'!$A$12:$A$130,"&gt;="&amp;Diagram!$O36,'J1 B - Butcher Terrace'!$A$12:$A$130,"&lt;"&amp;Diagram!$P36),SUMIFS(INDIRECT(ADDRESS(12,3+18*1+(12),,,"J1 B - Butcher Terrace")&amp;":"&amp;ADDRESS(130,3+18*1+(12))),'J1 B - Butcher Terrace'!$A$12:$A$130,"&gt;="&amp;Diagram!$O36,'J1 B - Butcher Terrace'!$A$12:$A$130,"&lt;"&amp;Diagram!$P36)))</f>
        <v>0</v>
      </c>
      <c r="CQ36" s="42">
        <f ca="1">IF(OR($I$10="",$O36="",$P36="",$J$39&lt;&gt;"Yes"),0,IF($K$10=0,SUMIFS(INDIRECT(ADDRESS(12,3+18*1+(4),,,"J1 C - (South) Bishopthorpe Roa")&amp;":"&amp;ADDRESS(130,3+18*1+(4))),'J1 C - (South) Bishopthorpe Roa'!$A$12:$A$130,"&gt;="&amp;Diagram!$O36,'J1 C - (South) Bishopthorpe Roa'!$A$12:$A$130,"&lt;"&amp;Diagram!$P36),SUMIFS(INDIRECT(ADDRESS(12,3+18*1+(12),,,"J1 C - (South) Bishopthorpe Roa")&amp;":"&amp;ADDRESS(130,3+18*1+(12))),'J1 C - (South) Bishopthorpe Roa'!$A$12:$A$130,"&gt;="&amp;Diagram!$O36,'J1 C - (South) Bishopthorpe Roa'!$A$12:$A$130,"&lt;"&amp;Diagram!$P36)))</f>
        <v>4</v>
      </c>
      <c r="CR36" s="42">
        <f ca="1">IF(OR($I$10="",$O36="",$P36="",$J$39&lt;&gt;"Yes"),0,IF($K$10=0,SUMIFS(INDIRECT(ADDRESS(12,3+18*2+(4),,,"J1 C - (South) Bishopthorpe Roa")&amp;":"&amp;ADDRESS(130,3+18*2+(4))),'J1 C - (South) Bishopthorpe Roa'!$A$12:$A$130,"&gt;="&amp;Diagram!$O36,'J1 C - (South) Bishopthorpe Roa'!$A$12:$A$130,"&lt;"&amp;Diagram!$P36),SUMIFS(INDIRECT(ADDRESS(12,3+18*2+(12),,,"J1 C - (South) Bishopthorpe Roa")&amp;":"&amp;ADDRESS(130,3+18*2+(12))),'J1 C - (South) Bishopthorpe Roa'!$A$12:$A$130,"&gt;="&amp;Diagram!$O36,'J1 C - (South) Bishopthorpe Roa'!$A$12:$A$130,"&lt;"&amp;Diagram!$P36)))</f>
        <v>0</v>
      </c>
      <c r="CS36" s="42">
        <f ca="1">IF(OR($I$10="",$O36="",$P36="",$J$39&lt;&gt;"Yes"),0,IF($K$10=0,SUMIFS(INDIRECT(ADDRESS(12,3+18*3+(4),,,"J1 C - (South) Bishopthorpe Roa")&amp;":"&amp;ADDRESS(130,3+18*3+(4))),'J1 C - (South) Bishopthorpe Roa'!$A$12:$A$130,"&gt;="&amp;Diagram!$O36,'J1 C - (South) Bishopthorpe Roa'!$A$12:$A$130,"&lt;"&amp;Diagram!$P36),SUMIFS(INDIRECT(ADDRESS(12,3+18*3+(12),,,"J1 C - (South) Bishopthorpe Roa")&amp;":"&amp;ADDRESS(130,3+18*3+(12))),'J1 C - (South) Bishopthorpe Roa'!$A$12:$A$130,"&gt;="&amp;Diagram!$O36,'J1 C - (South) Bishopthorpe Roa'!$A$12:$A$130,"&lt;"&amp;Diagram!$P36)))</f>
        <v>0</v>
      </c>
      <c r="CT36" s="42">
        <f ca="1">IF(OR($I$10="",$O36="",$P36="",$J$39&lt;&gt;"Yes"),0,IF($K$10=0,SUMIFS(INDIRECT(ADDRESS(12,3+18*0+(4),,,"J1 C - (South) Bishopthorpe Roa")&amp;":"&amp;ADDRESS(130,3+18*0+(4))),'J1 C - (South) Bishopthorpe Roa'!$A$12:$A$130,"&gt;="&amp;Diagram!$O36,'J1 C - (South) Bishopthorpe Roa'!$A$12:$A$130,"&lt;"&amp;Diagram!$P36),SUMIFS(INDIRECT(ADDRESS(12,3+18*0+(12),,,"J1 C - (South) Bishopthorpe Roa")&amp;":"&amp;ADDRESS(130,3+18*0+(12))),'J1 C - (South) Bishopthorpe Roa'!$A$12:$A$130,"&gt;="&amp;Diagram!$O36,'J1 C - (South) Bishopthorpe Roa'!$A$12:$A$130,"&lt;"&amp;Diagram!$P36)))</f>
        <v>0</v>
      </c>
      <c r="CU36" s="42">
        <f ca="1">IF(OR($I$10="",$O36="",$P36="",$J$39&lt;&gt;"Yes"),0,IF($K$10=0,SUMIFS(INDIRECT(ADDRESS(12,3+18*0+(4),,,"J1 D - South Bank Avenue")&amp;":"&amp;ADDRESS(130,3+18*0+(4))),'J1 D - South Bank Avenue'!$A$12:$A$130,"&gt;="&amp;Diagram!$O36,'J1 D - South Bank Avenue'!$A$12:$A$130,"&lt;"&amp;Diagram!$P36),SUMIFS(INDIRECT(ADDRESS(12,3+18*0+(12),,,"J1 D - South Bank Avenue")&amp;":"&amp;ADDRESS(130,3+18*0+(12))),'J1 D - South Bank Avenue'!$A$12:$A$130,"&gt;="&amp;Diagram!$O36,'J1 D - South Bank Avenue'!$A$12:$A$130,"&lt;"&amp;Diagram!$P36)))</f>
        <v>0</v>
      </c>
      <c r="CV36" s="42">
        <f ca="1">IF(OR($I$10="",$O36="",$P36="",$J$39&lt;&gt;"Yes"),0,IF($K$10=0,SUMIFS(INDIRECT(ADDRESS(12,3+18*1+(4),,,"J1 D - South Bank Avenue")&amp;":"&amp;ADDRESS(130,3+18*1+(4))),'J1 D - South Bank Avenue'!$A$12:$A$130,"&gt;="&amp;Diagram!$O36,'J1 D - South Bank Avenue'!$A$12:$A$130,"&lt;"&amp;Diagram!$P36),SUMIFS(INDIRECT(ADDRESS(12,3+18*1+(12),,,"J1 D - South Bank Avenue")&amp;":"&amp;ADDRESS(130,3+18*1+(12))),'J1 D - South Bank Avenue'!$A$12:$A$130,"&gt;="&amp;Diagram!$O36,'J1 D - South Bank Avenue'!$A$12:$A$130,"&lt;"&amp;Diagram!$P36)))</f>
        <v>0</v>
      </c>
      <c r="CW36" s="42">
        <f ca="1">IF(OR($I$10="",$O36="",$P36="",$J$39&lt;&gt;"Yes"),0,IF($K$10=0,SUMIFS(INDIRECT(ADDRESS(12,3+18*2+(4),,,"J1 D - South Bank Avenue")&amp;":"&amp;ADDRESS(130,3+18*2+(4))),'J1 D - South Bank Avenue'!$A$12:$A$130,"&gt;="&amp;Diagram!$O36,'J1 D - South Bank Avenue'!$A$12:$A$130,"&lt;"&amp;Diagram!$P36),SUMIFS(INDIRECT(ADDRESS(12,3+18*2+(12),,,"J1 D - South Bank Avenue")&amp;":"&amp;ADDRESS(130,3+18*2+(12))),'J1 D - South Bank Avenue'!$A$12:$A$130,"&gt;="&amp;Diagram!$O36,'J1 D - South Bank Avenue'!$A$12:$A$130,"&lt;"&amp;Diagram!$P36)))</f>
        <v>0</v>
      </c>
      <c r="CX36" s="42">
        <f ca="1">IF(OR($I$10="",$O36="",$P36="",$J$39&lt;&gt;"Yes"),0,IF($K$10=0,SUMIFS(INDIRECT(ADDRESS(12,3+18*3+(4),,,"J1 D - South Bank Avenue")&amp;":"&amp;ADDRESS(130,3+18*3+(4))),'J1 D - South Bank Avenue'!$A$12:$A$130,"&gt;="&amp;Diagram!$O36,'J1 D - South Bank Avenue'!$A$12:$A$130,"&lt;"&amp;Diagram!$P36),SUMIFS(INDIRECT(ADDRESS(12,3+18*3+(12),,,"J1 D - South Bank Avenue")&amp;":"&amp;ADDRESS(130,3+18*3+(12))),'J1 D - South Bank Avenue'!$A$12:$A$130,"&gt;="&amp;Diagram!$O36,'J1 D - South Bank Avenue'!$A$12:$A$130,"&lt;"&amp;Diagram!$P36)))</f>
        <v>0</v>
      </c>
      <c r="CY36" s="42">
        <f t="shared" ca="1" si="6"/>
        <v>100</v>
      </c>
      <c r="CZ36" s="42">
        <f ca="1">IF(OR($I$10="",$O36="",$P36="",$J$40&lt;&gt;"Yes"),0,IF($K$10=0,SUMIFS(INDIRECT(ADDRESS(12,3+18*3+(5),,,"J1 A - (North) Bishopthorpe Roa")&amp;":"&amp;ADDRESS(130,3+18*3+(5))),'J1 A - (North) Bishopthorpe Roa'!$A$12:$A$130,"&gt;="&amp;Diagram!$O36,'J1 A - (North) Bishopthorpe Roa'!$A$12:$A$130,"&lt;"&amp;Diagram!$P36),SUMIFS(INDIRECT(ADDRESS(12,3+18*3+(13),,,"J1 A - (North) Bishopthorpe Roa")&amp;":"&amp;ADDRESS(130,3+18*3+(13))),'J1 A - (North) Bishopthorpe Roa'!$A$12:$A$130,"&gt;="&amp;Diagram!$O36,'J1 A - (North) Bishopthorpe Roa'!$A$12:$A$130,"&lt;"&amp;Diagram!$P36)))</f>
        <v>0</v>
      </c>
      <c r="DA36" s="42">
        <f ca="1">IF(OR($I$10="",$O36="",$P36="",$J$40&lt;&gt;"Yes"),0,IF($K$10=0,SUMIFS(INDIRECT(ADDRESS(12,3+18*0+(5),,,"J1 A - (North) Bishopthorpe Roa")&amp;":"&amp;ADDRESS(130,3+18*0+(5))),'J1 A - (North) Bishopthorpe Roa'!$A$12:$A$130,"&gt;="&amp;Diagram!$O36,'J1 A - (North) Bishopthorpe Roa'!$A$12:$A$130,"&lt;"&amp;Diagram!$P36),SUMIFS(INDIRECT(ADDRESS(12,3+18*0+(13),,,"J1 A - (North) Bishopthorpe Roa")&amp;":"&amp;ADDRESS(130,3+18*0+(13))),'J1 A - (North) Bishopthorpe Roa'!$A$12:$A$130,"&gt;="&amp;Diagram!$O36,'J1 A - (North) Bishopthorpe Roa'!$A$12:$A$130,"&lt;"&amp;Diagram!$P36)))</f>
        <v>15</v>
      </c>
      <c r="DB36" s="42">
        <f ca="1">IF(OR($I$10="",$O36="",$P36="",$J$40&lt;&gt;"Yes"),0,IF($K$10=0,SUMIFS(INDIRECT(ADDRESS(12,3+18*1+(5),,,"J1 A - (North) Bishopthorpe Roa")&amp;":"&amp;ADDRESS(130,3+18*1+(5))),'J1 A - (North) Bishopthorpe Roa'!$A$12:$A$130,"&gt;="&amp;Diagram!$O36,'J1 A - (North) Bishopthorpe Roa'!$A$12:$A$130,"&lt;"&amp;Diagram!$P36),SUMIFS(INDIRECT(ADDRESS(12,3+18*1+(13),,,"J1 A - (North) Bishopthorpe Roa")&amp;":"&amp;ADDRESS(130,3+18*1+(13))),'J1 A - (North) Bishopthorpe Roa'!$A$12:$A$130,"&gt;="&amp;Diagram!$O36,'J1 A - (North) Bishopthorpe Roa'!$A$12:$A$130,"&lt;"&amp;Diagram!$P36)))</f>
        <v>10</v>
      </c>
      <c r="DC36" s="42">
        <f ca="1">IF(OR($I$10="",$O36="",$P36="",$J$40&lt;&gt;"Yes"),0,IF($K$10=0,SUMIFS(INDIRECT(ADDRESS(12,3+18*2+(5),,,"J1 A - (North) Bishopthorpe Roa")&amp;":"&amp;ADDRESS(130,3+18*2+(5))),'J1 A - (North) Bishopthorpe Roa'!$A$12:$A$130,"&gt;="&amp;Diagram!$O36,'J1 A - (North) Bishopthorpe Roa'!$A$12:$A$130,"&lt;"&amp;Diagram!$P36),SUMIFS(INDIRECT(ADDRESS(12,3+18*2+(13),,,"J1 A - (North) Bishopthorpe Roa")&amp;":"&amp;ADDRESS(130,3+18*2+(13))),'J1 A - (North) Bishopthorpe Roa'!$A$12:$A$130,"&gt;="&amp;Diagram!$O36,'J1 A - (North) Bishopthorpe Roa'!$A$12:$A$130,"&lt;"&amp;Diagram!$P36)))</f>
        <v>1</v>
      </c>
      <c r="DD36" s="42">
        <f ca="1">IF(OR($I$10="",$O36="",$P36="",$J$40&lt;&gt;"Yes"),0,IF($K$10=0,SUMIFS(INDIRECT(ADDRESS(12,3+18*2+(5),,,"J1 B - Butcher Terrace")&amp;":"&amp;ADDRESS(130,3+18*2+(5))),'J1 B - Butcher Terrace'!$A$12:$A$130,"&gt;="&amp;Diagram!$O36,'J1 B - Butcher Terrace'!$A$12:$A$130,"&lt;"&amp;Diagram!$P36),SUMIFS(INDIRECT(ADDRESS(12,3+18*2+(13),,,"J1 B - Butcher Terrace")&amp;":"&amp;ADDRESS(130,3+18*2+(13))),'J1 B - Butcher Terrace'!$A$12:$A$130,"&gt;="&amp;Diagram!$O36,'J1 B - Butcher Terrace'!$A$12:$A$130,"&lt;"&amp;Diagram!$P36)))</f>
        <v>4</v>
      </c>
      <c r="DE36" s="42">
        <f ca="1">IF(OR($I$10="",$O36="",$P36="",$J$40&lt;&gt;"Yes"),0,IF($K$10=0,SUMIFS(INDIRECT(ADDRESS(12,3+18*3+(5),,,"J1 B - Butcher Terrace")&amp;":"&amp;ADDRESS(130,3+18*3+(5))),'J1 B - Butcher Terrace'!$A$12:$A$130,"&gt;="&amp;Diagram!$O36,'J1 B - Butcher Terrace'!$A$12:$A$130,"&lt;"&amp;Diagram!$P36),SUMIFS(INDIRECT(ADDRESS(12,3+18*3+(13),,,"J1 B - Butcher Terrace")&amp;":"&amp;ADDRESS(130,3+18*3+(13))),'J1 B - Butcher Terrace'!$A$12:$A$130,"&gt;="&amp;Diagram!$O36,'J1 B - Butcher Terrace'!$A$12:$A$130,"&lt;"&amp;Diagram!$P36)))</f>
        <v>0</v>
      </c>
      <c r="DF36" s="42">
        <f ca="1">IF(OR($I$10="",$O36="",$P36="",$J$40&lt;&gt;"Yes"),0,IF($K$10=0,SUMIFS(INDIRECT(ADDRESS(12,3+18*0+(5),,,"J1 B - Butcher Terrace")&amp;":"&amp;ADDRESS(130,3+18*0+(5))),'J1 B - Butcher Terrace'!$A$12:$A$130,"&gt;="&amp;Diagram!$O36,'J1 B - Butcher Terrace'!$A$12:$A$130,"&lt;"&amp;Diagram!$P36),SUMIFS(INDIRECT(ADDRESS(12,3+18*0+(13),,,"J1 B - Butcher Terrace")&amp;":"&amp;ADDRESS(130,3+18*0+(13))),'J1 B - Butcher Terrace'!$A$12:$A$130,"&gt;="&amp;Diagram!$O36,'J1 B - Butcher Terrace'!$A$12:$A$130,"&lt;"&amp;Diagram!$P36)))</f>
        <v>4</v>
      </c>
      <c r="DG36" s="42">
        <f ca="1">IF(OR($I$10="",$O36="",$P36="",$J$40&lt;&gt;"Yes"),0,IF($K$10=0,SUMIFS(INDIRECT(ADDRESS(12,3+18*1+(5),,,"J1 B - Butcher Terrace")&amp;":"&amp;ADDRESS(130,3+18*1+(5))),'J1 B - Butcher Terrace'!$A$12:$A$130,"&gt;="&amp;Diagram!$O36,'J1 B - Butcher Terrace'!$A$12:$A$130,"&lt;"&amp;Diagram!$P36),SUMIFS(INDIRECT(ADDRESS(12,3+18*1+(13),,,"J1 B - Butcher Terrace")&amp;":"&amp;ADDRESS(130,3+18*1+(13))),'J1 B - Butcher Terrace'!$A$12:$A$130,"&gt;="&amp;Diagram!$O36,'J1 B - Butcher Terrace'!$A$12:$A$130,"&lt;"&amp;Diagram!$P36)))</f>
        <v>6</v>
      </c>
      <c r="DH36" s="42">
        <f ca="1">IF(OR($I$10="",$O36="",$P36="",$J$40&lt;&gt;"Yes"),0,IF($K$10=0,SUMIFS(INDIRECT(ADDRESS(12,3+18*1+(5),,,"J1 C - (South) Bishopthorpe Roa")&amp;":"&amp;ADDRESS(130,3+18*1+(5))),'J1 C - (South) Bishopthorpe Roa'!$A$12:$A$130,"&gt;="&amp;Diagram!$O36,'J1 C - (South) Bishopthorpe Roa'!$A$12:$A$130,"&lt;"&amp;Diagram!$P36),SUMIFS(INDIRECT(ADDRESS(12,3+18*1+(13),,,"J1 C - (South) Bishopthorpe Roa")&amp;":"&amp;ADDRESS(130,3+18*1+(13))),'J1 C - (South) Bishopthorpe Roa'!$A$12:$A$130,"&gt;="&amp;Diagram!$O36,'J1 C - (South) Bishopthorpe Roa'!$A$12:$A$130,"&lt;"&amp;Diagram!$P36)))</f>
        <v>19</v>
      </c>
      <c r="DI36" s="42">
        <f ca="1">IF(OR($I$10="",$O36="",$P36="",$J$40&lt;&gt;"Yes"),0,IF($K$10=0,SUMIFS(INDIRECT(ADDRESS(12,3+18*2+(5),,,"J1 C - (South) Bishopthorpe Roa")&amp;":"&amp;ADDRESS(130,3+18*2+(5))),'J1 C - (South) Bishopthorpe Roa'!$A$12:$A$130,"&gt;="&amp;Diagram!$O36,'J1 C - (South) Bishopthorpe Roa'!$A$12:$A$130,"&lt;"&amp;Diagram!$P36),SUMIFS(INDIRECT(ADDRESS(12,3+18*2+(13),,,"J1 C - (South) Bishopthorpe Roa")&amp;":"&amp;ADDRESS(130,3+18*2+(13))),'J1 C - (South) Bishopthorpe Roa'!$A$12:$A$130,"&gt;="&amp;Diagram!$O36,'J1 C - (South) Bishopthorpe Roa'!$A$12:$A$130,"&lt;"&amp;Diagram!$P36)))</f>
        <v>12</v>
      </c>
      <c r="DJ36" s="42">
        <f ca="1">IF(OR($I$10="",$O36="",$P36="",$J$40&lt;&gt;"Yes"),0,IF($K$10=0,SUMIFS(INDIRECT(ADDRESS(12,3+18*3+(5),,,"J1 C - (South) Bishopthorpe Roa")&amp;":"&amp;ADDRESS(130,3+18*3+(5))),'J1 C - (South) Bishopthorpe Roa'!$A$12:$A$130,"&gt;="&amp;Diagram!$O36,'J1 C - (South) Bishopthorpe Roa'!$A$12:$A$130,"&lt;"&amp;Diagram!$P36),SUMIFS(INDIRECT(ADDRESS(12,3+18*3+(13),,,"J1 C - (South) Bishopthorpe Roa")&amp;":"&amp;ADDRESS(130,3+18*3+(13))),'J1 C - (South) Bishopthorpe Roa'!$A$12:$A$130,"&gt;="&amp;Diagram!$O36,'J1 C - (South) Bishopthorpe Roa'!$A$12:$A$130,"&lt;"&amp;Diagram!$P36)))</f>
        <v>0</v>
      </c>
      <c r="DK36" s="42">
        <f ca="1">IF(OR($I$10="",$O36="",$P36="",$J$40&lt;&gt;"Yes"),0,IF($K$10=0,SUMIFS(INDIRECT(ADDRESS(12,3+18*0+(5),,,"J1 C - (South) Bishopthorpe Roa")&amp;":"&amp;ADDRESS(130,3+18*0+(5))),'J1 C - (South) Bishopthorpe Roa'!$A$12:$A$130,"&gt;="&amp;Diagram!$O36,'J1 C - (South) Bishopthorpe Roa'!$A$12:$A$130,"&lt;"&amp;Diagram!$P36),SUMIFS(INDIRECT(ADDRESS(12,3+18*0+(13),,,"J1 C - (South) Bishopthorpe Roa")&amp;":"&amp;ADDRESS(130,3+18*0+(13))),'J1 C - (South) Bishopthorpe Roa'!$A$12:$A$130,"&gt;="&amp;Diagram!$O36,'J1 C - (South) Bishopthorpe Roa'!$A$12:$A$130,"&lt;"&amp;Diagram!$P36)))</f>
        <v>1</v>
      </c>
      <c r="DL36" s="42">
        <f ca="1">IF(OR($I$10="",$O36="",$P36="",$J$40&lt;&gt;"Yes"),0,IF($K$10=0,SUMIFS(INDIRECT(ADDRESS(12,3+18*0+(5),,,"J1 D - South Bank Avenue")&amp;":"&amp;ADDRESS(130,3+18*0+(5))),'J1 D - South Bank Avenue'!$A$12:$A$130,"&gt;="&amp;Diagram!$O36,'J1 D - South Bank Avenue'!$A$12:$A$130,"&lt;"&amp;Diagram!$P36),SUMIFS(INDIRECT(ADDRESS(12,3+18*0+(13),,,"J1 D - South Bank Avenue")&amp;":"&amp;ADDRESS(130,3+18*0+(13))),'J1 D - South Bank Avenue'!$A$12:$A$130,"&gt;="&amp;Diagram!$O36,'J1 D - South Bank Avenue'!$A$12:$A$130,"&lt;"&amp;Diagram!$P36)))</f>
        <v>6</v>
      </c>
      <c r="DM36" s="42">
        <f ca="1">IF(OR($I$10="",$O36="",$P36="",$J$40&lt;&gt;"Yes"),0,IF($K$10=0,SUMIFS(INDIRECT(ADDRESS(12,3+18*1+(5),,,"J1 D - South Bank Avenue")&amp;":"&amp;ADDRESS(130,3+18*1+(5))),'J1 D - South Bank Avenue'!$A$12:$A$130,"&gt;="&amp;Diagram!$O36,'J1 D - South Bank Avenue'!$A$12:$A$130,"&lt;"&amp;Diagram!$P36),SUMIFS(INDIRECT(ADDRESS(12,3+18*1+(13),,,"J1 D - South Bank Avenue")&amp;":"&amp;ADDRESS(130,3+18*1+(13))),'J1 D - South Bank Avenue'!$A$12:$A$130,"&gt;="&amp;Diagram!$O36,'J1 D - South Bank Avenue'!$A$12:$A$130,"&lt;"&amp;Diagram!$P36)))</f>
        <v>22</v>
      </c>
      <c r="DN36" s="42">
        <f ca="1">IF(OR($I$10="",$O36="",$P36="",$J$40&lt;&gt;"Yes"),0,IF($K$10=0,SUMIFS(INDIRECT(ADDRESS(12,3+18*2+(5),,,"J1 D - South Bank Avenue")&amp;":"&amp;ADDRESS(130,3+18*2+(5))),'J1 D - South Bank Avenue'!$A$12:$A$130,"&gt;="&amp;Diagram!$O36,'J1 D - South Bank Avenue'!$A$12:$A$130,"&lt;"&amp;Diagram!$P36),SUMIFS(INDIRECT(ADDRESS(12,3+18*2+(13),,,"J1 D - South Bank Avenue")&amp;":"&amp;ADDRESS(130,3+18*2+(13))),'J1 D - South Bank Avenue'!$A$12:$A$130,"&gt;="&amp;Diagram!$O36,'J1 D - South Bank Avenue'!$A$12:$A$130,"&lt;"&amp;Diagram!$P36)))</f>
        <v>0</v>
      </c>
      <c r="DO36" s="42">
        <f ca="1">IF(OR($I$10="",$O36="",$P36="",$J$40&lt;&gt;"Yes"),0,IF($K$10=0,SUMIFS(INDIRECT(ADDRESS(12,3+18*3+(5),,,"J1 D - South Bank Avenue")&amp;":"&amp;ADDRESS(130,3+18*3+(5))),'J1 D - South Bank Avenue'!$A$12:$A$130,"&gt;="&amp;Diagram!$O36,'J1 D - South Bank Avenue'!$A$12:$A$130,"&lt;"&amp;Diagram!$P36),SUMIFS(INDIRECT(ADDRESS(12,3+18*3+(13),,,"J1 D - South Bank Avenue")&amp;":"&amp;ADDRESS(130,3+18*3+(13))),'J1 D - South Bank Avenue'!$A$12:$A$130,"&gt;="&amp;Diagram!$O36,'J1 D - South Bank Avenue'!$A$12:$A$130,"&lt;"&amp;Diagram!$P36)))</f>
        <v>0</v>
      </c>
      <c r="DP36" s="42">
        <f t="shared" ca="1" si="7"/>
        <v>2</v>
      </c>
      <c r="DQ36" s="42">
        <f ca="1">IF(OR($I$10="",$O36="",$P36="",$J$41&lt;&gt;"Yes"),0,IF($K$10=0,SUMIFS(INDIRECT(ADDRESS(12,3+18*3+(6),,,"J1 A - (North) Bishopthorpe Roa")&amp;":"&amp;ADDRESS(130,3+18*3+(6))),'J1 A - (North) Bishopthorpe Roa'!$A$12:$A$130,"&gt;="&amp;Diagram!$O36,'J1 A - (North) Bishopthorpe Roa'!$A$12:$A$130,"&lt;"&amp;Diagram!$P36),SUMIFS(INDIRECT(ADDRESS(12,3+18*3+(14),,,"J1 A - (North) Bishopthorpe Roa")&amp;":"&amp;ADDRESS(130,3+18*3+(14))),'J1 A - (North) Bishopthorpe Roa'!$A$12:$A$130,"&gt;="&amp;Diagram!$O36,'J1 A - (North) Bishopthorpe Roa'!$A$12:$A$130,"&lt;"&amp;Diagram!$P36)))</f>
        <v>0</v>
      </c>
      <c r="DR36" s="42">
        <f ca="1">IF(OR($I$10="",$O36="",$P36="",$J$41&lt;&gt;"Yes"),0,IF($K$10=0,SUMIFS(INDIRECT(ADDRESS(12,3+18*0+(6),,,"J1 A - (North) Bishopthorpe Roa")&amp;":"&amp;ADDRESS(130,3+18*0+(6))),'J1 A - (North) Bishopthorpe Roa'!$A$12:$A$130,"&gt;="&amp;Diagram!$O36,'J1 A - (North) Bishopthorpe Roa'!$A$12:$A$130,"&lt;"&amp;Diagram!$P36),SUMIFS(INDIRECT(ADDRESS(12,3+18*0+(14),,,"J1 A - (North) Bishopthorpe Roa")&amp;":"&amp;ADDRESS(130,3+18*0+(14))),'J1 A - (North) Bishopthorpe Roa'!$A$12:$A$130,"&gt;="&amp;Diagram!$O36,'J1 A - (North) Bishopthorpe Roa'!$A$12:$A$130,"&lt;"&amp;Diagram!$P36)))</f>
        <v>0</v>
      </c>
      <c r="DS36" s="42">
        <f ca="1">IF(OR($I$10="",$O36="",$P36="",$J$41&lt;&gt;"Yes"),0,IF($K$10=0,SUMIFS(INDIRECT(ADDRESS(12,3+18*1+(6),,,"J1 A - (North) Bishopthorpe Roa")&amp;":"&amp;ADDRESS(130,3+18*1+(6))),'J1 A - (North) Bishopthorpe Roa'!$A$12:$A$130,"&gt;="&amp;Diagram!$O36,'J1 A - (North) Bishopthorpe Roa'!$A$12:$A$130,"&lt;"&amp;Diagram!$P36),SUMIFS(INDIRECT(ADDRESS(12,3+18*1+(14),,,"J1 A - (North) Bishopthorpe Roa")&amp;":"&amp;ADDRESS(130,3+18*1+(14))),'J1 A - (North) Bishopthorpe Roa'!$A$12:$A$130,"&gt;="&amp;Diagram!$O36,'J1 A - (North) Bishopthorpe Roa'!$A$12:$A$130,"&lt;"&amp;Diagram!$P36)))</f>
        <v>0</v>
      </c>
      <c r="DT36" s="42">
        <f ca="1">IF(OR($I$10="",$O36="",$P36="",$J$41&lt;&gt;"Yes"),0,IF($K$10=0,SUMIFS(INDIRECT(ADDRESS(12,3+18*2+(6),,,"J1 A - (North) Bishopthorpe Roa")&amp;":"&amp;ADDRESS(130,3+18*2+(6))),'J1 A - (North) Bishopthorpe Roa'!$A$12:$A$130,"&gt;="&amp;Diagram!$O36,'J1 A - (North) Bishopthorpe Roa'!$A$12:$A$130,"&lt;"&amp;Diagram!$P36),SUMIFS(INDIRECT(ADDRESS(12,3+18*2+(14),,,"J1 A - (North) Bishopthorpe Roa")&amp;":"&amp;ADDRESS(130,3+18*2+(14))),'J1 A - (North) Bishopthorpe Roa'!$A$12:$A$130,"&gt;="&amp;Diagram!$O36,'J1 A - (North) Bishopthorpe Roa'!$A$12:$A$130,"&lt;"&amp;Diagram!$P36)))</f>
        <v>0</v>
      </c>
      <c r="DU36" s="42">
        <f ca="1">IF(OR($I$10="",$O36="",$P36="",$J$41&lt;&gt;"Yes"),0,IF($K$10=0,SUMIFS(INDIRECT(ADDRESS(12,3+18*2+(6),,,"J1 B - Butcher Terrace")&amp;":"&amp;ADDRESS(130,3+18*2+(6))),'J1 B - Butcher Terrace'!$A$12:$A$130,"&gt;="&amp;Diagram!$O36,'J1 B - Butcher Terrace'!$A$12:$A$130,"&lt;"&amp;Diagram!$P36),SUMIFS(INDIRECT(ADDRESS(12,3+18*2+(14),,,"J1 B - Butcher Terrace")&amp;":"&amp;ADDRESS(130,3+18*2+(14))),'J1 B - Butcher Terrace'!$A$12:$A$130,"&gt;="&amp;Diagram!$O36,'J1 B - Butcher Terrace'!$A$12:$A$130,"&lt;"&amp;Diagram!$P36)))</f>
        <v>1</v>
      </c>
      <c r="DV36" s="42">
        <f ca="1">IF(OR($I$10="",$O36="",$P36="",$J$41&lt;&gt;"Yes"),0,IF($K$10=0,SUMIFS(INDIRECT(ADDRESS(12,3+18*3+(6),,,"J1 B - Butcher Terrace")&amp;":"&amp;ADDRESS(130,3+18*3+(6))),'J1 B - Butcher Terrace'!$A$12:$A$130,"&gt;="&amp;Diagram!$O36,'J1 B - Butcher Terrace'!$A$12:$A$130,"&lt;"&amp;Diagram!$P36),SUMIFS(INDIRECT(ADDRESS(12,3+18*3+(14),,,"J1 B - Butcher Terrace")&amp;":"&amp;ADDRESS(130,3+18*3+(14))),'J1 B - Butcher Terrace'!$A$12:$A$130,"&gt;="&amp;Diagram!$O36,'J1 B - Butcher Terrace'!$A$12:$A$130,"&lt;"&amp;Diagram!$P36)))</f>
        <v>0</v>
      </c>
      <c r="DW36" s="42">
        <f ca="1">IF(OR($I$10="",$O36="",$P36="",$J$41&lt;&gt;"Yes"),0,IF($K$10=0,SUMIFS(INDIRECT(ADDRESS(12,3+18*0+(6),,,"J1 B - Butcher Terrace")&amp;":"&amp;ADDRESS(130,3+18*0+(6))),'J1 B - Butcher Terrace'!$A$12:$A$130,"&gt;="&amp;Diagram!$O36,'J1 B - Butcher Terrace'!$A$12:$A$130,"&lt;"&amp;Diagram!$P36),SUMIFS(INDIRECT(ADDRESS(12,3+18*0+(14),,,"J1 B - Butcher Terrace")&amp;":"&amp;ADDRESS(130,3+18*0+(14))),'J1 B - Butcher Terrace'!$A$12:$A$130,"&gt;="&amp;Diagram!$O36,'J1 B - Butcher Terrace'!$A$12:$A$130,"&lt;"&amp;Diagram!$P36)))</f>
        <v>0</v>
      </c>
      <c r="DX36" s="42">
        <f ca="1">IF(OR($I$10="",$O36="",$P36="",$J$41&lt;&gt;"Yes"),0,IF($K$10=0,SUMIFS(INDIRECT(ADDRESS(12,3+18*1+(6),,,"J1 B - Butcher Terrace")&amp;":"&amp;ADDRESS(130,3+18*1+(6))),'J1 B - Butcher Terrace'!$A$12:$A$130,"&gt;="&amp;Diagram!$O36,'J1 B - Butcher Terrace'!$A$12:$A$130,"&lt;"&amp;Diagram!$P36),SUMIFS(INDIRECT(ADDRESS(12,3+18*1+(14),,,"J1 B - Butcher Terrace")&amp;":"&amp;ADDRESS(130,3+18*1+(14))),'J1 B - Butcher Terrace'!$A$12:$A$130,"&gt;="&amp;Diagram!$O36,'J1 B - Butcher Terrace'!$A$12:$A$130,"&lt;"&amp;Diagram!$P36)))</f>
        <v>0</v>
      </c>
      <c r="DY36" s="42">
        <f ca="1">IF(OR($I$10="",$O36="",$P36="",$J$41&lt;&gt;"Yes"),0,IF($K$10=0,SUMIFS(INDIRECT(ADDRESS(12,3+18*1+(6),,,"J1 C - (South) Bishopthorpe Roa")&amp;":"&amp;ADDRESS(130,3+18*1+(6))),'J1 C - (South) Bishopthorpe Roa'!$A$12:$A$130,"&gt;="&amp;Diagram!$O36,'J1 C - (South) Bishopthorpe Roa'!$A$12:$A$130,"&lt;"&amp;Diagram!$P36),SUMIFS(INDIRECT(ADDRESS(12,3+18*1+(14),,,"J1 C - (South) Bishopthorpe Roa")&amp;":"&amp;ADDRESS(130,3+18*1+(14))),'J1 C - (South) Bishopthorpe Roa'!$A$12:$A$130,"&gt;="&amp;Diagram!$O36,'J1 C - (South) Bishopthorpe Roa'!$A$12:$A$130,"&lt;"&amp;Diagram!$P36)))</f>
        <v>0</v>
      </c>
      <c r="DZ36" s="42">
        <f ca="1">IF(OR($I$10="",$O36="",$P36="",$J$41&lt;&gt;"Yes"),0,IF($K$10=0,SUMIFS(INDIRECT(ADDRESS(12,3+18*2+(6),,,"J1 C - (South) Bishopthorpe Roa")&amp;":"&amp;ADDRESS(130,3+18*2+(6))),'J1 C - (South) Bishopthorpe Roa'!$A$12:$A$130,"&gt;="&amp;Diagram!$O36,'J1 C - (South) Bishopthorpe Roa'!$A$12:$A$130,"&lt;"&amp;Diagram!$P36),SUMIFS(INDIRECT(ADDRESS(12,3+18*2+(14),,,"J1 C - (South) Bishopthorpe Roa")&amp;":"&amp;ADDRESS(130,3+18*2+(14))),'J1 C - (South) Bishopthorpe Roa'!$A$12:$A$130,"&gt;="&amp;Diagram!$O36,'J1 C - (South) Bishopthorpe Roa'!$A$12:$A$130,"&lt;"&amp;Diagram!$P36)))</f>
        <v>1</v>
      </c>
      <c r="EA36" s="42">
        <f ca="1">IF(OR($I$10="",$O36="",$P36="",$J$41&lt;&gt;"Yes"),0,IF($K$10=0,SUMIFS(INDIRECT(ADDRESS(12,3+18*3+(6),,,"J1 C - (South) Bishopthorpe Roa")&amp;":"&amp;ADDRESS(130,3+18*3+(6))),'J1 C - (South) Bishopthorpe Roa'!$A$12:$A$130,"&gt;="&amp;Diagram!$O36,'J1 C - (South) Bishopthorpe Roa'!$A$12:$A$130,"&lt;"&amp;Diagram!$P36),SUMIFS(INDIRECT(ADDRESS(12,3+18*3+(14),,,"J1 C - (South) Bishopthorpe Roa")&amp;":"&amp;ADDRESS(130,3+18*3+(14))),'J1 C - (South) Bishopthorpe Roa'!$A$12:$A$130,"&gt;="&amp;Diagram!$O36,'J1 C - (South) Bishopthorpe Roa'!$A$12:$A$130,"&lt;"&amp;Diagram!$P36)))</f>
        <v>0</v>
      </c>
      <c r="EB36" s="42">
        <f ca="1">IF(OR($I$10="",$O36="",$P36="",$J$41&lt;&gt;"Yes"),0,IF($K$10=0,SUMIFS(INDIRECT(ADDRESS(12,3+18*0+(6),,,"J1 C - (South) Bishopthorpe Roa")&amp;":"&amp;ADDRESS(130,3+18*0+(6))),'J1 C - (South) Bishopthorpe Roa'!$A$12:$A$130,"&gt;="&amp;Diagram!$O36,'J1 C - (South) Bishopthorpe Roa'!$A$12:$A$130,"&lt;"&amp;Diagram!$P36),SUMIFS(INDIRECT(ADDRESS(12,3+18*0+(14),,,"J1 C - (South) Bishopthorpe Roa")&amp;":"&amp;ADDRESS(130,3+18*0+(14))),'J1 C - (South) Bishopthorpe Roa'!$A$12:$A$130,"&gt;="&amp;Diagram!$O36,'J1 C - (South) Bishopthorpe Roa'!$A$12:$A$130,"&lt;"&amp;Diagram!$P36)))</f>
        <v>0</v>
      </c>
      <c r="EC36" s="42">
        <f ca="1">IF(OR($I$10="",$O36="",$P36="",$J$41&lt;&gt;"Yes"),0,IF($K$10=0,SUMIFS(INDIRECT(ADDRESS(12,3+18*0+(6),,,"J1 D - South Bank Avenue")&amp;":"&amp;ADDRESS(130,3+18*0+(6))),'J1 D - South Bank Avenue'!$A$12:$A$130,"&gt;="&amp;Diagram!$O36,'J1 D - South Bank Avenue'!$A$12:$A$130,"&lt;"&amp;Diagram!$P36),SUMIFS(INDIRECT(ADDRESS(12,3+18*0+(14),,,"J1 D - South Bank Avenue")&amp;":"&amp;ADDRESS(130,3+18*0+(14))),'J1 D - South Bank Avenue'!$A$12:$A$130,"&gt;="&amp;Diagram!$O36,'J1 D - South Bank Avenue'!$A$12:$A$130,"&lt;"&amp;Diagram!$P36)))</f>
        <v>0</v>
      </c>
      <c r="ED36" s="42">
        <f ca="1">IF(OR($I$10="",$O36="",$P36="",$J$41&lt;&gt;"Yes"),0,IF($K$10=0,SUMIFS(INDIRECT(ADDRESS(12,3+18*1+(6),,,"J1 D - South Bank Avenue")&amp;":"&amp;ADDRESS(130,3+18*1+(6))),'J1 D - South Bank Avenue'!$A$12:$A$130,"&gt;="&amp;Diagram!$O36,'J1 D - South Bank Avenue'!$A$12:$A$130,"&lt;"&amp;Diagram!$P36),SUMIFS(INDIRECT(ADDRESS(12,3+18*1+(14),,,"J1 D - South Bank Avenue")&amp;":"&amp;ADDRESS(130,3+18*1+(14))),'J1 D - South Bank Avenue'!$A$12:$A$130,"&gt;="&amp;Diagram!$O36,'J1 D - South Bank Avenue'!$A$12:$A$130,"&lt;"&amp;Diagram!$P36)))</f>
        <v>0</v>
      </c>
      <c r="EE36" s="42">
        <f ca="1">IF(OR($I$10="",$O36="",$P36="",$J$41&lt;&gt;"Yes"),0,IF($K$10=0,SUMIFS(INDIRECT(ADDRESS(12,3+18*2+(6),,,"J1 D - South Bank Avenue")&amp;":"&amp;ADDRESS(130,3+18*2+(6))),'J1 D - South Bank Avenue'!$A$12:$A$130,"&gt;="&amp;Diagram!$O36,'J1 D - South Bank Avenue'!$A$12:$A$130,"&lt;"&amp;Diagram!$P36),SUMIFS(INDIRECT(ADDRESS(12,3+18*2+(14),,,"J1 D - South Bank Avenue")&amp;":"&amp;ADDRESS(130,3+18*2+(14))),'J1 D - South Bank Avenue'!$A$12:$A$130,"&gt;="&amp;Diagram!$O36,'J1 D - South Bank Avenue'!$A$12:$A$130,"&lt;"&amp;Diagram!$P36)))</f>
        <v>0</v>
      </c>
      <c r="EF36" s="42">
        <f ca="1">IF(OR($I$10="",$O36="",$P36="",$J$41&lt;&gt;"Yes"),0,IF($K$10=0,SUMIFS(INDIRECT(ADDRESS(12,3+18*3+(6),,,"J1 D - South Bank Avenue")&amp;":"&amp;ADDRESS(130,3+18*3+(6))),'J1 D - South Bank Avenue'!$A$12:$A$130,"&gt;="&amp;Diagram!$O36,'J1 D - South Bank Avenue'!$A$12:$A$130,"&lt;"&amp;Diagram!$P36),SUMIFS(INDIRECT(ADDRESS(12,3+18*3+(14),,,"J1 D - South Bank Avenue")&amp;":"&amp;ADDRESS(130,3+18*3+(14))),'J1 D - South Bank Avenue'!$A$12:$A$130,"&gt;="&amp;Diagram!$O36,'J1 D - South Bank Avenue'!$A$12:$A$130,"&lt;"&amp;Diagram!$P36)))</f>
        <v>0</v>
      </c>
      <c r="EG36" s="42">
        <f t="shared" ca="1" si="8"/>
        <v>3</v>
      </c>
      <c r="EH36" s="42">
        <f ca="1">IF(OR($I$10="",$O36="",$P36="",$J$42&lt;&gt;"Yes"),0,IF($K$10=0,SUMIFS(INDIRECT(ADDRESS(12,3+18*3+(7),,,"J1 A - (North) Bishopthorpe Roa")&amp;":"&amp;ADDRESS(130,3+18*3+(7))),'J1 A - (North) Bishopthorpe Roa'!$A$12:$A$130,"&gt;="&amp;Diagram!$O36,'J1 A - (North) Bishopthorpe Roa'!$A$12:$A$130,"&lt;"&amp;Diagram!$P36),SUMIFS(INDIRECT(ADDRESS(12,3+18*3+(15),,,"J1 A - (North) Bishopthorpe Roa")&amp;":"&amp;ADDRESS(130,3+18*3+(15))),'J1 A - (North) Bishopthorpe Roa'!$A$12:$A$130,"&gt;="&amp;Diagram!$O36,'J1 A - (North) Bishopthorpe Roa'!$A$12:$A$130,"&lt;"&amp;Diagram!$P36)))</f>
        <v>0</v>
      </c>
      <c r="EI36" s="42">
        <f ca="1">IF(OR($I$10="",$O36="",$P36="",$J$42&lt;&gt;"Yes"),0,IF($K$10=0,SUMIFS(INDIRECT(ADDRESS(12,3+18*0+(7),,,"J1 A - (North) Bishopthorpe Roa")&amp;":"&amp;ADDRESS(130,3+18*0+(7))),'J1 A - (North) Bishopthorpe Roa'!$A$12:$A$130,"&gt;="&amp;Diagram!$O36,'J1 A - (North) Bishopthorpe Roa'!$A$12:$A$130,"&lt;"&amp;Diagram!$P36),SUMIFS(INDIRECT(ADDRESS(12,3+18*0+(15),,,"J1 A - (North) Bishopthorpe Roa")&amp;":"&amp;ADDRESS(130,3+18*0+(15))),'J1 A - (North) Bishopthorpe Roa'!$A$12:$A$130,"&gt;="&amp;Diagram!$O36,'J1 A - (North) Bishopthorpe Roa'!$A$12:$A$130,"&lt;"&amp;Diagram!$P36)))</f>
        <v>0</v>
      </c>
      <c r="EJ36" s="42">
        <f ca="1">IF(OR($I$10="",$O36="",$P36="",$J$42&lt;&gt;"Yes"),0,IF($K$10=0,SUMIFS(INDIRECT(ADDRESS(12,3+18*1+(7),,,"J1 A - (North) Bishopthorpe Roa")&amp;":"&amp;ADDRESS(130,3+18*1+(7))),'J1 A - (North) Bishopthorpe Roa'!$A$12:$A$130,"&gt;="&amp;Diagram!$O36,'J1 A - (North) Bishopthorpe Roa'!$A$12:$A$130,"&lt;"&amp;Diagram!$P36),SUMIFS(INDIRECT(ADDRESS(12,3+18*1+(15),,,"J1 A - (North) Bishopthorpe Roa")&amp;":"&amp;ADDRESS(130,3+18*1+(15))),'J1 A - (North) Bishopthorpe Roa'!$A$12:$A$130,"&gt;="&amp;Diagram!$O36,'J1 A - (North) Bishopthorpe Roa'!$A$12:$A$130,"&lt;"&amp;Diagram!$P36)))</f>
        <v>0</v>
      </c>
      <c r="EK36" s="42">
        <f ca="1">IF(OR($I$10="",$O36="",$P36="",$J$42&lt;&gt;"Yes"),0,IF($K$10=0,SUMIFS(INDIRECT(ADDRESS(12,3+18*2+(7),,,"J1 A - (North) Bishopthorpe Roa")&amp;":"&amp;ADDRESS(130,3+18*2+(7))),'J1 A - (North) Bishopthorpe Roa'!$A$12:$A$130,"&gt;="&amp;Diagram!$O36,'J1 A - (North) Bishopthorpe Roa'!$A$12:$A$130,"&lt;"&amp;Diagram!$P36),SUMIFS(INDIRECT(ADDRESS(12,3+18*2+(15),,,"J1 A - (North) Bishopthorpe Roa")&amp;":"&amp;ADDRESS(130,3+18*2+(15))),'J1 A - (North) Bishopthorpe Roa'!$A$12:$A$130,"&gt;="&amp;Diagram!$O36,'J1 A - (North) Bishopthorpe Roa'!$A$12:$A$130,"&lt;"&amp;Diagram!$P36)))</f>
        <v>0</v>
      </c>
      <c r="EL36" s="42">
        <f ca="1">IF(OR($I$10="",$O36="",$P36="",$J$42&lt;&gt;"Yes"),0,IF($K$10=0,SUMIFS(INDIRECT(ADDRESS(12,3+18*2+(7),,,"J1 B - Butcher Terrace")&amp;":"&amp;ADDRESS(130,3+18*2+(7))),'J1 B - Butcher Terrace'!$A$12:$A$130,"&gt;="&amp;Diagram!$O36,'J1 B - Butcher Terrace'!$A$12:$A$130,"&lt;"&amp;Diagram!$P36),SUMIFS(INDIRECT(ADDRESS(12,3+18*2+(15),,,"J1 B - Butcher Terrace")&amp;":"&amp;ADDRESS(130,3+18*2+(15))),'J1 B - Butcher Terrace'!$A$12:$A$130,"&gt;="&amp;Diagram!$O36,'J1 B - Butcher Terrace'!$A$12:$A$130,"&lt;"&amp;Diagram!$P36)))</f>
        <v>3</v>
      </c>
      <c r="EM36" s="42">
        <f ca="1">IF(OR($I$10="",$O36="",$P36="",$J$42&lt;&gt;"Yes"),0,IF($K$10=0,SUMIFS(INDIRECT(ADDRESS(12,3+18*3+(7),,,"J1 B - Butcher Terrace")&amp;":"&amp;ADDRESS(130,3+18*3+(7))),'J1 B - Butcher Terrace'!$A$12:$A$130,"&gt;="&amp;Diagram!$O36,'J1 B - Butcher Terrace'!$A$12:$A$130,"&lt;"&amp;Diagram!$P36),SUMIFS(INDIRECT(ADDRESS(12,3+18*3+(15),,,"J1 B - Butcher Terrace")&amp;":"&amp;ADDRESS(130,3+18*3+(15))),'J1 B - Butcher Terrace'!$A$12:$A$130,"&gt;="&amp;Diagram!$O36,'J1 B - Butcher Terrace'!$A$12:$A$130,"&lt;"&amp;Diagram!$P36)))</f>
        <v>0</v>
      </c>
      <c r="EN36" s="42">
        <f ca="1">IF(OR($I$10="",$O36="",$P36="",$J$42&lt;&gt;"Yes"),0,IF($K$10=0,SUMIFS(INDIRECT(ADDRESS(12,3+18*0+(7),,,"J1 B - Butcher Terrace")&amp;":"&amp;ADDRESS(130,3+18*0+(7))),'J1 B - Butcher Terrace'!$A$12:$A$130,"&gt;="&amp;Diagram!$O36,'J1 B - Butcher Terrace'!$A$12:$A$130,"&lt;"&amp;Diagram!$P36),SUMIFS(INDIRECT(ADDRESS(12,3+18*0+(15),,,"J1 B - Butcher Terrace")&amp;":"&amp;ADDRESS(130,3+18*0+(15))),'J1 B - Butcher Terrace'!$A$12:$A$130,"&gt;="&amp;Diagram!$O36,'J1 B - Butcher Terrace'!$A$12:$A$130,"&lt;"&amp;Diagram!$P36)))</f>
        <v>0</v>
      </c>
      <c r="EO36" s="42">
        <f ca="1">IF(OR($I$10="",$O36="",$P36="",$J$42&lt;&gt;"Yes"),0,IF($K$10=0,SUMIFS(INDIRECT(ADDRESS(12,3+18*1+(7),,,"J1 B - Butcher Terrace")&amp;":"&amp;ADDRESS(130,3+18*1+(7))),'J1 B - Butcher Terrace'!$A$12:$A$130,"&gt;="&amp;Diagram!$O36,'J1 B - Butcher Terrace'!$A$12:$A$130,"&lt;"&amp;Diagram!$P36),SUMIFS(INDIRECT(ADDRESS(12,3+18*1+(15),,,"J1 B - Butcher Terrace")&amp;":"&amp;ADDRESS(130,3+18*1+(15))),'J1 B - Butcher Terrace'!$A$12:$A$130,"&gt;="&amp;Diagram!$O36,'J1 B - Butcher Terrace'!$A$12:$A$130,"&lt;"&amp;Diagram!$P36)))</f>
        <v>0</v>
      </c>
      <c r="EP36" s="42">
        <f ca="1">IF(OR($I$10="",$O36="",$P36="",$J$42&lt;&gt;"Yes"),0,IF($K$10=0,SUMIFS(INDIRECT(ADDRESS(12,3+18*1+(7),,,"J1 C - (South) Bishopthorpe Roa")&amp;":"&amp;ADDRESS(130,3+18*1+(7))),'J1 C - (South) Bishopthorpe Roa'!$A$12:$A$130,"&gt;="&amp;Diagram!$O36,'J1 C - (South) Bishopthorpe Roa'!$A$12:$A$130,"&lt;"&amp;Diagram!$P36),SUMIFS(INDIRECT(ADDRESS(12,3+18*1+(15),,,"J1 C - (South) Bishopthorpe Roa")&amp;":"&amp;ADDRESS(130,3+18*1+(15))),'J1 C - (South) Bishopthorpe Roa'!$A$12:$A$130,"&gt;="&amp;Diagram!$O36,'J1 C - (South) Bishopthorpe Roa'!$A$12:$A$130,"&lt;"&amp;Diagram!$P36)))</f>
        <v>0</v>
      </c>
      <c r="EQ36" s="42">
        <f ca="1">IF(OR($I$10="",$O36="",$P36="",$J$42&lt;&gt;"Yes"),0,IF($K$10=0,SUMIFS(INDIRECT(ADDRESS(12,3+18*2+(7),,,"J1 C - (South) Bishopthorpe Roa")&amp;":"&amp;ADDRESS(130,3+18*2+(7))),'J1 C - (South) Bishopthorpe Roa'!$A$12:$A$130,"&gt;="&amp;Diagram!$O36,'J1 C - (South) Bishopthorpe Roa'!$A$12:$A$130,"&lt;"&amp;Diagram!$P36),SUMIFS(INDIRECT(ADDRESS(12,3+18*2+(15),,,"J1 C - (South) Bishopthorpe Roa")&amp;":"&amp;ADDRESS(130,3+18*2+(15))),'J1 C - (South) Bishopthorpe Roa'!$A$12:$A$130,"&gt;="&amp;Diagram!$O36,'J1 C - (South) Bishopthorpe Roa'!$A$12:$A$130,"&lt;"&amp;Diagram!$P36)))</f>
        <v>0</v>
      </c>
      <c r="ER36" s="42">
        <f ca="1">IF(OR($I$10="",$O36="",$P36="",$J$42&lt;&gt;"Yes"),0,IF($K$10=0,SUMIFS(INDIRECT(ADDRESS(12,3+18*3+(7),,,"J1 C - (South) Bishopthorpe Roa")&amp;":"&amp;ADDRESS(130,3+18*3+(7))),'J1 C - (South) Bishopthorpe Roa'!$A$12:$A$130,"&gt;="&amp;Diagram!$O36,'J1 C - (South) Bishopthorpe Roa'!$A$12:$A$130,"&lt;"&amp;Diagram!$P36),SUMIFS(INDIRECT(ADDRESS(12,3+18*3+(15),,,"J1 C - (South) Bishopthorpe Roa")&amp;":"&amp;ADDRESS(130,3+18*3+(15))),'J1 C - (South) Bishopthorpe Roa'!$A$12:$A$130,"&gt;="&amp;Diagram!$O36,'J1 C - (South) Bishopthorpe Roa'!$A$12:$A$130,"&lt;"&amp;Diagram!$P36)))</f>
        <v>0</v>
      </c>
      <c r="ES36" s="42">
        <f ca="1">IF(OR($I$10="",$O36="",$P36="",$J$42&lt;&gt;"Yes"),0,IF($K$10=0,SUMIFS(INDIRECT(ADDRESS(12,3+18*0+(7),,,"J1 C - (South) Bishopthorpe Roa")&amp;":"&amp;ADDRESS(130,3+18*0+(7))),'J1 C - (South) Bishopthorpe Roa'!$A$12:$A$130,"&gt;="&amp;Diagram!$O36,'J1 C - (South) Bishopthorpe Roa'!$A$12:$A$130,"&lt;"&amp;Diagram!$P36),SUMIFS(INDIRECT(ADDRESS(12,3+18*0+(15),,,"J1 C - (South) Bishopthorpe Roa")&amp;":"&amp;ADDRESS(130,3+18*0+(15))),'J1 C - (South) Bishopthorpe Roa'!$A$12:$A$130,"&gt;="&amp;Diagram!$O36,'J1 C - (South) Bishopthorpe Roa'!$A$12:$A$130,"&lt;"&amp;Diagram!$P36)))</f>
        <v>0</v>
      </c>
      <c r="ET36" s="42">
        <f ca="1">IF(OR($I$10="",$O36="",$P36="",$J$42&lt;&gt;"Yes"),0,IF($K$10=0,SUMIFS(INDIRECT(ADDRESS(12,3+18*0+(7),,,"J1 D - South Bank Avenue")&amp;":"&amp;ADDRESS(130,3+18*0+(7))),'J1 D - South Bank Avenue'!$A$12:$A$130,"&gt;="&amp;Diagram!$O36,'J1 D - South Bank Avenue'!$A$12:$A$130,"&lt;"&amp;Diagram!$P36),SUMIFS(INDIRECT(ADDRESS(12,3+18*0+(15),,,"J1 D - South Bank Avenue")&amp;":"&amp;ADDRESS(130,3+18*0+(15))),'J1 D - South Bank Avenue'!$A$12:$A$130,"&gt;="&amp;Diagram!$O36,'J1 D - South Bank Avenue'!$A$12:$A$130,"&lt;"&amp;Diagram!$P36)))</f>
        <v>0</v>
      </c>
      <c r="EU36" s="42">
        <f ca="1">IF(OR($I$10="",$O36="",$P36="",$J$42&lt;&gt;"Yes"),0,IF($K$10=0,SUMIFS(INDIRECT(ADDRESS(12,3+18*1+(7),,,"J1 D - South Bank Avenue")&amp;":"&amp;ADDRESS(130,3+18*1+(7))),'J1 D - South Bank Avenue'!$A$12:$A$130,"&gt;="&amp;Diagram!$O36,'J1 D - South Bank Avenue'!$A$12:$A$130,"&lt;"&amp;Diagram!$P36),SUMIFS(INDIRECT(ADDRESS(12,3+18*1+(15),,,"J1 D - South Bank Avenue")&amp;":"&amp;ADDRESS(130,3+18*1+(15))),'J1 D - South Bank Avenue'!$A$12:$A$130,"&gt;="&amp;Diagram!$O36,'J1 D - South Bank Avenue'!$A$12:$A$130,"&lt;"&amp;Diagram!$P36)))</f>
        <v>0</v>
      </c>
      <c r="EV36" s="42">
        <f ca="1">IF(OR($I$10="",$O36="",$P36="",$J$42&lt;&gt;"Yes"),0,IF($K$10=0,SUMIFS(INDIRECT(ADDRESS(12,3+18*2+(7),,,"J1 D - South Bank Avenue")&amp;":"&amp;ADDRESS(130,3+18*2+(7))),'J1 D - South Bank Avenue'!$A$12:$A$130,"&gt;="&amp;Diagram!$O36,'J1 D - South Bank Avenue'!$A$12:$A$130,"&lt;"&amp;Diagram!$P36),SUMIFS(INDIRECT(ADDRESS(12,3+18*2+(15),,,"J1 D - South Bank Avenue")&amp;":"&amp;ADDRESS(130,3+18*2+(15))),'J1 D - South Bank Avenue'!$A$12:$A$130,"&gt;="&amp;Diagram!$O36,'J1 D - South Bank Avenue'!$A$12:$A$130,"&lt;"&amp;Diagram!$P36)))</f>
        <v>0</v>
      </c>
      <c r="EW36" s="42">
        <f ca="1">IF(OR($I$10="",$O36="",$P36="",$J$42&lt;&gt;"Yes"),0,IF($K$10=0,SUMIFS(INDIRECT(ADDRESS(12,3+18*3+(7),,,"J1 D - South Bank Avenue")&amp;":"&amp;ADDRESS(130,3+18*3+(7))),'J1 D - South Bank Avenue'!$A$12:$A$130,"&gt;="&amp;Diagram!$O36,'J1 D - South Bank Avenue'!$A$12:$A$130,"&lt;"&amp;Diagram!$P36),SUMIFS(INDIRECT(ADDRESS(12,3+18*3+(15),,,"J1 D - South Bank Avenue")&amp;":"&amp;ADDRESS(130,3+18*3+(15))),'J1 D - South Bank Avenue'!$A$12:$A$130,"&gt;="&amp;Diagram!$O36,'J1 D - South Bank Avenue'!$A$12:$A$130,"&lt;"&amp;Diagram!$P36)))</f>
        <v>0</v>
      </c>
    </row>
    <row r="37" spans="1:153" ht="21" customHeight="1">
      <c r="A37" s="1">
        <v>44395.375</v>
      </c>
      <c r="B37" s="1">
        <v>44395.385416666701</v>
      </c>
      <c r="I37" s="38" t="s">
        <v>14</v>
      </c>
      <c r="J37" s="39" t="s">
        <v>166</v>
      </c>
      <c r="K37" s="13">
        <v>2</v>
      </c>
      <c r="O37" s="3">
        <v>44395.375</v>
      </c>
      <c r="P37" s="3">
        <v>44395.416666666701</v>
      </c>
      <c r="Q37" s="42">
        <f t="shared" ca="1" si="0"/>
        <v>672</v>
      </c>
      <c r="R37" s="42">
        <f t="shared" ca="1" si="1"/>
        <v>480</v>
      </c>
      <c r="S37" s="42">
        <f ca="1">IF(OR($I$10="",$O37="",$P37="",$J$35&lt;&gt;"Yes"),0,IF($K$10=0,SUMIFS(INDIRECT(ADDRESS(12,3+18*3+(0),,,"J1 A - (North) Bishopthorpe Roa")&amp;":"&amp;ADDRESS(130,3+18*3+(0))),'J1 A - (North) Bishopthorpe Roa'!$A$12:$A$130,"&gt;="&amp;Diagram!$O37,'J1 A - (North) Bishopthorpe Roa'!$A$12:$A$130,"&lt;"&amp;Diagram!$P37),SUMIFS(INDIRECT(ADDRESS(12,3+18*3+(8),,,"J1 A - (North) Bishopthorpe Roa")&amp;":"&amp;ADDRESS(130,3+18*3+(8))),'J1 A - (North) Bishopthorpe Roa'!$A$12:$A$130,"&gt;="&amp;Diagram!$O37,'J1 A - (North) Bishopthorpe Roa'!$A$12:$A$130,"&lt;"&amp;Diagram!$P37)))</f>
        <v>2</v>
      </c>
      <c r="T37" s="42">
        <f ca="1">IF(OR($I$10="",$O37="",$P37="",$J$35&lt;&gt;"Yes"),0,IF($K$10=0,SUMIFS(INDIRECT(ADDRESS(12,3+18*0+(0),,,"J1 A - (North) Bishopthorpe Roa")&amp;":"&amp;ADDRESS(130,3+18*0+(0))),'J1 A - (North) Bishopthorpe Roa'!$A$12:$A$130,"&gt;="&amp;Diagram!$O37,'J1 A - (North) Bishopthorpe Roa'!$A$12:$A$130,"&lt;"&amp;Diagram!$P37),SUMIFS(INDIRECT(ADDRESS(12,3+18*0+(8),,,"J1 A - (North) Bishopthorpe Roa")&amp;":"&amp;ADDRESS(130,3+18*0+(8))),'J1 A - (North) Bishopthorpe Roa'!$A$12:$A$130,"&gt;="&amp;Diagram!$O37,'J1 A - (North) Bishopthorpe Roa'!$A$12:$A$130,"&lt;"&amp;Diagram!$P37)))</f>
        <v>6</v>
      </c>
      <c r="U37" s="42">
        <f ca="1">IF(OR($I$10="",$O37="",$P37="",$J$35&lt;&gt;"Yes"),0,IF($K$10=0,SUMIFS(INDIRECT(ADDRESS(12,3+18*1+(0),,,"J1 A - (North) Bishopthorpe Roa")&amp;":"&amp;ADDRESS(130,3+18*1+(0))),'J1 A - (North) Bishopthorpe Roa'!$A$12:$A$130,"&gt;="&amp;Diagram!$O37,'J1 A - (North) Bishopthorpe Roa'!$A$12:$A$130,"&lt;"&amp;Diagram!$P37),SUMIFS(INDIRECT(ADDRESS(12,3+18*1+(8),,,"J1 A - (North) Bishopthorpe Roa")&amp;":"&amp;ADDRESS(130,3+18*1+(8))),'J1 A - (North) Bishopthorpe Roa'!$A$12:$A$130,"&gt;="&amp;Diagram!$O37,'J1 A - (North) Bishopthorpe Roa'!$A$12:$A$130,"&lt;"&amp;Diagram!$P37)))</f>
        <v>188</v>
      </c>
      <c r="V37" s="42">
        <f ca="1">IF(OR($I$10="",$O37="",$P37="",$J$35&lt;&gt;"Yes"),0,IF($K$10=0,SUMIFS(INDIRECT(ADDRESS(12,3+18*2+(0),,,"J1 A - (North) Bishopthorpe Roa")&amp;":"&amp;ADDRESS(130,3+18*2+(0))),'J1 A - (North) Bishopthorpe Roa'!$A$12:$A$130,"&gt;="&amp;Diagram!$O37,'J1 A - (North) Bishopthorpe Roa'!$A$12:$A$130,"&lt;"&amp;Diagram!$P37),SUMIFS(INDIRECT(ADDRESS(12,3+18*2+(8),,,"J1 A - (North) Bishopthorpe Roa")&amp;":"&amp;ADDRESS(130,3+18*2+(8))),'J1 A - (North) Bishopthorpe Roa'!$A$12:$A$130,"&gt;="&amp;Diagram!$O37,'J1 A - (North) Bishopthorpe Roa'!$A$12:$A$130,"&lt;"&amp;Diagram!$P37)))</f>
        <v>14</v>
      </c>
      <c r="W37" s="42">
        <f ca="1">IF(OR($I$10="",$O37="",$P37="",$J$35&lt;&gt;"Yes"),0,IF($K$10=0,SUMIFS(INDIRECT(ADDRESS(12,3+18*2+(0),,,"J1 B - Butcher Terrace")&amp;":"&amp;ADDRESS(130,3+18*2+(0))),'J1 B - Butcher Terrace'!$A$12:$A$130,"&gt;="&amp;Diagram!$O37,'J1 B - Butcher Terrace'!$A$12:$A$130,"&lt;"&amp;Diagram!$P37),SUMIFS(INDIRECT(ADDRESS(12,3+18*2+(8),,,"J1 B - Butcher Terrace")&amp;":"&amp;ADDRESS(130,3+18*2+(8))),'J1 B - Butcher Terrace'!$A$12:$A$130,"&gt;="&amp;Diagram!$O37,'J1 B - Butcher Terrace'!$A$12:$A$130,"&lt;"&amp;Diagram!$P37)))</f>
        <v>18</v>
      </c>
      <c r="X37" s="42">
        <f ca="1">IF(OR($I$10="",$O37="",$P37="",$J$35&lt;&gt;"Yes"),0,IF($K$10=0,SUMIFS(INDIRECT(ADDRESS(12,3+18*3+(0),,,"J1 B - Butcher Terrace")&amp;":"&amp;ADDRESS(130,3+18*3+(0))),'J1 B - Butcher Terrace'!$A$12:$A$130,"&gt;="&amp;Diagram!$O37,'J1 B - Butcher Terrace'!$A$12:$A$130,"&lt;"&amp;Diagram!$P37),SUMIFS(INDIRECT(ADDRESS(12,3+18*3+(8),,,"J1 B - Butcher Terrace")&amp;":"&amp;ADDRESS(130,3+18*3+(8))),'J1 B - Butcher Terrace'!$A$12:$A$130,"&gt;="&amp;Diagram!$O37,'J1 B - Butcher Terrace'!$A$12:$A$130,"&lt;"&amp;Diagram!$P37)))</f>
        <v>0</v>
      </c>
      <c r="Y37" s="42">
        <f ca="1">IF(OR($I$10="",$O37="",$P37="",$J$35&lt;&gt;"Yes"),0,IF($K$10=0,SUMIFS(INDIRECT(ADDRESS(12,3+18*0+(0),,,"J1 B - Butcher Terrace")&amp;":"&amp;ADDRESS(130,3+18*0+(0))),'J1 B - Butcher Terrace'!$A$12:$A$130,"&gt;="&amp;Diagram!$O37,'J1 B - Butcher Terrace'!$A$12:$A$130,"&lt;"&amp;Diagram!$P37),SUMIFS(INDIRECT(ADDRESS(12,3+18*0+(8),,,"J1 B - Butcher Terrace")&amp;":"&amp;ADDRESS(130,3+18*0+(8))),'J1 B - Butcher Terrace'!$A$12:$A$130,"&gt;="&amp;Diagram!$O37,'J1 B - Butcher Terrace'!$A$12:$A$130,"&lt;"&amp;Diagram!$P37)))</f>
        <v>4</v>
      </c>
      <c r="Z37" s="42">
        <f ca="1">IF(OR($I$10="",$O37="",$P37="",$J$35&lt;&gt;"Yes"),0,IF($K$10=0,SUMIFS(INDIRECT(ADDRESS(12,3+18*1+(0),,,"J1 B - Butcher Terrace")&amp;":"&amp;ADDRESS(130,3+18*1+(0))),'J1 B - Butcher Terrace'!$A$12:$A$130,"&gt;="&amp;Diagram!$O37,'J1 B - Butcher Terrace'!$A$12:$A$130,"&lt;"&amp;Diagram!$P37),SUMIFS(INDIRECT(ADDRESS(12,3+18*1+(8),,,"J1 B - Butcher Terrace")&amp;":"&amp;ADDRESS(130,3+18*1+(8))),'J1 B - Butcher Terrace'!$A$12:$A$130,"&gt;="&amp;Diagram!$O37,'J1 B - Butcher Terrace'!$A$12:$A$130,"&lt;"&amp;Diagram!$P37)))</f>
        <v>0</v>
      </c>
      <c r="AA37" s="42">
        <f ca="1">IF(OR($I$10="",$O37="",$P37="",$J$35&lt;&gt;"Yes"),0,IF($K$10=0,SUMIFS(INDIRECT(ADDRESS(12,3+18*1+(0),,,"J1 C - (South) Bishopthorpe Roa")&amp;":"&amp;ADDRESS(130,3+18*1+(0))),'J1 C - (South) Bishopthorpe Roa'!$A$12:$A$130,"&gt;="&amp;Diagram!$O37,'J1 C - (South) Bishopthorpe Roa'!$A$12:$A$130,"&lt;"&amp;Diagram!$P37),SUMIFS(INDIRECT(ADDRESS(12,3+18*1+(8),,,"J1 C - (South) Bishopthorpe Roa")&amp;":"&amp;ADDRESS(130,3+18*1+(8))),'J1 C - (South) Bishopthorpe Roa'!$A$12:$A$130,"&gt;="&amp;Diagram!$O37,'J1 C - (South) Bishopthorpe Roa'!$A$12:$A$130,"&lt;"&amp;Diagram!$P37)))</f>
        <v>205</v>
      </c>
      <c r="AB37" s="42">
        <f ca="1">IF(OR($I$10="",$O37="",$P37="",$J$35&lt;&gt;"Yes"),0,IF($K$10=0,SUMIFS(INDIRECT(ADDRESS(12,3+18*2+(0),,,"J1 C - (South) Bishopthorpe Roa")&amp;":"&amp;ADDRESS(130,3+18*2+(0))),'J1 C - (South) Bishopthorpe Roa'!$A$12:$A$130,"&gt;="&amp;Diagram!$O37,'J1 C - (South) Bishopthorpe Roa'!$A$12:$A$130,"&lt;"&amp;Diagram!$P37),SUMIFS(INDIRECT(ADDRESS(12,3+18*2+(8),,,"J1 C - (South) Bishopthorpe Roa")&amp;":"&amp;ADDRESS(130,3+18*2+(8))),'J1 C - (South) Bishopthorpe Roa'!$A$12:$A$130,"&gt;="&amp;Diagram!$O37,'J1 C - (South) Bishopthorpe Roa'!$A$12:$A$130,"&lt;"&amp;Diagram!$P37)))</f>
        <v>3</v>
      </c>
      <c r="AC37" s="42">
        <f ca="1">IF(OR($I$10="",$O37="",$P37="",$J$35&lt;&gt;"Yes"),0,IF($K$10=0,SUMIFS(INDIRECT(ADDRESS(12,3+18*3+(0),,,"J1 C - (South) Bishopthorpe Roa")&amp;":"&amp;ADDRESS(130,3+18*3+(0))),'J1 C - (South) Bishopthorpe Roa'!$A$12:$A$130,"&gt;="&amp;Diagram!$O37,'J1 C - (South) Bishopthorpe Roa'!$A$12:$A$130,"&lt;"&amp;Diagram!$P37),SUMIFS(INDIRECT(ADDRESS(12,3+18*3+(8),,,"J1 C - (South) Bishopthorpe Roa")&amp;":"&amp;ADDRESS(130,3+18*3+(8))),'J1 C - (South) Bishopthorpe Roa'!$A$12:$A$130,"&gt;="&amp;Diagram!$O37,'J1 C - (South) Bishopthorpe Roa'!$A$12:$A$130,"&lt;"&amp;Diagram!$P37)))</f>
        <v>0</v>
      </c>
      <c r="AD37" s="42">
        <f ca="1">IF(OR($I$10="",$O37="",$P37="",$J$35&lt;&gt;"Yes"),0,IF($K$10=0,SUMIFS(INDIRECT(ADDRESS(12,3+18*0+(0),,,"J1 C - (South) Bishopthorpe Roa")&amp;":"&amp;ADDRESS(130,3+18*0+(0))),'J1 C - (South) Bishopthorpe Roa'!$A$12:$A$130,"&gt;="&amp;Diagram!$O37,'J1 C - (South) Bishopthorpe Roa'!$A$12:$A$130,"&lt;"&amp;Diagram!$P37),SUMIFS(INDIRECT(ADDRESS(12,3+18*0+(8),,,"J1 C - (South) Bishopthorpe Roa")&amp;":"&amp;ADDRESS(130,3+18*0+(8))),'J1 C - (South) Bishopthorpe Roa'!$A$12:$A$130,"&gt;="&amp;Diagram!$O37,'J1 C - (South) Bishopthorpe Roa'!$A$12:$A$130,"&lt;"&amp;Diagram!$P37)))</f>
        <v>4</v>
      </c>
      <c r="AE37" s="42">
        <f ca="1">IF(OR($I$10="",$O37="",$P37="",$J$35&lt;&gt;"Yes"),0,IF($K$10=0,SUMIFS(INDIRECT(ADDRESS(12,3+18*0+(0),,,"J1 D - South Bank Avenue")&amp;":"&amp;ADDRESS(130,3+18*0+(0))),'J1 D - South Bank Avenue'!$A$12:$A$130,"&gt;="&amp;Diagram!$O37,'J1 D - South Bank Avenue'!$A$12:$A$130,"&lt;"&amp;Diagram!$P37),SUMIFS(INDIRECT(ADDRESS(12,3+18*0+(8),,,"J1 D - South Bank Avenue")&amp;":"&amp;ADDRESS(130,3+18*0+(8))),'J1 D - South Bank Avenue'!$A$12:$A$130,"&gt;="&amp;Diagram!$O37,'J1 D - South Bank Avenue'!$A$12:$A$130,"&lt;"&amp;Diagram!$P37)))</f>
        <v>31</v>
      </c>
      <c r="AF37" s="42">
        <f ca="1">IF(OR($I$10="",$O37="",$P37="",$J$35&lt;&gt;"Yes"),0,IF($K$10=0,SUMIFS(INDIRECT(ADDRESS(12,3+18*1+(0),,,"J1 D - South Bank Avenue")&amp;":"&amp;ADDRESS(130,3+18*1+(0))),'J1 D - South Bank Avenue'!$A$12:$A$130,"&gt;="&amp;Diagram!$O37,'J1 D - South Bank Avenue'!$A$12:$A$130,"&lt;"&amp;Diagram!$P37),SUMIFS(INDIRECT(ADDRESS(12,3+18*1+(8),,,"J1 D - South Bank Avenue")&amp;":"&amp;ADDRESS(130,3+18*1+(8))),'J1 D - South Bank Avenue'!$A$12:$A$130,"&gt;="&amp;Diagram!$O37,'J1 D - South Bank Avenue'!$A$12:$A$130,"&lt;"&amp;Diagram!$P37)))</f>
        <v>0</v>
      </c>
      <c r="AG37" s="42">
        <f ca="1">IF(OR($I$10="",$O37="",$P37="",$J$35&lt;&gt;"Yes"),0,IF($K$10=0,SUMIFS(INDIRECT(ADDRESS(12,3+18*2+(0),,,"J1 D - South Bank Avenue")&amp;":"&amp;ADDRESS(130,3+18*2+(0))),'J1 D - South Bank Avenue'!$A$12:$A$130,"&gt;="&amp;Diagram!$O37,'J1 D - South Bank Avenue'!$A$12:$A$130,"&lt;"&amp;Diagram!$P37),SUMIFS(INDIRECT(ADDRESS(12,3+18*2+(8),,,"J1 D - South Bank Avenue")&amp;":"&amp;ADDRESS(130,3+18*2+(8))),'J1 D - South Bank Avenue'!$A$12:$A$130,"&gt;="&amp;Diagram!$O37,'J1 D - South Bank Avenue'!$A$12:$A$130,"&lt;"&amp;Diagram!$P37)))</f>
        <v>5</v>
      </c>
      <c r="AH37" s="42">
        <f ca="1">IF(OR($I$10="",$O37="",$P37="",$J$35&lt;&gt;"Yes"),0,IF($K$10=0,SUMIFS(INDIRECT(ADDRESS(12,3+18*3+(0),,,"J1 D - South Bank Avenue")&amp;":"&amp;ADDRESS(130,3+18*3+(0))),'J1 D - South Bank Avenue'!$A$12:$A$130,"&gt;="&amp;Diagram!$O37,'J1 D - South Bank Avenue'!$A$12:$A$130,"&lt;"&amp;Diagram!$P37),SUMIFS(INDIRECT(ADDRESS(12,3+18*3+(8),,,"J1 D - South Bank Avenue")&amp;":"&amp;ADDRESS(130,3+18*3+(8))),'J1 D - South Bank Avenue'!$A$12:$A$130,"&gt;="&amp;Diagram!$O37,'J1 D - South Bank Avenue'!$A$12:$A$130,"&lt;"&amp;Diagram!$P37)))</f>
        <v>0</v>
      </c>
      <c r="AI37" s="42">
        <f t="shared" ca="1" si="2"/>
        <v>74</v>
      </c>
      <c r="AJ37" s="42">
        <f ca="1">IF(OR($I$10="",$O37="",$P37="",$J$36&lt;&gt;"Yes"),0,IF($K$10=0,SUMIFS(INDIRECT(ADDRESS(12,3+18*3+(1),,,"J1 A - (North) Bishopthorpe Roa")&amp;":"&amp;ADDRESS(130,3+18*3+(1))),'J1 A - (North) Bishopthorpe Roa'!$A$12:$A$130,"&gt;="&amp;Diagram!$O37,'J1 A - (North) Bishopthorpe Roa'!$A$12:$A$130,"&lt;"&amp;Diagram!$P37),SUMIFS(INDIRECT(ADDRESS(12,3+18*3+(9),,,"J1 A - (North) Bishopthorpe Roa")&amp;":"&amp;ADDRESS(130,3+18*3+(9))),'J1 A - (North) Bishopthorpe Roa'!$A$12:$A$130,"&gt;="&amp;Diagram!$O37,'J1 A - (North) Bishopthorpe Roa'!$A$12:$A$130,"&lt;"&amp;Diagram!$P37)))</f>
        <v>0</v>
      </c>
      <c r="AK37" s="42">
        <f ca="1">IF(OR($I$10="",$O37="",$P37="",$J$36&lt;&gt;"Yes"),0,IF($K$10=0,SUMIFS(INDIRECT(ADDRESS(12,3+18*0+(1),,,"J1 A - (North) Bishopthorpe Roa")&amp;":"&amp;ADDRESS(130,3+18*0+(1))),'J1 A - (North) Bishopthorpe Roa'!$A$12:$A$130,"&gt;="&amp;Diagram!$O37,'J1 A - (North) Bishopthorpe Roa'!$A$12:$A$130,"&lt;"&amp;Diagram!$P37),SUMIFS(INDIRECT(ADDRESS(12,3+18*0+(9),,,"J1 A - (North) Bishopthorpe Roa")&amp;":"&amp;ADDRESS(130,3+18*0+(9))),'J1 A - (North) Bishopthorpe Roa'!$A$12:$A$130,"&gt;="&amp;Diagram!$O37,'J1 A - (North) Bishopthorpe Roa'!$A$12:$A$130,"&lt;"&amp;Diagram!$P37)))</f>
        <v>5</v>
      </c>
      <c r="AL37" s="42">
        <f ca="1">IF(OR($I$10="",$O37="",$P37="",$J$36&lt;&gt;"Yes"),0,IF($K$10=0,SUMIFS(INDIRECT(ADDRESS(12,3+18*1+(1),,,"J1 A - (North) Bishopthorpe Roa")&amp;":"&amp;ADDRESS(130,3+18*1+(1))),'J1 A - (North) Bishopthorpe Roa'!$A$12:$A$130,"&gt;="&amp;Diagram!$O37,'J1 A - (North) Bishopthorpe Roa'!$A$12:$A$130,"&lt;"&amp;Diagram!$P37),SUMIFS(INDIRECT(ADDRESS(12,3+18*1+(9),,,"J1 A - (North) Bishopthorpe Roa")&amp;":"&amp;ADDRESS(130,3+18*1+(9))),'J1 A - (North) Bishopthorpe Roa'!$A$12:$A$130,"&gt;="&amp;Diagram!$O37,'J1 A - (North) Bishopthorpe Roa'!$A$12:$A$130,"&lt;"&amp;Diagram!$P37)))</f>
        <v>33</v>
      </c>
      <c r="AM37" s="42">
        <f ca="1">IF(OR($I$10="",$O37="",$P37="",$J$36&lt;&gt;"Yes"),0,IF($K$10=0,SUMIFS(INDIRECT(ADDRESS(12,3+18*2+(1),,,"J1 A - (North) Bishopthorpe Roa")&amp;":"&amp;ADDRESS(130,3+18*2+(1))),'J1 A - (North) Bishopthorpe Roa'!$A$12:$A$130,"&gt;="&amp;Diagram!$O37,'J1 A - (North) Bishopthorpe Roa'!$A$12:$A$130,"&lt;"&amp;Diagram!$P37),SUMIFS(INDIRECT(ADDRESS(12,3+18*2+(9),,,"J1 A - (North) Bishopthorpe Roa")&amp;":"&amp;ADDRESS(130,3+18*2+(9))),'J1 A - (North) Bishopthorpe Roa'!$A$12:$A$130,"&gt;="&amp;Diagram!$O37,'J1 A - (North) Bishopthorpe Roa'!$A$12:$A$130,"&lt;"&amp;Diagram!$P37)))</f>
        <v>3</v>
      </c>
      <c r="AN37" s="42">
        <f ca="1">IF(OR($I$10="",$O37="",$P37="",$J$36&lt;&gt;"Yes"),0,IF($K$10=0,SUMIFS(INDIRECT(ADDRESS(12,3+18*2+(1),,,"J1 B - Butcher Terrace")&amp;":"&amp;ADDRESS(130,3+18*2+(1))),'J1 B - Butcher Terrace'!$A$12:$A$130,"&gt;="&amp;Diagram!$O37,'J1 B - Butcher Terrace'!$A$12:$A$130,"&lt;"&amp;Diagram!$P37),SUMIFS(INDIRECT(ADDRESS(12,3+18*2+(9),,,"J1 B - Butcher Terrace")&amp;":"&amp;ADDRESS(130,3+18*2+(9))),'J1 B - Butcher Terrace'!$A$12:$A$130,"&gt;="&amp;Diagram!$O37,'J1 B - Butcher Terrace'!$A$12:$A$130,"&lt;"&amp;Diagram!$P37)))</f>
        <v>4</v>
      </c>
      <c r="AO37" s="42">
        <f ca="1">IF(OR($I$10="",$O37="",$P37="",$J$36&lt;&gt;"Yes"),0,IF($K$10=0,SUMIFS(INDIRECT(ADDRESS(12,3+18*3+(1),,,"J1 B - Butcher Terrace")&amp;":"&amp;ADDRESS(130,3+18*3+(1))),'J1 B - Butcher Terrace'!$A$12:$A$130,"&gt;="&amp;Diagram!$O37,'J1 B - Butcher Terrace'!$A$12:$A$130,"&lt;"&amp;Diagram!$P37),SUMIFS(INDIRECT(ADDRESS(12,3+18*3+(9),,,"J1 B - Butcher Terrace")&amp;":"&amp;ADDRESS(130,3+18*3+(9))),'J1 B - Butcher Terrace'!$A$12:$A$130,"&gt;="&amp;Diagram!$O37,'J1 B - Butcher Terrace'!$A$12:$A$130,"&lt;"&amp;Diagram!$P37)))</f>
        <v>0</v>
      </c>
      <c r="AP37" s="42">
        <f ca="1">IF(OR($I$10="",$O37="",$P37="",$J$36&lt;&gt;"Yes"),0,IF($K$10=0,SUMIFS(INDIRECT(ADDRESS(12,3+18*0+(1),,,"J1 B - Butcher Terrace")&amp;":"&amp;ADDRESS(130,3+18*0+(1))),'J1 B - Butcher Terrace'!$A$12:$A$130,"&gt;="&amp;Diagram!$O37,'J1 B - Butcher Terrace'!$A$12:$A$130,"&lt;"&amp;Diagram!$P37),SUMIFS(INDIRECT(ADDRESS(12,3+18*0+(9),,,"J1 B - Butcher Terrace")&amp;":"&amp;ADDRESS(130,3+18*0+(9))),'J1 B - Butcher Terrace'!$A$12:$A$130,"&gt;="&amp;Diagram!$O37,'J1 B - Butcher Terrace'!$A$12:$A$130,"&lt;"&amp;Diagram!$P37)))</f>
        <v>3</v>
      </c>
      <c r="AQ37" s="42">
        <f ca="1">IF(OR($I$10="",$O37="",$P37="",$J$36&lt;&gt;"Yes"),0,IF($K$10=0,SUMIFS(INDIRECT(ADDRESS(12,3+18*1+(1),,,"J1 B - Butcher Terrace")&amp;":"&amp;ADDRESS(130,3+18*1+(1))),'J1 B - Butcher Terrace'!$A$12:$A$130,"&gt;="&amp;Diagram!$O37,'J1 B - Butcher Terrace'!$A$12:$A$130,"&lt;"&amp;Diagram!$P37),SUMIFS(INDIRECT(ADDRESS(12,3+18*1+(9),,,"J1 B - Butcher Terrace")&amp;":"&amp;ADDRESS(130,3+18*1+(9))),'J1 B - Butcher Terrace'!$A$12:$A$130,"&gt;="&amp;Diagram!$O37,'J1 B - Butcher Terrace'!$A$12:$A$130,"&lt;"&amp;Diagram!$P37)))</f>
        <v>0</v>
      </c>
      <c r="AR37" s="42">
        <f ca="1">IF(OR($I$10="",$O37="",$P37="",$J$36&lt;&gt;"Yes"),0,IF($K$10=0,SUMIFS(INDIRECT(ADDRESS(12,3+18*1+(1),,,"J1 C - (South) Bishopthorpe Roa")&amp;":"&amp;ADDRESS(130,3+18*1+(1))),'J1 C - (South) Bishopthorpe Roa'!$A$12:$A$130,"&gt;="&amp;Diagram!$O37,'J1 C - (South) Bishopthorpe Roa'!$A$12:$A$130,"&lt;"&amp;Diagram!$P37),SUMIFS(INDIRECT(ADDRESS(12,3+18*1+(9),,,"J1 C - (South) Bishopthorpe Roa")&amp;":"&amp;ADDRESS(130,3+18*1+(9))),'J1 C - (South) Bishopthorpe Roa'!$A$12:$A$130,"&gt;="&amp;Diagram!$O37,'J1 C - (South) Bishopthorpe Roa'!$A$12:$A$130,"&lt;"&amp;Diagram!$P37)))</f>
        <v>14</v>
      </c>
      <c r="AS37" s="42">
        <f ca="1">IF(OR($I$10="",$O37="",$P37="",$J$36&lt;&gt;"Yes"),0,IF($K$10=0,SUMIFS(INDIRECT(ADDRESS(12,3+18*2+(1),,,"J1 C - (South) Bishopthorpe Roa")&amp;":"&amp;ADDRESS(130,3+18*2+(1))),'J1 C - (South) Bishopthorpe Roa'!$A$12:$A$130,"&gt;="&amp;Diagram!$O37,'J1 C - (South) Bishopthorpe Roa'!$A$12:$A$130,"&lt;"&amp;Diagram!$P37),SUMIFS(INDIRECT(ADDRESS(12,3+18*2+(9),,,"J1 C - (South) Bishopthorpe Roa")&amp;":"&amp;ADDRESS(130,3+18*2+(9))),'J1 C - (South) Bishopthorpe Roa'!$A$12:$A$130,"&gt;="&amp;Diagram!$O37,'J1 C - (South) Bishopthorpe Roa'!$A$12:$A$130,"&lt;"&amp;Diagram!$P37)))</f>
        <v>0</v>
      </c>
      <c r="AT37" s="42">
        <f ca="1">IF(OR($I$10="",$O37="",$P37="",$J$36&lt;&gt;"Yes"),0,IF($K$10=0,SUMIFS(INDIRECT(ADDRESS(12,3+18*3+(1),,,"J1 C - (South) Bishopthorpe Roa")&amp;":"&amp;ADDRESS(130,3+18*3+(1))),'J1 C - (South) Bishopthorpe Roa'!$A$12:$A$130,"&gt;="&amp;Diagram!$O37,'J1 C - (South) Bishopthorpe Roa'!$A$12:$A$130,"&lt;"&amp;Diagram!$P37),SUMIFS(INDIRECT(ADDRESS(12,3+18*3+(9),,,"J1 C - (South) Bishopthorpe Roa")&amp;":"&amp;ADDRESS(130,3+18*3+(9))),'J1 C - (South) Bishopthorpe Roa'!$A$12:$A$130,"&gt;="&amp;Diagram!$O37,'J1 C - (South) Bishopthorpe Roa'!$A$12:$A$130,"&lt;"&amp;Diagram!$P37)))</f>
        <v>0</v>
      </c>
      <c r="AU37" s="42">
        <f ca="1">IF(OR($I$10="",$O37="",$P37="",$J$36&lt;&gt;"Yes"),0,IF($K$10=0,SUMIFS(INDIRECT(ADDRESS(12,3+18*0+(1),,,"J1 C - (South) Bishopthorpe Roa")&amp;":"&amp;ADDRESS(130,3+18*0+(1))),'J1 C - (South) Bishopthorpe Roa'!$A$12:$A$130,"&gt;="&amp;Diagram!$O37,'J1 C - (South) Bishopthorpe Roa'!$A$12:$A$130,"&lt;"&amp;Diagram!$P37),SUMIFS(INDIRECT(ADDRESS(12,3+18*0+(9),,,"J1 C - (South) Bishopthorpe Roa")&amp;":"&amp;ADDRESS(130,3+18*0+(9))),'J1 C - (South) Bishopthorpe Roa'!$A$12:$A$130,"&gt;="&amp;Diagram!$O37,'J1 C - (South) Bishopthorpe Roa'!$A$12:$A$130,"&lt;"&amp;Diagram!$P37)))</f>
        <v>2</v>
      </c>
      <c r="AV37" s="42">
        <f ca="1">IF(OR($I$10="",$O37="",$P37="",$J$36&lt;&gt;"Yes"),0,IF($K$10=0,SUMIFS(INDIRECT(ADDRESS(12,3+18*0+(1),,,"J1 D - South Bank Avenue")&amp;":"&amp;ADDRESS(130,3+18*0+(1))),'J1 D - South Bank Avenue'!$A$12:$A$130,"&gt;="&amp;Diagram!$O37,'J1 D - South Bank Avenue'!$A$12:$A$130,"&lt;"&amp;Diagram!$P37),SUMIFS(INDIRECT(ADDRESS(12,3+18*0+(9),,,"J1 D - South Bank Avenue")&amp;":"&amp;ADDRESS(130,3+18*0+(9))),'J1 D - South Bank Avenue'!$A$12:$A$130,"&gt;="&amp;Diagram!$O37,'J1 D - South Bank Avenue'!$A$12:$A$130,"&lt;"&amp;Diagram!$P37)))</f>
        <v>5</v>
      </c>
      <c r="AW37" s="42">
        <f ca="1">IF(OR($I$10="",$O37="",$P37="",$J$36&lt;&gt;"Yes"),0,IF($K$10=0,SUMIFS(INDIRECT(ADDRESS(12,3+18*1+(1),,,"J1 D - South Bank Avenue")&amp;":"&amp;ADDRESS(130,3+18*1+(1))),'J1 D - South Bank Avenue'!$A$12:$A$130,"&gt;="&amp;Diagram!$O37,'J1 D - South Bank Avenue'!$A$12:$A$130,"&lt;"&amp;Diagram!$P37),SUMIFS(INDIRECT(ADDRESS(12,3+18*1+(9),,,"J1 D - South Bank Avenue")&amp;":"&amp;ADDRESS(130,3+18*1+(9))),'J1 D - South Bank Avenue'!$A$12:$A$130,"&gt;="&amp;Diagram!$O37,'J1 D - South Bank Avenue'!$A$12:$A$130,"&lt;"&amp;Diagram!$P37)))</f>
        <v>0</v>
      </c>
      <c r="AX37" s="42">
        <f ca="1">IF(OR($I$10="",$O37="",$P37="",$J$36&lt;&gt;"Yes"),0,IF($K$10=0,SUMIFS(INDIRECT(ADDRESS(12,3+18*2+(1),,,"J1 D - South Bank Avenue")&amp;":"&amp;ADDRESS(130,3+18*2+(1))),'J1 D - South Bank Avenue'!$A$12:$A$130,"&gt;="&amp;Diagram!$O37,'J1 D - South Bank Avenue'!$A$12:$A$130,"&lt;"&amp;Diagram!$P37),SUMIFS(INDIRECT(ADDRESS(12,3+18*2+(9),,,"J1 D - South Bank Avenue")&amp;":"&amp;ADDRESS(130,3+18*2+(9))),'J1 D - South Bank Avenue'!$A$12:$A$130,"&gt;="&amp;Diagram!$O37,'J1 D - South Bank Avenue'!$A$12:$A$130,"&lt;"&amp;Diagram!$P37)))</f>
        <v>5</v>
      </c>
      <c r="AY37" s="42">
        <f ca="1">IF(OR($I$10="",$O37="",$P37="",$J$36&lt;&gt;"Yes"),0,IF($K$10=0,SUMIFS(INDIRECT(ADDRESS(12,3+18*3+(1),,,"J1 D - South Bank Avenue")&amp;":"&amp;ADDRESS(130,3+18*3+(1))),'J1 D - South Bank Avenue'!$A$12:$A$130,"&gt;="&amp;Diagram!$O37,'J1 D - South Bank Avenue'!$A$12:$A$130,"&lt;"&amp;Diagram!$P37),SUMIFS(INDIRECT(ADDRESS(12,3+18*3+(9),,,"J1 D - South Bank Avenue")&amp;":"&amp;ADDRESS(130,3+18*3+(9))),'J1 D - South Bank Avenue'!$A$12:$A$130,"&gt;="&amp;Diagram!$O37,'J1 D - South Bank Avenue'!$A$12:$A$130,"&lt;"&amp;Diagram!$P37)))</f>
        <v>0</v>
      </c>
      <c r="AZ37" s="42">
        <f t="shared" ca="1" si="3"/>
        <v>12</v>
      </c>
      <c r="BA37" s="42">
        <f ca="1">IF(OR($I$10="",$O37="",$P37="",$J$37&lt;&gt;"Yes"),0,IF($K$10=0,SUMIFS(INDIRECT(ADDRESS(12,3+18*3+(2),,,"J1 A - (North) Bishopthorpe Roa")&amp;":"&amp;ADDRESS(130,3+18*3+(2))),'J1 A - (North) Bishopthorpe Roa'!$A$12:$A$130,"&gt;="&amp;Diagram!$O37,'J1 A - (North) Bishopthorpe Roa'!$A$12:$A$130,"&lt;"&amp;Diagram!$P37),SUMIFS(INDIRECT(ADDRESS(12,3+18*3+(10),,,"J1 A - (North) Bishopthorpe Roa")&amp;":"&amp;ADDRESS(130,3+18*3+(10))),'J1 A - (North) Bishopthorpe Roa'!$A$12:$A$130,"&gt;="&amp;Diagram!$O37,'J1 A - (North) Bishopthorpe Roa'!$A$12:$A$130,"&lt;"&amp;Diagram!$P37)))</f>
        <v>0</v>
      </c>
      <c r="BB37" s="42">
        <f ca="1">IF(OR($I$10="",$O37="",$P37="",$J$37&lt;&gt;"Yes"),0,IF($K$10=0,SUMIFS(INDIRECT(ADDRESS(12,3+18*0+(2),,,"J1 A - (North) Bishopthorpe Roa")&amp;":"&amp;ADDRESS(130,3+18*0+(2))),'J1 A - (North) Bishopthorpe Roa'!$A$12:$A$130,"&gt;="&amp;Diagram!$O37,'J1 A - (North) Bishopthorpe Roa'!$A$12:$A$130,"&lt;"&amp;Diagram!$P37),SUMIFS(INDIRECT(ADDRESS(12,3+18*0+(10),,,"J1 A - (North) Bishopthorpe Roa")&amp;":"&amp;ADDRESS(130,3+18*0+(10))),'J1 A - (North) Bishopthorpe Roa'!$A$12:$A$130,"&gt;="&amp;Diagram!$O37,'J1 A - (North) Bishopthorpe Roa'!$A$12:$A$130,"&lt;"&amp;Diagram!$P37)))</f>
        <v>2</v>
      </c>
      <c r="BC37" s="42">
        <f ca="1">IF(OR($I$10="",$O37="",$P37="",$J$37&lt;&gt;"Yes"),0,IF($K$10=0,SUMIFS(INDIRECT(ADDRESS(12,3+18*1+(2),,,"J1 A - (North) Bishopthorpe Roa")&amp;":"&amp;ADDRESS(130,3+18*1+(2))),'J1 A - (North) Bishopthorpe Roa'!$A$12:$A$130,"&gt;="&amp;Diagram!$O37,'J1 A - (North) Bishopthorpe Roa'!$A$12:$A$130,"&lt;"&amp;Diagram!$P37),SUMIFS(INDIRECT(ADDRESS(12,3+18*1+(10),,,"J1 A - (North) Bishopthorpe Roa")&amp;":"&amp;ADDRESS(130,3+18*1+(10))),'J1 A - (North) Bishopthorpe Roa'!$A$12:$A$130,"&gt;="&amp;Diagram!$O37,'J1 A - (North) Bishopthorpe Roa'!$A$12:$A$130,"&lt;"&amp;Diagram!$P37)))</f>
        <v>3</v>
      </c>
      <c r="BD37" s="42">
        <f ca="1">IF(OR($I$10="",$O37="",$P37="",$J$37&lt;&gt;"Yes"),0,IF($K$10=0,SUMIFS(INDIRECT(ADDRESS(12,3+18*2+(2),,,"J1 A - (North) Bishopthorpe Roa")&amp;":"&amp;ADDRESS(130,3+18*2+(2))),'J1 A - (North) Bishopthorpe Roa'!$A$12:$A$130,"&gt;="&amp;Diagram!$O37,'J1 A - (North) Bishopthorpe Roa'!$A$12:$A$130,"&lt;"&amp;Diagram!$P37),SUMIFS(INDIRECT(ADDRESS(12,3+18*2+(10),,,"J1 A - (North) Bishopthorpe Roa")&amp;":"&amp;ADDRESS(130,3+18*2+(10))),'J1 A - (North) Bishopthorpe Roa'!$A$12:$A$130,"&gt;="&amp;Diagram!$O37,'J1 A - (North) Bishopthorpe Roa'!$A$12:$A$130,"&lt;"&amp;Diagram!$P37)))</f>
        <v>0</v>
      </c>
      <c r="BE37" s="42">
        <f ca="1">IF(OR($I$10="",$O37="",$P37="",$J$37&lt;&gt;"Yes"),0,IF($K$10=0,SUMIFS(INDIRECT(ADDRESS(12,3+18*2+(2),,,"J1 B - Butcher Terrace")&amp;":"&amp;ADDRESS(130,3+18*2+(2))),'J1 B - Butcher Terrace'!$A$12:$A$130,"&gt;="&amp;Diagram!$O37,'J1 B - Butcher Terrace'!$A$12:$A$130,"&lt;"&amp;Diagram!$P37),SUMIFS(INDIRECT(ADDRESS(12,3+18*2+(10),,,"J1 B - Butcher Terrace")&amp;":"&amp;ADDRESS(130,3+18*2+(10))),'J1 B - Butcher Terrace'!$A$12:$A$130,"&gt;="&amp;Diagram!$O37,'J1 B - Butcher Terrace'!$A$12:$A$130,"&lt;"&amp;Diagram!$P37)))</f>
        <v>2</v>
      </c>
      <c r="BF37" s="42">
        <f ca="1">IF(OR($I$10="",$O37="",$P37="",$J$37&lt;&gt;"Yes"),0,IF($K$10=0,SUMIFS(INDIRECT(ADDRESS(12,3+18*3+(2),,,"J1 B - Butcher Terrace")&amp;":"&amp;ADDRESS(130,3+18*3+(2))),'J1 B - Butcher Terrace'!$A$12:$A$130,"&gt;="&amp;Diagram!$O37,'J1 B - Butcher Terrace'!$A$12:$A$130,"&lt;"&amp;Diagram!$P37),SUMIFS(INDIRECT(ADDRESS(12,3+18*3+(10),,,"J1 B - Butcher Terrace")&amp;":"&amp;ADDRESS(130,3+18*3+(10))),'J1 B - Butcher Terrace'!$A$12:$A$130,"&gt;="&amp;Diagram!$O37,'J1 B - Butcher Terrace'!$A$12:$A$130,"&lt;"&amp;Diagram!$P37)))</f>
        <v>0</v>
      </c>
      <c r="BG37" s="42">
        <f ca="1">IF(OR($I$10="",$O37="",$P37="",$J$37&lt;&gt;"Yes"),0,IF($K$10=0,SUMIFS(INDIRECT(ADDRESS(12,3+18*0+(2),,,"J1 B - Butcher Terrace")&amp;":"&amp;ADDRESS(130,3+18*0+(2))),'J1 B - Butcher Terrace'!$A$12:$A$130,"&gt;="&amp;Diagram!$O37,'J1 B - Butcher Terrace'!$A$12:$A$130,"&lt;"&amp;Diagram!$P37),SUMIFS(INDIRECT(ADDRESS(12,3+18*0+(10),,,"J1 B - Butcher Terrace")&amp;":"&amp;ADDRESS(130,3+18*0+(10))),'J1 B - Butcher Terrace'!$A$12:$A$130,"&gt;="&amp;Diagram!$O37,'J1 B - Butcher Terrace'!$A$12:$A$130,"&lt;"&amp;Diagram!$P37)))</f>
        <v>0</v>
      </c>
      <c r="BH37" s="42">
        <f ca="1">IF(OR($I$10="",$O37="",$P37="",$J$37&lt;&gt;"Yes"),0,IF($K$10=0,SUMIFS(INDIRECT(ADDRESS(12,3+18*1+(2),,,"J1 B - Butcher Terrace")&amp;":"&amp;ADDRESS(130,3+18*1+(2))),'J1 B - Butcher Terrace'!$A$12:$A$130,"&gt;="&amp;Diagram!$O37,'J1 B - Butcher Terrace'!$A$12:$A$130,"&lt;"&amp;Diagram!$P37),SUMIFS(INDIRECT(ADDRESS(12,3+18*1+(10),,,"J1 B - Butcher Terrace")&amp;":"&amp;ADDRESS(130,3+18*1+(10))),'J1 B - Butcher Terrace'!$A$12:$A$130,"&gt;="&amp;Diagram!$O37,'J1 B - Butcher Terrace'!$A$12:$A$130,"&lt;"&amp;Diagram!$P37)))</f>
        <v>0</v>
      </c>
      <c r="BI37" s="42">
        <f ca="1">IF(OR($I$10="",$O37="",$P37="",$J$37&lt;&gt;"Yes"),0,IF($K$10=0,SUMIFS(INDIRECT(ADDRESS(12,3+18*1+(2),,,"J1 C - (South) Bishopthorpe Roa")&amp;":"&amp;ADDRESS(130,3+18*1+(2))),'J1 C - (South) Bishopthorpe Roa'!$A$12:$A$130,"&gt;="&amp;Diagram!$O37,'J1 C - (South) Bishopthorpe Roa'!$A$12:$A$130,"&lt;"&amp;Diagram!$P37),SUMIFS(INDIRECT(ADDRESS(12,3+18*1+(10),,,"J1 C - (South) Bishopthorpe Roa")&amp;":"&amp;ADDRESS(130,3+18*1+(10))),'J1 C - (South) Bishopthorpe Roa'!$A$12:$A$130,"&gt;="&amp;Diagram!$O37,'J1 C - (South) Bishopthorpe Roa'!$A$12:$A$130,"&lt;"&amp;Diagram!$P37)))</f>
        <v>3</v>
      </c>
      <c r="BJ37" s="42">
        <f ca="1">IF(OR($I$10="",$O37="",$P37="",$J$37&lt;&gt;"Yes"),0,IF($K$10=0,SUMIFS(INDIRECT(ADDRESS(12,3+18*2+(2),,,"J1 C - (South) Bishopthorpe Roa")&amp;":"&amp;ADDRESS(130,3+18*2+(2))),'J1 C - (South) Bishopthorpe Roa'!$A$12:$A$130,"&gt;="&amp;Diagram!$O37,'J1 C - (South) Bishopthorpe Roa'!$A$12:$A$130,"&lt;"&amp;Diagram!$P37),SUMIFS(INDIRECT(ADDRESS(12,3+18*2+(10),,,"J1 C - (South) Bishopthorpe Roa")&amp;":"&amp;ADDRESS(130,3+18*2+(10))),'J1 C - (South) Bishopthorpe Roa'!$A$12:$A$130,"&gt;="&amp;Diagram!$O37,'J1 C - (South) Bishopthorpe Roa'!$A$12:$A$130,"&lt;"&amp;Diagram!$P37)))</f>
        <v>1</v>
      </c>
      <c r="BK37" s="42">
        <f ca="1">IF(OR($I$10="",$O37="",$P37="",$J$37&lt;&gt;"Yes"),0,IF($K$10=0,SUMIFS(INDIRECT(ADDRESS(12,3+18*3+(2),,,"J1 C - (South) Bishopthorpe Roa")&amp;":"&amp;ADDRESS(130,3+18*3+(2))),'J1 C - (South) Bishopthorpe Roa'!$A$12:$A$130,"&gt;="&amp;Diagram!$O37,'J1 C - (South) Bishopthorpe Roa'!$A$12:$A$130,"&lt;"&amp;Diagram!$P37),SUMIFS(INDIRECT(ADDRESS(12,3+18*3+(10),,,"J1 C - (South) Bishopthorpe Roa")&amp;":"&amp;ADDRESS(130,3+18*3+(10))),'J1 C - (South) Bishopthorpe Roa'!$A$12:$A$130,"&gt;="&amp;Diagram!$O37,'J1 C - (South) Bishopthorpe Roa'!$A$12:$A$130,"&lt;"&amp;Diagram!$P37)))</f>
        <v>0</v>
      </c>
      <c r="BL37" s="42">
        <f ca="1">IF(OR($I$10="",$O37="",$P37="",$J$37&lt;&gt;"Yes"),0,IF($K$10=0,SUMIFS(INDIRECT(ADDRESS(12,3+18*0+(2),,,"J1 C - (South) Bishopthorpe Roa")&amp;":"&amp;ADDRESS(130,3+18*0+(2))),'J1 C - (South) Bishopthorpe Roa'!$A$12:$A$130,"&gt;="&amp;Diagram!$O37,'J1 C - (South) Bishopthorpe Roa'!$A$12:$A$130,"&lt;"&amp;Diagram!$P37),SUMIFS(INDIRECT(ADDRESS(12,3+18*0+(10),,,"J1 C - (South) Bishopthorpe Roa")&amp;":"&amp;ADDRESS(130,3+18*0+(10))),'J1 C - (South) Bishopthorpe Roa'!$A$12:$A$130,"&gt;="&amp;Diagram!$O37,'J1 C - (South) Bishopthorpe Roa'!$A$12:$A$130,"&lt;"&amp;Diagram!$P37)))</f>
        <v>0</v>
      </c>
      <c r="BM37" s="42">
        <f ca="1">IF(OR($I$10="",$O37="",$P37="",$J$37&lt;&gt;"Yes"),0,IF($K$10=0,SUMIFS(INDIRECT(ADDRESS(12,3+18*0+(2),,,"J1 D - South Bank Avenue")&amp;":"&amp;ADDRESS(130,3+18*0+(2))),'J1 D - South Bank Avenue'!$A$12:$A$130,"&gt;="&amp;Diagram!$O37,'J1 D - South Bank Avenue'!$A$12:$A$130,"&lt;"&amp;Diagram!$P37),SUMIFS(INDIRECT(ADDRESS(12,3+18*0+(10),,,"J1 D - South Bank Avenue")&amp;":"&amp;ADDRESS(130,3+18*0+(10))),'J1 D - South Bank Avenue'!$A$12:$A$130,"&gt;="&amp;Diagram!$O37,'J1 D - South Bank Avenue'!$A$12:$A$130,"&lt;"&amp;Diagram!$P37)))</f>
        <v>1</v>
      </c>
      <c r="BN37" s="42">
        <f ca="1">IF(OR($I$10="",$O37="",$P37="",$J$37&lt;&gt;"Yes"),0,IF($K$10=0,SUMIFS(INDIRECT(ADDRESS(12,3+18*1+(2),,,"J1 D - South Bank Avenue")&amp;":"&amp;ADDRESS(130,3+18*1+(2))),'J1 D - South Bank Avenue'!$A$12:$A$130,"&gt;="&amp;Diagram!$O37,'J1 D - South Bank Avenue'!$A$12:$A$130,"&lt;"&amp;Diagram!$P37),SUMIFS(INDIRECT(ADDRESS(12,3+18*1+(10),,,"J1 D - South Bank Avenue")&amp;":"&amp;ADDRESS(130,3+18*1+(10))),'J1 D - South Bank Avenue'!$A$12:$A$130,"&gt;="&amp;Diagram!$O37,'J1 D - South Bank Avenue'!$A$12:$A$130,"&lt;"&amp;Diagram!$P37)))</f>
        <v>0</v>
      </c>
      <c r="BO37" s="42">
        <f ca="1">IF(OR($I$10="",$O37="",$P37="",$J$37&lt;&gt;"Yes"),0,IF($K$10=0,SUMIFS(INDIRECT(ADDRESS(12,3+18*2+(2),,,"J1 D - South Bank Avenue")&amp;":"&amp;ADDRESS(130,3+18*2+(2))),'J1 D - South Bank Avenue'!$A$12:$A$130,"&gt;="&amp;Diagram!$O37,'J1 D - South Bank Avenue'!$A$12:$A$130,"&lt;"&amp;Diagram!$P37),SUMIFS(INDIRECT(ADDRESS(12,3+18*2+(10),,,"J1 D - South Bank Avenue")&amp;":"&amp;ADDRESS(130,3+18*2+(10))),'J1 D - South Bank Avenue'!$A$12:$A$130,"&gt;="&amp;Diagram!$O37,'J1 D - South Bank Avenue'!$A$12:$A$130,"&lt;"&amp;Diagram!$P37)))</f>
        <v>0</v>
      </c>
      <c r="BP37" s="42">
        <f ca="1">IF(OR($I$10="",$O37="",$P37="",$J$37&lt;&gt;"Yes"),0,IF($K$10=0,SUMIFS(INDIRECT(ADDRESS(12,3+18*3+(2),,,"J1 D - South Bank Avenue")&amp;":"&amp;ADDRESS(130,3+18*3+(2))),'J1 D - South Bank Avenue'!$A$12:$A$130,"&gt;="&amp;Diagram!$O37,'J1 D - South Bank Avenue'!$A$12:$A$130,"&lt;"&amp;Diagram!$P37),SUMIFS(INDIRECT(ADDRESS(12,3+18*3+(10),,,"J1 D - South Bank Avenue")&amp;":"&amp;ADDRESS(130,3+18*3+(10))),'J1 D - South Bank Avenue'!$A$12:$A$130,"&gt;="&amp;Diagram!$O37,'J1 D - South Bank Avenue'!$A$12:$A$130,"&lt;"&amp;Diagram!$P37)))</f>
        <v>0</v>
      </c>
      <c r="BQ37" s="42">
        <f t="shared" ca="1" si="4"/>
        <v>2</v>
      </c>
      <c r="BR37" s="42">
        <f ca="1">IF(OR($I$10="",$O37="",$P37="",$J$38&lt;&gt;"Yes"),0,IF($K$10=0,SUMIFS(INDIRECT(ADDRESS(12,3+18*3+(3),,,"J1 A - (North) Bishopthorpe Roa")&amp;":"&amp;ADDRESS(130,3+18*3+(3))),'J1 A - (North) Bishopthorpe Roa'!$A$12:$A$130,"&gt;="&amp;Diagram!$O37,'J1 A - (North) Bishopthorpe Roa'!$A$12:$A$130,"&lt;"&amp;Diagram!$P37),SUMIFS(INDIRECT(ADDRESS(12,3+18*3+(11),,,"J1 A - (North) Bishopthorpe Roa")&amp;":"&amp;ADDRESS(130,3+18*3+(11))),'J1 A - (North) Bishopthorpe Roa'!$A$12:$A$130,"&gt;="&amp;Diagram!$O37,'J1 A - (North) Bishopthorpe Roa'!$A$12:$A$130,"&lt;"&amp;Diagram!$P37)))</f>
        <v>0</v>
      </c>
      <c r="BS37" s="42">
        <f ca="1">IF(OR($I$10="",$O37="",$P37="",$J$38&lt;&gt;"Yes"),0,IF($K$10=0,SUMIFS(INDIRECT(ADDRESS(12,3+18*0+(3),,,"J1 A - (North) Bishopthorpe Roa")&amp;":"&amp;ADDRESS(130,3+18*0+(3))),'J1 A - (North) Bishopthorpe Roa'!$A$12:$A$130,"&gt;="&amp;Diagram!$O37,'J1 A - (North) Bishopthorpe Roa'!$A$12:$A$130,"&lt;"&amp;Diagram!$P37),SUMIFS(INDIRECT(ADDRESS(12,3+18*0+(11),,,"J1 A - (North) Bishopthorpe Roa")&amp;":"&amp;ADDRESS(130,3+18*0+(11))),'J1 A - (North) Bishopthorpe Roa'!$A$12:$A$130,"&gt;="&amp;Diagram!$O37,'J1 A - (North) Bishopthorpe Roa'!$A$12:$A$130,"&lt;"&amp;Diagram!$P37)))</f>
        <v>0</v>
      </c>
      <c r="BT37" s="42">
        <f ca="1">IF(OR($I$10="",$O37="",$P37="",$J$38&lt;&gt;"Yes"),0,IF($K$10=0,SUMIFS(INDIRECT(ADDRESS(12,3+18*1+(3),,,"J1 A - (North) Bishopthorpe Roa")&amp;":"&amp;ADDRESS(130,3+18*1+(3))),'J1 A - (North) Bishopthorpe Roa'!$A$12:$A$130,"&gt;="&amp;Diagram!$O37,'J1 A - (North) Bishopthorpe Roa'!$A$12:$A$130,"&lt;"&amp;Diagram!$P37),SUMIFS(INDIRECT(ADDRESS(12,3+18*1+(11),,,"J1 A - (North) Bishopthorpe Roa")&amp;":"&amp;ADDRESS(130,3+18*1+(11))),'J1 A - (North) Bishopthorpe Roa'!$A$12:$A$130,"&gt;="&amp;Diagram!$O37,'J1 A - (North) Bishopthorpe Roa'!$A$12:$A$130,"&lt;"&amp;Diagram!$P37)))</f>
        <v>1</v>
      </c>
      <c r="BU37" s="42">
        <f ca="1">IF(OR($I$10="",$O37="",$P37="",$J$38&lt;&gt;"Yes"),0,IF($K$10=0,SUMIFS(INDIRECT(ADDRESS(12,3+18*2+(3),,,"J1 A - (North) Bishopthorpe Roa")&amp;":"&amp;ADDRESS(130,3+18*2+(3))),'J1 A - (North) Bishopthorpe Roa'!$A$12:$A$130,"&gt;="&amp;Diagram!$O37,'J1 A - (North) Bishopthorpe Roa'!$A$12:$A$130,"&lt;"&amp;Diagram!$P37),SUMIFS(INDIRECT(ADDRESS(12,3+18*2+(11),,,"J1 A - (North) Bishopthorpe Roa")&amp;":"&amp;ADDRESS(130,3+18*2+(11))),'J1 A - (North) Bishopthorpe Roa'!$A$12:$A$130,"&gt;="&amp;Diagram!$O37,'J1 A - (North) Bishopthorpe Roa'!$A$12:$A$130,"&lt;"&amp;Diagram!$P37)))</f>
        <v>0</v>
      </c>
      <c r="BV37" s="42">
        <f ca="1">IF(OR($I$10="",$O37="",$P37="",$J$38&lt;&gt;"Yes"),0,IF($K$10=0,SUMIFS(INDIRECT(ADDRESS(12,3+18*2+(3),,,"J1 B - Butcher Terrace")&amp;":"&amp;ADDRESS(130,3+18*2+(3))),'J1 B - Butcher Terrace'!$A$12:$A$130,"&gt;="&amp;Diagram!$O37,'J1 B - Butcher Terrace'!$A$12:$A$130,"&lt;"&amp;Diagram!$P37),SUMIFS(INDIRECT(ADDRESS(12,3+18*2+(11),,,"J1 B - Butcher Terrace")&amp;":"&amp;ADDRESS(130,3+18*2+(11))),'J1 B - Butcher Terrace'!$A$12:$A$130,"&gt;="&amp;Diagram!$O37,'J1 B - Butcher Terrace'!$A$12:$A$130,"&lt;"&amp;Diagram!$P37)))</f>
        <v>0</v>
      </c>
      <c r="BW37" s="42">
        <f ca="1">IF(OR($I$10="",$O37="",$P37="",$J$38&lt;&gt;"Yes"),0,IF($K$10=0,SUMIFS(INDIRECT(ADDRESS(12,3+18*3+(3),,,"J1 B - Butcher Terrace")&amp;":"&amp;ADDRESS(130,3+18*3+(3))),'J1 B - Butcher Terrace'!$A$12:$A$130,"&gt;="&amp;Diagram!$O37,'J1 B - Butcher Terrace'!$A$12:$A$130,"&lt;"&amp;Diagram!$P37),SUMIFS(INDIRECT(ADDRESS(12,3+18*3+(11),,,"J1 B - Butcher Terrace")&amp;":"&amp;ADDRESS(130,3+18*3+(11))),'J1 B - Butcher Terrace'!$A$12:$A$130,"&gt;="&amp;Diagram!$O37,'J1 B - Butcher Terrace'!$A$12:$A$130,"&lt;"&amp;Diagram!$P37)))</f>
        <v>0</v>
      </c>
      <c r="BX37" s="42">
        <f ca="1">IF(OR($I$10="",$O37="",$P37="",$J$38&lt;&gt;"Yes"),0,IF($K$10=0,SUMIFS(INDIRECT(ADDRESS(12,3+18*0+(3),,,"J1 B - Butcher Terrace")&amp;":"&amp;ADDRESS(130,3+18*0+(3))),'J1 B - Butcher Terrace'!$A$12:$A$130,"&gt;="&amp;Diagram!$O37,'J1 B - Butcher Terrace'!$A$12:$A$130,"&lt;"&amp;Diagram!$P37),SUMIFS(INDIRECT(ADDRESS(12,3+18*0+(11),,,"J1 B - Butcher Terrace")&amp;":"&amp;ADDRESS(130,3+18*0+(11))),'J1 B - Butcher Terrace'!$A$12:$A$130,"&gt;="&amp;Diagram!$O37,'J1 B - Butcher Terrace'!$A$12:$A$130,"&lt;"&amp;Diagram!$P37)))</f>
        <v>0</v>
      </c>
      <c r="BY37" s="42">
        <f ca="1">IF(OR($I$10="",$O37="",$P37="",$J$38&lt;&gt;"Yes"),0,IF($K$10=0,SUMIFS(INDIRECT(ADDRESS(12,3+18*1+(3),,,"J1 B - Butcher Terrace")&amp;":"&amp;ADDRESS(130,3+18*1+(3))),'J1 B - Butcher Terrace'!$A$12:$A$130,"&gt;="&amp;Diagram!$O37,'J1 B - Butcher Terrace'!$A$12:$A$130,"&lt;"&amp;Diagram!$P37),SUMIFS(INDIRECT(ADDRESS(12,3+18*1+(11),,,"J1 B - Butcher Terrace")&amp;":"&amp;ADDRESS(130,3+18*1+(11))),'J1 B - Butcher Terrace'!$A$12:$A$130,"&gt;="&amp;Diagram!$O37,'J1 B - Butcher Terrace'!$A$12:$A$130,"&lt;"&amp;Diagram!$P37)))</f>
        <v>0</v>
      </c>
      <c r="BZ37" s="42">
        <f ca="1">IF(OR($I$10="",$O37="",$P37="",$J$38&lt;&gt;"Yes"),0,IF($K$10=0,SUMIFS(INDIRECT(ADDRESS(12,3+18*1+(3),,,"J1 C - (South) Bishopthorpe Roa")&amp;":"&amp;ADDRESS(130,3+18*1+(3))),'J1 C - (South) Bishopthorpe Roa'!$A$12:$A$130,"&gt;="&amp;Diagram!$O37,'J1 C - (South) Bishopthorpe Roa'!$A$12:$A$130,"&lt;"&amp;Diagram!$P37),SUMIFS(INDIRECT(ADDRESS(12,3+18*1+(11),,,"J1 C - (South) Bishopthorpe Roa")&amp;":"&amp;ADDRESS(130,3+18*1+(11))),'J1 C - (South) Bishopthorpe Roa'!$A$12:$A$130,"&gt;="&amp;Diagram!$O37,'J1 C - (South) Bishopthorpe Roa'!$A$12:$A$130,"&lt;"&amp;Diagram!$P37)))</f>
        <v>1</v>
      </c>
      <c r="CA37" s="42">
        <f ca="1">IF(OR($I$10="",$O37="",$P37="",$J$38&lt;&gt;"Yes"),0,IF($K$10=0,SUMIFS(INDIRECT(ADDRESS(12,3+18*2+(3),,,"J1 C - (South) Bishopthorpe Roa")&amp;":"&amp;ADDRESS(130,3+18*2+(3))),'J1 C - (South) Bishopthorpe Roa'!$A$12:$A$130,"&gt;="&amp;Diagram!$O37,'J1 C - (South) Bishopthorpe Roa'!$A$12:$A$130,"&lt;"&amp;Diagram!$P37),SUMIFS(INDIRECT(ADDRESS(12,3+18*2+(11),,,"J1 C - (South) Bishopthorpe Roa")&amp;":"&amp;ADDRESS(130,3+18*2+(11))),'J1 C - (South) Bishopthorpe Roa'!$A$12:$A$130,"&gt;="&amp;Diagram!$O37,'J1 C - (South) Bishopthorpe Roa'!$A$12:$A$130,"&lt;"&amp;Diagram!$P37)))</f>
        <v>0</v>
      </c>
      <c r="CB37" s="42">
        <f ca="1">IF(OR($I$10="",$O37="",$P37="",$J$38&lt;&gt;"Yes"),0,IF($K$10=0,SUMIFS(INDIRECT(ADDRESS(12,3+18*3+(3),,,"J1 C - (South) Bishopthorpe Roa")&amp;":"&amp;ADDRESS(130,3+18*3+(3))),'J1 C - (South) Bishopthorpe Roa'!$A$12:$A$130,"&gt;="&amp;Diagram!$O37,'J1 C - (South) Bishopthorpe Roa'!$A$12:$A$130,"&lt;"&amp;Diagram!$P37),SUMIFS(INDIRECT(ADDRESS(12,3+18*3+(11),,,"J1 C - (South) Bishopthorpe Roa")&amp;":"&amp;ADDRESS(130,3+18*3+(11))),'J1 C - (South) Bishopthorpe Roa'!$A$12:$A$130,"&gt;="&amp;Diagram!$O37,'J1 C - (South) Bishopthorpe Roa'!$A$12:$A$130,"&lt;"&amp;Diagram!$P37)))</f>
        <v>0</v>
      </c>
      <c r="CC37" s="42">
        <f ca="1">IF(OR($I$10="",$O37="",$P37="",$J$38&lt;&gt;"Yes"),0,IF($K$10=0,SUMIFS(INDIRECT(ADDRESS(12,3+18*0+(3),,,"J1 C - (South) Bishopthorpe Roa")&amp;":"&amp;ADDRESS(130,3+18*0+(3))),'J1 C - (South) Bishopthorpe Roa'!$A$12:$A$130,"&gt;="&amp;Diagram!$O37,'J1 C - (South) Bishopthorpe Roa'!$A$12:$A$130,"&lt;"&amp;Diagram!$P37),SUMIFS(INDIRECT(ADDRESS(12,3+18*0+(11),,,"J1 C - (South) Bishopthorpe Roa")&amp;":"&amp;ADDRESS(130,3+18*0+(11))),'J1 C - (South) Bishopthorpe Roa'!$A$12:$A$130,"&gt;="&amp;Diagram!$O37,'J1 C - (South) Bishopthorpe Roa'!$A$12:$A$130,"&lt;"&amp;Diagram!$P37)))</f>
        <v>0</v>
      </c>
      <c r="CD37" s="42">
        <f ca="1">IF(OR($I$10="",$O37="",$P37="",$J$38&lt;&gt;"Yes"),0,IF($K$10=0,SUMIFS(INDIRECT(ADDRESS(12,3+18*0+(3),,,"J1 D - South Bank Avenue")&amp;":"&amp;ADDRESS(130,3+18*0+(3))),'J1 D - South Bank Avenue'!$A$12:$A$130,"&gt;="&amp;Diagram!$O37,'J1 D - South Bank Avenue'!$A$12:$A$130,"&lt;"&amp;Diagram!$P37),SUMIFS(INDIRECT(ADDRESS(12,3+18*0+(11),,,"J1 D - South Bank Avenue")&amp;":"&amp;ADDRESS(130,3+18*0+(11))),'J1 D - South Bank Avenue'!$A$12:$A$130,"&gt;="&amp;Diagram!$O37,'J1 D - South Bank Avenue'!$A$12:$A$130,"&lt;"&amp;Diagram!$P37)))</f>
        <v>0</v>
      </c>
      <c r="CE37" s="42">
        <f ca="1">IF(OR($I$10="",$O37="",$P37="",$J$38&lt;&gt;"Yes"),0,IF($K$10=0,SUMIFS(INDIRECT(ADDRESS(12,3+18*1+(3),,,"J1 D - South Bank Avenue")&amp;":"&amp;ADDRESS(130,3+18*1+(3))),'J1 D - South Bank Avenue'!$A$12:$A$130,"&gt;="&amp;Diagram!$O37,'J1 D - South Bank Avenue'!$A$12:$A$130,"&lt;"&amp;Diagram!$P37),SUMIFS(INDIRECT(ADDRESS(12,3+18*1+(11),,,"J1 D - South Bank Avenue")&amp;":"&amp;ADDRESS(130,3+18*1+(11))),'J1 D - South Bank Avenue'!$A$12:$A$130,"&gt;="&amp;Diagram!$O37,'J1 D - South Bank Avenue'!$A$12:$A$130,"&lt;"&amp;Diagram!$P37)))</f>
        <v>0</v>
      </c>
      <c r="CF37" s="42">
        <f ca="1">IF(OR($I$10="",$O37="",$P37="",$J$38&lt;&gt;"Yes"),0,IF($K$10=0,SUMIFS(INDIRECT(ADDRESS(12,3+18*2+(3),,,"J1 D - South Bank Avenue")&amp;":"&amp;ADDRESS(130,3+18*2+(3))),'J1 D - South Bank Avenue'!$A$12:$A$130,"&gt;="&amp;Diagram!$O37,'J1 D - South Bank Avenue'!$A$12:$A$130,"&lt;"&amp;Diagram!$P37),SUMIFS(INDIRECT(ADDRESS(12,3+18*2+(11),,,"J1 D - South Bank Avenue")&amp;":"&amp;ADDRESS(130,3+18*2+(11))),'J1 D - South Bank Avenue'!$A$12:$A$130,"&gt;="&amp;Diagram!$O37,'J1 D - South Bank Avenue'!$A$12:$A$130,"&lt;"&amp;Diagram!$P37)))</f>
        <v>0</v>
      </c>
      <c r="CG37" s="42">
        <f ca="1">IF(OR($I$10="",$O37="",$P37="",$J$38&lt;&gt;"Yes"),0,IF($K$10=0,SUMIFS(INDIRECT(ADDRESS(12,3+18*3+(3),,,"J1 D - South Bank Avenue")&amp;":"&amp;ADDRESS(130,3+18*3+(3))),'J1 D - South Bank Avenue'!$A$12:$A$130,"&gt;="&amp;Diagram!$O37,'J1 D - South Bank Avenue'!$A$12:$A$130,"&lt;"&amp;Diagram!$P37),SUMIFS(INDIRECT(ADDRESS(12,3+18*3+(11),,,"J1 D - South Bank Avenue")&amp;":"&amp;ADDRESS(130,3+18*3+(11))),'J1 D - South Bank Avenue'!$A$12:$A$130,"&gt;="&amp;Diagram!$O37,'J1 D - South Bank Avenue'!$A$12:$A$130,"&lt;"&amp;Diagram!$P37)))</f>
        <v>0</v>
      </c>
      <c r="CH37" s="42">
        <f t="shared" ca="1" si="5"/>
        <v>7</v>
      </c>
      <c r="CI37" s="42">
        <f ca="1">IF(OR($I$10="",$O37="",$P37="",$J$39&lt;&gt;"Yes"),0,IF($K$10=0,SUMIFS(INDIRECT(ADDRESS(12,3+18*3+(4),,,"J1 A - (North) Bishopthorpe Roa")&amp;":"&amp;ADDRESS(130,3+18*3+(4))),'J1 A - (North) Bishopthorpe Roa'!$A$12:$A$130,"&gt;="&amp;Diagram!$O37,'J1 A - (North) Bishopthorpe Roa'!$A$12:$A$130,"&lt;"&amp;Diagram!$P37),SUMIFS(INDIRECT(ADDRESS(12,3+18*3+(12),,,"J1 A - (North) Bishopthorpe Roa")&amp;":"&amp;ADDRESS(130,3+18*3+(12))),'J1 A - (North) Bishopthorpe Roa'!$A$12:$A$130,"&gt;="&amp;Diagram!$O37,'J1 A - (North) Bishopthorpe Roa'!$A$12:$A$130,"&lt;"&amp;Diagram!$P37)))</f>
        <v>0</v>
      </c>
      <c r="CJ37" s="42">
        <f ca="1">IF(OR($I$10="",$O37="",$P37="",$J$39&lt;&gt;"Yes"),0,IF($K$10=0,SUMIFS(INDIRECT(ADDRESS(12,3+18*0+(4),,,"J1 A - (North) Bishopthorpe Roa")&amp;":"&amp;ADDRESS(130,3+18*0+(4))),'J1 A - (North) Bishopthorpe Roa'!$A$12:$A$130,"&gt;="&amp;Diagram!$O37,'J1 A - (North) Bishopthorpe Roa'!$A$12:$A$130,"&lt;"&amp;Diagram!$P37),SUMIFS(INDIRECT(ADDRESS(12,3+18*0+(12),,,"J1 A - (North) Bishopthorpe Roa")&amp;":"&amp;ADDRESS(130,3+18*0+(12))),'J1 A - (North) Bishopthorpe Roa'!$A$12:$A$130,"&gt;="&amp;Diagram!$O37,'J1 A - (North) Bishopthorpe Roa'!$A$12:$A$130,"&lt;"&amp;Diagram!$P37)))</f>
        <v>0</v>
      </c>
      <c r="CK37" s="42">
        <f ca="1">IF(OR($I$10="",$O37="",$P37="",$J$39&lt;&gt;"Yes"),0,IF($K$10=0,SUMIFS(INDIRECT(ADDRESS(12,3+18*1+(4),,,"J1 A - (North) Bishopthorpe Roa")&amp;":"&amp;ADDRESS(130,3+18*1+(4))),'J1 A - (North) Bishopthorpe Roa'!$A$12:$A$130,"&gt;="&amp;Diagram!$O37,'J1 A - (North) Bishopthorpe Roa'!$A$12:$A$130,"&lt;"&amp;Diagram!$P37),SUMIFS(INDIRECT(ADDRESS(12,3+18*1+(12),,,"J1 A - (North) Bishopthorpe Roa")&amp;":"&amp;ADDRESS(130,3+18*1+(12))),'J1 A - (North) Bishopthorpe Roa'!$A$12:$A$130,"&gt;="&amp;Diagram!$O37,'J1 A - (North) Bishopthorpe Roa'!$A$12:$A$130,"&lt;"&amp;Diagram!$P37)))</f>
        <v>4</v>
      </c>
      <c r="CL37" s="42">
        <f ca="1">IF(OR($I$10="",$O37="",$P37="",$J$39&lt;&gt;"Yes"),0,IF($K$10=0,SUMIFS(INDIRECT(ADDRESS(12,3+18*2+(4),,,"J1 A - (North) Bishopthorpe Roa")&amp;":"&amp;ADDRESS(130,3+18*2+(4))),'J1 A - (North) Bishopthorpe Roa'!$A$12:$A$130,"&gt;="&amp;Diagram!$O37,'J1 A - (North) Bishopthorpe Roa'!$A$12:$A$130,"&lt;"&amp;Diagram!$P37),SUMIFS(INDIRECT(ADDRESS(12,3+18*2+(12),,,"J1 A - (North) Bishopthorpe Roa")&amp;":"&amp;ADDRESS(130,3+18*2+(12))),'J1 A - (North) Bishopthorpe Roa'!$A$12:$A$130,"&gt;="&amp;Diagram!$O37,'J1 A - (North) Bishopthorpe Roa'!$A$12:$A$130,"&lt;"&amp;Diagram!$P37)))</f>
        <v>0</v>
      </c>
      <c r="CM37" s="42">
        <f ca="1">IF(OR($I$10="",$O37="",$P37="",$J$39&lt;&gt;"Yes"),0,IF($K$10=0,SUMIFS(INDIRECT(ADDRESS(12,3+18*2+(4),,,"J1 B - Butcher Terrace")&amp;":"&amp;ADDRESS(130,3+18*2+(4))),'J1 B - Butcher Terrace'!$A$12:$A$130,"&gt;="&amp;Diagram!$O37,'J1 B - Butcher Terrace'!$A$12:$A$130,"&lt;"&amp;Diagram!$P37),SUMIFS(INDIRECT(ADDRESS(12,3+18*2+(12),,,"J1 B - Butcher Terrace")&amp;":"&amp;ADDRESS(130,3+18*2+(12))),'J1 B - Butcher Terrace'!$A$12:$A$130,"&gt;="&amp;Diagram!$O37,'J1 B - Butcher Terrace'!$A$12:$A$130,"&lt;"&amp;Diagram!$P37)))</f>
        <v>0</v>
      </c>
      <c r="CN37" s="42">
        <f ca="1">IF(OR($I$10="",$O37="",$P37="",$J$39&lt;&gt;"Yes"),0,IF($K$10=0,SUMIFS(INDIRECT(ADDRESS(12,3+18*3+(4),,,"J1 B - Butcher Terrace")&amp;":"&amp;ADDRESS(130,3+18*3+(4))),'J1 B - Butcher Terrace'!$A$12:$A$130,"&gt;="&amp;Diagram!$O37,'J1 B - Butcher Terrace'!$A$12:$A$130,"&lt;"&amp;Diagram!$P37),SUMIFS(INDIRECT(ADDRESS(12,3+18*3+(12),,,"J1 B - Butcher Terrace")&amp;":"&amp;ADDRESS(130,3+18*3+(12))),'J1 B - Butcher Terrace'!$A$12:$A$130,"&gt;="&amp;Diagram!$O37,'J1 B - Butcher Terrace'!$A$12:$A$130,"&lt;"&amp;Diagram!$P37)))</f>
        <v>0</v>
      </c>
      <c r="CO37" s="42">
        <f ca="1">IF(OR($I$10="",$O37="",$P37="",$J$39&lt;&gt;"Yes"),0,IF($K$10=0,SUMIFS(INDIRECT(ADDRESS(12,3+18*0+(4),,,"J1 B - Butcher Terrace")&amp;":"&amp;ADDRESS(130,3+18*0+(4))),'J1 B - Butcher Terrace'!$A$12:$A$130,"&gt;="&amp;Diagram!$O37,'J1 B - Butcher Terrace'!$A$12:$A$130,"&lt;"&amp;Diagram!$P37),SUMIFS(INDIRECT(ADDRESS(12,3+18*0+(12),,,"J1 B - Butcher Terrace")&amp;":"&amp;ADDRESS(130,3+18*0+(12))),'J1 B - Butcher Terrace'!$A$12:$A$130,"&gt;="&amp;Diagram!$O37,'J1 B - Butcher Terrace'!$A$12:$A$130,"&lt;"&amp;Diagram!$P37)))</f>
        <v>0</v>
      </c>
      <c r="CP37" s="42">
        <f ca="1">IF(OR($I$10="",$O37="",$P37="",$J$39&lt;&gt;"Yes"),0,IF($K$10=0,SUMIFS(INDIRECT(ADDRESS(12,3+18*1+(4),,,"J1 B - Butcher Terrace")&amp;":"&amp;ADDRESS(130,3+18*1+(4))),'J1 B - Butcher Terrace'!$A$12:$A$130,"&gt;="&amp;Diagram!$O37,'J1 B - Butcher Terrace'!$A$12:$A$130,"&lt;"&amp;Diagram!$P37),SUMIFS(INDIRECT(ADDRESS(12,3+18*1+(12),,,"J1 B - Butcher Terrace")&amp;":"&amp;ADDRESS(130,3+18*1+(12))),'J1 B - Butcher Terrace'!$A$12:$A$130,"&gt;="&amp;Diagram!$O37,'J1 B - Butcher Terrace'!$A$12:$A$130,"&lt;"&amp;Diagram!$P37)))</f>
        <v>0</v>
      </c>
      <c r="CQ37" s="42">
        <f ca="1">IF(OR($I$10="",$O37="",$P37="",$J$39&lt;&gt;"Yes"),0,IF($K$10=0,SUMIFS(INDIRECT(ADDRESS(12,3+18*1+(4),,,"J1 C - (South) Bishopthorpe Roa")&amp;":"&amp;ADDRESS(130,3+18*1+(4))),'J1 C - (South) Bishopthorpe Roa'!$A$12:$A$130,"&gt;="&amp;Diagram!$O37,'J1 C - (South) Bishopthorpe Roa'!$A$12:$A$130,"&lt;"&amp;Diagram!$P37),SUMIFS(INDIRECT(ADDRESS(12,3+18*1+(12),,,"J1 C - (South) Bishopthorpe Roa")&amp;":"&amp;ADDRESS(130,3+18*1+(12))),'J1 C - (South) Bishopthorpe Roa'!$A$12:$A$130,"&gt;="&amp;Diagram!$O37,'J1 C - (South) Bishopthorpe Roa'!$A$12:$A$130,"&lt;"&amp;Diagram!$P37)))</f>
        <v>3</v>
      </c>
      <c r="CR37" s="42">
        <f ca="1">IF(OR($I$10="",$O37="",$P37="",$J$39&lt;&gt;"Yes"),0,IF($K$10=0,SUMIFS(INDIRECT(ADDRESS(12,3+18*2+(4),,,"J1 C - (South) Bishopthorpe Roa")&amp;":"&amp;ADDRESS(130,3+18*2+(4))),'J1 C - (South) Bishopthorpe Roa'!$A$12:$A$130,"&gt;="&amp;Diagram!$O37,'J1 C - (South) Bishopthorpe Roa'!$A$12:$A$130,"&lt;"&amp;Diagram!$P37),SUMIFS(INDIRECT(ADDRESS(12,3+18*2+(12),,,"J1 C - (South) Bishopthorpe Roa")&amp;":"&amp;ADDRESS(130,3+18*2+(12))),'J1 C - (South) Bishopthorpe Roa'!$A$12:$A$130,"&gt;="&amp;Diagram!$O37,'J1 C - (South) Bishopthorpe Roa'!$A$12:$A$130,"&lt;"&amp;Diagram!$P37)))</f>
        <v>0</v>
      </c>
      <c r="CS37" s="42">
        <f ca="1">IF(OR($I$10="",$O37="",$P37="",$J$39&lt;&gt;"Yes"),0,IF($K$10=0,SUMIFS(INDIRECT(ADDRESS(12,3+18*3+(4),,,"J1 C - (South) Bishopthorpe Roa")&amp;":"&amp;ADDRESS(130,3+18*3+(4))),'J1 C - (South) Bishopthorpe Roa'!$A$12:$A$130,"&gt;="&amp;Diagram!$O37,'J1 C - (South) Bishopthorpe Roa'!$A$12:$A$130,"&lt;"&amp;Diagram!$P37),SUMIFS(INDIRECT(ADDRESS(12,3+18*3+(12),,,"J1 C - (South) Bishopthorpe Roa")&amp;":"&amp;ADDRESS(130,3+18*3+(12))),'J1 C - (South) Bishopthorpe Roa'!$A$12:$A$130,"&gt;="&amp;Diagram!$O37,'J1 C - (South) Bishopthorpe Roa'!$A$12:$A$130,"&lt;"&amp;Diagram!$P37)))</f>
        <v>0</v>
      </c>
      <c r="CT37" s="42">
        <f ca="1">IF(OR($I$10="",$O37="",$P37="",$J$39&lt;&gt;"Yes"),0,IF($K$10=0,SUMIFS(INDIRECT(ADDRESS(12,3+18*0+(4),,,"J1 C - (South) Bishopthorpe Roa")&amp;":"&amp;ADDRESS(130,3+18*0+(4))),'J1 C - (South) Bishopthorpe Roa'!$A$12:$A$130,"&gt;="&amp;Diagram!$O37,'J1 C - (South) Bishopthorpe Roa'!$A$12:$A$130,"&lt;"&amp;Diagram!$P37),SUMIFS(INDIRECT(ADDRESS(12,3+18*0+(12),,,"J1 C - (South) Bishopthorpe Roa")&amp;":"&amp;ADDRESS(130,3+18*0+(12))),'J1 C - (South) Bishopthorpe Roa'!$A$12:$A$130,"&gt;="&amp;Diagram!$O37,'J1 C - (South) Bishopthorpe Roa'!$A$12:$A$130,"&lt;"&amp;Diagram!$P37)))</f>
        <v>0</v>
      </c>
      <c r="CU37" s="42">
        <f ca="1">IF(OR($I$10="",$O37="",$P37="",$J$39&lt;&gt;"Yes"),0,IF($K$10=0,SUMIFS(INDIRECT(ADDRESS(12,3+18*0+(4),,,"J1 D - South Bank Avenue")&amp;":"&amp;ADDRESS(130,3+18*0+(4))),'J1 D - South Bank Avenue'!$A$12:$A$130,"&gt;="&amp;Diagram!$O37,'J1 D - South Bank Avenue'!$A$12:$A$130,"&lt;"&amp;Diagram!$P37),SUMIFS(INDIRECT(ADDRESS(12,3+18*0+(12),,,"J1 D - South Bank Avenue")&amp;":"&amp;ADDRESS(130,3+18*0+(12))),'J1 D - South Bank Avenue'!$A$12:$A$130,"&gt;="&amp;Diagram!$O37,'J1 D - South Bank Avenue'!$A$12:$A$130,"&lt;"&amp;Diagram!$P37)))</f>
        <v>0</v>
      </c>
      <c r="CV37" s="42">
        <f ca="1">IF(OR($I$10="",$O37="",$P37="",$J$39&lt;&gt;"Yes"),0,IF($K$10=0,SUMIFS(INDIRECT(ADDRESS(12,3+18*1+(4),,,"J1 D - South Bank Avenue")&amp;":"&amp;ADDRESS(130,3+18*1+(4))),'J1 D - South Bank Avenue'!$A$12:$A$130,"&gt;="&amp;Diagram!$O37,'J1 D - South Bank Avenue'!$A$12:$A$130,"&lt;"&amp;Diagram!$P37),SUMIFS(INDIRECT(ADDRESS(12,3+18*1+(12),,,"J1 D - South Bank Avenue")&amp;":"&amp;ADDRESS(130,3+18*1+(12))),'J1 D - South Bank Avenue'!$A$12:$A$130,"&gt;="&amp;Diagram!$O37,'J1 D - South Bank Avenue'!$A$12:$A$130,"&lt;"&amp;Diagram!$P37)))</f>
        <v>0</v>
      </c>
      <c r="CW37" s="42">
        <f ca="1">IF(OR($I$10="",$O37="",$P37="",$J$39&lt;&gt;"Yes"),0,IF($K$10=0,SUMIFS(INDIRECT(ADDRESS(12,3+18*2+(4),,,"J1 D - South Bank Avenue")&amp;":"&amp;ADDRESS(130,3+18*2+(4))),'J1 D - South Bank Avenue'!$A$12:$A$130,"&gt;="&amp;Diagram!$O37,'J1 D - South Bank Avenue'!$A$12:$A$130,"&lt;"&amp;Diagram!$P37),SUMIFS(INDIRECT(ADDRESS(12,3+18*2+(12),,,"J1 D - South Bank Avenue")&amp;":"&amp;ADDRESS(130,3+18*2+(12))),'J1 D - South Bank Avenue'!$A$12:$A$130,"&gt;="&amp;Diagram!$O37,'J1 D - South Bank Avenue'!$A$12:$A$130,"&lt;"&amp;Diagram!$P37)))</f>
        <v>0</v>
      </c>
      <c r="CX37" s="42">
        <f ca="1">IF(OR($I$10="",$O37="",$P37="",$J$39&lt;&gt;"Yes"),0,IF($K$10=0,SUMIFS(INDIRECT(ADDRESS(12,3+18*3+(4),,,"J1 D - South Bank Avenue")&amp;":"&amp;ADDRESS(130,3+18*3+(4))),'J1 D - South Bank Avenue'!$A$12:$A$130,"&gt;="&amp;Diagram!$O37,'J1 D - South Bank Avenue'!$A$12:$A$130,"&lt;"&amp;Diagram!$P37),SUMIFS(INDIRECT(ADDRESS(12,3+18*3+(12),,,"J1 D - South Bank Avenue")&amp;":"&amp;ADDRESS(130,3+18*3+(12))),'J1 D - South Bank Avenue'!$A$12:$A$130,"&gt;="&amp;Diagram!$O37,'J1 D - South Bank Avenue'!$A$12:$A$130,"&lt;"&amp;Diagram!$P37)))</f>
        <v>0</v>
      </c>
      <c r="CY37" s="42">
        <f t="shared" ca="1" si="6"/>
        <v>90</v>
      </c>
      <c r="CZ37" s="42">
        <f ca="1">IF(OR($I$10="",$O37="",$P37="",$J$40&lt;&gt;"Yes"),0,IF($K$10=0,SUMIFS(INDIRECT(ADDRESS(12,3+18*3+(5),,,"J1 A - (North) Bishopthorpe Roa")&amp;":"&amp;ADDRESS(130,3+18*3+(5))),'J1 A - (North) Bishopthorpe Roa'!$A$12:$A$130,"&gt;="&amp;Diagram!$O37,'J1 A - (North) Bishopthorpe Roa'!$A$12:$A$130,"&lt;"&amp;Diagram!$P37),SUMIFS(INDIRECT(ADDRESS(12,3+18*3+(13),,,"J1 A - (North) Bishopthorpe Roa")&amp;":"&amp;ADDRESS(130,3+18*3+(13))),'J1 A - (North) Bishopthorpe Roa'!$A$12:$A$130,"&gt;="&amp;Diagram!$O37,'J1 A - (North) Bishopthorpe Roa'!$A$12:$A$130,"&lt;"&amp;Diagram!$P37)))</f>
        <v>0</v>
      </c>
      <c r="DA37" s="42">
        <f ca="1">IF(OR($I$10="",$O37="",$P37="",$J$40&lt;&gt;"Yes"),0,IF($K$10=0,SUMIFS(INDIRECT(ADDRESS(12,3+18*0+(5),,,"J1 A - (North) Bishopthorpe Roa")&amp;":"&amp;ADDRESS(130,3+18*0+(5))),'J1 A - (North) Bishopthorpe Roa'!$A$12:$A$130,"&gt;="&amp;Diagram!$O37,'J1 A - (North) Bishopthorpe Roa'!$A$12:$A$130,"&lt;"&amp;Diagram!$P37),SUMIFS(INDIRECT(ADDRESS(12,3+18*0+(13),,,"J1 A - (North) Bishopthorpe Roa")&amp;":"&amp;ADDRESS(130,3+18*0+(13))),'J1 A - (North) Bishopthorpe Roa'!$A$12:$A$130,"&gt;="&amp;Diagram!$O37,'J1 A - (North) Bishopthorpe Roa'!$A$12:$A$130,"&lt;"&amp;Diagram!$P37)))</f>
        <v>14</v>
      </c>
      <c r="DB37" s="42">
        <f ca="1">IF(OR($I$10="",$O37="",$P37="",$J$40&lt;&gt;"Yes"),0,IF($K$10=0,SUMIFS(INDIRECT(ADDRESS(12,3+18*1+(5),,,"J1 A - (North) Bishopthorpe Roa")&amp;":"&amp;ADDRESS(130,3+18*1+(5))),'J1 A - (North) Bishopthorpe Roa'!$A$12:$A$130,"&gt;="&amp;Diagram!$O37,'J1 A - (North) Bishopthorpe Roa'!$A$12:$A$130,"&lt;"&amp;Diagram!$P37),SUMIFS(INDIRECT(ADDRESS(12,3+18*1+(13),,,"J1 A - (North) Bishopthorpe Roa")&amp;":"&amp;ADDRESS(130,3+18*1+(13))),'J1 A - (North) Bishopthorpe Roa'!$A$12:$A$130,"&gt;="&amp;Diagram!$O37,'J1 A - (North) Bishopthorpe Roa'!$A$12:$A$130,"&lt;"&amp;Diagram!$P37)))</f>
        <v>9</v>
      </c>
      <c r="DC37" s="42">
        <f ca="1">IF(OR($I$10="",$O37="",$P37="",$J$40&lt;&gt;"Yes"),0,IF($K$10=0,SUMIFS(INDIRECT(ADDRESS(12,3+18*2+(5),,,"J1 A - (North) Bishopthorpe Roa")&amp;":"&amp;ADDRESS(130,3+18*2+(5))),'J1 A - (North) Bishopthorpe Roa'!$A$12:$A$130,"&gt;="&amp;Diagram!$O37,'J1 A - (North) Bishopthorpe Roa'!$A$12:$A$130,"&lt;"&amp;Diagram!$P37),SUMIFS(INDIRECT(ADDRESS(12,3+18*2+(13),,,"J1 A - (North) Bishopthorpe Roa")&amp;":"&amp;ADDRESS(130,3+18*2+(13))),'J1 A - (North) Bishopthorpe Roa'!$A$12:$A$130,"&gt;="&amp;Diagram!$O37,'J1 A - (North) Bishopthorpe Roa'!$A$12:$A$130,"&lt;"&amp;Diagram!$P37)))</f>
        <v>0</v>
      </c>
      <c r="DD37" s="42">
        <f ca="1">IF(OR($I$10="",$O37="",$P37="",$J$40&lt;&gt;"Yes"),0,IF($K$10=0,SUMIFS(INDIRECT(ADDRESS(12,3+18*2+(5),,,"J1 B - Butcher Terrace")&amp;":"&amp;ADDRESS(130,3+18*2+(5))),'J1 B - Butcher Terrace'!$A$12:$A$130,"&gt;="&amp;Diagram!$O37,'J1 B - Butcher Terrace'!$A$12:$A$130,"&lt;"&amp;Diagram!$P37),SUMIFS(INDIRECT(ADDRESS(12,3+18*2+(13),,,"J1 B - Butcher Terrace")&amp;":"&amp;ADDRESS(130,3+18*2+(13))),'J1 B - Butcher Terrace'!$A$12:$A$130,"&gt;="&amp;Diagram!$O37,'J1 B - Butcher Terrace'!$A$12:$A$130,"&lt;"&amp;Diagram!$P37)))</f>
        <v>1</v>
      </c>
      <c r="DE37" s="42">
        <f ca="1">IF(OR($I$10="",$O37="",$P37="",$J$40&lt;&gt;"Yes"),0,IF($K$10=0,SUMIFS(INDIRECT(ADDRESS(12,3+18*3+(5),,,"J1 B - Butcher Terrace")&amp;":"&amp;ADDRESS(130,3+18*3+(5))),'J1 B - Butcher Terrace'!$A$12:$A$130,"&gt;="&amp;Diagram!$O37,'J1 B - Butcher Terrace'!$A$12:$A$130,"&lt;"&amp;Diagram!$P37),SUMIFS(INDIRECT(ADDRESS(12,3+18*3+(13),,,"J1 B - Butcher Terrace")&amp;":"&amp;ADDRESS(130,3+18*3+(13))),'J1 B - Butcher Terrace'!$A$12:$A$130,"&gt;="&amp;Diagram!$O37,'J1 B - Butcher Terrace'!$A$12:$A$130,"&lt;"&amp;Diagram!$P37)))</f>
        <v>0</v>
      </c>
      <c r="DF37" s="42">
        <f ca="1">IF(OR($I$10="",$O37="",$P37="",$J$40&lt;&gt;"Yes"),0,IF($K$10=0,SUMIFS(INDIRECT(ADDRESS(12,3+18*0+(5),,,"J1 B - Butcher Terrace")&amp;":"&amp;ADDRESS(130,3+18*0+(5))),'J1 B - Butcher Terrace'!$A$12:$A$130,"&gt;="&amp;Diagram!$O37,'J1 B - Butcher Terrace'!$A$12:$A$130,"&lt;"&amp;Diagram!$P37),SUMIFS(INDIRECT(ADDRESS(12,3+18*0+(13),,,"J1 B - Butcher Terrace")&amp;":"&amp;ADDRESS(130,3+18*0+(13))),'J1 B - Butcher Terrace'!$A$12:$A$130,"&gt;="&amp;Diagram!$O37,'J1 B - Butcher Terrace'!$A$12:$A$130,"&lt;"&amp;Diagram!$P37)))</f>
        <v>5</v>
      </c>
      <c r="DG37" s="42">
        <f ca="1">IF(OR($I$10="",$O37="",$P37="",$J$40&lt;&gt;"Yes"),0,IF($K$10=0,SUMIFS(INDIRECT(ADDRESS(12,3+18*1+(5),,,"J1 B - Butcher Terrace")&amp;":"&amp;ADDRESS(130,3+18*1+(5))),'J1 B - Butcher Terrace'!$A$12:$A$130,"&gt;="&amp;Diagram!$O37,'J1 B - Butcher Terrace'!$A$12:$A$130,"&lt;"&amp;Diagram!$P37),SUMIFS(INDIRECT(ADDRESS(12,3+18*1+(13),,,"J1 B - Butcher Terrace")&amp;":"&amp;ADDRESS(130,3+18*1+(13))),'J1 B - Butcher Terrace'!$A$12:$A$130,"&gt;="&amp;Diagram!$O37,'J1 B - Butcher Terrace'!$A$12:$A$130,"&lt;"&amp;Diagram!$P37)))</f>
        <v>6</v>
      </c>
      <c r="DH37" s="42">
        <f ca="1">IF(OR($I$10="",$O37="",$P37="",$J$40&lt;&gt;"Yes"),0,IF($K$10=0,SUMIFS(INDIRECT(ADDRESS(12,3+18*1+(5),,,"J1 C - (South) Bishopthorpe Roa")&amp;":"&amp;ADDRESS(130,3+18*1+(5))),'J1 C - (South) Bishopthorpe Roa'!$A$12:$A$130,"&gt;="&amp;Diagram!$O37,'J1 C - (South) Bishopthorpe Roa'!$A$12:$A$130,"&lt;"&amp;Diagram!$P37),SUMIFS(INDIRECT(ADDRESS(12,3+18*1+(13),,,"J1 C - (South) Bishopthorpe Roa")&amp;":"&amp;ADDRESS(130,3+18*1+(13))),'J1 C - (South) Bishopthorpe Roa'!$A$12:$A$130,"&gt;="&amp;Diagram!$O37,'J1 C - (South) Bishopthorpe Roa'!$A$12:$A$130,"&lt;"&amp;Diagram!$P37)))</f>
        <v>17</v>
      </c>
      <c r="DI37" s="42">
        <f ca="1">IF(OR($I$10="",$O37="",$P37="",$J$40&lt;&gt;"Yes"),0,IF($K$10=0,SUMIFS(INDIRECT(ADDRESS(12,3+18*2+(5),,,"J1 C - (South) Bishopthorpe Roa")&amp;":"&amp;ADDRESS(130,3+18*2+(5))),'J1 C - (South) Bishopthorpe Roa'!$A$12:$A$130,"&gt;="&amp;Diagram!$O37,'J1 C - (South) Bishopthorpe Roa'!$A$12:$A$130,"&lt;"&amp;Diagram!$P37),SUMIFS(INDIRECT(ADDRESS(12,3+18*2+(13),,,"J1 C - (South) Bishopthorpe Roa")&amp;":"&amp;ADDRESS(130,3+18*2+(13))),'J1 C - (South) Bishopthorpe Roa'!$A$12:$A$130,"&gt;="&amp;Diagram!$O37,'J1 C - (South) Bishopthorpe Roa'!$A$12:$A$130,"&lt;"&amp;Diagram!$P37)))</f>
        <v>9</v>
      </c>
      <c r="DJ37" s="42">
        <f ca="1">IF(OR($I$10="",$O37="",$P37="",$J$40&lt;&gt;"Yes"),0,IF($K$10=0,SUMIFS(INDIRECT(ADDRESS(12,3+18*3+(5),,,"J1 C - (South) Bishopthorpe Roa")&amp;":"&amp;ADDRESS(130,3+18*3+(5))),'J1 C - (South) Bishopthorpe Roa'!$A$12:$A$130,"&gt;="&amp;Diagram!$O37,'J1 C - (South) Bishopthorpe Roa'!$A$12:$A$130,"&lt;"&amp;Diagram!$P37),SUMIFS(INDIRECT(ADDRESS(12,3+18*3+(13),,,"J1 C - (South) Bishopthorpe Roa")&amp;":"&amp;ADDRESS(130,3+18*3+(13))),'J1 C - (South) Bishopthorpe Roa'!$A$12:$A$130,"&gt;="&amp;Diagram!$O37,'J1 C - (South) Bishopthorpe Roa'!$A$12:$A$130,"&lt;"&amp;Diagram!$P37)))</f>
        <v>0</v>
      </c>
      <c r="DK37" s="42">
        <f ca="1">IF(OR($I$10="",$O37="",$P37="",$J$40&lt;&gt;"Yes"),0,IF($K$10=0,SUMIFS(INDIRECT(ADDRESS(12,3+18*0+(5),,,"J1 C - (South) Bishopthorpe Roa")&amp;":"&amp;ADDRESS(130,3+18*0+(5))),'J1 C - (South) Bishopthorpe Roa'!$A$12:$A$130,"&gt;="&amp;Diagram!$O37,'J1 C - (South) Bishopthorpe Roa'!$A$12:$A$130,"&lt;"&amp;Diagram!$P37),SUMIFS(INDIRECT(ADDRESS(12,3+18*0+(13),,,"J1 C - (South) Bishopthorpe Roa")&amp;":"&amp;ADDRESS(130,3+18*0+(13))),'J1 C - (South) Bishopthorpe Roa'!$A$12:$A$130,"&gt;="&amp;Diagram!$O37,'J1 C - (South) Bishopthorpe Roa'!$A$12:$A$130,"&lt;"&amp;Diagram!$P37)))</f>
        <v>1</v>
      </c>
      <c r="DL37" s="42">
        <f ca="1">IF(OR($I$10="",$O37="",$P37="",$J$40&lt;&gt;"Yes"),0,IF($K$10=0,SUMIFS(INDIRECT(ADDRESS(12,3+18*0+(5),,,"J1 D - South Bank Avenue")&amp;":"&amp;ADDRESS(130,3+18*0+(5))),'J1 D - South Bank Avenue'!$A$12:$A$130,"&gt;="&amp;Diagram!$O37,'J1 D - South Bank Avenue'!$A$12:$A$130,"&lt;"&amp;Diagram!$P37),SUMIFS(INDIRECT(ADDRESS(12,3+18*0+(13),,,"J1 D - South Bank Avenue")&amp;":"&amp;ADDRESS(130,3+18*0+(13))),'J1 D - South Bank Avenue'!$A$12:$A$130,"&gt;="&amp;Diagram!$O37,'J1 D - South Bank Avenue'!$A$12:$A$130,"&lt;"&amp;Diagram!$P37)))</f>
        <v>5</v>
      </c>
      <c r="DM37" s="42">
        <f ca="1">IF(OR($I$10="",$O37="",$P37="",$J$40&lt;&gt;"Yes"),0,IF($K$10=0,SUMIFS(INDIRECT(ADDRESS(12,3+18*1+(5),,,"J1 D - South Bank Avenue")&amp;":"&amp;ADDRESS(130,3+18*1+(5))),'J1 D - South Bank Avenue'!$A$12:$A$130,"&gt;="&amp;Diagram!$O37,'J1 D - South Bank Avenue'!$A$12:$A$130,"&lt;"&amp;Diagram!$P37),SUMIFS(INDIRECT(ADDRESS(12,3+18*1+(13),,,"J1 D - South Bank Avenue")&amp;":"&amp;ADDRESS(130,3+18*1+(13))),'J1 D - South Bank Avenue'!$A$12:$A$130,"&gt;="&amp;Diagram!$O37,'J1 D - South Bank Avenue'!$A$12:$A$130,"&lt;"&amp;Diagram!$P37)))</f>
        <v>22</v>
      </c>
      <c r="DN37" s="42">
        <f ca="1">IF(OR($I$10="",$O37="",$P37="",$J$40&lt;&gt;"Yes"),0,IF($K$10=0,SUMIFS(INDIRECT(ADDRESS(12,3+18*2+(5),,,"J1 D - South Bank Avenue")&amp;":"&amp;ADDRESS(130,3+18*2+(5))),'J1 D - South Bank Avenue'!$A$12:$A$130,"&gt;="&amp;Diagram!$O37,'J1 D - South Bank Avenue'!$A$12:$A$130,"&lt;"&amp;Diagram!$P37),SUMIFS(INDIRECT(ADDRESS(12,3+18*2+(13),,,"J1 D - South Bank Avenue")&amp;":"&amp;ADDRESS(130,3+18*2+(13))),'J1 D - South Bank Avenue'!$A$12:$A$130,"&gt;="&amp;Diagram!$O37,'J1 D - South Bank Avenue'!$A$12:$A$130,"&lt;"&amp;Diagram!$P37)))</f>
        <v>1</v>
      </c>
      <c r="DO37" s="42">
        <f ca="1">IF(OR($I$10="",$O37="",$P37="",$J$40&lt;&gt;"Yes"),0,IF($K$10=0,SUMIFS(INDIRECT(ADDRESS(12,3+18*3+(5),,,"J1 D - South Bank Avenue")&amp;":"&amp;ADDRESS(130,3+18*3+(5))),'J1 D - South Bank Avenue'!$A$12:$A$130,"&gt;="&amp;Diagram!$O37,'J1 D - South Bank Avenue'!$A$12:$A$130,"&lt;"&amp;Diagram!$P37),SUMIFS(INDIRECT(ADDRESS(12,3+18*3+(13),,,"J1 D - South Bank Avenue")&amp;":"&amp;ADDRESS(130,3+18*3+(13))),'J1 D - South Bank Avenue'!$A$12:$A$130,"&gt;="&amp;Diagram!$O37,'J1 D - South Bank Avenue'!$A$12:$A$130,"&lt;"&amp;Diagram!$P37)))</f>
        <v>0</v>
      </c>
      <c r="DP37" s="42">
        <f t="shared" ca="1" si="7"/>
        <v>4</v>
      </c>
      <c r="DQ37" s="42">
        <f ca="1">IF(OR($I$10="",$O37="",$P37="",$J$41&lt;&gt;"Yes"),0,IF($K$10=0,SUMIFS(INDIRECT(ADDRESS(12,3+18*3+(6),,,"J1 A - (North) Bishopthorpe Roa")&amp;":"&amp;ADDRESS(130,3+18*3+(6))),'J1 A - (North) Bishopthorpe Roa'!$A$12:$A$130,"&gt;="&amp;Diagram!$O37,'J1 A - (North) Bishopthorpe Roa'!$A$12:$A$130,"&lt;"&amp;Diagram!$P37),SUMIFS(INDIRECT(ADDRESS(12,3+18*3+(14),,,"J1 A - (North) Bishopthorpe Roa")&amp;":"&amp;ADDRESS(130,3+18*3+(14))),'J1 A - (North) Bishopthorpe Roa'!$A$12:$A$130,"&gt;="&amp;Diagram!$O37,'J1 A - (North) Bishopthorpe Roa'!$A$12:$A$130,"&lt;"&amp;Diagram!$P37)))</f>
        <v>0</v>
      </c>
      <c r="DR37" s="42">
        <f ca="1">IF(OR($I$10="",$O37="",$P37="",$J$41&lt;&gt;"Yes"),0,IF($K$10=0,SUMIFS(INDIRECT(ADDRESS(12,3+18*0+(6),,,"J1 A - (North) Bishopthorpe Roa")&amp;":"&amp;ADDRESS(130,3+18*0+(6))),'J1 A - (North) Bishopthorpe Roa'!$A$12:$A$130,"&gt;="&amp;Diagram!$O37,'J1 A - (North) Bishopthorpe Roa'!$A$12:$A$130,"&lt;"&amp;Diagram!$P37),SUMIFS(INDIRECT(ADDRESS(12,3+18*0+(14),,,"J1 A - (North) Bishopthorpe Roa")&amp;":"&amp;ADDRESS(130,3+18*0+(14))),'J1 A - (North) Bishopthorpe Roa'!$A$12:$A$130,"&gt;="&amp;Diagram!$O37,'J1 A - (North) Bishopthorpe Roa'!$A$12:$A$130,"&lt;"&amp;Diagram!$P37)))</f>
        <v>0</v>
      </c>
      <c r="DS37" s="42">
        <f ca="1">IF(OR($I$10="",$O37="",$P37="",$J$41&lt;&gt;"Yes"),0,IF($K$10=0,SUMIFS(INDIRECT(ADDRESS(12,3+18*1+(6),,,"J1 A - (North) Bishopthorpe Roa")&amp;":"&amp;ADDRESS(130,3+18*1+(6))),'J1 A - (North) Bishopthorpe Roa'!$A$12:$A$130,"&gt;="&amp;Diagram!$O37,'J1 A - (North) Bishopthorpe Roa'!$A$12:$A$130,"&lt;"&amp;Diagram!$P37),SUMIFS(INDIRECT(ADDRESS(12,3+18*1+(14),,,"J1 A - (North) Bishopthorpe Roa")&amp;":"&amp;ADDRESS(130,3+18*1+(14))),'J1 A - (North) Bishopthorpe Roa'!$A$12:$A$130,"&gt;="&amp;Diagram!$O37,'J1 A - (North) Bishopthorpe Roa'!$A$12:$A$130,"&lt;"&amp;Diagram!$P37)))</f>
        <v>0</v>
      </c>
      <c r="DT37" s="42">
        <f ca="1">IF(OR($I$10="",$O37="",$P37="",$J$41&lt;&gt;"Yes"),0,IF($K$10=0,SUMIFS(INDIRECT(ADDRESS(12,3+18*2+(6),,,"J1 A - (North) Bishopthorpe Roa")&amp;":"&amp;ADDRESS(130,3+18*2+(6))),'J1 A - (North) Bishopthorpe Roa'!$A$12:$A$130,"&gt;="&amp;Diagram!$O37,'J1 A - (North) Bishopthorpe Roa'!$A$12:$A$130,"&lt;"&amp;Diagram!$P37),SUMIFS(INDIRECT(ADDRESS(12,3+18*2+(14),,,"J1 A - (North) Bishopthorpe Roa")&amp;":"&amp;ADDRESS(130,3+18*2+(14))),'J1 A - (North) Bishopthorpe Roa'!$A$12:$A$130,"&gt;="&amp;Diagram!$O37,'J1 A - (North) Bishopthorpe Roa'!$A$12:$A$130,"&lt;"&amp;Diagram!$P37)))</f>
        <v>0</v>
      </c>
      <c r="DU37" s="42">
        <f ca="1">IF(OR($I$10="",$O37="",$P37="",$J$41&lt;&gt;"Yes"),0,IF($K$10=0,SUMIFS(INDIRECT(ADDRESS(12,3+18*2+(6),,,"J1 B - Butcher Terrace")&amp;":"&amp;ADDRESS(130,3+18*2+(6))),'J1 B - Butcher Terrace'!$A$12:$A$130,"&gt;="&amp;Diagram!$O37,'J1 B - Butcher Terrace'!$A$12:$A$130,"&lt;"&amp;Diagram!$P37),SUMIFS(INDIRECT(ADDRESS(12,3+18*2+(14),,,"J1 B - Butcher Terrace")&amp;":"&amp;ADDRESS(130,3+18*2+(14))),'J1 B - Butcher Terrace'!$A$12:$A$130,"&gt;="&amp;Diagram!$O37,'J1 B - Butcher Terrace'!$A$12:$A$130,"&lt;"&amp;Diagram!$P37)))</f>
        <v>1</v>
      </c>
      <c r="DV37" s="42">
        <f ca="1">IF(OR($I$10="",$O37="",$P37="",$J$41&lt;&gt;"Yes"),0,IF($K$10=0,SUMIFS(INDIRECT(ADDRESS(12,3+18*3+(6),,,"J1 B - Butcher Terrace")&amp;":"&amp;ADDRESS(130,3+18*3+(6))),'J1 B - Butcher Terrace'!$A$12:$A$130,"&gt;="&amp;Diagram!$O37,'J1 B - Butcher Terrace'!$A$12:$A$130,"&lt;"&amp;Diagram!$P37),SUMIFS(INDIRECT(ADDRESS(12,3+18*3+(14),,,"J1 B - Butcher Terrace")&amp;":"&amp;ADDRESS(130,3+18*3+(14))),'J1 B - Butcher Terrace'!$A$12:$A$130,"&gt;="&amp;Diagram!$O37,'J1 B - Butcher Terrace'!$A$12:$A$130,"&lt;"&amp;Diagram!$P37)))</f>
        <v>0</v>
      </c>
      <c r="DW37" s="42">
        <f ca="1">IF(OR($I$10="",$O37="",$P37="",$J$41&lt;&gt;"Yes"),0,IF($K$10=0,SUMIFS(INDIRECT(ADDRESS(12,3+18*0+(6),,,"J1 B - Butcher Terrace")&amp;":"&amp;ADDRESS(130,3+18*0+(6))),'J1 B - Butcher Terrace'!$A$12:$A$130,"&gt;="&amp;Diagram!$O37,'J1 B - Butcher Terrace'!$A$12:$A$130,"&lt;"&amp;Diagram!$P37),SUMIFS(INDIRECT(ADDRESS(12,3+18*0+(14),,,"J1 B - Butcher Terrace")&amp;":"&amp;ADDRESS(130,3+18*0+(14))),'J1 B - Butcher Terrace'!$A$12:$A$130,"&gt;="&amp;Diagram!$O37,'J1 B - Butcher Terrace'!$A$12:$A$130,"&lt;"&amp;Diagram!$P37)))</f>
        <v>0</v>
      </c>
      <c r="DX37" s="42">
        <f ca="1">IF(OR($I$10="",$O37="",$P37="",$J$41&lt;&gt;"Yes"),0,IF($K$10=0,SUMIFS(INDIRECT(ADDRESS(12,3+18*1+(6),,,"J1 B - Butcher Terrace")&amp;":"&amp;ADDRESS(130,3+18*1+(6))),'J1 B - Butcher Terrace'!$A$12:$A$130,"&gt;="&amp;Diagram!$O37,'J1 B - Butcher Terrace'!$A$12:$A$130,"&lt;"&amp;Diagram!$P37),SUMIFS(INDIRECT(ADDRESS(12,3+18*1+(14),,,"J1 B - Butcher Terrace")&amp;":"&amp;ADDRESS(130,3+18*1+(14))),'J1 B - Butcher Terrace'!$A$12:$A$130,"&gt;="&amp;Diagram!$O37,'J1 B - Butcher Terrace'!$A$12:$A$130,"&lt;"&amp;Diagram!$P37)))</f>
        <v>0</v>
      </c>
      <c r="DY37" s="42">
        <f ca="1">IF(OR($I$10="",$O37="",$P37="",$J$41&lt;&gt;"Yes"),0,IF($K$10=0,SUMIFS(INDIRECT(ADDRESS(12,3+18*1+(6),,,"J1 C - (South) Bishopthorpe Roa")&amp;":"&amp;ADDRESS(130,3+18*1+(6))),'J1 C - (South) Bishopthorpe Roa'!$A$12:$A$130,"&gt;="&amp;Diagram!$O37,'J1 C - (South) Bishopthorpe Roa'!$A$12:$A$130,"&lt;"&amp;Diagram!$P37),SUMIFS(INDIRECT(ADDRESS(12,3+18*1+(14),,,"J1 C - (South) Bishopthorpe Roa")&amp;":"&amp;ADDRESS(130,3+18*1+(14))),'J1 C - (South) Bishopthorpe Roa'!$A$12:$A$130,"&gt;="&amp;Diagram!$O37,'J1 C - (South) Bishopthorpe Roa'!$A$12:$A$130,"&lt;"&amp;Diagram!$P37)))</f>
        <v>0</v>
      </c>
      <c r="DZ37" s="42">
        <f ca="1">IF(OR($I$10="",$O37="",$P37="",$J$41&lt;&gt;"Yes"),0,IF($K$10=0,SUMIFS(INDIRECT(ADDRESS(12,3+18*2+(6),,,"J1 C - (South) Bishopthorpe Roa")&amp;":"&amp;ADDRESS(130,3+18*2+(6))),'J1 C - (South) Bishopthorpe Roa'!$A$12:$A$130,"&gt;="&amp;Diagram!$O37,'J1 C - (South) Bishopthorpe Roa'!$A$12:$A$130,"&lt;"&amp;Diagram!$P37),SUMIFS(INDIRECT(ADDRESS(12,3+18*2+(14),,,"J1 C - (South) Bishopthorpe Roa")&amp;":"&amp;ADDRESS(130,3+18*2+(14))),'J1 C - (South) Bishopthorpe Roa'!$A$12:$A$130,"&gt;="&amp;Diagram!$O37,'J1 C - (South) Bishopthorpe Roa'!$A$12:$A$130,"&lt;"&amp;Diagram!$P37)))</f>
        <v>1</v>
      </c>
      <c r="EA37" s="42">
        <f ca="1">IF(OR($I$10="",$O37="",$P37="",$J$41&lt;&gt;"Yes"),0,IF($K$10=0,SUMIFS(INDIRECT(ADDRESS(12,3+18*3+(6),,,"J1 C - (South) Bishopthorpe Roa")&amp;":"&amp;ADDRESS(130,3+18*3+(6))),'J1 C - (South) Bishopthorpe Roa'!$A$12:$A$130,"&gt;="&amp;Diagram!$O37,'J1 C - (South) Bishopthorpe Roa'!$A$12:$A$130,"&lt;"&amp;Diagram!$P37),SUMIFS(INDIRECT(ADDRESS(12,3+18*3+(14),,,"J1 C - (South) Bishopthorpe Roa")&amp;":"&amp;ADDRESS(130,3+18*3+(14))),'J1 C - (South) Bishopthorpe Roa'!$A$12:$A$130,"&gt;="&amp;Diagram!$O37,'J1 C - (South) Bishopthorpe Roa'!$A$12:$A$130,"&lt;"&amp;Diagram!$P37)))</f>
        <v>0</v>
      </c>
      <c r="EB37" s="42">
        <f ca="1">IF(OR($I$10="",$O37="",$P37="",$J$41&lt;&gt;"Yes"),0,IF($K$10=0,SUMIFS(INDIRECT(ADDRESS(12,3+18*0+(6),,,"J1 C - (South) Bishopthorpe Roa")&amp;":"&amp;ADDRESS(130,3+18*0+(6))),'J1 C - (South) Bishopthorpe Roa'!$A$12:$A$130,"&gt;="&amp;Diagram!$O37,'J1 C - (South) Bishopthorpe Roa'!$A$12:$A$130,"&lt;"&amp;Diagram!$P37),SUMIFS(INDIRECT(ADDRESS(12,3+18*0+(14),,,"J1 C - (South) Bishopthorpe Roa")&amp;":"&amp;ADDRESS(130,3+18*0+(14))),'J1 C - (South) Bishopthorpe Roa'!$A$12:$A$130,"&gt;="&amp;Diagram!$O37,'J1 C - (South) Bishopthorpe Roa'!$A$12:$A$130,"&lt;"&amp;Diagram!$P37)))</f>
        <v>0</v>
      </c>
      <c r="EC37" s="42">
        <f ca="1">IF(OR($I$10="",$O37="",$P37="",$J$41&lt;&gt;"Yes"),0,IF($K$10=0,SUMIFS(INDIRECT(ADDRESS(12,3+18*0+(6),,,"J1 D - South Bank Avenue")&amp;":"&amp;ADDRESS(130,3+18*0+(6))),'J1 D - South Bank Avenue'!$A$12:$A$130,"&gt;="&amp;Diagram!$O37,'J1 D - South Bank Avenue'!$A$12:$A$130,"&lt;"&amp;Diagram!$P37),SUMIFS(INDIRECT(ADDRESS(12,3+18*0+(14),,,"J1 D - South Bank Avenue")&amp;":"&amp;ADDRESS(130,3+18*0+(14))),'J1 D - South Bank Avenue'!$A$12:$A$130,"&gt;="&amp;Diagram!$O37,'J1 D - South Bank Avenue'!$A$12:$A$130,"&lt;"&amp;Diagram!$P37)))</f>
        <v>2</v>
      </c>
      <c r="ED37" s="42">
        <f ca="1">IF(OR($I$10="",$O37="",$P37="",$J$41&lt;&gt;"Yes"),0,IF($K$10=0,SUMIFS(INDIRECT(ADDRESS(12,3+18*1+(6),,,"J1 D - South Bank Avenue")&amp;":"&amp;ADDRESS(130,3+18*1+(6))),'J1 D - South Bank Avenue'!$A$12:$A$130,"&gt;="&amp;Diagram!$O37,'J1 D - South Bank Avenue'!$A$12:$A$130,"&lt;"&amp;Diagram!$P37),SUMIFS(INDIRECT(ADDRESS(12,3+18*1+(14),,,"J1 D - South Bank Avenue")&amp;":"&amp;ADDRESS(130,3+18*1+(14))),'J1 D - South Bank Avenue'!$A$12:$A$130,"&gt;="&amp;Diagram!$O37,'J1 D - South Bank Avenue'!$A$12:$A$130,"&lt;"&amp;Diagram!$P37)))</f>
        <v>0</v>
      </c>
      <c r="EE37" s="42">
        <f ca="1">IF(OR($I$10="",$O37="",$P37="",$J$41&lt;&gt;"Yes"),0,IF($K$10=0,SUMIFS(INDIRECT(ADDRESS(12,3+18*2+(6),,,"J1 D - South Bank Avenue")&amp;":"&amp;ADDRESS(130,3+18*2+(6))),'J1 D - South Bank Avenue'!$A$12:$A$130,"&gt;="&amp;Diagram!$O37,'J1 D - South Bank Avenue'!$A$12:$A$130,"&lt;"&amp;Diagram!$P37),SUMIFS(INDIRECT(ADDRESS(12,3+18*2+(14),,,"J1 D - South Bank Avenue")&amp;":"&amp;ADDRESS(130,3+18*2+(14))),'J1 D - South Bank Avenue'!$A$12:$A$130,"&gt;="&amp;Diagram!$O37,'J1 D - South Bank Avenue'!$A$12:$A$130,"&lt;"&amp;Diagram!$P37)))</f>
        <v>0</v>
      </c>
      <c r="EF37" s="42">
        <f ca="1">IF(OR($I$10="",$O37="",$P37="",$J$41&lt;&gt;"Yes"),0,IF($K$10=0,SUMIFS(INDIRECT(ADDRESS(12,3+18*3+(6),,,"J1 D - South Bank Avenue")&amp;":"&amp;ADDRESS(130,3+18*3+(6))),'J1 D - South Bank Avenue'!$A$12:$A$130,"&gt;="&amp;Diagram!$O37,'J1 D - South Bank Avenue'!$A$12:$A$130,"&lt;"&amp;Diagram!$P37),SUMIFS(INDIRECT(ADDRESS(12,3+18*3+(14),,,"J1 D - South Bank Avenue")&amp;":"&amp;ADDRESS(130,3+18*3+(14))),'J1 D - South Bank Avenue'!$A$12:$A$130,"&gt;="&amp;Diagram!$O37,'J1 D - South Bank Avenue'!$A$12:$A$130,"&lt;"&amp;Diagram!$P37)))</f>
        <v>0</v>
      </c>
      <c r="EG37" s="42">
        <f t="shared" ca="1" si="8"/>
        <v>3</v>
      </c>
      <c r="EH37" s="42">
        <f ca="1">IF(OR($I$10="",$O37="",$P37="",$J$42&lt;&gt;"Yes"),0,IF($K$10=0,SUMIFS(INDIRECT(ADDRESS(12,3+18*3+(7),,,"J1 A - (North) Bishopthorpe Roa")&amp;":"&amp;ADDRESS(130,3+18*3+(7))),'J1 A - (North) Bishopthorpe Roa'!$A$12:$A$130,"&gt;="&amp;Diagram!$O37,'J1 A - (North) Bishopthorpe Roa'!$A$12:$A$130,"&lt;"&amp;Diagram!$P37),SUMIFS(INDIRECT(ADDRESS(12,3+18*3+(15),,,"J1 A - (North) Bishopthorpe Roa")&amp;":"&amp;ADDRESS(130,3+18*3+(15))),'J1 A - (North) Bishopthorpe Roa'!$A$12:$A$130,"&gt;="&amp;Diagram!$O37,'J1 A - (North) Bishopthorpe Roa'!$A$12:$A$130,"&lt;"&amp;Diagram!$P37)))</f>
        <v>0</v>
      </c>
      <c r="EI37" s="42">
        <f ca="1">IF(OR($I$10="",$O37="",$P37="",$J$42&lt;&gt;"Yes"),0,IF($K$10=0,SUMIFS(INDIRECT(ADDRESS(12,3+18*0+(7),,,"J1 A - (North) Bishopthorpe Roa")&amp;":"&amp;ADDRESS(130,3+18*0+(7))),'J1 A - (North) Bishopthorpe Roa'!$A$12:$A$130,"&gt;="&amp;Diagram!$O37,'J1 A - (North) Bishopthorpe Roa'!$A$12:$A$130,"&lt;"&amp;Diagram!$P37),SUMIFS(INDIRECT(ADDRESS(12,3+18*0+(15),,,"J1 A - (North) Bishopthorpe Roa")&amp;":"&amp;ADDRESS(130,3+18*0+(15))),'J1 A - (North) Bishopthorpe Roa'!$A$12:$A$130,"&gt;="&amp;Diagram!$O37,'J1 A - (North) Bishopthorpe Roa'!$A$12:$A$130,"&lt;"&amp;Diagram!$P37)))</f>
        <v>0</v>
      </c>
      <c r="EJ37" s="42">
        <f ca="1">IF(OR($I$10="",$O37="",$P37="",$J$42&lt;&gt;"Yes"),0,IF($K$10=0,SUMIFS(INDIRECT(ADDRESS(12,3+18*1+(7),,,"J1 A - (North) Bishopthorpe Roa")&amp;":"&amp;ADDRESS(130,3+18*1+(7))),'J1 A - (North) Bishopthorpe Roa'!$A$12:$A$130,"&gt;="&amp;Diagram!$O37,'J1 A - (North) Bishopthorpe Roa'!$A$12:$A$130,"&lt;"&amp;Diagram!$P37),SUMIFS(INDIRECT(ADDRESS(12,3+18*1+(15),,,"J1 A - (North) Bishopthorpe Roa")&amp;":"&amp;ADDRESS(130,3+18*1+(15))),'J1 A - (North) Bishopthorpe Roa'!$A$12:$A$130,"&gt;="&amp;Diagram!$O37,'J1 A - (North) Bishopthorpe Roa'!$A$12:$A$130,"&lt;"&amp;Diagram!$P37)))</f>
        <v>0</v>
      </c>
      <c r="EK37" s="42">
        <f ca="1">IF(OR($I$10="",$O37="",$P37="",$J$42&lt;&gt;"Yes"),0,IF($K$10=0,SUMIFS(INDIRECT(ADDRESS(12,3+18*2+(7),,,"J1 A - (North) Bishopthorpe Roa")&amp;":"&amp;ADDRESS(130,3+18*2+(7))),'J1 A - (North) Bishopthorpe Roa'!$A$12:$A$130,"&gt;="&amp;Diagram!$O37,'J1 A - (North) Bishopthorpe Roa'!$A$12:$A$130,"&lt;"&amp;Diagram!$P37),SUMIFS(INDIRECT(ADDRESS(12,3+18*2+(15),,,"J1 A - (North) Bishopthorpe Roa")&amp;":"&amp;ADDRESS(130,3+18*2+(15))),'J1 A - (North) Bishopthorpe Roa'!$A$12:$A$130,"&gt;="&amp;Diagram!$O37,'J1 A - (North) Bishopthorpe Roa'!$A$12:$A$130,"&lt;"&amp;Diagram!$P37)))</f>
        <v>0</v>
      </c>
      <c r="EL37" s="42">
        <f ca="1">IF(OR($I$10="",$O37="",$P37="",$J$42&lt;&gt;"Yes"),0,IF($K$10=0,SUMIFS(INDIRECT(ADDRESS(12,3+18*2+(7),,,"J1 B - Butcher Terrace")&amp;":"&amp;ADDRESS(130,3+18*2+(7))),'J1 B - Butcher Terrace'!$A$12:$A$130,"&gt;="&amp;Diagram!$O37,'J1 B - Butcher Terrace'!$A$12:$A$130,"&lt;"&amp;Diagram!$P37),SUMIFS(INDIRECT(ADDRESS(12,3+18*2+(15),,,"J1 B - Butcher Terrace")&amp;":"&amp;ADDRESS(130,3+18*2+(15))),'J1 B - Butcher Terrace'!$A$12:$A$130,"&gt;="&amp;Diagram!$O37,'J1 B - Butcher Terrace'!$A$12:$A$130,"&lt;"&amp;Diagram!$P37)))</f>
        <v>3</v>
      </c>
      <c r="EM37" s="42">
        <f ca="1">IF(OR($I$10="",$O37="",$P37="",$J$42&lt;&gt;"Yes"),0,IF($K$10=0,SUMIFS(INDIRECT(ADDRESS(12,3+18*3+(7),,,"J1 B - Butcher Terrace")&amp;":"&amp;ADDRESS(130,3+18*3+(7))),'J1 B - Butcher Terrace'!$A$12:$A$130,"&gt;="&amp;Diagram!$O37,'J1 B - Butcher Terrace'!$A$12:$A$130,"&lt;"&amp;Diagram!$P37),SUMIFS(INDIRECT(ADDRESS(12,3+18*3+(15),,,"J1 B - Butcher Terrace")&amp;":"&amp;ADDRESS(130,3+18*3+(15))),'J1 B - Butcher Terrace'!$A$12:$A$130,"&gt;="&amp;Diagram!$O37,'J1 B - Butcher Terrace'!$A$12:$A$130,"&lt;"&amp;Diagram!$P37)))</f>
        <v>0</v>
      </c>
      <c r="EN37" s="42">
        <f ca="1">IF(OR($I$10="",$O37="",$P37="",$J$42&lt;&gt;"Yes"),0,IF($K$10=0,SUMIFS(INDIRECT(ADDRESS(12,3+18*0+(7),,,"J1 B - Butcher Terrace")&amp;":"&amp;ADDRESS(130,3+18*0+(7))),'J1 B - Butcher Terrace'!$A$12:$A$130,"&gt;="&amp;Diagram!$O37,'J1 B - Butcher Terrace'!$A$12:$A$130,"&lt;"&amp;Diagram!$P37),SUMIFS(INDIRECT(ADDRESS(12,3+18*0+(15),,,"J1 B - Butcher Terrace")&amp;":"&amp;ADDRESS(130,3+18*0+(15))),'J1 B - Butcher Terrace'!$A$12:$A$130,"&gt;="&amp;Diagram!$O37,'J1 B - Butcher Terrace'!$A$12:$A$130,"&lt;"&amp;Diagram!$P37)))</f>
        <v>0</v>
      </c>
      <c r="EO37" s="42">
        <f ca="1">IF(OR($I$10="",$O37="",$P37="",$J$42&lt;&gt;"Yes"),0,IF($K$10=0,SUMIFS(INDIRECT(ADDRESS(12,3+18*1+(7),,,"J1 B - Butcher Terrace")&amp;":"&amp;ADDRESS(130,3+18*1+(7))),'J1 B - Butcher Terrace'!$A$12:$A$130,"&gt;="&amp;Diagram!$O37,'J1 B - Butcher Terrace'!$A$12:$A$130,"&lt;"&amp;Diagram!$P37),SUMIFS(INDIRECT(ADDRESS(12,3+18*1+(15),,,"J1 B - Butcher Terrace")&amp;":"&amp;ADDRESS(130,3+18*1+(15))),'J1 B - Butcher Terrace'!$A$12:$A$130,"&gt;="&amp;Diagram!$O37,'J1 B - Butcher Terrace'!$A$12:$A$130,"&lt;"&amp;Diagram!$P37)))</f>
        <v>0</v>
      </c>
      <c r="EP37" s="42">
        <f ca="1">IF(OR($I$10="",$O37="",$P37="",$J$42&lt;&gt;"Yes"),0,IF($K$10=0,SUMIFS(INDIRECT(ADDRESS(12,3+18*1+(7),,,"J1 C - (South) Bishopthorpe Roa")&amp;":"&amp;ADDRESS(130,3+18*1+(7))),'J1 C - (South) Bishopthorpe Roa'!$A$12:$A$130,"&gt;="&amp;Diagram!$O37,'J1 C - (South) Bishopthorpe Roa'!$A$12:$A$130,"&lt;"&amp;Diagram!$P37),SUMIFS(INDIRECT(ADDRESS(12,3+18*1+(15),,,"J1 C - (South) Bishopthorpe Roa")&amp;":"&amp;ADDRESS(130,3+18*1+(15))),'J1 C - (South) Bishopthorpe Roa'!$A$12:$A$130,"&gt;="&amp;Diagram!$O37,'J1 C - (South) Bishopthorpe Roa'!$A$12:$A$130,"&lt;"&amp;Diagram!$P37)))</f>
        <v>0</v>
      </c>
      <c r="EQ37" s="42">
        <f ca="1">IF(OR($I$10="",$O37="",$P37="",$J$42&lt;&gt;"Yes"),0,IF($K$10=0,SUMIFS(INDIRECT(ADDRESS(12,3+18*2+(7),,,"J1 C - (South) Bishopthorpe Roa")&amp;":"&amp;ADDRESS(130,3+18*2+(7))),'J1 C - (South) Bishopthorpe Roa'!$A$12:$A$130,"&gt;="&amp;Diagram!$O37,'J1 C - (South) Bishopthorpe Roa'!$A$12:$A$130,"&lt;"&amp;Diagram!$P37),SUMIFS(INDIRECT(ADDRESS(12,3+18*2+(15),,,"J1 C - (South) Bishopthorpe Roa")&amp;":"&amp;ADDRESS(130,3+18*2+(15))),'J1 C - (South) Bishopthorpe Roa'!$A$12:$A$130,"&gt;="&amp;Diagram!$O37,'J1 C - (South) Bishopthorpe Roa'!$A$12:$A$130,"&lt;"&amp;Diagram!$P37)))</f>
        <v>0</v>
      </c>
      <c r="ER37" s="42">
        <f ca="1">IF(OR($I$10="",$O37="",$P37="",$J$42&lt;&gt;"Yes"),0,IF($K$10=0,SUMIFS(INDIRECT(ADDRESS(12,3+18*3+(7),,,"J1 C - (South) Bishopthorpe Roa")&amp;":"&amp;ADDRESS(130,3+18*3+(7))),'J1 C - (South) Bishopthorpe Roa'!$A$12:$A$130,"&gt;="&amp;Diagram!$O37,'J1 C - (South) Bishopthorpe Roa'!$A$12:$A$130,"&lt;"&amp;Diagram!$P37),SUMIFS(INDIRECT(ADDRESS(12,3+18*3+(15),,,"J1 C - (South) Bishopthorpe Roa")&amp;":"&amp;ADDRESS(130,3+18*3+(15))),'J1 C - (South) Bishopthorpe Roa'!$A$12:$A$130,"&gt;="&amp;Diagram!$O37,'J1 C - (South) Bishopthorpe Roa'!$A$12:$A$130,"&lt;"&amp;Diagram!$P37)))</f>
        <v>0</v>
      </c>
      <c r="ES37" s="42">
        <f ca="1">IF(OR($I$10="",$O37="",$P37="",$J$42&lt;&gt;"Yes"),0,IF($K$10=0,SUMIFS(INDIRECT(ADDRESS(12,3+18*0+(7),,,"J1 C - (South) Bishopthorpe Roa")&amp;":"&amp;ADDRESS(130,3+18*0+(7))),'J1 C - (South) Bishopthorpe Roa'!$A$12:$A$130,"&gt;="&amp;Diagram!$O37,'J1 C - (South) Bishopthorpe Roa'!$A$12:$A$130,"&lt;"&amp;Diagram!$P37),SUMIFS(INDIRECT(ADDRESS(12,3+18*0+(15),,,"J1 C - (South) Bishopthorpe Roa")&amp;":"&amp;ADDRESS(130,3+18*0+(15))),'J1 C - (South) Bishopthorpe Roa'!$A$12:$A$130,"&gt;="&amp;Diagram!$O37,'J1 C - (South) Bishopthorpe Roa'!$A$12:$A$130,"&lt;"&amp;Diagram!$P37)))</f>
        <v>0</v>
      </c>
      <c r="ET37" s="42">
        <f ca="1">IF(OR($I$10="",$O37="",$P37="",$J$42&lt;&gt;"Yes"),0,IF($K$10=0,SUMIFS(INDIRECT(ADDRESS(12,3+18*0+(7),,,"J1 D - South Bank Avenue")&amp;":"&amp;ADDRESS(130,3+18*0+(7))),'J1 D - South Bank Avenue'!$A$12:$A$130,"&gt;="&amp;Diagram!$O37,'J1 D - South Bank Avenue'!$A$12:$A$130,"&lt;"&amp;Diagram!$P37),SUMIFS(INDIRECT(ADDRESS(12,3+18*0+(15),,,"J1 D - South Bank Avenue")&amp;":"&amp;ADDRESS(130,3+18*0+(15))),'J1 D - South Bank Avenue'!$A$12:$A$130,"&gt;="&amp;Diagram!$O37,'J1 D - South Bank Avenue'!$A$12:$A$130,"&lt;"&amp;Diagram!$P37)))</f>
        <v>0</v>
      </c>
      <c r="EU37" s="42">
        <f ca="1">IF(OR($I$10="",$O37="",$P37="",$J$42&lt;&gt;"Yes"),0,IF($K$10=0,SUMIFS(INDIRECT(ADDRESS(12,3+18*1+(7),,,"J1 D - South Bank Avenue")&amp;":"&amp;ADDRESS(130,3+18*1+(7))),'J1 D - South Bank Avenue'!$A$12:$A$130,"&gt;="&amp;Diagram!$O37,'J1 D - South Bank Avenue'!$A$12:$A$130,"&lt;"&amp;Diagram!$P37),SUMIFS(INDIRECT(ADDRESS(12,3+18*1+(15),,,"J1 D - South Bank Avenue")&amp;":"&amp;ADDRESS(130,3+18*1+(15))),'J1 D - South Bank Avenue'!$A$12:$A$130,"&gt;="&amp;Diagram!$O37,'J1 D - South Bank Avenue'!$A$12:$A$130,"&lt;"&amp;Diagram!$P37)))</f>
        <v>0</v>
      </c>
      <c r="EV37" s="42">
        <f ca="1">IF(OR($I$10="",$O37="",$P37="",$J$42&lt;&gt;"Yes"),0,IF($K$10=0,SUMIFS(INDIRECT(ADDRESS(12,3+18*2+(7),,,"J1 D - South Bank Avenue")&amp;":"&amp;ADDRESS(130,3+18*2+(7))),'J1 D - South Bank Avenue'!$A$12:$A$130,"&gt;="&amp;Diagram!$O37,'J1 D - South Bank Avenue'!$A$12:$A$130,"&lt;"&amp;Diagram!$P37),SUMIFS(INDIRECT(ADDRESS(12,3+18*2+(15),,,"J1 D - South Bank Avenue")&amp;":"&amp;ADDRESS(130,3+18*2+(15))),'J1 D - South Bank Avenue'!$A$12:$A$130,"&gt;="&amp;Diagram!$O37,'J1 D - South Bank Avenue'!$A$12:$A$130,"&lt;"&amp;Diagram!$P37)))</f>
        <v>0</v>
      </c>
      <c r="EW37" s="42">
        <f ca="1">IF(OR($I$10="",$O37="",$P37="",$J$42&lt;&gt;"Yes"),0,IF($K$10=0,SUMIFS(INDIRECT(ADDRESS(12,3+18*3+(7),,,"J1 D - South Bank Avenue")&amp;":"&amp;ADDRESS(130,3+18*3+(7))),'J1 D - South Bank Avenue'!$A$12:$A$130,"&gt;="&amp;Diagram!$O37,'J1 D - South Bank Avenue'!$A$12:$A$130,"&lt;"&amp;Diagram!$P37),SUMIFS(INDIRECT(ADDRESS(12,3+18*3+(15),,,"J1 D - South Bank Avenue")&amp;":"&amp;ADDRESS(130,3+18*3+(15))),'J1 D - South Bank Avenue'!$A$12:$A$130,"&gt;="&amp;Diagram!$O37,'J1 D - South Bank Avenue'!$A$12:$A$130,"&lt;"&amp;Diagram!$P37)))</f>
        <v>0</v>
      </c>
    </row>
    <row r="38" spans="1:153" ht="21" customHeight="1">
      <c r="A38" s="1">
        <v>44395.385416666701</v>
      </c>
      <c r="B38" s="1">
        <v>44395.395833333299</v>
      </c>
      <c r="I38" s="38" t="s">
        <v>15</v>
      </c>
      <c r="J38" s="39" t="s">
        <v>166</v>
      </c>
      <c r="K38" s="13">
        <v>3</v>
      </c>
      <c r="O38" s="3">
        <v>44395.385416666701</v>
      </c>
      <c r="P38" s="3">
        <v>44395.427083333299</v>
      </c>
      <c r="Q38" s="42">
        <f t="shared" ca="1" si="0"/>
        <v>673</v>
      </c>
      <c r="R38" s="42">
        <f t="shared" ca="1" si="1"/>
        <v>485</v>
      </c>
      <c r="S38" s="42">
        <f ca="1">IF(OR($I$10="",$O38="",$P38="",$J$35&lt;&gt;"Yes"),0,IF($K$10=0,SUMIFS(INDIRECT(ADDRESS(12,3+18*3+(0),,,"J1 A - (North) Bishopthorpe Roa")&amp;":"&amp;ADDRESS(130,3+18*3+(0))),'J1 A - (North) Bishopthorpe Roa'!$A$12:$A$130,"&gt;="&amp;Diagram!$O38,'J1 A - (North) Bishopthorpe Roa'!$A$12:$A$130,"&lt;"&amp;Diagram!$P38),SUMIFS(INDIRECT(ADDRESS(12,3+18*3+(8),,,"J1 A - (North) Bishopthorpe Roa")&amp;":"&amp;ADDRESS(130,3+18*3+(8))),'J1 A - (North) Bishopthorpe Roa'!$A$12:$A$130,"&gt;="&amp;Diagram!$O38,'J1 A - (North) Bishopthorpe Roa'!$A$12:$A$130,"&lt;"&amp;Diagram!$P38)))</f>
        <v>3</v>
      </c>
      <c r="T38" s="42">
        <f ca="1">IF(OR($I$10="",$O38="",$P38="",$J$35&lt;&gt;"Yes"),0,IF($K$10=0,SUMIFS(INDIRECT(ADDRESS(12,3+18*0+(0),,,"J1 A - (North) Bishopthorpe Roa")&amp;":"&amp;ADDRESS(130,3+18*0+(0))),'J1 A - (North) Bishopthorpe Roa'!$A$12:$A$130,"&gt;="&amp;Diagram!$O38,'J1 A - (North) Bishopthorpe Roa'!$A$12:$A$130,"&lt;"&amp;Diagram!$P38),SUMIFS(INDIRECT(ADDRESS(12,3+18*0+(8),,,"J1 A - (North) Bishopthorpe Roa")&amp;":"&amp;ADDRESS(130,3+18*0+(8))),'J1 A - (North) Bishopthorpe Roa'!$A$12:$A$130,"&gt;="&amp;Diagram!$O38,'J1 A - (North) Bishopthorpe Roa'!$A$12:$A$130,"&lt;"&amp;Diagram!$P38)))</f>
        <v>10</v>
      </c>
      <c r="U38" s="42">
        <f ca="1">IF(OR($I$10="",$O38="",$P38="",$J$35&lt;&gt;"Yes"),0,IF($K$10=0,SUMIFS(INDIRECT(ADDRESS(12,3+18*1+(0),,,"J1 A - (North) Bishopthorpe Roa")&amp;":"&amp;ADDRESS(130,3+18*1+(0))),'J1 A - (North) Bishopthorpe Roa'!$A$12:$A$130,"&gt;="&amp;Diagram!$O38,'J1 A - (North) Bishopthorpe Roa'!$A$12:$A$130,"&lt;"&amp;Diagram!$P38),SUMIFS(INDIRECT(ADDRESS(12,3+18*1+(8),,,"J1 A - (North) Bishopthorpe Roa")&amp;":"&amp;ADDRESS(130,3+18*1+(8))),'J1 A - (North) Bishopthorpe Roa'!$A$12:$A$130,"&gt;="&amp;Diagram!$O38,'J1 A - (North) Bishopthorpe Roa'!$A$12:$A$130,"&lt;"&amp;Diagram!$P38)))</f>
        <v>189</v>
      </c>
      <c r="V38" s="42">
        <f ca="1">IF(OR($I$10="",$O38="",$P38="",$J$35&lt;&gt;"Yes"),0,IF($K$10=0,SUMIFS(INDIRECT(ADDRESS(12,3+18*2+(0),,,"J1 A - (North) Bishopthorpe Roa")&amp;":"&amp;ADDRESS(130,3+18*2+(0))),'J1 A - (North) Bishopthorpe Roa'!$A$12:$A$130,"&gt;="&amp;Diagram!$O38,'J1 A - (North) Bishopthorpe Roa'!$A$12:$A$130,"&lt;"&amp;Diagram!$P38),SUMIFS(INDIRECT(ADDRESS(12,3+18*2+(8),,,"J1 A - (North) Bishopthorpe Roa")&amp;":"&amp;ADDRESS(130,3+18*2+(8))),'J1 A - (North) Bishopthorpe Roa'!$A$12:$A$130,"&gt;="&amp;Diagram!$O38,'J1 A - (North) Bishopthorpe Roa'!$A$12:$A$130,"&lt;"&amp;Diagram!$P38)))</f>
        <v>16</v>
      </c>
      <c r="W38" s="42">
        <f ca="1">IF(OR($I$10="",$O38="",$P38="",$J$35&lt;&gt;"Yes"),0,IF($K$10=0,SUMIFS(INDIRECT(ADDRESS(12,3+18*2+(0),,,"J1 B - Butcher Terrace")&amp;":"&amp;ADDRESS(130,3+18*2+(0))),'J1 B - Butcher Terrace'!$A$12:$A$130,"&gt;="&amp;Diagram!$O38,'J1 B - Butcher Terrace'!$A$12:$A$130,"&lt;"&amp;Diagram!$P38),SUMIFS(INDIRECT(ADDRESS(12,3+18*2+(8),,,"J1 B - Butcher Terrace")&amp;":"&amp;ADDRESS(130,3+18*2+(8))),'J1 B - Butcher Terrace'!$A$12:$A$130,"&gt;="&amp;Diagram!$O38,'J1 B - Butcher Terrace'!$A$12:$A$130,"&lt;"&amp;Diagram!$P38)))</f>
        <v>15</v>
      </c>
      <c r="X38" s="42">
        <f ca="1">IF(OR($I$10="",$O38="",$P38="",$J$35&lt;&gt;"Yes"),0,IF($K$10=0,SUMIFS(INDIRECT(ADDRESS(12,3+18*3+(0),,,"J1 B - Butcher Terrace")&amp;":"&amp;ADDRESS(130,3+18*3+(0))),'J1 B - Butcher Terrace'!$A$12:$A$130,"&gt;="&amp;Diagram!$O38,'J1 B - Butcher Terrace'!$A$12:$A$130,"&lt;"&amp;Diagram!$P38),SUMIFS(INDIRECT(ADDRESS(12,3+18*3+(8),,,"J1 B - Butcher Terrace")&amp;":"&amp;ADDRESS(130,3+18*3+(8))),'J1 B - Butcher Terrace'!$A$12:$A$130,"&gt;="&amp;Diagram!$O38,'J1 B - Butcher Terrace'!$A$12:$A$130,"&lt;"&amp;Diagram!$P38)))</f>
        <v>0</v>
      </c>
      <c r="Y38" s="42">
        <f ca="1">IF(OR($I$10="",$O38="",$P38="",$J$35&lt;&gt;"Yes"),0,IF($K$10=0,SUMIFS(INDIRECT(ADDRESS(12,3+18*0+(0),,,"J1 B - Butcher Terrace")&amp;":"&amp;ADDRESS(130,3+18*0+(0))),'J1 B - Butcher Terrace'!$A$12:$A$130,"&gt;="&amp;Diagram!$O38,'J1 B - Butcher Terrace'!$A$12:$A$130,"&lt;"&amp;Diagram!$P38),SUMIFS(INDIRECT(ADDRESS(12,3+18*0+(8),,,"J1 B - Butcher Terrace")&amp;":"&amp;ADDRESS(130,3+18*0+(8))),'J1 B - Butcher Terrace'!$A$12:$A$130,"&gt;="&amp;Diagram!$O38,'J1 B - Butcher Terrace'!$A$12:$A$130,"&lt;"&amp;Diagram!$P38)))</f>
        <v>7</v>
      </c>
      <c r="Z38" s="42">
        <f ca="1">IF(OR($I$10="",$O38="",$P38="",$J$35&lt;&gt;"Yes"),0,IF($K$10=0,SUMIFS(INDIRECT(ADDRESS(12,3+18*1+(0),,,"J1 B - Butcher Terrace")&amp;":"&amp;ADDRESS(130,3+18*1+(0))),'J1 B - Butcher Terrace'!$A$12:$A$130,"&gt;="&amp;Diagram!$O38,'J1 B - Butcher Terrace'!$A$12:$A$130,"&lt;"&amp;Diagram!$P38),SUMIFS(INDIRECT(ADDRESS(12,3+18*1+(8),,,"J1 B - Butcher Terrace")&amp;":"&amp;ADDRESS(130,3+18*1+(8))),'J1 B - Butcher Terrace'!$A$12:$A$130,"&gt;="&amp;Diagram!$O38,'J1 B - Butcher Terrace'!$A$12:$A$130,"&lt;"&amp;Diagram!$P38)))</f>
        <v>0</v>
      </c>
      <c r="AA38" s="42">
        <f ca="1">IF(OR($I$10="",$O38="",$P38="",$J$35&lt;&gt;"Yes"),0,IF($K$10=0,SUMIFS(INDIRECT(ADDRESS(12,3+18*1+(0),,,"J1 C - (South) Bishopthorpe Roa")&amp;":"&amp;ADDRESS(130,3+18*1+(0))),'J1 C - (South) Bishopthorpe Roa'!$A$12:$A$130,"&gt;="&amp;Diagram!$O38,'J1 C - (South) Bishopthorpe Roa'!$A$12:$A$130,"&lt;"&amp;Diagram!$P38),SUMIFS(INDIRECT(ADDRESS(12,3+18*1+(8),,,"J1 C - (South) Bishopthorpe Roa")&amp;":"&amp;ADDRESS(130,3+18*1+(8))),'J1 C - (South) Bishopthorpe Roa'!$A$12:$A$130,"&gt;="&amp;Diagram!$O38,'J1 C - (South) Bishopthorpe Roa'!$A$12:$A$130,"&lt;"&amp;Diagram!$P38)))</f>
        <v>200</v>
      </c>
      <c r="AB38" s="42">
        <f ca="1">IF(OR($I$10="",$O38="",$P38="",$J$35&lt;&gt;"Yes"),0,IF($K$10=0,SUMIFS(INDIRECT(ADDRESS(12,3+18*2+(0),,,"J1 C - (South) Bishopthorpe Roa")&amp;":"&amp;ADDRESS(130,3+18*2+(0))),'J1 C - (South) Bishopthorpe Roa'!$A$12:$A$130,"&gt;="&amp;Diagram!$O38,'J1 C - (South) Bishopthorpe Roa'!$A$12:$A$130,"&lt;"&amp;Diagram!$P38),SUMIFS(INDIRECT(ADDRESS(12,3+18*2+(8),,,"J1 C - (South) Bishopthorpe Roa")&amp;":"&amp;ADDRESS(130,3+18*2+(8))),'J1 C - (South) Bishopthorpe Roa'!$A$12:$A$130,"&gt;="&amp;Diagram!$O38,'J1 C - (South) Bishopthorpe Roa'!$A$12:$A$130,"&lt;"&amp;Diagram!$P38)))</f>
        <v>5</v>
      </c>
      <c r="AC38" s="42">
        <f ca="1">IF(OR($I$10="",$O38="",$P38="",$J$35&lt;&gt;"Yes"),0,IF($K$10=0,SUMIFS(INDIRECT(ADDRESS(12,3+18*3+(0),,,"J1 C - (South) Bishopthorpe Roa")&amp;":"&amp;ADDRESS(130,3+18*3+(0))),'J1 C - (South) Bishopthorpe Roa'!$A$12:$A$130,"&gt;="&amp;Diagram!$O38,'J1 C - (South) Bishopthorpe Roa'!$A$12:$A$130,"&lt;"&amp;Diagram!$P38),SUMIFS(INDIRECT(ADDRESS(12,3+18*3+(8),,,"J1 C - (South) Bishopthorpe Roa")&amp;":"&amp;ADDRESS(130,3+18*3+(8))),'J1 C - (South) Bishopthorpe Roa'!$A$12:$A$130,"&gt;="&amp;Diagram!$O38,'J1 C - (South) Bishopthorpe Roa'!$A$12:$A$130,"&lt;"&amp;Diagram!$P38)))</f>
        <v>0</v>
      </c>
      <c r="AD38" s="42">
        <f ca="1">IF(OR($I$10="",$O38="",$P38="",$J$35&lt;&gt;"Yes"),0,IF($K$10=0,SUMIFS(INDIRECT(ADDRESS(12,3+18*0+(0),,,"J1 C - (South) Bishopthorpe Roa")&amp;":"&amp;ADDRESS(130,3+18*0+(0))),'J1 C - (South) Bishopthorpe Roa'!$A$12:$A$130,"&gt;="&amp;Diagram!$O38,'J1 C - (South) Bishopthorpe Roa'!$A$12:$A$130,"&lt;"&amp;Diagram!$P38),SUMIFS(INDIRECT(ADDRESS(12,3+18*0+(8),,,"J1 C - (South) Bishopthorpe Roa")&amp;":"&amp;ADDRESS(130,3+18*0+(8))),'J1 C - (South) Bishopthorpe Roa'!$A$12:$A$130,"&gt;="&amp;Diagram!$O38,'J1 C - (South) Bishopthorpe Roa'!$A$12:$A$130,"&lt;"&amp;Diagram!$P38)))</f>
        <v>4</v>
      </c>
      <c r="AE38" s="42">
        <f ca="1">IF(OR($I$10="",$O38="",$P38="",$J$35&lt;&gt;"Yes"),0,IF($K$10=0,SUMIFS(INDIRECT(ADDRESS(12,3+18*0+(0),,,"J1 D - South Bank Avenue")&amp;":"&amp;ADDRESS(130,3+18*0+(0))),'J1 D - South Bank Avenue'!$A$12:$A$130,"&gt;="&amp;Diagram!$O38,'J1 D - South Bank Avenue'!$A$12:$A$130,"&lt;"&amp;Diagram!$P38),SUMIFS(INDIRECT(ADDRESS(12,3+18*0+(8),,,"J1 D - South Bank Avenue")&amp;":"&amp;ADDRESS(130,3+18*0+(8))),'J1 D - South Bank Avenue'!$A$12:$A$130,"&gt;="&amp;Diagram!$O38,'J1 D - South Bank Avenue'!$A$12:$A$130,"&lt;"&amp;Diagram!$P38)))</f>
        <v>32</v>
      </c>
      <c r="AF38" s="42">
        <f ca="1">IF(OR($I$10="",$O38="",$P38="",$J$35&lt;&gt;"Yes"),0,IF($K$10=0,SUMIFS(INDIRECT(ADDRESS(12,3+18*1+(0),,,"J1 D - South Bank Avenue")&amp;":"&amp;ADDRESS(130,3+18*1+(0))),'J1 D - South Bank Avenue'!$A$12:$A$130,"&gt;="&amp;Diagram!$O38,'J1 D - South Bank Avenue'!$A$12:$A$130,"&lt;"&amp;Diagram!$P38),SUMIFS(INDIRECT(ADDRESS(12,3+18*1+(8),,,"J1 D - South Bank Avenue")&amp;":"&amp;ADDRESS(130,3+18*1+(8))),'J1 D - South Bank Avenue'!$A$12:$A$130,"&gt;="&amp;Diagram!$O38,'J1 D - South Bank Avenue'!$A$12:$A$130,"&lt;"&amp;Diagram!$P38)))</f>
        <v>0</v>
      </c>
      <c r="AG38" s="42">
        <f ca="1">IF(OR($I$10="",$O38="",$P38="",$J$35&lt;&gt;"Yes"),0,IF($K$10=0,SUMIFS(INDIRECT(ADDRESS(12,3+18*2+(0),,,"J1 D - South Bank Avenue")&amp;":"&amp;ADDRESS(130,3+18*2+(0))),'J1 D - South Bank Avenue'!$A$12:$A$130,"&gt;="&amp;Diagram!$O38,'J1 D - South Bank Avenue'!$A$12:$A$130,"&lt;"&amp;Diagram!$P38),SUMIFS(INDIRECT(ADDRESS(12,3+18*2+(8),,,"J1 D - South Bank Avenue")&amp;":"&amp;ADDRESS(130,3+18*2+(8))),'J1 D - South Bank Avenue'!$A$12:$A$130,"&gt;="&amp;Diagram!$O38,'J1 D - South Bank Avenue'!$A$12:$A$130,"&lt;"&amp;Diagram!$P38)))</f>
        <v>4</v>
      </c>
      <c r="AH38" s="42">
        <f ca="1">IF(OR($I$10="",$O38="",$P38="",$J$35&lt;&gt;"Yes"),0,IF($K$10=0,SUMIFS(INDIRECT(ADDRESS(12,3+18*3+(0),,,"J1 D - South Bank Avenue")&amp;":"&amp;ADDRESS(130,3+18*3+(0))),'J1 D - South Bank Avenue'!$A$12:$A$130,"&gt;="&amp;Diagram!$O38,'J1 D - South Bank Avenue'!$A$12:$A$130,"&lt;"&amp;Diagram!$P38),SUMIFS(INDIRECT(ADDRESS(12,3+18*3+(8),,,"J1 D - South Bank Avenue")&amp;":"&amp;ADDRESS(130,3+18*3+(8))),'J1 D - South Bank Avenue'!$A$12:$A$130,"&gt;="&amp;Diagram!$O38,'J1 D - South Bank Avenue'!$A$12:$A$130,"&lt;"&amp;Diagram!$P38)))</f>
        <v>0</v>
      </c>
      <c r="AI38" s="42">
        <f t="shared" ca="1" si="2"/>
        <v>76</v>
      </c>
      <c r="AJ38" s="42">
        <f ca="1">IF(OR($I$10="",$O38="",$P38="",$J$36&lt;&gt;"Yes"),0,IF($K$10=0,SUMIFS(INDIRECT(ADDRESS(12,3+18*3+(1),,,"J1 A - (North) Bishopthorpe Roa")&amp;":"&amp;ADDRESS(130,3+18*3+(1))),'J1 A - (North) Bishopthorpe Roa'!$A$12:$A$130,"&gt;="&amp;Diagram!$O38,'J1 A - (North) Bishopthorpe Roa'!$A$12:$A$130,"&lt;"&amp;Diagram!$P38),SUMIFS(INDIRECT(ADDRESS(12,3+18*3+(9),,,"J1 A - (North) Bishopthorpe Roa")&amp;":"&amp;ADDRESS(130,3+18*3+(9))),'J1 A - (North) Bishopthorpe Roa'!$A$12:$A$130,"&gt;="&amp;Diagram!$O38,'J1 A - (North) Bishopthorpe Roa'!$A$12:$A$130,"&lt;"&amp;Diagram!$P38)))</f>
        <v>0</v>
      </c>
      <c r="AK38" s="42">
        <f ca="1">IF(OR($I$10="",$O38="",$P38="",$J$36&lt;&gt;"Yes"),0,IF($K$10=0,SUMIFS(INDIRECT(ADDRESS(12,3+18*0+(1),,,"J1 A - (North) Bishopthorpe Roa")&amp;":"&amp;ADDRESS(130,3+18*0+(1))),'J1 A - (North) Bishopthorpe Roa'!$A$12:$A$130,"&gt;="&amp;Diagram!$O38,'J1 A - (North) Bishopthorpe Roa'!$A$12:$A$130,"&lt;"&amp;Diagram!$P38),SUMIFS(INDIRECT(ADDRESS(12,3+18*0+(9),,,"J1 A - (North) Bishopthorpe Roa")&amp;":"&amp;ADDRESS(130,3+18*0+(9))),'J1 A - (North) Bishopthorpe Roa'!$A$12:$A$130,"&gt;="&amp;Diagram!$O38,'J1 A - (North) Bishopthorpe Roa'!$A$12:$A$130,"&lt;"&amp;Diagram!$P38)))</f>
        <v>2</v>
      </c>
      <c r="AL38" s="42">
        <f ca="1">IF(OR($I$10="",$O38="",$P38="",$J$36&lt;&gt;"Yes"),0,IF($K$10=0,SUMIFS(INDIRECT(ADDRESS(12,3+18*1+(1),,,"J1 A - (North) Bishopthorpe Roa")&amp;":"&amp;ADDRESS(130,3+18*1+(1))),'J1 A - (North) Bishopthorpe Roa'!$A$12:$A$130,"&gt;="&amp;Diagram!$O38,'J1 A - (North) Bishopthorpe Roa'!$A$12:$A$130,"&lt;"&amp;Diagram!$P38),SUMIFS(INDIRECT(ADDRESS(12,3+18*1+(9),,,"J1 A - (North) Bishopthorpe Roa")&amp;":"&amp;ADDRESS(130,3+18*1+(9))),'J1 A - (North) Bishopthorpe Roa'!$A$12:$A$130,"&gt;="&amp;Diagram!$O38,'J1 A - (North) Bishopthorpe Roa'!$A$12:$A$130,"&lt;"&amp;Diagram!$P38)))</f>
        <v>31</v>
      </c>
      <c r="AM38" s="42">
        <f ca="1">IF(OR($I$10="",$O38="",$P38="",$J$36&lt;&gt;"Yes"),0,IF($K$10=0,SUMIFS(INDIRECT(ADDRESS(12,3+18*2+(1),,,"J1 A - (North) Bishopthorpe Roa")&amp;":"&amp;ADDRESS(130,3+18*2+(1))),'J1 A - (North) Bishopthorpe Roa'!$A$12:$A$130,"&gt;="&amp;Diagram!$O38,'J1 A - (North) Bishopthorpe Roa'!$A$12:$A$130,"&lt;"&amp;Diagram!$P38),SUMIFS(INDIRECT(ADDRESS(12,3+18*2+(9),,,"J1 A - (North) Bishopthorpe Roa")&amp;":"&amp;ADDRESS(130,3+18*2+(9))),'J1 A - (North) Bishopthorpe Roa'!$A$12:$A$130,"&gt;="&amp;Diagram!$O38,'J1 A - (North) Bishopthorpe Roa'!$A$12:$A$130,"&lt;"&amp;Diagram!$P38)))</f>
        <v>2</v>
      </c>
      <c r="AN38" s="42">
        <f ca="1">IF(OR($I$10="",$O38="",$P38="",$J$36&lt;&gt;"Yes"),0,IF($K$10=0,SUMIFS(INDIRECT(ADDRESS(12,3+18*2+(1),,,"J1 B - Butcher Terrace")&amp;":"&amp;ADDRESS(130,3+18*2+(1))),'J1 B - Butcher Terrace'!$A$12:$A$130,"&gt;="&amp;Diagram!$O38,'J1 B - Butcher Terrace'!$A$12:$A$130,"&lt;"&amp;Diagram!$P38),SUMIFS(INDIRECT(ADDRESS(12,3+18*2+(9),,,"J1 B - Butcher Terrace")&amp;":"&amp;ADDRESS(130,3+18*2+(9))),'J1 B - Butcher Terrace'!$A$12:$A$130,"&gt;="&amp;Diagram!$O38,'J1 B - Butcher Terrace'!$A$12:$A$130,"&lt;"&amp;Diagram!$P38)))</f>
        <v>5</v>
      </c>
      <c r="AO38" s="42">
        <f ca="1">IF(OR($I$10="",$O38="",$P38="",$J$36&lt;&gt;"Yes"),0,IF($K$10=0,SUMIFS(INDIRECT(ADDRESS(12,3+18*3+(1),,,"J1 B - Butcher Terrace")&amp;":"&amp;ADDRESS(130,3+18*3+(1))),'J1 B - Butcher Terrace'!$A$12:$A$130,"&gt;="&amp;Diagram!$O38,'J1 B - Butcher Terrace'!$A$12:$A$130,"&lt;"&amp;Diagram!$P38),SUMIFS(INDIRECT(ADDRESS(12,3+18*3+(9),,,"J1 B - Butcher Terrace")&amp;":"&amp;ADDRESS(130,3+18*3+(9))),'J1 B - Butcher Terrace'!$A$12:$A$130,"&gt;="&amp;Diagram!$O38,'J1 B - Butcher Terrace'!$A$12:$A$130,"&lt;"&amp;Diagram!$P38)))</f>
        <v>0</v>
      </c>
      <c r="AP38" s="42">
        <f ca="1">IF(OR($I$10="",$O38="",$P38="",$J$36&lt;&gt;"Yes"),0,IF($K$10=0,SUMIFS(INDIRECT(ADDRESS(12,3+18*0+(1),,,"J1 B - Butcher Terrace")&amp;":"&amp;ADDRESS(130,3+18*0+(1))),'J1 B - Butcher Terrace'!$A$12:$A$130,"&gt;="&amp;Diagram!$O38,'J1 B - Butcher Terrace'!$A$12:$A$130,"&lt;"&amp;Diagram!$P38),SUMIFS(INDIRECT(ADDRESS(12,3+18*0+(9),,,"J1 B - Butcher Terrace")&amp;":"&amp;ADDRESS(130,3+18*0+(9))),'J1 B - Butcher Terrace'!$A$12:$A$130,"&gt;="&amp;Diagram!$O38,'J1 B - Butcher Terrace'!$A$12:$A$130,"&lt;"&amp;Diagram!$P38)))</f>
        <v>3</v>
      </c>
      <c r="AQ38" s="42">
        <f ca="1">IF(OR($I$10="",$O38="",$P38="",$J$36&lt;&gt;"Yes"),0,IF($K$10=0,SUMIFS(INDIRECT(ADDRESS(12,3+18*1+(1),,,"J1 B - Butcher Terrace")&amp;":"&amp;ADDRESS(130,3+18*1+(1))),'J1 B - Butcher Terrace'!$A$12:$A$130,"&gt;="&amp;Diagram!$O38,'J1 B - Butcher Terrace'!$A$12:$A$130,"&lt;"&amp;Diagram!$P38),SUMIFS(INDIRECT(ADDRESS(12,3+18*1+(9),,,"J1 B - Butcher Terrace")&amp;":"&amp;ADDRESS(130,3+18*1+(9))),'J1 B - Butcher Terrace'!$A$12:$A$130,"&gt;="&amp;Diagram!$O38,'J1 B - Butcher Terrace'!$A$12:$A$130,"&lt;"&amp;Diagram!$P38)))</f>
        <v>1</v>
      </c>
      <c r="AR38" s="42">
        <f ca="1">IF(OR($I$10="",$O38="",$P38="",$J$36&lt;&gt;"Yes"),0,IF($K$10=0,SUMIFS(INDIRECT(ADDRESS(12,3+18*1+(1),,,"J1 C - (South) Bishopthorpe Roa")&amp;":"&amp;ADDRESS(130,3+18*1+(1))),'J1 C - (South) Bishopthorpe Roa'!$A$12:$A$130,"&gt;="&amp;Diagram!$O38,'J1 C - (South) Bishopthorpe Roa'!$A$12:$A$130,"&lt;"&amp;Diagram!$P38),SUMIFS(INDIRECT(ADDRESS(12,3+18*1+(9),,,"J1 C - (South) Bishopthorpe Roa")&amp;":"&amp;ADDRESS(130,3+18*1+(9))),'J1 C - (South) Bishopthorpe Roa'!$A$12:$A$130,"&gt;="&amp;Diagram!$O38,'J1 C - (South) Bishopthorpe Roa'!$A$12:$A$130,"&lt;"&amp;Diagram!$P38)))</f>
        <v>19</v>
      </c>
      <c r="AS38" s="42">
        <f ca="1">IF(OR($I$10="",$O38="",$P38="",$J$36&lt;&gt;"Yes"),0,IF($K$10=0,SUMIFS(INDIRECT(ADDRESS(12,3+18*2+(1),,,"J1 C - (South) Bishopthorpe Roa")&amp;":"&amp;ADDRESS(130,3+18*2+(1))),'J1 C - (South) Bishopthorpe Roa'!$A$12:$A$130,"&gt;="&amp;Diagram!$O38,'J1 C - (South) Bishopthorpe Roa'!$A$12:$A$130,"&lt;"&amp;Diagram!$P38),SUMIFS(INDIRECT(ADDRESS(12,3+18*2+(9),,,"J1 C - (South) Bishopthorpe Roa")&amp;":"&amp;ADDRESS(130,3+18*2+(9))),'J1 C - (South) Bishopthorpe Roa'!$A$12:$A$130,"&gt;="&amp;Diagram!$O38,'J1 C - (South) Bishopthorpe Roa'!$A$12:$A$130,"&lt;"&amp;Diagram!$P38)))</f>
        <v>0</v>
      </c>
      <c r="AT38" s="42">
        <f ca="1">IF(OR($I$10="",$O38="",$P38="",$J$36&lt;&gt;"Yes"),0,IF($K$10=0,SUMIFS(INDIRECT(ADDRESS(12,3+18*3+(1),,,"J1 C - (South) Bishopthorpe Roa")&amp;":"&amp;ADDRESS(130,3+18*3+(1))),'J1 C - (South) Bishopthorpe Roa'!$A$12:$A$130,"&gt;="&amp;Diagram!$O38,'J1 C - (South) Bishopthorpe Roa'!$A$12:$A$130,"&lt;"&amp;Diagram!$P38),SUMIFS(INDIRECT(ADDRESS(12,3+18*3+(9),,,"J1 C - (South) Bishopthorpe Roa")&amp;":"&amp;ADDRESS(130,3+18*3+(9))),'J1 C - (South) Bishopthorpe Roa'!$A$12:$A$130,"&gt;="&amp;Diagram!$O38,'J1 C - (South) Bishopthorpe Roa'!$A$12:$A$130,"&lt;"&amp;Diagram!$P38)))</f>
        <v>0</v>
      </c>
      <c r="AU38" s="42">
        <f ca="1">IF(OR($I$10="",$O38="",$P38="",$J$36&lt;&gt;"Yes"),0,IF($K$10=0,SUMIFS(INDIRECT(ADDRESS(12,3+18*0+(1),,,"J1 C - (South) Bishopthorpe Roa")&amp;":"&amp;ADDRESS(130,3+18*0+(1))),'J1 C - (South) Bishopthorpe Roa'!$A$12:$A$130,"&gt;="&amp;Diagram!$O38,'J1 C - (South) Bishopthorpe Roa'!$A$12:$A$130,"&lt;"&amp;Diagram!$P38),SUMIFS(INDIRECT(ADDRESS(12,3+18*0+(9),,,"J1 C - (South) Bishopthorpe Roa")&amp;":"&amp;ADDRESS(130,3+18*0+(9))),'J1 C - (South) Bishopthorpe Roa'!$A$12:$A$130,"&gt;="&amp;Diagram!$O38,'J1 C - (South) Bishopthorpe Roa'!$A$12:$A$130,"&lt;"&amp;Diagram!$P38)))</f>
        <v>1</v>
      </c>
      <c r="AV38" s="42">
        <f ca="1">IF(OR($I$10="",$O38="",$P38="",$J$36&lt;&gt;"Yes"),0,IF($K$10=0,SUMIFS(INDIRECT(ADDRESS(12,3+18*0+(1),,,"J1 D - South Bank Avenue")&amp;":"&amp;ADDRESS(130,3+18*0+(1))),'J1 D - South Bank Avenue'!$A$12:$A$130,"&gt;="&amp;Diagram!$O38,'J1 D - South Bank Avenue'!$A$12:$A$130,"&lt;"&amp;Diagram!$P38),SUMIFS(INDIRECT(ADDRESS(12,3+18*0+(9),,,"J1 D - South Bank Avenue")&amp;":"&amp;ADDRESS(130,3+18*0+(9))),'J1 D - South Bank Avenue'!$A$12:$A$130,"&gt;="&amp;Diagram!$O38,'J1 D - South Bank Avenue'!$A$12:$A$130,"&lt;"&amp;Diagram!$P38)))</f>
        <v>6</v>
      </c>
      <c r="AW38" s="42">
        <f ca="1">IF(OR($I$10="",$O38="",$P38="",$J$36&lt;&gt;"Yes"),0,IF($K$10=0,SUMIFS(INDIRECT(ADDRESS(12,3+18*1+(1),,,"J1 D - South Bank Avenue")&amp;":"&amp;ADDRESS(130,3+18*1+(1))),'J1 D - South Bank Avenue'!$A$12:$A$130,"&gt;="&amp;Diagram!$O38,'J1 D - South Bank Avenue'!$A$12:$A$130,"&lt;"&amp;Diagram!$P38),SUMIFS(INDIRECT(ADDRESS(12,3+18*1+(9),,,"J1 D - South Bank Avenue")&amp;":"&amp;ADDRESS(130,3+18*1+(9))),'J1 D - South Bank Avenue'!$A$12:$A$130,"&gt;="&amp;Diagram!$O38,'J1 D - South Bank Avenue'!$A$12:$A$130,"&lt;"&amp;Diagram!$P38)))</f>
        <v>0</v>
      </c>
      <c r="AX38" s="42">
        <f ca="1">IF(OR($I$10="",$O38="",$P38="",$J$36&lt;&gt;"Yes"),0,IF($K$10=0,SUMIFS(INDIRECT(ADDRESS(12,3+18*2+(1),,,"J1 D - South Bank Avenue")&amp;":"&amp;ADDRESS(130,3+18*2+(1))),'J1 D - South Bank Avenue'!$A$12:$A$130,"&gt;="&amp;Diagram!$O38,'J1 D - South Bank Avenue'!$A$12:$A$130,"&lt;"&amp;Diagram!$P38),SUMIFS(INDIRECT(ADDRESS(12,3+18*2+(9),,,"J1 D - South Bank Avenue")&amp;":"&amp;ADDRESS(130,3+18*2+(9))),'J1 D - South Bank Avenue'!$A$12:$A$130,"&gt;="&amp;Diagram!$O38,'J1 D - South Bank Avenue'!$A$12:$A$130,"&lt;"&amp;Diagram!$P38)))</f>
        <v>6</v>
      </c>
      <c r="AY38" s="42">
        <f ca="1">IF(OR($I$10="",$O38="",$P38="",$J$36&lt;&gt;"Yes"),0,IF($K$10=0,SUMIFS(INDIRECT(ADDRESS(12,3+18*3+(1),,,"J1 D - South Bank Avenue")&amp;":"&amp;ADDRESS(130,3+18*3+(1))),'J1 D - South Bank Avenue'!$A$12:$A$130,"&gt;="&amp;Diagram!$O38,'J1 D - South Bank Avenue'!$A$12:$A$130,"&lt;"&amp;Diagram!$P38),SUMIFS(INDIRECT(ADDRESS(12,3+18*3+(9),,,"J1 D - South Bank Avenue")&amp;":"&amp;ADDRESS(130,3+18*3+(9))),'J1 D - South Bank Avenue'!$A$12:$A$130,"&gt;="&amp;Diagram!$O38,'J1 D - South Bank Avenue'!$A$12:$A$130,"&lt;"&amp;Diagram!$P38)))</f>
        <v>0</v>
      </c>
      <c r="AZ38" s="42">
        <f t="shared" ca="1" si="3"/>
        <v>12</v>
      </c>
      <c r="BA38" s="42">
        <f ca="1">IF(OR($I$10="",$O38="",$P38="",$J$37&lt;&gt;"Yes"),0,IF($K$10=0,SUMIFS(INDIRECT(ADDRESS(12,3+18*3+(2),,,"J1 A - (North) Bishopthorpe Roa")&amp;":"&amp;ADDRESS(130,3+18*3+(2))),'J1 A - (North) Bishopthorpe Roa'!$A$12:$A$130,"&gt;="&amp;Diagram!$O38,'J1 A - (North) Bishopthorpe Roa'!$A$12:$A$130,"&lt;"&amp;Diagram!$P38),SUMIFS(INDIRECT(ADDRESS(12,3+18*3+(10),,,"J1 A - (North) Bishopthorpe Roa")&amp;":"&amp;ADDRESS(130,3+18*3+(10))),'J1 A - (North) Bishopthorpe Roa'!$A$12:$A$130,"&gt;="&amp;Diagram!$O38,'J1 A - (North) Bishopthorpe Roa'!$A$12:$A$130,"&lt;"&amp;Diagram!$P38)))</f>
        <v>0</v>
      </c>
      <c r="BB38" s="42">
        <f ca="1">IF(OR($I$10="",$O38="",$P38="",$J$37&lt;&gt;"Yes"),0,IF($K$10=0,SUMIFS(INDIRECT(ADDRESS(12,3+18*0+(2),,,"J1 A - (North) Bishopthorpe Roa")&amp;":"&amp;ADDRESS(130,3+18*0+(2))),'J1 A - (North) Bishopthorpe Roa'!$A$12:$A$130,"&gt;="&amp;Diagram!$O38,'J1 A - (North) Bishopthorpe Roa'!$A$12:$A$130,"&lt;"&amp;Diagram!$P38),SUMIFS(INDIRECT(ADDRESS(12,3+18*0+(10),,,"J1 A - (North) Bishopthorpe Roa")&amp;":"&amp;ADDRESS(130,3+18*0+(10))),'J1 A - (North) Bishopthorpe Roa'!$A$12:$A$130,"&gt;="&amp;Diagram!$O38,'J1 A - (North) Bishopthorpe Roa'!$A$12:$A$130,"&lt;"&amp;Diagram!$P38)))</f>
        <v>2</v>
      </c>
      <c r="BC38" s="42">
        <f ca="1">IF(OR($I$10="",$O38="",$P38="",$J$37&lt;&gt;"Yes"),0,IF($K$10=0,SUMIFS(INDIRECT(ADDRESS(12,3+18*1+(2),,,"J1 A - (North) Bishopthorpe Roa")&amp;":"&amp;ADDRESS(130,3+18*1+(2))),'J1 A - (North) Bishopthorpe Roa'!$A$12:$A$130,"&gt;="&amp;Diagram!$O38,'J1 A - (North) Bishopthorpe Roa'!$A$12:$A$130,"&lt;"&amp;Diagram!$P38),SUMIFS(INDIRECT(ADDRESS(12,3+18*1+(10),,,"J1 A - (North) Bishopthorpe Roa")&amp;":"&amp;ADDRESS(130,3+18*1+(10))),'J1 A - (North) Bishopthorpe Roa'!$A$12:$A$130,"&gt;="&amp;Diagram!$O38,'J1 A - (North) Bishopthorpe Roa'!$A$12:$A$130,"&lt;"&amp;Diagram!$P38)))</f>
        <v>2</v>
      </c>
      <c r="BD38" s="42">
        <f ca="1">IF(OR($I$10="",$O38="",$P38="",$J$37&lt;&gt;"Yes"),0,IF($K$10=0,SUMIFS(INDIRECT(ADDRESS(12,3+18*2+(2),,,"J1 A - (North) Bishopthorpe Roa")&amp;":"&amp;ADDRESS(130,3+18*2+(2))),'J1 A - (North) Bishopthorpe Roa'!$A$12:$A$130,"&gt;="&amp;Diagram!$O38,'J1 A - (North) Bishopthorpe Roa'!$A$12:$A$130,"&lt;"&amp;Diagram!$P38),SUMIFS(INDIRECT(ADDRESS(12,3+18*2+(10),,,"J1 A - (North) Bishopthorpe Roa")&amp;":"&amp;ADDRESS(130,3+18*2+(10))),'J1 A - (North) Bishopthorpe Roa'!$A$12:$A$130,"&gt;="&amp;Diagram!$O38,'J1 A - (North) Bishopthorpe Roa'!$A$12:$A$130,"&lt;"&amp;Diagram!$P38)))</f>
        <v>0</v>
      </c>
      <c r="BE38" s="42">
        <f ca="1">IF(OR($I$10="",$O38="",$P38="",$J$37&lt;&gt;"Yes"),0,IF($K$10=0,SUMIFS(INDIRECT(ADDRESS(12,3+18*2+(2),,,"J1 B - Butcher Terrace")&amp;":"&amp;ADDRESS(130,3+18*2+(2))),'J1 B - Butcher Terrace'!$A$12:$A$130,"&gt;="&amp;Diagram!$O38,'J1 B - Butcher Terrace'!$A$12:$A$130,"&lt;"&amp;Diagram!$P38),SUMIFS(INDIRECT(ADDRESS(12,3+18*2+(10),,,"J1 B - Butcher Terrace")&amp;":"&amp;ADDRESS(130,3+18*2+(10))),'J1 B - Butcher Terrace'!$A$12:$A$130,"&gt;="&amp;Diagram!$O38,'J1 B - Butcher Terrace'!$A$12:$A$130,"&lt;"&amp;Diagram!$P38)))</f>
        <v>3</v>
      </c>
      <c r="BF38" s="42">
        <f ca="1">IF(OR($I$10="",$O38="",$P38="",$J$37&lt;&gt;"Yes"),0,IF($K$10=0,SUMIFS(INDIRECT(ADDRESS(12,3+18*3+(2),,,"J1 B - Butcher Terrace")&amp;":"&amp;ADDRESS(130,3+18*3+(2))),'J1 B - Butcher Terrace'!$A$12:$A$130,"&gt;="&amp;Diagram!$O38,'J1 B - Butcher Terrace'!$A$12:$A$130,"&lt;"&amp;Diagram!$P38),SUMIFS(INDIRECT(ADDRESS(12,3+18*3+(10),,,"J1 B - Butcher Terrace")&amp;":"&amp;ADDRESS(130,3+18*3+(10))),'J1 B - Butcher Terrace'!$A$12:$A$130,"&gt;="&amp;Diagram!$O38,'J1 B - Butcher Terrace'!$A$12:$A$130,"&lt;"&amp;Diagram!$P38)))</f>
        <v>0</v>
      </c>
      <c r="BG38" s="42">
        <f ca="1">IF(OR($I$10="",$O38="",$P38="",$J$37&lt;&gt;"Yes"),0,IF($K$10=0,SUMIFS(INDIRECT(ADDRESS(12,3+18*0+(2),,,"J1 B - Butcher Terrace")&amp;":"&amp;ADDRESS(130,3+18*0+(2))),'J1 B - Butcher Terrace'!$A$12:$A$130,"&gt;="&amp;Diagram!$O38,'J1 B - Butcher Terrace'!$A$12:$A$130,"&lt;"&amp;Diagram!$P38),SUMIFS(INDIRECT(ADDRESS(12,3+18*0+(10),,,"J1 B - Butcher Terrace")&amp;":"&amp;ADDRESS(130,3+18*0+(10))),'J1 B - Butcher Terrace'!$A$12:$A$130,"&gt;="&amp;Diagram!$O38,'J1 B - Butcher Terrace'!$A$12:$A$130,"&lt;"&amp;Diagram!$P38)))</f>
        <v>0</v>
      </c>
      <c r="BH38" s="42">
        <f ca="1">IF(OR($I$10="",$O38="",$P38="",$J$37&lt;&gt;"Yes"),0,IF($K$10=0,SUMIFS(INDIRECT(ADDRESS(12,3+18*1+(2),,,"J1 B - Butcher Terrace")&amp;":"&amp;ADDRESS(130,3+18*1+(2))),'J1 B - Butcher Terrace'!$A$12:$A$130,"&gt;="&amp;Diagram!$O38,'J1 B - Butcher Terrace'!$A$12:$A$130,"&lt;"&amp;Diagram!$P38),SUMIFS(INDIRECT(ADDRESS(12,3+18*1+(10),,,"J1 B - Butcher Terrace")&amp;":"&amp;ADDRESS(130,3+18*1+(10))),'J1 B - Butcher Terrace'!$A$12:$A$130,"&gt;="&amp;Diagram!$O38,'J1 B - Butcher Terrace'!$A$12:$A$130,"&lt;"&amp;Diagram!$P38)))</f>
        <v>0</v>
      </c>
      <c r="BI38" s="42">
        <f ca="1">IF(OR($I$10="",$O38="",$P38="",$J$37&lt;&gt;"Yes"),0,IF($K$10=0,SUMIFS(INDIRECT(ADDRESS(12,3+18*1+(2),,,"J1 C - (South) Bishopthorpe Roa")&amp;":"&amp;ADDRESS(130,3+18*1+(2))),'J1 C - (South) Bishopthorpe Roa'!$A$12:$A$130,"&gt;="&amp;Diagram!$O38,'J1 C - (South) Bishopthorpe Roa'!$A$12:$A$130,"&lt;"&amp;Diagram!$P38),SUMIFS(INDIRECT(ADDRESS(12,3+18*1+(10),,,"J1 C - (South) Bishopthorpe Roa")&amp;":"&amp;ADDRESS(130,3+18*1+(10))),'J1 C - (South) Bishopthorpe Roa'!$A$12:$A$130,"&gt;="&amp;Diagram!$O38,'J1 C - (South) Bishopthorpe Roa'!$A$12:$A$130,"&lt;"&amp;Diagram!$P38)))</f>
        <v>3</v>
      </c>
      <c r="BJ38" s="42">
        <f ca="1">IF(OR($I$10="",$O38="",$P38="",$J$37&lt;&gt;"Yes"),0,IF($K$10=0,SUMIFS(INDIRECT(ADDRESS(12,3+18*2+(2),,,"J1 C - (South) Bishopthorpe Roa")&amp;":"&amp;ADDRESS(130,3+18*2+(2))),'J1 C - (South) Bishopthorpe Roa'!$A$12:$A$130,"&gt;="&amp;Diagram!$O38,'J1 C - (South) Bishopthorpe Roa'!$A$12:$A$130,"&lt;"&amp;Diagram!$P38),SUMIFS(INDIRECT(ADDRESS(12,3+18*2+(10),,,"J1 C - (South) Bishopthorpe Roa")&amp;":"&amp;ADDRESS(130,3+18*2+(10))),'J1 C - (South) Bishopthorpe Roa'!$A$12:$A$130,"&gt;="&amp;Diagram!$O38,'J1 C - (South) Bishopthorpe Roa'!$A$12:$A$130,"&lt;"&amp;Diagram!$P38)))</f>
        <v>0</v>
      </c>
      <c r="BK38" s="42">
        <f ca="1">IF(OR($I$10="",$O38="",$P38="",$J$37&lt;&gt;"Yes"),0,IF($K$10=0,SUMIFS(INDIRECT(ADDRESS(12,3+18*3+(2),,,"J1 C - (South) Bishopthorpe Roa")&amp;":"&amp;ADDRESS(130,3+18*3+(2))),'J1 C - (South) Bishopthorpe Roa'!$A$12:$A$130,"&gt;="&amp;Diagram!$O38,'J1 C - (South) Bishopthorpe Roa'!$A$12:$A$130,"&lt;"&amp;Diagram!$P38),SUMIFS(INDIRECT(ADDRESS(12,3+18*3+(10),,,"J1 C - (South) Bishopthorpe Roa")&amp;":"&amp;ADDRESS(130,3+18*3+(10))),'J1 C - (South) Bishopthorpe Roa'!$A$12:$A$130,"&gt;="&amp;Diagram!$O38,'J1 C - (South) Bishopthorpe Roa'!$A$12:$A$130,"&lt;"&amp;Diagram!$P38)))</f>
        <v>0</v>
      </c>
      <c r="BL38" s="42">
        <f ca="1">IF(OR($I$10="",$O38="",$P38="",$J$37&lt;&gt;"Yes"),0,IF($K$10=0,SUMIFS(INDIRECT(ADDRESS(12,3+18*0+(2),,,"J1 C - (South) Bishopthorpe Roa")&amp;":"&amp;ADDRESS(130,3+18*0+(2))),'J1 C - (South) Bishopthorpe Roa'!$A$12:$A$130,"&gt;="&amp;Diagram!$O38,'J1 C - (South) Bishopthorpe Roa'!$A$12:$A$130,"&lt;"&amp;Diagram!$P38),SUMIFS(INDIRECT(ADDRESS(12,3+18*0+(10),,,"J1 C - (South) Bishopthorpe Roa")&amp;":"&amp;ADDRESS(130,3+18*0+(10))),'J1 C - (South) Bishopthorpe Roa'!$A$12:$A$130,"&gt;="&amp;Diagram!$O38,'J1 C - (South) Bishopthorpe Roa'!$A$12:$A$130,"&lt;"&amp;Diagram!$P38)))</f>
        <v>2</v>
      </c>
      <c r="BM38" s="42">
        <f ca="1">IF(OR($I$10="",$O38="",$P38="",$J$37&lt;&gt;"Yes"),0,IF($K$10=0,SUMIFS(INDIRECT(ADDRESS(12,3+18*0+(2),,,"J1 D - South Bank Avenue")&amp;":"&amp;ADDRESS(130,3+18*0+(2))),'J1 D - South Bank Avenue'!$A$12:$A$130,"&gt;="&amp;Diagram!$O38,'J1 D - South Bank Avenue'!$A$12:$A$130,"&lt;"&amp;Diagram!$P38),SUMIFS(INDIRECT(ADDRESS(12,3+18*0+(10),,,"J1 D - South Bank Avenue")&amp;":"&amp;ADDRESS(130,3+18*0+(10))),'J1 D - South Bank Avenue'!$A$12:$A$130,"&gt;="&amp;Diagram!$O38,'J1 D - South Bank Avenue'!$A$12:$A$130,"&lt;"&amp;Diagram!$P38)))</f>
        <v>0</v>
      </c>
      <c r="BN38" s="42">
        <f ca="1">IF(OR($I$10="",$O38="",$P38="",$J$37&lt;&gt;"Yes"),0,IF($K$10=0,SUMIFS(INDIRECT(ADDRESS(12,3+18*1+(2),,,"J1 D - South Bank Avenue")&amp;":"&amp;ADDRESS(130,3+18*1+(2))),'J1 D - South Bank Avenue'!$A$12:$A$130,"&gt;="&amp;Diagram!$O38,'J1 D - South Bank Avenue'!$A$12:$A$130,"&lt;"&amp;Diagram!$P38),SUMIFS(INDIRECT(ADDRESS(12,3+18*1+(10),,,"J1 D - South Bank Avenue")&amp;":"&amp;ADDRESS(130,3+18*1+(10))),'J1 D - South Bank Avenue'!$A$12:$A$130,"&gt;="&amp;Diagram!$O38,'J1 D - South Bank Avenue'!$A$12:$A$130,"&lt;"&amp;Diagram!$P38)))</f>
        <v>0</v>
      </c>
      <c r="BO38" s="42">
        <f ca="1">IF(OR($I$10="",$O38="",$P38="",$J$37&lt;&gt;"Yes"),0,IF($K$10=0,SUMIFS(INDIRECT(ADDRESS(12,3+18*2+(2),,,"J1 D - South Bank Avenue")&amp;":"&amp;ADDRESS(130,3+18*2+(2))),'J1 D - South Bank Avenue'!$A$12:$A$130,"&gt;="&amp;Diagram!$O38,'J1 D - South Bank Avenue'!$A$12:$A$130,"&lt;"&amp;Diagram!$P38),SUMIFS(INDIRECT(ADDRESS(12,3+18*2+(10),,,"J1 D - South Bank Avenue")&amp;":"&amp;ADDRESS(130,3+18*2+(10))),'J1 D - South Bank Avenue'!$A$12:$A$130,"&gt;="&amp;Diagram!$O38,'J1 D - South Bank Avenue'!$A$12:$A$130,"&lt;"&amp;Diagram!$P38)))</f>
        <v>0</v>
      </c>
      <c r="BP38" s="42">
        <f ca="1">IF(OR($I$10="",$O38="",$P38="",$J$37&lt;&gt;"Yes"),0,IF($K$10=0,SUMIFS(INDIRECT(ADDRESS(12,3+18*3+(2),,,"J1 D - South Bank Avenue")&amp;":"&amp;ADDRESS(130,3+18*3+(2))),'J1 D - South Bank Avenue'!$A$12:$A$130,"&gt;="&amp;Diagram!$O38,'J1 D - South Bank Avenue'!$A$12:$A$130,"&lt;"&amp;Diagram!$P38),SUMIFS(INDIRECT(ADDRESS(12,3+18*3+(10),,,"J1 D - South Bank Avenue")&amp;":"&amp;ADDRESS(130,3+18*3+(10))),'J1 D - South Bank Avenue'!$A$12:$A$130,"&gt;="&amp;Diagram!$O38,'J1 D - South Bank Avenue'!$A$12:$A$130,"&lt;"&amp;Diagram!$P38)))</f>
        <v>0</v>
      </c>
      <c r="BQ38" s="42">
        <f t="shared" ca="1" si="4"/>
        <v>2</v>
      </c>
      <c r="BR38" s="42">
        <f ca="1">IF(OR($I$10="",$O38="",$P38="",$J$38&lt;&gt;"Yes"),0,IF($K$10=0,SUMIFS(INDIRECT(ADDRESS(12,3+18*3+(3),,,"J1 A - (North) Bishopthorpe Roa")&amp;":"&amp;ADDRESS(130,3+18*3+(3))),'J1 A - (North) Bishopthorpe Roa'!$A$12:$A$130,"&gt;="&amp;Diagram!$O38,'J1 A - (North) Bishopthorpe Roa'!$A$12:$A$130,"&lt;"&amp;Diagram!$P38),SUMIFS(INDIRECT(ADDRESS(12,3+18*3+(11),,,"J1 A - (North) Bishopthorpe Roa")&amp;":"&amp;ADDRESS(130,3+18*3+(11))),'J1 A - (North) Bishopthorpe Roa'!$A$12:$A$130,"&gt;="&amp;Diagram!$O38,'J1 A - (North) Bishopthorpe Roa'!$A$12:$A$130,"&lt;"&amp;Diagram!$P38)))</f>
        <v>0</v>
      </c>
      <c r="BS38" s="42">
        <f ca="1">IF(OR($I$10="",$O38="",$P38="",$J$38&lt;&gt;"Yes"),0,IF($K$10=0,SUMIFS(INDIRECT(ADDRESS(12,3+18*0+(3),,,"J1 A - (North) Bishopthorpe Roa")&amp;":"&amp;ADDRESS(130,3+18*0+(3))),'J1 A - (North) Bishopthorpe Roa'!$A$12:$A$130,"&gt;="&amp;Diagram!$O38,'J1 A - (North) Bishopthorpe Roa'!$A$12:$A$130,"&lt;"&amp;Diagram!$P38),SUMIFS(INDIRECT(ADDRESS(12,3+18*0+(11),,,"J1 A - (North) Bishopthorpe Roa")&amp;":"&amp;ADDRESS(130,3+18*0+(11))),'J1 A - (North) Bishopthorpe Roa'!$A$12:$A$130,"&gt;="&amp;Diagram!$O38,'J1 A - (North) Bishopthorpe Roa'!$A$12:$A$130,"&lt;"&amp;Diagram!$P38)))</f>
        <v>0</v>
      </c>
      <c r="BT38" s="42">
        <f ca="1">IF(OR($I$10="",$O38="",$P38="",$J$38&lt;&gt;"Yes"),0,IF($K$10=0,SUMIFS(INDIRECT(ADDRESS(12,3+18*1+(3),,,"J1 A - (North) Bishopthorpe Roa")&amp;":"&amp;ADDRESS(130,3+18*1+(3))),'J1 A - (North) Bishopthorpe Roa'!$A$12:$A$130,"&gt;="&amp;Diagram!$O38,'J1 A - (North) Bishopthorpe Roa'!$A$12:$A$130,"&lt;"&amp;Diagram!$P38),SUMIFS(INDIRECT(ADDRESS(12,3+18*1+(11),,,"J1 A - (North) Bishopthorpe Roa")&amp;":"&amp;ADDRESS(130,3+18*1+(11))),'J1 A - (North) Bishopthorpe Roa'!$A$12:$A$130,"&gt;="&amp;Diagram!$O38,'J1 A - (North) Bishopthorpe Roa'!$A$12:$A$130,"&lt;"&amp;Diagram!$P38)))</f>
        <v>1</v>
      </c>
      <c r="BU38" s="42">
        <f ca="1">IF(OR($I$10="",$O38="",$P38="",$J$38&lt;&gt;"Yes"),0,IF($K$10=0,SUMIFS(INDIRECT(ADDRESS(12,3+18*2+(3),,,"J1 A - (North) Bishopthorpe Roa")&amp;":"&amp;ADDRESS(130,3+18*2+(3))),'J1 A - (North) Bishopthorpe Roa'!$A$12:$A$130,"&gt;="&amp;Diagram!$O38,'J1 A - (North) Bishopthorpe Roa'!$A$12:$A$130,"&lt;"&amp;Diagram!$P38),SUMIFS(INDIRECT(ADDRESS(12,3+18*2+(11),,,"J1 A - (North) Bishopthorpe Roa")&amp;":"&amp;ADDRESS(130,3+18*2+(11))),'J1 A - (North) Bishopthorpe Roa'!$A$12:$A$130,"&gt;="&amp;Diagram!$O38,'J1 A - (North) Bishopthorpe Roa'!$A$12:$A$130,"&lt;"&amp;Diagram!$P38)))</f>
        <v>0</v>
      </c>
      <c r="BV38" s="42">
        <f ca="1">IF(OR($I$10="",$O38="",$P38="",$J$38&lt;&gt;"Yes"),0,IF($K$10=0,SUMIFS(INDIRECT(ADDRESS(12,3+18*2+(3),,,"J1 B - Butcher Terrace")&amp;":"&amp;ADDRESS(130,3+18*2+(3))),'J1 B - Butcher Terrace'!$A$12:$A$130,"&gt;="&amp;Diagram!$O38,'J1 B - Butcher Terrace'!$A$12:$A$130,"&lt;"&amp;Diagram!$P38),SUMIFS(INDIRECT(ADDRESS(12,3+18*2+(11),,,"J1 B - Butcher Terrace")&amp;":"&amp;ADDRESS(130,3+18*2+(11))),'J1 B - Butcher Terrace'!$A$12:$A$130,"&gt;="&amp;Diagram!$O38,'J1 B - Butcher Terrace'!$A$12:$A$130,"&lt;"&amp;Diagram!$P38)))</f>
        <v>0</v>
      </c>
      <c r="BW38" s="42">
        <f ca="1">IF(OR($I$10="",$O38="",$P38="",$J$38&lt;&gt;"Yes"),0,IF($K$10=0,SUMIFS(INDIRECT(ADDRESS(12,3+18*3+(3),,,"J1 B - Butcher Terrace")&amp;":"&amp;ADDRESS(130,3+18*3+(3))),'J1 B - Butcher Terrace'!$A$12:$A$130,"&gt;="&amp;Diagram!$O38,'J1 B - Butcher Terrace'!$A$12:$A$130,"&lt;"&amp;Diagram!$P38),SUMIFS(INDIRECT(ADDRESS(12,3+18*3+(11),,,"J1 B - Butcher Terrace")&amp;":"&amp;ADDRESS(130,3+18*3+(11))),'J1 B - Butcher Terrace'!$A$12:$A$130,"&gt;="&amp;Diagram!$O38,'J1 B - Butcher Terrace'!$A$12:$A$130,"&lt;"&amp;Diagram!$P38)))</f>
        <v>0</v>
      </c>
      <c r="BX38" s="42">
        <f ca="1">IF(OR($I$10="",$O38="",$P38="",$J$38&lt;&gt;"Yes"),0,IF($K$10=0,SUMIFS(INDIRECT(ADDRESS(12,3+18*0+(3),,,"J1 B - Butcher Terrace")&amp;":"&amp;ADDRESS(130,3+18*0+(3))),'J1 B - Butcher Terrace'!$A$12:$A$130,"&gt;="&amp;Diagram!$O38,'J1 B - Butcher Terrace'!$A$12:$A$130,"&lt;"&amp;Diagram!$P38),SUMIFS(INDIRECT(ADDRESS(12,3+18*0+(11),,,"J1 B - Butcher Terrace")&amp;":"&amp;ADDRESS(130,3+18*0+(11))),'J1 B - Butcher Terrace'!$A$12:$A$130,"&gt;="&amp;Diagram!$O38,'J1 B - Butcher Terrace'!$A$12:$A$130,"&lt;"&amp;Diagram!$P38)))</f>
        <v>0</v>
      </c>
      <c r="BY38" s="42">
        <f ca="1">IF(OR($I$10="",$O38="",$P38="",$J$38&lt;&gt;"Yes"),0,IF($K$10=0,SUMIFS(INDIRECT(ADDRESS(12,3+18*1+(3),,,"J1 B - Butcher Terrace")&amp;":"&amp;ADDRESS(130,3+18*1+(3))),'J1 B - Butcher Terrace'!$A$12:$A$130,"&gt;="&amp;Diagram!$O38,'J1 B - Butcher Terrace'!$A$12:$A$130,"&lt;"&amp;Diagram!$P38),SUMIFS(INDIRECT(ADDRESS(12,3+18*1+(11),,,"J1 B - Butcher Terrace")&amp;":"&amp;ADDRESS(130,3+18*1+(11))),'J1 B - Butcher Terrace'!$A$12:$A$130,"&gt;="&amp;Diagram!$O38,'J1 B - Butcher Terrace'!$A$12:$A$130,"&lt;"&amp;Diagram!$P38)))</f>
        <v>0</v>
      </c>
      <c r="BZ38" s="42">
        <f ca="1">IF(OR($I$10="",$O38="",$P38="",$J$38&lt;&gt;"Yes"),0,IF($K$10=0,SUMIFS(INDIRECT(ADDRESS(12,3+18*1+(3),,,"J1 C - (South) Bishopthorpe Roa")&amp;":"&amp;ADDRESS(130,3+18*1+(3))),'J1 C - (South) Bishopthorpe Roa'!$A$12:$A$130,"&gt;="&amp;Diagram!$O38,'J1 C - (South) Bishopthorpe Roa'!$A$12:$A$130,"&lt;"&amp;Diagram!$P38),SUMIFS(INDIRECT(ADDRESS(12,3+18*1+(11),,,"J1 C - (South) Bishopthorpe Roa")&amp;":"&amp;ADDRESS(130,3+18*1+(11))),'J1 C - (South) Bishopthorpe Roa'!$A$12:$A$130,"&gt;="&amp;Diagram!$O38,'J1 C - (South) Bishopthorpe Roa'!$A$12:$A$130,"&lt;"&amp;Diagram!$P38)))</f>
        <v>1</v>
      </c>
      <c r="CA38" s="42">
        <f ca="1">IF(OR($I$10="",$O38="",$P38="",$J$38&lt;&gt;"Yes"),0,IF($K$10=0,SUMIFS(INDIRECT(ADDRESS(12,3+18*2+(3),,,"J1 C - (South) Bishopthorpe Roa")&amp;":"&amp;ADDRESS(130,3+18*2+(3))),'J1 C - (South) Bishopthorpe Roa'!$A$12:$A$130,"&gt;="&amp;Diagram!$O38,'J1 C - (South) Bishopthorpe Roa'!$A$12:$A$130,"&lt;"&amp;Diagram!$P38),SUMIFS(INDIRECT(ADDRESS(12,3+18*2+(11),,,"J1 C - (South) Bishopthorpe Roa")&amp;":"&amp;ADDRESS(130,3+18*2+(11))),'J1 C - (South) Bishopthorpe Roa'!$A$12:$A$130,"&gt;="&amp;Diagram!$O38,'J1 C - (South) Bishopthorpe Roa'!$A$12:$A$130,"&lt;"&amp;Diagram!$P38)))</f>
        <v>0</v>
      </c>
      <c r="CB38" s="42">
        <f ca="1">IF(OR($I$10="",$O38="",$P38="",$J$38&lt;&gt;"Yes"),0,IF($K$10=0,SUMIFS(INDIRECT(ADDRESS(12,3+18*3+(3),,,"J1 C - (South) Bishopthorpe Roa")&amp;":"&amp;ADDRESS(130,3+18*3+(3))),'J1 C - (South) Bishopthorpe Roa'!$A$12:$A$130,"&gt;="&amp;Diagram!$O38,'J1 C - (South) Bishopthorpe Roa'!$A$12:$A$130,"&lt;"&amp;Diagram!$P38),SUMIFS(INDIRECT(ADDRESS(12,3+18*3+(11),,,"J1 C - (South) Bishopthorpe Roa")&amp;":"&amp;ADDRESS(130,3+18*3+(11))),'J1 C - (South) Bishopthorpe Roa'!$A$12:$A$130,"&gt;="&amp;Diagram!$O38,'J1 C - (South) Bishopthorpe Roa'!$A$12:$A$130,"&lt;"&amp;Diagram!$P38)))</f>
        <v>0</v>
      </c>
      <c r="CC38" s="42">
        <f ca="1">IF(OR($I$10="",$O38="",$P38="",$J$38&lt;&gt;"Yes"),0,IF($K$10=0,SUMIFS(INDIRECT(ADDRESS(12,3+18*0+(3),,,"J1 C - (South) Bishopthorpe Roa")&amp;":"&amp;ADDRESS(130,3+18*0+(3))),'J1 C - (South) Bishopthorpe Roa'!$A$12:$A$130,"&gt;="&amp;Diagram!$O38,'J1 C - (South) Bishopthorpe Roa'!$A$12:$A$130,"&lt;"&amp;Diagram!$P38),SUMIFS(INDIRECT(ADDRESS(12,3+18*0+(11),,,"J1 C - (South) Bishopthorpe Roa")&amp;":"&amp;ADDRESS(130,3+18*0+(11))),'J1 C - (South) Bishopthorpe Roa'!$A$12:$A$130,"&gt;="&amp;Diagram!$O38,'J1 C - (South) Bishopthorpe Roa'!$A$12:$A$130,"&lt;"&amp;Diagram!$P38)))</f>
        <v>0</v>
      </c>
      <c r="CD38" s="42">
        <f ca="1">IF(OR($I$10="",$O38="",$P38="",$J$38&lt;&gt;"Yes"),0,IF($K$10=0,SUMIFS(INDIRECT(ADDRESS(12,3+18*0+(3),,,"J1 D - South Bank Avenue")&amp;":"&amp;ADDRESS(130,3+18*0+(3))),'J1 D - South Bank Avenue'!$A$12:$A$130,"&gt;="&amp;Diagram!$O38,'J1 D - South Bank Avenue'!$A$12:$A$130,"&lt;"&amp;Diagram!$P38),SUMIFS(INDIRECT(ADDRESS(12,3+18*0+(11),,,"J1 D - South Bank Avenue")&amp;":"&amp;ADDRESS(130,3+18*0+(11))),'J1 D - South Bank Avenue'!$A$12:$A$130,"&gt;="&amp;Diagram!$O38,'J1 D - South Bank Avenue'!$A$12:$A$130,"&lt;"&amp;Diagram!$P38)))</f>
        <v>0</v>
      </c>
      <c r="CE38" s="42">
        <f ca="1">IF(OR($I$10="",$O38="",$P38="",$J$38&lt;&gt;"Yes"),0,IF($K$10=0,SUMIFS(INDIRECT(ADDRESS(12,3+18*1+(3),,,"J1 D - South Bank Avenue")&amp;":"&amp;ADDRESS(130,3+18*1+(3))),'J1 D - South Bank Avenue'!$A$12:$A$130,"&gt;="&amp;Diagram!$O38,'J1 D - South Bank Avenue'!$A$12:$A$130,"&lt;"&amp;Diagram!$P38),SUMIFS(INDIRECT(ADDRESS(12,3+18*1+(11),,,"J1 D - South Bank Avenue")&amp;":"&amp;ADDRESS(130,3+18*1+(11))),'J1 D - South Bank Avenue'!$A$12:$A$130,"&gt;="&amp;Diagram!$O38,'J1 D - South Bank Avenue'!$A$12:$A$130,"&lt;"&amp;Diagram!$P38)))</f>
        <v>0</v>
      </c>
      <c r="CF38" s="42">
        <f ca="1">IF(OR($I$10="",$O38="",$P38="",$J$38&lt;&gt;"Yes"),0,IF($K$10=0,SUMIFS(INDIRECT(ADDRESS(12,3+18*2+(3),,,"J1 D - South Bank Avenue")&amp;":"&amp;ADDRESS(130,3+18*2+(3))),'J1 D - South Bank Avenue'!$A$12:$A$130,"&gt;="&amp;Diagram!$O38,'J1 D - South Bank Avenue'!$A$12:$A$130,"&lt;"&amp;Diagram!$P38),SUMIFS(INDIRECT(ADDRESS(12,3+18*2+(11),,,"J1 D - South Bank Avenue")&amp;":"&amp;ADDRESS(130,3+18*2+(11))),'J1 D - South Bank Avenue'!$A$12:$A$130,"&gt;="&amp;Diagram!$O38,'J1 D - South Bank Avenue'!$A$12:$A$130,"&lt;"&amp;Diagram!$P38)))</f>
        <v>0</v>
      </c>
      <c r="CG38" s="42">
        <f ca="1">IF(OR($I$10="",$O38="",$P38="",$J$38&lt;&gt;"Yes"),0,IF($K$10=0,SUMIFS(INDIRECT(ADDRESS(12,3+18*3+(3),,,"J1 D - South Bank Avenue")&amp;":"&amp;ADDRESS(130,3+18*3+(3))),'J1 D - South Bank Avenue'!$A$12:$A$130,"&gt;="&amp;Diagram!$O38,'J1 D - South Bank Avenue'!$A$12:$A$130,"&lt;"&amp;Diagram!$P38),SUMIFS(INDIRECT(ADDRESS(12,3+18*3+(11),,,"J1 D - South Bank Avenue")&amp;":"&amp;ADDRESS(130,3+18*3+(11))),'J1 D - South Bank Avenue'!$A$12:$A$130,"&gt;="&amp;Diagram!$O38,'J1 D - South Bank Avenue'!$A$12:$A$130,"&lt;"&amp;Diagram!$P38)))</f>
        <v>0</v>
      </c>
      <c r="CH38" s="42">
        <f t="shared" ca="1" si="5"/>
        <v>7</v>
      </c>
      <c r="CI38" s="42">
        <f ca="1">IF(OR($I$10="",$O38="",$P38="",$J$39&lt;&gt;"Yes"),0,IF($K$10=0,SUMIFS(INDIRECT(ADDRESS(12,3+18*3+(4),,,"J1 A - (North) Bishopthorpe Roa")&amp;":"&amp;ADDRESS(130,3+18*3+(4))),'J1 A - (North) Bishopthorpe Roa'!$A$12:$A$130,"&gt;="&amp;Diagram!$O38,'J1 A - (North) Bishopthorpe Roa'!$A$12:$A$130,"&lt;"&amp;Diagram!$P38),SUMIFS(INDIRECT(ADDRESS(12,3+18*3+(12),,,"J1 A - (North) Bishopthorpe Roa")&amp;":"&amp;ADDRESS(130,3+18*3+(12))),'J1 A - (North) Bishopthorpe Roa'!$A$12:$A$130,"&gt;="&amp;Diagram!$O38,'J1 A - (North) Bishopthorpe Roa'!$A$12:$A$130,"&lt;"&amp;Diagram!$P38)))</f>
        <v>0</v>
      </c>
      <c r="CJ38" s="42">
        <f ca="1">IF(OR($I$10="",$O38="",$P38="",$J$39&lt;&gt;"Yes"),0,IF($K$10=0,SUMIFS(INDIRECT(ADDRESS(12,3+18*0+(4),,,"J1 A - (North) Bishopthorpe Roa")&amp;":"&amp;ADDRESS(130,3+18*0+(4))),'J1 A - (North) Bishopthorpe Roa'!$A$12:$A$130,"&gt;="&amp;Diagram!$O38,'J1 A - (North) Bishopthorpe Roa'!$A$12:$A$130,"&lt;"&amp;Diagram!$P38),SUMIFS(INDIRECT(ADDRESS(12,3+18*0+(12),,,"J1 A - (North) Bishopthorpe Roa")&amp;":"&amp;ADDRESS(130,3+18*0+(12))),'J1 A - (North) Bishopthorpe Roa'!$A$12:$A$130,"&gt;="&amp;Diagram!$O38,'J1 A - (North) Bishopthorpe Roa'!$A$12:$A$130,"&lt;"&amp;Diagram!$P38)))</f>
        <v>0</v>
      </c>
      <c r="CK38" s="42">
        <f ca="1">IF(OR($I$10="",$O38="",$P38="",$J$39&lt;&gt;"Yes"),0,IF($K$10=0,SUMIFS(INDIRECT(ADDRESS(12,3+18*1+(4),,,"J1 A - (North) Bishopthorpe Roa")&amp;":"&amp;ADDRESS(130,3+18*1+(4))),'J1 A - (North) Bishopthorpe Roa'!$A$12:$A$130,"&gt;="&amp;Diagram!$O38,'J1 A - (North) Bishopthorpe Roa'!$A$12:$A$130,"&lt;"&amp;Diagram!$P38),SUMIFS(INDIRECT(ADDRESS(12,3+18*1+(12),,,"J1 A - (North) Bishopthorpe Roa")&amp;":"&amp;ADDRESS(130,3+18*1+(12))),'J1 A - (North) Bishopthorpe Roa'!$A$12:$A$130,"&gt;="&amp;Diagram!$O38,'J1 A - (North) Bishopthorpe Roa'!$A$12:$A$130,"&lt;"&amp;Diagram!$P38)))</f>
        <v>4</v>
      </c>
      <c r="CL38" s="42">
        <f ca="1">IF(OR($I$10="",$O38="",$P38="",$J$39&lt;&gt;"Yes"),0,IF($K$10=0,SUMIFS(INDIRECT(ADDRESS(12,3+18*2+(4),,,"J1 A - (North) Bishopthorpe Roa")&amp;":"&amp;ADDRESS(130,3+18*2+(4))),'J1 A - (North) Bishopthorpe Roa'!$A$12:$A$130,"&gt;="&amp;Diagram!$O38,'J1 A - (North) Bishopthorpe Roa'!$A$12:$A$130,"&lt;"&amp;Diagram!$P38),SUMIFS(INDIRECT(ADDRESS(12,3+18*2+(12),,,"J1 A - (North) Bishopthorpe Roa")&amp;":"&amp;ADDRESS(130,3+18*2+(12))),'J1 A - (North) Bishopthorpe Roa'!$A$12:$A$130,"&gt;="&amp;Diagram!$O38,'J1 A - (North) Bishopthorpe Roa'!$A$12:$A$130,"&lt;"&amp;Diagram!$P38)))</f>
        <v>0</v>
      </c>
      <c r="CM38" s="42">
        <f ca="1">IF(OR($I$10="",$O38="",$P38="",$J$39&lt;&gt;"Yes"),0,IF($K$10=0,SUMIFS(INDIRECT(ADDRESS(12,3+18*2+(4),,,"J1 B - Butcher Terrace")&amp;":"&amp;ADDRESS(130,3+18*2+(4))),'J1 B - Butcher Terrace'!$A$12:$A$130,"&gt;="&amp;Diagram!$O38,'J1 B - Butcher Terrace'!$A$12:$A$130,"&lt;"&amp;Diagram!$P38),SUMIFS(INDIRECT(ADDRESS(12,3+18*2+(12),,,"J1 B - Butcher Terrace")&amp;":"&amp;ADDRESS(130,3+18*2+(12))),'J1 B - Butcher Terrace'!$A$12:$A$130,"&gt;="&amp;Diagram!$O38,'J1 B - Butcher Terrace'!$A$12:$A$130,"&lt;"&amp;Diagram!$P38)))</f>
        <v>0</v>
      </c>
      <c r="CN38" s="42">
        <f ca="1">IF(OR($I$10="",$O38="",$P38="",$J$39&lt;&gt;"Yes"),0,IF($K$10=0,SUMIFS(INDIRECT(ADDRESS(12,3+18*3+(4),,,"J1 B - Butcher Terrace")&amp;":"&amp;ADDRESS(130,3+18*3+(4))),'J1 B - Butcher Terrace'!$A$12:$A$130,"&gt;="&amp;Diagram!$O38,'J1 B - Butcher Terrace'!$A$12:$A$130,"&lt;"&amp;Diagram!$P38),SUMIFS(INDIRECT(ADDRESS(12,3+18*3+(12),,,"J1 B - Butcher Terrace")&amp;":"&amp;ADDRESS(130,3+18*3+(12))),'J1 B - Butcher Terrace'!$A$12:$A$130,"&gt;="&amp;Diagram!$O38,'J1 B - Butcher Terrace'!$A$12:$A$130,"&lt;"&amp;Diagram!$P38)))</f>
        <v>0</v>
      </c>
      <c r="CO38" s="42">
        <f ca="1">IF(OR($I$10="",$O38="",$P38="",$J$39&lt;&gt;"Yes"),0,IF($K$10=0,SUMIFS(INDIRECT(ADDRESS(12,3+18*0+(4),,,"J1 B - Butcher Terrace")&amp;":"&amp;ADDRESS(130,3+18*0+(4))),'J1 B - Butcher Terrace'!$A$12:$A$130,"&gt;="&amp;Diagram!$O38,'J1 B - Butcher Terrace'!$A$12:$A$130,"&lt;"&amp;Diagram!$P38),SUMIFS(INDIRECT(ADDRESS(12,3+18*0+(12),,,"J1 B - Butcher Terrace")&amp;":"&amp;ADDRESS(130,3+18*0+(12))),'J1 B - Butcher Terrace'!$A$12:$A$130,"&gt;="&amp;Diagram!$O38,'J1 B - Butcher Terrace'!$A$12:$A$130,"&lt;"&amp;Diagram!$P38)))</f>
        <v>0</v>
      </c>
      <c r="CP38" s="42">
        <f ca="1">IF(OR($I$10="",$O38="",$P38="",$J$39&lt;&gt;"Yes"),0,IF($K$10=0,SUMIFS(INDIRECT(ADDRESS(12,3+18*1+(4),,,"J1 B - Butcher Terrace")&amp;":"&amp;ADDRESS(130,3+18*1+(4))),'J1 B - Butcher Terrace'!$A$12:$A$130,"&gt;="&amp;Diagram!$O38,'J1 B - Butcher Terrace'!$A$12:$A$130,"&lt;"&amp;Diagram!$P38),SUMIFS(INDIRECT(ADDRESS(12,3+18*1+(12),,,"J1 B - Butcher Terrace")&amp;":"&amp;ADDRESS(130,3+18*1+(12))),'J1 B - Butcher Terrace'!$A$12:$A$130,"&gt;="&amp;Diagram!$O38,'J1 B - Butcher Terrace'!$A$12:$A$130,"&lt;"&amp;Diagram!$P38)))</f>
        <v>0</v>
      </c>
      <c r="CQ38" s="42">
        <f ca="1">IF(OR($I$10="",$O38="",$P38="",$J$39&lt;&gt;"Yes"),0,IF($K$10=0,SUMIFS(INDIRECT(ADDRESS(12,3+18*1+(4),,,"J1 C - (South) Bishopthorpe Roa")&amp;":"&amp;ADDRESS(130,3+18*1+(4))),'J1 C - (South) Bishopthorpe Roa'!$A$12:$A$130,"&gt;="&amp;Diagram!$O38,'J1 C - (South) Bishopthorpe Roa'!$A$12:$A$130,"&lt;"&amp;Diagram!$P38),SUMIFS(INDIRECT(ADDRESS(12,3+18*1+(12),,,"J1 C - (South) Bishopthorpe Roa")&amp;":"&amp;ADDRESS(130,3+18*1+(12))),'J1 C - (South) Bishopthorpe Roa'!$A$12:$A$130,"&gt;="&amp;Diagram!$O38,'J1 C - (South) Bishopthorpe Roa'!$A$12:$A$130,"&lt;"&amp;Diagram!$P38)))</f>
        <v>3</v>
      </c>
      <c r="CR38" s="42">
        <f ca="1">IF(OR($I$10="",$O38="",$P38="",$J$39&lt;&gt;"Yes"),0,IF($K$10=0,SUMIFS(INDIRECT(ADDRESS(12,3+18*2+(4),,,"J1 C - (South) Bishopthorpe Roa")&amp;":"&amp;ADDRESS(130,3+18*2+(4))),'J1 C - (South) Bishopthorpe Roa'!$A$12:$A$130,"&gt;="&amp;Diagram!$O38,'J1 C - (South) Bishopthorpe Roa'!$A$12:$A$130,"&lt;"&amp;Diagram!$P38),SUMIFS(INDIRECT(ADDRESS(12,3+18*2+(12),,,"J1 C - (South) Bishopthorpe Roa")&amp;":"&amp;ADDRESS(130,3+18*2+(12))),'J1 C - (South) Bishopthorpe Roa'!$A$12:$A$130,"&gt;="&amp;Diagram!$O38,'J1 C - (South) Bishopthorpe Roa'!$A$12:$A$130,"&lt;"&amp;Diagram!$P38)))</f>
        <v>0</v>
      </c>
      <c r="CS38" s="42">
        <f ca="1">IF(OR($I$10="",$O38="",$P38="",$J$39&lt;&gt;"Yes"),0,IF($K$10=0,SUMIFS(INDIRECT(ADDRESS(12,3+18*3+(4),,,"J1 C - (South) Bishopthorpe Roa")&amp;":"&amp;ADDRESS(130,3+18*3+(4))),'J1 C - (South) Bishopthorpe Roa'!$A$12:$A$130,"&gt;="&amp;Diagram!$O38,'J1 C - (South) Bishopthorpe Roa'!$A$12:$A$130,"&lt;"&amp;Diagram!$P38),SUMIFS(INDIRECT(ADDRESS(12,3+18*3+(12),,,"J1 C - (South) Bishopthorpe Roa")&amp;":"&amp;ADDRESS(130,3+18*3+(12))),'J1 C - (South) Bishopthorpe Roa'!$A$12:$A$130,"&gt;="&amp;Diagram!$O38,'J1 C - (South) Bishopthorpe Roa'!$A$12:$A$130,"&lt;"&amp;Diagram!$P38)))</f>
        <v>0</v>
      </c>
      <c r="CT38" s="42">
        <f ca="1">IF(OR($I$10="",$O38="",$P38="",$J$39&lt;&gt;"Yes"),0,IF($K$10=0,SUMIFS(INDIRECT(ADDRESS(12,3+18*0+(4),,,"J1 C - (South) Bishopthorpe Roa")&amp;":"&amp;ADDRESS(130,3+18*0+(4))),'J1 C - (South) Bishopthorpe Roa'!$A$12:$A$130,"&gt;="&amp;Diagram!$O38,'J1 C - (South) Bishopthorpe Roa'!$A$12:$A$130,"&lt;"&amp;Diagram!$P38),SUMIFS(INDIRECT(ADDRESS(12,3+18*0+(12),,,"J1 C - (South) Bishopthorpe Roa")&amp;":"&amp;ADDRESS(130,3+18*0+(12))),'J1 C - (South) Bishopthorpe Roa'!$A$12:$A$130,"&gt;="&amp;Diagram!$O38,'J1 C - (South) Bishopthorpe Roa'!$A$12:$A$130,"&lt;"&amp;Diagram!$P38)))</f>
        <v>0</v>
      </c>
      <c r="CU38" s="42">
        <f ca="1">IF(OR($I$10="",$O38="",$P38="",$J$39&lt;&gt;"Yes"),0,IF($K$10=0,SUMIFS(INDIRECT(ADDRESS(12,3+18*0+(4),,,"J1 D - South Bank Avenue")&amp;":"&amp;ADDRESS(130,3+18*0+(4))),'J1 D - South Bank Avenue'!$A$12:$A$130,"&gt;="&amp;Diagram!$O38,'J1 D - South Bank Avenue'!$A$12:$A$130,"&lt;"&amp;Diagram!$P38),SUMIFS(INDIRECT(ADDRESS(12,3+18*0+(12),,,"J1 D - South Bank Avenue")&amp;":"&amp;ADDRESS(130,3+18*0+(12))),'J1 D - South Bank Avenue'!$A$12:$A$130,"&gt;="&amp;Diagram!$O38,'J1 D - South Bank Avenue'!$A$12:$A$130,"&lt;"&amp;Diagram!$P38)))</f>
        <v>0</v>
      </c>
      <c r="CV38" s="42">
        <f ca="1">IF(OR($I$10="",$O38="",$P38="",$J$39&lt;&gt;"Yes"),0,IF($K$10=0,SUMIFS(INDIRECT(ADDRESS(12,3+18*1+(4),,,"J1 D - South Bank Avenue")&amp;":"&amp;ADDRESS(130,3+18*1+(4))),'J1 D - South Bank Avenue'!$A$12:$A$130,"&gt;="&amp;Diagram!$O38,'J1 D - South Bank Avenue'!$A$12:$A$130,"&lt;"&amp;Diagram!$P38),SUMIFS(INDIRECT(ADDRESS(12,3+18*1+(12),,,"J1 D - South Bank Avenue")&amp;":"&amp;ADDRESS(130,3+18*1+(12))),'J1 D - South Bank Avenue'!$A$12:$A$130,"&gt;="&amp;Diagram!$O38,'J1 D - South Bank Avenue'!$A$12:$A$130,"&lt;"&amp;Diagram!$P38)))</f>
        <v>0</v>
      </c>
      <c r="CW38" s="42">
        <f ca="1">IF(OR($I$10="",$O38="",$P38="",$J$39&lt;&gt;"Yes"),0,IF($K$10=0,SUMIFS(INDIRECT(ADDRESS(12,3+18*2+(4),,,"J1 D - South Bank Avenue")&amp;":"&amp;ADDRESS(130,3+18*2+(4))),'J1 D - South Bank Avenue'!$A$12:$A$130,"&gt;="&amp;Diagram!$O38,'J1 D - South Bank Avenue'!$A$12:$A$130,"&lt;"&amp;Diagram!$P38),SUMIFS(INDIRECT(ADDRESS(12,3+18*2+(12),,,"J1 D - South Bank Avenue")&amp;":"&amp;ADDRESS(130,3+18*2+(12))),'J1 D - South Bank Avenue'!$A$12:$A$130,"&gt;="&amp;Diagram!$O38,'J1 D - South Bank Avenue'!$A$12:$A$130,"&lt;"&amp;Diagram!$P38)))</f>
        <v>0</v>
      </c>
      <c r="CX38" s="42">
        <f ca="1">IF(OR($I$10="",$O38="",$P38="",$J$39&lt;&gt;"Yes"),0,IF($K$10=0,SUMIFS(INDIRECT(ADDRESS(12,3+18*3+(4),,,"J1 D - South Bank Avenue")&amp;":"&amp;ADDRESS(130,3+18*3+(4))),'J1 D - South Bank Avenue'!$A$12:$A$130,"&gt;="&amp;Diagram!$O38,'J1 D - South Bank Avenue'!$A$12:$A$130,"&lt;"&amp;Diagram!$P38),SUMIFS(INDIRECT(ADDRESS(12,3+18*3+(12),,,"J1 D - South Bank Avenue")&amp;":"&amp;ADDRESS(130,3+18*3+(12))),'J1 D - South Bank Avenue'!$A$12:$A$130,"&gt;="&amp;Diagram!$O38,'J1 D - South Bank Avenue'!$A$12:$A$130,"&lt;"&amp;Diagram!$P38)))</f>
        <v>0</v>
      </c>
      <c r="CY38" s="42">
        <f t="shared" ca="1" si="6"/>
        <v>83</v>
      </c>
      <c r="CZ38" s="42">
        <f ca="1">IF(OR($I$10="",$O38="",$P38="",$J$40&lt;&gt;"Yes"),0,IF($K$10=0,SUMIFS(INDIRECT(ADDRESS(12,3+18*3+(5),,,"J1 A - (North) Bishopthorpe Roa")&amp;":"&amp;ADDRESS(130,3+18*3+(5))),'J1 A - (North) Bishopthorpe Roa'!$A$12:$A$130,"&gt;="&amp;Diagram!$O38,'J1 A - (North) Bishopthorpe Roa'!$A$12:$A$130,"&lt;"&amp;Diagram!$P38),SUMIFS(INDIRECT(ADDRESS(12,3+18*3+(13),,,"J1 A - (North) Bishopthorpe Roa")&amp;":"&amp;ADDRESS(130,3+18*3+(13))),'J1 A - (North) Bishopthorpe Roa'!$A$12:$A$130,"&gt;="&amp;Diagram!$O38,'J1 A - (North) Bishopthorpe Roa'!$A$12:$A$130,"&lt;"&amp;Diagram!$P38)))</f>
        <v>0</v>
      </c>
      <c r="DA38" s="42">
        <f ca="1">IF(OR($I$10="",$O38="",$P38="",$J$40&lt;&gt;"Yes"),0,IF($K$10=0,SUMIFS(INDIRECT(ADDRESS(12,3+18*0+(5),,,"J1 A - (North) Bishopthorpe Roa")&amp;":"&amp;ADDRESS(130,3+18*0+(5))),'J1 A - (North) Bishopthorpe Roa'!$A$12:$A$130,"&gt;="&amp;Diagram!$O38,'J1 A - (North) Bishopthorpe Roa'!$A$12:$A$130,"&lt;"&amp;Diagram!$P38),SUMIFS(INDIRECT(ADDRESS(12,3+18*0+(13),,,"J1 A - (North) Bishopthorpe Roa")&amp;":"&amp;ADDRESS(130,3+18*0+(13))),'J1 A - (North) Bishopthorpe Roa'!$A$12:$A$130,"&gt;="&amp;Diagram!$O38,'J1 A - (North) Bishopthorpe Roa'!$A$12:$A$130,"&lt;"&amp;Diagram!$P38)))</f>
        <v>11</v>
      </c>
      <c r="DB38" s="42">
        <f ca="1">IF(OR($I$10="",$O38="",$P38="",$J$40&lt;&gt;"Yes"),0,IF($K$10=0,SUMIFS(INDIRECT(ADDRESS(12,3+18*1+(5),,,"J1 A - (North) Bishopthorpe Roa")&amp;":"&amp;ADDRESS(130,3+18*1+(5))),'J1 A - (North) Bishopthorpe Roa'!$A$12:$A$130,"&gt;="&amp;Diagram!$O38,'J1 A - (North) Bishopthorpe Roa'!$A$12:$A$130,"&lt;"&amp;Diagram!$P38),SUMIFS(INDIRECT(ADDRESS(12,3+18*1+(13),,,"J1 A - (North) Bishopthorpe Roa")&amp;":"&amp;ADDRESS(130,3+18*1+(13))),'J1 A - (North) Bishopthorpe Roa'!$A$12:$A$130,"&gt;="&amp;Diagram!$O38,'J1 A - (North) Bishopthorpe Roa'!$A$12:$A$130,"&lt;"&amp;Diagram!$P38)))</f>
        <v>6</v>
      </c>
      <c r="DC38" s="42">
        <f ca="1">IF(OR($I$10="",$O38="",$P38="",$J$40&lt;&gt;"Yes"),0,IF($K$10=0,SUMIFS(INDIRECT(ADDRESS(12,3+18*2+(5),,,"J1 A - (North) Bishopthorpe Roa")&amp;":"&amp;ADDRESS(130,3+18*2+(5))),'J1 A - (North) Bishopthorpe Roa'!$A$12:$A$130,"&gt;="&amp;Diagram!$O38,'J1 A - (North) Bishopthorpe Roa'!$A$12:$A$130,"&lt;"&amp;Diagram!$P38),SUMIFS(INDIRECT(ADDRESS(12,3+18*2+(13),,,"J1 A - (North) Bishopthorpe Roa")&amp;":"&amp;ADDRESS(130,3+18*2+(13))),'J1 A - (North) Bishopthorpe Roa'!$A$12:$A$130,"&gt;="&amp;Diagram!$O38,'J1 A - (North) Bishopthorpe Roa'!$A$12:$A$130,"&lt;"&amp;Diagram!$P38)))</f>
        <v>1</v>
      </c>
      <c r="DD38" s="42">
        <f ca="1">IF(OR($I$10="",$O38="",$P38="",$J$40&lt;&gt;"Yes"),0,IF($K$10=0,SUMIFS(INDIRECT(ADDRESS(12,3+18*2+(5),,,"J1 B - Butcher Terrace")&amp;":"&amp;ADDRESS(130,3+18*2+(5))),'J1 B - Butcher Terrace'!$A$12:$A$130,"&gt;="&amp;Diagram!$O38,'J1 B - Butcher Terrace'!$A$12:$A$130,"&lt;"&amp;Diagram!$P38),SUMIFS(INDIRECT(ADDRESS(12,3+18*2+(13),,,"J1 B - Butcher Terrace")&amp;":"&amp;ADDRESS(130,3+18*2+(13))),'J1 B - Butcher Terrace'!$A$12:$A$130,"&gt;="&amp;Diagram!$O38,'J1 B - Butcher Terrace'!$A$12:$A$130,"&lt;"&amp;Diagram!$P38)))</f>
        <v>4</v>
      </c>
      <c r="DE38" s="42">
        <f ca="1">IF(OR($I$10="",$O38="",$P38="",$J$40&lt;&gt;"Yes"),0,IF($K$10=0,SUMIFS(INDIRECT(ADDRESS(12,3+18*3+(5),,,"J1 B - Butcher Terrace")&amp;":"&amp;ADDRESS(130,3+18*3+(5))),'J1 B - Butcher Terrace'!$A$12:$A$130,"&gt;="&amp;Diagram!$O38,'J1 B - Butcher Terrace'!$A$12:$A$130,"&lt;"&amp;Diagram!$P38),SUMIFS(INDIRECT(ADDRESS(12,3+18*3+(13),,,"J1 B - Butcher Terrace")&amp;":"&amp;ADDRESS(130,3+18*3+(13))),'J1 B - Butcher Terrace'!$A$12:$A$130,"&gt;="&amp;Diagram!$O38,'J1 B - Butcher Terrace'!$A$12:$A$130,"&lt;"&amp;Diagram!$P38)))</f>
        <v>0</v>
      </c>
      <c r="DF38" s="42">
        <f ca="1">IF(OR($I$10="",$O38="",$P38="",$J$40&lt;&gt;"Yes"),0,IF($K$10=0,SUMIFS(INDIRECT(ADDRESS(12,3+18*0+(5),,,"J1 B - Butcher Terrace")&amp;":"&amp;ADDRESS(130,3+18*0+(5))),'J1 B - Butcher Terrace'!$A$12:$A$130,"&gt;="&amp;Diagram!$O38,'J1 B - Butcher Terrace'!$A$12:$A$130,"&lt;"&amp;Diagram!$P38),SUMIFS(INDIRECT(ADDRESS(12,3+18*0+(13),,,"J1 B - Butcher Terrace")&amp;":"&amp;ADDRESS(130,3+18*0+(13))),'J1 B - Butcher Terrace'!$A$12:$A$130,"&gt;="&amp;Diagram!$O38,'J1 B - Butcher Terrace'!$A$12:$A$130,"&lt;"&amp;Diagram!$P38)))</f>
        <v>5</v>
      </c>
      <c r="DG38" s="42">
        <f ca="1">IF(OR($I$10="",$O38="",$P38="",$J$40&lt;&gt;"Yes"),0,IF($K$10=0,SUMIFS(INDIRECT(ADDRESS(12,3+18*1+(5),,,"J1 B - Butcher Terrace")&amp;":"&amp;ADDRESS(130,3+18*1+(5))),'J1 B - Butcher Terrace'!$A$12:$A$130,"&gt;="&amp;Diagram!$O38,'J1 B - Butcher Terrace'!$A$12:$A$130,"&lt;"&amp;Diagram!$P38),SUMIFS(INDIRECT(ADDRESS(12,3+18*1+(13),,,"J1 B - Butcher Terrace")&amp;":"&amp;ADDRESS(130,3+18*1+(13))),'J1 B - Butcher Terrace'!$A$12:$A$130,"&gt;="&amp;Diagram!$O38,'J1 B - Butcher Terrace'!$A$12:$A$130,"&lt;"&amp;Diagram!$P38)))</f>
        <v>10</v>
      </c>
      <c r="DH38" s="42">
        <f ca="1">IF(OR($I$10="",$O38="",$P38="",$J$40&lt;&gt;"Yes"),0,IF($K$10=0,SUMIFS(INDIRECT(ADDRESS(12,3+18*1+(5),,,"J1 C - (South) Bishopthorpe Roa")&amp;":"&amp;ADDRESS(130,3+18*1+(5))),'J1 C - (South) Bishopthorpe Roa'!$A$12:$A$130,"&gt;="&amp;Diagram!$O38,'J1 C - (South) Bishopthorpe Roa'!$A$12:$A$130,"&lt;"&amp;Diagram!$P38),SUMIFS(INDIRECT(ADDRESS(12,3+18*1+(13),,,"J1 C - (South) Bishopthorpe Roa")&amp;":"&amp;ADDRESS(130,3+18*1+(13))),'J1 C - (South) Bishopthorpe Roa'!$A$12:$A$130,"&gt;="&amp;Diagram!$O38,'J1 C - (South) Bishopthorpe Roa'!$A$12:$A$130,"&lt;"&amp;Diagram!$P38)))</f>
        <v>16</v>
      </c>
      <c r="DI38" s="42">
        <f ca="1">IF(OR($I$10="",$O38="",$P38="",$J$40&lt;&gt;"Yes"),0,IF($K$10=0,SUMIFS(INDIRECT(ADDRESS(12,3+18*2+(5),,,"J1 C - (South) Bishopthorpe Roa")&amp;":"&amp;ADDRESS(130,3+18*2+(5))),'J1 C - (South) Bishopthorpe Roa'!$A$12:$A$130,"&gt;="&amp;Diagram!$O38,'J1 C - (South) Bishopthorpe Roa'!$A$12:$A$130,"&lt;"&amp;Diagram!$P38),SUMIFS(INDIRECT(ADDRESS(12,3+18*2+(13),,,"J1 C - (South) Bishopthorpe Roa")&amp;":"&amp;ADDRESS(130,3+18*2+(13))),'J1 C - (South) Bishopthorpe Roa'!$A$12:$A$130,"&gt;="&amp;Diagram!$O38,'J1 C - (South) Bishopthorpe Roa'!$A$12:$A$130,"&lt;"&amp;Diagram!$P38)))</f>
        <v>8</v>
      </c>
      <c r="DJ38" s="42">
        <f ca="1">IF(OR($I$10="",$O38="",$P38="",$J$40&lt;&gt;"Yes"),0,IF($K$10=0,SUMIFS(INDIRECT(ADDRESS(12,3+18*3+(5),,,"J1 C - (South) Bishopthorpe Roa")&amp;":"&amp;ADDRESS(130,3+18*3+(5))),'J1 C - (South) Bishopthorpe Roa'!$A$12:$A$130,"&gt;="&amp;Diagram!$O38,'J1 C - (South) Bishopthorpe Roa'!$A$12:$A$130,"&lt;"&amp;Diagram!$P38),SUMIFS(INDIRECT(ADDRESS(12,3+18*3+(13),,,"J1 C - (South) Bishopthorpe Roa")&amp;":"&amp;ADDRESS(130,3+18*3+(13))),'J1 C - (South) Bishopthorpe Roa'!$A$12:$A$130,"&gt;="&amp;Diagram!$O38,'J1 C - (South) Bishopthorpe Roa'!$A$12:$A$130,"&lt;"&amp;Diagram!$P38)))</f>
        <v>0</v>
      </c>
      <c r="DK38" s="42">
        <f ca="1">IF(OR($I$10="",$O38="",$P38="",$J$40&lt;&gt;"Yes"),0,IF($K$10=0,SUMIFS(INDIRECT(ADDRESS(12,3+18*0+(5),,,"J1 C - (South) Bishopthorpe Roa")&amp;":"&amp;ADDRESS(130,3+18*0+(5))),'J1 C - (South) Bishopthorpe Roa'!$A$12:$A$130,"&gt;="&amp;Diagram!$O38,'J1 C - (South) Bishopthorpe Roa'!$A$12:$A$130,"&lt;"&amp;Diagram!$P38),SUMIFS(INDIRECT(ADDRESS(12,3+18*0+(13),,,"J1 C - (South) Bishopthorpe Roa")&amp;":"&amp;ADDRESS(130,3+18*0+(13))),'J1 C - (South) Bishopthorpe Roa'!$A$12:$A$130,"&gt;="&amp;Diagram!$O38,'J1 C - (South) Bishopthorpe Roa'!$A$12:$A$130,"&lt;"&amp;Diagram!$P38)))</f>
        <v>0</v>
      </c>
      <c r="DL38" s="42">
        <f ca="1">IF(OR($I$10="",$O38="",$P38="",$J$40&lt;&gt;"Yes"),0,IF($K$10=0,SUMIFS(INDIRECT(ADDRESS(12,3+18*0+(5),,,"J1 D - South Bank Avenue")&amp;":"&amp;ADDRESS(130,3+18*0+(5))),'J1 D - South Bank Avenue'!$A$12:$A$130,"&gt;="&amp;Diagram!$O38,'J1 D - South Bank Avenue'!$A$12:$A$130,"&lt;"&amp;Diagram!$P38),SUMIFS(INDIRECT(ADDRESS(12,3+18*0+(13),,,"J1 D - South Bank Avenue")&amp;":"&amp;ADDRESS(130,3+18*0+(13))),'J1 D - South Bank Avenue'!$A$12:$A$130,"&gt;="&amp;Diagram!$O38,'J1 D - South Bank Avenue'!$A$12:$A$130,"&lt;"&amp;Diagram!$P38)))</f>
        <v>5</v>
      </c>
      <c r="DM38" s="42">
        <f ca="1">IF(OR($I$10="",$O38="",$P38="",$J$40&lt;&gt;"Yes"),0,IF($K$10=0,SUMIFS(INDIRECT(ADDRESS(12,3+18*1+(5),,,"J1 D - South Bank Avenue")&amp;":"&amp;ADDRESS(130,3+18*1+(5))),'J1 D - South Bank Avenue'!$A$12:$A$130,"&gt;="&amp;Diagram!$O38,'J1 D - South Bank Avenue'!$A$12:$A$130,"&lt;"&amp;Diagram!$P38),SUMIFS(INDIRECT(ADDRESS(12,3+18*1+(13),,,"J1 D - South Bank Avenue")&amp;":"&amp;ADDRESS(130,3+18*1+(13))),'J1 D - South Bank Avenue'!$A$12:$A$130,"&gt;="&amp;Diagram!$O38,'J1 D - South Bank Avenue'!$A$12:$A$130,"&lt;"&amp;Diagram!$P38)))</f>
        <v>16</v>
      </c>
      <c r="DN38" s="42">
        <f ca="1">IF(OR($I$10="",$O38="",$P38="",$J$40&lt;&gt;"Yes"),0,IF($K$10=0,SUMIFS(INDIRECT(ADDRESS(12,3+18*2+(5),,,"J1 D - South Bank Avenue")&amp;":"&amp;ADDRESS(130,3+18*2+(5))),'J1 D - South Bank Avenue'!$A$12:$A$130,"&gt;="&amp;Diagram!$O38,'J1 D - South Bank Avenue'!$A$12:$A$130,"&lt;"&amp;Diagram!$P38),SUMIFS(INDIRECT(ADDRESS(12,3+18*2+(13),,,"J1 D - South Bank Avenue")&amp;":"&amp;ADDRESS(130,3+18*2+(13))),'J1 D - South Bank Avenue'!$A$12:$A$130,"&gt;="&amp;Diagram!$O38,'J1 D - South Bank Avenue'!$A$12:$A$130,"&lt;"&amp;Diagram!$P38)))</f>
        <v>1</v>
      </c>
      <c r="DO38" s="42">
        <f ca="1">IF(OR($I$10="",$O38="",$P38="",$J$40&lt;&gt;"Yes"),0,IF($K$10=0,SUMIFS(INDIRECT(ADDRESS(12,3+18*3+(5),,,"J1 D - South Bank Avenue")&amp;":"&amp;ADDRESS(130,3+18*3+(5))),'J1 D - South Bank Avenue'!$A$12:$A$130,"&gt;="&amp;Diagram!$O38,'J1 D - South Bank Avenue'!$A$12:$A$130,"&lt;"&amp;Diagram!$P38),SUMIFS(INDIRECT(ADDRESS(12,3+18*3+(13),,,"J1 D - South Bank Avenue")&amp;":"&amp;ADDRESS(130,3+18*3+(13))),'J1 D - South Bank Avenue'!$A$12:$A$130,"&gt;="&amp;Diagram!$O38,'J1 D - South Bank Avenue'!$A$12:$A$130,"&lt;"&amp;Diagram!$P38)))</f>
        <v>0</v>
      </c>
      <c r="DP38" s="42">
        <f t="shared" ca="1" si="7"/>
        <v>4</v>
      </c>
      <c r="DQ38" s="42">
        <f ca="1">IF(OR($I$10="",$O38="",$P38="",$J$41&lt;&gt;"Yes"),0,IF($K$10=0,SUMIFS(INDIRECT(ADDRESS(12,3+18*3+(6),,,"J1 A - (North) Bishopthorpe Roa")&amp;":"&amp;ADDRESS(130,3+18*3+(6))),'J1 A - (North) Bishopthorpe Roa'!$A$12:$A$130,"&gt;="&amp;Diagram!$O38,'J1 A - (North) Bishopthorpe Roa'!$A$12:$A$130,"&lt;"&amp;Diagram!$P38),SUMIFS(INDIRECT(ADDRESS(12,3+18*3+(14),,,"J1 A - (North) Bishopthorpe Roa")&amp;":"&amp;ADDRESS(130,3+18*3+(14))),'J1 A - (North) Bishopthorpe Roa'!$A$12:$A$130,"&gt;="&amp;Diagram!$O38,'J1 A - (North) Bishopthorpe Roa'!$A$12:$A$130,"&lt;"&amp;Diagram!$P38)))</f>
        <v>0</v>
      </c>
      <c r="DR38" s="42">
        <f ca="1">IF(OR($I$10="",$O38="",$P38="",$J$41&lt;&gt;"Yes"),0,IF($K$10=0,SUMIFS(INDIRECT(ADDRESS(12,3+18*0+(6),,,"J1 A - (North) Bishopthorpe Roa")&amp;":"&amp;ADDRESS(130,3+18*0+(6))),'J1 A - (North) Bishopthorpe Roa'!$A$12:$A$130,"&gt;="&amp;Diagram!$O38,'J1 A - (North) Bishopthorpe Roa'!$A$12:$A$130,"&lt;"&amp;Diagram!$P38),SUMIFS(INDIRECT(ADDRESS(12,3+18*0+(14),,,"J1 A - (North) Bishopthorpe Roa")&amp;":"&amp;ADDRESS(130,3+18*0+(14))),'J1 A - (North) Bishopthorpe Roa'!$A$12:$A$130,"&gt;="&amp;Diagram!$O38,'J1 A - (North) Bishopthorpe Roa'!$A$12:$A$130,"&lt;"&amp;Diagram!$P38)))</f>
        <v>0</v>
      </c>
      <c r="DS38" s="42">
        <f ca="1">IF(OR($I$10="",$O38="",$P38="",$J$41&lt;&gt;"Yes"),0,IF($K$10=0,SUMIFS(INDIRECT(ADDRESS(12,3+18*1+(6),,,"J1 A - (North) Bishopthorpe Roa")&amp;":"&amp;ADDRESS(130,3+18*1+(6))),'J1 A - (North) Bishopthorpe Roa'!$A$12:$A$130,"&gt;="&amp;Diagram!$O38,'J1 A - (North) Bishopthorpe Roa'!$A$12:$A$130,"&lt;"&amp;Diagram!$P38),SUMIFS(INDIRECT(ADDRESS(12,3+18*1+(14),,,"J1 A - (North) Bishopthorpe Roa")&amp;":"&amp;ADDRESS(130,3+18*1+(14))),'J1 A - (North) Bishopthorpe Roa'!$A$12:$A$130,"&gt;="&amp;Diagram!$O38,'J1 A - (North) Bishopthorpe Roa'!$A$12:$A$130,"&lt;"&amp;Diagram!$P38)))</f>
        <v>0</v>
      </c>
      <c r="DT38" s="42">
        <f ca="1">IF(OR($I$10="",$O38="",$P38="",$J$41&lt;&gt;"Yes"),0,IF($K$10=0,SUMIFS(INDIRECT(ADDRESS(12,3+18*2+(6),,,"J1 A - (North) Bishopthorpe Roa")&amp;":"&amp;ADDRESS(130,3+18*2+(6))),'J1 A - (North) Bishopthorpe Roa'!$A$12:$A$130,"&gt;="&amp;Diagram!$O38,'J1 A - (North) Bishopthorpe Roa'!$A$12:$A$130,"&lt;"&amp;Diagram!$P38),SUMIFS(INDIRECT(ADDRESS(12,3+18*2+(14),,,"J1 A - (North) Bishopthorpe Roa")&amp;":"&amp;ADDRESS(130,3+18*2+(14))),'J1 A - (North) Bishopthorpe Roa'!$A$12:$A$130,"&gt;="&amp;Diagram!$O38,'J1 A - (North) Bishopthorpe Roa'!$A$12:$A$130,"&lt;"&amp;Diagram!$P38)))</f>
        <v>0</v>
      </c>
      <c r="DU38" s="42">
        <f ca="1">IF(OR($I$10="",$O38="",$P38="",$J$41&lt;&gt;"Yes"),0,IF($K$10=0,SUMIFS(INDIRECT(ADDRESS(12,3+18*2+(6),,,"J1 B - Butcher Terrace")&amp;":"&amp;ADDRESS(130,3+18*2+(6))),'J1 B - Butcher Terrace'!$A$12:$A$130,"&gt;="&amp;Diagram!$O38,'J1 B - Butcher Terrace'!$A$12:$A$130,"&lt;"&amp;Diagram!$P38),SUMIFS(INDIRECT(ADDRESS(12,3+18*2+(14),,,"J1 B - Butcher Terrace")&amp;":"&amp;ADDRESS(130,3+18*2+(14))),'J1 B - Butcher Terrace'!$A$12:$A$130,"&gt;="&amp;Diagram!$O38,'J1 B - Butcher Terrace'!$A$12:$A$130,"&lt;"&amp;Diagram!$P38)))</f>
        <v>1</v>
      </c>
      <c r="DV38" s="42">
        <f ca="1">IF(OR($I$10="",$O38="",$P38="",$J$41&lt;&gt;"Yes"),0,IF($K$10=0,SUMIFS(INDIRECT(ADDRESS(12,3+18*3+(6),,,"J1 B - Butcher Terrace")&amp;":"&amp;ADDRESS(130,3+18*3+(6))),'J1 B - Butcher Terrace'!$A$12:$A$130,"&gt;="&amp;Diagram!$O38,'J1 B - Butcher Terrace'!$A$12:$A$130,"&lt;"&amp;Diagram!$P38),SUMIFS(INDIRECT(ADDRESS(12,3+18*3+(14),,,"J1 B - Butcher Terrace")&amp;":"&amp;ADDRESS(130,3+18*3+(14))),'J1 B - Butcher Terrace'!$A$12:$A$130,"&gt;="&amp;Diagram!$O38,'J1 B - Butcher Terrace'!$A$12:$A$130,"&lt;"&amp;Diagram!$P38)))</f>
        <v>0</v>
      </c>
      <c r="DW38" s="42">
        <f ca="1">IF(OR($I$10="",$O38="",$P38="",$J$41&lt;&gt;"Yes"),0,IF($K$10=0,SUMIFS(INDIRECT(ADDRESS(12,3+18*0+(6),,,"J1 B - Butcher Terrace")&amp;":"&amp;ADDRESS(130,3+18*0+(6))),'J1 B - Butcher Terrace'!$A$12:$A$130,"&gt;="&amp;Diagram!$O38,'J1 B - Butcher Terrace'!$A$12:$A$130,"&lt;"&amp;Diagram!$P38),SUMIFS(INDIRECT(ADDRESS(12,3+18*0+(14),,,"J1 B - Butcher Terrace")&amp;":"&amp;ADDRESS(130,3+18*0+(14))),'J1 B - Butcher Terrace'!$A$12:$A$130,"&gt;="&amp;Diagram!$O38,'J1 B - Butcher Terrace'!$A$12:$A$130,"&lt;"&amp;Diagram!$P38)))</f>
        <v>0</v>
      </c>
      <c r="DX38" s="42">
        <f ca="1">IF(OR($I$10="",$O38="",$P38="",$J$41&lt;&gt;"Yes"),0,IF($K$10=0,SUMIFS(INDIRECT(ADDRESS(12,3+18*1+(6),,,"J1 B - Butcher Terrace")&amp;":"&amp;ADDRESS(130,3+18*1+(6))),'J1 B - Butcher Terrace'!$A$12:$A$130,"&gt;="&amp;Diagram!$O38,'J1 B - Butcher Terrace'!$A$12:$A$130,"&lt;"&amp;Diagram!$P38),SUMIFS(INDIRECT(ADDRESS(12,3+18*1+(14),,,"J1 B - Butcher Terrace")&amp;":"&amp;ADDRESS(130,3+18*1+(14))),'J1 B - Butcher Terrace'!$A$12:$A$130,"&gt;="&amp;Diagram!$O38,'J1 B - Butcher Terrace'!$A$12:$A$130,"&lt;"&amp;Diagram!$P38)))</f>
        <v>0</v>
      </c>
      <c r="DY38" s="42">
        <f ca="1">IF(OR($I$10="",$O38="",$P38="",$J$41&lt;&gt;"Yes"),0,IF($K$10=0,SUMIFS(INDIRECT(ADDRESS(12,3+18*1+(6),,,"J1 C - (South) Bishopthorpe Roa")&amp;":"&amp;ADDRESS(130,3+18*1+(6))),'J1 C - (South) Bishopthorpe Roa'!$A$12:$A$130,"&gt;="&amp;Diagram!$O38,'J1 C - (South) Bishopthorpe Roa'!$A$12:$A$130,"&lt;"&amp;Diagram!$P38),SUMIFS(INDIRECT(ADDRESS(12,3+18*1+(14),,,"J1 C - (South) Bishopthorpe Roa")&amp;":"&amp;ADDRESS(130,3+18*1+(14))),'J1 C - (South) Bishopthorpe Roa'!$A$12:$A$130,"&gt;="&amp;Diagram!$O38,'J1 C - (South) Bishopthorpe Roa'!$A$12:$A$130,"&lt;"&amp;Diagram!$P38)))</f>
        <v>0</v>
      </c>
      <c r="DZ38" s="42">
        <f ca="1">IF(OR($I$10="",$O38="",$P38="",$J$41&lt;&gt;"Yes"),0,IF($K$10=0,SUMIFS(INDIRECT(ADDRESS(12,3+18*2+(6),,,"J1 C - (South) Bishopthorpe Roa")&amp;":"&amp;ADDRESS(130,3+18*2+(6))),'J1 C - (South) Bishopthorpe Roa'!$A$12:$A$130,"&gt;="&amp;Diagram!$O38,'J1 C - (South) Bishopthorpe Roa'!$A$12:$A$130,"&lt;"&amp;Diagram!$P38),SUMIFS(INDIRECT(ADDRESS(12,3+18*2+(14),,,"J1 C - (South) Bishopthorpe Roa")&amp;":"&amp;ADDRESS(130,3+18*2+(14))),'J1 C - (South) Bishopthorpe Roa'!$A$12:$A$130,"&gt;="&amp;Diagram!$O38,'J1 C - (South) Bishopthorpe Roa'!$A$12:$A$130,"&lt;"&amp;Diagram!$P38)))</f>
        <v>1</v>
      </c>
      <c r="EA38" s="42">
        <f ca="1">IF(OR($I$10="",$O38="",$P38="",$J$41&lt;&gt;"Yes"),0,IF($K$10=0,SUMIFS(INDIRECT(ADDRESS(12,3+18*3+(6),,,"J1 C - (South) Bishopthorpe Roa")&amp;":"&amp;ADDRESS(130,3+18*3+(6))),'J1 C - (South) Bishopthorpe Roa'!$A$12:$A$130,"&gt;="&amp;Diagram!$O38,'J1 C - (South) Bishopthorpe Roa'!$A$12:$A$130,"&lt;"&amp;Diagram!$P38),SUMIFS(INDIRECT(ADDRESS(12,3+18*3+(14),,,"J1 C - (South) Bishopthorpe Roa")&amp;":"&amp;ADDRESS(130,3+18*3+(14))),'J1 C - (South) Bishopthorpe Roa'!$A$12:$A$130,"&gt;="&amp;Diagram!$O38,'J1 C - (South) Bishopthorpe Roa'!$A$12:$A$130,"&lt;"&amp;Diagram!$P38)))</f>
        <v>0</v>
      </c>
      <c r="EB38" s="42">
        <f ca="1">IF(OR($I$10="",$O38="",$P38="",$J$41&lt;&gt;"Yes"),0,IF($K$10=0,SUMIFS(INDIRECT(ADDRESS(12,3+18*0+(6),,,"J1 C - (South) Bishopthorpe Roa")&amp;":"&amp;ADDRESS(130,3+18*0+(6))),'J1 C - (South) Bishopthorpe Roa'!$A$12:$A$130,"&gt;="&amp;Diagram!$O38,'J1 C - (South) Bishopthorpe Roa'!$A$12:$A$130,"&lt;"&amp;Diagram!$P38),SUMIFS(INDIRECT(ADDRESS(12,3+18*0+(14),,,"J1 C - (South) Bishopthorpe Roa")&amp;":"&amp;ADDRESS(130,3+18*0+(14))),'J1 C - (South) Bishopthorpe Roa'!$A$12:$A$130,"&gt;="&amp;Diagram!$O38,'J1 C - (South) Bishopthorpe Roa'!$A$12:$A$130,"&lt;"&amp;Diagram!$P38)))</f>
        <v>0</v>
      </c>
      <c r="EC38" s="42">
        <f ca="1">IF(OR($I$10="",$O38="",$P38="",$J$41&lt;&gt;"Yes"),0,IF($K$10=0,SUMIFS(INDIRECT(ADDRESS(12,3+18*0+(6),,,"J1 D - South Bank Avenue")&amp;":"&amp;ADDRESS(130,3+18*0+(6))),'J1 D - South Bank Avenue'!$A$12:$A$130,"&gt;="&amp;Diagram!$O38,'J1 D - South Bank Avenue'!$A$12:$A$130,"&lt;"&amp;Diagram!$P38),SUMIFS(INDIRECT(ADDRESS(12,3+18*0+(14),,,"J1 D - South Bank Avenue")&amp;":"&amp;ADDRESS(130,3+18*0+(14))),'J1 D - South Bank Avenue'!$A$12:$A$130,"&gt;="&amp;Diagram!$O38,'J1 D - South Bank Avenue'!$A$12:$A$130,"&lt;"&amp;Diagram!$P38)))</f>
        <v>2</v>
      </c>
      <c r="ED38" s="42">
        <f ca="1">IF(OR($I$10="",$O38="",$P38="",$J$41&lt;&gt;"Yes"),0,IF($K$10=0,SUMIFS(INDIRECT(ADDRESS(12,3+18*1+(6),,,"J1 D - South Bank Avenue")&amp;":"&amp;ADDRESS(130,3+18*1+(6))),'J1 D - South Bank Avenue'!$A$12:$A$130,"&gt;="&amp;Diagram!$O38,'J1 D - South Bank Avenue'!$A$12:$A$130,"&lt;"&amp;Diagram!$P38),SUMIFS(INDIRECT(ADDRESS(12,3+18*1+(14),,,"J1 D - South Bank Avenue")&amp;":"&amp;ADDRESS(130,3+18*1+(14))),'J1 D - South Bank Avenue'!$A$12:$A$130,"&gt;="&amp;Diagram!$O38,'J1 D - South Bank Avenue'!$A$12:$A$130,"&lt;"&amp;Diagram!$P38)))</f>
        <v>0</v>
      </c>
      <c r="EE38" s="42">
        <f ca="1">IF(OR($I$10="",$O38="",$P38="",$J$41&lt;&gt;"Yes"),0,IF($K$10=0,SUMIFS(INDIRECT(ADDRESS(12,3+18*2+(6),,,"J1 D - South Bank Avenue")&amp;":"&amp;ADDRESS(130,3+18*2+(6))),'J1 D - South Bank Avenue'!$A$12:$A$130,"&gt;="&amp;Diagram!$O38,'J1 D - South Bank Avenue'!$A$12:$A$130,"&lt;"&amp;Diagram!$P38),SUMIFS(INDIRECT(ADDRESS(12,3+18*2+(14),,,"J1 D - South Bank Avenue")&amp;":"&amp;ADDRESS(130,3+18*2+(14))),'J1 D - South Bank Avenue'!$A$12:$A$130,"&gt;="&amp;Diagram!$O38,'J1 D - South Bank Avenue'!$A$12:$A$130,"&lt;"&amp;Diagram!$P38)))</f>
        <v>0</v>
      </c>
      <c r="EF38" s="42">
        <f ca="1">IF(OR($I$10="",$O38="",$P38="",$J$41&lt;&gt;"Yes"),0,IF($K$10=0,SUMIFS(INDIRECT(ADDRESS(12,3+18*3+(6),,,"J1 D - South Bank Avenue")&amp;":"&amp;ADDRESS(130,3+18*3+(6))),'J1 D - South Bank Avenue'!$A$12:$A$130,"&gt;="&amp;Diagram!$O38,'J1 D - South Bank Avenue'!$A$12:$A$130,"&lt;"&amp;Diagram!$P38),SUMIFS(INDIRECT(ADDRESS(12,3+18*3+(14),,,"J1 D - South Bank Avenue")&amp;":"&amp;ADDRESS(130,3+18*3+(14))),'J1 D - South Bank Avenue'!$A$12:$A$130,"&gt;="&amp;Diagram!$O38,'J1 D - South Bank Avenue'!$A$12:$A$130,"&lt;"&amp;Diagram!$P38)))</f>
        <v>0</v>
      </c>
      <c r="EG38" s="42">
        <f t="shared" ca="1" si="8"/>
        <v>4</v>
      </c>
      <c r="EH38" s="42">
        <f ca="1">IF(OR($I$10="",$O38="",$P38="",$J$42&lt;&gt;"Yes"),0,IF($K$10=0,SUMIFS(INDIRECT(ADDRESS(12,3+18*3+(7),,,"J1 A - (North) Bishopthorpe Roa")&amp;":"&amp;ADDRESS(130,3+18*3+(7))),'J1 A - (North) Bishopthorpe Roa'!$A$12:$A$130,"&gt;="&amp;Diagram!$O38,'J1 A - (North) Bishopthorpe Roa'!$A$12:$A$130,"&lt;"&amp;Diagram!$P38),SUMIFS(INDIRECT(ADDRESS(12,3+18*3+(15),,,"J1 A - (North) Bishopthorpe Roa")&amp;":"&amp;ADDRESS(130,3+18*3+(15))),'J1 A - (North) Bishopthorpe Roa'!$A$12:$A$130,"&gt;="&amp;Diagram!$O38,'J1 A - (North) Bishopthorpe Roa'!$A$12:$A$130,"&lt;"&amp;Diagram!$P38)))</f>
        <v>0</v>
      </c>
      <c r="EI38" s="42">
        <f ca="1">IF(OR($I$10="",$O38="",$P38="",$J$42&lt;&gt;"Yes"),0,IF($K$10=0,SUMIFS(INDIRECT(ADDRESS(12,3+18*0+(7),,,"J1 A - (North) Bishopthorpe Roa")&amp;":"&amp;ADDRESS(130,3+18*0+(7))),'J1 A - (North) Bishopthorpe Roa'!$A$12:$A$130,"&gt;="&amp;Diagram!$O38,'J1 A - (North) Bishopthorpe Roa'!$A$12:$A$130,"&lt;"&amp;Diagram!$P38),SUMIFS(INDIRECT(ADDRESS(12,3+18*0+(15),,,"J1 A - (North) Bishopthorpe Roa")&amp;":"&amp;ADDRESS(130,3+18*0+(15))),'J1 A - (North) Bishopthorpe Roa'!$A$12:$A$130,"&gt;="&amp;Diagram!$O38,'J1 A - (North) Bishopthorpe Roa'!$A$12:$A$130,"&lt;"&amp;Diagram!$P38)))</f>
        <v>0</v>
      </c>
      <c r="EJ38" s="42">
        <f ca="1">IF(OR($I$10="",$O38="",$P38="",$J$42&lt;&gt;"Yes"),0,IF($K$10=0,SUMIFS(INDIRECT(ADDRESS(12,3+18*1+(7),,,"J1 A - (North) Bishopthorpe Roa")&amp;":"&amp;ADDRESS(130,3+18*1+(7))),'J1 A - (North) Bishopthorpe Roa'!$A$12:$A$130,"&gt;="&amp;Diagram!$O38,'J1 A - (North) Bishopthorpe Roa'!$A$12:$A$130,"&lt;"&amp;Diagram!$P38),SUMIFS(INDIRECT(ADDRESS(12,3+18*1+(15),,,"J1 A - (North) Bishopthorpe Roa")&amp;":"&amp;ADDRESS(130,3+18*1+(15))),'J1 A - (North) Bishopthorpe Roa'!$A$12:$A$130,"&gt;="&amp;Diagram!$O38,'J1 A - (North) Bishopthorpe Roa'!$A$12:$A$130,"&lt;"&amp;Diagram!$P38)))</f>
        <v>0</v>
      </c>
      <c r="EK38" s="42">
        <f ca="1">IF(OR($I$10="",$O38="",$P38="",$J$42&lt;&gt;"Yes"),0,IF($K$10=0,SUMIFS(INDIRECT(ADDRESS(12,3+18*2+(7),,,"J1 A - (North) Bishopthorpe Roa")&amp;":"&amp;ADDRESS(130,3+18*2+(7))),'J1 A - (North) Bishopthorpe Roa'!$A$12:$A$130,"&gt;="&amp;Diagram!$O38,'J1 A - (North) Bishopthorpe Roa'!$A$12:$A$130,"&lt;"&amp;Diagram!$P38),SUMIFS(INDIRECT(ADDRESS(12,3+18*2+(15),,,"J1 A - (North) Bishopthorpe Roa")&amp;":"&amp;ADDRESS(130,3+18*2+(15))),'J1 A - (North) Bishopthorpe Roa'!$A$12:$A$130,"&gt;="&amp;Diagram!$O38,'J1 A - (North) Bishopthorpe Roa'!$A$12:$A$130,"&lt;"&amp;Diagram!$P38)))</f>
        <v>0</v>
      </c>
      <c r="EL38" s="42">
        <f ca="1">IF(OR($I$10="",$O38="",$P38="",$J$42&lt;&gt;"Yes"),0,IF($K$10=0,SUMIFS(INDIRECT(ADDRESS(12,3+18*2+(7),,,"J1 B - Butcher Terrace")&amp;":"&amp;ADDRESS(130,3+18*2+(7))),'J1 B - Butcher Terrace'!$A$12:$A$130,"&gt;="&amp;Diagram!$O38,'J1 B - Butcher Terrace'!$A$12:$A$130,"&lt;"&amp;Diagram!$P38),SUMIFS(INDIRECT(ADDRESS(12,3+18*2+(15),,,"J1 B - Butcher Terrace")&amp;":"&amp;ADDRESS(130,3+18*2+(15))),'J1 B - Butcher Terrace'!$A$12:$A$130,"&gt;="&amp;Diagram!$O38,'J1 B - Butcher Terrace'!$A$12:$A$130,"&lt;"&amp;Diagram!$P38)))</f>
        <v>3</v>
      </c>
      <c r="EM38" s="42">
        <f ca="1">IF(OR($I$10="",$O38="",$P38="",$J$42&lt;&gt;"Yes"),0,IF($K$10=0,SUMIFS(INDIRECT(ADDRESS(12,3+18*3+(7),,,"J1 B - Butcher Terrace")&amp;":"&amp;ADDRESS(130,3+18*3+(7))),'J1 B - Butcher Terrace'!$A$12:$A$130,"&gt;="&amp;Diagram!$O38,'J1 B - Butcher Terrace'!$A$12:$A$130,"&lt;"&amp;Diagram!$P38),SUMIFS(INDIRECT(ADDRESS(12,3+18*3+(15),,,"J1 B - Butcher Terrace")&amp;":"&amp;ADDRESS(130,3+18*3+(15))),'J1 B - Butcher Terrace'!$A$12:$A$130,"&gt;="&amp;Diagram!$O38,'J1 B - Butcher Terrace'!$A$12:$A$130,"&lt;"&amp;Diagram!$P38)))</f>
        <v>0</v>
      </c>
      <c r="EN38" s="42">
        <f ca="1">IF(OR($I$10="",$O38="",$P38="",$J$42&lt;&gt;"Yes"),0,IF($K$10=0,SUMIFS(INDIRECT(ADDRESS(12,3+18*0+(7),,,"J1 B - Butcher Terrace")&amp;":"&amp;ADDRESS(130,3+18*0+(7))),'J1 B - Butcher Terrace'!$A$12:$A$130,"&gt;="&amp;Diagram!$O38,'J1 B - Butcher Terrace'!$A$12:$A$130,"&lt;"&amp;Diagram!$P38),SUMIFS(INDIRECT(ADDRESS(12,3+18*0+(15),,,"J1 B - Butcher Terrace")&amp;":"&amp;ADDRESS(130,3+18*0+(15))),'J1 B - Butcher Terrace'!$A$12:$A$130,"&gt;="&amp;Diagram!$O38,'J1 B - Butcher Terrace'!$A$12:$A$130,"&lt;"&amp;Diagram!$P38)))</f>
        <v>1</v>
      </c>
      <c r="EO38" s="42">
        <f ca="1">IF(OR($I$10="",$O38="",$P38="",$J$42&lt;&gt;"Yes"),0,IF($K$10=0,SUMIFS(INDIRECT(ADDRESS(12,3+18*1+(7),,,"J1 B - Butcher Terrace")&amp;":"&amp;ADDRESS(130,3+18*1+(7))),'J1 B - Butcher Terrace'!$A$12:$A$130,"&gt;="&amp;Diagram!$O38,'J1 B - Butcher Terrace'!$A$12:$A$130,"&lt;"&amp;Diagram!$P38),SUMIFS(INDIRECT(ADDRESS(12,3+18*1+(15),,,"J1 B - Butcher Terrace")&amp;":"&amp;ADDRESS(130,3+18*1+(15))),'J1 B - Butcher Terrace'!$A$12:$A$130,"&gt;="&amp;Diagram!$O38,'J1 B - Butcher Terrace'!$A$12:$A$130,"&lt;"&amp;Diagram!$P38)))</f>
        <v>0</v>
      </c>
      <c r="EP38" s="42">
        <f ca="1">IF(OR($I$10="",$O38="",$P38="",$J$42&lt;&gt;"Yes"),0,IF($K$10=0,SUMIFS(INDIRECT(ADDRESS(12,3+18*1+(7),,,"J1 C - (South) Bishopthorpe Roa")&amp;":"&amp;ADDRESS(130,3+18*1+(7))),'J1 C - (South) Bishopthorpe Roa'!$A$12:$A$130,"&gt;="&amp;Diagram!$O38,'J1 C - (South) Bishopthorpe Roa'!$A$12:$A$130,"&lt;"&amp;Diagram!$P38),SUMIFS(INDIRECT(ADDRESS(12,3+18*1+(15),,,"J1 C - (South) Bishopthorpe Roa")&amp;":"&amp;ADDRESS(130,3+18*1+(15))),'J1 C - (South) Bishopthorpe Roa'!$A$12:$A$130,"&gt;="&amp;Diagram!$O38,'J1 C - (South) Bishopthorpe Roa'!$A$12:$A$130,"&lt;"&amp;Diagram!$P38)))</f>
        <v>0</v>
      </c>
      <c r="EQ38" s="42">
        <f ca="1">IF(OR($I$10="",$O38="",$P38="",$J$42&lt;&gt;"Yes"),0,IF($K$10=0,SUMIFS(INDIRECT(ADDRESS(12,3+18*2+(7),,,"J1 C - (South) Bishopthorpe Roa")&amp;":"&amp;ADDRESS(130,3+18*2+(7))),'J1 C - (South) Bishopthorpe Roa'!$A$12:$A$130,"&gt;="&amp;Diagram!$O38,'J1 C - (South) Bishopthorpe Roa'!$A$12:$A$130,"&lt;"&amp;Diagram!$P38),SUMIFS(INDIRECT(ADDRESS(12,3+18*2+(15),,,"J1 C - (South) Bishopthorpe Roa")&amp;":"&amp;ADDRESS(130,3+18*2+(15))),'J1 C - (South) Bishopthorpe Roa'!$A$12:$A$130,"&gt;="&amp;Diagram!$O38,'J1 C - (South) Bishopthorpe Roa'!$A$12:$A$130,"&lt;"&amp;Diagram!$P38)))</f>
        <v>0</v>
      </c>
      <c r="ER38" s="42">
        <f ca="1">IF(OR($I$10="",$O38="",$P38="",$J$42&lt;&gt;"Yes"),0,IF($K$10=0,SUMIFS(INDIRECT(ADDRESS(12,3+18*3+(7),,,"J1 C - (South) Bishopthorpe Roa")&amp;":"&amp;ADDRESS(130,3+18*3+(7))),'J1 C - (South) Bishopthorpe Roa'!$A$12:$A$130,"&gt;="&amp;Diagram!$O38,'J1 C - (South) Bishopthorpe Roa'!$A$12:$A$130,"&lt;"&amp;Diagram!$P38),SUMIFS(INDIRECT(ADDRESS(12,3+18*3+(15),,,"J1 C - (South) Bishopthorpe Roa")&amp;":"&amp;ADDRESS(130,3+18*3+(15))),'J1 C - (South) Bishopthorpe Roa'!$A$12:$A$130,"&gt;="&amp;Diagram!$O38,'J1 C - (South) Bishopthorpe Roa'!$A$12:$A$130,"&lt;"&amp;Diagram!$P38)))</f>
        <v>0</v>
      </c>
      <c r="ES38" s="42">
        <f ca="1">IF(OR($I$10="",$O38="",$P38="",$J$42&lt;&gt;"Yes"),0,IF($K$10=0,SUMIFS(INDIRECT(ADDRESS(12,3+18*0+(7),,,"J1 C - (South) Bishopthorpe Roa")&amp;":"&amp;ADDRESS(130,3+18*0+(7))),'J1 C - (South) Bishopthorpe Roa'!$A$12:$A$130,"&gt;="&amp;Diagram!$O38,'J1 C - (South) Bishopthorpe Roa'!$A$12:$A$130,"&lt;"&amp;Diagram!$P38),SUMIFS(INDIRECT(ADDRESS(12,3+18*0+(15),,,"J1 C - (South) Bishopthorpe Roa")&amp;":"&amp;ADDRESS(130,3+18*0+(15))),'J1 C - (South) Bishopthorpe Roa'!$A$12:$A$130,"&gt;="&amp;Diagram!$O38,'J1 C - (South) Bishopthorpe Roa'!$A$12:$A$130,"&lt;"&amp;Diagram!$P38)))</f>
        <v>0</v>
      </c>
      <c r="ET38" s="42">
        <f ca="1">IF(OR($I$10="",$O38="",$P38="",$J$42&lt;&gt;"Yes"),0,IF($K$10=0,SUMIFS(INDIRECT(ADDRESS(12,3+18*0+(7),,,"J1 D - South Bank Avenue")&amp;":"&amp;ADDRESS(130,3+18*0+(7))),'J1 D - South Bank Avenue'!$A$12:$A$130,"&gt;="&amp;Diagram!$O38,'J1 D - South Bank Avenue'!$A$12:$A$130,"&lt;"&amp;Diagram!$P38),SUMIFS(INDIRECT(ADDRESS(12,3+18*0+(15),,,"J1 D - South Bank Avenue")&amp;":"&amp;ADDRESS(130,3+18*0+(15))),'J1 D - South Bank Avenue'!$A$12:$A$130,"&gt;="&amp;Diagram!$O38,'J1 D - South Bank Avenue'!$A$12:$A$130,"&lt;"&amp;Diagram!$P38)))</f>
        <v>0</v>
      </c>
      <c r="EU38" s="42">
        <f ca="1">IF(OR($I$10="",$O38="",$P38="",$J$42&lt;&gt;"Yes"),0,IF($K$10=0,SUMIFS(INDIRECT(ADDRESS(12,3+18*1+(7),,,"J1 D - South Bank Avenue")&amp;":"&amp;ADDRESS(130,3+18*1+(7))),'J1 D - South Bank Avenue'!$A$12:$A$130,"&gt;="&amp;Diagram!$O38,'J1 D - South Bank Avenue'!$A$12:$A$130,"&lt;"&amp;Diagram!$P38),SUMIFS(INDIRECT(ADDRESS(12,3+18*1+(15),,,"J1 D - South Bank Avenue")&amp;":"&amp;ADDRESS(130,3+18*1+(15))),'J1 D - South Bank Avenue'!$A$12:$A$130,"&gt;="&amp;Diagram!$O38,'J1 D - South Bank Avenue'!$A$12:$A$130,"&lt;"&amp;Diagram!$P38)))</f>
        <v>0</v>
      </c>
      <c r="EV38" s="42">
        <f ca="1">IF(OR($I$10="",$O38="",$P38="",$J$42&lt;&gt;"Yes"),0,IF($K$10=0,SUMIFS(INDIRECT(ADDRESS(12,3+18*2+(7),,,"J1 D - South Bank Avenue")&amp;":"&amp;ADDRESS(130,3+18*2+(7))),'J1 D - South Bank Avenue'!$A$12:$A$130,"&gt;="&amp;Diagram!$O38,'J1 D - South Bank Avenue'!$A$12:$A$130,"&lt;"&amp;Diagram!$P38),SUMIFS(INDIRECT(ADDRESS(12,3+18*2+(15),,,"J1 D - South Bank Avenue")&amp;":"&amp;ADDRESS(130,3+18*2+(15))),'J1 D - South Bank Avenue'!$A$12:$A$130,"&gt;="&amp;Diagram!$O38,'J1 D - South Bank Avenue'!$A$12:$A$130,"&lt;"&amp;Diagram!$P38)))</f>
        <v>0</v>
      </c>
      <c r="EW38" s="42">
        <f ca="1">IF(OR($I$10="",$O38="",$P38="",$J$42&lt;&gt;"Yes"),0,IF($K$10=0,SUMIFS(INDIRECT(ADDRESS(12,3+18*3+(7),,,"J1 D - South Bank Avenue")&amp;":"&amp;ADDRESS(130,3+18*3+(7))),'J1 D - South Bank Avenue'!$A$12:$A$130,"&gt;="&amp;Diagram!$O38,'J1 D - South Bank Avenue'!$A$12:$A$130,"&lt;"&amp;Diagram!$P38),SUMIFS(INDIRECT(ADDRESS(12,3+18*3+(15),,,"J1 D - South Bank Avenue")&amp;":"&amp;ADDRESS(130,3+18*3+(15))),'J1 D - South Bank Avenue'!$A$12:$A$130,"&gt;="&amp;Diagram!$O38,'J1 D - South Bank Avenue'!$A$12:$A$130,"&lt;"&amp;Diagram!$P38)))</f>
        <v>0</v>
      </c>
    </row>
    <row r="39" spans="1:153" ht="21" customHeight="1">
      <c r="A39" s="1">
        <v>44395.395833333299</v>
      </c>
      <c r="B39" s="1">
        <v>44395.40625</v>
      </c>
      <c r="I39" s="38" t="s">
        <v>16</v>
      </c>
      <c r="J39" s="39" t="s">
        <v>166</v>
      </c>
      <c r="K39" s="13">
        <v>4</v>
      </c>
      <c r="O39" s="3">
        <v>44395.395833333299</v>
      </c>
      <c r="P39" s="3">
        <v>44395.4375</v>
      </c>
      <c r="Q39" s="42">
        <f t="shared" ca="1" si="0"/>
        <v>701</v>
      </c>
      <c r="R39" s="42">
        <f t="shared" ca="1" si="1"/>
        <v>490</v>
      </c>
      <c r="S39" s="42">
        <f ca="1">IF(OR($I$10="",$O39="",$P39="",$J$35&lt;&gt;"Yes"),0,IF($K$10=0,SUMIFS(INDIRECT(ADDRESS(12,3+18*3+(0),,,"J1 A - (North) Bishopthorpe Roa")&amp;":"&amp;ADDRESS(130,3+18*3+(0))),'J1 A - (North) Bishopthorpe Roa'!$A$12:$A$130,"&gt;="&amp;Diagram!$O39,'J1 A - (North) Bishopthorpe Roa'!$A$12:$A$130,"&lt;"&amp;Diagram!$P39),SUMIFS(INDIRECT(ADDRESS(12,3+18*3+(8),,,"J1 A - (North) Bishopthorpe Roa")&amp;":"&amp;ADDRESS(130,3+18*3+(8))),'J1 A - (North) Bishopthorpe Roa'!$A$12:$A$130,"&gt;="&amp;Diagram!$O39,'J1 A - (North) Bishopthorpe Roa'!$A$12:$A$130,"&lt;"&amp;Diagram!$P39)))</f>
        <v>3</v>
      </c>
      <c r="T39" s="42">
        <f ca="1">IF(OR($I$10="",$O39="",$P39="",$J$35&lt;&gt;"Yes"),0,IF($K$10=0,SUMIFS(INDIRECT(ADDRESS(12,3+18*0+(0),,,"J1 A - (North) Bishopthorpe Roa")&amp;":"&amp;ADDRESS(130,3+18*0+(0))),'J1 A - (North) Bishopthorpe Roa'!$A$12:$A$130,"&gt;="&amp;Diagram!$O39,'J1 A - (North) Bishopthorpe Roa'!$A$12:$A$130,"&lt;"&amp;Diagram!$P39),SUMIFS(INDIRECT(ADDRESS(12,3+18*0+(8),,,"J1 A - (North) Bishopthorpe Roa")&amp;":"&amp;ADDRESS(130,3+18*0+(8))),'J1 A - (North) Bishopthorpe Roa'!$A$12:$A$130,"&gt;="&amp;Diagram!$O39,'J1 A - (North) Bishopthorpe Roa'!$A$12:$A$130,"&lt;"&amp;Diagram!$P39)))</f>
        <v>16</v>
      </c>
      <c r="U39" s="42">
        <f ca="1">IF(OR($I$10="",$O39="",$P39="",$J$35&lt;&gt;"Yes"),0,IF($K$10=0,SUMIFS(INDIRECT(ADDRESS(12,3+18*1+(0),,,"J1 A - (North) Bishopthorpe Roa")&amp;":"&amp;ADDRESS(130,3+18*1+(0))),'J1 A - (North) Bishopthorpe Roa'!$A$12:$A$130,"&gt;="&amp;Diagram!$O39,'J1 A - (North) Bishopthorpe Roa'!$A$12:$A$130,"&lt;"&amp;Diagram!$P39),SUMIFS(INDIRECT(ADDRESS(12,3+18*1+(8),,,"J1 A - (North) Bishopthorpe Roa")&amp;":"&amp;ADDRESS(130,3+18*1+(8))),'J1 A - (North) Bishopthorpe Roa'!$A$12:$A$130,"&gt;="&amp;Diagram!$O39,'J1 A - (North) Bishopthorpe Roa'!$A$12:$A$130,"&lt;"&amp;Diagram!$P39)))</f>
        <v>194</v>
      </c>
      <c r="V39" s="42">
        <f ca="1">IF(OR($I$10="",$O39="",$P39="",$J$35&lt;&gt;"Yes"),0,IF($K$10=0,SUMIFS(INDIRECT(ADDRESS(12,3+18*2+(0),,,"J1 A - (North) Bishopthorpe Roa")&amp;":"&amp;ADDRESS(130,3+18*2+(0))),'J1 A - (North) Bishopthorpe Roa'!$A$12:$A$130,"&gt;="&amp;Diagram!$O39,'J1 A - (North) Bishopthorpe Roa'!$A$12:$A$130,"&lt;"&amp;Diagram!$P39),SUMIFS(INDIRECT(ADDRESS(12,3+18*2+(8),,,"J1 A - (North) Bishopthorpe Roa")&amp;":"&amp;ADDRESS(130,3+18*2+(8))),'J1 A - (North) Bishopthorpe Roa'!$A$12:$A$130,"&gt;="&amp;Diagram!$O39,'J1 A - (North) Bishopthorpe Roa'!$A$12:$A$130,"&lt;"&amp;Diagram!$P39)))</f>
        <v>19</v>
      </c>
      <c r="W39" s="42">
        <f ca="1">IF(OR($I$10="",$O39="",$P39="",$J$35&lt;&gt;"Yes"),0,IF($K$10=0,SUMIFS(INDIRECT(ADDRESS(12,3+18*2+(0),,,"J1 B - Butcher Terrace")&amp;":"&amp;ADDRESS(130,3+18*2+(0))),'J1 B - Butcher Terrace'!$A$12:$A$130,"&gt;="&amp;Diagram!$O39,'J1 B - Butcher Terrace'!$A$12:$A$130,"&lt;"&amp;Diagram!$P39),SUMIFS(INDIRECT(ADDRESS(12,3+18*2+(8),,,"J1 B - Butcher Terrace")&amp;":"&amp;ADDRESS(130,3+18*2+(8))),'J1 B - Butcher Terrace'!$A$12:$A$130,"&gt;="&amp;Diagram!$O39,'J1 B - Butcher Terrace'!$A$12:$A$130,"&lt;"&amp;Diagram!$P39)))</f>
        <v>14</v>
      </c>
      <c r="X39" s="42">
        <f ca="1">IF(OR($I$10="",$O39="",$P39="",$J$35&lt;&gt;"Yes"),0,IF($K$10=0,SUMIFS(INDIRECT(ADDRESS(12,3+18*3+(0),,,"J1 B - Butcher Terrace")&amp;":"&amp;ADDRESS(130,3+18*3+(0))),'J1 B - Butcher Terrace'!$A$12:$A$130,"&gt;="&amp;Diagram!$O39,'J1 B - Butcher Terrace'!$A$12:$A$130,"&lt;"&amp;Diagram!$P39),SUMIFS(INDIRECT(ADDRESS(12,3+18*3+(8),,,"J1 B - Butcher Terrace")&amp;":"&amp;ADDRESS(130,3+18*3+(8))),'J1 B - Butcher Terrace'!$A$12:$A$130,"&gt;="&amp;Diagram!$O39,'J1 B - Butcher Terrace'!$A$12:$A$130,"&lt;"&amp;Diagram!$P39)))</f>
        <v>0</v>
      </c>
      <c r="Y39" s="42">
        <f ca="1">IF(OR($I$10="",$O39="",$P39="",$J$35&lt;&gt;"Yes"),0,IF($K$10=0,SUMIFS(INDIRECT(ADDRESS(12,3+18*0+(0),,,"J1 B - Butcher Terrace")&amp;":"&amp;ADDRESS(130,3+18*0+(0))),'J1 B - Butcher Terrace'!$A$12:$A$130,"&gt;="&amp;Diagram!$O39,'J1 B - Butcher Terrace'!$A$12:$A$130,"&lt;"&amp;Diagram!$P39),SUMIFS(INDIRECT(ADDRESS(12,3+18*0+(8),,,"J1 B - Butcher Terrace")&amp;":"&amp;ADDRESS(130,3+18*0+(8))),'J1 B - Butcher Terrace'!$A$12:$A$130,"&gt;="&amp;Diagram!$O39,'J1 B - Butcher Terrace'!$A$12:$A$130,"&lt;"&amp;Diagram!$P39)))</f>
        <v>11</v>
      </c>
      <c r="Z39" s="42">
        <f ca="1">IF(OR($I$10="",$O39="",$P39="",$J$35&lt;&gt;"Yes"),0,IF($K$10=0,SUMIFS(INDIRECT(ADDRESS(12,3+18*1+(0),,,"J1 B - Butcher Terrace")&amp;":"&amp;ADDRESS(130,3+18*1+(0))),'J1 B - Butcher Terrace'!$A$12:$A$130,"&gt;="&amp;Diagram!$O39,'J1 B - Butcher Terrace'!$A$12:$A$130,"&lt;"&amp;Diagram!$P39),SUMIFS(INDIRECT(ADDRESS(12,3+18*1+(8),,,"J1 B - Butcher Terrace")&amp;":"&amp;ADDRESS(130,3+18*1+(8))),'J1 B - Butcher Terrace'!$A$12:$A$130,"&gt;="&amp;Diagram!$O39,'J1 B - Butcher Terrace'!$A$12:$A$130,"&lt;"&amp;Diagram!$P39)))</f>
        <v>0</v>
      </c>
      <c r="AA39" s="42">
        <f ca="1">IF(OR($I$10="",$O39="",$P39="",$J$35&lt;&gt;"Yes"),0,IF($K$10=0,SUMIFS(INDIRECT(ADDRESS(12,3+18*1+(0),,,"J1 C - (South) Bishopthorpe Roa")&amp;":"&amp;ADDRESS(130,3+18*1+(0))),'J1 C - (South) Bishopthorpe Roa'!$A$12:$A$130,"&gt;="&amp;Diagram!$O39,'J1 C - (South) Bishopthorpe Roa'!$A$12:$A$130,"&lt;"&amp;Diagram!$P39),SUMIFS(INDIRECT(ADDRESS(12,3+18*1+(8),,,"J1 C - (South) Bishopthorpe Roa")&amp;":"&amp;ADDRESS(130,3+18*1+(8))),'J1 C - (South) Bishopthorpe Roa'!$A$12:$A$130,"&gt;="&amp;Diagram!$O39,'J1 C - (South) Bishopthorpe Roa'!$A$12:$A$130,"&lt;"&amp;Diagram!$P39)))</f>
        <v>192</v>
      </c>
      <c r="AB39" s="42">
        <f ca="1">IF(OR($I$10="",$O39="",$P39="",$J$35&lt;&gt;"Yes"),0,IF($K$10=0,SUMIFS(INDIRECT(ADDRESS(12,3+18*2+(0),,,"J1 C - (South) Bishopthorpe Roa")&amp;":"&amp;ADDRESS(130,3+18*2+(0))),'J1 C - (South) Bishopthorpe Roa'!$A$12:$A$130,"&gt;="&amp;Diagram!$O39,'J1 C - (South) Bishopthorpe Roa'!$A$12:$A$130,"&lt;"&amp;Diagram!$P39),SUMIFS(INDIRECT(ADDRESS(12,3+18*2+(8),,,"J1 C - (South) Bishopthorpe Roa")&amp;":"&amp;ADDRESS(130,3+18*2+(8))),'J1 C - (South) Bishopthorpe Roa'!$A$12:$A$130,"&gt;="&amp;Diagram!$O39,'J1 C - (South) Bishopthorpe Roa'!$A$12:$A$130,"&lt;"&amp;Diagram!$P39)))</f>
        <v>4</v>
      </c>
      <c r="AC39" s="42">
        <f ca="1">IF(OR($I$10="",$O39="",$P39="",$J$35&lt;&gt;"Yes"),0,IF($K$10=0,SUMIFS(INDIRECT(ADDRESS(12,3+18*3+(0),,,"J1 C - (South) Bishopthorpe Roa")&amp;":"&amp;ADDRESS(130,3+18*3+(0))),'J1 C - (South) Bishopthorpe Roa'!$A$12:$A$130,"&gt;="&amp;Diagram!$O39,'J1 C - (South) Bishopthorpe Roa'!$A$12:$A$130,"&lt;"&amp;Diagram!$P39),SUMIFS(INDIRECT(ADDRESS(12,3+18*3+(8),,,"J1 C - (South) Bishopthorpe Roa")&amp;":"&amp;ADDRESS(130,3+18*3+(8))),'J1 C - (South) Bishopthorpe Roa'!$A$12:$A$130,"&gt;="&amp;Diagram!$O39,'J1 C - (South) Bishopthorpe Roa'!$A$12:$A$130,"&lt;"&amp;Diagram!$P39)))</f>
        <v>0</v>
      </c>
      <c r="AD39" s="42">
        <f ca="1">IF(OR($I$10="",$O39="",$P39="",$J$35&lt;&gt;"Yes"),0,IF($K$10=0,SUMIFS(INDIRECT(ADDRESS(12,3+18*0+(0),,,"J1 C - (South) Bishopthorpe Roa")&amp;":"&amp;ADDRESS(130,3+18*0+(0))),'J1 C - (South) Bishopthorpe Roa'!$A$12:$A$130,"&gt;="&amp;Diagram!$O39,'J1 C - (South) Bishopthorpe Roa'!$A$12:$A$130,"&lt;"&amp;Diagram!$P39),SUMIFS(INDIRECT(ADDRESS(12,3+18*0+(8),,,"J1 C - (South) Bishopthorpe Roa")&amp;":"&amp;ADDRESS(130,3+18*0+(8))),'J1 C - (South) Bishopthorpe Roa'!$A$12:$A$130,"&gt;="&amp;Diagram!$O39,'J1 C - (South) Bishopthorpe Roa'!$A$12:$A$130,"&lt;"&amp;Diagram!$P39)))</f>
        <v>2</v>
      </c>
      <c r="AE39" s="42">
        <f ca="1">IF(OR($I$10="",$O39="",$P39="",$J$35&lt;&gt;"Yes"),0,IF($K$10=0,SUMIFS(INDIRECT(ADDRESS(12,3+18*0+(0),,,"J1 D - South Bank Avenue")&amp;":"&amp;ADDRESS(130,3+18*0+(0))),'J1 D - South Bank Avenue'!$A$12:$A$130,"&gt;="&amp;Diagram!$O39,'J1 D - South Bank Avenue'!$A$12:$A$130,"&lt;"&amp;Diagram!$P39),SUMIFS(INDIRECT(ADDRESS(12,3+18*0+(8),,,"J1 D - South Bank Avenue")&amp;":"&amp;ADDRESS(130,3+18*0+(8))),'J1 D - South Bank Avenue'!$A$12:$A$130,"&gt;="&amp;Diagram!$O39,'J1 D - South Bank Avenue'!$A$12:$A$130,"&lt;"&amp;Diagram!$P39)))</f>
        <v>31</v>
      </c>
      <c r="AF39" s="42">
        <f ca="1">IF(OR($I$10="",$O39="",$P39="",$J$35&lt;&gt;"Yes"),0,IF($K$10=0,SUMIFS(INDIRECT(ADDRESS(12,3+18*1+(0),,,"J1 D - South Bank Avenue")&amp;":"&amp;ADDRESS(130,3+18*1+(0))),'J1 D - South Bank Avenue'!$A$12:$A$130,"&gt;="&amp;Diagram!$O39,'J1 D - South Bank Avenue'!$A$12:$A$130,"&lt;"&amp;Diagram!$P39),SUMIFS(INDIRECT(ADDRESS(12,3+18*1+(8),,,"J1 D - South Bank Avenue")&amp;":"&amp;ADDRESS(130,3+18*1+(8))),'J1 D - South Bank Avenue'!$A$12:$A$130,"&gt;="&amp;Diagram!$O39,'J1 D - South Bank Avenue'!$A$12:$A$130,"&lt;"&amp;Diagram!$P39)))</f>
        <v>0</v>
      </c>
      <c r="AG39" s="42">
        <f ca="1">IF(OR($I$10="",$O39="",$P39="",$J$35&lt;&gt;"Yes"),0,IF($K$10=0,SUMIFS(INDIRECT(ADDRESS(12,3+18*2+(0),,,"J1 D - South Bank Avenue")&amp;":"&amp;ADDRESS(130,3+18*2+(0))),'J1 D - South Bank Avenue'!$A$12:$A$130,"&gt;="&amp;Diagram!$O39,'J1 D - South Bank Avenue'!$A$12:$A$130,"&lt;"&amp;Diagram!$P39),SUMIFS(INDIRECT(ADDRESS(12,3+18*2+(8),,,"J1 D - South Bank Avenue")&amp;":"&amp;ADDRESS(130,3+18*2+(8))),'J1 D - South Bank Avenue'!$A$12:$A$130,"&gt;="&amp;Diagram!$O39,'J1 D - South Bank Avenue'!$A$12:$A$130,"&lt;"&amp;Diagram!$P39)))</f>
        <v>4</v>
      </c>
      <c r="AH39" s="42">
        <f ca="1">IF(OR($I$10="",$O39="",$P39="",$J$35&lt;&gt;"Yes"),0,IF($K$10=0,SUMIFS(INDIRECT(ADDRESS(12,3+18*3+(0),,,"J1 D - South Bank Avenue")&amp;":"&amp;ADDRESS(130,3+18*3+(0))),'J1 D - South Bank Avenue'!$A$12:$A$130,"&gt;="&amp;Diagram!$O39,'J1 D - South Bank Avenue'!$A$12:$A$130,"&lt;"&amp;Diagram!$P39),SUMIFS(INDIRECT(ADDRESS(12,3+18*3+(8),,,"J1 D - South Bank Avenue")&amp;":"&amp;ADDRESS(130,3+18*3+(8))),'J1 D - South Bank Avenue'!$A$12:$A$130,"&gt;="&amp;Diagram!$O39,'J1 D - South Bank Avenue'!$A$12:$A$130,"&lt;"&amp;Diagram!$P39)))</f>
        <v>0</v>
      </c>
      <c r="AI39" s="42">
        <f t="shared" ca="1" si="2"/>
        <v>91</v>
      </c>
      <c r="AJ39" s="42">
        <f ca="1">IF(OR($I$10="",$O39="",$P39="",$J$36&lt;&gt;"Yes"),0,IF($K$10=0,SUMIFS(INDIRECT(ADDRESS(12,3+18*3+(1),,,"J1 A - (North) Bishopthorpe Roa")&amp;":"&amp;ADDRESS(130,3+18*3+(1))),'J1 A - (North) Bishopthorpe Roa'!$A$12:$A$130,"&gt;="&amp;Diagram!$O39,'J1 A - (North) Bishopthorpe Roa'!$A$12:$A$130,"&lt;"&amp;Diagram!$P39),SUMIFS(INDIRECT(ADDRESS(12,3+18*3+(9),,,"J1 A - (North) Bishopthorpe Roa")&amp;":"&amp;ADDRESS(130,3+18*3+(9))),'J1 A - (North) Bishopthorpe Roa'!$A$12:$A$130,"&gt;="&amp;Diagram!$O39,'J1 A - (North) Bishopthorpe Roa'!$A$12:$A$130,"&lt;"&amp;Diagram!$P39)))</f>
        <v>0</v>
      </c>
      <c r="AK39" s="42">
        <f ca="1">IF(OR($I$10="",$O39="",$P39="",$J$36&lt;&gt;"Yes"),0,IF($K$10=0,SUMIFS(INDIRECT(ADDRESS(12,3+18*0+(1),,,"J1 A - (North) Bishopthorpe Roa")&amp;":"&amp;ADDRESS(130,3+18*0+(1))),'J1 A - (North) Bishopthorpe Roa'!$A$12:$A$130,"&gt;="&amp;Diagram!$O39,'J1 A - (North) Bishopthorpe Roa'!$A$12:$A$130,"&lt;"&amp;Diagram!$P39),SUMIFS(INDIRECT(ADDRESS(12,3+18*0+(9),,,"J1 A - (North) Bishopthorpe Roa")&amp;":"&amp;ADDRESS(130,3+18*0+(9))),'J1 A - (North) Bishopthorpe Roa'!$A$12:$A$130,"&gt;="&amp;Diagram!$O39,'J1 A - (North) Bishopthorpe Roa'!$A$12:$A$130,"&lt;"&amp;Diagram!$P39)))</f>
        <v>3</v>
      </c>
      <c r="AL39" s="42">
        <f ca="1">IF(OR($I$10="",$O39="",$P39="",$J$36&lt;&gt;"Yes"),0,IF($K$10=0,SUMIFS(INDIRECT(ADDRESS(12,3+18*1+(1),,,"J1 A - (North) Bishopthorpe Roa")&amp;":"&amp;ADDRESS(130,3+18*1+(1))),'J1 A - (North) Bishopthorpe Roa'!$A$12:$A$130,"&gt;="&amp;Diagram!$O39,'J1 A - (North) Bishopthorpe Roa'!$A$12:$A$130,"&lt;"&amp;Diagram!$P39),SUMIFS(INDIRECT(ADDRESS(12,3+18*1+(9),,,"J1 A - (North) Bishopthorpe Roa")&amp;":"&amp;ADDRESS(130,3+18*1+(9))),'J1 A - (North) Bishopthorpe Roa'!$A$12:$A$130,"&gt;="&amp;Diagram!$O39,'J1 A - (North) Bishopthorpe Roa'!$A$12:$A$130,"&lt;"&amp;Diagram!$P39)))</f>
        <v>32</v>
      </c>
      <c r="AM39" s="42">
        <f ca="1">IF(OR($I$10="",$O39="",$P39="",$J$36&lt;&gt;"Yes"),0,IF($K$10=0,SUMIFS(INDIRECT(ADDRESS(12,3+18*2+(1),,,"J1 A - (North) Bishopthorpe Roa")&amp;":"&amp;ADDRESS(130,3+18*2+(1))),'J1 A - (North) Bishopthorpe Roa'!$A$12:$A$130,"&gt;="&amp;Diagram!$O39,'J1 A - (North) Bishopthorpe Roa'!$A$12:$A$130,"&lt;"&amp;Diagram!$P39),SUMIFS(INDIRECT(ADDRESS(12,3+18*2+(9),,,"J1 A - (North) Bishopthorpe Roa")&amp;":"&amp;ADDRESS(130,3+18*2+(9))),'J1 A - (North) Bishopthorpe Roa'!$A$12:$A$130,"&gt;="&amp;Diagram!$O39,'J1 A - (North) Bishopthorpe Roa'!$A$12:$A$130,"&lt;"&amp;Diagram!$P39)))</f>
        <v>4</v>
      </c>
      <c r="AN39" s="42">
        <f ca="1">IF(OR($I$10="",$O39="",$P39="",$J$36&lt;&gt;"Yes"),0,IF($K$10=0,SUMIFS(INDIRECT(ADDRESS(12,3+18*2+(1),,,"J1 B - Butcher Terrace")&amp;":"&amp;ADDRESS(130,3+18*2+(1))),'J1 B - Butcher Terrace'!$A$12:$A$130,"&gt;="&amp;Diagram!$O39,'J1 B - Butcher Terrace'!$A$12:$A$130,"&lt;"&amp;Diagram!$P39),SUMIFS(INDIRECT(ADDRESS(12,3+18*2+(9),,,"J1 B - Butcher Terrace")&amp;":"&amp;ADDRESS(130,3+18*2+(9))),'J1 B - Butcher Terrace'!$A$12:$A$130,"&gt;="&amp;Diagram!$O39,'J1 B - Butcher Terrace'!$A$12:$A$130,"&lt;"&amp;Diagram!$P39)))</f>
        <v>7</v>
      </c>
      <c r="AO39" s="42">
        <f ca="1">IF(OR($I$10="",$O39="",$P39="",$J$36&lt;&gt;"Yes"),0,IF($K$10=0,SUMIFS(INDIRECT(ADDRESS(12,3+18*3+(1),,,"J1 B - Butcher Terrace")&amp;":"&amp;ADDRESS(130,3+18*3+(1))),'J1 B - Butcher Terrace'!$A$12:$A$130,"&gt;="&amp;Diagram!$O39,'J1 B - Butcher Terrace'!$A$12:$A$130,"&lt;"&amp;Diagram!$P39),SUMIFS(INDIRECT(ADDRESS(12,3+18*3+(9),,,"J1 B - Butcher Terrace")&amp;":"&amp;ADDRESS(130,3+18*3+(9))),'J1 B - Butcher Terrace'!$A$12:$A$130,"&gt;="&amp;Diagram!$O39,'J1 B - Butcher Terrace'!$A$12:$A$130,"&lt;"&amp;Diagram!$P39)))</f>
        <v>0</v>
      </c>
      <c r="AP39" s="42">
        <f ca="1">IF(OR($I$10="",$O39="",$P39="",$J$36&lt;&gt;"Yes"),0,IF($K$10=0,SUMIFS(INDIRECT(ADDRESS(12,3+18*0+(1),,,"J1 B - Butcher Terrace")&amp;":"&amp;ADDRESS(130,3+18*0+(1))),'J1 B - Butcher Terrace'!$A$12:$A$130,"&gt;="&amp;Diagram!$O39,'J1 B - Butcher Terrace'!$A$12:$A$130,"&lt;"&amp;Diagram!$P39),SUMIFS(INDIRECT(ADDRESS(12,3+18*0+(9),,,"J1 B - Butcher Terrace")&amp;":"&amp;ADDRESS(130,3+18*0+(9))),'J1 B - Butcher Terrace'!$A$12:$A$130,"&gt;="&amp;Diagram!$O39,'J1 B - Butcher Terrace'!$A$12:$A$130,"&lt;"&amp;Diagram!$P39)))</f>
        <v>3</v>
      </c>
      <c r="AQ39" s="42">
        <f ca="1">IF(OR($I$10="",$O39="",$P39="",$J$36&lt;&gt;"Yes"),0,IF($K$10=0,SUMIFS(INDIRECT(ADDRESS(12,3+18*1+(1),,,"J1 B - Butcher Terrace")&amp;":"&amp;ADDRESS(130,3+18*1+(1))),'J1 B - Butcher Terrace'!$A$12:$A$130,"&gt;="&amp;Diagram!$O39,'J1 B - Butcher Terrace'!$A$12:$A$130,"&lt;"&amp;Diagram!$P39),SUMIFS(INDIRECT(ADDRESS(12,3+18*1+(9),,,"J1 B - Butcher Terrace")&amp;":"&amp;ADDRESS(130,3+18*1+(9))),'J1 B - Butcher Terrace'!$A$12:$A$130,"&gt;="&amp;Diagram!$O39,'J1 B - Butcher Terrace'!$A$12:$A$130,"&lt;"&amp;Diagram!$P39)))</f>
        <v>1</v>
      </c>
      <c r="AR39" s="42">
        <f ca="1">IF(OR($I$10="",$O39="",$P39="",$J$36&lt;&gt;"Yes"),0,IF($K$10=0,SUMIFS(INDIRECT(ADDRESS(12,3+18*1+(1),,,"J1 C - (South) Bishopthorpe Roa")&amp;":"&amp;ADDRESS(130,3+18*1+(1))),'J1 C - (South) Bishopthorpe Roa'!$A$12:$A$130,"&gt;="&amp;Diagram!$O39,'J1 C - (South) Bishopthorpe Roa'!$A$12:$A$130,"&lt;"&amp;Diagram!$P39),SUMIFS(INDIRECT(ADDRESS(12,3+18*1+(9),,,"J1 C - (South) Bishopthorpe Roa")&amp;":"&amp;ADDRESS(130,3+18*1+(9))),'J1 C - (South) Bishopthorpe Roa'!$A$12:$A$130,"&gt;="&amp;Diagram!$O39,'J1 C - (South) Bishopthorpe Roa'!$A$12:$A$130,"&lt;"&amp;Diagram!$P39)))</f>
        <v>26</v>
      </c>
      <c r="AS39" s="42">
        <f ca="1">IF(OR($I$10="",$O39="",$P39="",$J$36&lt;&gt;"Yes"),0,IF($K$10=0,SUMIFS(INDIRECT(ADDRESS(12,3+18*2+(1),,,"J1 C - (South) Bishopthorpe Roa")&amp;":"&amp;ADDRESS(130,3+18*2+(1))),'J1 C - (South) Bishopthorpe Roa'!$A$12:$A$130,"&gt;="&amp;Diagram!$O39,'J1 C - (South) Bishopthorpe Roa'!$A$12:$A$130,"&lt;"&amp;Diagram!$P39),SUMIFS(INDIRECT(ADDRESS(12,3+18*2+(9),,,"J1 C - (South) Bishopthorpe Roa")&amp;":"&amp;ADDRESS(130,3+18*2+(9))),'J1 C - (South) Bishopthorpe Roa'!$A$12:$A$130,"&gt;="&amp;Diagram!$O39,'J1 C - (South) Bishopthorpe Roa'!$A$12:$A$130,"&lt;"&amp;Diagram!$P39)))</f>
        <v>1</v>
      </c>
      <c r="AT39" s="42">
        <f ca="1">IF(OR($I$10="",$O39="",$P39="",$J$36&lt;&gt;"Yes"),0,IF($K$10=0,SUMIFS(INDIRECT(ADDRESS(12,3+18*3+(1),,,"J1 C - (South) Bishopthorpe Roa")&amp;":"&amp;ADDRESS(130,3+18*3+(1))),'J1 C - (South) Bishopthorpe Roa'!$A$12:$A$130,"&gt;="&amp;Diagram!$O39,'J1 C - (South) Bishopthorpe Roa'!$A$12:$A$130,"&lt;"&amp;Diagram!$P39),SUMIFS(INDIRECT(ADDRESS(12,3+18*3+(9),,,"J1 C - (South) Bishopthorpe Roa")&amp;":"&amp;ADDRESS(130,3+18*3+(9))),'J1 C - (South) Bishopthorpe Roa'!$A$12:$A$130,"&gt;="&amp;Diagram!$O39,'J1 C - (South) Bishopthorpe Roa'!$A$12:$A$130,"&lt;"&amp;Diagram!$P39)))</f>
        <v>0</v>
      </c>
      <c r="AU39" s="42">
        <f ca="1">IF(OR($I$10="",$O39="",$P39="",$J$36&lt;&gt;"Yes"),0,IF($K$10=0,SUMIFS(INDIRECT(ADDRESS(12,3+18*0+(1),,,"J1 C - (South) Bishopthorpe Roa")&amp;":"&amp;ADDRESS(130,3+18*0+(1))),'J1 C - (South) Bishopthorpe Roa'!$A$12:$A$130,"&gt;="&amp;Diagram!$O39,'J1 C - (South) Bishopthorpe Roa'!$A$12:$A$130,"&lt;"&amp;Diagram!$P39),SUMIFS(INDIRECT(ADDRESS(12,3+18*0+(9),,,"J1 C - (South) Bishopthorpe Roa")&amp;":"&amp;ADDRESS(130,3+18*0+(9))),'J1 C - (South) Bishopthorpe Roa'!$A$12:$A$130,"&gt;="&amp;Diagram!$O39,'J1 C - (South) Bishopthorpe Roa'!$A$12:$A$130,"&lt;"&amp;Diagram!$P39)))</f>
        <v>1</v>
      </c>
      <c r="AV39" s="42">
        <f ca="1">IF(OR($I$10="",$O39="",$P39="",$J$36&lt;&gt;"Yes"),0,IF($K$10=0,SUMIFS(INDIRECT(ADDRESS(12,3+18*0+(1),,,"J1 D - South Bank Avenue")&amp;":"&amp;ADDRESS(130,3+18*0+(1))),'J1 D - South Bank Avenue'!$A$12:$A$130,"&gt;="&amp;Diagram!$O39,'J1 D - South Bank Avenue'!$A$12:$A$130,"&lt;"&amp;Diagram!$P39),SUMIFS(INDIRECT(ADDRESS(12,3+18*0+(9),,,"J1 D - South Bank Avenue")&amp;":"&amp;ADDRESS(130,3+18*0+(9))),'J1 D - South Bank Avenue'!$A$12:$A$130,"&gt;="&amp;Diagram!$O39,'J1 D - South Bank Avenue'!$A$12:$A$130,"&lt;"&amp;Diagram!$P39)))</f>
        <v>7</v>
      </c>
      <c r="AW39" s="42">
        <f ca="1">IF(OR($I$10="",$O39="",$P39="",$J$36&lt;&gt;"Yes"),0,IF($K$10=0,SUMIFS(INDIRECT(ADDRESS(12,3+18*1+(1),,,"J1 D - South Bank Avenue")&amp;":"&amp;ADDRESS(130,3+18*1+(1))),'J1 D - South Bank Avenue'!$A$12:$A$130,"&gt;="&amp;Diagram!$O39,'J1 D - South Bank Avenue'!$A$12:$A$130,"&lt;"&amp;Diagram!$P39),SUMIFS(INDIRECT(ADDRESS(12,3+18*1+(9),,,"J1 D - South Bank Avenue")&amp;":"&amp;ADDRESS(130,3+18*1+(9))),'J1 D - South Bank Avenue'!$A$12:$A$130,"&gt;="&amp;Diagram!$O39,'J1 D - South Bank Avenue'!$A$12:$A$130,"&lt;"&amp;Diagram!$P39)))</f>
        <v>0</v>
      </c>
      <c r="AX39" s="42">
        <f ca="1">IF(OR($I$10="",$O39="",$P39="",$J$36&lt;&gt;"Yes"),0,IF($K$10=0,SUMIFS(INDIRECT(ADDRESS(12,3+18*2+(1),,,"J1 D - South Bank Avenue")&amp;":"&amp;ADDRESS(130,3+18*2+(1))),'J1 D - South Bank Avenue'!$A$12:$A$130,"&gt;="&amp;Diagram!$O39,'J1 D - South Bank Avenue'!$A$12:$A$130,"&lt;"&amp;Diagram!$P39),SUMIFS(INDIRECT(ADDRESS(12,3+18*2+(9),,,"J1 D - South Bank Avenue")&amp;":"&amp;ADDRESS(130,3+18*2+(9))),'J1 D - South Bank Avenue'!$A$12:$A$130,"&gt;="&amp;Diagram!$O39,'J1 D - South Bank Avenue'!$A$12:$A$130,"&lt;"&amp;Diagram!$P39)))</f>
        <v>6</v>
      </c>
      <c r="AY39" s="42">
        <f ca="1">IF(OR($I$10="",$O39="",$P39="",$J$36&lt;&gt;"Yes"),0,IF($K$10=0,SUMIFS(INDIRECT(ADDRESS(12,3+18*3+(1),,,"J1 D - South Bank Avenue")&amp;":"&amp;ADDRESS(130,3+18*3+(1))),'J1 D - South Bank Avenue'!$A$12:$A$130,"&gt;="&amp;Diagram!$O39,'J1 D - South Bank Avenue'!$A$12:$A$130,"&lt;"&amp;Diagram!$P39),SUMIFS(INDIRECT(ADDRESS(12,3+18*3+(9),,,"J1 D - South Bank Avenue")&amp;":"&amp;ADDRESS(130,3+18*3+(9))),'J1 D - South Bank Avenue'!$A$12:$A$130,"&gt;="&amp;Diagram!$O39,'J1 D - South Bank Avenue'!$A$12:$A$130,"&lt;"&amp;Diagram!$P39)))</f>
        <v>0</v>
      </c>
      <c r="AZ39" s="42">
        <f t="shared" ca="1" si="3"/>
        <v>16</v>
      </c>
      <c r="BA39" s="42">
        <f ca="1">IF(OR($I$10="",$O39="",$P39="",$J$37&lt;&gt;"Yes"),0,IF($K$10=0,SUMIFS(INDIRECT(ADDRESS(12,3+18*3+(2),,,"J1 A - (North) Bishopthorpe Roa")&amp;":"&amp;ADDRESS(130,3+18*3+(2))),'J1 A - (North) Bishopthorpe Roa'!$A$12:$A$130,"&gt;="&amp;Diagram!$O39,'J1 A - (North) Bishopthorpe Roa'!$A$12:$A$130,"&lt;"&amp;Diagram!$P39),SUMIFS(INDIRECT(ADDRESS(12,3+18*3+(10),,,"J1 A - (North) Bishopthorpe Roa")&amp;":"&amp;ADDRESS(130,3+18*3+(10))),'J1 A - (North) Bishopthorpe Roa'!$A$12:$A$130,"&gt;="&amp;Diagram!$O39,'J1 A - (North) Bishopthorpe Roa'!$A$12:$A$130,"&lt;"&amp;Diagram!$P39)))</f>
        <v>0</v>
      </c>
      <c r="BB39" s="42">
        <f ca="1">IF(OR($I$10="",$O39="",$P39="",$J$37&lt;&gt;"Yes"),0,IF($K$10=0,SUMIFS(INDIRECT(ADDRESS(12,3+18*0+(2),,,"J1 A - (North) Bishopthorpe Roa")&amp;":"&amp;ADDRESS(130,3+18*0+(2))),'J1 A - (North) Bishopthorpe Roa'!$A$12:$A$130,"&gt;="&amp;Diagram!$O39,'J1 A - (North) Bishopthorpe Roa'!$A$12:$A$130,"&lt;"&amp;Diagram!$P39),SUMIFS(INDIRECT(ADDRESS(12,3+18*0+(10),,,"J1 A - (North) Bishopthorpe Roa")&amp;":"&amp;ADDRESS(130,3+18*0+(10))),'J1 A - (North) Bishopthorpe Roa'!$A$12:$A$130,"&gt;="&amp;Diagram!$O39,'J1 A - (North) Bishopthorpe Roa'!$A$12:$A$130,"&lt;"&amp;Diagram!$P39)))</f>
        <v>2</v>
      </c>
      <c r="BC39" s="42">
        <f ca="1">IF(OR($I$10="",$O39="",$P39="",$J$37&lt;&gt;"Yes"),0,IF($K$10=0,SUMIFS(INDIRECT(ADDRESS(12,3+18*1+(2),,,"J1 A - (North) Bishopthorpe Roa")&amp;":"&amp;ADDRESS(130,3+18*1+(2))),'J1 A - (North) Bishopthorpe Roa'!$A$12:$A$130,"&gt;="&amp;Diagram!$O39,'J1 A - (North) Bishopthorpe Roa'!$A$12:$A$130,"&lt;"&amp;Diagram!$P39),SUMIFS(INDIRECT(ADDRESS(12,3+18*1+(10),,,"J1 A - (North) Bishopthorpe Roa")&amp;":"&amp;ADDRESS(130,3+18*1+(10))),'J1 A - (North) Bishopthorpe Roa'!$A$12:$A$130,"&gt;="&amp;Diagram!$O39,'J1 A - (North) Bishopthorpe Roa'!$A$12:$A$130,"&lt;"&amp;Diagram!$P39)))</f>
        <v>6</v>
      </c>
      <c r="BD39" s="42">
        <f ca="1">IF(OR($I$10="",$O39="",$P39="",$J$37&lt;&gt;"Yes"),0,IF($K$10=0,SUMIFS(INDIRECT(ADDRESS(12,3+18*2+(2),,,"J1 A - (North) Bishopthorpe Roa")&amp;":"&amp;ADDRESS(130,3+18*2+(2))),'J1 A - (North) Bishopthorpe Roa'!$A$12:$A$130,"&gt;="&amp;Diagram!$O39,'J1 A - (North) Bishopthorpe Roa'!$A$12:$A$130,"&lt;"&amp;Diagram!$P39),SUMIFS(INDIRECT(ADDRESS(12,3+18*2+(10),,,"J1 A - (North) Bishopthorpe Roa")&amp;":"&amp;ADDRESS(130,3+18*2+(10))),'J1 A - (North) Bishopthorpe Roa'!$A$12:$A$130,"&gt;="&amp;Diagram!$O39,'J1 A - (North) Bishopthorpe Roa'!$A$12:$A$130,"&lt;"&amp;Diagram!$P39)))</f>
        <v>0</v>
      </c>
      <c r="BE39" s="42">
        <f ca="1">IF(OR($I$10="",$O39="",$P39="",$J$37&lt;&gt;"Yes"),0,IF($K$10=0,SUMIFS(INDIRECT(ADDRESS(12,3+18*2+(2),,,"J1 B - Butcher Terrace")&amp;":"&amp;ADDRESS(130,3+18*2+(2))),'J1 B - Butcher Terrace'!$A$12:$A$130,"&gt;="&amp;Diagram!$O39,'J1 B - Butcher Terrace'!$A$12:$A$130,"&lt;"&amp;Diagram!$P39),SUMIFS(INDIRECT(ADDRESS(12,3+18*2+(10),,,"J1 B - Butcher Terrace")&amp;":"&amp;ADDRESS(130,3+18*2+(10))),'J1 B - Butcher Terrace'!$A$12:$A$130,"&gt;="&amp;Diagram!$O39,'J1 B - Butcher Terrace'!$A$12:$A$130,"&lt;"&amp;Diagram!$P39)))</f>
        <v>3</v>
      </c>
      <c r="BF39" s="42">
        <f ca="1">IF(OR($I$10="",$O39="",$P39="",$J$37&lt;&gt;"Yes"),0,IF($K$10=0,SUMIFS(INDIRECT(ADDRESS(12,3+18*3+(2),,,"J1 B - Butcher Terrace")&amp;":"&amp;ADDRESS(130,3+18*3+(2))),'J1 B - Butcher Terrace'!$A$12:$A$130,"&gt;="&amp;Diagram!$O39,'J1 B - Butcher Terrace'!$A$12:$A$130,"&lt;"&amp;Diagram!$P39),SUMIFS(INDIRECT(ADDRESS(12,3+18*3+(10),,,"J1 B - Butcher Terrace")&amp;":"&amp;ADDRESS(130,3+18*3+(10))),'J1 B - Butcher Terrace'!$A$12:$A$130,"&gt;="&amp;Diagram!$O39,'J1 B - Butcher Terrace'!$A$12:$A$130,"&lt;"&amp;Diagram!$P39)))</f>
        <v>0</v>
      </c>
      <c r="BG39" s="42">
        <f ca="1">IF(OR($I$10="",$O39="",$P39="",$J$37&lt;&gt;"Yes"),0,IF($K$10=0,SUMIFS(INDIRECT(ADDRESS(12,3+18*0+(2),,,"J1 B - Butcher Terrace")&amp;":"&amp;ADDRESS(130,3+18*0+(2))),'J1 B - Butcher Terrace'!$A$12:$A$130,"&gt;="&amp;Diagram!$O39,'J1 B - Butcher Terrace'!$A$12:$A$130,"&lt;"&amp;Diagram!$P39),SUMIFS(INDIRECT(ADDRESS(12,3+18*0+(10),,,"J1 B - Butcher Terrace")&amp;":"&amp;ADDRESS(130,3+18*0+(10))),'J1 B - Butcher Terrace'!$A$12:$A$130,"&gt;="&amp;Diagram!$O39,'J1 B - Butcher Terrace'!$A$12:$A$130,"&lt;"&amp;Diagram!$P39)))</f>
        <v>0</v>
      </c>
      <c r="BH39" s="42">
        <f ca="1">IF(OR($I$10="",$O39="",$P39="",$J$37&lt;&gt;"Yes"),0,IF($K$10=0,SUMIFS(INDIRECT(ADDRESS(12,3+18*1+(2),,,"J1 B - Butcher Terrace")&amp;":"&amp;ADDRESS(130,3+18*1+(2))),'J1 B - Butcher Terrace'!$A$12:$A$130,"&gt;="&amp;Diagram!$O39,'J1 B - Butcher Terrace'!$A$12:$A$130,"&lt;"&amp;Diagram!$P39),SUMIFS(INDIRECT(ADDRESS(12,3+18*1+(10),,,"J1 B - Butcher Terrace")&amp;":"&amp;ADDRESS(130,3+18*1+(10))),'J1 B - Butcher Terrace'!$A$12:$A$130,"&gt;="&amp;Diagram!$O39,'J1 B - Butcher Terrace'!$A$12:$A$130,"&lt;"&amp;Diagram!$P39)))</f>
        <v>0</v>
      </c>
      <c r="BI39" s="42">
        <f ca="1">IF(OR($I$10="",$O39="",$P39="",$J$37&lt;&gt;"Yes"),0,IF($K$10=0,SUMIFS(INDIRECT(ADDRESS(12,3+18*1+(2),,,"J1 C - (South) Bishopthorpe Roa")&amp;":"&amp;ADDRESS(130,3+18*1+(2))),'J1 C - (South) Bishopthorpe Roa'!$A$12:$A$130,"&gt;="&amp;Diagram!$O39,'J1 C - (South) Bishopthorpe Roa'!$A$12:$A$130,"&lt;"&amp;Diagram!$P39),SUMIFS(INDIRECT(ADDRESS(12,3+18*1+(10),,,"J1 C - (South) Bishopthorpe Roa")&amp;":"&amp;ADDRESS(130,3+18*1+(10))),'J1 C - (South) Bishopthorpe Roa'!$A$12:$A$130,"&gt;="&amp;Diagram!$O39,'J1 C - (South) Bishopthorpe Roa'!$A$12:$A$130,"&lt;"&amp;Diagram!$P39)))</f>
        <v>2</v>
      </c>
      <c r="BJ39" s="42">
        <f ca="1">IF(OR($I$10="",$O39="",$P39="",$J$37&lt;&gt;"Yes"),0,IF($K$10=0,SUMIFS(INDIRECT(ADDRESS(12,3+18*2+(2),,,"J1 C - (South) Bishopthorpe Roa")&amp;":"&amp;ADDRESS(130,3+18*2+(2))),'J1 C - (South) Bishopthorpe Roa'!$A$12:$A$130,"&gt;="&amp;Diagram!$O39,'J1 C - (South) Bishopthorpe Roa'!$A$12:$A$130,"&lt;"&amp;Diagram!$P39),SUMIFS(INDIRECT(ADDRESS(12,3+18*2+(10),,,"J1 C - (South) Bishopthorpe Roa")&amp;":"&amp;ADDRESS(130,3+18*2+(10))),'J1 C - (South) Bishopthorpe Roa'!$A$12:$A$130,"&gt;="&amp;Diagram!$O39,'J1 C - (South) Bishopthorpe Roa'!$A$12:$A$130,"&lt;"&amp;Diagram!$P39)))</f>
        <v>0</v>
      </c>
      <c r="BK39" s="42">
        <f ca="1">IF(OR($I$10="",$O39="",$P39="",$J$37&lt;&gt;"Yes"),0,IF($K$10=0,SUMIFS(INDIRECT(ADDRESS(12,3+18*3+(2),,,"J1 C - (South) Bishopthorpe Roa")&amp;":"&amp;ADDRESS(130,3+18*3+(2))),'J1 C - (South) Bishopthorpe Roa'!$A$12:$A$130,"&gt;="&amp;Diagram!$O39,'J1 C - (South) Bishopthorpe Roa'!$A$12:$A$130,"&lt;"&amp;Diagram!$P39),SUMIFS(INDIRECT(ADDRESS(12,3+18*3+(10),,,"J1 C - (South) Bishopthorpe Roa")&amp;":"&amp;ADDRESS(130,3+18*3+(10))),'J1 C - (South) Bishopthorpe Roa'!$A$12:$A$130,"&gt;="&amp;Diagram!$O39,'J1 C - (South) Bishopthorpe Roa'!$A$12:$A$130,"&lt;"&amp;Diagram!$P39)))</f>
        <v>0</v>
      </c>
      <c r="BL39" s="42">
        <f ca="1">IF(OR($I$10="",$O39="",$P39="",$J$37&lt;&gt;"Yes"),0,IF($K$10=0,SUMIFS(INDIRECT(ADDRESS(12,3+18*0+(2),,,"J1 C - (South) Bishopthorpe Roa")&amp;":"&amp;ADDRESS(130,3+18*0+(2))),'J1 C - (South) Bishopthorpe Roa'!$A$12:$A$130,"&gt;="&amp;Diagram!$O39,'J1 C - (South) Bishopthorpe Roa'!$A$12:$A$130,"&lt;"&amp;Diagram!$P39),SUMIFS(INDIRECT(ADDRESS(12,3+18*0+(10),,,"J1 C - (South) Bishopthorpe Roa")&amp;":"&amp;ADDRESS(130,3+18*0+(10))),'J1 C - (South) Bishopthorpe Roa'!$A$12:$A$130,"&gt;="&amp;Diagram!$O39,'J1 C - (South) Bishopthorpe Roa'!$A$12:$A$130,"&lt;"&amp;Diagram!$P39)))</f>
        <v>2</v>
      </c>
      <c r="BM39" s="42">
        <f ca="1">IF(OR($I$10="",$O39="",$P39="",$J$37&lt;&gt;"Yes"),0,IF($K$10=0,SUMIFS(INDIRECT(ADDRESS(12,3+18*0+(2),,,"J1 D - South Bank Avenue")&amp;":"&amp;ADDRESS(130,3+18*0+(2))),'J1 D - South Bank Avenue'!$A$12:$A$130,"&gt;="&amp;Diagram!$O39,'J1 D - South Bank Avenue'!$A$12:$A$130,"&lt;"&amp;Diagram!$P39),SUMIFS(INDIRECT(ADDRESS(12,3+18*0+(10),,,"J1 D - South Bank Avenue")&amp;":"&amp;ADDRESS(130,3+18*0+(10))),'J1 D - South Bank Avenue'!$A$12:$A$130,"&gt;="&amp;Diagram!$O39,'J1 D - South Bank Avenue'!$A$12:$A$130,"&lt;"&amp;Diagram!$P39)))</f>
        <v>1</v>
      </c>
      <c r="BN39" s="42">
        <f ca="1">IF(OR($I$10="",$O39="",$P39="",$J$37&lt;&gt;"Yes"),0,IF($K$10=0,SUMIFS(INDIRECT(ADDRESS(12,3+18*1+(2),,,"J1 D - South Bank Avenue")&amp;":"&amp;ADDRESS(130,3+18*1+(2))),'J1 D - South Bank Avenue'!$A$12:$A$130,"&gt;="&amp;Diagram!$O39,'J1 D - South Bank Avenue'!$A$12:$A$130,"&lt;"&amp;Diagram!$P39),SUMIFS(INDIRECT(ADDRESS(12,3+18*1+(10),,,"J1 D - South Bank Avenue")&amp;":"&amp;ADDRESS(130,3+18*1+(10))),'J1 D - South Bank Avenue'!$A$12:$A$130,"&gt;="&amp;Diagram!$O39,'J1 D - South Bank Avenue'!$A$12:$A$130,"&lt;"&amp;Diagram!$P39)))</f>
        <v>0</v>
      </c>
      <c r="BO39" s="42">
        <f ca="1">IF(OR($I$10="",$O39="",$P39="",$J$37&lt;&gt;"Yes"),0,IF($K$10=0,SUMIFS(INDIRECT(ADDRESS(12,3+18*2+(2),,,"J1 D - South Bank Avenue")&amp;":"&amp;ADDRESS(130,3+18*2+(2))),'J1 D - South Bank Avenue'!$A$12:$A$130,"&gt;="&amp;Diagram!$O39,'J1 D - South Bank Avenue'!$A$12:$A$130,"&lt;"&amp;Diagram!$P39),SUMIFS(INDIRECT(ADDRESS(12,3+18*2+(10),,,"J1 D - South Bank Avenue")&amp;":"&amp;ADDRESS(130,3+18*2+(10))),'J1 D - South Bank Avenue'!$A$12:$A$130,"&gt;="&amp;Diagram!$O39,'J1 D - South Bank Avenue'!$A$12:$A$130,"&lt;"&amp;Diagram!$P39)))</f>
        <v>0</v>
      </c>
      <c r="BP39" s="42">
        <f ca="1">IF(OR($I$10="",$O39="",$P39="",$J$37&lt;&gt;"Yes"),0,IF($K$10=0,SUMIFS(INDIRECT(ADDRESS(12,3+18*3+(2),,,"J1 D - South Bank Avenue")&amp;":"&amp;ADDRESS(130,3+18*3+(2))),'J1 D - South Bank Avenue'!$A$12:$A$130,"&gt;="&amp;Diagram!$O39,'J1 D - South Bank Avenue'!$A$12:$A$130,"&lt;"&amp;Diagram!$P39),SUMIFS(INDIRECT(ADDRESS(12,3+18*3+(10),,,"J1 D - South Bank Avenue")&amp;":"&amp;ADDRESS(130,3+18*3+(10))),'J1 D - South Bank Avenue'!$A$12:$A$130,"&gt;="&amp;Diagram!$O39,'J1 D - South Bank Avenue'!$A$12:$A$130,"&lt;"&amp;Diagram!$P39)))</f>
        <v>0</v>
      </c>
      <c r="BQ39" s="42">
        <f t="shared" ca="1" si="4"/>
        <v>0</v>
      </c>
      <c r="BR39" s="42">
        <f ca="1">IF(OR($I$10="",$O39="",$P39="",$J$38&lt;&gt;"Yes"),0,IF($K$10=0,SUMIFS(INDIRECT(ADDRESS(12,3+18*3+(3),,,"J1 A - (North) Bishopthorpe Roa")&amp;":"&amp;ADDRESS(130,3+18*3+(3))),'J1 A - (North) Bishopthorpe Roa'!$A$12:$A$130,"&gt;="&amp;Diagram!$O39,'J1 A - (North) Bishopthorpe Roa'!$A$12:$A$130,"&lt;"&amp;Diagram!$P39),SUMIFS(INDIRECT(ADDRESS(12,3+18*3+(11),,,"J1 A - (North) Bishopthorpe Roa")&amp;":"&amp;ADDRESS(130,3+18*3+(11))),'J1 A - (North) Bishopthorpe Roa'!$A$12:$A$130,"&gt;="&amp;Diagram!$O39,'J1 A - (North) Bishopthorpe Roa'!$A$12:$A$130,"&lt;"&amp;Diagram!$P39)))</f>
        <v>0</v>
      </c>
      <c r="BS39" s="42">
        <f ca="1">IF(OR($I$10="",$O39="",$P39="",$J$38&lt;&gt;"Yes"),0,IF($K$10=0,SUMIFS(INDIRECT(ADDRESS(12,3+18*0+(3),,,"J1 A - (North) Bishopthorpe Roa")&amp;":"&amp;ADDRESS(130,3+18*0+(3))),'J1 A - (North) Bishopthorpe Roa'!$A$12:$A$130,"&gt;="&amp;Diagram!$O39,'J1 A - (North) Bishopthorpe Roa'!$A$12:$A$130,"&lt;"&amp;Diagram!$P39),SUMIFS(INDIRECT(ADDRESS(12,3+18*0+(11),,,"J1 A - (North) Bishopthorpe Roa")&amp;":"&amp;ADDRESS(130,3+18*0+(11))),'J1 A - (North) Bishopthorpe Roa'!$A$12:$A$130,"&gt;="&amp;Diagram!$O39,'J1 A - (North) Bishopthorpe Roa'!$A$12:$A$130,"&lt;"&amp;Diagram!$P39)))</f>
        <v>0</v>
      </c>
      <c r="BT39" s="42">
        <f ca="1">IF(OR($I$10="",$O39="",$P39="",$J$38&lt;&gt;"Yes"),0,IF($K$10=0,SUMIFS(INDIRECT(ADDRESS(12,3+18*1+(3),,,"J1 A - (North) Bishopthorpe Roa")&amp;":"&amp;ADDRESS(130,3+18*1+(3))),'J1 A - (North) Bishopthorpe Roa'!$A$12:$A$130,"&gt;="&amp;Diagram!$O39,'J1 A - (North) Bishopthorpe Roa'!$A$12:$A$130,"&lt;"&amp;Diagram!$P39),SUMIFS(INDIRECT(ADDRESS(12,3+18*1+(11),,,"J1 A - (North) Bishopthorpe Roa")&amp;":"&amp;ADDRESS(130,3+18*1+(11))),'J1 A - (North) Bishopthorpe Roa'!$A$12:$A$130,"&gt;="&amp;Diagram!$O39,'J1 A - (North) Bishopthorpe Roa'!$A$12:$A$130,"&lt;"&amp;Diagram!$P39)))</f>
        <v>0</v>
      </c>
      <c r="BU39" s="42">
        <f ca="1">IF(OR($I$10="",$O39="",$P39="",$J$38&lt;&gt;"Yes"),0,IF($K$10=0,SUMIFS(INDIRECT(ADDRESS(12,3+18*2+(3),,,"J1 A - (North) Bishopthorpe Roa")&amp;":"&amp;ADDRESS(130,3+18*2+(3))),'J1 A - (North) Bishopthorpe Roa'!$A$12:$A$130,"&gt;="&amp;Diagram!$O39,'J1 A - (North) Bishopthorpe Roa'!$A$12:$A$130,"&lt;"&amp;Diagram!$P39),SUMIFS(INDIRECT(ADDRESS(12,3+18*2+(11),,,"J1 A - (North) Bishopthorpe Roa")&amp;":"&amp;ADDRESS(130,3+18*2+(11))),'J1 A - (North) Bishopthorpe Roa'!$A$12:$A$130,"&gt;="&amp;Diagram!$O39,'J1 A - (North) Bishopthorpe Roa'!$A$12:$A$130,"&lt;"&amp;Diagram!$P39)))</f>
        <v>0</v>
      </c>
      <c r="BV39" s="42">
        <f ca="1">IF(OR($I$10="",$O39="",$P39="",$J$38&lt;&gt;"Yes"),0,IF($K$10=0,SUMIFS(INDIRECT(ADDRESS(12,3+18*2+(3),,,"J1 B - Butcher Terrace")&amp;":"&amp;ADDRESS(130,3+18*2+(3))),'J1 B - Butcher Terrace'!$A$12:$A$130,"&gt;="&amp;Diagram!$O39,'J1 B - Butcher Terrace'!$A$12:$A$130,"&lt;"&amp;Diagram!$P39),SUMIFS(INDIRECT(ADDRESS(12,3+18*2+(11),,,"J1 B - Butcher Terrace")&amp;":"&amp;ADDRESS(130,3+18*2+(11))),'J1 B - Butcher Terrace'!$A$12:$A$130,"&gt;="&amp;Diagram!$O39,'J1 B - Butcher Terrace'!$A$12:$A$130,"&lt;"&amp;Diagram!$P39)))</f>
        <v>0</v>
      </c>
      <c r="BW39" s="42">
        <f ca="1">IF(OR($I$10="",$O39="",$P39="",$J$38&lt;&gt;"Yes"),0,IF($K$10=0,SUMIFS(INDIRECT(ADDRESS(12,3+18*3+(3),,,"J1 B - Butcher Terrace")&amp;":"&amp;ADDRESS(130,3+18*3+(3))),'J1 B - Butcher Terrace'!$A$12:$A$130,"&gt;="&amp;Diagram!$O39,'J1 B - Butcher Terrace'!$A$12:$A$130,"&lt;"&amp;Diagram!$P39),SUMIFS(INDIRECT(ADDRESS(12,3+18*3+(11),,,"J1 B - Butcher Terrace")&amp;":"&amp;ADDRESS(130,3+18*3+(11))),'J1 B - Butcher Terrace'!$A$12:$A$130,"&gt;="&amp;Diagram!$O39,'J1 B - Butcher Terrace'!$A$12:$A$130,"&lt;"&amp;Diagram!$P39)))</f>
        <v>0</v>
      </c>
      <c r="BX39" s="42">
        <f ca="1">IF(OR($I$10="",$O39="",$P39="",$J$38&lt;&gt;"Yes"),0,IF($K$10=0,SUMIFS(INDIRECT(ADDRESS(12,3+18*0+(3),,,"J1 B - Butcher Terrace")&amp;":"&amp;ADDRESS(130,3+18*0+(3))),'J1 B - Butcher Terrace'!$A$12:$A$130,"&gt;="&amp;Diagram!$O39,'J1 B - Butcher Terrace'!$A$12:$A$130,"&lt;"&amp;Diagram!$P39),SUMIFS(INDIRECT(ADDRESS(12,3+18*0+(11),,,"J1 B - Butcher Terrace")&amp;":"&amp;ADDRESS(130,3+18*0+(11))),'J1 B - Butcher Terrace'!$A$12:$A$130,"&gt;="&amp;Diagram!$O39,'J1 B - Butcher Terrace'!$A$12:$A$130,"&lt;"&amp;Diagram!$P39)))</f>
        <v>0</v>
      </c>
      <c r="BY39" s="42">
        <f ca="1">IF(OR($I$10="",$O39="",$P39="",$J$38&lt;&gt;"Yes"),0,IF($K$10=0,SUMIFS(INDIRECT(ADDRESS(12,3+18*1+(3),,,"J1 B - Butcher Terrace")&amp;":"&amp;ADDRESS(130,3+18*1+(3))),'J1 B - Butcher Terrace'!$A$12:$A$130,"&gt;="&amp;Diagram!$O39,'J1 B - Butcher Terrace'!$A$12:$A$130,"&lt;"&amp;Diagram!$P39),SUMIFS(INDIRECT(ADDRESS(12,3+18*1+(11),,,"J1 B - Butcher Terrace")&amp;":"&amp;ADDRESS(130,3+18*1+(11))),'J1 B - Butcher Terrace'!$A$12:$A$130,"&gt;="&amp;Diagram!$O39,'J1 B - Butcher Terrace'!$A$12:$A$130,"&lt;"&amp;Diagram!$P39)))</f>
        <v>0</v>
      </c>
      <c r="BZ39" s="42">
        <f ca="1">IF(OR($I$10="",$O39="",$P39="",$J$38&lt;&gt;"Yes"),0,IF($K$10=0,SUMIFS(INDIRECT(ADDRESS(12,3+18*1+(3),,,"J1 C - (South) Bishopthorpe Roa")&amp;":"&amp;ADDRESS(130,3+18*1+(3))),'J1 C - (South) Bishopthorpe Roa'!$A$12:$A$130,"&gt;="&amp;Diagram!$O39,'J1 C - (South) Bishopthorpe Roa'!$A$12:$A$130,"&lt;"&amp;Diagram!$P39),SUMIFS(INDIRECT(ADDRESS(12,3+18*1+(11),,,"J1 C - (South) Bishopthorpe Roa")&amp;":"&amp;ADDRESS(130,3+18*1+(11))),'J1 C - (South) Bishopthorpe Roa'!$A$12:$A$130,"&gt;="&amp;Diagram!$O39,'J1 C - (South) Bishopthorpe Roa'!$A$12:$A$130,"&lt;"&amp;Diagram!$P39)))</f>
        <v>0</v>
      </c>
      <c r="CA39" s="42">
        <f ca="1">IF(OR($I$10="",$O39="",$P39="",$J$38&lt;&gt;"Yes"),0,IF($K$10=0,SUMIFS(INDIRECT(ADDRESS(12,3+18*2+(3),,,"J1 C - (South) Bishopthorpe Roa")&amp;":"&amp;ADDRESS(130,3+18*2+(3))),'J1 C - (South) Bishopthorpe Roa'!$A$12:$A$130,"&gt;="&amp;Diagram!$O39,'J1 C - (South) Bishopthorpe Roa'!$A$12:$A$130,"&lt;"&amp;Diagram!$P39),SUMIFS(INDIRECT(ADDRESS(12,3+18*2+(11),,,"J1 C - (South) Bishopthorpe Roa")&amp;":"&amp;ADDRESS(130,3+18*2+(11))),'J1 C - (South) Bishopthorpe Roa'!$A$12:$A$130,"&gt;="&amp;Diagram!$O39,'J1 C - (South) Bishopthorpe Roa'!$A$12:$A$130,"&lt;"&amp;Diagram!$P39)))</f>
        <v>0</v>
      </c>
      <c r="CB39" s="42">
        <f ca="1">IF(OR($I$10="",$O39="",$P39="",$J$38&lt;&gt;"Yes"),0,IF($K$10=0,SUMIFS(INDIRECT(ADDRESS(12,3+18*3+(3),,,"J1 C - (South) Bishopthorpe Roa")&amp;":"&amp;ADDRESS(130,3+18*3+(3))),'J1 C - (South) Bishopthorpe Roa'!$A$12:$A$130,"&gt;="&amp;Diagram!$O39,'J1 C - (South) Bishopthorpe Roa'!$A$12:$A$130,"&lt;"&amp;Diagram!$P39),SUMIFS(INDIRECT(ADDRESS(12,3+18*3+(11),,,"J1 C - (South) Bishopthorpe Roa")&amp;":"&amp;ADDRESS(130,3+18*3+(11))),'J1 C - (South) Bishopthorpe Roa'!$A$12:$A$130,"&gt;="&amp;Diagram!$O39,'J1 C - (South) Bishopthorpe Roa'!$A$12:$A$130,"&lt;"&amp;Diagram!$P39)))</f>
        <v>0</v>
      </c>
      <c r="CC39" s="42">
        <f ca="1">IF(OR($I$10="",$O39="",$P39="",$J$38&lt;&gt;"Yes"),0,IF($K$10=0,SUMIFS(INDIRECT(ADDRESS(12,3+18*0+(3),,,"J1 C - (South) Bishopthorpe Roa")&amp;":"&amp;ADDRESS(130,3+18*0+(3))),'J1 C - (South) Bishopthorpe Roa'!$A$12:$A$130,"&gt;="&amp;Diagram!$O39,'J1 C - (South) Bishopthorpe Roa'!$A$12:$A$130,"&lt;"&amp;Diagram!$P39),SUMIFS(INDIRECT(ADDRESS(12,3+18*0+(11),,,"J1 C - (South) Bishopthorpe Roa")&amp;":"&amp;ADDRESS(130,3+18*0+(11))),'J1 C - (South) Bishopthorpe Roa'!$A$12:$A$130,"&gt;="&amp;Diagram!$O39,'J1 C - (South) Bishopthorpe Roa'!$A$12:$A$130,"&lt;"&amp;Diagram!$P39)))</f>
        <v>0</v>
      </c>
      <c r="CD39" s="42">
        <f ca="1">IF(OR($I$10="",$O39="",$P39="",$J$38&lt;&gt;"Yes"),0,IF($K$10=0,SUMIFS(INDIRECT(ADDRESS(12,3+18*0+(3),,,"J1 D - South Bank Avenue")&amp;":"&amp;ADDRESS(130,3+18*0+(3))),'J1 D - South Bank Avenue'!$A$12:$A$130,"&gt;="&amp;Diagram!$O39,'J1 D - South Bank Avenue'!$A$12:$A$130,"&lt;"&amp;Diagram!$P39),SUMIFS(INDIRECT(ADDRESS(12,3+18*0+(11),,,"J1 D - South Bank Avenue")&amp;":"&amp;ADDRESS(130,3+18*0+(11))),'J1 D - South Bank Avenue'!$A$12:$A$130,"&gt;="&amp;Diagram!$O39,'J1 D - South Bank Avenue'!$A$12:$A$130,"&lt;"&amp;Diagram!$P39)))</f>
        <v>0</v>
      </c>
      <c r="CE39" s="42">
        <f ca="1">IF(OR($I$10="",$O39="",$P39="",$J$38&lt;&gt;"Yes"),0,IF($K$10=0,SUMIFS(INDIRECT(ADDRESS(12,3+18*1+(3),,,"J1 D - South Bank Avenue")&amp;":"&amp;ADDRESS(130,3+18*1+(3))),'J1 D - South Bank Avenue'!$A$12:$A$130,"&gt;="&amp;Diagram!$O39,'J1 D - South Bank Avenue'!$A$12:$A$130,"&lt;"&amp;Diagram!$P39),SUMIFS(INDIRECT(ADDRESS(12,3+18*1+(11),,,"J1 D - South Bank Avenue")&amp;":"&amp;ADDRESS(130,3+18*1+(11))),'J1 D - South Bank Avenue'!$A$12:$A$130,"&gt;="&amp;Diagram!$O39,'J1 D - South Bank Avenue'!$A$12:$A$130,"&lt;"&amp;Diagram!$P39)))</f>
        <v>0</v>
      </c>
      <c r="CF39" s="42">
        <f ca="1">IF(OR($I$10="",$O39="",$P39="",$J$38&lt;&gt;"Yes"),0,IF($K$10=0,SUMIFS(INDIRECT(ADDRESS(12,3+18*2+(3),,,"J1 D - South Bank Avenue")&amp;":"&amp;ADDRESS(130,3+18*2+(3))),'J1 D - South Bank Avenue'!$A$12:$A$130,"&gt;="&amp;Diagram!$O39,'J1 D - South Bank Avenue'!$A$12:$A$130,"&lt;"&amp;Diagram!$P39),SUMIFS(INDIRECT(ADDRESS(12,3+18*2+(11),,,"J1 D - South Bank Avenue")&amp;":"&amp;ADDRESS(130,3+18*2+(11))),'J1 D - South Bank Avenue'!$A$12:$A$130,"&gt;="&amp;Diagram!$O39,'J1 D - South Bank Avenue'!$A$12:$A$130,"&lt;"&amp;Diagram!$P39)))</f>
        <v>0</v>
      </c>
      <c r="CG39" s="42">
        <f ca="1">IF(OR($I$10="",$O39="",$P39="",$J$38&lt;&gt;"Yes"),0,IF($K$10=0,SUMIFS(INDIRECT(ADDRESS(12,3+18*3+(3),,,"J1 D - South Bank Avenue")&amp;":"&amp;ADDRESS(130,3+18*3+(3))),'J1 D - South Bank Avenue'!$A$12:$A$130,"&gt;="&amp;Diagram!$O39,'J1 D - South Bank Avenue'!$A$12:$A$130,"&lt;"&amp;Diagram!$P39),SUMIFS(INDIRECT(ADDRESS(12,3+18*3+(11),,,"J1 D - South Bank Avenue")&amp;":"&amp;ADDRESS(130,3+18*3+(11))),'J1 D - South Bank Avenue'!$A$12:$A$130,"&gt;="&amp;Diagram!$O39,'J1 D - South Bank Avenue'!$A$12:$A$130,"&lt;"&amp;Diagram!$P39)))</f>
        <v>0</v>
      </c>
      <c r="CH39" s="42">
        <f t="shared" ca="1" si="5"/>
        <v>6</v>
      </c>
      <c r="CI39" s="42">
        <f ca="1">IF(OR($I$10="",$O39="",$P39="",$J$39&lt;&gt;"Yes"),0,IF($K$10=0,SUMIFS(INDIRECT(ADDRESS(12,3+18*3+(4),,,"J1 A - (North) Bishopthorpe Roa")&amp;":"&amp;ADDRESS(130,3+18*3+(4))),'J1 A - (North) Bishopthorpe Roa'!$A$12:$A$130,"&gt;="&amp;Diagram!$O39,'J1 A - (North) Bishopthorpe Roa'!$A$12:$A$130,"&lt;"&amp;Diagram!$P39),SUMIFS(INDIRECT(ADDRESS(12,3+18*3+(12),,,"J1 A - (North) Bishopthorpe Roa")&amp;":"&amp;ADDRESS(130,3+18*3+(12))),'J1 A - (North) Bishopthorpe Roa'!$A$12:$A$130,"&gt;="&amp;Diagram!$O39,'J1 A - (North) Bishopthorpe Roa'!$A$12:$A$130,"&lt;"&amp;Diagram!$P39)))</f>
        <v>0</v>
      </c>
      <c r="CJ39" s="42">
        <f ca="1">IF(OR($I$10="",$O39="",$P39="",$J$39&lt;&gt;"Yes"),0,IF($K$10=0,SUMIFS(INDIRECT(ADDRESS(12,3+18*0+(4),,,"J1 A - (North) Bishopthorpe Roa")&amp;":"&amp;ADDRESS(130,3+18*0+(4))),'J1 A - (North) Bishopthorpe Roa'!$A$12:$A$130,"&gt;="&amp;Diagram!$O39,'J1 A - (North) Bishopthorpe Roa'!$A$12:$A$130,"&lt;"&amp;Diagram!$P39),SUMIFS(INDIRECT(ADDRESS(12,3+18*0+(12),,,"J1 A - (North) Bishopthorpe Roa")&amp;":"&amp;ADDRESS(130,3+18*0+(12))),'J1 A - (North) Bishopthorpe Roa'!$A$12:$A$130,"&gt;="&amp;Diagram!$O39,'J1 A - (North) Bishopthorpe Roa'!$A$12:$A$130,"&lt;"&amp;Diagram!$P39)))</f>
        <v>0</v>
      </c>
      <c r="CK39" s="42">
        <f ca="1">IF(OR($I$10="",$O39="",$P39="",$J$39&lt;&gt;"Yes"),0,IF($K$10=0,SUMIFS(INDIRECT(ADDRESS(12,3+18*1+(4),,,"J1 A - (North) Bishopthorpe Roa")&amp;":"&amp;ADDRESS(130,3+18*1+(4))),'J1 A - (North) Bishopthorpe Roa'!$A$12:$A$130,"&gt;="&amp;Diagram!$O39,'J1 A - (North) Bishopthorpe Roa'!$A$12:$A$130,"&lt;"&amp;Diagram!$P39),SUMIFS(INDIRECT(ADDRESS(12,3+18*1+(12),,,"J1 A - (North) Bishopthorpe Roa")&amp;":"&amp;ADDRESS(130,3+18*1+(12))),'J1 A - (North) Bishopthorpe Roa'!$A$12:$A$130,"&gt;="&amp;Diagram!$O39,'J1 A - (North) Bishopthorpe Roa'!$A$12:$A$130,"&lt;"&amp;Diagram!$P39)))</f>
        <v>3</v>
      </c>
      <c r="CL39" s="42">
        <f ca="1">IF(OR($I$10="",$O39="",$P39="",$J$39&lt;&gt;"Yes"),0,IF($K$10=0,SUMIFS(INDIRECT(ADDRESS(12,3+18*2+(4),,,"J1 A - (North) Bishopthorpe Roa")&amp;":"&amp;ADDRESS(130,3+18*2+(4))),'J1 A - (North) Bishopthorpe Roa'!$A$12:$A$130,"&gt;="&amp;Diagram!$O39,'J1 A - (North) Bishopthorpe Roa'!$A$12:$A$130,"&lt;"&amp;Diagram!$P39),SUMIFS(INDIRECT(ADDRESS(12,3+18*2+(12),,,"J1 A - (North) Bishopthorpe Roa")&amp;":"&amp;ADDRESS(130,3+18*2+(12))),'J1 A - (North) Bishopthorpe Roa'!$A$12:$A$130,"&gt;="&amp;Diagram!$O39,'J1 A - (North) Bishopthorpe Roa'!$A$12:$A$130,"&lt;"&amp;Diagram!$P39)))</f>
        <v>0</v>
      </c>
      <c r="CM39" s="42">
        <f ca="1">IF(OR($I$10="",$O39="",$P39="",$J$39&lt;&gt;"Yes"),0,IF($K$10=0,SUMIFS(INDIRECT(ADDRESS(12,3+18*2+(4),,,"J1 B - Butcher Terrace")&amp;":"&amp;ADDRESS(130,3+18*2+(4))),'J1 B - Butcher Terrace'!$A$12:$A$130,"&gt;="&amp;Diagram!$O39,'J1 B - Butcher Terrace'!$A$12:$A$130,"&lt;"&amp;Diagram!$P39),SUMIFS(INDIRECT(ADDRESS(12,3+18*2+(12),,,"J1 B - Butcher Terrace")&amp;":"&amp;ADDRESS(130,3+18*2+(12))),'J1 B - Butcher Terrace'!$A$12:$A$130,"&gt;="&amp;Diagram!$O39,'J1 B - Butcher Terrace'!$A$12:$A$130,"&lt;"&amp;Diagram!$P39)))</f>
        <v>0</v>
      </c>
      <c r="CN39" s="42">
        <f ca="1">IF(OR($I$10="",$O39="",$P39="",$J$39&lt;&gt;"Yes"),0,IF($K$10=0,SUMIFS(INDIRECT(ADDRESS(12,3+18*3+(4),,,"J1 B - Butcher Terrace")&amp;":"&amp;ADDRESS(130,3+18*3+(4))),'J1 B - Butcher Terrace'!$A$12:$A$130,"&gt;="&amp;Diagram!$O39,'J1 B - Butcher Terrace'!$A$12:$A$130,"&lt;"&amp;Diagram!$P39),SUMIFS(INDIRECT(ADDRESS(12,3+18*3+(12),,,"J1 B - Butcher Terrace")&amp;":"&amp;ADDRESS(130,3+18*3+(12))),'J1 B - Butcher Terrace'!$A$12:$A$130,"&gt;="&amp;Diagram!$O39,'J1 B - Butcher Terrace'!$A$12:$A$130,"&lt;"&amp;Diagram!$P39)))</f>
        <v>0</v>
      </c>
      <c r="CO39" s="42">
        <f ca="1">IF(OR($I$10="",$O39="",$P39="",$J$39&lt;&gt;"Yes"),0,IF($K$10=0,SUMIFS(INDIRECT(ADDRESS(12,3+18*0+(4),,,"J1 B - Butcher Terrace")&amp;":"&amp;ADDRESS(130,3+18*0+(4))),'J1 B - Butcher Terrace'!$A$12:$A$130,"&gt;="&amp;Diagram!$O39,'J1 B - Butcher Terrace'!$A$12:$A$130,"&lt;"&amp;Diagram!$P39),SUMIFS(INDIRECT(ADDRESS(12,3+18*0+(12),,,"J1 B - Butcher Terrace")&amp;":"&amp;ADDRESS(130,3+18*0+(12))),'J1 B - Butcher Terrace'!$A$12:$A$130,"&gt;="&amp;Diagram!$O39,'J1 B - Butcher Terrace'!$A$12:$A$130,"&lt;"&amp;Diagram!$P39)))</f>
        <v>0</v>
      </c>
      <c r="CP39" s="42">
        <f ca="1">IF(OR($I$10="",$O39="",$P39="",$J$39&lt;&gt;"Yes"),0,IF($K$10=0,SUMIFS(INDIRECT(ADDRESS(12,3+18*1+(4),,,"J1 B - Butcher Terrace")&amp;":"&amp;ADDRESS(130,3+18*1+(4))),'J1 B - Butcher Terrace'!$A$12:$A$130,"&gt;="&amp;Diagram!$O39,'J1 B - Butcher Terrace'!$A$12:$A$130,"&lt;"&amp;Diagram!$P39),SUMIFS(INDIRECT(ADDRESS(12,3+18*1+(12),,,"J1 B - Butcher Terrace")&amp;":"&amp;ADDRESS(130,3+18*1+(12))),'J1 B - Butcher Terrace'!$A$12:$A$130,"&gt;="&amp;Diagram!$O39,'J1 B - Butcher Terrace'!$A$12:$A$130,"&lt;"&amp;Diagram!$P39)))</f>
        <v>0</v>
      </c>
      <c r="CQ39" s="42">
        <f ca="1">IF(OR($I$10="",$O39="",$P39="",$J$39&lt;&gt;"Yes"),0,IF($K$10=0,SUMIFS(INDIRECT(ADDRESS(12,3+18*1+(4),,,"J1 C - (South) Bishopthorpe Roa")&amp;":"&amp;ADDRESS(130,3+18*1+(4))),'J1 C - (South) Bishopthorpe Roa'!$A$12:$A$130,"&gt;="&amp;Diagram!$O39,'J1 C - (South) Bishopthorpe Roa'!$A$12:$A$130,"&lt;"&amp;Diagram!$P39),SUMIFS(INDIRECT(ADDRESS(12,3+18*1+(12),,,"J1 C - (South) Bishopthorpe Roa")&amp;":"&amp;ADDRESS(130,3+18*1+(12))),'J1 C - (South) Bishopthorpe Roa'!$A$12:$A$130,"&gt;="&amp;Diagram!$O39,'J1 C - (South) Bishopthorpe Roa'!$A$12:$A$130,"&lt;"&amp;Diagram!$P39)))</f>
        <v>3</v>
      </c>
      <c r="CR39" s="42">
        <f ca="1">IF(OR($I$10="",$O39="",$P39="",$J$39&lt;&gt;"Yes"),0,IF($K$10=0,SUMIFS(INDIRECT(ADDRESS(12,3+18*2+(4),,,"J1 C - (South) Bishopthorpe Roa")&amp;":"&amp;ADDRESS(130,3+18*2+(4))),'J1 C - (South) Bishopthorpe Roa'!$A$12:$A$130,"&gt;="&amp;Diagram!$O39,'J1 C - (South) Bishopthorpe Roa'!$A$12:$A$130,"&lt;"&amp;Diagram!$P39),SUMIFS(INDIRECT(ADDRESS(12,3+18*2+(12),,,"J1 C - (South) Bishopthorpe Roa")&amp;":"&amp;ADDRESS(130,3+18*2+(12))),'J1 C - (South) Bishopthorpe Roa'!$A$12:$A$130,"&gt;="&amp;Diagram!$O39,'J1 C - (South) Bishopthorpe Roa'!$A$12:$A$130,"&lt;"&amp;Diagram!$P39)))</f>
        <v>0</v>
      </c>
      <c r="CS39" s="42">
        <f ca="1">IF(OR($I$10="",$O39="",$P39="",$J$39&lt;&gt;"Yes"),0,IF($K$10=0,SUMIFS(INDIRECT(ADDRESS(12,3+18*3+(4),,,"J1 C - (South) Bishopthorpe Roa")&amp;":"&amp;ADDRESS(130,3+18*3+(4))),'J1 C - (South) Bishopthorpe Roa'!$A$12:$A$130,"&gt;="&amp;Diagram!$O39,'J1 C - (South) Bishopthorpe Roa'!$A$12:$A$130,"&lt;"&amp;Diagram!$P39),SUMIFS(INDIRECT(ADDRESS(12,3+18*3+(12),,,"J1 C - (South) Bishopthorpe Roa")&amp;":"&amp;ADDRESS(130,3+18*3+(12))),'J1 C - (South) Bishopthorpe Roa'!$A$12:$A$130,"&gt;="&amp;Diagram!$O39,'J1 C - (South) Bishopthorpe Roa'!$A$12:$A$130,"&lt;"&amp;Diagram!$P39)))</f>
        <v>0</v>
      </c>
      <c r="CT39" s="42">
        <f ca="1">IF(OR($I$10="",$O39="",$P39="",$J$39&lt;&gt;"Yes"),0,IF($K$10=0,SUMIFS(INDIRECT(ADDRESS(12,3+18*0+(4),,,"J1 C - (South) Bishopthorpe Roa")&amp;":"&amp;ADDRESS(130,3+18*0+(4))),'J1 C - (South) Bishopthorpe Roa'!$A$12:$A$130,"&gt;="&amp;Diagram!$O39,'J1 C - (South) Bishopthorpe Roa'!$A$12:$A$130,"&lt;"&amp;Diagram!$P39),SUMIFS(INDIRECT(ADDRESS(12,3+18*0+(12),,,"J1 C - (South) Bishopthorpe Roa")&amp;":"&amp;ADDRESS(130,3+18*0+(12))),'J1 C - (South) Bishopthorpe Roa'!$A$12:$A$130,"&gt;="&amp;Diagram!$O39,'J1 C - (South) Bishopthorpe Roa'!$A$12:$A$130,"&lt;"&amp;Diagram!$P39)))</f>
        <v>0</v>
      </c>
      <c r="CU39" s="42">
        <f ca="1">IF(OR($I$10="",$O39="",$P39="",$J$39&lt;&gt;"Yes"),0,IF($K$10=0,SUMIFS(INDIRECT(ADDRESS(12,3+18*0+(4),,,"J1 D - South Bank Avenue")&amp;":"&amp;ADDRESS(130,3+18*0+(4))),'J1 D - South Bank Avenue'!$A$12:$A$130,"&gt;="&amp;Diagram!$O39,'J1 D - South Bank Avenue'!$A$12:$A$130,"&lt;"&amp;Diagram!$P39),SUMIFS(INDIRECT(ADDRESS(12,3+18*0+(12),,,"J1 D - South Bank Avenue")&amp;":"&amp;ADDRESS(130,3+18*0+(12))),'J1 D - South Bank Avenue'!$A$12:$A$130,"&gt;="&amp;Diagram!$O39,'J1 D - South Bank Avenue'!$A$12:$A$130,"&lt;"&amp;Diagram!$P39)))</f>
        <v>0</v>
      </c>
      <c r="CV39" s="42">
        <f ca="1">IF(OR($I$10="",$O39="",$P39="",$J$39&lt;&gt;"Yes"),0,IF($K$10=0,SUMIFS(INDIRECT(ADDRESS(12,3+18*1+(4),,,"J1 D - South Bank Avenue")&amp;":"&amp;ADDRESS(130,3+18*1+(4))),'J1 D - South Bank Avenue'!$A$12:$A$130,"&gt;="&amp;Diagram!$O39,'J1 D - South Bank Avenue'!$A$12:$A$130,"&lt;"&amp;Diagram!$P39),SUMIFS(INDIRECT(ADDRESS(12,3+18*1+(12),,,"J1 D - South Bank Avenue")&amp;":"&amp;ADDRESS(130,3+18*1+(12))),'J1 D - South Bank Avenue'!$A$12:$A$130,"&gt;="&amp;Diagram!$O39,'J1 D - South Bank Avenue'!$A$12:$A$130,"&lt;"&amp;Diagram!$P39)))</f>
        <v>0</v>
      </c>
      <c r="CW39" s="42">
        <f ca="1">IF(OR($I$10="",$O39="",$P39="",$J$39&lt;&gt;"Yes"),0,IF($K$10=0,SUMIFS(INDIRECT(ADDRESS(12,3+18*2+(4),,,"J1 D - South Bank Avenue")&amp;":"&amp;ADDRESS(130,3+18*2+(4))),'J1 D - South Bank Avenue'!$A$12:$A$130,"&gt;="&amp;Diagram!$O39,'J1 D - South Bank Avenue'!$A$12:$A$130,"&lt;"&amp;Diagram!$P39),SUMIFS(INDIRECT(ADDRESS(12,3+18*2+(12),,,"J1 D - South Bank Avenue")&amp;":"&amp;ADDRESS(130,3+18*2+(12))),'J1 D - South Bank Avenue'!$A$12:$A$130,"&gt;="&amp;Diagram!$O39,'J1 D - South Bank Avenue'!$A$12:$A$130,"&lt;"&amp;Diagram!$P39)))</f>
        <v>0</v>
      </c>
      <c r="CX39" s="42">
        <f ca="1">IF(OR($I$10="",$O39="",$P39="",$J$39&lt;&gt;"Yes"),0,IF($K$10=0,SUMIFS(INDIRECT(ADDRESS(12,3+18*3+(4),,,"J1 D - South Bank Avenue")&amp;":"&amp;ADDRESS(130,3+18*3+(4))),'J1 D - South Bank Avenue'!$A$12:$A$130,"&gt;="&amp;Diagram!$O39,'J1 D - South Bank Avenue'!$A$12:$A$130,"&lt;"&amp;Diagram!$P39),SUMIFS(INDIRECT(ADDRESS(12,3+18*3+(12),,,"J1 D - South Bank Avenue")&amp;":"&amp;ADDRESS(130,3+18*3+(12))),'J1 D - South Bank Avenue'!$A$12:$A$130,"&gt;="&amp;Diagram!$O39,'J1 D - South Bank Avenue'!$A$12:$A$130,"&lt;"&amp;Diagram!$P39)))</f>
        <v>0</v>
      </c>
      <c r="CY39" s="42">
        <f t="shared" ca="1" si="6"/>
        <v>91</v>
      </c>
      <c r="CZ39" s="42">
        <f ca="1">IF(OR($I$10="",$O39="",$P39="",$J$40&lt;&gt;"Yes"),0,IF($K$10=0,SUMIFS(INDIRECT(ADDRESS(12,3+18*3+(5),,,"J1 A - (North) Bishopthorpe Roa")&amp;":"&amp;ADDRESS(130,3+18*3+(5))),'J1 A - (North) Bishopthorpe Roa'!$A$12:$A$130,"&gt;="&amp;Diagram!$O39,'J1 A - (North) Bishopthorpe Roa'!$A$12:$A$130,"&lt;"&amp;Diagram!$P39),SUMIFS(INDIRECT(ADDRESS(12,3+18*3+(13),,,"J1 A - (North) Bishopthorpe Roa")&amp;":"&amp;ADDRESS(130,3+18*3+(13))),'J1 A - (North) Bishopthorpe Roa'!$A$12:$A$130,"&gt;="&amp;Diagram!$O39,'J1 A - (North) Bishopthorpe Roa'!$A$12:$A$130,"&lt;"&amp;Diagram!$P39)))</f>
        <v>0</v>
      </c>
      <c r="DA39" s="42">
        <f ca="1">IF(OR($I$10="",$O39="",$P39="",$J$40&lt;&gt;"Yes"),0,IF($K$10=0,SUMIFS(INDIRECT(ADDRESS(12,3+18*0+(5),,,"J1 A - (North) Bishopthorpe Roa")&amp;":"&amp;ADDRESS(130,3+18*0+(5))),'J1 A - (North) Bishopthorpe Roa'!$A$12:$A$130,"&gt;="&amp;Diagram!$O39,'J1 A - (North) Bishopthorpe Roa'!$A$12:$A$130,"&lt;"&amp;Diagram!$P39),SUMIFS(INDIRECT(ADDRESS(12,3+18*0+(13),,,"J1 A - (North) Bishopthorpe Roa")&amp;":"&amp;ADDRESS(130,3+18*0+(13))),'J1 A - (North) Bishopthorpe Roa'!$A$12:$A$130,"&gt;="&amp;Diagram!$O39,'J1 A - (North) Bishopthorpe Roa'!$A$12:$A$130,"&lt;"&amp;Diagram!$P39)))</f>
        <v>13</v>
      </c>
      <c r="DB39" s="42">
        <f ca="1">IF(OR($I$10="",$O39="",$P39="",$J$40&lt;&gt;"Yes"),0,IF($K$10=0,SUMIFS(INDIRECT(ADDRESS(12,3+18*1+(5),,,"J1 A - (North) Bishopthorpe Roa")&amp;":"&amp;ADDRESS(130,3+18*1+(5))),'J1 A - (North) Bishopthorpe Roa'!$A$12:$A$130,"&gt;="&amp;Diagram!$O39,'J1 A - (North) Bishopthorpe Roa'!$A$12:$A$130,"&lt;"&amp;Diagram!$P39),SUMIFS(INDIRECT(ADDRESS(12,3+18*1+(13),,,"J1 A - (North) Bishopthorpe Roa")&amp;":"&amp;ADDRESS(130,3+18*1+(13))),'J1 A - (North) Bishopthorpe Roa'!$A$12:$A$130,"&gt;="&amp;Diagram!$O39,'J1 A - (North) Bishopthorpe Roa'!$A$12:$A$130,"&lt;"&amp;Diagram!$P39)))</f>
        <v>11</v>
      </c>
      <c r="DC39" s="42">
        <f ca="1">IF(OR($I$10="",$O39="",$P39="",$J$40&lt;&gt;"Yes"),0,IF($K$10=0,SUMIFS(INDIRECT(ADDRESS(12,3+18*2+(5),,,"J1 A - (North) Bishopthorpe Roa")&amp;":"&amp;ADDRESS(130,3+18*2+(5))),'J1 A - (North) Bishopthorpe Roa'!$A$12:$A$130,"&gt;="&amp;Diagram!$O39,'J1 A - (North) Bishopthorpe Roa'!$A$12:$A$130,"&lt;"&amp;Diagram!$P39),SUMIFS(INDIRECT(ADDRESS(12,3+18*2+(13),,,"J1 A - (North) Bishopthorpe Roa")&amp;":"&amp;ADDRESS(130,3+18*2+(13))),'J1 A - (North) Bishopthorpe Roa'!$A$12:$A$130,"&gt;="&amp;Diagram!$O39,'J1 A - (North) Bishopthorpe Roa'!$A$12:$A$130,"&lt;"&amp;Diagram!$P39)))</f>
        <v>1</v>
      </c>
      <c r="DD39" s="42">
        <f ca="1">IF(OR($I$10="",$O39="",$P39="",$J$40&lt;&gt;"Yes"),0,IF($K$10=0,SUMIFS(INDIRECT(ADDRESS(12,3+18*2+(5),,,"J1 B - Butcher Terrace")&amp;":"&amp;ADDRESS(130,3+18*2+(5))),'J1 B - Butcher Terrace'!$A$12:$A$130,"&gt;="&amp;Diagram!$O39,'J1 B - Butcher Terrace'!$A$12:$A$130,"&lt;"&amp;Diagram!$P39),SUMIFS(INDIRECT(ADDRESS(12,3+18*2+(13),,,"J1 B - Butcher Terrace")&amp;":"&amp;ADDRESS(130,3+18*2+(13))),'J1 B - Butcher Terrace'!$A$12:$A$130,"&gt;="&amp;Diagram!$O39,'J1 B - Butcher Terrace'!$A$12:$A$130,"&lt;"&amp;Diagram!$P39)))</f>
        <v>4</v>
      </c>
      <c r="DE39" s="42">
        <f ca="1">IF(OR($I$10="",$O39="",$P39="",$J$40&lt;&gt;"Yes"),0,IF($K$10=0,SUMIFS(INDIRECT(ADDRESS(12,3+18*3+(5),,,"J1 B - Butcher Terrace")&amp;":"&amp;ADDRESS(130,3+18*3+(5))),'J1 B - Butcher Terrace'!$A$12:$A$130,"&gt;="&amp;Diagram!$O39,'J1 B - Butcher Terrace'!$A$12:$A$130,"&lt;"&amp;Diagram!$P39),SUMIFS(INDIRECT(ADDRESS(12,3+18*3+(13),,,"J1 B - Butcher Terrace")&amp;":"&amp;ADDRESS(130,3+18*3+(13))),'J1 B - Butcher Terrace'!$A$12:$A$130,"&gt;="&amp;Diagram!$O39,'J1 B - Butcher Terrace'!$A$12:$A$130,"&lt;"&amp;Diagram!$P39)))</f>
        <v>0</v>
      </c>
      <c r="DF39" s="42">
        <f ca="1">IF(OR($I$10="",$O39="",$P39="",$J$40&lt;&gt;"Yes"),0,IF($K$10=0,SUMIFS(INDIRECT(ADDRESS(12,3+18*0+(5),,,"J1 B - Butcher Terrace")&amp;":"&amp;ADDRESS(130,3+18*0+(5))),'J1 B - Butcher Terrace'!$A$12:$A$130,"&gt;="&amp;Diagram!$O39,'J1 B - Butcher Terrace'!$A$12:$A$130,"&lt;"&amp;Diagram!$P39),SUMIFS(INDIRECT(ADDRESS(12,3+18*0+(13),,,"J1 B - Butcher Terrace")&amp;":"&amp;ADDRESS(130,3+18*0+(13))),'J1 B - Butcher Terrace'!$A$12:$A$130,"&gt;="&amp;Diagram!$O39,'J1 B - Butcher Terrace'!$A$12:$A$130,"&lt;"&amp;Diagram!$P39)))</f>
        <v>4</v>
      </c>
      <c r="DG39" s="42">
        <f ca="1">IF(OR($I$10="",$O39="",$P39="",$J$40&lt;&gt;"Yes"),0,IF($K$10=0,SUMIFS(INDIRECT(ADDRESS(12,3+18*1+(5),,,"J1 B - Butcher Terrace")&amp;":"&amp;ADDRESS(130,3+18*1+(5))),'J1 B - Butcher Terrace'!$A$12:$A$130,"&gt;="&amp;Diagram!$O39,'J1 B - Butcher Terrace'!$A$12:$A$130,"&lt;"&amp;Diagram!$P39),SUMIFS(INDIRECT(ADDRESS(12,3+18*1+(13),,,"J1 B - Butcher Terrace")&amp;":"&amp;ADDRESS(130,3+18*1+(13))),'J1 B - Butcher Terrace'!$A$12:$A$130,"&gt;="&amp;Diagram!$O39,'J1 B - Butcher Terrace'!$A$12:$A$130,"&lt;"&amp;Diagram!$P39)))</f>
        <v>25</v>
      </c>
      <c r="DH39" s="42">
        <f ca="1">IF(OR($I$10="",$O39="",$P39="",$J$40&lt;&gt;"Yes"),0,IF($K$10=0,SUMIFS(INDIRECT(ADDRESS(12,3+18*1+(5),,,"J1 C - (South) Bishopthorpe Roa")&amp;":"&amp;ADDRESS(130,3+18*1+(5))),'J1 C - (South) Bishopthorpe Roa'!$A$12:$A$130,"&gt;="&amp;Diagram!$O39,'J1 C - (South) Bishopthorpe Roa'!$A$12:$A$130,"&lt;"&amp;Diagram!$P39),SUMIFS(INDIRECT(ADDRESS(12,3+18*1+(13),,,"J1 C - (South) Bishopthorpe Roa")&amp;":"&amp;ADDRESS(130,3+18*1+(13))),'J1 C - (South) Bishopthorpe Roa'!$A$12:$A$130,"&gt;="&amp;Diagram!$O39,'J1 C - (South) Bishopthorpe Roa'!$A$12:$A$130,"&lt;"&amp;Diagram!$P39)))</f>
        <v>11</v>
      </c>
      <c r="DI39" s="42">
        <f ca="1">IF(OR($I$10="",$O39="",$P39="",$J$40&lt;&gt;"Yes"),0,IF($K$10=0,SUMIFS(INDIRECT(ADDRESS(12,3+18*2+(5),,,"J1 C - (South) Bishopthorpe Roa")&amp;":"&amp;ADDRESS(130,3+18*2+(5))),'J1 C - (South) Bishopthorpe Roa'!$A$12:$A$130,"&gt;="&amp;Diagram!$O39,'J1 C - (South) Bishopthorpe Roa'!$A$12:$A$130,"&lt;"&amp;Diagram!$P39),SUMIFS(INDIRECT(ADDRESS(12,3+18*2+(13),,,"J1 C - (South) Bishopthorpe Roa")&amp;":"&amp;ADDRESS(130,3+18*2+(13))),'J1 C - (South) Bishopthorpe Roa'!$A$12:$A$130,"&gt;="&amp;Diagram!$O39,'J1 C - (South) Bishopthorpe Roa'!$A$12:$A$130,"&lt;"&amp;Diagram!$P39)))</f>
        <v>6</v>
      </c>
      <c r="DJ39" s="42">
        <f ca="1">IF(OR($I$10="",$O39="",$P39="",$J$40&lt;&gt;"Yes"),0,IF($K$10=0,SUMIFS(INDIRECT(ADDRESS(12,3+18*3+(5),,,"J1 C - (South) Bishopthorpe Roa")&amp;":"&amp;ADDRESS(130,3+18*3+(5))),'J1 C - (South) Bishopthorpe Roa'!$A$12:$A$130,"&gt;="&amp;Diagram!$O39,'J1 C - (South) Bishopthorpe Roa'!$A$12:$A$130,"&lt;"&amp;Diagram!$P39),SUMIFS(INDIRECT(ADDRESS(12,3+18*3+(13),,,"J1 C - (South) Bishopthorpe Roa")&amp;":"&amp;ADDRESS(130,3+18*3+(13))),'J1 C - (South) Bishopthorpe Roa'!$A$12:$A$130,"&gt;="&amp;Diagram!$O39,'J1 C - (South) Bishopthorpe Roa'!$A$12:$A$130,"&lt;"&amp;Diagram!$P39)))</f>
        <v>0</v>
      </c>
      <c r="DK39" s="42">
        <f ca="1">IF(OR($I$10="",$O39="",$P39="",$J$40&lt;&gt;"Yes"),0,IF($K$10=0,SUMIFS(INDIRECT(ADDRESS(12,3+18*0+(5),,,"J1 C - (South) Bishopthorpe Roa")&amp;":"&amp;ADDRESS(130,3+18*0+(5))),'J1 C - (South) Bishopthorpe Roa'!$A$12:$A$130,"&gt;="&amp;Diagram!$O39,'J1 C - (South) Bishopthorpe Roa'!$A$12:$A$130,"&lt;"&amp;Diagram!$P39),SUMIFS(INDIRECT(ADDRESS(12,3+18*0+(13),,,"J1 C - (South) Bishopthorpe Roa")&amp;":"&amp;ADDRESS(130,3+18*0+(13))),'J1 C - (South) Bishopthorpe Roa'!$A$12:$A$130,"&gt;="&amp;Diagram!$O39,'J1 C - (South) Bishopthorpe Roa'!$A$12:$A$130,"&lt;"&amp;Diagram!$P39)))</f>
        <v>0</v>
      </c>
      <c r="DL39" s="42">
        <f ca="1">IF(OR($I$10="",$O39="",$P39="",$J$40&lt;&gt;"Yes"),0,IF($K$10=0,SUMIFS(INDIRECT(ADDRESS(12,3+18*0+(5),,,"J1 D - South Bank Avenue")&amp;":"&amp;ADDRESS(130,3+18*0+(5))),'J1 D - South Bank Avenue'!$A$12:$A$130,"&gt;="&amp;Diagram!$O39,'J1 D - South Bank Avenue'!$A$12:$A$130,"&lt;"&amp;Diagram!$P39),SUMIFS(INDIRECT(ADDRESS(12,3+18*0+(13),,,"J1 D - South Bank Avenue")&amp;":"&amp;ADDRESS(130,3+18*0+(13))),'J1 D - South Bank Avenue'!$A$12:$A$130,"&gt;="&amp;Diagram!$O39,'J1 D - South Bank Avenue'!$A$12:$A$130,"&lt;"&amp;Diagram!$P39)))</f>
        <v>3</v>
      </c>
      <c r="DM39" s="42">
        <f ca="1">IF(OR($I$10="",$O39="",$P39="",$J$40&lt;&gt;"Yes"),0,IF($K$10=0,SUMIFS(INDIRECT(ADDRESS(12,3+18*1+(5),,,"J1 D - South Bank Avenue")&amp;":"&amp;ADDRESS(130,3+18*1+(5))),'J1 D - South Bank Avenue'!$A$12:$A$130,"&gt;="&amp;Diagram!$O39,'J1 D - South Bank Avenue'!$A$12:$A$130,"&lt;"&amp;Diagram!$P39),SUMIFS(INDIRECT(ADDRESS(12,3+18*1+(13),,,"J1 D - South Bank Avenue")&amp;":"&amp;ADDRESS(130,3+18*1+(13))),'J1 D - South Bank Avenue'!$A$12:$A$130,"&gt;="&amp;Diagram!$O39,'J1 D - South Bank Avenue'!$A$12:$A$130,"&lt;"&amp;Diagram!$P39)))</f>
        <v>12</v>
      </c>
      <c r="DN39" s="42">
        <f ca="1">IF(OR($I$10="",$O39="",$P39="",$J$40&lt;&gt;"Yes"),0,IF($K$10=0,SUMIFS(INDIRECT(ADDRESS(12,3+18*2+(5),,,"J1 D - South Bank Avenue")&amp;":"&amp;ADDRESS(130,3+18*2+(5))),'J1 D - South Bank Avenue'!$A$12:$A$130,"&gt;="&amp;Diagram!$O39,'J1 D - South Bank Avenue'!$A$12:$A$130,"&lt;"&amp;Diagram!$P39),SUMIFS(INDIRECT(ADDRESS(12,3+18*2+(13),,,"J1 D - South Bank Avenue")&amp;":"&amp;ADDRESS(130,3+18*2+(13))),'J1 D - South Bank Avenue'!$A$12:$A$130,"&gt;="&amp;Diagram!$O39,'J1 D - South Bank Avenue'!$A$12:$A$130,"&lt;"&amp;Diagram!$P39)))</f>
        <v>1</v>
      </c>
      <c r="DO39" s="42">
        <f ca="1">IF(OR($I$10="",$O39="",$P39="",$J$40&lt;&gt;"Yes"),0,IF($K$10=0,SUMIFS(INDIRECT(ADDRESS(12,3+18*3+(5),,,"J1 D - South Bank Avenue")&amp;":"&amp;ADDRESS(130,3+18*3+(5))),'J1 D - South Bank Avenue'!$A$12:$A$130,"&gt;="&amp;Diagram!$O39,'J1 D - South Bank Avenue'!$A$12:$A$130,"&lt;"&amp;Diagram!$P39),SUMIFS(INDIRECT(ADDRESS(12,3+18*3+(13),,,"J1 D - South Bank Avenue")&amp;":"&amp;ADDRESS(130,3+18*3+(13))),'J1 D - South Bank Avenue'!$A$12:$A$130,"&gt;="&amp;Diagram!$O39,'J1 D - South Bank Avenue'!$A$12:$A$130,"&lt;"&amp;Diagram!$P39)))</f>
        <v>0</v>
      </c>
      <c r="DP39" s="42">
        <f t="shared" ca="1" si="7"/>
        <v>3</v>
      </c>
      <c r="DQ39" s="42">
        <f ca="1">IF(OR($I$10="",$O39="",$P39="",$J$41&lt;&gt;"Yes"),0,IF($K$10=0,SUMIFS(INDIRECT(ADDRESS(12,3+18*3+(6),,,"J1 A - (North) Bishopthorpe Roa")&amp;":"&amp;ADDRESS(130,3+18*3+(6))),'J1 A - (North) Bishopthorpe Roa'!$A$12:$A$130,"&gt;="&amp;Diagram!$O39,'J1 A - (North) Bishopthorpe Roa'!$A$12:$A$130,"&lt;"&amp;Diagram!$P39),SUMIFS(INDIRECT(ADDRESS(12,3+18*3+(14),,,"J1 A - (North) Bishopthorpe Roa")&amp;":"&amp;ADDRESS(130,3+18*3+(14))),'J1 A - (North) Bishopthorpe Roa'!$A$12:$A$130,"&gt;="&amp;Diagram!$O39,'J1 A - (North) Bishopthorpe Roa'!$A$12:$A$130,"&lt;"&amp;Diagram!$P39)))</f>
        <v>0</v>
      </c>
      <c r="DR39" s="42">
        <f ca="1">IF(OR($I$10="",$O39="",$P39="",$J$41&lt;&gt;"Yes"),0,IF($K$10=0,SUMIFS(INDIRECT(ADDRESS(12,3+18*0+(6),,,"J1 A - (North) Bishopthorpe Roa")&amp;":"&amp;ADDRESS(130,3+18*0+(6))),'J1 A - (North) Bishopthorpe Roa'!$A$12:$A$130,"&gt;="&amp;Diagram!$O39,'J1 A - (North) Bishopthorpe Roa'!$A$12:$A$130,"&lt;"&amp;Diagram!$P39),SUMIFS(INDIRECT(ADDRESS(12,3+18*0+(14),,,"J1 A - (North) Bishopthorpe Roa")&amp;":"&amp;ADDRESS(130,3+18*0+(14))),'J1 A - (North) Bishopthorpe Roa'!$A$12:$A$130,"&gt;="&amp;Diagram!$O39,'J1 A - (North) Bishopthorpe Roa'!$A$12:$A$130,"&lt;"&amp;Diagram!$P39)))</f>
        <v>0</v>
      </c>
      <c r="DS39" s="42">
        <f ca="1">IF(OR($I$10="",$O39="",$P39="",$J$41&lt;&gt;"Yes"),0,IF($K$10=0,SUMIFS(INDIRECT(ADDRESS(12,3+18*1+(6),,,"J1 A - (North) Bishopthorpe Roa")&amp;":"&amp;ADDRESS(130,3+18*1+(6))),'J1 A - (North) Bishopthorpe Roa'!$A$12:$A$130,"&gt;="&amp;Diagram!$O39,'J1 A - (North) Bishopthorpe Roa'!$A$12:$A$130,"&lt;"&amp;Diagram!$P39),SUMIFS(INDIRECT(ADDRESS(12,3+18*1+(14),,,"J1 A - (North) Bishopthorpe Roa")&amp;":"&amp;ADDRESS(130,3+18*1+(14))),'J1 A - (North) Bishopthorpe Roa'!$A$12:$A$130,"&gt;="&amp;Diagram!$O39,'J1 A - (North) Bishopthorpe Roa'!$A$12:$A$130,"&lt;"&amp;Diagram!$P39)))</f>
        <v>0</v>
      </c>
      <c r="DT39" s="42">
        <f ca="1">IF(OR($I$10="",$O39="",$P39="",$J$41&lt;&gt;"Yes"),0,IF($K$10=0,SUMIFS(INDIRECT(ADDRESS(12,3+18*2+(6),,,"J1 A - (North) Bishopthorpe Roa")&amp;":"&amp;ADDRESS(130,3+18*2+(6))),'J1 A - (North) Bishopthorpe Roa'!$A$12:$A$130,"&gt;="&amp;Diagram!$O39,'J1 A - (North) Bishopthorpe Roa'!$A$12:$A$130,"&lt;"&amp;Diagram!$P39),SUMIFS(INDIRECT(ADDRESS(12,3+18*2+(14),,,"J1 A - (North) Bishopthorpe Roa")&amp;":"&amp;ADDRESS(130,3+18*2+(14))),'J1 A - (North) Bishopthorpe Roa'!$A$12:$A$130,"&gt;="&amp;Diagram!$O39,'J1 A - (North) Bishopthorpe Roa'!$A$12:$A$130,"&lt;"&amp;Diagram!$P39)))</f>
        <v>0</v>
      </c>
      <c r="DU39" s="42">
        <f ca="1">IF(OR($I$10="",$O39="",$P39="",$J$41&lt;&gt;"Yes"),0,IF($K$10=0,SUMIFS(INDIRECT(ADDRESS(12,3+18*2+(6),,,"J1 B - Butcher Terrace")&amp;":"&amp;ADDRESS(130,3+18*2+(6))),'J1 B - Butcher Terrace'!$A$12:$A$130,"&gt;="&amp;Diagram!$O39,'J1 B - Butcher Terrace'!$A$12:$A$130,"&lt;"&amp;Diagram!$P39),SUMIFS(INDIRECT(ADDRESS(12,3+18*2+(14),,,"J1 B - Butcher Terrace")&amp;":"&amp;ADDRESS(130,3+18*2+(14))),'J1 B - Butcher Terrace'!$A$12:$A$130,"&gt;="&amp;Diagram!$O39,'J1 B - Butcher Terrace'!$A$12:$A$130,"&lt;"&amp;Diagram!$P39)))</f>
        <v>1</v>
      </c>
      <c r="DV39" s="42">
        <f ca="1">IF(OR($I$10="",$O39="",$P39="",$J$41&lt;&gt;"Yes"),0,IF($K$10=0,SUMIFS(INDIRECT(ADDRESS(12,3+18*3+(6),,,"J1 B - Butcher Terrace")&amp;":"&amp;ADDRESS(130,3+18*3+(6))),'J1 B - Butcher Terrace'!$A$12:$A$130,"&gt;="&amp;Diagram!$O39,'J1 B - Butcher Terrace'!$A$12:$A$130,"&lt;"&amp;Diagram!$P39),SUMIFS(INDIRECT(ADDRESS(12,3+18*3+(14),,,"J1 B - Butcher Terrace")&amp;":"&amp;ADDRESS(130,3+18*3+(14))),'J1 B - Butcher Terrace'!$A$12:$A$130,"&gt;="&amp;Diagram!$O39,'J1 B - Butcher Terrace'!$A$12:$A$130,"&lt;"&amp;Diagram!$P39)))</f>
        <v>0</v>
      </c>
      <c r="DW39" s="42">
        <f ca="1">IF(OR($I$10="",$O39="",$P39="",$J$41&lt;&gt;"Yes"),0,IF($K$10=0,SUMIFS(INDIRECT(ADDRESS(12,3+18*0+(6),,,"J1 B - Butcher Terrace")&amp;":"&amp;ADDRESS(130,3+18*0+(6))),'J1 B - Butcher Terrace'!$A$12:$A$130,"&gt;="&amp;Diagram!$O39,'J1 B - Butcher Terrace'!$A$12:$A$130,"&lt;"&amp;Diagram!$P39),SUMIFS(INDIRECT(ADDRESS(12,3+18*0+(14),,,"J1 B - Butcher Terrace")&amp;":"&amp;ADDRESS(130,3+18*0+(14))),'J1 B - Butcher Terrace'!$A$12:$A$130,"&gt;="&amp;Diagram!$O39,'J1 B - Butcher Terrace'!$A$12:$A$130,"&lt;"&amp;Diagram!$P39)))</f>
        <v>0</v>
      </c>
      <c r="DX39" s="42">
        <f ca="1">IF(OR($I$10="",$O39="",$P39="",$J$41&lt;&gt;"Yes"),0,IF($K$10=0,SUMIFS(INDIRECT(ADDRESS(12,3+18*1+(6),,,"J1 B - Butcher Terrace")&amp;":"&amp;ADDRESS(130,3+18*1+(6))),'J1 B - Butcher Terrace'!$A$12:$A$130,"&gt;="&amp;Diagram!$O39,'J1 B - Butcher Terrace'!$A$12:$A$130,"&lt;"&amp;Diagram!$P39),SUMIFS(INDIRECT(ADDRESS(12,3+18*1+(14),,,"J1 B - Butcher Terrace")&amp;":"&amp;ADDRESS(130,3+18*1+(14))),'J1 B - Butcher Terrace'!$A$12:$A$130,"&gt;="&amp;Diagram!$O39,'J1 B - Butcher Terrace'!$A$12:$A$130,"&lt;"&amp;Diagram!$P39)))</f>
        <v>0</v>
      </c>
      <c r="DY39" s="42">
        <f ca="1">IF(OR($I$10="",$O39="",$P39="",$J$41&lt;&gt;"Yes"),0,IF($K$10=0,SUMIFS(INDIRECT(ADDRESS(12,3+18*1+(6),,,"J1 C - (South) Bishopthorpe Roa")&amp;":"&amp;ADDRESS(130,3+18*1+(6))),'J1 C - (South) Bishopthorpe Roa'!$A$12:$A$130,"&gt;="&amp;Diagram!$O39,'J1 C - (South) Bishopthorpe Roa'!$A$12:$A$130,"&lt;"&amp;Diagram!$P39),SUMIFS(INDIRECT(ADDRESS(12,3+18*1+(14),,,"J1 C - (South) Bishopthorpe Roa")&amp;":"&amp;ADDRESS(130,3+18*1+(14))),'J1 C - (South) Bishopthorpe Roa'!$A$12:$A$130,"&gt;="&amp;Diagram!$O39,'J1 C - (South) Bishopthorpe Roa'!$A$12:$A$130,"&lt;"&amp;Diagram!$P39)))</f>
        <v>0</v>
      </c>
      <c r="DZ39" s="42">
        <f ca="1">IF(OR($I$10="",$O39="",$P39="",$J$41&lt;&gt;"Yes"),0,IF($K$10=0,SUMIFS(INDIRECT(ADDRESS(12,3+18*2+(6),,,"J1 C - (South) Bishopthorpe Roa")&amp;":"&amp;ADDRESS(130,3+18*2+(6))),'J1 C - (South) Bishopthorpe Roa'!$A$12:$A$130,"&gt;="&amp;Diagram!$O39,'J1 C - (South) Bishopthorpe Roa'!$A$12:$A$130,"&lt;"&amp;Diagram!$P39),SUMIFS(INDIRECT(ADDRESS(12,3+18*2+(14),,,"J1 C - (South) Bishopthorpe Roa")&amp;":"&amp;ADDRESS(130,3+18*2+(14))),'J1 C - (South) Bishopthorpe Roa'!$A$12:$A$130,"&gt;="&amp;Diagram!$O39,'J1 C - (South) Bishopthorpe Roa'!$A$12:$A$130,"&lt;"&amp;Diagram!$P39)))</f>
        <v>0</v>
      </c>
      <c r="EA39" s="42">
        <f ca="1">IF(OR($I$10="",$O39="",$P39="",$J$41&lt;&gt;"Yes"),0,IF($K$10=0,SUMIFS(INDIRECT(ADDRESS(12,3+18*3+(6),,,"J1 C - (South) Bishopthorpe Roa")&amp;":"&amp;ADDRESS(130,3+18*3+(6))),'J1 C - (South) Bishopthorpe Roa'!$A$12:$A$130,"&gt;="&amp;Diagram!$O39,'J1 C - (South) Bishopthorpe Roa'!$A$12:$A$130,"&lt;"&amp;Diagram!$P39),SUMIFS(INDIRECT(ADDRESS(12,3+18*3+(14),,,"J1 C - (South) Bishopthorpe Roa")&amp;":"&amp;ADDRESS(130,3+18*3+(14))),'J1 C - (South) Bishopthorpe Roa'!$A$12:$A$130,"&gt;="&amp;Diagram!$O39,'J1 C - (South) Bishopthorpe Roa'!$A$12:$A$130,"&lt;"&amp;Diagram!$P39)))</f>
        <v>0</v>
      </c>
      <c r="EB39" s="42">
        <f ca="1">IF(OR($I$10="",$O39="",$P39="",$J$41&lt;&gt;"Yes"),0,IF($K$10=0,SUMIFS(INDIRECT(ADDRESS(12,3+18*0+(6),,,"J1 C - (South) Bishopthorpe Roa")&amp;":"&amp;ADDRESS(130,3+18*0+(6))),'J1 C - (South) Bishopthorpe Roa'!$A$12:$A$130,"&gt;="&amp;Diagram!$O39,'J1 C - (South) Bishopthorpe Roa'!$A$12:$A$130,"&lt;"&amp;Diagram!$P39),SUMIFS(INDIRECT(ADDRESS(12,3+18*0+(14),,,"J1 C - (South) Bishopthorpe Roa")&amp;":"&amp;ADDRESS(130,3+18*0+(14))),'J1 C - (South) Bishopthorpe Roa'!$A$12:$A$130,"&gt;="&amp;Diagram!$O39,'J1 C - (South) Bishopthorpe Roa'!$A$12:$A$130,"&lt;"&amp;Diagram!$P39)))</f>
        <v>0</v>
      </c>
      <c r="EC39" s="42">
        <f ca="1">IF(OR($I$10="",$O39="",$P39="",$J$41&lt;&gt;"Yes"),0,IF($K$10=0,SUMIFS(INDIRECT(ADDRESS(12,3+18*0+(6),,,"J1 D - South Bank Avenue")&amp;":"&amp;ADDRESS(130,3+18*0+(6))),'J1 D - South Bank Avenue'!$A$12:$A$130,"&gt;="&amp;Diagram!$O39,'J1 D - South Bank Avenue'!$A$12:$A$130,"&lt;"&amp;Diagram!$P39),SUMIFS(INDIRECT(ADDRESS(12,3+18*0+(14),,,"J1 D - South Bank Avenue")&amp;":"&amp;ADDRESS(130,3+18*0+(14))),'J1 D - South Bank Avenue'!$A$12:$A$130,"&gt;="&amp;Diagram!$O39,'J1 D - South Bank Avenue'!$A$12:$A$130,"&lt;"&amp;Diagram!$P39)))</f>
        <v>2</v>
      </c>
      <c r="ED39" s="42">
        <f ca="1">IF(OR($I$10="",$O39="",$P39="",$J$41&lt;&gt;"Yes"),0,IF($K$10=0,SUMIFS(INDIRECT(ADDRESS(12,3+18*1+(6),,,"J1 D - South Bank Avenue")&amp;":"&amp;ADDRESS(130,3+18*1+(6))),'J1 D - South Bank Avenue'!$A$12:$A$130,"&gt;="&amp;Diagram!$O39,'J1 D - South Bank Avenue'!$A$12:$A$130,"&lt;"&amp;Diagram!$P39),SUMIFS(INDIRECT(ADDRESS(12,3+18*1+(14),,,"J1 D - South Bank Avenue")&amp;":"&amp;ADDRESS(130,3+18*1+(14))),'J1 D - South Bank Avenue'!$A$12:$A$130,"&gt;="&amp;Diagram!$O39,'J1 D - South Bank Avenue'!$A$12:$A$130,"&lt;"&amp;Diagram!$P39)))</f>
        <v>0</v>
      </c>
      <c r="EE39" s="42">
        <f ca="1">IF(OR($I$10="",$O39="",$P39="",$J$41&lt;&gt;"Yes"),0,IF($K$10=0,SUMIFS(INDIRECT(ADDRESS(12,3+18*2+(6),,,"J1 D - South Bank Avenue")&amp;":"&amp;ADDRESS(130,3+18*2+(6))),'J1 D - South Bank Avenue'!$A$12:$A$130,"&gt;="&amp;Diagram!$O39,'J1 D - South Bank Avenue'!$A$12:$A$130,"&lt;"&amp;Diagram!$P39),SUMIFS(INDIRECT(ADDRESS(12,3+18*2+(14),,,"J1 D - South Bank Avenue")&amp;":"&amp;ADDRESS(130,3+18*2+(14))),'J1 D - South Bank Avenue'!$A$12:$A$130,"&gt;="&amp;Diagram!$O39,'J1 D - South Bank Avenue'!$A$12:$A$130,"&lt;"&amp;Diagram!$P39)))</f>
        <v>0</v>
      </c>
      <c r="EF39" s="42">
        <f ca="1">IF(OR($I$10="",$O39="",$P39="",$J$41&lt;&gt;"Yes"),0,IF($K$10=0,SUMIFS(INDIRECT(ADDRESS(12,3+18*3+(6),,,"J1 D - South Bank Avenue")&amp;":"&amp;ADDRESS(130,3+18*3+(6))),'J1 D - South Bank Avenue'!$A$12:$A$130,"&gt;="&amp;Diagram!$O39,'J1 D - South Bank Avenue'!$A$12:$A$130,"&lt;"&amp;Diagram!$P39),SUMIFS(INDIRECT(ADDRESS(12,3+18*3+(14),,,"J1 D - South Bank Avenue")&amp;":"&amp;ADDRESS(130,3+18*3+(14))),'J1 D - South Bank Avenue'!$A$12:$A$130,"&gt;="&amp;Diagram!$O39,'J1 D - South Bank Avenue'!$A$12:$A$130,"&lt;"&amp;Diagram!$P39)))</f>
        <v>0</v>
      </c>
      <c r="EG39" s="42">
        <f t="shared" ca="1" si="8"/>
        <v>4</v>
      </c>
      <c r="EH39" s="42">
        <f ca="1">IF(OR($I$10="",$O39="",$P39="",$J$42&lt;&gt;"Yes"),0,IF($K$10=0,SUMIFS(INDIRECT(ADDRESS(12,3+18*3+(7),,,"J1 A - (North) Bishopthorpe Roa")&amp;":"&amp;ADDRESS(130,3+18*3+(7))),'J1 A - (North) Bishopthorpe Roa'!$A$12:$A$130,"&gt;="&amp;Diagram!$O39,'J1 A - (North) Bishopthorpe Roa'!$A$12:$A$130,"&lt;"&amp;Diagram!$P39),SUMIFS(INDIRECT(ADDRESS(12,3+18*3+(15),,,"J1 A - (North) Bishopthorpe Roa")&amp;":"&amp;ADDRESS(130,3+18*3+(15))),'J1 A - (North) Bishopthorpe Roa'!$A$12:$A$130,"&gt;="&amp;Diagram!$O39,'J1 A - (North) Bishopthorpe Roa'!$A$12:$A$130,"&lt;"&amp;Diagram!$P39)))</f>
        <v>0</v>
      </c>
      <c r="EI39" s="42">
        <f ca="1">IF(OR($I$10="",$O39="",$P39="",$J$42&lt;&gt;"Yes"),0,IF($K$10=0,SUMIFS(INDIRECT(ADDRESS(12,3+18*0+(7),,,"J1 A - (North) Bishopthorpe Roa")&amp;":"&amp;ADDRESS(130,3+18*0+(7))),'J1 A - (North) Bishopthorpe Roa'!$A$12:$A$130,"&gt;="&amp;Diagram!$O39,'J1 A - (North) Bishopthorpe Roa'!$A$12:$A$130,"&lt;"&amp;Diagram!$P39),SUMIFS(INDIRECT(ADDRESS(12,3+18*0+(15),,,"J1 A - (North) Bishopthorpe Roa")&amp;":"&amp;ADDRESS(130,3+18*0+(15))),'J1 A - (North) Bishopthorpe Roa'!$A$12:$A$130,"&gt;="&amp;Diagram!$O39,'J1 A - (North) Bishopthorpe Roa'!$A$12:$A$130,"&lt;"&amp;Diagram!$P39)))</f>
        <v>0</v>
      </c>
      <c r="EJ39" s="42">
        <f ca="1">IF(OR($I$10="",$O39="",$P39="",$J$42&lt;&gt;"Yes"),0,IF($K$10=0,SUMIFS(INDIRECT(ADDRESS(12,3+18*1+(7),,,"J1 A - (North) Bishopthorpe Roa")&amp;":"&amp;ADDRESS(130,3+18*1+(7))),'J1 A - (North) Bishopthorpe Roa'!$A$12:$A$130,"&gt;="&amp;Diagram!$O39,'J1 A - (North) Bishopthorpe Roa'!$A$12:$A$130,"&lt;"&amp;Diagram!$P39),SUMIFS(INDIRECT(ADDRESS(12,3+18*1+(15),,,"J1 A - (North) Bishopthorpe Roa")&amp;":"&amp;ADDRESS(130,3+18*1+(15))),'J1 A - (North) Bishopthorpe Roa'!$A$12:$A$130,"&gt;="&amp;Diagram!$O39,'J1 A - (North) Bishopthorpe Roa'!$A$12:$A$130,"&lt;"&amp;Diagram!$P39)))</f>
        <v>0</v>
      </c>
      <c r="EK39" s="42">
        <f ca="1">IF(OR($I$10="",$O39="",$P39="",$J$42&lt;&gt;"Yes"),0,IF($K$10=0,SUMIFS(INDIRECT(ADDRESS(12,3+18*2+(7),,,"J1 A - (North) Bishopthorpe Roa")&amp;":"&amp;ADDRESS(130,3+18*2+(7))),'J1 A - (North) Bishopthorpe Roa'!$A$12:$A$130,"&gt;="&amp;Diagram!$O39,'J1 A - (North) Bishopthorpe Roa'!$A$12:$A$130,"&lt;"&amp;Diagram!$P39),SUMIFS(INDIRECT(ADDRESS(12,3+18*2+(15),,,"J1 A - (North) Bishopthorpe Roa")&amp;":"&amp;ADDRESS(130,3+18*2+(15))),'J1 A - (North) Bishopthorpe Roa'!$A$12:$A$130,"&gt;="&amp;Diagram!$O39,'J1 A - (North) Bishopthorpe Roa'!$A$12:$A$130,"&lt;"&amp;Diagram!$P39)))</f>
        <v>0</v>
      </c>
      <c r="EL39" s="42">
        <f ca="1">IF(OR($I$10="",$O39="",$P39="",$J$42&lt;&gt;"Yes"),0,IF($K$10=0,SUMIFS(INDIRECT(ADDRESS(12,3+18*2+(7),,,"J1 B - Butcher Terrace")&amp;":"&amp;ADDRESS(130,3+18*2+(7))),'J1 B - Butcher Terrace'!$A$12:$A$130,"&gt;="&amp;Diagram!$O39,'J1 B - Butcher Terrace'!$A$12:$A$130,"&lt;"&amp;Diagram!$P39),SUMIFS(INDIRECT(ADDRESS(12,3+18*2+(15),,,"J1 B - Butcher Terrace")&amp;":"&amp;ADDRESS(130,3+18*2+(15))),'J1 B - Butcher Terrace'!$A$12:$A$130,"&gt;="&amp;Diagram!$O39,'J1 B - Butcher Terrace'!$A$12:$A$130,"&lt;"&amp;Diagram!$P39)))</f>
        <v>2</v>
      </c>
      <c r="EM39" s="42">
        <f ca="1">IF(OR($I$10="",$O39="",$P39="",$J$42&lt;&gt;"Yes"),0,IF($K$10=0,SUMIFS(INDIRECT(ADDRESS(12,3+18*3+(7),,,"J1 B - Butcher Terrace")&amp;":"&amp;ADDRESS(130,3+18*3+(7))),'J1 B - Butcher Terrace'!$A$12:$A$130,"&gt;="&amp;Diagram!$O39,'J1 B - Butcher Terrace'!$A$12:$A$130,"&lt;"&amp;Diagram!$P39),SUMIFS(INDIRECT(ADDRESS(12,3+18*3+(15),,,"J1 B - Butcher Terrace")&amp;":"&amp;ADDRESS(130,3+18*3+(15))),'J1 B - Butcher Terrace'!$A$12:$A$130,"&gt;="&amp;Diagram!$O39,'J1 B - Butcher Terrace'!$A$12:$A$130,"&lt;"&amp;Diagram!$P39)))</f>
        <v>0</v>
      </c>
      <c r="EN39" s="42">
        <f ca="1">IF(OR($I$10="",$O39="",$P39="",$J$42&lt;&gt;"Yes"),0,IF($K$10=0,SUMIFS(INDIRECT(ADDRESS(12,3+18*0+(7),,,"J1 B - Butcher Terrace")&amp;":"&amp;ADDRESS(130,3+18*0+(7))),'J1 B - Butcher Terrace'!$A$12:$A$130,"&gt;="&amp;Diagram!$O39,'J1 B - Butcher Terrace'!$A$12:$A$130,"&lt;"&amp;Diagram!$P39),SUMIFS(INDIRECT(ADDRESS(12,3+18*0+(15),,,"J1 B - Butcher Terrace")&amp;":"&amp;ADDRESS(130,3+18*0+(15))),'J1 B - Butcher Terrace'!$A$12:$A$130,"&gt;="&amp;Diagram!$O39,'J1 B - Butcher Terrace'!$A$12:$A$130,"&lt;"&amp;Diagram!$P39)))</f>
        <v>2</v>
      </c>
      <c r="EO39" s="42">
        <f ca="1">IF(OR($I$10="",$O39="",$P39="",$J$42&lt;&gt;"Yes"),0,IF($K$10=0,SUMIFS(INDIRECT(ADDRESS(12,3+18*1+(7),,,"J1 B - Butcher Terrace")&amp;":"&amp;ADDRESS(130,3+18*1+(7))),'J1 B - Butcher Terrace'!$A$12:$A$130,"&gt;="&amp;Diagram!$O39,'J1 B - Butcher Terrace'!$A$12:$A$130,"&lt;"&amp;Diagram!$P39),SUMIFS(INDIRECT(ADDRESS(12,3+18*1+(15),,,"J1 B - Butcher Terrace")&amp;":"&amp;ADDRESS(130,3+18*1+(15))),'J1 B - Butcher Terrace'!$A$12:$A$130,"&gt;="&amp;Diagram!$O39,'J1 B - Butcher Terrace'!$A$12:$A$130,"&lt;"&amp;Diagram!$P39)))</f>
        <v>0</v>
      </c>
      <c r="EP39" s="42">
        <f ca="1">IF(OR($I$10="",$O39="",$P39="",$J$42&lt;&gt;"Yes"),0,IF($K$10=0,SUMIFS(INDIRECT(ADDRESS(12,3+18*1+(7),,,"J1 C - (South) Bishopthorpe Roa")&amp;":"&amp;ADDRESS(130,3+18*1+(7))),'J1 C - (South) Bishopthorpe Roa'!$A$12:$A$130,"&gt;="&amp;Diagram!$O39,'J1 C - (South) Bishopthorpe Roa'!$A$12:$A$130,"&lt;"&amp;Diagram!$P39),SUMIFS(INDIRECT(ADDRESS(12,3+18*1+(15),,,"J1 C - (South) Bishopthorpe Roa")&amp;":"&amp;ADDRESS(130,3+18*1+(15))),'J1 C - (South) Bishopthorpe Roa'!$A$12:$A$130,"&gt;="&amp;Diagram!$O39,'J1 C - (South) Bishopthorpe Roa'!$A$12:$A$130,"&lt;"&amp;Diagram!$P39)))</f>
        <v>0</v>
      </c>
      <c r="EQ39" s="42">
        <f ca="1">IF(OR($I$10="",$O39="",$P39="",$J$42&lt;&gt;"Yes"),0,IF($K$10=0,SUMIFS(INDIRECT(ADDRESS(12,3+18*2+(7),,,"J1 C - (South) Bishopthorpe Roa")&amp;":"&amp;ADDRESS(130,3+18*2+(7))),'J1 C - (South) Bishopthorpe Roa'!$A$12:$A$130,"&gt;="&amp;Diagram!$O39,'J1 C - (South) Bishopthorpe Roa'!$A$12:$A$130,"&lt;"&amp;Diagram!$P39),SUMIFS(INDIRECT(ADDRESS(12,3+18*2+(15),,,"J1 C - (South) Bishopthorpe Roa")&amp;":"&amp;ADDRESS(130,3+18*2+(15))),'J1 C - (South) Bishopthorpe Roa'!$A$12:$A$130,"&gt;="&amp;Diagram!$O39,'J1 C - (South) Bishopthorpe Roa'!$A$12:$A$130,"&lt;"&amp;Diagram!$P39)))</f>
        <v>0</v>
      </c>
      <c r="ER39" s="42">
        <f ca="1">IF(OR($I$10="",$O39="",$P39="",$J$42&lt;&gt;"Yes"),0,IF($K$10=0,SUMIFS(INDIRECT(ADDRESS(12,3+18*3+(7),,,"J1 C - (South) Bishopthorpe Roa")&amp;":"&amp;ADDRESS(130,3+18*3+(7))),'J1 C - (South) Bishopthorpe Roa'!$A$12:$A$130,"&gt;="&amp;Diagram!$O39,'J1 C - (South) Bishopthorpe Roa'!$A$12:$A$130,"&lt;"&amp;Diagram!$P39),SUMIFS(INDIRECT(ADDRESS(12,3+18*3+(15),,,"J1 C - (South) Bishopthorpe Roa")&amp;":"&amp;ADDRESS(130,3+18*3+(15))),'J1 C - (South) Bishopthorpe Roa'!$A$12:$A$130,"&gt;="&amp;Diagram!$O39,'J1 C - (South) Bishopthorpe Roa'!$A$12:$A$130,"&lt;"&amp;Diagram!$P39)))</f>
        <v>0</v>
      </c>
      <c r="ES39" s="42">
        <f ca="1">IF(OR($I$10="",$O39="",$P39="",$J$42&lt;&gt;"Yes"),0,IF($K$10=0,SUMIFS(INDIRECT(ADDRESS(12,3+18*0+(7),,,"J1 C - (South) Bishopthorpe Roa")&amp;":"&amp;ADDRESS(130,3+18*0+(7))),'J1 C - (South) Bishopthorpe Roa'!$A$12:$A$130,"&gt;="&amp;Diagram!$O39,'J1 C - (South) Bishopthorpe Roa'!$A$12:$A$130,"&lt;"&amp;Diagram!$P39),SUMIFS(INDIRECT(ADDRESS(12,3+18*0+(15),,,"J1 C - (South) Bishopthorpe Roa")&amp;":"&amp;ADDRESS(130,3+18*0+(15))),'J1 C - (South) Bishopthorpe Roa'!$A$12:$A$130,"&gt;="&amp;Diagram!$O39,'J1 C - (South) Bishopthorpe Roa'!$A$12:$A$130,"&lt;"&amp;Diagram!$P39)))</f>
        <v>0</v>
      </c>
      <c r="ET39" s="42">
        <f ca="1">IF(OR($I$10="",$O39="",$P39="",$J$42&lt;&gt;"Yes"),0,IF($K$10=0,SUMIFS(INDIRECT(ADDRESS(12,3+18*0+(7),,,"J1 D - South Bank Avenue")&amp;":"&amp;ADDRESS(130,3+18*0+(7))),'J1 D - South Bank Avenue'!$A$12:$A$130,"&gt;="&amp;Diagram!$O39,'J1 D - South Bank Avenue'!$A$12:$A$130,"&lt;"&amp;Diagram!$P39),SUMIFS(INDIRECT(ADDRESS(12,3+18*0+(15),,,"J1 D - South Bank Avenue")&amp;":"&amp;ADDRESS(130,3+18*0+(15))),'J1 D - South Bank Avenue'!$A$12:$A$130,"&gt;="&amp;Diagram!$O39,'J1 D - South Bank Avenue'!$A$12:$A$130,"&lt;"&amp;Diagram!$P39)))</f>
        <v>0</v>
      </c>
      <c r="EU39" s="42">
        <f ca="1">IF(OR($I$10="",$O39="",$P39="",$J$42&lt;&gt;"Yes"),0,IF($K$10=0,SUMIFS(INDIRECT(ADDRESS(12,3+18*1+(7),,,"J1 D - South Bank Avenue")&amp;":"&amp;ADDRESS(130,3+18*1+(7))),'J1 D - South Bank Avenue'!$A$12:$A$130,"&gt;="&amp;Diagram!$O39,'J1 D - South Bank Avenue'!$A$12:$A$130,"&lt;"&amp;Diagram!$P39),SUMIFS(INDIRECT(ADDRESS(12,3+18*1+(15),,,"J1 D - South Bank Avenue")&amp;":"&amp;ADDRESS(130,3+18*1+(15))),'J1 D - South Bank Avenue'!$A$12:$A$130,"&gt;="&amp;Diagram!$O39,'J1 D - South Bank Avenue'!$A$12:$A$130,"&lt;"&amp;Diagram!$P39)))</f>
        <v>0</v>
      </c>
      <c r="EV39" s="42">
        <f ca="1">IF(OR($I$10="",$O39="",$P39="",$J$42&lt;&gt;"Yes"),0,IF($K$10=0,SUMIFS(INDIRECT(ADDRESS(12,3+18*2+(7),,,"J1 D - South Bank Avenue")&amp;":"&amp;ADDRESS(130,3+18*2+(7))),'J1 D - South Bank Avenue'!$A$12:$A$130,"&gt;="&amp;Diagram!$O39,'J1 D - South Bank Avenue'!$A$12:$A$130,"&lt;"&amp;Diagram!$P39),SUMIFS(INDIRECT(ADDRESS(12,3+18*2+(15),,,"J1 D - South Bank Avenue")&amp;":"&amp;ADDRESS(130,3+18*2+(15))),'J1 D - South Bank Avenue'!$A$12:$A$130,"&gt;="&amp;Diagram!$O39,'J1 D - South Bank Avenue'!$A$12:$A$130,"&lt;"&amp;Diagram!$P39)))</f>
        <v>0</v>
      </c>
      <c r="EW39" s="42">
        <f ca="1">IF(OR($I$10="",$O39="",$P39="",$J$42&lt;&gt;"Yes"),0,IF($K$10=0,SUMIFS(INDIRECT(ADDRESS(12,3+18*3+(7),,,"J1 D - South Bank Avenue")&amp;":"&amp;ADDRESS(130,3+18*3+(7))),'J1 D - South Bank Avenue'!$A$12:$A$130,"&gt;="&amp;Diagram!$O39,'J1 D - South Bank Avenue'!$A$12:$A$130,"&lt;"&amp;Diagram!$P39),SUMIFS(INDIRECT(ADDRESS(12,3+18*3+(15),,,"J1 D - South Bank Avenue")&amp;":"&amp;ADDRESS(130,3+18*3+(15))),'J1 D - South Bank Avenue'!$A$12:$A$130,"&gt;="&amp;Diagram!$O39,'J1 D - South Bank Avenue'!$A$12:$A$130,"&lt;"&amp;Diagram!$P39)))</f>
        <v>0</v>
      </c>
    </row>
    <row r="40" spans="1:153" ht="21" customHeight="1">
      <c r="A40" s="1">
        <v>44395.40625</v>
      </c>
      <c r="B40" s="1">
        <v>44395.416666666701</v>
      </c>
      <c r="I40" s="38" t="s">
        <v>17</v>
      </c>
      <c r="J40" s="39" t="s">
        <v>166</v>
      </c>
      <c r="K40" s="13">
        <v>5</v>
      </c>
      <c r="O40" s="3">
        <v>44395.40625</v>
      </c>
      <c r="P40" s="3">
        <v>44395.447916666701</v>
      </c>
      <c r="Q40" s="42">
        <f t="shared" ca="1" si="0"/>
        <v>697</v>
      </c>
      <c r="R40" s="42">
        <f t="shared" ca="1" si="1"/>
        <v>475</v>
      </c>
      <c r="S40" s="42">
        <f ca="1">IF(OR($I$10="",$O40="",$P40="",$J$35&lt;&gt;"Yes"),0,IF($K$10=0,SUMIFS(INDIRECT(ADDRESS(12,3+18*3+(0),,,"J1 A - (North) Bishopthorpe Roa")&amp;":"&amp;ADDRESS(130,3+18*3+(0))),'J1 A - (North) Bishopthorpe Roa'!$A$12:$A$130,"&gt;="&amp;Diagram!$O40,'J1 A - (North) Bishopthorpe Roa'!$A$12:$A$130,"&lt;"&amp;Diagram!$P40),SUMIFS(INDIRECT(ADDRESS(12,3+18*3+(8),,,"J1 A - (North) Bishopthorpe Roa")&amp;":"&amp;ADDRESS(130,3+18*3+(8))),'J1 A - (North) Bishopthorpe Roa'!$A$12:$A$130,"&gt;="&amp;Diagram!$O40,'J1 A - (North) Bishopthorpe Roa'!$A$12:$A$130,"&lt;"&amp;Diagram!$P40)))</f>
        <v>2</v>
      </c>
      <c r="T40" s="42">
        <f ca="1">IF(OR($I$10="",$O40="",$P40="",$J$35&lt;&gt;"Yes"),0,IF($K$10=0,SUMIFS(INDIRECT(ADDRESS(12,3+18*0+(0),,,"J1 A - (North) Bishopthorpe Roa")&amp;":"&amp;ADDRESS(130,3+18*0+(0))),'J1 A - (North) Bishopthorpe Roa'!$A$12:$A$130,"&gt;="&amp;Diagram!$O40,'J1 A - (North) Bishopthorpe Roa'!$A$12:$A$130,"&lt;"&amp;Diagram!$P40),SUMIFS(INDIRECT(ADDRESS(12,3+18*0+(8),,,"J1 A - (North) Bishopthorpe Roa")&amp;":"&amp;ADDRESS(130,3+18*0+(8))),'J1 A - (North) Bishopthorpe Roa'!$A$12:$A$130,"&gt;="&amp;Diagram!$O40,'J1 A - (North) Bishopthorpe Roa'!$A$12:$A$130,"&lt;"&amp;Diagram!$P40)))</f>
        <v>18</v>
      </c>
      <c r="U40" s="42">
        <f ca="1">IF(OR($I$10="",$O40="",$P40="",$J$35&lt;&gt;"Yes"),0,IF($K$10=0,SUMIFS(INDIRECT(ADDRESS(12,3+18*1+(0),,,"J1 A - (North) Bishopthorpe Roa")&amp;":"&amp;ADDRESS(130,3+18*1+(0))),'J1 A - (North) Bishopthorpe Roa'!$A$12:$A$130,"&gt;="&amp;Diagram!$O40,'J1 A - (North) Bishopthorpe Roa'!$A$12:$A$130,"&lt;"&amp;Diagram!$P40),SUMIFS(INDIRECT(ADDRESS(12,3+18*1+(8),,,"J1 A - (North) Bishopthorpe Roa")&amp;":"&amp;ADDRESS(130,3+18*1+(8))),'J1 A - (North) Bishopthorpe Roa'!$A$12:$A$130,"&gt;="&amp;Diagram!$O40,'J1 A - (North) Bishopthorpe Roa'!$A$12:$A$130,"&lt;"&amp;Diagram!$P40)))</f>
        <v>178</v>
      </c>
      <c r="V40" s="42">
        <f ca="1">IF(OR($I$10="",$O40="",$P40="",$J$35&lt;&gt;"Yes"),0,IF($K$10=0,SUMIFS(INDIRECT(ADDRESS(12,3+18*2+(0),,,"J1 A - (North) Bishopthorpe Roa")&amp;":"&amp;ADDRESS(130,3+18*2+(0))),'J1 A - (North) Bishopthorpe Roa'!$A$12:$A$130,"&gt;="&amp;Diagram!$O40,'J1 A - (North) Bishopthorpe Roa'!$A$12:$A$130,"&lt;"&amp;Diagram!$P40),SUMIFS(INDIRECT(ADDRESS(12,3+18*2+(8),,,"J1 A - (North) Bishopthorpe Roa")&amp;":"&amp;ADDRESS(130,3+18*2+(8))),'J1 A - (North) Bishopthorpe Roa'!$A$12:$A$130,"&gt;="&amp;Diagram!$O40,'J1 A - (North) Bishopthorpe Roa'!$A$12:$A$130,"&lt;"&amp;Diagram!$P40)))</f>
        <v>17</v>
      </c>
      <c r="W40" s="42">
        <f ca="1">IF(OR($I$10="",$O40="",$P40="",$J$35&lt;&gt;"Yes"),0,IF($K$10=0,SUMIFS(INDIRECT(ADDRESS(12,3+18*2+(0),,,"J1 B - Butcher Terrace")&amp;":"&amp;ADDRESS(130,3+18*2+(0))),'J1 B - Butcher Terrace'!$A$12:$A$130,"&gt;="&amp;Diagram!$O40,'J1 B - Butcher Terrace'!$A$12:$A$130,"&lt;"&amp;Diagram!$P40),SUMIFS(INDIRECT(ADDRESS(12,3+18*2+(8),,,"J1 B - Butcher Terrace")&amp;":"&amp;ADDRESS(130,3+18*2+(8))),'J1 B - Butcher Terrace'!$A$12:$A$130,"&gt;="&amp;Diagram!$O40,'J1 B - Butcher Terrace'!$A$12:$A$130,"&lt;"&amp;Diagram!$P40)))</f>
        <v>16</v>
      </c>
      <c r="X40" s="42">
        <f ca="1">IF(OR($I$10="",$O40="",$P40="",$J$35&lt;&gt;"Yes"),0,IF($K$10=0,SUMIFS(INDIRECT(ADDRESS(12,3+18*3+(0),,,"J1 B - Butcher Terrace")&amp;":"&amp;ADDRESS(130,3+18*3+(0))),'J1 B - Butcher Terrace'!$A$12:$A$130,"&gt;="&amp;Diagram!$O40,'J1 B - Butcher Terrace'!$A$12:$A$130,"&lt;"&amp;Diagram!$P40),SUMIFS(INDIRECT(ADDRESS(12,3+18*3+(8),,,"J1 B - Butcher Terrace")&amp;":"&amp;ADDRESS(130,3+18*3+(8))),'J1 B - Butcher Terrace'!$A$12:$A$130,"&gt;="&amp;Diagram!$O40,'J1 B - Butcher Terrace'!$A$12:$A$130,"&lt;"&amp;Diagram!$P40)))</f>
        <v>0</v>
      </c>
      <c r="Y40" s="42">
        <f ca="1">IF(OR($I$10="",$O40="",$P40="",$J$35&lt;&gt;"Yes"),0,IF($K$10=0,SUMIFS(INDIRECT(ADDRESS(12,3+18*0+(0),,,"J1 B - Butcher Terrace")&amp;":"&amp;ADDRESS(130,3+18*0+(0))),'J1 B - Butcher Terrace'!$A$12:$A$130,"&gt;="&amp;Diagram!$O40,'J1 B - Butcher Terrace'!$A$12:$A$130,"&lt;"&amp;Diagram!$P40),SUMIFS(INDIRECT(ADDRESS(12,3+18*0+(8),,,"J1 B - Butcher Terrace")&amp;":"&amp;ADDRESS(130,3+18*0+(8))),'J1 B - Butcher Terrace'!$A$12:$A$130,"&gt;="&amp;Diagram!$O40,'J1 B - Butcher Terrace'!$A$12:$A$130,"&lt;"&amp;Diagram!$P40)))</f>
        <v>13</v>
      </c>
      <c r="Z40" s="42">
        <f ca="1">IF(OR($I$10="",$O40="",$P40="",$J$35&lt;&gt;"Yes"),0,IF($K$10=0,SUMIFS(INDIRECT(ADDRESS(12,3+18*1+(0),,,"J1 B - Butcher Terrace")&amp;":"&amp;ADDRESS(130,3+18*1+(0))),'J1 B - Butcher Terrace'!$A$12:$A$130,"&gt;="&amp;Diagram!$O40,'J1 B - Butcher Terrace'!$A$12:$A$130,"&lt;"&amp;Diagram!$P40),SUMIFS(INDIRECT(ADDRESS(12,3+18*1+(8),,,"J1 B - Butcher Terrace")&amp;":"&amp;ADDRESS(130,3+18*1+(8))),'J1 B - Butcher Terrace'!$A$12:$A$130,"&gt;="&amp;Diagram!$O40,'J1 B - Butcher Terrace'!$A$12:$A$130,"&lt;"&amp;Diagram!$P40)))</f>
        <v>0</v>
      </c>
      <c r="AA40" s="42">
        <f ca="1">IF(OR($I$10="",$O40="",$P40="",$J$35&lt;&gt;"Yes"),0,IF($K$10=0,SUMIFS(INDIRECT(ADDRESS(12,3+18*1+(0),,,"J1 C - (South) Bishopthorpe Roa")&amp;":"&amp;ADDRESS(130,3+18*1+(0))),'J1 C - (South) Bishopthorpe Roa'!$A$12:$A$130,"&gt;="&amp;Diagram!$O40,'J1 C - (South) Bishopthorpe Roa'!$A$12:$A$130,"&lt;"&amp;Diagram!$P40),SUMIFS(INDIRECT(ADDRESS(12,3+18*1+(8),,,"J1 C - (South) Bishopthorpe Roa")&amp;":"&amp;ADDRESS(130,3+18*1+(8))),'J1 C - (South) Bishopthorpe Roa'!$A$12:$A$130,"&gt;="&amp;Diagram!$O40,'J1 C - (South) Bishopthorpe Roa'!$A$12:$A$130,"&lt;"&amp;Diagram!$P40)))</f>
        <v>190</v>
      </c>
      <c r="AB40" s="42">
        <f ca="1">IF(OR($I$10="",$O40="",$P40="",$J$35&lt;&gt;"Yes"),0,IF($K$10=0,SUMIFS(INDIRECT(ADDRESS(12,3+18*2+(0),,,"J1 C - (South) Bishopthorpe Roa")&amp;":"&amp;ADDRESS(130,3+18*2+(0))),'J1 C - (South) Bishopthorpe Roa'!$A$12:$A$130,"&gt;="&amp;Diagram!$O40,'J1 C - (South) Bishopthorpe Roa'!$A$12:$A$130,"&lt;"&amp;Diagram!$P40),SUMIFS(INDIRECT(ADDRESS(12,3+18*2+(8),,,"J1 C - (South) Bishopthorpe Roa")&amp;":"&amp;ADDRESS(130,3+18*2+(8))),'J1 C - (South) Bishopthorpe Roa'!$A$12:$A$130,"&gt;="&amp;Diagram!$O40,'J1 C - (South) Bishopthorpe Roa'!$A$12:$A$130,"&lt;"&amp;Diagram!$P40)))</f>
        <v>4</v>
      </c>
      <c r="AC40" s="42">
        <f ca="1">IF(OR($I$10="",$O40="",$P40="",$J$35&lt;&gt;"Yes"),0,IF($K$10=0,SUMIFS(INDIRECT(ADDRESS(12,3+18*3+(0),,,"J1 C - (South) Bishopthorpe Roa")&amp;":"&amp;ADDRESS(130,3+18*3+(0))),'J1 C - (South) Bishopthorpe Roa'!$A$12:$A$130,"&gt;="&amp;Diagram!$O40,'J1 C - (South) Bishopthorpe Roa'!$A$12:$A$130,"&lt;"&amp;Diagram!$P40),SUMIFS(INDIRECT(ADDRESS(12,3+18*3+(8),,,"J1 C - (South) Bishopthorpe Roa")&amp;":"&amp;ADDRESS(130,3+18*3+(8))),'J1 C - (South) Bishopthorpe Roa'!$A$12:$A$130,"&gt;="&amp;Diagram!$O40,'J1 C - (South) Bishopthorpe Roa'!$A$12:$A$130,"&lt;"&amp;Diagram!$P40)))</f>
        <v>0</v>
      </c>
      <c r="AD40" s="42">
        <f ca="1">IF(OR($I$10="",$O40="",$P40="",$J$35&lt;&gt;"Yes"),0,IF($K$10=0,SUMIFS(INDIRECT(ADDRESS(12,3+18*0+(0),,,"J1 C - (South) Bishopthorpe Roa")&amp;":"&amp;ADDRESS(130,3+18*0+(0))),'J1 C - (South) Bishopthorpe Roa'!$A$12:$A$130,"&gt;="&amp;Diagram!$O40,'J1 C - (South) Bishopthorpe Roa'!$A$12:$A$130,"&lt;"&amp;Diagram!$P40),SUMIFS(INDIRECT(ADDRESS(12,3+18*0+(8),,,"J1 C - (South) Bishopthorpe Roa")&amp;":"&amp;ADDRESS(130,3+18*0+(8))),'J1 C - (South) Bishopthorpe Roa'!$A$12:$A$130,"&gt;="&amp;Diagram!$O40,'J1 C - (South) Bishopthorpe Roa'!$A$12:$A$130,"&lt;"&amp;Diagram!$P40)))</f>
        <v>5</v>
      </c>
      <c r="AE40" s="42">
        <f ca="1">IF(OR($I$10="",$O40="",$P40="",$J$35&lt;&gt;"Yes"),0,IF($K$10=0,SUMIFS(INDIRECT(ADDRESS(12,3+18*0+(0),,,"J1 D - South Bank Avenue")&amp;":"&amp;ADDRESS(130,3+18*0+(0))),'J1 D - South Bank Avenue'!$A$12:$A$130,"&gt;="&amp;Diagram!$O40,'J1 D - South Bank Avenue'!$A$12:$A$130,"&lt;"&amp;Diagram!$P40),SUMIFS(INDIRECT(ADDRESS(12,3+18*0+(8),,,"J1 D - South Bank Avenue")&amp;":"&amp;ADDRESS(130,3+18*0+(8))),'J1 D - South Bank Avenue'!$A$12:$A$130,"&gt;="&amp;Diagram!$O40,'J1 D - South Bank Avenue'!$A$12:$A$130,"&lt;"&amp;Diagram!$P40)))</f>
        <v>27</v>
      </c>
      <c r="AF40" s="42">
        <f ca="1">IF(OR($I$10="",$O40="",$P40="",$J$35&lt;&gt;"Yes"),0,IF($K$10=0,SUMIFS(INDIRECT(ADDRESS(12,3+18*1+(0),,,"J1 D - South Bank Avenue")&amp;":"&amp;ADDRESS(130,3+18*1+(0))),'J1 D - South Bank Avenue'!$A$12:$A$130,"&gt;="&amp;Diagram!$O40,'J1 D - South Bank Avenue'!$A$12:$A$130,"&lt;"&amp;Diagram!$P40),SUMIFS(INDIRECT(ADDRESS(12,3+18*1+(8),,,"J1 D - South Bank Avenue")&amp;":"&amp;ADDRESS(130,3+18*1+(8))),'J1 D - South Bank Avenue'!$A$12:$A$130,"&gt;="&amp;Diagram!$O40,'J1 D - South Bank Avenue'!$A$12:$A$130,"&lt;"&amp;Diagram!$P40)))</f>
        <v>0</v>
      </c>
      <c r="AG40" s="42">
        <f ca="1">IF(OR($I$10="",$O40="",$P40="",$J$35&lt;&gt;"Yes"),0,IF($K$10=0,SUMIFS(INDIRECT(ADDRESS(12,3+18*2+(0),,,"J1 D - South Bank Avenue")&amp;":"&amp;ADDRESS(130,3+18*2+(0))),'J1 D - South Bank Avenue'!$A$12:$A$130,"&gt;="&amp;Diagram!$O40,'J1 D - South Bank Avenue'!$A$12:$A$130,"&lt;"&amp;Diagram!$P40),SUMIFS(INDIRECT(ADDRESS(12,3+18*2+(8),,,"J1 D - South Bank Avenue")&amp;":"&amp;ADDRESS(130,3+18*2+(8))),'J1 D - South Bank Avenue'!$A$12:$A$130,"&gt;="&amp;Diagram!$O40,'J1 D - South Bank Avenue'!$A$12:$A$130,"&lt;"&amp;Diagram!$P40)))</f>
        <v>5</v>
      </c>
      <c r="AH40" s="42">
        <f ca="1">IF(OR($I$10="",$O40="",$P40="",$J$35&lt;&gt;"Yes"),0,IF($K$10=0,SUMIFS(INDIRECT(ADDRESS(12,3+18*3+(0),,,"J1 D - South Bank Avenue")&amp;":"&amp;ADDRESS(130,3+18*3+(0))),'J1 D - South Bank Avenue'!$A$12:$A$130,"&gt;="&amp;Diagram!$O40,'J1 D - South Bank Avenue'!$A$12:$A$130,"&lt;"&amp;Diagram!$P40),SUMIFS(INDIRECT(ADDRESS(12,3+18*3+(8),,,"J1 D - South Bank Avenue")&amp;":"&amp;ADDRESS(130,3+18*3+(8))),'J1 D - South Bank Avenue'!$A$12:$A$130,"&gt;="&amp;Diagram!$O40,'J1 D - South Bank Avenue'!$A$12:$A$130,"&lt;"&amp;Diagram!$P40)))</f>
        <v>0</v>
      </c>
      <c r="AI40" s="42">
        <f t="shared" ca="1" si="2"/>
        <v>93</v>
      </c>
      <c r="AJ40" s="42">
        <f ca="1">IF(OR($I$10="",$O40="",$P40="",$J$36&lt;&gt;"Yes"),0,IF($K$10=0,SUMIFS(INDIRECT(ADDRESS(12,3+18*3+(1),,,"J1 A - (North) Bishopthorpe Roa")&amp;":"&amp;ADDRESS(130,3+18*3+(1))),'J1 A - (North) Bishopthorpe Roa'!$A$12:$A$130,"&gt;="&amp;Diagram!$O40,'J1 A - (North) Bishopthorpe Roa'!$A$12:$A$130,"&lt;"&amp;Diagram!$P40),SUMIFS(INDIRECT(ADDRESS(12,3+18*3+(9),,,"J1 A - (North) Bishopthorpe Roa")&amp;":"&amp;ADDRESS(130,3+18*3+(9))),'J1 A - (North) Bishopthorpe Roa'!$A$12:$A$130,"&gt;="&amp;Diagram!$O40,'J1 A - (North) Bishopthorpe Roa'!$A$12:$A$130,"&lt;"&amp;Diagram!$P40)))</f>
        <v>0</v>
      </c>
      <c r="AK40" s="42">
        <f ca="1">IF(OR($I$10="",$O40="",$P40="",$J$36&lt;&gt;"Yes"),0,IF($K$10=0,SUMIFS(INDIRECT(ADDRESS(12,3+18*0+(1),,,"J1 A - (North) Bishopthorpe Roa")&amp;":"&amp;ADDRESS(130,3+18*0+(1))),'J1 A - (North) Bishopthorpe Roa'!$A$12:$A$130,"&gt;="&amp;Diagram!$O40,'J1 A - (North) Bishopthorpe Roa'!$A$12:$A$130,"&lt;"&amp;Diagram!$P40),SUMIFS(INDIRECT(ADDRESS(12,3+18*0+(9),,,"J1 A - (North) Bishopthorpe Roa")&amp;":"&amp;ADDRESS(130,3+18*0+(9))),'J1 A - (North) Bishopthorpe Roa'!$A$12:$A$130,"&gt;="&amp;Diagram!$O40,'J1 A - (North) Bishopthorpe Roa'!$A$12:$A$130,"&lt;"&amp;Diagram!$P40)))</f>
        <v>2</v>
      </c>
      <c r="AL40" s="42">
        <f ca="1">IF(OR($I$10="",$O40="",$P40="",$J$36&lt;&gt;"Yes"),0,IF($K$10=0,SUMIFS(INDIRECT(ADDRESS(12,3+18*1+(1),,,"J1 A - (North) Bishopthorpe Roa")&amp;":"&amp;ADDRESS(130,3+18*1+(1))),'J1 A - (North) Bishopthorpe Roa'!$A$12:$A$130,"&gt;="&amp;Diagram!$O40,'J1 A - (North) Bishopthorpe Roa'!$A$12:$A$130,"&lt;"&amp;Diagram!$P40),SUMIFS(INDIRECT(ADDRESS(12,3+18*1+(9),,,"J1 A - (North) Bishopthorpe Roa")&amp;":"&amp;ADDRESS(130,3+18*1+(9))),'J1 A - (North) Bishopthorpe Roa'!$A$12:$A$130,"&gt;="&amp;Diagram!$O40,'J1 A - (North) Bishopthorpe Roa'!$A$12:$A$130,"&lt;"&amp;Diagram!$P40)))</f>
        <v>33</v>
      </c>
      <c r="AM40" s="42">
        <f ca="1">IF(OR($I$10="",$O40="",$P40="",$J$36&lt;&gt;"Yes"),0,IF($K$10=0,SUMIFS(INDIRECT(ADDRESS(12,3+18*2+(1),,,"J1 A - (North) Bishopthorpe Roa")&amp;":"&amp;ADDRESS(130,3+18*2+(1))),'J1 A - (North) Bishopthorpe Roa'!$A$12:$A$130,"&gt;="&amp;Diagram!$O40,'J1 A - (North) Bishopthorpe Roa'!$A$12:$A$130,"&lt;"&amp;Diagram!$P40),SUMIFS(INDIRECT(ADDRESS(12,3+18*2+(9),,,"J1 A - (North) Bishopthorpe Roa")&amp;":"&amp;ADDRESS(130,3+18*2+(9))),'J1 A - (North) Bishopthorpe Roa'!$A$12:$A$130,"&gt;="&amp;Diagram!$O40,'J1 A - (North) Bishopthorpe Roa'!$A$12:$A$130,"&lt;"&amp;Diagram!$P40)))</f>
        <v>4</v>
      </c>
      <c r="AN40" s="42">
        <f ca="1">IF(OR($I$10="",$O40="",$P40="",$J$36&lt;&gt;"Yes"),0,IF($K$10=0,SUMIFS(INDIRECT(ADDRESS(12,3+18*2+(1),,,"J1 B - Butcher Terrace")&amp;":"&amp;ADDRESS(130,3+18*2+(1))),'J1 B - Butcher Terrace'!$A$12:$A$130,"&gt;="&amp;Diagram!$O40,'J1 B - Butcher Terrace'!$A$12:$A$130,"&lt;"&amp;Diagram!$P40),SUMIFS(INDIRECT(ADDRESS(12,3+18*2+(9),,,"J1 B - Butcher Terrace")&amp;":"&amp;ADDRESS(130,3+18*2+(9))),'J1 B - Butcher Terrace'!$A$12:$A$130,"&gt;="&amp;Diagram!$O40,'J1 B - Butcher Terrace'!$A$12:$A$130,"&lt;"&amp;Diagram!$P40)))</f>
        <v>9</v>
      </c>
      <c r="AO40" s="42">
        <f ca="1">IF(OR($I$10="",$O40="",$P40="",$J$36&lt;&gt;"Yes"),0,IF($K$10=0,SUMIFS(INDIRECT(ADDRESS(12,3+18*3+(1),,,"J1 B - Butcher Terrace")&amp;":"&amp;ADDRESS(130,3+18*3+(1))),'J1 B - Butcher Terrace'!$A$12:$A$130,"&gt;="&amp;Diagram!$O40,'J1 B - Butcher Terrace'!$A$12:$A$130,"&lt;"&amp;Diagram!$P40),SUMIFS(INDIRECT(ADDRESS(12,3+18*3+(9),,,"J1 B - Butcher Terrace")&amp;":"&amp;ADDRESS(130,3+18*3+(9))),'J1 B - Butcher Terrace'!$A$12:$A$130,"&gt;="&amp;Diagram!$O40,'J1 B - Butcher Terrace'!$A$12:$A$130,"&lt;"&amp;Diagram!$P40)))</f>
        <v>0</v>
      </c>
      <c r="AP40" s="42">
        <f ca="1">IF(OR($I$10="",$O40="",$P40="",$J$36&lt;&gt;"Yes"),0,IF($K$10=0,SUMIFS(INDIRECT(ADDRESS(12,3+18*0+(1),,,"J1 B - Butcher Terrace")&amp;":"&amp;ADDRESS(130,3+18*0+(1))),'J1 B - Butcher Terrace'!$A$12:$A$130,"&gt;="&amp;Diagram!$O40,'J1 B - Butcher Terrace'!$A$12:$A$130,"&lt;"&amp;Diagram!$P40),SUMIFS(INDIRECT(ADDRESS(12,3+18*0+(9),,,"J1 B - Butcher Terrace")&amp;":"&amp;ADDRESS(130,3+18*0+(9))),'J1 B - Butcher Terrace'!$A$12:$A$130,"&gt;="&amp;Diagram!$O40,'J1 B - Butcher Terrace'!$A$12:$A$130,"&lt;"&amp;Diagram!$P40)))</f>
        <v>5</v>
      </c>
      <c r="AQ40" s="42">
        <f ca="1">IF(OR($I$10="",$O40="",$P40="",$J$36&lt;&gt;"Yes"),0,IF($K$10=0,SUMIFS(INDIRECT(ADDRESS(12,3+18*1+(1),,,"J1 B - Butcher Terrace")&amp;":"&amp;ADDRESS(130,3+18*1+(1))),'J1 B - Butcher Terrace'!$A$12:$A$130,"&gt;="&amp;Diagram!$O40,'J1 B - Butcher Terrace'!$A$12:$A$130,"&lt;"&amp;Diagram!$P40),SUMIFS(INDIRECT(ADDRESS(12,3+18*1+(9),,,"J1 B - Butcher Terrace")&amp;":"&amp;ADDRESS(130,3+18*1+(9))),'J1 B - Butcher Terrace'!$A$12:$A$130,"&gt;="&amp;Diagram!$O40,'J1 B - Butcher Terrace'!$A$12:$A$130,"&lt;"&amp;Diagram!$P40)))</f>
        <v>1</v>
      </c>
      <c r="AR40" s="42">
        <f ca="1">IF(OR($I$10="",$O40="",$P40="",$J$36&lt;&gt;"Yes"),0,IF($K$10=0,SUMIFS(INDIRECT(ADDRESS(12,3+18*1+(1),,,"J1 C - (South) Bishopthorpe Roa")&amp;":"&amp;ADDRESS(130,3+18*1+(1))),'J1 C - (South) Bishopthorpe Roa'!$A$12:$A$130,"&gt;="&amp;Diagram!$O40,'J1 C - (South) Bishopthorpe Roa'!$A$12:$A$130,"&lt;"&amp;Diagram!$P40),SUMIFS(INDIRECT(ADDRESS(12,3+18*1+(9),,,"J1 C - (South) Bishopthorpe Roa")&amp;":"&amp;ADDRESS(130,3+18*1+(9))),'J1 C - (South) Bishopthorpe Roa'!$A$12:$A$130,"&gt;="&amp;Diagram!$O40,'J1 C - (South) Bishopthorpe Roa'!$A$12:$A$130,"&lt;"&amp;Diagram!$P40)))</f>
        <v>26</v>
      </c>
      <c r="AS40" s="42">
        <f ca="1">IF(OR($I$10="",$O40="",$P40="",$J$36&lt;&gt;"Yes"),0,IF($K$10=0,SUMIFS(INDIRECT(ADDRESS(12,3+18*2+(1),,,"J1 C - (South) Bishopthorpe Roa")&amp;":"&amp;ADDRESS(130,3+18*2+(1))),'J1 C - (South) Bishopthorpe Roa'!$A$12:$A$130,"&gt;="&amp;Diagram!$O40,'J1 C - (South) Bishopthorpe Roa'!$A$12:$A$130,"&lt;"&amp;Diagram!$P40),SUMIFS(INDIRECT(ADDRESS(12,3+18*2+(9),,,"J1 C - (South) Bishopthorpe Roa")&amp;":"&amp;ADDRESS(130,3+18*2+(9))),'J1 C - (South) Bishopthorpe Roa'!$A$12:$A$130,"&gt;="&amp;Diagram!$O40,'J1 C - (South) Bishopthorpe Roa'!$A$12:$A$130,"&lt;"&amp;Diagram!$P40)))</f>
        <v>1</v>
      </c>
      <c r="AT40" s="42">
        <f ca="1">IF(OR($I$10="",$O40="",$P40="",$J$36&lt;&gt;"Yes"),0,IF($K$10=0,SUMIFS(INDIRECT(ADDRESS(12,3+18*3+(1),,,"J1 C - (South) Bishopthorpe Roa")&amp;":"&amp;ADDRESS(130,3+18*3+(1))),'J1 C - (South) Bishopthorpe Roa'!$A$12:$A$130,"&gt;="&amp;Diagram!$O40,'J1 C - (South) Bishopthorpe Roa'!$A$12:$A$130,"&lt;"&amp;Diagram!$P40),SUMIFS(INDIRECT(ADDRESS(12,3+18*3+(9),,,"J1 C - (South) Bishopthorpe Roa")&amp;":"&amp;ADDRESS(130,3+18*3+(9))),'J1 C - (South) Bishopthorpe Roa'!$A$12:$A$130,"&gt;="&amp;Diagram!$O40,'J1 C - (South) Bishopthorpe Roa'!$A$12:$A$130,"&lt;"&amp;Diagram!$P40)))</f>
        <v>0</v>
      </c>
      <c r="AU40" s="42">
        <f ca="1">IF(OR($I$10="",$O40="",$P40="",$J$36&lt;&gt;"Yes"),0,IF($K$10=0,SUMIFS(INDIRECT(ADDRESS(12,3+18*0+(1),,,"J1 C - (South) Bishopthorpe Roa")&amp;":"&amp;ADDRESS(130,3+18*0+(1))),'J1 C - (South) Bishopthorpe Roa'!$A$12:$A$130,"&gt;="&amp;Diagram!$O40,'J1 C - (South) Bishopthorpe Roa'!$A$12:$A$130,"&lt;"&amp;Diagram!$P40),SUMIFS(INDIRECT(ADDRESS(12,3+18*0+(9),,,"J1 C - (South) Bishopthorpe Roa")&amp;":"&amp;ADDRESS(130,3+18*0+(9))),'J1 C - (South) Bishopthorpe Roa'!$A$12:$A$130,"&gt;="&amp;Diagram!$O40,'J1 C - (South) Bishopthorpe Roa'!$A$12:$A$130,"&lt;"&amp;Diagram!$P40)))</f>
        <v>1</v>
      </c>
      <c r="AV40" s="42">
        <f ca="1">IF(OR($I$10="",$O40="",$P40="",$J$36&lt;&gt;"Yes"),0,IF($K$10=0,SUMIFS(INDIRECT(ADDRESS(12,3+18*0+(1),,,"J1 D - South Bank Avenue")&amp;":"&amp;ADDRESS(130,3+18*0+(1))),'J1 D - South Bank Avenue'!$A$12:$A$130,"&gt;="&amp;Diagram!$O40,'J1 D - South Bank Avenue'!$A$12:$A$130,"&lt;"&amp;Diagram!$P40),SUMIFS(INDIRECT(ADDRESS(12,3+18*0+(9),,,"J1 D - South Bank Avenue")&amp;":"&amp;ADDRESS(130,3+18*0+(9))),'J1 D - South Bank Avenue'!$A$12:$A$130,"&gt;="&amp;Diagram!$O40,'J1 D - South Bank Avenue'!$A$12:$A$130,"&lt;"&amp;Diagram!$P40)))</f>
        <v>9</v>
      </c>
      <c r="AW40" s="42">
        <f ca="1">IF(OR($I$10="",$O40="",$P40="",$J$36&lt;&gt;"Yes"),0,IF($K$10=0,SUMIFS(INDIRECT(ADDRESS(12,3+18*1+(1),,,"J1 D - South Bank Avenue")&amp;":"&amp;ADDRESS(130,3+18*1+(1))),'J1 D - South Bank Avenue'!$A$12:$A$130,"&gt;="&amp;Diagram!$O40,'J1 D - South Bank Avenue'!$A$12:$A$130,"&lt;"&amp;Diagram!$P40),SUMIFS(INDIRECT(ADDRESS(12,3+18*1+(9),,,"J1 D - South Bank Avenue")&amp;":"&amp;ADDRESS(130,3+18*1+(9))),'J1 D - South Bank Avenue'!$A$12:$A$130,"&gt;="&amp;Diagram!$O40,'J1 D - South Bank Avenue'!$A$12:$A$130,"&lt;"&amp;Diagram!$P40)))</f>
        <v>0</v>
      </c>
      <c r="AX40" s="42">
        <f ca="1">IF(OR($I$10="",$O40="",$P40="",$J$36&lt;&gt;"Yes"),0,IF($K$10=0,SUMIFS(INDIRECT(ADDRESS(12,3+18*2+(1),,,"J1 D - South Bank Avenue")&amp;":"&amp;ADDRESS(130,3+18*2+(1))),'J1 D - South Bank Avenue'!$A$12:$A$130,"&gt;="&amp;Diagram!$O40,'J1 D - South Bank Avenue'!$A$12:$A$130,"&lt;"&amp;Diagram!$P40),SUMIFS(INDIRECT(ADDRESS(12,3+18*2+(9),,,"J1 D - South Bank Avenue")&amp;":"&amp;ADDRESS(130,3+18*2+(9))),'J1 D - South Bank Avenue'!$A$12:$A$130,"&gt;="&amp;Diagram!$O40,'J1 D - South Bank Avenue'!$A$12:$A$130,"&lt;"&amp;Diagram!$P40)))</f>
        <v>2</v>
      </c>
      <c r="AY40" s="42">
        <f ca="1">IF(OR($I$10="",$O40="",$P40="",$J$36&lt;&gt;"Yes"),0,IF($K$10=0,SUMIFS(INDIRECT(ADDRESS(12,3+18*3+(1),,,"J1 D - South Bank Avenue")&amp;":"&amp;ADDRESS(130,3+18*3+(1))),'J1 D - South Bank Avenue'!$A$12:$A$130,"&gt;="&amp;Diagram!$O40,'J1 D - South Bank Avenue'!$A$12:$A$130,"&lt;"&amp;Diagram!$P40),SUMIFS(INDIRECT(ADDRESS(12,3+18*3+(9),,,"J1 D - South Bank Avenue")&amp;":"&amp;ADDRESS(130,3+18*3+(9))),'J1 D - South Bank Avenue'!$A$12:$A$130,"&gt;="&amp;Diagram!$O40,'J1 D - South Bank Avenue'!$A$12:$A$130,"&lt;"&amp;Diagram!$P40)))</f>
        <v>0</v>
      </c>
      <c r="AZ40" s="42">
        <f t="shared" ca="1" si="3"/>
        <v>17</v>
      </c>
      <c r="BA40" s="42">
        <f ca="1">IF(OR($I$10="",$O40="",$P40="",$J$37&lt;&gt;"Yes"),0,IF($K$10=0,SUMIFS(INDIRECT(ADDRESS(12,3+18*3+(2),,,"J1 A - (North) Bishopthorpe Roa")&amp;":"&amp;ADDRESS(130,3+18*3+(2))),'J1 A - (North) Bishopthorpe Roa'!$A$12:$A$130,"&gt;="&amp;Diagram!$O40,'J1 A - (North) Bishopthorpe Roa'!$A$12:$A$130,"&lt;"&amp;Diagram!$P40),SUMIFS(INDIRECT(ADDRESS(12,3+18*3+(10),,,"J1 A - (North) Bishopthorpe Roa")&amp;":"&amp;ADDRESS(130,3+18*3+(10))),'J1 A - (North) Bishopthorpe Roa'!$A$12:$A$130,"&gt;="&amp;Diagram!$O40,'J1 A - (North) Bishopthorpe Roa'!$A$12:$A$130,"&lt;"&amp;Diagram!$P40)))</f>
        <v>0</v>
      </c>
      <c r="BB40" s="42">
        <f ca="1">IF(OR($I$10="",$O40="",$P40="",$J$37&lt;&gt;"Yes"),0,IF($K$10=0,SUMIFS(INDIRECT(ADDRESS(12,3+18*0+(2),,,"J1 A - (North) Bishopthorpe Roa")&amp;":"&amp;ADDRESS(130,3+18*0+(2))),'J1 A - (North) Bishopthorpe Roa'!$A$12:$A$130,"&gt;="&amp;Diagram!$O40,'J1 A - (North) Bishopthorpe Roa'!$A$12:$A$130,"&lt;"&amp;Diagram!$P40),SUMIFS(INDIRECT(ADDRESS(12,3+18*0+(10),,,"J1 A - (North) Bishopthorpe Roa")&amp;":"&amp;ADDRESS(130,3+18*0+(10))),'J1 A - (North) Bishopthorpe Roa'!$A$12:$A$130,"&gt;="&amp;Diagram!$O40,'J1 A - (North) Bishopthorpe Roa'!$A$12:$A$130,"&lt;"&amp;Diagram!$P40)))</f>
        <v>1</v>
      </c>
      <c r="BC40" s="42">
        <f ca="1">IF(OR($I$10="",$O40="",$P40="",$J$37&lt;&gt;"Yes"),0,IF($K$10=0,SUMIFS(INDIRECT(ADDRESS(12,3+18*1+(2),,,"J1 A - (North) Bishopthorpe Roa")&amp;":"&amp;ADDRESS(130,3+18*1+(2))),'J1 A - (North) Bishopthorpe Roa'!$A$12:$A$130,"&gt;="&amp;Diagram!$O40,'J1 A - (North) Bishopthorpe Roa'!$A$12:$A$130,"&lt;"&amp;Diagram!$P40),SUMIFS(INDIRECT(ADDRESS(12,3+18*1+(10),,,"J1 A - (North) Bishopthorpe Roa")&amp;":"&amp;ADDRESS(130,3+18*1+(10))),'J1 A - (North) Bishopthorpe Roa'!$A$12:$A$130,"&gt;="&amp;Diagram!$O40,'J1 A - (North) Bishopthorpe Roa'!$A$12:$A$130,"&lt;"&amp;Diagram!$P40)))</f>
        <v>8</v>
      </c>
      <c r="BD40" s="42">
        <f ca="1">IF(OR($I$10="",$O40="",$P40="",$J$37&lt;&gt;"Yes"),0,IF($K$10=0,SUMIFS(INDIRECT(ADDRESS(12,3+18*2+(2),,,"J1 A - (North) Bishopthorpe Roa")&amp;":"&amp;ADDRESS(130,3+18*2+(2))),'J1 A - (North) Bishopthorpe Roa'!$A$12:$A$130,"&gt;="&amp;Diagram!$O40,'J1 A - (North) Bishopthorpe Roa'!$A$12:$A$130,"&lt;"&amp;Diagram!$P40),SUMIFS(INDIRECT(ADDRESS(12,3+18*2+(10),,,"J1 A - (North) Bishopthorpe Roa")&amp;":"&amp;ADDRESS(130,3+18*2+(10))),'J1 A - (North) Bishopthorpe Roa'!$A$12:$A$130,"&gt;="&amp;Diagram!$O40,'J1 A - (North) Bishopthorpe Roa'!$A$12:$A$130,"&lt;"&amp;Diagram!$P40)))</f>
        <v>0</v>
      </c>
      <c r="BE40" s="42">
        <f ca="1">IF(OR($I$10="",$O40="",$P40="",$J$37&lt;&gt;"Yes"),0,IF($K$10=0,SUMIFS(INDIRECT(ADDRESS(12,3+18*2+(2),,,"J1 B - Butcher Terrace")&amp;":"&amp;ADDRESS(130,3+18*2+(2))),'J1 B - Butcher Terrace'!$A$12:$A$130,"&gt;="&amp;Diagram!$O40,'J1 B - Butcher Terrace'!$A$12:$A$130,"&lt;"&amp;Diagram!$P40),SUMIFS(INDIRECT(ADDRESS(12,3+18*2+(10),,,"J1 B - Butcher Terrace")&amp;":"&amp;ADDRESS(130,3+18*2+(10))),'J1 B - Butcher Terrace'!$A$12:$A$130,"&gt;="&amp;Diagram!$O40,'J1 B - Butcher Terrace'!$A$12:$A$130,"&lt;"&amp;Diagram!$P40)))</f>
        <v>3</v>
      </c>
      <c r="BF40" s="42">
        <f ca="1">IF(OR($I$10="",$O40="",$P40="",$J$37&lt;&gt;"Yes"),0,IF($K$10=0,SUMIFS(INDIRECT(ADDRESS(12,3+18*3+(2),,,"J1 B - Butcher Terrace")&amp;":"&amp;ADDRESS(130,3+18*3+(2))),'J1 B - Butcher Terrace'!$A$12:$A$130,"&gt;="&amp;Diagram!$O40,'J1 B - Butcher Terrace'!$A$12:$A$130,"&lt;"&amp;Diagram!$P40),SUMIFS(INDIRECT(ADDRESS(12,3+18*3+(10),,,"J1 B - Butcher Terrace")&amp;":"&amp;ADDRESS(130,3+18*3+(10))),'J1 B - Butcher Terrace'!$A$12:$A$130,"&gt;="&amp;Diagram!$O40,'J1 B - Butcher Terrace'!$A$12:$A$130,"&lt;"&amp;Diagram!$P40)))</f>
        <v>0</v>
      </c>
      <c r="BG40" s="42">
        <f ca="1">IF(OR($I$10="",$O40="",$P40="",$J$37&lt;&gt;"Yes"),0,IF($K$10=0,SUMIFS(INDIRECT(ADDRESS(12,3+18*0+(2),,,"J1 B - Butcher Terrace")&amp;":"&amp;ADDRESS(130,3+18*0+(2))),'J1 B - Butcher Terrace'!$A$12:$A$130,"&gt;="&amp;Diagram!$O40,'J1 B - Butcher Terrace'!$A$12:$A$130,"&lt;"&amp;Diagram!$P40),SUMIFS(INDIRECT(ADDRESS(12,3+18*0+(10),,,"J1 B - Butcher Terrace")&amp;":"&amp;ADDRESS(130,3+18*0+(10))),'J1 B - Butcher Terrace'!$A$12:$A$130,"&gt;="&amp;Diagram!$O40,'J1 B - Butcher Terrace'!$A$12:$A$130,"&lt;"&amp;Diagram!$P40)))</f>
        <v>0</v>
      </c>
      <c r="BH40" s="42">
        <f ca="1">IF(OR($I$10="",$O40="",$P40="",$J$37&lt;&gt;"Yes"),0,IF($K$10=0,SUMIFS(INDIRECT(ADDRESS(12,3+18*1+(2),,,"J1 B - Butcher Terrace")&amp;":"&amp;ADDRESS(130,3+18*1+(2))),'J1 B - Butcher Terrace'!$A$12:$A$130,"&gt;="&amp;Diagram!$O40,'J1 B - Butcher Terrace'!$A$12:$A$130,"&lt;"&amp;Diagram!$P40),SUMIFS(INDIRECT(ADDRESS(12,3+18*1+(10),,,"J1 B - Butcher Terrace")&amp;":"&amp;ADDRESS(130,3+18*1+(10))),'J1 B - Butcher Terrace'!$A$12:$A$130,"&gt;="&amp;Diagram!$O40,'J1 B - Butcher Terrace'!$A$12:$A$130,"&lt;"&amp;Diagram!$P40)))</f>
        <v>0</v>
      </c>
      <c r="BI40" s="42">
        <f ca="1">IF(OR($I$10="",$O40="",$P40="",$J$37&lt;&gt;"Yes"),0,IF($K$10=0,SUMIFS(INDIRECT(ADDRESS(12,3+18*1+(2),,,"J1 C - (South) Bishopthorpe Roa")&amp;":"&amp;ADDRESS(130,3+18*1+(2))),'J1 C - (South) Bishopthorpe Roa'!$A$12:$A$130,"&gt;="&amp;Diagram!$O40,'J1 C - (South) Bishopthorpe Roa'!$A$12:$A$130,"&lt;"&amp;Diagram!$P40),SUMIFS(INDIRECT(ADDRESS(12,3+18*1+(10),,,"J1 C - (South) Bishopthorpe Roa")&amp;":"&amp;ADDRESS(130,3+18*1+(10))),'J1 C - (South) Bishopthorpe Roa'!$A$12:$A$130,"&gt;="&amp;Diagram!$O40,'J1 C - (South) Bishopthorpe Roa'!$A$12:$A$130,"&lt;"&amp;Diagram!$P40)))</f>
        <v>2</v>
      </c>
      <c r="BJ40" s="42">
        <f ca="1">IF(OR($I$10="",$O40="",$P40="",$J$37&lt;&gt;"Yes"),0,IF($K$10=0,SUMIFS(INDIRECT(ADDRESS(12,3+18*2+(2),,,"J1 C - (South) Bishopthorpe Roa")&amp;":"&amp;ADDRESS(130,3+18*2+(2))),'J1 C - (South) Bishopthorpe Roa'!$A$12:$A$130,"&gt;="&amp;Diagram!$O40,'J1 C - (South) Bishopthorpe Roa'!$A$12:$A$130,"&lt;"&amp;Diagram!$P40),SUMIFS(INDIRECT(ADDRESS(12,3+18*2+(10),,,"J1 C - (South) Bishopthorpe Roa")&amp;":"&amp;ADDRESS(130,3+18*2+(10))),'J1 C - (South) Bishopthorpe Roa'!$A$12:$A$130,"&gt;="&amp;Diagram!$O40,'J1 C - (South) Bishopthorpe Roa'!$A$12:$A$130,"&lt;"&amp;Diagram!$P40)))</f>
        <v>0</v>
      </c>
      <c r="BK40" s="42">
        <f ca="1">IF(OR($I$10="",$O40="",$P40="",$J$37&lt;&gt;"Yes"),0,IF($K$10=0,SUMIFS(INDIRECT(ADDRESS(12,3+18*3+(2),,,"J1 C - (South) Bishopthorpe Roa")&amp;":"&amp;ADDRESS(130,3+18*3+(2))),'J1 C - (South) Bishopthorpe Roa'!$A$12:$A$130,"&gt;="&amp;Diagram!$O40,'J1 C - (South) Bishopthorpe Roa'!$A$12:$A$130,"&lt;"&amp;Diagram!$P40),SUMIFS(INDIRECT(ADDRESS(12,3+18*3+(10),,,"J1 C - (South) Bishopthorpe Roa")&amp;":"&amp;ADDRESS(130,3+18*3+(10))),'J1 C - (South) Bishopthorpe Roa'!$A$12:$A$130,"&gt;="&amp;Diagram!$O40,'J1 C - (South) Bishopthorpe Roa'!$A$12:$A$130,"&lt;"&amp;Diagram!$P40)))</f>
        <v>0</v>
      </c>
      <c r="BL40" s="42">
        <f ca="1">IF(OR($I$10="",$O40="",$P40="",$J$37&lt;&gt;"Yes"),0,IF($K$10=0,SUMIFS(INDIRECT(ADDRESS(12,3+18*0+(2),,,"J1 C - (South) Bishopthorpe Roa")&amp;":"&amp;ADDRESS(130,3+18*0+(2))),'J1 C - (South) Bishopthorpe Roa'!$A$12:$A$130,"&gt;="&amp;Diagram!$O40,'J1 C - (South) Bishopthorpe Roa'!$A$12:$A$130,"&lt;"&amp;Diagram!$P40),SUMIFS(INDIRECT(ADDRESS(12,3+18*0+(10),,,"J1 C - (South) Bishopthorpe Roa")&amp;":"&amp;ADDRESS(130,3+18*0+(10))),'J1 C - (South) Bishopthorpe Roa'!$A$12:$A$130,"&gt;="&amp;Diagram!$O40,'J1 C - (South) Bishopthorpe Roa'!$A$12:$A$130,"&lt;"&amp;Diagram!$P40)))</f>
        <v>2</v>
      </c>
      <c r="BM40" s="42">
        <f ca="1">IF(OR($I$10="",$O40="",$P40="",$J$37&lt;&gt;"Yes"),0,IF($K$10=0,SUMIFS(INDIRECT(ADDRESS(12,3+18*0+(2),,,"J1 D - South Bank Avenue")&amp;":"&amp;ADDRESS(130,3+18*0+(2))),'J1 D - South Bank Avenue'!$A$12:$A$130,"&gt;="&amp;Diagram!$O40,'J1 D - South Bank Avenue'!$A$12:$A$130,"&lt;"&amp;Diagram!$P40),SUMIFS(INDIRECT(ADDRESS(12,3+18*0+(10),,,"J1 D - South Bank Avenue")&amp;":"&amp;ADDRESS(130,3+18*0+(10))),'J1 D - South Bank Avenue'!$A$12:$A$130,"&gt;="&amp;Diagram!$O40,'J1 D - South Bank Avenue'!$A$12:$A$130,"&lt;"&amp;Diagram!$P40)))</f>
        <v>1</v>
      </c>
      <c r="BN40" s="42">
        <f ca="1">IF(OR($I$10="",$O40="",$P40="",$J$37&lt;&gt;"Yes"),0,IF($K$10=0,SUMIFS(INDIRECT(ADDRESS(12,3+18*1+(2),,,"J1 D - South Bank Avenue")&amp;":"&amp;ADDRESS(130,3+18*1+(2))),'J1 D - South Bank Avenue'!$A$12:$A$130,"&gt;="&amp;Diagram!$O40,'J1 D - South Bank Avenue'!$A$12:$A$130,"&lt;"&amp;Diagram!$P40),SUMIFS(INDIRECT(ADDRESS(12,3+18*1+(10),,,"J1 D - South Bank Avenue")&amp;":"&amp;ADDRESS(130,3+18*1+(10))),'J1 D - South Bank Avenue'!$A$12:$A$130,"&gt;="&amp;Diagram!$O40,'J1 D - South Bank Avenue'!$A$12:$A$130,"&lt;"&amp;Diagram!$P40)))</f>
        <v>0</v>
      </c>
      <c r="BO40" s="42">
        <f ca="1">IF(OR($I$10="",$O40="",$P40="",$J$37&lt;&gt;"Yes"),0,IF($K$10=0,SUMIFS(INDIRECT(ADDRESS(12,3+18*2+(2),,,"J1 D - South Bank Avenue")&amp;":"&amp;ADDRESS(130,3+18*2+(2))),'J1 D - South Bank Avenue'!$A$12:$A$130,"&gt;="&amp;Diagram!$O40,'J1 D - South Bank Avenue'!$A$12:$A$130,"&lt;"&amp;Diagram!$P40),SUMIFS(INDIRECT(ADDRESS(12,3+18*2+(10),,,"J1 D - South Bank Avenue")&amp;":"&amp;ADDRESS(130,3+18*2+(10))),'J1 D - South Bank Avenue'!$A$12:$A$130,"&gt;="&amp;Diagram!$O40,'J1 D - South Bank Avenue'!$A$12:$A$130,"&lt;"&amp;Diagram!$P40)))</f>
        <v>0</v>
      </c>
      <c r="BP40" s="42">
        <f ca="1">IF(OR($I$10="",$O40="",$P40="",$J$37&lt;&gt;"Yes"),0,IF($K$10=0,SUMIFS(INDIRECT(ADDRESS(12,3+18*3+(2),,,"J1 D - South Bank Avenue")&amp;":"&amp;ADDRESS(130,3+18*3+(2))),'J1 D - South Bank Avenue'!$A$12:$A$130,"&gt;="&amp;Diagram!$O40,'J1 D - South Bank Avenue'!$A$12:$A$130,"&lt;"&amp;Diagram!$P40),SUMIFS(INDIRECT(ADDRESS(12,3+18*3+(10),,,"J1 D - South Bank Avenue")&amp;":"&amp;ADDRESS(130,3+18*3+(10))),'J1 D - South Bank Avenue'!$A$12:$A$130,"&gt;="&amp;Diagram!$O40,'J1 D - South Bank Avenue'!$A$12:$A$130,"&lt;"&amp;Diagram!$P40)))</f>
        <v>0</v>
      </c>
      <c r="BQ40" s="42">
        <f t="shared" ca="1" si="4"/>
        <v>0</v>
      </c>
      <c r="BR40" s="42">
        <f ca="1">IF(OR($I$10="",$O40="",$P40="",$J$38&lt;&gt;"Yes"),0,IF($K$10=0,SUMIFS(INDIRECT(ADDRESS(12,3+18*3+(3),,,"J1 A - (North) Bishopthorpe Roa")&amp;":"&amp;ADDRESS(130,3+18*3+(3))),'J1 A - (North) Bishopthorpe Roa'!$A$12:$A$130,"&gt;="&amp;Diagram!$O40,'J1 A - (North) Bishopthorpe Roa'!$A$12:$A$130,"&lt;"&amp;Diagram!$P40),SUMIFS(INDIRECT(ADDRESS(12,3+18*3+(11),,,"J1 A - (North) Bishopthorpe Roa")&amp;":"&amp;ADDRESS(130,3+18*3+(11))),'J1 A - (North) Bishopthorpe Roa'!$A$12:$A$130,"&gt;="&amp;Diagram!$O40,'J1 A - (North) Bishopthorpe Roa'!$A$12:$A$130,"&lt;"&amp;Diagram!$P40)))</f>
        <v>0</v>
      </c>
      <c r="BS40" s="42">
        <f ca="1">IF(OR($I$10="",$O40="",$P40="",$J$38&lt;&gt;"Yes"),0,IF($K$10=0,SUMIFS(INDIRECT(ADDRESS(12,3+18*0+(3),,,"J1 A - (North) Bishopthorpe Roa")&amp;":"&amp;ADDRESS(130,3+18*0+(3))),'J1 A - (North) Bishopthorpe Roa'!$A$12:$A$130,"&gt;="&amp;Diagram!$O40,'J1 A - (North) Bishopthorpe Roa'!$A$12:$A$130,"&lt;"&amp;Diagram!$P40),SUMIFS(INDIRECT(ADDRESS(12,3+18*0+(11),,,"J1 A - (North) Bishopthorpe Roa")&amp;":"&amp;ADDRESS(130,3+18*0+(11))),'J1 A - (North) Bishopthorpe Roa'!$A$12:$A$130,"&gt;="&amp;Diagram!$O40,'J1 A - (North) Bishopthorpe Roa'!$A$12:$A$130,"&lt;"&amp;Diagram!$P40)))</f>
        <v>0</v>
      </c>
      <c r="BT40" s="42">
        <f ca="1">IF(OR($I$10="",$O40="",$P40="",$J$38&lt;&gt;"Yes"),0,IF($K$10=0,SUMIFS(INDIRECT(ADDRESS(12,3+18*1+(3),,,"J1 A - (North) Bishopthorpe Roa")&amp;":"&amp;ADDRESS(130,3+18*1+(3))),'J1 A - (North) Bishopthorpe Roa'!$A$12:$A$130,"&gt;="&amp;Diagram!$O40,'J1 A - (North) Bishopthorpe Roa'!$A$12:$A$130,"&lt;"&amp;Diagram!$P40),SUMIFS(INDIRECT(ADDRESS(12,3+18*1+(11),,,"J1 A - (North) Bishopthorpe Roa")&amp;":"&amp;ADDRESS(130,3+18*1+(11))),'J1 A - (North) Bishopthorpe Roa'!$A$12:$A$130,"&gt;="&amp;Diagram!$O40,'J1 A - (North) Bishopthorpe Roa'!$A$12:$A$130,"&lt;"&amp;Diagram!$P40)))</f>
        <v>0</v>
      </c>
      <c r="BU40" s="42">
        <f ca="1">IF(OR($I$10="",$O40="",$P40="",$J$38&lt;&gt;"Yes"),0,IF($K$10=0,SUMIFS(INDIRECT(ADDRESS(12,3+18*2+(3),,,"J1 A - (North) Bishopthorpe Roa")&amp;":"&amp;ADDRESS(130,3+18*2+(3))),'J1 A - (North) Bishopthorpe Roa'!$A$12:$A$130,"&gt;="&amp;Diagram!$O40,'J1 A - (North) Bishopthorpe Roa'!$A$12:$A$130,"&lt;"&amp;Diagram!$P40),SUMIFS(INDIRECT(ADDRESS(12,3+18*2+(11),,,"J1 A - (North) Bishopthorpe Roa")&amp;":"&amp;ADDRESS(130,3+18*2+(11))),'J1 A - (North) Bishopthorpe Roa'!$A$12:$A$130,"&gt;="&amp;Diagram!$O40,'J1 A - (North) Bishopthorpe Roa'!$A$12:$A$130,"&lt;"&amp;Diagram!$P40)))</f>
        <v>0</v>
      </c>
      <c r="BV40" s="42">
        <f ca="1">IF(OR($I$10="",$O40="",$P40="",$J$38&lt;&gt;"Yes"),0,IF($K$10=0,SUMIFS(INDIRECT(ADDRESS(12,3+18*2+(3),,,"J1 B - Butcher Terrace")&amp;":"&amp;ADDRESS(130,3+18*2+(3))),'J1 B - Butcher Terrace'!$A$12:$A$130,"&gt;="&amp;Diagram!$O40,'J1 B - Butcher Terrace'!$A$12:$A$130,"&lt;"&amp;Diagram!$P40),SUMIFS(INDIRECT(ADDRESS(12,3+18*2+(11),,,"J1 B - Butcher Terrace")&amp;":"&amp;ADDRESS(130,3+18*2+(11))),'J1 B - Butcher Terrace'!$A$12:$A$130,"&gt;="&amp;Diagram!$O40,'J1 B - Butcher Terrace'!$A$12:$A$130,"&lt;"&amp;Diagram!$P40)))</f>
        <v>0</v>
      </c>
      <c r="BW40" s="42">
        <f ca="1">IF(OR($I$10="",$O40="",$P40="",$J$38&lt;&gt;"Yes"),0,IF($K$10=0,SUMIFS(INDIRECT(ADDRESS(12,3+18*3+(3),,,"J1 B - Butcher Terrace")&amp;":"&amp;ADDRESS(130,3+18*3+(3))),'J1 B - Butcher Terrace'!$A$12:$A$130,"&gt;="&amp;Diagram!$O40,'J1 B - Butcher Terrace'!$A$12:$A$130,"&lt;"&amp;Diagram!$P40),SUMIFS(INDIRECT(ADDRESS(12,3+18*3+(11),,,"J1 B - Butcher Terrace")&amp;":"&amp;ADDRESS(130,3+18*3+(11))),'J1 B - Butcher Terrace'!$A$12:$A$130,"&gt;="&amp;Diagram!$O40,'J1 B - Butcher Terrace'!$A$12:$A$130,"&lt;"&amp;Diagram!$P40)))</f>
        <v>0</v>
      </c>
      <c r="BX40" s="42">
        <f ca="1">IF(OR($I$10="",$O40="",$P40="",$J$38&lt;&gt;"Yes"),0,IF($K$10=0,SUMIFS(INDIRECT(ADDRESS(12,3+18*0+(3),,,"J1 B - Butcher Terrace")&amp;":"&amp;ADDRESS(130,3+18*0+(3))),'J1 B - Butcher Terrace'!$A$12:$A$130,"&gt;="&amp;Diagram!$O40,'J1 B - Butcher Terrace'!$A$12:$A$130,"&lt;"&amp;Diagram!$P40),SUMIFS(INDIRECT(ADDRESS(12,3+18*0+(11),,,"J1 B - Butcher Terrace")&amp;":"&amp;ADDRESS(130,3+18*0+(11))),'J1 B - Butcher Terrace'!$A$12:$A$130,"&gt;="&amp;Diagram!$O40,'J1 B - Butcher Terrace'!$A$12:$A$130,"&lt;"&amp;Diagram!$P40)))</f>
        <v>0</v>
      </c>
      <c r="BY40" s="42">
        <f ca="1">IF(OR($I$10="",$O40="",$P40="",$J$38&lt;&gt;"Yes"),0,IF($K$10=0,SUMIFS(INDIRECT(ADDRESS(12,3+18*1+(3),,,"J1 B - Butcher Terrace")&amp;":"&amp;ADDRESS(130,3+18*1+(3))),'J1 B - Butcher Terrace'!$A$12:$A$130,"&gt;="&amp;Diagram!$O40,'J1 B - Butcher Terrace'!$A$12:$A$130,"&lt;"&amp;Diagram!$P40),SUMIFS(INDIRECT(ADDRESS(12,3+18*1+(11),,,"J1 B - Butcher Terrace")&amp;":"&amp;ADDRESS(130,3+18*1+(11))),'J1 B - Butcher Terrace'!$A$12:$A$130,"&gt;="&amp;Diagram!$O40,'J1 B - Butcher Terrace'!$A$12:$A$130,"&lt;"&amp;Diagram!$P40)))</f>
        <v>0</v>
      </c>
      <c r="BZ40" s="42">
        <f ca="1">IF(OR($I$10="",$O40="",$P40="",$J$38&lt;&gt;"Yes"),0,IF($K$10=0,SUMIFS(INDIRECT(ADDRESS(12,3+18*1+(3),,,"J1 C - (South) Bishopthorpe Roa")&amp;":"&amp;ADDRESS(130,3+18*1+(3))),'J1 C - (South) Bishopthorpe Roa'!$A$12:$A$130,"&gt;="&amp;Diagram!$O40,'J1 C - (South) Bishopthorpe Roa'!$A$12:$A$130,"&lt;"&amp;Diagram!$P40),SUMIFS(INDIRECT(ADDRESS(12,3+18*1+(11),,,"J1 C - (South) Bishopthorpe Roa")&amp;":"&amp;ADDRESS(130,3+18*1+(11))),'J1 C - (South) Bishopthorpe Roa'!$A$12:$A$130,"&gt;="&amp;Diagram!$O40,'J1 C - (South) Bishopthorpe Roa'!$A$12:$A$130,"&lt;"&amp;Diagram!$P40)))</f>
        <v>0</v>
      </c>
      <c r="CA40" s="42">
        <f ca="1">IF(OR($I$10="",$O40="",$P40="",$J$38&lt;&gt;"Yes"),0,IF($K$10=0,SUMIFS(INDIRECT(ADDRESS(12,3+18*2+(3),,,"J1 C - (South) Bishopthorpe Roa")&amp;":"&amp;ADDRESS(130,3+18*2+(3))),'J1 C - (South) Bishopthorpe Roa'!$A$12:$A$130,"&gt;="&amp;Diagram!$O40,'J1 C - (South) Bishopthorpe Roa'!$A$12:$A$130,"&lt;"&amp;Diagram!$P40),SUMIFS(INDIRECT(ADDRESS(12,3+18*2+(11),,,"J1 C - (South) Bishopthorpe Roa")&amp;":"&amp;ADDRESS(130,3+18*2+(11))),'J1 C - (South) Bishopthorpe Roa'!$A$12:$A$130,"&gt;="&amp;Diagram!$O40,'J1 C - (South) Bishopthorpe Roa'!$A$12:$A$130,"&lt;"&amp;Diagram!$P40)))</f>
        <v>0</v>
      </c>
      <c r="CB40" s="42">
        <f ca="1">IF(OR($I$10="",$O40="",$P40="",$J$38&lt;&gt;"Yes"),0,IF($K$10=0,SUMIFS(INDIRECT(ADDRESS(12,3+18*3+(3),,,"J1 C - (South) Bishopthorpe Roa")&amp;":"&amp;ADDRESS(130,3+18*3+(3))),'J1 C - (South) Bishopthorpe Roa'!$A$12:$A$130,"&gt;="&amp;Diagram!$O40,'J1 C - (South) Bishopthorpe Roa'!$A$12:$A$130,"&lt;"&amp;Diagram!$P40),SUMIFS(INDIRECT(ADDRESS(12,3+18*3+(11),,,"J1 C - (South) Bishopthorpe Roa")&amp;":"&amp;ADDRESS(130,3+18*3+(11))),'J1 C - (South) Bishopthorpe Roa'!$A$12:$A$130,"&gt;="&amp;Diagram!$O40,'J1 C - (South) Bishopthorpe Roa'!$A$12:$A$130,"&lt;"&amp;Diagram!$P40)))</f>
        <v>0</v>
      </c>
      <c r="CC40" s="42">
        <f ca="1">IF(OR($I$10="",$O40="",$P40="",$J$38&lt;&gt;"Yes"),0,IF($K$10=0,SUMIFS(INDIRECT(ADDRESS(12,3+18*0+(3),,,"J1 C - (South) Bishopthorpe Roa")&amp;":"&amp;ADDRESS(130,3+18*0+(3))),'J1 C - (South) Bishopthorpe Roa'!$A$12:$A$130,"&gt;="&amp;Diagram!$O40,'J1 C - (South) Bishopthorpe Roa'!$A$12:$A$130,"&lt;"&amp;Diagram!$P40),SUMIFS(INDIRECT(ADDRESS(12,3+18*0+(11),,,"J1 C - (South) Bishopthorpe Roa")&amp;":"&amp;ADDRESS(130,3+18*0+(11))),'J1 C - (South) Bishopthorpe Roa'!$A$12:$A$130,"&gt;="&amp;Diagram!$O40,'J1 C - (South) Bishopthorpe Roa'!$A$12:$A$130,"&lt;"&amp;Diagram!$P40)))</f>
        <v>0</v>
      </c>
      <c r="CD40" s="42">
        <f ca="1">IF(OR($I$10="",$O40="",$P40="",$J$38&lt;&gt;"Yes"),0,IF($K$10=0,SUMIFS(INDIRECT(ADDRESS(12,3+18*0+(3),,,"J1 D - South Bank Avenue")&amp;":"&amp;ADDRESS(130,3+18*0+(3))),'J1 D - South Bank Avenue'!$A$12:$A$130,"&gt;="&amp;Diagram!$O40,'J1 D - South Bank Avenue'!$A$12:$A$130,"&lt;"&amp;Diagram!$P40),SUMIFS(INDIRECT(ADDRESS(12,3+18*0+(11),,,"J1 D - South Bank Avenue")&amp;":"&amp;ADDRESS(130,3+18*0+(11))),'J1 D - South Bank Avenue'!$A$12:$A$130,"&gt;="&amp;Diagram!$O40,'J1 D - South Bank Avenue'!$A$12:$A$130,"&lt;"&amp;Diagram!$P40)))</f>
        <v>0</v>
      </c>
      <c r="CE40" s="42">
        <f ca="1">IF(OR($I$10="",$O40="",$P40="",$J$38&lt;&gt;"Yes"),0,IF($K$10=0,SUMIFS(INDIRECT(ADDRESS(12,3+18*1+(3),,,"J1 D - South Bank Avenue")&amp;":"&amp;ADDRESS(130,3+18*1+(3))),'J1 D - South Bank Avenue'!$A$12:$A$130,"&gt;="&amp;Diagram!$O40,'J1 D - South Bank Avenue'!$A$12:$A$130,"&lt;"&amp;Diagram!$P40),SUMIFS(INDIRECT(ADDRESS(12,3+18*1+(11),,,"J1 D - South Bank Avenue")&amp;":"&amp;ADDRESS(130,3+18*1+(11))),'J1 D - South Bank Avenue'!$A$12:$A$130,"&gt;="&amp;Diagram!$O40,'J1 D - South Bank Avenue'!$A$12:$A$130,"&lt;"&amp;Diagram!$P40)))</f>
        <v>0</v>
      </c>
      <c r="CF40" s="42">
        <f ca="1">IF(OR($I$10="",$O40="",$P40="",$J$38&lt;&gt;"Yes"),0,IF($K$10=0,SUMIFS(INDIRECT(ADDRESS(12,3+18*2+(3),,,"J1 D - South Bank Avenue")&amp;":"&amp;ADDRESS(130,3+18*2+(3))),'J1 D - South Bank Avenue'!$A$12:$A$130,"&gt;="&amp;Diagram!$O40,'J1 D - South Bank Avenue'!$A$12:$A$130,"&lt;"&amp;Diagram!$P40),SUMIFS(INDIRECT(ADDRESS(12,3+18*2+(11),,,"J1 D - South Bank Avenue")&amp;":"&amp;ADDRESS(130,3+18*2+(11))),'J1 D - South Bank Avenue'!$A$12:$A$130,"&gt;="&amp;Diagram!$O40,'J1 D - South Bank Avenue'!$A$12:$A$130,"&lt;"&amp;Diagram!$P40)))</f>
        <v>0</v>
      </c>
      <c r="CG40" s="42">
        <f ca="1">IF(OR($I$10="",$O40="",$P40="",$J$38&lt;&gt;"Yes"),0,IF($K$10=0,SUMIFS(INDIRECT(ADDRESS(12,3+18*3+(3),,,"J1 D - South Bank Avenue")&amp;":"&amp;ADDRESS(130,3+18*3+(3))),'J1 D - South Bank Avenue'!$A$12:$A$130,"&gt;="&amp;Diagram!$O40,'J1 D - South Bank Avenue'!$A$12:$A$130,"&lt;"&amp;Diagram!$P40),SUMIFS(INDIRECT(ADDRESS(12,3+18*3+(11),,,"J1 D - South Bank Avenue")&amp;":"&amp;ADDRESS(130,3+18*3+(11))),'J1 D - South Bank Avenue'!$A$12:$A$130,"&gt;="&amp;Diagram!$O40,'J1 D - South Bank Avenue'!$A$12:$A$130,"&lt;"&amp;Diagram!$P40)))</f>
        <v>0</v>
      </c>
      <c r="CH40" s="42">
        <f t="shared" ca="1" si="5"/>
        <v>5</v>
      </c>
      <c r="CI40" s="42">
        <f ca="1">IF(OR($I$10="",$O40="",$P40="",$J$39&lt;&gt;"Yes"),0,IF($K$10=0,SUMIFS(INDIRECT(ADDRESS(12,3+18*3+(4),,,"J1 A - (North) Bishopthorpe Roa")&amp;":"&amp;ADDRESS(130,3+18*3+(4))),'J1 A - (North) Bishopthorpe Roa'!$A$12:$A$130,"&gt;="&amp;Diagram!$O40,'J1 A - (North) Bishopthorpe Roa'!$A$12:$A$130,"&lt;"&amp;Diagram!$P40),SUMIFS(INDIRECT(ADDRESS(12,3+18*3+(12),,,"J1 A - (North) Bishopthorpe Roa")&amp;":"&amp;ADDRESS(130,3+18*3+(12))),'J1 A - (North) Bishopthorpe Roa'!$A$12:$A$130,"&gt;="&amp;Diagram!$O40,'J1 A - (North) Bishopthorpe Roa'!$A$12:$A$130,"&lt;"&amp;Diagram!$P40)))</f>
        <v>0</v>
      </c>
      <c r="CJ40" s="42">
        <f ca="1">IF(OR($I$10="",$O40="",$P40="",$J$39&lt;&gt;"Yes"),0,IF($K$10=0,SUMIFS(INDIRECT(ADDRESS(12,3+18*0+(4),,,"J1 A - (North) Bishopthorpe Roa")&amp;":"&amp;ADDRESS(130,3+18*0+(4))),'J1 A - (North) Bishopthorpe Roa'!$A$12:$A$130,"&gt;="&amp;Diagram!$O40,'J1 A - (North) Bishopthorpe Roa'!$A$12:$A$130,"&lt;"&amp;Diagram!$P40),SUMIFS(INDIRECT(ADDRESS(12,3+18*0+(12),,,"J1 A - (North) Bishopthorpe Roa")&amp;":"&amp;ADDRESS(130,3+18*0+(12))),'J1 A - (North) Bishopthorpe Roa'!$A$12:$A$130,"&gt;="&amp;Diagram!$O40,'J1 A - (North) Bishopthorpe Roa'!$A$12:$A$130,"&lt;"&amp;Diagram!$P40)))</f>
        <v>0</v>
      </c>
      <c r="CK40" s="42">
        <f ca="1">IF(OR($I$10="",$O40="",$P40="",$J$39&lt;&gt;"Yes"),0,IF($K$10=0,SUMIFS(INDIRECT(ADDRESS(12,3+18*1+(4),,,"J1 A - (North) Bishopthorpe Roa")&amp;":"&amp;ADDRESS(130,3+18*1+(4))),'J1 A - (North) Bishopthorpe Roa'!$A$12:$A$130,"&gt;="&amp;Diagram!$O40,'J1 A - (North) Bishopthorpe Roa'!$A$12:$A$130,"&lt;"&amp;Diagram!$P40),SUMIFS(INDIRECT(ADDRESS(12,3+18*1+(12),,,"J1 A - (North) Bishopthorpe Roa")&amp;":"&amp;ADDRESS(130,3+18*1+(12))),'J1 A - (North) Bishopthorpe Roa'!$A$12:$A$130,"&gt;="&amp;Diagram!$O40,'J1 A - (North) Bishopthorpe Roa'!$A$12:$A$130,"&lt;"&amp;Diagram!$P40)))</f>
        <v>3</v>
      </c>
      <c r="CL40" s="42">
        <f ca="1">IF(OR($I$10="",$O40="",$P40="",$J$39&lt;&gt;"Yes"),0,IF($K$10=0,SUMIFS(INDIRECT(ADDRESS(12,3+18*2+(4),,,"J1 A - (North) Bishopthorpe Roa")&amp;":"&amp;ADDRESS(130,3+18*2+(4))),'J1 A - (North) Bishopthorpe Roa'!$A$12:$A$130,"&gt;="&amp;Diagram!$O40,'J1 A - (North) Bishopthorpe Roa'!$A$12:$A$130,"&lt;"&amp;Diagram!$P40),SUMIFS(INDIRECT(ADDRESS(12,3+18*2+(12),,,"J1 A - (North) Bishopthorpe Roa")&amp;":"&amp;ADDRESS(130,3+18*2+(12))),'J1 A - (North) Bishopthorpe Roa'!$A$12:$A$130,"&gt;="&amp;Diagram!$O40,'J1 A - (North) Bishopthorpe Roa'!$A$12:$A$130,"&lt;"&amp;Diagram!$P40)))</f>
        <v>0</v>
      </c>
      <c r="CM40" s="42">
        <f ca="1">IF(OR($I$10="",$O40="",$P40="",$J$39&lt;&gt;"Yes"),0,IF($K$10=0,SUMIFS(INDIRECT(ADDRESS(12,3+18*2+(4),,,"J1 B - Butcher Terrace")&amp;":"&amp;ADDRESS(130,3+18*2+(4))),'J1 B - Butcher Terrace'!$A$12:$A$130,"&gt;="&amp;Diagram!$O40,'J1 B - Butcher Terrace'!$A$12:$A$130,"&lt;"&amp;Diagram!$P40),SUMIFS(INDIRECT(ADDRESS(12,3+18*2+(12),,,"J1 B - Butcher Terrace")&amp;":"&amp;ADDRESS(130,3+18*2+(12))),'J1 B - Butcher Terrace'!$A$12:$A$130,"&gt;="&amp;Diagram!$O40,'J1 B - Butcher Terrace'!$A$12:$A$130,"&lt;"&amp;Diagram!$P40)))</f>
        <v>0</v>
      </c>
      <c r="CN40" s="42">
        <f ca="1">IF(OR($I$10="",$O40="",$P40="",$J$39&lt;&gt;"Yes"),0,IF($K$10=0,SUMIFS(INDIRECT(ADDRESS(12,3+18*3+(4),,,"J1 B - Butcher Terrace")&amp;":"&amp;ADDRESS(130,3+18*3+(4))),'J1 B - Butcher Terrace'!$A$12:$A$130,"&gt;="&amp;Diagram!$O40,'J1 B - Butcher Terrace'!$A$12:$A$130,"&lt;"&amp;Diagram!$P40),SUMIFS(INDIRECT(ADDRESS(12,3+18*3+(12),,,"J1 B - Butcher Terrace")&amp;":"&amp;ADDRESS(130,3+18*3+(12))),'J1 B - Butcher Terrace'!$A$12:$A$130,"&gt;="&amp;Diagram!$O40,'J1 B - Butcher Terrace'!$A$12:$A$130,"&lt;"&amp;Diagram!$P40)))</f>
        <v>0</v>
      </c>
      <c r="CO40" s="42">
        <f ca="1">IF(OR($I$10="",$O40="",$P40="",$J$39&lt;&gt;"Yes"),0,IF($K$10=0,SUMIFS(INDIRECT(ADDRESS(12,3+18*0+(4),,,"J1 B - Butcher Terrace")&amp;":"&amp;ADDRESS(130,3+18*0+(4))),'J1 B - Butcher Terrace'!$A$12:$A$130,"&gt;="&amp;Diagram!$O40,'J1 B - Butcher Terrace'!$A$12:$A$130,"&lt;"&amp;Diagram!$P40),SUMIFS(INDIRECT(ADDRESS(12,3+18*0+(12),,,"J1 B - Butcher Terrace")&amp;":"&amp;ADDRESS(130,3+18*0+(12))),'J1 B - Butcher Terrace'!$A$12:$A$130,"&gt;="&amp;Diagram!$O40,'J1 B - Butcher Terrace'!$A$12:$A$130,"&lt;"&amp;Diagram!$P40)))</f>
        <v>0</v>
      </c>
      <c r="CP40" s="42">
        <f ca="1">IF(OR($I$10="",$O40="",$P40="",$J$39&lt;&gt;"Yes"),0,IF($K$10=0,SUMIFS(INDIRECT(ADDRESS(12,3+18*1+(4),,,"J1 B - Butcher Terrace")&amp;":"&amp;ADDRESS(130,3+18*1+(4))),'J1 B - Butcher Terrace'!$A$12:$A$130,"&gt;="&amp;Diagram!$O40,'J1 B - Butcher Terrace'!$A$12:$A$130,"&lt;"&amp;Diagram!$P40),SUMIFS(INDIRECT(ADDRESS(12,3+18*1+(12),,,"J1 B - Butcher Terrace")&amp;":"&amp;ADDRESS(130,3+18*1+(12))),'J1 B - Butcher Terrace'!$A$12:$A$130,"&gt;="&amp;Diagram!$O40,'J1 B - Butcher Terrace'!$A$12:$A$130,"&lt;"&amp;Diagram!$P40)))</f>
        <v>0</v>
      </c>
      <c r="CQ40" s="42">
        <f ca="1">IF(OR($I$10="",$O40="",$P40="",$J$39&lt;&gt;"Yes"),0,IF($K$10=0,SUMIFS(INDIRECT(ADDRESS(12,3+18*1+(4),,,"J1 C - (South) Bishopthorpe Roa")&amp;":"&amp;ADDRESS(130,3+18*1+(4))),'J1 C - (South) Bishopthorpe Roa'!$A$12:$A$130,"&gt;="&amp;Diagram!$O40,'J1 C - (South) Bishopthorpe Roa'!$A$12:$A$130,"&lt;"&amp;Diagram!$P40),SUMIFS(INDIRECT(ADDRESS(12,3+18*1+(12),,,"J1 C - (South) Bishopthorpe Roa")&amp;":"&amp;ADDRESS(130,3+18*1+(12))),'J1 C - (South) Bishopthorpe Roa'!$A$12:$A$130,"&gt;="&amp;Diagram!$O40,'J1 C - (South) Bishopthorpe Roa'!$A$12:$A$130,"&lt;"&amp;Diagram!$P40)))</f>
        <v>2</v>
      </c>
      <c r="CR40" s="42">
        <f ca="1">IF(OR($I$10="",$O40="",$P40="",$J$39&lt;&gt;"Yes"),0,IF($K$10=0,SUMIFS(INDIRECT(ADDRESS(12,3+18*2+(4),,,"J1 C - (South) Bishopthorpe Roa")&amp;":"&amp;ADDRESS(130,3+18*2+(4))),'J1 C - (South) Bishopthorpe Roa'!$A$12:$A$130,"&gt;="&amp;Diagram!$O40,'J1 C - (South) Bishopthorpe Roa'!$A$12:$A$130,"&lt;"&amp;Diagram!$P40),SUMIFS(INDIRECT(ADDRESS(12,3+18*2+(12),,,"J1 C - (South) Bishopthorpe Roa")&amp;":"&amp;ADDRESS(130,3+18*2+(12))),'J1 C - (South) Bishopthorpe Roa'!$A$12:$A$130,"&gt;="&amp;Diagram!$O40,'J1 C - (South) Bishopthorpe Roa'!$A$12:$A$130,"&lt;"&amp;Diagram!$P40)))</f>
        <v>0</v>
      </c>
      <c r="CS40" s="42">
        <f ca="1">IF(OR($I$10="",$O40="",$P40="",$J$39&lt;&gt;"Yes"),0,IF($K$10=0,SUMIFS(INDIRECT(ADDRESS(12,3+18*3+(4),,,"J1 C - (South) Bishopthorpe Roa")&amp;":"&amp;ADDRESS(130,3+18*3+(4))),'J1 C - (South) Bishopthorpe Roa'!$A$12:$A$130,"&gt;="&amp;Diagram!$O40,'J1 C - (South) Bishopthorpe Roa'!$A$12:$A$130,"&lt;"&amp;Diagram!$P40),SUMIFS(INDIRECT(ADDRESS(12,3+18*3+(12),,,"J1 C - (South) Bishopthorpe Roa")&amp;":"&amp;ADDRESS(130,3+18*3+(12))),'J1 C - (South) Bishopthorpe Roa'!$A$12:$A$130,"&gt;="&amp;Diagram!$O40,'J1 C - (South) Bishopthorpe Roa'!$A$12:$A$130,"&lt;"&amp;Diagram!$P40)))</f>
        <v>0</v>
      </c>
      <c r="CT40" s="42">
        <f ca="1">IF(OR($I$10="",$O40="",$P40="",$J$39&lt;&gt;"Yes"),0,IF($K$10=0,SUMIFS(INDIRECT(ADDRESS(12,3+18*0+(4),,,"J1 C - (South) Bishopthorpe Roa")&amp;":"&amp;ADDRESS(130,3+18*0+(4))),'J1 C - (South) Bishopthorpe Roa'!$A$12:$A$130,"&gt;="&amp;Diagram!$O40,'J1 C - (South) Bishopthorpe Roa'!$A$12:$A$130,"&lt;"&amp;Diagram!$P40),SUMIFS(INDIRECT(ADDRESS(12,3+18*0+(12),,,"J1 C - (South) Bishopthorpe Roa")&amp;":"&amp;ADDRESS(130,3+18*0+(12))),'J1 C - (South) Bishopthorpe Roa'!$A$12:$A$130,"&gt;="&amp;Diagram!$O40,'J1 C - (South) Bishopthorpe Roa'!$A$12:$A$130,"&lt;"&amp;Diagram!$P40)))</f>
        <v>0</v>
      </c>
      <c r="CU40" s="42">
        <f ca="1">IF(OR($I$10="",$O40="",$P40="",$J$39&lt;&gt;"Yes"),0,IF($K$10=0,SUMIFS(INDIRECT(ADDRESS(12,3+18*0+(4),,,"J1 D - South Bank Avenue")&amp;":"&amp;ADDRESS(130,3+18*0+(4))),'J1 D - South Bank Avenue'!$A$12:$A$130,"&gt;="&amp;Diagram!$O40,'J1 D - South Bank Avenue'!$A$12:$A$130,"&lt;"&amp;Diagram!$P40),SUMIFS(INDIRECT(ADDRESS(12,3+18*0+(12),,,"J1 D - South Bank Avenue")&amp;":"&amp;ADDRESS(130,3+18*0+(12))),'J1 D - South Bank Avenue'!$A$12:$A$130,"&gt;="&amp;Diagram!$O40,'J1 D - South Bank Avenue'!$A$12:$A$130,"&lt;"&amp;Diagram!$P40)))</f>
        <v>0</v>
      </c>
      <c r="CV40" s="42">
        <f ca="1">IF(OR($I$10="",$O40="",$P40="",$J$39&lt;&gt;"Yes"),0,IF($K$10=0,SUMIFS(INDIRECT(ADDRESS(12,3+18*1+(4),,,"J1 D - South Bank Avenue")&amp;":"&amp;ADDRESS(130,3+18*1+(4))),'J1 D - South Bank Avenue'!$A$12:$A$130,"&gt;="&amp;Diagram!$O40,'J1 D - South Bank Avenue'!$A$12:$A$130,"&lt;"&amp;Diagram!$P40),SUMIFS(INDIRECT(ADDRESS(12,3+18*1+(12),,,"J1 D - South Bank Avenue")&amp;":"&amp;ADDRESS(130,3+18*1+(12))),'J1 D - South Bank Avenue'!$A$12:$A$130,"&gt;="&amp;Diagram!$O40,'J1 D - South Bank Avenue'!$A$12:$A$130,"&lt;"&amp;Diagram!$P40)))</f>
        <v>0</v>
      </c>
      <c r="CW40" s="42">
        <f ca="1">IF(OR($I$10="",$O40="",$P40="",$J$39&lt;&gt;"Yes"),0,IF($K$10=0,SUMIFS(INDIRECT(ADDRESS(12,3+18*2+(4),,,"J1 D - South Bank Avenue")&amp;":"&amp;ADDRESS(130,3+18*2+(4))),'J1 D - South Bank Avenue'!$A$12:$A$130,"&gt;="&amp;Diagram!$O40,'J1 D - South Bank Avenue'!$A$12:$A$130,"&lt;"&amp;Diagram!$P40),SUMIFS(INDIRECT(ADDRESS(12,3+18*2+(12),,,"J1 D - South Bank Avenue")&amp;":"&amp;ADDRESS(130,3+18*2+(12))),'J1 D - South Bank Avenue'!$A$12:$A$130,"&gt;="&amp;Diagram!$O40,'J1 D - South Bank Avenue'!$A$12:$A$130,"&lt;"&amp;Diagram!$P40)))</f>
        <v>0</v>
      </c>
      <c r="CX40" s="42">
        <f ca="1">IF(OR($I$10="",$O40="",$P40="",$J$39&lt;&gt;"Yes"),0,IF($K$10=0,SUMIFS(INDIRECT(ADDRESS(12,3+18*3+(4),,,"J1 D - South Bank Avenue")&amp;":"&amp;ADDRESS(130,3+18*3+(4))),'J1 D - South Bank Avenue'!$A$12:$A$130,"&gt;="&amp;Diagram!$O40,'J1 D - South Bank Avenue'!$A$12:$A$130,"&lt;"&amp;Diagram!$P40),SUMIFS(INDIRECT(ADDRESS(12,3+18*3+(12),,,"J1 D - South Bank Avenue")&amp;":"&amp;ADDRESS(130,3+18*3+(12))),'J1 D - South Bank Avenue'!$A$12:$A$130,"&gt;="&amp;Diagram!$O40,'J1 D - South Bank Avenue'!$A$12:$A$130,"&lt;"&amp;Diagram!$P40)))</f>
        <v>0</v>
      </c>
      <c r="CY40" s="42">
        <f t="shared" ca="1" si="6"/>
        <v>96</v>
      </c>
      <c r="CZ40" s="42">
        <f ca="1">IF(OR($I$10="",$O40="",$P40="",$J$40&lt;&gt;"Yes"),0,IF($K$10=0,SUMIFS(INDIRECT(ADDRESS(12,3+18*3+(5),,,"J1 A - (North) Bishopthorpe Roa")&amp;":"&amp;ADDRESS(130,3+18*3+(5))),'J1 A - (North) Bishopthorpe Roa'!$A$12:$A$130,"&gt;="&amp;Diagram!$O40,'J1 A - (North) Bishopthorpe Roa'!$A$12:$A$130,"&lt;"&amp;Diagram!$P40),SUMIFS(INDIRECT(ADDRESS(12,3+18*3+(13),,,"J1 A - (North) Bishopthorpe Roa")&amp;":"&amp;ADDRESS(130,3+18*3+(13))),'J1 A - (North) Bishopthorpe Roa'!$A$12:$A$130,"&gt;="&amp;Diagram!$O40,'J1 A - (North) Bishopthorpe Roa'!$A$12:$A$130,"&lt;"&amp;Diagram!$P40)))</f>
        <v>0</v>
      </c>
      <c r="DA40" s="42">
        <f ca="1">IF(OR($I$10="",$O40="",$P40="",$J$40&lt;&gt;"Yes"),0,IF($K$10=0,SUMIFS(INDIRECT(ADDRESS(12,3+18*0+(5),,,"J1 A - (North) Bishopthorpe Roa")&amp;":"&amp;ADDRESS(130,3+18*0+(5))),'J1 A - (North) Bishopthorpe Roa'!$A$12:$A$130,"&gt;="&amp;Diagram!$O40,'J1 A - (North) Bishopthorpe Roa'!$A$12:$A$130,"&lt;"&amp;Diagram!$P40),SUMIFS(INDIRECT(ADDRESS(12,3+18*0+(13),,,"J1 A - (North) Bishopthorpe Roa")&amp;":"&amp;ADDRESS(130,3+18*0+(13))),'J1 A - (North) Bishopthorpe Roa'!$A$12:$A$130,"&gt;="&amp;Diagram!$O40,'J1 A - (North) Bishopthorpe Roa'!$A$12:$A$130,"&lt;"&amp;Diagram!$P40)))</f>
        <v>12</v>
      </c>
      <c r="DB40" s="42">
        <f ca="1">IF(OR($I$10="",$O40="",$P40="",$J$40&lt;&gt;"Yes"),0,IF($K$10=0,SUMIFS(INDIRECT(ADDRESS(12,3+18*1+(5),,,"J1 A - (North) Bishopthorpe Roa")&amp;":"&amp;ADDRESS(130,3+18*1+(5))),'J1 A - (North) Bishopthorpe Roa'!$A$12:$A$130,"&gt;="&amp;Diagram!$O40,'J1 A - (North) Bishopthorpe Roa'!$A$12:$A$130,"&lt;"&amp;Diagram!$P40),SUMIFS(INDIRECT(ADDRESS(12,3+18*1+(13),,,"J1 A - (North) Bishopthorpe Roa")&amp;":"&amp;ADDRESS(130,3+18*1+(13))),'J1 A - (North) Bishopthorpe Roa'!$A$12:$A$130,"&gt;="&amp;Diagram!$O40,'J1 A - (North) Bishopthorpe Roa'!$A$12:$A$130,"&lt;"&amp;Diagram!$P40)))</f>
        <v>11</v>
      </c>
      <c r="DC40" s="42">
        <f ca="1">IF(OR($I$10="",$O40="",$P40="",$J$40&lt;&gt;"Yes"),0,IF($K$10=0,SUMIFS(INDIRECT(ADDRESS(12,3+18*2+(5),,,"J1 A - (North) Bishopthorpe Roa")&amp;":"&amp;ADDRESS(130,3+18*2+(5))),'J1 A - (North) Bishopthorpe Roa'!$A$12:$A$130,"&gt;="&amp;Diagram!$O40,'J1 A - (North) Bishopthorpe Roa'!$A$12:$A$130,"&lt;"&amp;Diagram!$P40),SUMIFS(INDIRECT(ADDRESS(12,3+18*2+(13),,,"J1 A - (North) Bishopthorpe Roa")&amp;":"&amp;ADDRESS(130,3+18*2+(13))),'J1 A - (North) Bishopthorpe Roa'!$A$12:$A$130,"&gt;="&amp;Diagram!$O40,'J1 A - (North) Bishopthorpe Roa'!$A$12:$A$130,"&lt;"&amp;Diagram!$P40)))</f>
        <v>2</v>
      </c>
      <c r="DD40" s="42">
        <f ca="1">IF(OR($I$10="",$O40="",$P40="",$J$40&lt;&gt;"Yes"),0,IF($K$10=0,SUMIFS(INDIRECT(ADDRESS(12,3+18*2+(5),,,"J1 B - Butcher Terrace")&amp;":"&amp;ADDRESS(130,3+18*2+(5))),'J1 B - Butcher Terrace'!$A$12:$A$130,"&gt;="&amp;Diagram!$O40,'J1 B - Butcher Terrace'!$A$12:$A$130,"&lt;"&amp;Diagram!$P40),SUMIFS(INDIRECT(ADDRESS(12,3+18*2+(13),,,"J1 B - Butcher Terrace")&amp;":"&amp;ADDRESS(130,3+18*2+(13))),'J1 B - Butcher Terrace'!$A$12:$A$130,"&gt;="&amp;Diagram!$O40,'J1 B - Butcher Terrace'!$A$12:$A$130,"&lt;"&amp;Diagram!$P40)))</f>
        <v>8</v>
      </c>
      <c r="DE40" s="42">
        <f ca="1">IF(OR($I$10="",$O40="",$P40="",$J$40&lt;&gt;"Yes"),0,IF($K$10=0,SUMIFS(INDIRECT(ADDRESS(12,3+18*3+(5),,,"J1 B - Butcher Terrace")&amp;":"&amp;ADDRESS(130,3+18*3+(5))),'J1 B - Butcher Terrace'!$A$12:$A$130,"&gt;="&amp;Diagram!$O40,'J1 B - Butcher Terrace'!$A$12:$A$130,"&lt;"&amp;Diagram!$P40),SUMIFS(INDIRECT(ADDRESS(12,3+18*3+(13),,,"J1 B - Butcher Terrace")&amp;":"&amp;ADDRESS(130,3+18*3+(13))),'J1 B - Butcher Terrace'!$A$12:$A$130,"&gt;="&amp;Diagram!$O40,'J1 B - Butcher Terrace'!$A$12:$A$130,"&lt;"&amp;Diagram!$P40)))</f>
        <v>0</v>
      </c>
      <c r="DF40" s="42">
        <f ca="1">IF(OR($I$10="",$O40="",$P40="",$J$40&lt;&gt;"Yes"),0,IF($K$10=0,SUMIFS(INDIRECT(ADDRESS(12,3+18*0+(5),,,"J1 B - Butcher Terrace")&amp;":"&amp;ADDRESS(130,3+18*0+(5))),'J1 B - Butcher Terrace'!$A$12:$A$130,"&gt;="&amp;Diagram!$O40,'J1 B - Butcher Terrace'!$A$12:$A$130,"&lt;"&amp;Diagram!$P40),SUMIFS(INDIRECT(ADDRESS(12,3+18*0+(13),,,"J1 B - Butcher Terrace")&amp;":"&amp;ADDRESS(130,3+18*0+(13))),'J1 B - Butcher Terrace'!$A$12:$A$130,"&gt;="&amp;Diagram!$O40,'J1 B - Butcher Terrace'!$A$12:$A$130,"&lt;"&amp;Diagram!$P40)))</f>
        <v>6</v>
      </c>
      <c r="DG40" s="42">
        <f ca="1">IF(OR($I$10="",$O40="",$P40="",$J$40&lt;&gt;"Yes"),0,IF($K$10=0,SUMIFS(INDIRECT(ADDRESS(12,3+18*1+(5),,,"J1 B - Butcher Terrace")&amp;":"&amp;ADDRESS(130,3+18*1+(5))),'J1 B - Butcher Terrace'!$A$12:$A$130,"&gt;="&amp;Diagram!$O40,'J1 B - Butcher Terrace'!$A$12:$A$130,"&lt;"&amp;Diagram!$P40),SUMIFS(INDIRECT(ADDRESS(12,3+18*1+(13),,,"J1 B - Butcher Terrace")&amp;":"&amp;ADDRESS(130,3+18*1+(13))),'J1 B - Butcher Terrace'!$A$12:$A$130,"&gt;="&amp;Diagram!$O40,'J1 B - Butcher Terrace'!$A$12:$A$130,"&lt;"&amp;Diagram!$P40)))</f>
        <v>28</v>
      </c>
      <c r="DH40" s="42">
        <f ca="1">IF(OR($I$10="",$O40="",$P40="",$J$40&lt;&gt;"Yes"),0,IF($K$10=0,SUMIFS(INDIRECT(ADDRESS(12,3+18*1+(5),,,"J1 C - (South) Bishopthorpe Roa")&amp;":"&amp;ADDRESS(130,3+18*1+(5))),'J1 C - (South) Bishopthorpe Roa'!$A$12:$A$130,"&gt;="&amp;Diagram!$O40,'J1 C - (South) Bishopthorpe Roa'!$A$12:$A$130,"&lt;"&amp;Diagram!$P40),SUMIFS(INDIRECT(ADDRESS(12,3+18*1+(13),,,"J1 C - (South) Bishopthorpe Roa")&amp;":"&amp;ADDRESS(130,3+18*1+(13))),'J1 C - (South) Bishopthorpe Roa'!$A$12:$A$130,"&gt;="&amp;Diagram!$O40,'J1 C - (South) Bishopthorpe Roa'!$A$12:$A$130,"&lt;"&amp;Diagram!$P40)))</f>
        <v>8</v>
      </c>
      <c r="DI40" s="42">
        <f ca="1">IF(OR($I$10="",$O40="",$P40="",$J$40&lt;&gt;"Yes"),0,IF($K$10=0,SUMIFS(INDIRECT(ADDRESS(12,3+18*2+(5),,,"J1 C - (South) Bishopthorpe Roa")&amp;":"&amp;ADDRESS(130,3+18*2+(5))),'J1 C - (South) Bishopthorpe Roa'!$A$12:$A$130,"&gt;="&amp;Diagram!$O40,'J1 C - (South) Bishopthorpe Roa'!$A$12:$A$130,"&lt;"&amp;Diagram!$P40),SUMIFS(INDIRECT(ADDRESS(12,3+18*2+(13),,,"J1 C - (South) Bishopthorpe Roa")&amp;":"&amp;ADDRESS(130,3+18*2+(13))),'J1 C - (South) Bishopthorpe Roa'!$A$12:$A$130,"&gt;="&amp;Diagram!$O40,'J1 C - (South) Bishopthorpe Roa'!$A$12:$A$130,"&lt;"&amp;Diagram!$P40)))</f>
        <v>5</v>
      </c>
      <c r="DJ40" s="42">
        <f ca="1">IF(OR($I$10="",$O40="",$P40="",$J$40&lt;&gt;"Yes"),0,IF($K$10=0,SUMIFS(INDIRECT(ADDRESS(12,3+18*3+(5),,,"J1 C - (South) Bishopthorpe Roa")&amp;":"&amp;ADDRESS(130,3+18*3+(5))),'J1 C - (South) Bishopthorpe Roa'!$A$12:$A$130,"&gt;="&amp;Diagram!$O40,'J1 C - (South) Bishopthorpe Roa'!$A$12:$A$130,"&lt;"&amp;Diagram!$P40),SUMIFS(INDIRECT(ADDRESS(12,3+18*3+(13),,,"J1 C - (South) Bishopthorpe Roa")&amp;":"&amp;ADDRESS(130,3+18*3+(13))),'J1 C - (South) Bishopthorpe Roa'!$A$12:$A$130,"&gt;="&amp;Diagram!$O40,'J1 C - (South) Bishopthorpe Roa'!$A$12:$A$130,"&lt;"&amp;Diagram!$P40)))</f>
        <v>0</v>
      </c>
      <c r="DK40" s="42">
        <f ca="1">IF(OR($I$10="",$O40="",$P40="",$J$40&lt;&gt;"Yes"),0,IF($K$10=0,SUMIFS(INDIRECT(ADDRESS(12,3+18*0+(5),,,"J1 C - (South) Bishopthorpe Roa")&amp;":"&amp;ADDRESS(130,3+18*0+(5))),'J1 C - (South) Bishopthorpe Roa'!$A$12:$A$130,"&gt;="&amp;Diagram!$O40,'J1 C - (South) Bishopthorpe Roa'!$A$12:$A$130,"&lt;"&amp;Diagram!$P40),SUMIFS(INDIRECT(ADDRESS(12,3+18*0+(13),,,"J1 C - (South) Bishopthorpe Roa")&amp;":"&amp;ADDRESS(130,3+18*0+(13))),'J1 C - (South) Bishopthorpe Roa'!$A$12:$A$130,"&gt;="&amp;Diagram!$O40,'J1 C - (South) Bishopthorpe Roa'!$A$12:$A$130,"&lt;"&amp;Diagram!$P40)))</f>
        <v>0</v>
      </c>
      <c r="DL40" s="42">
        <f ca="1">IF(OR($I$10="",$O40="",$P40="",$J$40&lt;&gt;"Yes"),0,IF($K$10=0,SUMIFS(INDIRECT(ADDRESS(12,3+18*0+(5),,,"J1 D - South Bank Avenue")&amp;":"&amp;ADDRESS(130,3+18*0+(5))),'J1 D - South Bank Avenue'!$A$12:$A$130,"&gt;="&amp;Diagram!$O40,'J1 D - South Bank Avenue'!$A$12:$A$130,"&lt;"&amp;Diagram!$P40),SUMIFS(INDIRECT(ADDRESS(12,3+18*0+(13),,,"J1 D - South Bank Avenue")&amp;":"&amp;ADDRESS(130,3+18*0+(13))),'J1 D - South Bank Avenue'!$A$12:$A$130,"&gt;="&amp;Diagram!$O40,'J1 D - South Bank Avenue'!$A$12:$A$130,"&lt;"&amp;Diagram!$P40)))</f>
        <v>4</v>
      </c>
      <c r="DM40" s="42">
        <f ca="1">IF(OR($I$10="",$O40="",$P40="",$J$40&lt;&gt;"Yes"),0,IF($K$10=0,SUMIFS(INDIRECT(ADDRESS(12,3+18*1+(5),,,"J1 D - South Bank Avenue")&amp;":"&amp;ADDRESS(130,3+18*1+(5))),'J1 D - South Bank Avenue'!$A$12:$A$130,"&gt;="&amp;Diagram!$O40,'J1 D - South Bank Avenue'!$A$12:$A$130,"&lt;"&amp;Diagram!$P40),SUMIFS(INDIRECT(ADDRESS(12,3+18*1+(13),,,"J1 D - South Bank Avenue")&amp;":"&amp;ADDRESS(130,3+18*1+(13))),'J1 D - South Bank Avenue'!$A$12:$A$130,"&gt;="&amp;Diagram!$O40,'J1 D - South Bank Avenue'!$A$12:$A$130,"&lt;"&amp;Diagram!$P40)))</f>
        <v>11</v>
      </c>
      <c r="DN40" s="42">
        <f ca="1">IF(OR($I$10="",$O40="",$P40="",$J$40&lt;&gt;"Yes"),0,IF($K$10=0,SUMIFS(INDIRECT(ADDRESS(12,3+18*2+(5),,,"J1 D - South Bank Avenue")&amp;":"&amp;ADDRESS(130,3+18*2+(5))),'J1 D - South Bank Avenue'!$A$12:$A$130,"&gt;="&amp;Diagram!$O40,'J1 D - South Bank Avenue'!$A$12:$A$130,"&lt;"&amp;Diagram!$P40),SUMIFS(INDIRECT(ADDRESS(12,3+18*2+(13),,,"J1 D - South Bank Avenue")&amp;":"&amp;ADDRESS(130,3+18*2+(13))),'J1 D - South Bank Avenue'!$A$12:$A$130,"&gt;="&amp;Diagram!$O40,'J1 D - South Bank Avenue'!$A$12:$A$130,"&lt;"&amp;Diagram!$P40)))</f>
        <v>1</v>
      </c>
      <c r="DO40" s="42">
        <f ca="1">IF(OR($I$10="",$O40="",$P40="",$J$40&lt;&gt;"Yes"),0,IF($K$10=0,SUMIFS(INDIRECT(ADDRESS(12,3+18*3+(5),,,"J1 D - South Bank Avenue")&amp;":"&amp;ADDRESS(130,3+18*3+(5))),'J1 D - South Bank Avenue'!$A$12:$A$130,"&gt;="&amp;Diagram!$O40,'J1 D - South Bank Avenue'!$A$12:$A$130,"&lt;"&amp;Diagram!$P40),SUMIFS(INDIRECT(ADDRESS(12,3+18*3+(13),,,"J1 D - South Bank Avenue")&amp;":"&amp;ADDRESS(130,3+18*3+(13))),'J1 D - South Bank Avenue'!$A$12:$A$130,"&gt;="&amp;Diagram!$O40,'J1 D - South Bank Avenue'!$A$12:$A$130,"&lt;"&amp;Diagram!$P40)))</f>
        <v>0</v>
      </c>
      <c r="DP40" s="42">
        <f t="shared" ca="1" si="7"/>
        <v>4</v>
      </c>
      <c r="DQ40" s="42">
        <f ca="1">IF(OR($I$10="",$O40="",$P40="",$J$41&lt;&gt;"Yes"),0,IF($K$10=0,SUMIFS(INDIRECT(ADDRESS(12,3+18*3+(6),,,"J1 A - (North) Bishopthorpe Roa")&amp;":"&amp;ADDRESS(130,3+18*3+(6))),'J1 A - (North) Bishopthorpe Roa'!$A$12:$A$130,"&gt;="&amp;Diagram!$O40,'J1 A - (North) Bishopthorpe Roa'!$A$12:$A$130,"&lt;"&amp;Diagram!$P40),SUMIFS(INDIRECT(ADDRESS(12,3+18*3+(14),,,"J1 A - (North) Bishopthorpe Roa")&amp;":"&amp;ADDRESS(130,3+18*3+(14))),'J1 A - (North) Bishopthorpe Roa'!$A$12:$A$130,"&gt;="&amp;Diagram!$O40,'J1 A - (North) Bishopthorpe Roa'!$A$12:$A$130,"&lt;"&amp;Diagram!$P40)))</f>
        <v>0</v>
      </c>
      <c r="DR40" s="42">
        <f ca="1">IF(OR($I$10="",$O40="",$P40="",$J$41&lt;&gt;"Yes"),0,IF($K$10=0,SUMIFS(INDIRECT(ADDRESS(12,3+18*0+(6),,,"J1 A - (North) Bishopthorpe Roa")&amp;":"&amp;ADDRESS(130,3+18*0+(6))),'J1 A - (North) Bishopthorpe Roa'!$A$12:$A$130,"&gt;="&amp;Diagram!$O40,'J1 A - (North) Bishopthorpe Roa'!$A$12:$A$130,"&lt;"&amp;Diagram!$P40),SUMIFS(INDIRECT(ADDRESS(12,3+18*0+(14),,,"J1 A - (North) Bishopthorpe Roa")&amp;":"&amp;ADDRESS(130,3+18*0+(14))),'J1 A - (North) Bishopthorpe Roa'!$A$12:$A$130,"&gt;="&amp;Diagram!$O40,'J1 A - (North) Bishopthorpe Roa'!$A$12:$A$130,"&lt;"&amp;Diagram!$P40)))</f>
        <v>0</v>
      </c>
      <c r="DS40" s="42">
        <f ca="1">IF(OR($I$10="",$O40="",$P40="",$J$41&lt;&gt;"Yes"),0,IF($K$10=0,SUMIFS(INDIRECT(ADDRESS(12,3+18*1+(6),,,"J1 A - (North) Bishopthorpe Roa")&amp;":"&amp;ADDRESS(130,3+18*1+(6))),'J1 A - (North) Bishopthorpe Roa'!$A$12:$A$130,"&gt;="&amp;Diagram!$O40,'J1 A - (North) Bishopthorpe Roa'!$A$12:$A$130,"&lt;"&amp;Diagram!$P40),SUMIFS(INDIRECT(ADDRESS(12,3+18*1+(14),,,"J1 A - (North) Bishopthorpe Roa")&amp;":"&amp;ADDRESS(130,3+18*1+(14))),'J1 A - (North) Bishopthorpe Roa'!$A$12:$A$130,"&gt;="&amp;Diagram!$O40,'J1 A - (North) Bishopthorpe Roa'!$A$12:$A$130,"&lt;"&amp;Diagram!$P40)))</f>
        <v>1</v>
      </c>
      <c r="DT40" s="42">
        <f ca="1">IF(OR($I$10="",$O40="",$P40="",$J$41&lt;&gt;"Yes"),0,IF($K$10=0,SUMIFS(INDIRECT(ADDRESS(12,3+18*2+(6),,,"J1 A - (North) Bishopthorpe Roa")&amp;":"&amp;ADDRESS(130,3+18*2+(6))),'J1 A - (North) Bishopthorpe Roa'!$A$12:$A$130,"&gt;="&amp;Diagram!$O40,'J1 A - (North) Bishopthorpe Roa'!$A$12:$A$130,"&lt;"&amp;Diagram!$P40),SUMIFS(INDIRECT(ADDRESS(12,3+18*2+(14),,,"J1 A - (North) Bishopthorpe Roa")&amp;":"&amp;ADDRESS(130,3+18*2+(14))),'J1 A - (North) Bishopthorpe Roa'!$A$12:$A$130,"&gt;="&amp;Diagram!$O40,'J1 A - (North) Bishopthorpe Roa'!$A$12:$A$130,"&lt;"&amp;Diagram!$P40)))</f>
        <v>0</v>
      </c>
      <c r="DU40" s="42">
        <f ca="1">IF(OR($I$10="",$O40="",$P40="",$J$41&lt;&gt;"Yes"),0,IF($K$10=0,SUMIFS(INDIRECT(ADDRESS(12,3+18*2+(6),,,"J1 B - Butcher Terrace")&amp;":"&amp;ADDRESS(130,3+18*2+(6))),'J1 B - Butcher Terrace'!$A$12:$A$130,"&gt;="&amp;Diagram!$O40,'J1 B - Butcher Terrace'!$A$12:$A$130,"&lt;"&amp;Diagram!$P40),SUMIFS(INDIRECT(ADDRESS(12,3+18*2+(14),,,"J1 B - Butcher Terrace")&amp;":"&amp;ADDRESS(130,3+18*2+(14))),'J1 B - Butcher Terrace'!$A$12:$A$130,"&gt;="&amp;Diagram!$O40,'J1 B - Butcher Terrace'!$A$12:$A$130,"&lt;"&amp;Diagram!$P40)))</f>
        <v>0</v>
      </c>
      <c r="DV40" s="42">
        <f ca="1">IF(OR($I$10="",$O40="",$P40="",$J$41&lt;&gt;"Yes"),0,IF($K$10=0,SUMIFS(INDIRECT(ADDRESS(12,3+18*3+(6),,,"J1 B - Butcher Terrace")&amp;":"&amp;ADDRESS(130,3+18*3+(6))),'J1 B - Butcher Terrace'!$A$12:$A$130,"&gt;="&amp;Diagram!$O40,'J1 B - Butcher Terrace'!$A$12:$A$130,"&lt;"&amp;Diagram!$P40),SUMIFS(INDIRECT(ADDRESS(12,3+18*3+(14),,,"J1 B - Butcher Terrace")&amp;":"&amp;ADDRESS(130,3+18*3+(14))),'J1 B - Butcher Terrace'!$A$12:$A$130,"&gt;="&amp;Diagram!$O40,'J1 B - Butcher Terrace'!$A$12:$A$130,"&lt;"&amp;Diagram!$P40)))</f>
        <v>0</v>
      </c>
      <c r="DW40" s="42">
        <f ca="1">IF(OR($I$10="",$O40="",$P40="",$J$41&lt;&gt;"Yes"),0,IF($K$10=0,SUMIFS(INDIRECT(ADDRESS(12,3+18*0+(6),,,"J1 B - Butcher Terrace")&amp;":"&amp;ADDRESS(130,3+18*0+(6))),'J1 B - Butcher Terrace'!$A$12:$A$130,"&gt;="&amp;Diagram!$O40,'J1 B - Butcher Terrace'!$A$12:$A$130,"&lt;"&amp;Diagram!$P40),SUMIFS(INDIRECT(ADDRESS(12,3+18*0+(14),,,"J1 B - Butcher Terrace")&amp;":"&amp;ADDRESS(130,3+18*0+(14))),'J1 B - Butcher Terrace'!$A$12:$A$130,"&gt;="&amp;Diagram!$O40,'J1 B - Butcher Terrace'!$A$12:$A$130,"&lt;"&amp;Diagram!$P40)))</f>
        <v>0</v>
      </c>
      <c r="DX40" s="42">
        <f ca="1">IF(OR($I$10="",$O40="",$P40="",$J$41&lt;&gt;"Yes"),0,IF($K$10=0,SUMIFS(INDIRECT(ADDRESS(12,3+18*1+(6),,,"J1 B - Butcher Terrace")&amp;":"&amp;ADDRESS(130,3+18*1+(6))),'J1 B - Butcher Terrace'!$A$12:$A$130,"&gt;="&amp;Diagram!$O40,'J1 B - Butcher Terrace'!$A$12:$A$130,"&lt;"&amp;Diagram!$P40),SUMIFS(INDIRECT(ADDRESS(12,3+18*1+(14),,,"J1 B - Butcher Terrace")&amp;":"&amp;ADDRESS(130,3+18*1+(14))),'J1 B - Butcher Terrace'!$A$12:$A$130,"&gt;="&amp;Diagram!$O40,'J1 B - Butcher Terrace'!$A$12:$A$130,"&lt;"&amp;Diagram!$P40)))</f>
        <v>0</v>
      </c>
      <c r="DY40" s="42">
        <f ca="1">IF(OR($I$10="",$O40="",$P40="",$J$41&lt;&gt;"Yes"),0,IF($K$10=0,SUMIFS(INDIRECT(ADDRESS(12,3+18*1+(6),,,"J1 C - (South) Bishopthorpe Roa")&amp;":"&amp;ADDRESS(130,3+18*1+(6))),'J1 C - (South) Bishopthorpe Roa'!$A$12:$A$130,"&gt;="&amp;Diagram!$O40,'J1 C - (South) Bishopthorpe Roa'!$A$12:$A$130,"&lt;"&amp;Diagram!$P40),SUMIFS(INDIRECT(ADDRESS(12,3+18*1+(14),,,"J1 C - (South) Bishopthorpe Roa")&amp;":"&amp;ADDRESS(130,3+18*1+(14))),'J1 C - (South) Bishopthorpe Roa'!$A$12:$A$130,"&gt;="&amp;Diagram!$O40,'J1 C - (South) Bishopthorpe Roa'!$A$12:$A$130,"&lt;"&amp;Diagram!$P40)))</f>
        <v>1</v>
      </c>
      <c r="DZ40" s="42">
        <f ca="1">IF(OR($I$10="",$O40="",$P40="",$J$41&lt;&gt;"Yes"),0,IF($K$10=0,SUMIFS(INDIRECT(ADDRESS(12,3+18*2+(6),,,"J1 C - (South) Bishopthorpe Roa")&amp;":"&amp;ADDRESS(130,3+18*2+(6))),'J1 C - (South) Bishopthorpe Roa'!$A$12:$A$130,"&gt;="&amp;Diagram!$O40,'J1 C - (South) Bishopthorpe Roa'!$A$12:$A$130,"&lt;"&amp;Diagram!$P40),SUMIFS(INDIRECT(ADDRESS(12,3+18*2+(14),,,"J1 C - (South) Bishopthorpe Roa")&amp;":"&amp;ADDRESS(130,3+18*2+(14))),'J1 C - (South) Bishopthorpe Roa'!$A$12:$A$130,"&gt;="&amp;Diagram!$O40,'J1 C - (South) Bishopthorpe Roa'!$A$12:$A$130,"&lt;"&amp;Diagram!$P40)))</f>
        <v>0</v>
      </c>
      <c r="EA40" s="42">
        <f ca="1">IF(OR($I$10="",$O40="",$P40="",$J$41&lt;&gt;"Yes"),0,IF($K$10=0,SUMIFS(INDIRECT(ADDRESS(12,3+18*3+(6),,,"J1 C - (South) Bishopthorpe Roa")&amp;":"&amp;ADDRESS(130,3+18*3+(6))),'J1 C - (South) Bishopthorpe Roa'!$A$12:$A$130,"&gt;="&amp;Diagram!$O40,'J1 C - (South) Bishopthorpe Roa'!$A$12:$A$130,"&lt;"&amp;Diagram!$P40),SUMIFS(INDIRECT(ADDRESS(12,3+18*3+(14),,,"J1 C - (South) Bishopthorpe Roa")&amp;":"&amp;ADDRESS(130,3+18*3+(14))),'J1 C - (South) Bishopthorpe Roa'!$A$12:$A$130,"&gt;="&amp;Diagram!$O40,'J1 C - (South) Bishopthorpe Roa'!$A$12:$A$130,"&lt;"&amp;Diagram!$P40)))</f>
        <v>0</v>
      </c>
      <c r="EB40" s="42">
        <f ca="1">IF(OR($I$10="",$O40="",$P40="",$J$41&lt;&gt;"Yes"),0,IF($K$10=0,SUMIFS(INDIRECT(ADDRESS(12,3+18*0+(6),,,"J1 C - (South) Bishopthorpe Roa")&amp;":"&amp;ADDRESS(130,3+18*0+(6))),'J1 C - (South) Bishopthorpe Roa'!$A$12:$A$130,"&gt;="&amp;Diagram!$O40,'J1 C - (South) Bishopthorpe Roa'!$A$12:$A$130,"&lt;"&amp;Diagram!$P40),SUMIFS(INDIRECT(ADDRESS(12,3+18*0+(14),,,"J1 C - (South) Bishopthorpe Roa")&amp;":"&amp;ADDRESS(130,3+18*0+(14))),'J1 C - (South) Bishopthorpe Roa'!$A$12:$A$130,"&gt;="&amp;Diagram!$O40,'J1 C - (South) Bishopthorpe Roa'!$A$12:$A$130,"&lt;"&amp;Diagram!$P40)))</f>
        <v>0</v>
      </c>
      <c r="EC40" s="42">
        <f ca="1">IF(OR($I$10="",$O40="",$P40="",$J$41&lt;&gt;"Yes"),0,IF($K$10=0,SUMIFS(INDIRECT(ADDRESS(12,3+18*0+(6),,,"J1 D - South Bank Avenue")&amp;":"&amp;ADDRESS(130,3+18*0+(6))),'J1 D - South Bank Avenue'!$A$12:$A$130,"&gt;="&amp;Diagram!$O40,'J1 D - South Bank Avenue'!$A$12:$A$130,"&lt;"&amp;Diagram!$P40),SUMIFS(INDIRECT(ADDRESS(12,3+18*0+(14),,,"J1 D - South Bank Avenue")&amp;":"&amp;ADDRESS(130,3+18*0+(14))),'J1 D - South Bank Avenue'!$A$12:$A$130,"&gt;="&amp;Diagram!$O40,'J1 D - South Bank Avenue'!$A$12:$A$130,"&lt;"&amp;Diagram!$P40)))</f>
        <v>2</v>
      </c>
      <c r="ED40" s="42">
        <f ca="1">IF(OR($I$10="",$O40="",$P40="",$J$41&lt;&gt;"Yes"),0,IF($K$10=0,SUMIFS(INDIRECT(ADDRESS(12,3+18*1+(6),,,"J1 D - South Bank Avenue")&amp;":"&amp;ADDRESS(130,3+18*1+(6))),'J1 D - South Bank Avenue'!$A$12:$A$130,"&gt;="&amp;Diagram!$O40,'J1 D - South Bank Avenue'!$A$12:$A$130,"&lt;"&amp;Diagram!$P40),SUMIFS(INDIRECT(ADDRESS(12,3+18*1+(14),,,"J1 D - South Bank Avenue")&amp;":"&amp;ADDRESS(130,3+18*1+(14))),'J1 D - South Bank Avenue'!$A$12:$A$130,"&gt;="&amp;Diagram!$O40,'J1 D - South Bank Avenue'!$A$12:$A$130,"&lt;"&amp;Diagram!$P40)))</f>
        <v>0</v>
      </c>
      <c r="EE40" s="42">
        <f ca="1">IF(OR($I$10="",$O40="",$P40="",$J$41&lt;&gt;"Yes"),0,IF($K$10=0,SUMIFS(INDIRECT(ADDRESS(12,3+18*2+(6),,,"J1 D - South Bank Avenue")&amp;":"&amp;ADDRESS(130,3+18*2+(6))),'J1 D - South Bank Avenue'!$A$12:$A$130,"&gt;="&amp;Diagram!$O40,'J1 D - South Bank Avenue'!$A$12:$A$130,"&lt;"&amp;Diagram!$P40),SUMIFS(INDIRECT(ADDRESS(12,3+18*2+(14),,,"J1 D - South Bank Avenue")&amp;":"&amp;ADDRESS(130,3+18*2+(14))),'J1 D - South Bank Avenue'!$A$12:$A$130,"&gt;="&amp;Diagram!$O40,'J1 D - South Bank Avenue'!$A$12:$A$130,"&lt;"&amp;Diagram!$P40)))</f>
        <v>0</v>
      </c>
      <c r="EF40" s="42">
        <f ca="1">IF(OR($I$10="",$O40="",$P40="",$J$41&lt;&gt;"Yes"),0,IF($K$10=0,SUMIFS(INDIRECT(ADDRESS(12,3+18*3+(6),,,"J1 D - South Bank Avenue")&amp;":"&amp;ADDRESS(130,3+18*3+(6))),'J1 D - South Bank Avenue'!$A$12:$A$130,"&gt;="&amp;Diagram!$O40,'J1 D - South Bank Avenue'!$A$12:$A$130,"&lt;"&amp;Diagram!$P40),SUMIFS(INDIRECT(ADDRESS(12,3+18*3+(14),,,"J1 D - South Bank Avenue")&amp;":"&amp;ADDRESS(130,3+18*3+(14))),'J1 D - South Bank Avenue'!$A$12:$A$130,"&gt;="&amp;Diagram!$O40,'J1 D - South Bank Avenue'!$A$12:$A$130,"&lt;"&amp;Diagram!$P40)))</f>
        <v>0</v>
      </c>
      <c r="EG40" s="42">
        <f t="shared" ca="1" si="8"/>
        <v>7</v>
      </c>
      <c r="EH40" s="42">
        <f ca="1">IF(OR($I$10="",$O40="",$P40="",$J$42&lt;&gt;"Yes"),0,IF($K$10=0,SUMIFS(INDIRECT(ADDRESS(12,3+18*3+(7),,,"J1 A - (North) Bishopthorpe Roa")&amp;":"&amp;ADDRESS(130,3+18*3+(7))),'J1 A - (North) Bishopthorpe Roa'!$A$12:$A$130,"&gt;="&amp;Diagram!$O40,'J1 A - (North) Bishopthorpe Roa'!$A$12:$A$130,"&lt;"&amp;Diagram!$P40),SUMIFS(INDIRECT(ADDRESS(12,3+18*3+(15),,,"J1 A - (North) Bishopthorpe Roa")&amp;":"&amp;ADDRESS(130,3+18*3+(15))),'J1 A - (North) Bishopthorpe Roa'!$A$12:$A$130,"&gt;="&amp;Diagram!$O40,'J1 A - (North) Bishopthorpe Roa'!$A$12:$A$130,"&lt;"&amp;Diagram!$P40)))</f>
        <v>0</v>
      </c>
      <c r="EI40" s="42">
        <f ca="1">IF(OR($I$10="",$O40="",$P40="",$J$42&lt;&gt;"Yes"),0,IF($K$10=0,SUMIFS(INDIRECT(ADDRESS(12,3+18*0+(7),,,"J1 A - (North) Bishopthorpe Roa")&amp;":"&amp;ADDRESS(130,3+18*0+(7))),'J1 A - (North) Bishopthorpe Roa'!$A$12:$A$130,"&gt;="&amp;Diagram!$O40,'J1 A - (North) Bishopthorpe Roa'!$A$12:$A$130,"&lt;"&amp;Diagram!$P40),SUMIFS(INDIRECT(ADDRESS(12,3+18*0+(15),,,"J1 A - (North) Bishopthorpe Roa")&amp;":"&amp;ADDRESS(130,3+18*0+(15))),'J1 A - (North) Bishopthorpe Roa'!$A$12:$A$130,"&gt;="&amp;Diagram!$O40,'J1 A - (North) Bishopthorpe Roa'!$A$12:$A$130,"&lt;"&amp;Diagram!$P40)))</f>
        <v>0</v>
      </c>
      <c r="EJ40" s="42">
        <f ca="1">IF(OR($I$10="",$O40="",$P40="",$J$42&lt;&gt;"Yes"),0,IF($K$10=0,SUMIFS(INDIRECT(ADDRESS(12,3+18*1+(7),,,"J1 A - (North) Bishopthorpe Roa")&amp;":"&amp;ADDRESS(130,3+18*1+(7))),'J1 A - (North) Bishopthorpe Roa'!$A$12:$A$130,"&gt;="&amp;Diagram!$O40,'J1 A - (North) Bishopthorpe Roa'!$A$12:$A$130,"&lt;"&amp;Diagram!$P40),SUMIFS(INDIRECT(ADDRESS(12,3+18*1+(15),,,"J1 A - (North) Bishopthorpe Roa")&amp;":"&amp;ADDRESS(130,3+18*1+(15))),'J1 A - (North) Bishopthorpe Roa'!$A$12:$A$130,"&gt;="&amp;Diagram!$O40,'J1 A - (North) Bishopthorpe Roa'!$A$12:$A$130,"&lt;"&amp;Diagram!$P40)))</f>
        <v>0</v>
      </c>
      <c r="EK40" s="42">
        <f ca="1">IF(OR($I$10="",$O40="",$P40="",$J$42&lt;&gt;"Yes"),0,IF($K$10=0,SUMIFS(INDIRECT(ADDRESS(12,3+18*2+(7),,,"J1 A - (North) Bishopthorpe Roa")&amp;":"&amp;ADDRESS(130,3+18*2+(7))),'J1 A - (North) Bishopthorpe Roa'!$A$12:$A$130,"&gt;="&amp;Diagram!$O40,'J1 A - (North) Bishopthorpe Roa'!$A$12:$A$130,"&lt;"&amp;Diagram!$P40),SUMIFS(INDIRECT(ADDRESS(12,3+18*2+(15),,,"J1 A - (North) Bishopthorpe Roa")&amp;":"&amp;ADDRESS(130,3+18*2+(15))),'J1 A - (North) Bishopthorpe Roa'!$A$12:$A$130,"&gt;="&amp;Diagram!$O40,'J1 A - (North) Bishopthorpe Roa'!$A$12:$A$130,"&lt;"&amp;Diagram!$P40)))</f>
        <v>0</v>
      </c>
      <c r="EL40" s="42">
        <f ca="1">IF(OR($I$10="",$O40="",$P40="",$J$42&lt;&gt;"Yes"),0,IF($K$10=0,SUMIFS(INDIRECT(ADDRESS(12,3+18*2+(7),,,"J1 B - Butcher Terrace")&amp;":"&amp;ADDRESS(130,3+18*2+(7))),'J1 B - Butcher Terrace'!$A$12:$A$130,"&gt;="&amp;Diagram!$O40,'J1 B - Butcher Terrace'!$A$12:$A$130,"&lt;"&amp;Diagram!$P40),SUMIFS(INDIRECT(ADDRESS(12,3+18*2+(15),,,"J1 B - Butcher Terrace")&amp;":"&amp;ADDRESS(130,3+18*2+(15))),'J1 B - Butcher Terrace'!$A$12:$A$130,"&gt;="&amp;Diagram!$O40,'J1 B - Butcher Terrace'!$A$12:$A$130,"&lt;"&amp;Diagram!$P40)))</f>
        <v>3</v>
      </c>
      <c r="EM40" s="42">
        <f ca="1">IF(OR($I$10="",$O40="",$P40="",$J$42&lt;&gt;"Yes"),0,IF($K$10=0,SUMIFS(INDIRECT(ADDRESS(12,3+18*3+(7),,,"J1 B - Butcher Terrace")&amp;":"&amp;ADDRESS(130,3+18*3+(7))),'J1 B - Butcher Terrace'!$A$12:$A$130,"&gt;="&amp;Diagram!$O40,'J1 B - Butcher Terrace'!$A$12:$A$130,"&lt;"&amp;Diagram!$P40),SUMIFS(INDIRECT(ADDRESS(12,3+18*3+(15),,,"J1 B - Butcher Terrace")&amp;":"&amp;ADDRESS(130,3+18*3+(15))),'J1 B - Butcher Terrace'!$A$12:$A$130,"&gt;="&amp;Diagram!$O40,'J1 B - Butcher Terrace'!$A$12:$A$130,"&lt;"&amp;Diagram!$P40)))</f>
        <v>0</v>
      </c>
      <c r="EN40" s="42">
        <f ca="1">IF(OR($I$10="",$O40="",$P40="",$J$42&lt;&gt;"Yes"),0,IF($K$10=0,SUMIFS(INDIRECT(ADDRESS(12,3+18*0+(7),,,"J1 B - Butcher Terrace")&amp;":"&amp;ADDRESS(130,3+18*0+(7))),'J1 B - Butcher Terrace'!$A$12:$A$130,"&gt;="&amp;Diagram!$O40,'J1 B - Butcher Terrace'!$A$12:$A$130,"&lt;"&amp;Diagram!$P40),SUMIFS(INDIRECT(ADDRESS(12,3+18*0+(15),,,"J1 B - Butcher Terrace")&amp;":"&amp;ADDRESS(130,3+18*0+(15))),'J1 B - Butcher Terrace'!$A$12:$A$130,"&gt;="&amp;Diagram!$O40,'J1 B - Butcher Terrace'!$A$12:$A$130,"&lt;"&amp;Diagram!$P40)))</f>
        <v>4</v>
      </c>
      <c r="EO40" s="42">
        <f ca="1">IF(OR($I$10="",$O40="",$P40="",$J$42&lt;&gt;"Yes"),0,IF($K$10=0,SUMIFS(INDIRECT(ADDRESS(12,3+18*1+(7),,,"J1 B - Butcher Terrace")&amp;":"&amp;ADDRESS(130,3+18*1+(7))),'J1 B - Butcher Terrace'!$A$12:$A$130,"&gt;="&amp;Diagram!$O40,'J1 B - Butcher Terrace'!$A$12:$A$130,"&lt;"&amp;Diagram!$P40),SUMIFS(INDIRECT(ADDRESS(12,3+18*1+(15),,,"J1 B - Butcher Terrace")&amp;":"&amp;ADDRESS(130,3+18*1+(15))),'J1 B - Butcher Terrace'!$A$12:$A$130,"&gt;="&amp;Diagram!$O40,'J1 B - Butcher Terrace'!$A$12:$A$130,"&lt;"&amp;Diagram!$P40)))</f>
        <v>0</v>
      </c>
      <c r="EP40" s="42">
        <f ca="1">IF(OR($I$10="",$O40="",$P40="",$J$42&lt;&gt;"Yes"),0,IF($K$10=0,SUMIFS(INDIRECT(ADDRESS(12,3+18*1+(7),,,"J1 C - (South) Bishopthorpe Roa")&amp;":"&amp;ADDRESS(130,3+18*1+(7))),'J1 C - (South) Bishopthorpe Roa'!$A$12:$A$130,"&gt;="&amp;Diagram!$O40,'J1 C - (South) Bishopthorpe Roa'!$A$12:$A$130,"&lt;"&amp;Diagram!$P40),SUMIFS(INDIRECT(ADDRESS(12,3+18*1+(15),,,"J1 C - (South) Bishopthorpe Roa")&amp;":"&amp;ADDRESS(130,3+18*1+(15))),'J1 C - (South) Bishopthorpe Roa'!$A$12:$A$130,"&gt;="&amp;Diagram!$O40,'J1 C - (South) Bishopthorpe Roa'!$A$12:$A$130,"&lt;"&amp;Diagram!$P40)))</f>
        <v>0</v>
      </c>
      <c r="EQ40" s="42">
        <f ca="1">IF(OR($I$10="",$O40="",$P40="",$J$42&lt;&gt;"Yes"),0,IF($K$10=0,SUMIFS(INDIRECT(ADDRESS(12,3+18*2+(7),,,"J1 C - (South) Bishopthorpe Roa")&amp;":"&amp;ADDRESS(130,3+18*2+(7))),'J1 C - (South) Bishopthorpe Roa'!$A$12:$A$130,"&gt;="&amp;Diagram!$O40,'J1 C - (South) Bishopthorpe Roa'!$A$12:$A$130,"&lt;"&amp;Diagram!$P40),SUMIFS(INDIRECT(ADDRESS(12,3+18*2+(15),,,"J1 C - (South) Bishopthorpe Roa")&amp;":"&amp;ADDRESS(130,3+18*2+(15))),'J1 C - (South) Bishopthorpe Roa'!$A$12:$A$130,"&gt;="&amp;Diagram!$O40,'J1 C - (South) Bishopthorpe Roa'!$A$12:$A$130,"&lt;"&amp;Diagram!$P40)))</f>
        <v>0</v>
      </c>
      <c r="ER40" s="42">
        <f ca="1">IF(OR($I$10="",$O40="",$P40="",$J$42&lt;&gt;"Yes"),0,IF($K$10=0,SUMIFS(INDIRECT(ADDRESS(12,3+18*3+(7),,,"J1 C - (South) Bishopthorpe Roa")&amp;":"&amp;ADDRESS(130,3+18*3+(7))),'J1 C - (South) Bishopthorpe Roa'!$A$12:$A$130,"&gt;="&amp;Diagram!$O40,'J1 C - (South) Bishopthorpe Roa'!$A$12:$A$130,"&lt;"&amp;Diagram!$P40),SUMIFS(INDIRECT(ADDRESS(12,3+18*3+(15),,,"J1 C - (South) Bishopthorpe Roa")&amp;":"&amp;ADDRESS(130,3+18*3+(15))),'J1 C - (South) Bishopthorpe Roa'!$A$12:$A$130,"&gt;="&amp;Diagram!$O40,'J1 C - (South) Bishopthorpe Roa'!$A$12:$A$130,"&lt;"&amp;Diagram!$P40)))</f>
        <v>0</v>
      </c>
      <c r="ES40" s="42">
        <f ca="1">IF(OR($I$10="",$O40="",$P40="",$J$42&lt;&gt;"Yes"),0,IF($K$10=0,SUMIFS(INDIRECT(ADDRESS(12,3+18*0+(7),,,"J1 C - (South) Bishopthorpe Roa")&amp;":"&amp;ADDRESS(130,3+18*0+(7))),'J1 C - (South) Bishopthorpe Roa'!$A$12:$A$130,"&gt;="&amp;Diagram!$O40,'J1 C - (South) Bishopthorpe Roa'!$A$12:$A$130,"&lt;"&amp;Diagram!$P40),SUMIFS(INDIRECT(ADDRESS(12,3+18*0+(15),,,"J1 C - (South) Bishopthorpe Roa")&amp;":"&amp;ADDRESS(130,3+18*0+(15))),'J1 C - (South) Bishopthorpe Roa'!$A$12:$A$130,"&gt;="&amp;Diagram!$O40,'J1 C - (South) Bishopthorpe Roa'!$A$12:$A$130,"&lt;"&amp;Diagram!$P40)))</f>
        <v>0</v>
      </c>
      <c r="ET40" s="42">
        <f ca="1">IF(OR($I$10="",$O40="",$P40="",$J$42&lt;&gt;"Yes"),0,IF($K$10=0,SUMIFS(INDIRECT(ADDRESS(12,3+18*0+(7),,,"J1 D - South Bank Avenue")&amp;":"&amp;ADDRESS(130,3+18*0+(7))),'J1 D - South Bank Avenue'!$A$12:$A$130,"&gt;="&amp;Diagram!$O40,'J1 D - South Bank Avenue'!$A$12:$A$130,"&lt;"&amp;Diagram!$P40),SUMIFS(INDIRECT(ADDRESS(12,3+18*0+(15),,,"J1 D - South Bank Avenue")&amp;":"&amp;ADDRESS(130,3+18*0+(15))),'J1 D - South Bank Avenue'!$A$12:$A$130,"&gt;="&amp;Diagram!$O40,'J1 D - South Bank Avenue'!$A$12:$A$130,"&lt;"&amp;Diagram!$P40)))</f>
        <v>0</v>
      </c>
      <c r="EU40" s="42">
        <f ca="1">IF(OR($I$10="",$O40="",$P40="",$J$42&lt;&gt;"Yes"),0,IF($K$10=0,SUMIFS(INDIRECT(ADDRESS(12,3+18*1+(7),,,"J1 D - South Bank Avenue")&amp;":"&amp;ADDRESS(130,3+18*1+(7))),'J1 D - South Bank Avenue'!$A$12:$A$130,"&gt;="&amp;Diagram!$O40,'J1 D - South Bank Avenue'!$A$12:$A$130,"&lt;"&amp;Diagram!$P40),SUMIFS(INDIRECT(ADDRESS(12,3+18*1+(15),,,"J1 D - South Bank Avenue")&amp;":"&amp;ADDRESS(130,3+18*1+(15))),'J1 D - South Bank Avenue'!$A$12:$A$130,"&gt;="&amp;Diagram!$O40,'J1 D - South Bank Avenue'!$A$12:$A$130,"&lt;"&amp;Diagram!$P40)))</f>
        <v>0</v>
      </c>
      <c r="EV40" s="42">
        <f ca="1">IF(OR($I$10="",$O40="",$P40="",$J$42&lt;&gt;"Yes"),0,IF($K$10=0,SUMIFS(INDIRECT(ADDRESS(12,3+18*2+(7),,,"J1 D - South Bank Avenue")&amp;":"&amp;ADDRESS(130,3+18*2+(7))),'J1 D - South Bank Avenue'!$A$12:$A$130,"&gt;="&amp;Diagram!$O40,'J1 D - South Bank Avenue'!$A$12:$A$130,"&lt;"&amp;Diagram!$P40),SUMIFS(INDIRECT(ADDRESS(12,3+18*2+(15),,,"J1 D - South Bank Avenue")&amp;":"&amp;ADDRESS(130,3+18*2+(15))),'J1 D - South Bank Avenue'!$A$12:$A$130,"&gt;="&amp;Diagram!$O40,'J1 D - South Bank Avenue'!$A$12:$A$130,"&lt;"&amp;Diagram!$P40)))</f>
        <v>0</v>
      </c>
      <c r="EW40" s="42">
        <f ca="1">IF(OR($I$10="",$O40="",$P40="",$J$42&lt;&gt;"Yes"),0,IF($K$10=0,SUMIFS(INDIRECT(ADDRESS(12,3+18*3+(7),,,"J1 D - South Bank Avenue")&amp;":"&amp;ADDRESS(130,3+18*3+(7))),'J1 D - South Bank Avenue'!$A$12:$A$130,"&gt;="&amp;Diagram!$O40,'J1 D - South Bank Avenue'!$A$12:$A$130,"&lt;"&amp;Diagram!$P40),SUMIFS(INDIRECT(ADDRESS(12,3+18*3+(15),,,"J1 D - South Bank Avenue")&amp;":"&amp;ADDRESS(130,3+18*3+(15))),'J1 D - South Bank Avenue'!$A$12:$A$130,"&gt;="&amp;Diagram!$O40,'J1 D - South Bank Avenue'!$A$12:$A$130,"&lt;"&amp;Diagram!$P40)))</f>
        <v>0</v>
      </c>
    </row>
    <row r="41" spans="1:153" ht="21" customHeight="1">
      <c r="A41" s="1">
        <v>44395.416666666701</v>
      </c>
      <c r="B41" s="1">
        <v>44395.427083333299</v>
      </c>
      <c r="I41" s="38" t="s">
        <v>18</v>
      </c>
      <c r="J41" s="39" t="s">
        <v>166</v>
      </c>
      <c r="K41" s="13">
        <v>6</v>
      </c>
      <c r="O41" s="3">
        <v>44395.416666666701</v>
      </c>
      <c r="P41" s="3">
        <v>44395.458333333299</v>
      </c>
      <c r="Q41" s="42">
        <f t="shared" ca="1" si="0"/>
        <v>705</v>
      </c>
      <c r="R41" s="42">
        <f t="shared" ca="1" si="1"/>
        <v>474</v>
      </c>
      <c r="S41" s="42">
        <f ca="1">IF(OR($I$10="",$O41="",$P41="",$J$35&lt;&gt;"Yes"),0,IF($K$10=0,SUMIFS(INDIRECT(ADDRESS(12,3+18*3+(0),,,"J1 A - (North) Bishopthorpe Roa")&amp;":"&amp;ADDRESS(130,3+18*3+(0))),'J1 A - (North) Bishopthorpe Roa'!$A$12:$A$130,"&gt;="&amp;Diagram!$O41,'J1 A - (North) Bishopthorpe Roa'!$A$12:$A$130,"&lt;"&amp;Diagram!$P41),SUMIFS(INDIRECT(ADDRESS(12,3+18*3+(8),,,"J1 A - (North) Bishopthorpe Roa")&amp;":"&amp;ADDRESS(130,3+18*3+(8))),'J1 A - (North) Bishopthorpe Roa'!$A$12:$A$130,"&gt;="&amp;Diagram!$O41,'J1 A - (North) Bishopthorpe Roa'!$A$12:$A$130,"&lt;"&amp;Diagram!$P41)))</f>
        <v>1</v>
      </c>
      <c r="T41" s="42">
        <f ca="1">IF(OR($I$10="",$O41="",$P41="",$J$35&lt;&gt;"Yes"),0,IF($K$10=0,SUMIFS(INDIRECT(ADDRESS(12,3+18*0+(0),,,"J1 A - (North) Bishopthorpe Roa")&amp;":"&amp;ADDRESS(130,3+18*0+(0))),'J1 A - (North) Bishopthorpe Roa'!$A$12:$A$130,"&gt;="&amp;Diagram!$O41,'J1 A - (North) Bishopthorpe Roa'!$A$12:$A$130,"&lt;"&amp;Diagram!$P41),SUMIFS(INDIRECT(ADDRESS(12,3+18*0+(8),,,"J1 A - (North) Bishopthorpe Roa")&amp;":"&amp;ADDRESS(130,3+18*0+(8))),'J1 A - (North) Bishopthorpe Roa'!$A$12:$A$130,"&gt;="&amp;Diagram!$O41,'J1 A - (North) Bishopthorpe Roa'!$A$12:$A$130,"&lt;"&amp;Diagram!$P41)))</f>
        <v>17</v>
      </c>
      <c r="U41" s="42">
        <f ca="1">IF(OR($I$10="",$O41="",$P41="",$J$35&lt;&gt;"Yes"),0,IF($K$10=0,SUMIFS(INDIRECT(ADDRESS(12,3+18*1+(0),,,"J1 A - (North) Bishopthorpe Roa")&amp;":"&amp;ADDRESS(130,3+18*1+(0))),'J1 A - (North) Bishopthorpe Roa'!$A$12:$A$130,"&gt;="&amp;Diagram!$O41,'J1 A - (North) Bishopthorpe Roa'!$A$12:$A$130,"&lt;"&amp;Diagram!$P41),SUMIFS(INDIRECT(ADDRESS(12,3+18*1+(8),,,"J1 A - (North) Bishopthorpe Roa")&amp;":"&amp;ADDRESS(130,3+18*1+(8))),'J1 A - (North) Bishopthorpe Roa'!$A$12:$A$130,"&gt;="&amp;Diagram!$O41,'J1 A - (North) Bishopthorpe Roa'!$A$12:$A$130,"&lt;"&amp;Diagram!$P41)))</f>
        <v>178</v>
      </c>
      <c r="V41" s="42">
        <f ca="1">IF(OR($I$10="",$O41="",$P41="",$J$35&lt;&gt;"Yes"),0,IF($K$10=0,SUMIFS(INDIRECT(ADDRESS(12,3+18*2+(0),,,"J1 A - (North) Bishopthorpe Roa")&amp;":"&amp;ADDRESS(130,3+18*2+(0))),'J1 A - (North) Bishopthorpe Roa'!$A$12:$A$130,"&gt;="&amp;Diagram!$O41,'J1 A - (North) Bishopthorpe Roa'!$A$12:$A$130,"&lt;"&amp;Diagram!$P41),SUMIFS(INDIRECT(ADDRESS(12,3+18*2+(8),,,"J1 A - (North) Bishopthorpe Roa")&amp;":"&amp;ADDRESS(130,3+18*2+(8))),'J1 A - (North) Bishopthorpe Roa'!$A$12:$A$130,"&gt;="&amp;Diagram!$O41,'J1 A - (North) Bishopthorpe Roa'!$A$12:$A$130,"&lt;"&amp;Diagram!$P41)))</f>
        <v>20</v>
      </c>
      <c r="W41" s="42">
        <f ca="1">IF(OR($I$10="",$O41="",$P41="",$J$35&lt;&gt;"Yes"),0,IF($K$10=0,SUMIFS(INDIRECT(ADDRESS(12,3+18*2+(0),,,"J1 B - Butcher Terrace")&amp;":"&amp;ADDRESS(130,3+18*2+(0))),'J1 B - Butcher Terrace'!$A$12:$A$130,"&gt;="&amp;Diagram!$O41,'J1 B - Butcher Terrace'!$A$12:$A$130,"&lt;"&amp;Diagram!$P41),SUMIFS(INDIRECT(ADDRESS(12,3+18*2+(8),,,"J1 B - Butcher Terrace")&amp;":"&amp;ADDRESS(130,3+18*2+(8))),'J1 B - Butcher Terrace'!$A$12:$A$130,"&gt;="&amp;Diagram!$O41,'J1 B - Butcher Terrace'!$A$12:$A$130,"&lt;"&amp;Diagram!$P41)))</f>
        <v>12</v>
      </c>
      <c r="X41" s="42">
        <f ca="1">IF(OR($I$10="",$O41="",$P41="",$J$35&lt;&gt;"Yes"),0,IF($K$10=0,SUMIFS(INDIRECT(ADDRESS(12,3+18*3+(0),,,"J1 B - Butcher Terrace")&amp;":"&amp;ADDRESS(130,3+18*3+(0))),'J1 B - Butcher Terrace'!$A$12:$A$130,"&gt;="&amp;Diagram!$O41,'J1 B - Butcher Terrace'!$A$12:$A$130,"&lt;"&amp;Diagram!$P41),SUMIFS(INDIRECT(ADDRESS(12,3+18*3+(8),,,"J1 B - Butcher Terrace")&amp;":"&amp;ADDRESS(130,3+18*3+(8))),'J1 B - Butcher Terrace'!$A$12:$A$130,"&gt;="&amp;Diagram!$O41,'J1 B - Butcher Terrace'!$A$12:$A$130,"&lt;"&amp;Diagram!$P41)))</f>
        <v>0</v>
      </c>
      <c r="Y41" s="42">
        <f ca="1">IF(OR($I$10="",$O41="",$P41="",$J$35&lt;&gt;"Yes"),0,IF($K$10=0,SUMIFS(INDIRECT(ADDRESS(12,3+18*0+(0),,,"J1 B - Butcher Terrace")&amp;":"&amp;ADDRESS(130,3+18*0+(0))),'J1 B - Butcher Terrace'!$A$12:$A$130,"&gt;="&amp;Diagram!$O41,'J1 B - Butcher Terrace'!$A$12:$A$130,"&lt;"&amp;Diagram!$P41),SUMIFS(INDIRECT(ADDRESS(12,3+18*0+(8),,,"J1 B - Butcher Terrace")&amp;":"&amp;ADDRESS(130,3+18*0+(8))),'J1 B - Butcher Terrace'!$A$12:$A$130,"&gt;="&amp;Diagram!$O41,'J1 B - Butcher Terrace'!$A$12:$A$130,"&lt;"&amp;Diagram!$P41)))</f>
        <v>14</v>
      </c>
      <c r="Z41" s="42">
        <f ca="1">IF(OR($I$10="",$O41="",$P41="",$J$35&lt;&gt;"Yes"),0,IF($K$10=0,SUMIFS(INDIRECT(ADDRESS(12,3+18*1+(0),,,"J1 B - Butcher Terrace")&amp;":"&amp;ADDRESS(130,3+18*1+(0))),'J1 B - Butcher Terrace'!$A$12:$A$130,"&gt;="&amp;Diagram!$O41,'J1 B - Butcher Terrace'!$A$12:$A$130,"&lt;"&amp;Diagram!$P41),SUMIFS(INDIRECT(ADDRESS(12,3+18*1+(8),,,"J1 B - Butcher Terrace")&amp;":"&amp;ADDRESS(130,3+18*1+(8))),'J1 B - Butcher Terrace'!$A$12:$A$130,"&gt;="&amp;Diagram!$O41,'J1 B - Butcher Terrace'!$A$12:$A$130,"&lt;"&amp;Diagram!$P41)))</f>
        <v>0</v>
      </c>
      <c r="AA41" s="42">
        <f ca="1">IF(OR($I$10="",$O41="",$P41="",$J$35&lt;&gt;"Yes"),0,IF($K$10=0,SUMIFS(INDIRECT(ADDRESS(12,3+18*1+(0),,,"J1 C - (South) Bishopthorpe Roa")&amp;":"&amp;ADDRESS(130,3+18*1+(0))),'J1 C - (South) Bishopthorpe Roa'!$A$12:$A$130,"&gt;="&amp;Diagram!$O41,'J1 C - (South) Bishopthorpe Roa'!$A$12:$A$130,"&lt;"&amp;Diagram!$P41),SUMIFS(INDIRECT(ADDRESS(12,3+18*1+(8),,,"J1 C - (South) Bishopthorpe Roa")&amp;":"&amp;ADDRESS(130,3+18*1+(8))),'J1 C - (South) Bishopthorpe Roa'!$A$12:$A$130,"&gt;="&amp;Diagram!$O41,'J1 C - (South) Bishopthorpe Roa'!$A$12:$A$130,"&lt;"&amp;Diagram!$P41)))</f>
        <v>191</v>
      </c>
      <c r="AB41" s="42">
        <f ca="1">IF(OR($I$10="",$O41="",$P41="",$J$35&lt;&gt;"Yes"),0,IF($K$10=0,SUMIFS(INDIRECT(ADDRESS(12,3+18*2+(0),,,"J1 C - (South) Bishopthorpe Roa")&amp;":"&amp;ADDRESS(130,3+18*2+(0))),'J1 C - (South) Bishopthorpe Roa'!$A$12:$A$130,"&gt;="&amp;Diagram!$O41,'J1 C - (South) Bishopthorpe Roa'!$A$12:$A$130,"&lt;"&amp;Diagram!$P41),SUMIFS(INDIRECT(ADDRESS(12,3+18*2+(8),,,"J1 C - (South) Bishopthorpe Roa")&amp;":"&amp;ADDRESS(130,3+18*2+(8))),'J1 C - (South) Bishopthorpe Roa'!$A$12:$A$130,"&gt;="&amp;Diagram!$O41,'J1 C - (South) Bishopthorpe Roa'!$A$12:$A$130,"&lt;"&amp;Diagram!$P41)))</f>
        <v>3</v>
      </c>
      <c r="AC41" s="42">
        <f ca="1">IF(OR($I$10="",$O41="",$P41="",$J$35&lt;&gt;"Yes"),0,IF($K$10=0,SUMIFS(INDIRECT(ADDRESS(12,3+18*3+(0),,,"J1 C - (South) Bishopthorpe Roa")&amp;":"&amp;ADDRESS(130,3+18*3+(0))),'J1 C - (South) Bishopthorpe Roa'!$A$12:$A$130,"&gt;="&amp;Diagram!$O41,'J1 C - (South) Bishopthorpe Roa'!$A$12:$A$130,"&lt;"&amp;Diagram!$P41),SUMIFS(INDIRECT(ADDRESS(12,3+18*3+(8),,,"J1 C - (South) Bishopthorpe Roa")&amp;":"&amp;ADDRESS(130,3+18*3+(8))),'J1 C - (South) Bishopthorpe Roa'!$A$12:$A$130,"&gt;="&amp;Diagram!$O41,'J1 C - (South) Bishopthorpe Roa'!$A$12:$A$130,"&lt;"&amp;Diagram!$P41)))</f>
        <v>0</v>
      </c>
      <c r="AD41" s="42">
        <f ca="1">IF(OR($I$10="",$O41="",$P41="",$J$35&lt;&gt;"Yes"),0,IF($K$10=0,SUMIFS(INDIRECT(ADDRESS(12,3+18*0+(0),,,"J1 C - (South) Bishopthorpe Roa")&amp;":"&amp;ADDRESS(130,3+18*0+(0))),'J1 C - (South) Bishopthorpe Roa'!$A$12:$A$130,"&gt;="&amp;Diagram!$O41,'J1 C - (South) Bishopthorpe Roa'!$A$12:$A$130,"&lt;"&amp;Diagram!$P41),SUMIFS(INDIRECT(ADDRESS(12,3+18*0+(8),,,"J1 C - (South) Bishopthorpe Roa")&amp;":"&amp;ADDRESS(130,3+18*0+(8))),'J1 C - (South) Bishopthorpe Roa'!$A$12:$A$130,"&gt;="&amp;Diagram!$O41,'J1 C - (South) Bishopthorpe Roa'!$A$12:$A$130,"&lt;"&amp;Diagram!$P41)))</f>
        <v>7</v>
      </c>
      <c r="AE41" s="42">
        <f ca="1">IF(OR($I$10="",$O41="",$P41="",$J$35&lt;&gt;"Yes"),0,IF($K$10=0,SUMIFS(INDIRECT(ADDRESS(12,3+18*0+(0),,,"J1 D - South Bank Avenue")&amp;":"&amp;ADDRESS(130,3+18*0+(0))),'J1 D - South Bank Avenue'!$A$12:$A$130,"&gt;="&amp;Diagram!$O41,'J1 D - South Bank Avenue'!$A$12:$A$130,"&lt;"&amp;Diagram!$P41),SUMIFS(INDIRECT(ADDRESS(12,3+18*0+(8),,,"J1 D - South Bank Avenue")&amp;":"&amp;ADDRESS(130,3+18*0+(8))),'J1 D - South Bank Avenue'!$A$12:$A$130,"&gt;="&amp;Diagram!$O41,'J1 D - South Bank Avenue'!$A$12:$A$130,"&lt;"&amp;Diagram!$P41)))</f>
        <v>26</v>
      </c>
      <c r="AF41" s="42">
        <f ca="1">IF(OR($I$10="",$O41="",$P41="",$J$35&lt;&gt;"Yes"),0,IF($K$10=0,SUMIFS(INDIRECT(ADDRESS(12,3+18*1+(0),,,"J1 D - South Bank Avenue")&amp;":"&amp;ADDRESS(130,3+18*1+(0))),'J1 D - South Bank Avenue'!$A$12:$A$130,"&gt;="&amp;Diagram!$O41,'J1 D - South Bank Avenue'!$A$12:$A$130,"&lt;"&amp;Diagram!$P41),SUMIFS(INDIRECT(ADDRESS(12,3+18*1+(8),,,"J1 D - South Bank Avenue")&amp;":"&amp;ADDRESS(130,3+18*1+(8))),'J1 D - South Bank Avenue'!$A$12:$A$130,"&gt;="&amp;Diagram!$O41,'J1 D - South Bank Avenue'!$A$12:$A$130,"&lt;"&amp;Diagram!$P41)))</f>
        <v>0</v>
      </c>
      <c r="AG41" s="42">
        <f ca="1">IF(OR($I$10="",$O41="",$P41="",$J$35&lt;&gt;"Yes"),0,IF($K$10=0,SUMIFS(INDIRECT(ADDRESS(12,3+18*2+(0),,,"J1 D - South Bank Avenue")&amp;":"&amp;ADDRESS(130,3+18*2+(0))),'J1 D - South Bank Avenue'!$A$12:$A$130,"&gt;="&amp;Diagram!$O41,'J1 D - South Bank Avenue'!$A$12:$A$130,"&lt;"&amp;Diagram!$P41),SUMIFS(INDIRECT(ADDRESS(12,3+18*2+(8),,,"J1 D - South Bank Avenue")&amp;":"&amp;ADDRESS(130,3+18*2+(8))),'J1 D - South Bank Avenue'!$A$12:$A$130,"&gt;="&amp;Diagram!$O41,'J1 D - South Bank Avenue'!$A$12:$A$130,"&lt;"&amp;Diagram!$P41)))</f>
        <v>5</v>
      </c>
      <c r="AH41" s="42">
        <f ca="1">IF(OR($I$10="",$O41="",$P41="",$J$35&lt;&gt;"Yes"),0,IF($K$10=0,SUMIFS(INDIRECT(ADDRESS(12,3+18*3+(0),,,"J1 D - South Bank Avenue")&amp;":"&amp;ADDRESS(130,3+18*3+(0))),'J1 D - South Bank Avenue'!$A$12:$A$130,"&gt;="&amp;Diagram!$O41,'J1 D - South Bank Avenue'!$A$12:$A$130,"&lt;"&amp;Diagram!$P41),SUMIFS(INDIRECT(ADDRESS(12,3+18*3+(8),,,"J1 D - South Bank Avenue")&amp;":"&amp;ADDRESS(130,3+18*3+(8))),'J1 D - South Bank Avenue'!$A$12:$A$130,"&gt;="&amp;Diagram!$O41,'J1 D - South Bank Avenue'!$A$12:$A$130,"&lt;"&amp;Diagram!$P41)))</f>
        <v>0</v>
      </c>
      <c r="AI41" s="42">
        <f t="shared" ca="1" si="2"/>
        <v>96</v>
      </c>
      <c r="AJ41" s="42">
        <f ca="1">IF(OR($I$10="",$O41="",$P41="",$J$36&lt;&gt;"Yes"),0,IF($K$10=0,SUMIFS(INDIRECT(ADDRESS(12,3+18*3+(1),,,"J1 A - (North) Bishopthorpe Roa")&amp;":"&amp;ADDRESS(130,3+18*3+(1))),'J1 A - (North) Bishopthorpe Roa'!$A$12:$A$130,"&gt;="&amp;Diagram!$O41,'J1 A - (North) Bishopthorpe Roa'!$A$12:$A$130,"&lt;"&amp;Diagram!$P41),SUMIFS(INDIRECT(ADDRESS(12,3+18*3+(9),,,"J1 A - (North) Bishopthorpe Roa")&amp;":"&amp;ADDRESS(130,3+18*3+(9))),'J1 A - (North) Bishopthorpe Roa'!$A$12:$A$130,"&gt;="&amp;Diagram!$O41,'J1 A - (North) Bishopthorpe Roa'!$A$12:$A$130,"&lt;"&amp;Diagram!$P41)))</f>
        <v>0</v>
      </c>
      <c r="AK41" s="42">
        <f ca="1">IF(OR($I$10="",$O41="",$P41="",$J$36&lt;&gt;"Yes"),0,IF($K$10=0,SUMIFS(INDIRECT(ADDRESS(12,3+18*0+(1),,,"J1 A - (North) Bishopthorpe Roa")&amp;":"&amp;ADDRESS(130,3+18*0+(1))),'J1 A - (North) Bishopthorpe Roa'!$A$12:$A$130,"&gt;="&amp;Diagram!$O41,'J1 A - (North) Bishopthorpe Roa'!$A$12:$A$130,"&lt;"&amp;Diagram!$P41),SUMIFS(INDIRECT(ADDRESS(12,3+18*0+(9),,,"J1 A - (North) Bishopthorpe Roa")&amp;":"&amp;ADDRESS(130,3+18*0+(9))),'J1 A - (North) Bishopthorpe Roa'!$A$12:$A$130,"&gt;="&amp;Diagram!$O41,'J1 A - (North) Bishopthorpe Roa'!$A$12:$A$130,"&lt;"&amp;Diagram!$P41)))</f>
        <v>2</v>
      </c>
      <c r="AL41" s="42">
        <f ca="1">IF(OR($I$10="",$O41="",$P41="",$J$36&lt;&gt;"Yes"),0,IF($K$10=0,SUMIFS(INDIRECT(ADDRESS(12,3+18*1+(1),,,"J1 A - (North) Bishopthorpe Roa")&amp;":"&amp;ADDRESS(130,3+18*1+(1))),'J1 A - (North) Bishopthorpe Roa'!$A$12:$A$130,"&gt;="&amp;Diagram!$O41,'J1 A - (North) Bishopthorpe Roa'!$A$12:$A$130,"&lt;"&amp;Diagram!$P41),SUMIFS(INDIRECT(ADDRESS(12,3+18*1+(9),,,"J1 A - (North) Bishopthorpe Roa")&amp;":"&amp;ADDRESS(130,3+18*1+(9))),'J1 A - (North) Bishopthorpe Roa'!$A$12:$A$130,"&gt;="&amp;Diagram!$O41,'J1 A - (North) Bishopthorpe Roa'!$A$12:$A$130,"&lt;"&amp;Diagram!$P41)))</f>
        <v>33</v>
      </c>
      <c r="AM41" s="42">
        <f ca="1">IF(OR($I$10="",$O41="",$P41="",$J$36&lt;&gt;"Yes"),0,IF($K$10=0,SUMIFS(INDIRECT(ADDRESS(12,3+18*2+(1),,,"J1 A - (North) Bishopthorpe Roa")&amp;":"&amp;ADDRESS(130,3+18*2+(1))),'J1 A - (North) Bishopthorpe Roa'!$A$12:$A$130,"&gt;="&amp;Diagram!$O41,'J1 A - (North) Bishopthorpe Roa'!$A$12:$A$130,"&lt;"&amp;Diagram!$P41),SUMIFS(INDIRECT(ADDRESS(12,3+18*2+(9),,,"J1 A - (North) Bishopthorpe Roa")&amp;":"&amp;ADDRESS(130,3+18*2+(9))),'J1 A - (North) Bishopthorpe Roa'!$A$12:$A$130,"&gt;="&amp;Diagram!$O41,'J1 A - (North) Bishopthorpe Roa'!$A$12:$A$130,"&lt;"&amp;Diagram!$P41)))</f>
        <v>5</v>
      </c>
      <c r="AN41" s="42">
        <f ca="1">IF(OR($I$10="",$O41="",$P41="",$J$36&lt;&gt;"Yes"),0,IF($K$10=0,SUMIFS(INDIRECT(ADDRESS(12,3+18*2+(1),,,"J1 B - Butcher Terrace")&amp;":"&amp;ADDRESS(130,3+18*2+(1))),'J1 B - Butcher Terrace'!$A$12:$A$130,"&gt;="&amp;Diagram!$O41,'J1 B - Butcher Terrace'!$A$12:$A$130,"&lt;"&amp;Diagram!$P41),SUMIFS(INDIRECT(ADDRESS(12,3+18*2+(9),,,"J1 B - Butcher Terrace")&amp;":"&amp;ADDRESS(130,3+18*2+(9))),'J1 B - Butcher Terrace'!$A$12:$A$130,"&gt;="&amp;Diagram!$O41,'J1 B - Butcher Terrace'!$A$12:$A$130,"&lt;"&amp;Diagram!$P41)))</f>
        <v>11</v>
      </c>
      <c r="AO41" s="42">
        <f ca="1">IF(OR($I$10="",$O41="",$P41="",$J$36&lt;&gt;"Yes"),0,IF($K$10=0,SUMIFS(INDIRECT(ADDRESS(12,3+18*3+(1),,,"J1 B - Butcher Terrace")&amp;":"&amp;ADDRESS(130,3+18*3+(1))),'J1 B - Butcher Terrace'!$A$12:$A$130,"&gt;="&amp;Diagram!$O41,'J1 B - Butcher Terrace'!$A$12:$A$130,"&lt;"&amp;Diagram!$P41),SUMIFS(INDIRECT(ADDRESS(12,3+18*3+(9),,,"J1 B - Butcher Terrace")&amp;":"&amp;ADDRESS(130,3+18*3+(9))),'J1 B - Butcher Terrace'!$A$12:$A$130,"&gt;="&amp;Diagram!$O41,'J1 B - Butcher Terrace'!$A$12:$A$130,"&lt;"&amp;Diagram!$P41)))</f>
        <v>0</v>
      </c>
      <c r="AP41" s="42">
        <f ca="1">IF(OR($I$10="",$O41="",$P41="",$J$36&lt;&gt;"Yes"),0,IF($K$10=0,SUMIFS(INDIRECT(ADDRESS(12,3+18*0+(1),,,"J1 B - Butcher Terrace")&amp;":"&amp;ADDRESS(130,3+18*0+(1))),'J1 B - Butcher Terrace'!$A$12:$A$130,"&gt;="&amp;Diagram!$O41,'J1 B - Butcher Terrace'!$A$12:$A$130,"&lt;"&amp;Diagram!$P41),SUMIFS(INDIRECT(ADDRESS(12,3+18*0+(9),,,"J1 B - Butcher Terrace")&amp;":"&amp;ADDRESS(130,3+18*0+(9))),'J1 B - Butcher Terrace'!$A$12:$A$130,"&gt;="&amp;Diagram!$O41,'J1 B - Butcher Terrace'!$A$12:$A$130,"&lt;"&amp;Diagram!$P41)))</f>
        <v>5</v>
      </c>
      <c r="AQ41" s="42">
        <f ca="1">IF(OR($I$10="",$O41="",$P41="",$J$36&lt;&gt;"Yes"),0,IF($K$10=0,SUMIFS(INDIRECT(ADDRESS(12,3+18*1+(1),,,"J1 B - Butcher Terrace")&amp;":"&amp;ADDRESS(130,3+18*1+(1))),'J1 B - Butcher Terrace'!$A$12:$A$130,"&gt;="&amp;Diagram!$O41,'J1 B - Butcher Terrace'!$A$12:$A$130,"&lt;"&amp;Diagram!$P41),SUMIFS(INDIRECT(ADDRESS(12,3+18*1+(9),,,"J1 B - Butcher Terrace")&amp;":"&amp;ADDRESS(130,3+18*1+(9))),'J1 B - Butcher Terrace'!$A$12:$A$130,"&gt;="&amp;Diagram!$O41,'J1 B - Butcher Terrace'!$A$12:$A$130,"&lt;"&amp;Diagram!$P41)))</f>
        <v>1</v>
      </c>
      <c r="AR41" s="42">
        <f ca="1">IF(OR($I$10="",$O41="",$P41="",$J$36&lt;&gt;"Yes"),0,IF($K$10=0,SUMIFS(INDIRECT(ADDRESS(12,3+18*1+(1),,,"J1 C - (South) Bishopthorpe Roa")&amp;":"&amp;ADDRESS(130,3+18*1+(1))),'J1 C - (South) Bishopthorpe Roa'!$A$12:$A$130,"&gt;="&amp;Diagram!$O41,'J1 C - (South) Bishopthorpe Roa'!$A$12:$A$130,"&lt;"&amp;Diagram!$P41),SUMIFS(INDIRECT(ADDRESS(12,3+18*1+(9),,,"J1 C - (South) Bishopthorpe Roa")&amp;":"&amp;ADDRESS(130,3+18*1+(9))),'J1 C - (South) Bishopthorpe Roa'!$A$12:$A$130,"&gt;="&amp;Diagram!$O41,'J1 C - (South) Bishopthorpe Roa'!$A$12:$A$130,"&lt;"&amp;Diagram!$P41)))</f>
        <v>28</v>
      </c>
      <c r="AS41" s="42">
        <f ca="1">IF(OR($I$10="",$O41="",$P41="",$J$36&lt;&gt;"Yes"),0,IF($K$10=0,SUMIFS(INDIRECT(ADDRESS(12,3+18*2+(1),,,"J1 C - (South) Bishopthorpe Roa")&amp;":"&amp;ADDRESS(130,3+18*2+(1))),'J1 C - (South) Bishopthorpe Roa'!$A$12:$A$130,"&gt;="&amp;Diagram!$O41,'J1 C - (South) Bishopthorpe Roa'!$A$12:$A$130,"&lt;"&amp;Diagram!$P41),SUMIFS(INDIRECT(ADDRESS(12,3+18*2+(9),,,"J1 C - (South) Bishopthorpe Roa")&amp;":"&amp;ADDRESS(130,3+18*2+(9))),'J1 C - (South) Bishopthorpe Roa'!$A$12:$A$130,"&gt;="&amp;Diagram!$O41,'J1 C - (South) Bishopthorpe Roa'!$A$12:$A$130,"&lt;"&amp;Diagram!$P41)))</f>
        <v>1</v>
      </c>
      <c r="AT41" s="42">
        <f ca="1">IF(OR($I$10="",$O41="",$P41="",$J$36&lt;&gt;"Yes"),0,IF($K$10=0,SUMIFS(INDIRECT(ADDRESS(12,3+18*3+(1),,,"J1 C - (South) Bishopthorpe Roa")&amp;":"&amp;ADDRESS(130,3+18*3+(1))),'J1 C - (South) Bishopthorpe Roa'!$A$12:$A$130,"&gt;="&amp;Diagram!$O41,'J1 C - (South) Bishopthorpe Roa'!$A$12:$A$130,"&lt;"&amp;Diagram!$P41),SUMIFS(INDIRECT(ADDRESS(12,3+18*3+(9),,,"J1 C - (South) Bishopthorpe Roa")&amp;":"&amp;ADDRESS(130,3+18*3+(9))),'J1 C - (South) Bishopthorpe Roa'!$A$12:$A$130,"&gt;="&amp;Diagram!$O41,'J1 C - (South) Bishopthorpe Roa'!$A$12:$A$130,"&lt;"&amp;Diagram!$P41)))</f>
        <v>0</v>
      </c>
      <c r="AU41" s="42">
        <f ca="1">IF(OR($I$10="",$O41="",$P41="",$J$36&lt;&gt;"Yes"),0,IF($K$10=0,SUMIFS(INDIRECT(ADDRESS(12,3+18*0+(1),,,"J1 C - (South) Bishopthorpe Roa")&amp;":"&amp;ADDRESS(130,3+18*0+(1))),'J1 C - (South) Bishopthorpe Roa'!$A$12:$A$130,"&gt;="&amp;Diagram!$O41,'J1 C - (South) Bishopthorpe Roa'!$A$12:$A$130,"&lt;"&amp;Diagram!$P41),SUMIFS(INDIRECT(ADDRESS(12,3+18*0+(9),,,"J1 C - (South) Bishopthorpe Roa")&amp;":"&amp;ADDRESS(130,3+18*0+(9))),'J1 C - (South) Bishopthorpe Roa'!$A$12:$A$130,"&gt;="&amp;Diagram!$O41,'J1 C - (South) Bishopthorpe Roa'!$A$12:$A$130,"&lt;"&amp;Diagram!$P41)))</f>
        <v>1</v>
      </c>
      <c r="AV41" s="42">
        <f ca="1">IF(OR($I$10="",$O41="",$P41="",$J$36&lt;&gt;"Yes"),0,IF($K$10=0,SUMIFS(INDIRECT(ADDRESS(12,3+18*0+(1),,,"J1 D - South Bank Avenue")&amp;":"&amp;ADDRESS(130,3+18*0+(1))),'J1 D - South Bank Avenue'!$A$12:$A$130,"&gt;="&amp;Diagram!$O41,'J1 D - South Bank Avenue'!$A$12:$A$130,"&lt;"&amp;Diagram!$P41),SUMIFS(INDIRECT(ADDRESS(12,3+18*0+(9),,,"J1 D - South Bank Avenue")&amp;":"&amp;ADDRESS(130,3+18*0+(9))),'J1 D - South Bank Avenue'!$A$12:$A$130,"&gt;="&amp;Diagram!$O41,'J1 D - South Bank Avenue'!$A$12:$A$130,"&lt;"&amp;Diagram!$P41)))</f>
        <v>8</v>
      </c>
      <c r="AW41" s="42">
        <f ca="1">IF(OR($I$10="",$O41="",$P41="",$J$36&lt;&gt;"Yes"),0,IF($K$10=0,SUMIFS(INDIRECT(ADDRESS(12,3+18*1+(1),,,"J1 D - South Bank Avenue")&amp;":"&amp;ADDRESS(130,3+18*1+(1))),'J1 D - South Bank Avenue'!$A$12:$A$130,"&gt;="&amp;Diagram!$O41,'J1 D - South Bank Avenue'!$A$12:$A$130,"&lt;"&amp;Diagram!$P41),SUMIFS(INDIRECT(ADDRESS(12,3+18*1+(9),,,"J1 D - South Bank Avenue")&amp;":"&amp;ADDRESS(130,3+18*1+(9))),'J1 D - South Bank Avenue'!$A$12:$A$130,"&gt;="&amp;Diagram!$O41,'J1 D - South Bank Avenue'!$A$12:$A$130,"&lt;"&amp;Diagram!$P41)))</f>
        <v>0</v>
      </c>
      <c r="AX41" s="42">
        <f ca="1">IF(OR($I$10="",$O41="",$P41="",$J$36&lt;&gt;"Yes"),0,IF($K$10=0,SUMIFS(INDIRECT(ADDRESS(12,3+18*2+(1),,,"J1 D - South Bank Avenue")&amp;":"&amp;ADDRESS(130,3+18*2+(1))),'J1 D - South Bank Avenue'!$A$12:$A$130,"&gt;="&amp;Diagram!$O41,'J1 D - South Bank Avenue'!$A$12:$A$130,"&lt;"&amp;Diagram!$P41),SUMIFS(INDIRECT(ADDRESS(12,3+18*2+(9),,,"J1 D - South Bank Avenue")&amp;":"&amp;ADDRESS(130,3+18*2+(9))),'J1 D - South Bank Avenue'!$A$12:$A$130,"&gt;="&amp;Diagram!$O41,'J1 D - South Bank Avenue'!$A$12:$A$130,"&lt;"&amp;Diagram!$P41)))</f>
        <v>1</v>
      </c>
      <c r="AY41" s="42">
        <f ca="1">IF(OR($I$10="",$O41="",$P41="",$J$36&lt;&gt;"Yes"),0,IF($K$10=0,SUMIFS(INDIRECT(ADDRESS(12,3+18*3+(1),,,"J1 D - South Bank Avenue")&amp;":"&amp;ADDRESS(130,3+18*3+(1))),'J1 D - South Bank Avenue'!$A$12:$A$130,"&gt;="&amp;Diagram!$O41,'J1 D - South Bank Avenue'!$A$12:$A$130,"&lt;"&amp;Diagram!$P41),SUMIFS(INDIRECT(ADDRESS(12,3+18*3+(9),,,"J1 D - South Bank Avenue")&amp;":"&amp;ADDRESS(130,3+18*3+(9))),'J1 D - South Bank Avenue'!$A$12:$A$130,"&gt;="&amp;Diagram!$O41,'J1 D - South Bank Avenue'!$A$12:$A$130,"&lt;"&amp;Diagram!$P41)))</f>
        <v>0</v>
      </c>
      <c r="AZ41" s="42">
        <f t="shared" ca="1" si="3"/>
        <v>20</v>
      </c>
      <c r="BA41" s="42">
        <f ca="1">IF(OR($I$10="",$O41="",$P41="",$J$37&lt;&gt;"Yes"),0,IF($K$10=0,SUMIFS(INDIRECT(ADDRESS(12,3+18*3+(2),,,"J1 A - (North) Bishopthorpe Roa")&amp;":"&amp;ADDRESS(130,3+18*3+(2))),'J1 A - (North) Bishopthorpe Roa'!$A$12:$A$130,"&gt;="&amp;Diagram!$O41,'J1 A - (North) Bishopthorpe Roa'!$A$12:$A$130,"&lt;"&amp;Diagram!$P41),SUMIFS(INDIRECT(ADDRESS(12,3+18*3+(10),,,"J1 A - (North) Bishopthorpe Roa")&amp;":"&amp;ADDRESS(130,3+18*3+(10))),'J1 A - (North) Bishopthorpe Roa'!$A$12:$A$130,"&gt;="&amp;Diagram!$O41,'J1 A - (North) Bishopthorpe Roa'!$A$12:$A$130,"&lt;"&amp;Diagram!$P41)))</f>
        <v>0</v>
      </c>
      <c r="BB41" s="42">
        <f ca="1">IF(OR($I$10="",$O41="",$P41="",$J$37&lt;&gt;"Yes"),0,IF($K$10=0,SUMIFS(INDIRECT(ADDRESS(12,3+18*0+(2),,,"J1 A - (North) Bishopthorpe Roa")&amp;":"&amp;ADDRESS(130,3+18*0+(2))),'J1 A - (North) Bishopthorpe Roa'!$A$12:$A$130,"&gt;="&amp;Diagram!$O41,'J1 A - (North) Bishopthorpe Roa'!$A$12:$A$130,"&lt;"&amp;Diagram!$P41),SUMIFS(INDIRECT(ADDRESS(12,3+18*0+(10),,,"J1 A - (North) Bishopthorpe Roa")&amp;":"&amp;ADDRESS(130,3+18*0+(10))),'J1 A - (North) Bishopthorpe Roa'!$A$12:$A$130,"&gt;="&amp;Diagram!$O41,'J1 A - (North) Bishopthorpe Roa'!$A$12:$A$130,"&lt;"&amp;Diagram!$P41)))</f>
        <v>3</v>
      </c>
      <c r="BC41" s="42">
        <f ca="1">IF(OR($I$10="",$O41="",$P41="",$J$37&lt;&gt;"Yes"),0,IF($K$10=0,SUMIFS(INDIRECT(ADDRESS(12,3+18*1+(2),,,"J1 A - (North) Bishopthorpe Roa")&amp;":"&amp;ADDRESS(130,3+18*1+(2))),'J1 A - (North) Bishopthorpe Roa'!$A$12:$A$130,"&gt;="&amp;Diagram!$O41,'J1 A - (North) Bishopthorpe Roa'!$A$12:$A$130,"&lt;"&amp;Diagram!$P41),SUMIFS(INDIRECT(ADDRESS(12,3+18*1+(10),,,"J1 A - (North) Bishopthorpe Roa")&amp;":"&amp;ADDRESS(130,3+18*1+(10))),'J1 A - (North) Bishopthorpe Roa'!$A$12:$A$130,"&gt;="&amp;Diagram!$O41,'J1 A - (North) Bishopthorpe Roa'!$A$12:$A$130,"&lt;"&amp;Diagram!$P41)))</f>
        <v>7</v>
      </c>
      <c r="BD41" s="42">
        <f ca="1">IF(OR($I$10="",$O41="",$P41="",$J$37&lt;&gt;"Yes"),0,IF($K$10=0,SUMIFS(INDIRECT(ADDRESS(12,3+18*2+(2),,,"J1 A - (North) Bishopthorpe Roa")&amp;":"&amp;ADDRESS(130,3+18*2+(2))),'J1 A - (North) Bishopthorpe Roa'!$A$12:$A$130,"&gt;="&amp;Diagram!$O41,'J1 A - (North) Bishopthorpe Roa'!$A$12:$A$130,"&lt;"&amp;Diagram!$P41),SUMIFS(INDIRECT(ADDRESS(12,3+18*2+(10),,,"J1 A - (North) Bishopthorpe Roa")&amp;":"&amp;ADDRESS(130,3+18*2+(10))),'J1 A - (North) Bishopthorpe Roa'!$A$12:$A$130,"&gt;="&amp;Diagram!$O41,'J1 A - (North) Bishopthorpe Roa'!$A$12:$A$130,"&lt;"&amp;Diagram!$P41)))</f>
        <v>0</v>
      </c>
      <c r="BE41" s="42">
        <f ca="1">IF(OR($I$10="",$O41="",$P41="",$J$37&lt;&gt;"Yes"),0,IF($K$10=0,SUMIFS(INDIRECT(ADDRESS(12,3+18*2+(2),,,"J1 B - Butcher Terrace")&amp;":"&amp;ADDRESS(130,3+18*2+(2))),'J1 B - Butcher Terrace'!$A$12:$A$130,"&gt;="&amp;Diagram!$O41,'J1 B - Butcher Terrace'!$A$12:$A$130,"&lt;"&amp;Diagram!$P41),SUMIFS(INDIRECT(ADDRESS(12,3+18*2+(10),,,"J1 B - Butcher Terrace")&amp;":"&amp;ADDRESS(130,3+18*2+(10))),'J1 B - Butcher Terrace'!$A$12:$A$130,"&gt;="&amp;Diagram!$O41,'J1 B - Butcher Terrace'!$A$12:$A$130,"&lt;"&amp;Diagram!$P41)))</f>
        <v>2</v>
      </c>
      <c r="BF41" s="42">
        <f ca="1">IF(OR($I$10="",$O41="",$P41="",$J$37&lt;&gt;"Yes"),0,IF($K$10=0,SUMIFS(INDIRECT(ADDRESS(12,3+18*3+(2),,,"J1 B - Butcher Terrace")&amp;":"&amp;ADDRESS(130,3+18*3+(2))),'J1 B - Butcher Terrace'!$A$12:$A$130,"&gt;="&amp;Diagram!$O41,'J1 B - Butcher Terrace'!$A$12:$A$130,"&lt;"&amp;Diagram!$P41),SUMIFS(INDIRECT(ADDRESS(12,3+18*3+(10),,,"J1 B - Butcher Terrace")&amp;":"&amp;ADDRESS(130,3+18*3+(10))),'J1 B - Butcher Terrace'!$A$12:$A$130,"&gt;="&amp;Diagram!$O41,'J1 B - Butcher Terrace'!$A$12:$A$130,"&lt;"&amp;Diagram!$P41)))</f>
        <v>0</v>
      </c>
      <c r="BG41" s="42">
        <f ca="1">IF(OR($I$10="",$O41="",$P41="",$J$37&lt;&gt;"Yes"),0,IF($K$10=0,SUMIFS(INDIRECT(ADDRESS(12,3+18*0+(2),,,"J1 B - Butcher Terrace")&amp;":"&amp;ADDRESS(130,3+18*0+(2))),'J1 B - Butcher Terrace'!$A$12:$A$130,"&gt;="&amp;Diagram!$O41,'J1 B - Butcher Terrace'!$A$12:$A$130,"&lt;"&amp;Diagram!$P41),SUMIFS(INDIRECT(ADDRESS(12,3+18*0+(10),,,"J1 B - Butcher Terrace")&amp;":"&amp;ADDRESS(130,3+18*0+(10))),'J1 B - Butcher Terrace'!$A$12:$A$130,"&gt;="&amp;Diagram!$O41,'J1 B - Butcher Terrace'!$A$12:$A$130,"&lt;"&amp;Diagram!$P41)))</f>
        <v>0</v>
      </c>
      <c r="BH41" s="42">
        <f ca="1">IF(OR($I$10="",$O41="",$P41="",$J$37&lt;&gt;"Yes"),0,IF($K$10=0,SUMIFS(INDIRECT(ADDRESS(12,3+18*1+(2),,,"J1 B - Butcher Terrace")&amp;":"&amp;ADDRESS(130,3+18*1+(2))),'J1 B - Butcher Terrace'!$A$12:$A$130,"&gt;="&amp;Diagram!$O41,'J1 B - Butcher Terrace'!$A$12:$A$130,"&lt;"&amp;Diagram!$P41),SUMIFS(INDIRECT(ADDRESS(12,3+18*1+(10),,,"J1 B - Butcher Terrace")&amp;":"&amp;ADDRESS(130,3+18*1+(10))),'J1 B - Butcher Terrace'!$A$12:$A$130,"&gt;="&amp;Diagram!$O41,'J1 B - Butcher Terrace'!$A$12:$A$130,"&lt;"&amp;Diagram!$P41)))</f>
        <v>0</v>
      </c>
      <c r="BI41" s="42">
        <f ca="1">IF(OR($I$10="",$O41="",$P41="",$J$37&lt;&gt;"Yes"),0,IF($K$10=0,SUMIFS(INDIRECT(ADDRESS(12,3+18*1+(2),,,"J1 C - (South) Bishopthorpe Roa")&amp;":"&amp;ADDRESS(130,3+18*1+(2))),'J1 C - (South) Bishopthorpe Roa'!$A$12:$A$130,"&gt;="&amp;Diagram!$O41,'J1 C - (South) Bishopthorpe Roa'!$A$12:$A$130,"&lt;"&amp;Diagram!$P41),SUMIFS(INDIRECT(ADDRESS(12,3+18*1+(10),,,"J1 C - (South) Bishopthorpe Roa")&amp;":"&amp;ADDRESS(130,3+18*1+(10))),'J1 C - (South) Bishopthorpe Roa'!$A$12:$A$130,"&gt;="&amp;Diagram!$O41,'J1 C - (South) Bishopthorpe Roa'!$A$12:$A$130,"&lt;"&amp;Diagram!$P41)))</f>
        <v>5</v>
      </c>
      <c r="BJ41" s="42">
        <f ca="1">IF(OR($I$10="",$O41="",$P41="",$J$37&lt;&gt;"Yes"),0,IF($K$10=0,SUMIFS(INDIRECT(ADDRESS(12,3+18*2+(2),,,"J1 C - (South) Bishopthorpe Roa")&amp;":"&amp;ADDRESS(130,3+18*2+(2))),'J1 C - (South) Bishopthorpe Roa'!$A$12:$A$130,"&gt;="&amp;Diagram!$O41,'J1 C - (South) Bishopthorpe Roa'!$A$12:$A$130,"&lt;"&amp;Diagram!$P41),SUMIFS(INDIRECT(ADDRESS(12,3+18*2+(10),,,"J1 C - (South) Bishopthorpe Roa")&amp;":"&amp;ADDRESS(130,3+18*2+(10))),'J1 C - (South) Bishopthorpe Roa'!$A$12:$A$130,"&gt;="&amp;Diagram!$O41,'J1 C - (South) Bishopthorpe Roa'!$A$12:$A$130,"&lt;"&amp;Diagram!$P41)))</f>
        <v>0</v>
      </c>
      <c r="BK41" s="42">
        <f ca="1">IF(OR($I$10="",$O41="",$P41="",$J$37&lt;&gt;"Yes"),0,IF($K$10=0,SUMIFS(INDIRECT(ADDRESS(12,3+18*3+(2),,,"J1 C - (South) Bishopthorpe Roa")&amp;":"&amp;ADDRESS(130,3+18*3+(2))),'J1 C - (South) Bishopthorpe Roa'!$A$12:$A$130,"&gt;="&amp;Diagram!$O41,'J1 C - (South) Bishopthorpe Roa'!$A$12:$A$130,"&lt;"&amp;Diagram!$P41),SUMIFS(INDIRECT(ADDRESS(12,3+18*3+(10),,,"J1 C - (South) Bishopthorpe Roa")&amp;":"&amp;ADDRESS(130,3+18*3+(10))),'J1 C - (South) Bishopthorpe Roa'!$A$12:$A$130,"&gt;="&amp;Diagram!$O41,'J1 C - (South) Bishopthorpe Roa'!$A$12:$A$130,"&lt;"&amp;Diagram!$P41)))</f>
        <v>0</v>
      </c>
      <c r="BL41" s="42">
        <f ca="1">IF(OR($I$10="",$O41="",$P41="",$J$37&lt;&gt;"Yes"),0,IF($K$10=0,SUMIFS(INDIRECT(ADDRESS(12,3+18*0+(2),,,"J1 C - (South) Bishopthorpe Roa")&amp;":"&amp;ADDRESS(130,3+18*0+(2))),'J1 C - (South) Bishopthorpe Roa'!$A$12:$A$130,"&gt;="&amp;Diagram!$O41,'J1 C - (South) Bishopthorpe Roa'!$A$12:$A$130,"&lt;"&amp;Diagram!$P41),SUMIFS(INDIRECT(ADDRESS(12,3+18*0+(10),,,"J1 C - (South) Bishopthorpe Roa")&amp;":"&amp;ADDRESS(130,3+18*0+(10))),'J1 C - (South) Bishopthorpe Roa'!$A$12:$A$130,"&gt;="&amp;Diagram!$O41,'J1 C - (South) Bishopthorpe Roa'!$A$12:$A$130,"&lt;"&amp;Diagram!$P41)))</f>
        <v>2</v>
      </c>
      <c r="BM41" s="42">
        <f ca="1">IF(OR($I$10="",$O41="",$P41="",$J$37&lt;&gt;"Yes"),0,IF($K$10=0,SUMIFS(INDIRECT(ADDRESS(12,3+18*0+(2),,,"J1 D - South Bank Avenue")&amp;":"&amp;ADDRESS(130,3+18*0+(2))),'J1 D - South Bank Avenue'!$A$12:$A$130,"&gt;="&amp;Diagram!$O41,'J1 D - South Bank Avenue'!$A$12:$A$130,"&lt;"&amp;Diagram!$P41),SUMIFS(INDIRECT(ADDRESS(12,3+18*0+(10),,,"J1 D - South Bank Avenue")&amp;":"&amp;ADDRESS(130,3+18*0+(10))),'J1 D - South Bank Avenue'!$A$12:$A$130,"&gt;="&amp;Diagram!$O41,'J1 D - South Bank Avenue'!$A$12:$A$130,"&lt;"&amp;Diagram!$P41)))</f>
        <v>1</v>
      </c>
      <c r="BN41" s="42">
        <f ca="1">IF(OR($I$10="",$O41="",$P41="",$J$37&lt;&gt;"Yes"),0,IF($K$10=0,SUMIFS(INDIRECT(ADDRESS(12,3+18*1+(2),,,"J1 D - South Bank Avenue")&amp;":"&amp;ADDRESS(130,3+18*1+(2))),'J1 D - South Bank Avenue'!$A$12:$A$130,"&gt;="&amp;Diagram!$O41,'J1 D - South Bank Avenue'!$A$12:$A$130,"&lt;"&amp;Diagram!$P41),SUMIFS(INDIRECT(ADDRESS(12,3+18*1+(10),,,"J1 D - South Bank Avenue")&amp;":"&amp;ADDRESS(130,3+18*1+(10))),'J1 D - South Bank Avenue'!$A$12:$A$130,"&gt;="&amp;Diagram!$O41,'J1 D - South Bank Avenue'!$A$12:$A$130,"&lt;"&amp;Diagram!$P41)))</f>
        <v>0</v>
      </c>
      <c r="BO41" s="42">
        <f ca="1">IF(OR($I$10="",$O41="",$P41="",$J$37&lt;&gt;"Yes"),0,IF($K$10=0,SUMIFS(INDIRECT(ADDRESS(12,3+18*2+(2),,,"J1 D - South Bank Avenue")&amp;":"&amp;ADDRESS(130,3+18*2+(2))),'J1 D - South Bank Avenue'!$A$12:$A$130,"&gt;="&amp;Diagram!$O41,'J1 D - South Bank Avenue'!$A$12:$A$130,"&lt;"&amp;Diagram!$P41),SUMIFS(INDIRECT(ADDRESS(12,3+18*2+(10),,,"J1 D - South Bank Avenue")&amp;":"&amp;ADDRESS(130,3+18*2+(10))),'J1 D - South Bank Avenue'!$A$12:$A$130,"&gt;="&amp;Diagram!$O41,'J1 D - South Bank Avenue'!$A$12:$A$130,"&lt;"&amp;Diagram!$P41)))</f>
        <v>0</v>
      </c>
      <c r="BP41" s="42">
        <f ca="1">IF(OR($I$10="",$O41="",$P41="",$J$37&lt;&gt;"Yes"),0,IF($K$10=0,SUMIFS(INDIRECT(ADDRESS(12,3+18*3+(2),,,"J1 D - South Bank Avenue")&amp;":"&amp;ADDRESS(130,3+18*3+(2))),'J1 D - South Bank Avenue'!$A$12:$A$130,"&gt;="&amp;Diagram!$O41,'J1 D - South Bank Avenue'!$A$12:$A$130,"&lt;"&amp;Diagram!$P41),SUMIFS(INDIRECT(ADDRESS(12,3+18*3+(10),,,"J1 D - South Bank Avenue")&amp;":"&amp;ADDRESS(130,3+18*3+(10))),'J1 D - South Bank Avenue'!$A$12:$A$130,"&gt;="&amp;Diagram!$O41,'J1 D - South Bank Avenue'!$A$12:$A$130,"&lt;"&amp;Diagram!$P41)))</f>
        <v>0</v>
      </c>
      <c r="BQ41" s="42">
        <f t="shared" ca="1" si="4"/>
        <v>2</v>
      </c>
      <c r="BR41" s="42">
        <f ca="1">IF(OR($I$10="",$O41="",$P41="",$J$38&lt;&gt;"Yes"),0,IF($K$10=0,SUMIFS(INDIRECT(ADDRESS(12,3+18*3+(3),,,"J1 A - (North) Bishopthorpe Roa")&amp;":"&amp;ADDRESS(130,3+18*3+(3))),'J1 A - (North) Bishopthorpe Roa'!$A$12:$A$130,"&gt;="&amp;Diagram!$O41,'J1 A - (North) Bishopthorpe Roa'!$A$12:$A$130,"&lt;"&amp;Diagram!$P41),SUMIFS(INDIRECT(ADDRESS(12,3+18*3+(11),,,"J1 A - (North) Bishopthorpe Roa")&amp;":"&amp;ADDRESS(130,3+18*3+(11))),'J1 A - (North) Bishopthorpe Roa'!$A$12:$A$130,"&gt;="&amp;Diagram!$O41,'J1 A - (North) Bishopthorpe Roa'!$A$12:$A$130,"&lt;"&amp;Diagram!$P41)))</f>
        <v>0</v>
      </c>
      <c r="BS41" s="42">
        <f ca="1">IF(OR($I$10="",$O41="",$P41="",$J$38&lt;&gt;"Yes"),0,IF($K$10=0,SUMIFS(INDIRECT(ADDRESS(12,3+18*0+(3),,,"J1 A - (North) Bishopthorpe Roa")&amp;":"&amp;ADDRESS(130,3+18*0+(3))),'J1 A - (North) Bishopthorpe Roa'!$A$12:$A$130,"&gt;="&amp;Diagram!$O41,'J1 A - (North) Bishopthorpe Roa'!$A$12:$A$130,"&lt;"&amp;Diagram!$P41),SUMIFS(INDIRECT(ADDRESS(12,3+18*0+(11),,,"J1 A - (North) Bishopthorpe Roa")&amp;":"&amp;ADDRESS(130,3+18*0+(11))),'J1 A - (North) Bishopthorpe Roa'!$A$12:$A$130,"&gt;="&amp;Diagram!$O41,'J1 A - (North) Bishopthorpe Roa'!$A$12:$A$130,"&lt;"&amp;Diagram!$P41)))</f>
        <v>0</v>
      </c>
      <c r="BT41" s="42">
        <f ca="1">IF(OR($I$10="",$O41="",$P41="",$J$38&lt;&gt;"Yes"),0,IF($K$10=0,SUMIFS(INDIRECT(ADDRESS(12,3+18*1+(3),,,"J1 A - (North) Bishopthorpe Roa")&amp;":"&amp;ADDRESS(130,3+18*1+(3))),'J1 A - (North) Bishopthorpe Roa'!$A$12:$A$130,"&gt;="&amp;Diagram!$O41,'J1 A - (North) Bishopthorpe Roa'!$A$12:$A$130,"&lt;"&amp;Diagram!$P41),SUMIFS(INDIRECT(ADDRESS(12,3+18*1+(11),,,"J1 A - (North) Bishopthorpe Roa")&amp;":"&amp;ADDRESS(130,3+18*1+(11))),'J1 A - (North) Bishopthorpe Roa'!$A$12:$A$130,"&gt;="&amp;Diagram!$O41,'J1 A - (North) Bishopthorpe Roa'!$A$12:$A$130,"&lt;"&amp;Diagram!$P41)))</f>
        <v>0</v>
      </c>
      <c r="BU41" s="42">
        <f ca="1">IF(OR($I$10="",$O41="",$P41="",$J$38&lt;&gt;"Yes"),0,IF($K$10=0,SUMIFS(INDIRECT(ADDRESS(12,3+18*2+(3),,,"J1 A - (North) Bishopthorpe Roa")&amp;":"&amp;ADDRESS(130,3+18*2+(3))),'J1 A - (North) Bishopthorpe Roa'!$A$12:$A$130,"&gt;="&amp;Diagram!$O41,'J1 A - (North) Bishopthorpe Roa'!$A$12:$A$130,"&lt;"&amp;Diagram!$P41),SUMIFS(INDIRECT(ADDRESS(12,3+18*2+(11),,,"J1 A - (North) Bishopthorpe Roa")&amp;":"&amp;ADDRESS(130,3+18*2+(11))),'J1 A - (North) Bishopthorpe Roa'!$A$12:$A$130,"&gt;="&amp;Diagram!$O41,'J1 A - (North) Bishopthorpe Roa'!$A$12:$A$130,"&lt;"&amp;Diagram!$P41)))</f>
        <v>0</v>
      </c>
      <c r="BV41" s="42">
        <f ca="1">IF(OR($I$10="",$O41="",$P41="",$J$38&lt;&gt;"Yes"),0,IF($K$10=0,SUMIFS(INDIRECT(ADDRESS(12,3+18*2+(3),,,"J1 B - Butcher Terrace")&amp;":"&amp;ADDRESS(130,3+18*2+(3))),'J1 B - Butcher Terrace'!$A$12:$A$130,"&gt;="&amp;Diagram!$O41,'J1 B - Butcher Terrace'!$A$12:$A$130,"&lt;"&amp;Diagram!$P41),SUMIFS(INDIRECT(ADDRESS(12,3+18*2+(11),,,"J1 B - Butcher Terrace")&amp;":"&amp;ADDRESS(130,3+18*2+(11))),'J1 B - Butcher Terrace'!$A$12:$A$130,"&gt;="&amp;Diagram!$O41,'J1 B - Butcher Terrace'!$A$12:$A$130,"&lt;"&amp;Diagram!$P41)))</f>
        <v>0</v>
      </c>
      <c r="BW41" s="42">
        <f ca="1">IF(OR($I$10="",$O41="",$P41="",$J$38&lt;&gt;"Yes"),0,IF($K$10=0,SUMIFS(INDIRECT(ADDRESS(12,3+18*3+(3),,,"J1 B - Butcher Terrace")&amp;":"&amp;ADDRESS(130,3+18*3+(3))),'J1 B - Butcher Terrace'!$A$12:$A$130,"&gt;="&amp;Diagram!$O41,'J1 B - Butcher Terrace'!$A$12:$A$130,"&lt;"&amp;Diagram!$P41),SUMIFS(INDIRECT(ADDRESS(12,3+18*3+(11),,,"J1 B - Butcher Terrace")&amp;":"&amp;ADDRESS(130,3+18*3+(11))),'J1 B - Butcher Terrace'!$A$12:$A$130,"&gt;="&amp;Diagram!$O41,'J1 B - Butcher Terrace'!$A$12:$A$130,"&lt;"&amp;Diagram!$P41)))</f>
        <v>0</v>
      </c>
      <c r="BX41" s="42">
        <f ca="1">IF(OR($I$10="",$O41="",$P41="",$J$38&lt;&gt;"Yes"),0,IF($K$10=0,SUMIFS(INDIRECT(ADDRESS(12,3+18*0+(3),,,"J1 B - Butcher Terrace")&amp;":"&amp;ADDRESS(130,3+18*0+(3))),'J1 B - Butcher Terrace'!$A$12:$A$130,"&gt;="&amp;Diagram!$O41,'J1 B - Butcher Terrace'!$A$12:$A$130,"&lt;"&amp;Diagram!$P41),SUMIFS(INDIRECT(ADDRESS(12,3+18*0+(11),,,"J1 B - Butcher Terrace")&amp;":"&amp;ADDRESS(130,3+18*0+(11))),'J1 B - Butcher Terrace'!$A$12:$A$130,"&gt;="&amp;Diagram!$O41,'J1 B - Butcher Terrace'!$A$12:$A$130,"&lt;"&amp;Diagram!$P41)))</f>
        <v>0</v>
      </c>
      <c r="BY41" s="42">
        <f ca="1">IF(OR($I$10="",$O41="",$P41="",$J$38&lt;&gt;"Yes"),0,IF($K$10=0,SUMIFS(INDIRECT(ADDRESS(12,3+18*1+(3),,,"J1 B - Butcher Terrace")&amp;":"&amp;ADDRESS(130,3+18*1+(3))),'J1 B - Butcher Terrace'!$A$12:$A$130,"&gt;="&amp;Diagram!$O41,'J1 B - Butcher Terrace'!$A$12:$A$130,"&lt;"&amp;Diagram!$P41),SUMIFS(INDIRECT(ADDRESS(12,3+18*1+(11),,,"J1 B - Butcher Terrace")&amp;":"&amp;ADDRESS(130,3+18*1+(11))),'J1 B - Butcher Terrace'!$A$12:$A$130,"&gt;="&amp;Diagram!$O41,'J1 B - Butcher Terrace'!$A$12:$A$130,"&lt;"&amp;Diagram!$P41)))</f>
        <v>0</v>
      </c>
      <c r="BZ41" s="42">
        <f ca="1">IF(OR($I$10="",$O41="",$P41="",$J$38&lt;&gt;"Yes"),0,IF($K$10=0,SUMIFS(INDIRECT(ADDRESS(12,3+18*1+(3),,,"J1 C - (South) Bishopthorpe Roa")&amp;":"&amp;ADDRESS(130,3+18*1+(3))),'J1 C - (South) Bishopthorpe Roa'!$A$12:$A$130,"&gt;="&amp;Diagram!$O41,'J1 C - (South) Bishopthorpe Roa'!$A$12:$A$130,"&lt;"&amp;Diagram!$P41),SUMIFS(INDIRECT(ADDRESS(12,3+18*1+(11),,,"J1 C - (South) Bishopthorpe Roa")&amp;":"&amp;ADDRESS(130,3+18*1+(11))),'J1 C - (South) Bishopthorpe Roa'!$A$12:$A$130,"&gt;="&amp;Diagram!$O41,'J1 C - (South) Bishopthorpe Roa'!$A$12:$A$130,"&lt;"&amp;Diagram!$P41)))</f>
        <v>2</v>
      </c>
      <c r="CA41" s="42">
        <f ca="1">IF(OR($I$10="",$O41="",$P41="",$J$38&lt;&gt;"Yes"),0,IF($K$10=0,SUMIFS(INDIRECT(ADDRESS(12,3+18*2+(3),,,"J1 C - (South) Bishopthorpe Roa")&amp;":"&amp;ADDRESS(130,3+18*2+(3))),'J1 C - (South) Bishopthorpe Roa'!$A$12:$A$130,"&gt;="&amp;Diagram!$O41,'J1 C - (South) Bishopthorpe Roa'!$A$12:$A$130,"&lt;"&amp;Diagram!$P41),SUMIFS(INDIRECT(ADDRESS(12,3+18*2+(11),,,"J1 C - (South) Bishopthorpe Roa")&amp;":"&amp;ADDRESS(130,3+18*2+(11))),'J1 C - (South) Bishopthorpe Roa'!$A$12:$A$130,"&gt;="&amp;Diagram!$O41,'J1 C - (South) Bishopthorpe Roa'!$A$12:$A$130,"&lt;"&amp;Diagram!$P41)))</f>
        <v>0</v>
      </c>
      <c r="CB41" s="42">
        <f ca="1">IF(OR($I$10="",$O41="",$P41="",$J$38&lt;&gt;"Yes"),0,IF($K$10=0,SUMIFS(INDIRECT(ADDRESS(12,3+18*3+(3),,,"J1 C - (South) Bishopthorpe Roa")&amp;":"&amp;ADDRESS(130,3+18*3+(3))),'J1 C - (South) Bishopthorpe Roa'!$A$12:$A$130,"&gt;="&amp;Diagram!$O41,'J1 C - (South) Bishopthorpe Roa'!$A$12:$A$130,"&lt;"&amp;Diagram!$P41),SUMIFS(INDIRECT(ADDRESS(12,3+18*3+(11),,,"J1 C - (South) Bishopthorpe Roa")&amp;":"&amp;ADDRESS(130,3+18*3+(11))),'J1 C - (South) Bishopthorpe Roa'!$A$12:$A$130,"&gt;="&amp;Diagram!$O41,'J1 C - (South) Bishopthorpe Roa'!$A$12:$A$130,"&lt;"&amp;Diagram!$P41)))</f>
        <v>0</v>
      </c>
      <c r="CC41" s="42">
        <f ca="1">IF(OR($I$10="",$O41="",$P41="",$J$38&lt;&gt;"Yes"),0,IF($K$10=0,SUMIFS(INDIRECT(ADDRESS(12,3+18*0+(3),,,"J1 C - (South) Bishopthorpe Roa")&amp;":"&amp;ADDRESS(130,3+18*0+(3))),'J1 C - (South) Bishopthorpe Roa'!$A$12:$A$130,"&gt;="&amp;Diagram!$O41,'J1 C - (South) Bishopthorpe Roa'!$A$12:$A$130,"&lt;"&amp;Diagram!$P41),SUMIFS(INDIRECT(ADDRESS(12,3+18*0+(11),,,"J1 C - (South) Bishopthorpe Roa")&amp;":"&amp;ADDRESS(130,3+18*0+(11))),'J1 C - (South) Bishopthorpe Roa'!$A$12:$A$130,"&gt;="&amp;Diagram!$O41,'J1 C - (South) Bishopthorpe Roa'!$A$12:$A$130,"&lt;"&amp;Diagram!$P41)))</f>
        <v>0</v>
      </c>
      <c r="CD41" s="42">
        <f ca="1">IF(OR($I$10="",$O41="",$P41="",$J$38&lt;&gt;"Yes"),0,IF($K$10=0,SUMIFS(INDIRECT(ADDRESS(12,3+18*0+(3),,,"J1 D - South Bank Avenue")&amp;":"&amp;ADDRESS(130,3+18*0+(3))),'J1 D - South Bank Avenue'!$A$12:$A$130,"&gt;="&amp;Diagram!$O41,'J1 D - South Bank Avenue'!$A$12:$A$130,"&lt;"&amp;Diagram!$P41),SUMIFS(INDIRECT(ADDRESS(12,3+18*0+(11),,,"J1 D - South Bank Avenue")&amp;":"&amp;ADDRESS(130,3+18*0+(11))),'J1 D - South Bank Avenue'!$A$12:$A$130,"&gt;="&amp;Diagram!$O41,'J1 D - South Bank Avenue'!$A$12:$A$130,"&lt;"&amp;Diagram!$P41)))</f>
        <v>0</v>
      </c>
      <c r="CE41" s="42">
        <f ca="1">IF(OR($I$10="",$O41="",$P41="",$J$38&lt;&gt;"Yes"),0,IF($K$10=0,SUMIFS(INDIRECT(ADDRESS(12,3+18*1+(3),,,"J1 D - South Bank Avenue")&amp;":"&amp;ADDRESS(130,3+18*1+(3))),'J1 D - South Bank Avenue'!$A$12:$A$130,"&gt;="&amp;Diagram!$O41,'J1 D - South Bank Avenue'!$A$12:$A$130,"&lt;"&amp;Diagram!$P41),SUMIFS(INDIRECT(ADDRESS(12,3+18*1+(11),,,"J1 D - South Bank Avenue")&amp;":"&amp;ADDRESS(130,3+18*1+(11))),'J1 D - South Bank Avenue'!$A$12:$A$130,"&gt;="&amp;Diagram!$O41,'J1 D - South Bank Avenue'!$A$12:$A$130,"&lt;"&amp;Diagram!$P41)))</f>
        <v>0</v>
      </c>
      <c r="CF41" s="42">
        <f ca="1">IF(OR($I$10="",$O41="",$P41="",$J$38&lt;&gt;"Yes"),0,IF($K$10=0,SUMIFS(INDIRECT(ADDRESS(12,3+18*2+(3),,,"J1 D - South Bank Avenue")&amp;":"&amp;ADDRESS(130,3+18*2+(3))),'J1 D - South Bank Avenue'!$A$12:$A$130,"&gt;="&amp;Diagram!$O41,'J1 D - South Bank Avenue'!$A$12:$A$130,"&lt;"&amp;Diagram!$P41),SUMIFS(INDIRECT(ADDRESS(12,3+18*2+(11),,,"J1 D - South Bank Avenue")&amp;":"&amp;ADDRESS(130,3+18*2+(11))),'J1 D - South Bank Avenue'!$A$12:$A$130,"&gt;="&amp;Diagram!$O41,'J1 D - South Bank Avenue'!$A$12:$A$130,"&lt;"&amp;Diagram!$P41)))</f>
        <v>0</v>
      </c>
      <c r="CG41" s="42">
        <f ca="1">IF(OR($I$10="",$O41="",$P41="",$J$38&lt;&gt;"Yes"),0,IF($K$10=0,SUMIFS(INDIRECT(ADDRESS(12,3+18*3+(3),,,"J1 D - South Bank Avenue")&amp;":"&amp;ADDRESS(130,3+18*3+(3))),'J1 D - South Bank Avenue'!$A$12:$A$130,"&gt;="&amp;Diagram!$O41,'J1 D - South Bank Avenue'!$A$12:$A$130,"&lt;"&amp;Diagram!$P41),SUMIFS(INDIRECT(ADDRESS(12,3+18*3+(11),,,"J1 D - South Bank Avenue")&amp;":"&amp;ADDRESS(130,3+18*3+(11))),'J1 D - South Bank Avenue'!$A$12:$A$130,"&gt;="&amp;Diagram!$O41,'J1 D - South Bank Avenue'!$A$12:$A$130,"&lt;"&amp;Diagram!$P41)))</f>
        <v>0</v>
      </c>
      <c r="CH41" s="42">
        <f t="shared" ca="1" si="5"/>
        <v>7</v>
      </c>
      <c r="CI41" s="42">
        <f ca="1">IF(OR($I$10="",$O41="",$P41="",$J$39&lt;&gt;"Yes"),0,IF($K$10=0,SUMIFS(INDIRECT(ADDRESS(12,3+18*3+(4),,,"J1 A - (North) Bishopthorpe Roa")&amp;":"&amp;ADDRESS(130,3+18*3+(4))),'J1 A - (North) Bishopthorpe Roa'!$A$12:$A$130,"&gt;="&amp;Diagram!$O41,'J1 A - (North) Bishopthorpe Roa'!$A$12:$A$130,"&lt;"&amp;Diagram!$P41),SUMIFS(INDIRECT(ADDRESS(12,3+18*3+(12),,,"J1 A - (North) Bishopthorpe Roa")&amp;":"&amp;ADDRESS(130,3+18*3+(12))),'J1 A - (North) Bishopthorpe Roa'!$A$12:$A$130,"&gt;="&amp;Diagram!$O41,'J1 A - (North) Bishopthorpe Roa'!$A$12:$A$130,"&lt;"&amp;Diagram!$P41)))</f>
        <v>0</v>
      </c>
      <c r="CJ41" s="42">
        <f ca="1">IF(OR($I$10="",$O41="",$P41="",$J$39&lt;&gt;"Yes"),0,IF($K$10=0,SUMIFS(INDIRECT(ADDRESS(12,3+18*0+(4),,,"J1 A - (North) Bishopthorpe Roa")&amp;":"&amp;ADDRESS(130,3+18*0+(4))),'J1 A - (North) Bishopthorpe Roa'!$A$12:$A$130,"&gt;="&amp;Diagram!$O41,'J1 A - (North) Bishopthorpe Roa'!$A$12:$A$130,"&lt;"&amp;Diagram!$P41),SUMIFS(INDIRECT(ADDRESS(12,3+18*0+(12),,,"J1 A - (North) Bishopthorpe Roa")&amp;":"&amp;ADDRESS(130,3+18*0+(12))),'J1 A - (North) Bishopthorpe Roa'!$A$12:$A$130,"&gt;="&amp;Diagram!$O41,'J1 A - (North) Bishopthorpe Roa'!$A$12:$A$130,"&lt;"&amp;Diagram!$P41)))</f>
        <v>0</v>
      </c>
      <c r="CK41" s="42">
        <f ca="1">IF(OR($I$10="",$O41="",$P41="",$J$39&lt;&gt;"Yes"),0,IF($K$10=0,SUMIFS(INDIRECT(ADDRESS(12,3+18*1+(4),,,"J1 A - (North) Bishopthorpe Roa")&amp;":"&amp;ADDRESS(130,3+18*1+(4))),'J1 A - (North) Bishopthorpe Roa'!$A$12:$A$130,"&gt;="&amp;Diagram!$O41,'J1 A - (North) Bishopthorpe Roa'!$A$12:$A$130,"&lt;"&amp;Diagram!$P41),SUMIFS(INDIRECT(ADDRESS(12,3+18*1+(12),,,"J1 A - (North) Bishopthorpe Roa")&amp;":"&amp;ADDRESS(130,3+18*1+(12))),'J1 A - (North) Bishopthorpe Roa'!$A$12:$A$130,"&gt;="&amp;Diagram!$O41,'J1 A - (North) Bishopthorpe Roa'!$A$12:$A$130,"&lt;"&amp;Diagram!$P41)))</f>
        <v>3</v>
      </c>
      <c r="CL41" s="42">
        <f ca="1">IF(OR($I$10="",$O41="",$P41="",$J$39&lt;&gt;"Yes"),0,IF($K$10=0,SUMIFS(INDIRECT(ADDRESS(12,3+18*2+(4),,,"J1 A - (North) Bishopthorpe Roa")&amp;":"&amp;ADDRESS(130,3+18*2+(4))),'J1 A - (North) Bishopthorpe Roa'!$A$12:$A$130,"&gt;="&amp;Diagram!$O41,'J1 A - (North) Bishopthorpe Roa'!$A$12:$A$130,"&lt;"&amp;Diagram!$P41),SUMIFS(INDIRECT(ADDRESS(12,3+18*2+(12),,,"J1 A - (North) Bishopthorpe Roa")&amp;":"&amp;ADDRESS(130,3+18*2+(12))),'J1 A - (North) Bishopthorpe Roa'!$A$12:$A$130,"&gt;="&amp;Diagram!$O41,'J1 A - (North) Bishopthorpe Roa'!$A$12:$A$130,"&lt;"&amp;Diagram!$P41)))</f>
        <v>0</v>
      </c>
      <c r="CM41" s="42">
        <f ca="1">IF(OR($I$10="",$O41="",$P41="",$J$39&lt;&gt;"Yes"),0,IF($K$10=0,SUMIFS(INDIRECT(ADDRESS(12,3+18*2+(4),,,"J1 B - Butcher Terrace")&amp;":"&amp;ADDRESS(130,3+18*2+(4))),'J1 B - Butcher Terrace'!$A$12:$A$130,"&gt;="&amp;Diagram!$O41,'J1 B - Butcher Terrace'!$A$12:$A$130,"&lt;"&amp;Diagram!$P41),SUMIFS(INDIRECT(ADDRESS(12,3+18*2+(12),,,"J1 B - Butcher Terrace")&amp;":"&amp;ADDRESS(130,3+18*2+(12))),'J1 B - Butcher Terrace'!$A$12:$A$130,"&gt;="&amp;Diagram!$O41,'J1 B - Butcher Terrace'!$A$12:$A$130,"&lt;"&amp;Diagram!$P41)))</f>
        <v>0</v>
      </c>
      <c r="CN41" s="42">
        <f ca="1">IF(OR($I$10="",$O41="",$P41="",$J$39&lt;&gt;"Yes"),0,IF($K$10=0,SUMIFS(INDIRECT(ADDRESS(12,3+18*3+(4),,,"J1 B - Butcher Terrace")&amp;":"&amp;ADDRESS(130,3+18*3+(4))),'J1 B - Butcher Terrace'!$A$12:$A$130,"&gt;="&amp;Diagram!$O41,'J1 B - Butcher Terrace'!$A$12:$A$130,"&lt;"&amp;Diagram!$P41),SUMIFS(INDIRECT(ADDRESS(12,3+18*3+(12),,,"J1 B - Butcher Terrace")&amp;":"&amp;ADDRESS(130,3+18*3+(12))),'J1 B - Butcher Terrace'!$A$12:$A$130,"&gt;="&amp;Diagram!$O41,'J1 B - Butcher Terrace'!$A$12:$A$130,"&lt;"&amp;Diagram!$P41)))</f>
        <v>0</v>
      </c>
      <c r="CO41" s="42">
        <f ca="1">IF(OR($I$10="",$O41="",$P41="",$J$39&lt;&gt;"Yes"),0,IF($K$10=0,SUMIFS(INDIRECT(ADDRESS(12,3+18*0+(4),,,"J1 B - Butcher Terrace")&amp;":"&amp;ADDRESS(130,3+18*0+(4))),'J1 B - Butcher Terrace'!$A$12:$A$130,"&gt;="&amp;Diagram!$O41,'J1 B - Butcher Terrace'!$A$12:$A$130,"&lt;"&amp;Diagram!$P41),SUMIFS(INDIRECT(ADDRESS(12,3+18*0+(12),,,"J1 B - Butcher Terrace")&amp;":"&amp;ADDRESS(130,3+18*0+(12))),'J1 B - Butcher Terrace'!$A$12:$A$130,"&gt;="&amp;Diagram!$O41,'J1 B - Butcher Terrace'!$A$12:$A$130,"&lt;"&amp;Diagram!$P41)))</f>
        <v>0</v>
      </c>
      <c r="CP41" s="42">
        <f ca="1">IF(OR($I$10="",$O41="",$P41="",$J$39&lt;&gt;"Yes"),0,IF($K$10=0,SUMIFS(INDIRECT(ADDRESS(12,3+18*1+(4),,,"J1 B - Butcher Terrace")&amp;":"&amp;ADDRESS(130,3+18*1+(4))),'J1 B - Butcher Terrace'!$A$12:$A$130,"&gt;="&amp;Diagram!$O41,'J1 B - Butcher Terrace'!$A$12:$A$130,"&lt;"&amp;Diagram!$P41),SUMIFS(INDIRECT(ADDRESS(12,3+18*1+(12),,,"J1 B - Butcher Terrace")&amp;":"&amp;ADDRESS(130,3+18*1+(12))),'J1 B - Butcher Terrace'!$A$12:$A$130,"&gt;="&amp;Diagram!$O41,'J1 B - Butcher Terrace'!$A$12:$A$130,"&lt;"&amp;Diagram!$P41)))</f>
        <v>0</v>
      </c>
      <c r="CQ41" s="42">
        <f ca="1">IF(OR($I$10="",$O41="",$P41="",$J$39&lt;&gt;"Yes"),0,IF($K$10=0,SUMIFS(INDIRECT(ADDRESS(12,3+18*1+(4),,,"J1 C - (South) Bishopthorpe Roa")&amp;":"&amp;ADDRESS(130,3+18*1+(4))),'J1 C - (South) Bishopthorpe Roa'!$A$12:$A$130,"&gt;="&amp;Diagram!$O41,'J1 C - (South) Bishopthorpe Roa'!$A$12:$A$130,"&lt;"&amp;Diagram!$P41),SUMIFS(INDIRECT(ADDRESS(12,3+18*1+(12),,,"J1 C - (South) Bishopthorpe Roa")&amp;":"&amp;ADDRESS(130,3+18*1+(12))),'J1 C - (South) Bishopthorpe Roa'!$A$12:$A$130,"&gt;="&amp;Diagram!$O41,'J1 C - (South) Bishopthorpe Roa'!$A$12:$A$130,"&lt;"&amp;Diagram!$P41)))</f>
        <v>4</v>
      </c>
      <c r="CR41" s="42">
        <f ca="1">IF(OR($I$10="",$O41="",$P41="",$J$39&lt;&gt;"Yes"),0,IF($K$10=0,SUMIFS(INDIRECT(ADDRESS(12,3+18*2+(4),,,"J1 C - (South) Bishopthorpe Roa")&amp;":"&amp;ADDRESS(130,3+18*2+(4))),'J1 C - (South) Bishopthorpe Roa'!$A$12:$A$130,"&gt;="&amp;Diagram!$O41,'J1 C - (South) Bishopthorpe Roa'!$A$12:$A$130,"&lt;"&amp;Diagram!$P41),SUMIFS(INDIRECT(ADDRESS(12,3+18*2+(12),,,"J1 C - (South) Bishopthorpe Roa")&amp;":"&amp;ADDRESS(130,3+18*2+(12))),'J1 C - (South) Bishopthorpe Roa'!$A$12:$A$130,"&gt;="&amp;Diagram!$O41,'J1 C - (South) Bishopthorpe Roa'!$A$12:$A$130,"&lt;"&amp;Diagram!$P41)))</f>
        <v>0</v>
      </c>
      <c r="CS41" s="42">
        <f ca="1">IF(OR($I$10="",$O41="",$P41="",$J$39&lt;&gt;"Yes"),0,IF($K$10=0,SUMIFS(INDIRECT(ADDRESS(12,3+18*3+(4),,,"J1 C - (South) Bishopthorpe Roa")&amp;":"&amp;ADDRESS(130,3+18*3+(4))),'J1 C - (South) Bishopthorpe Roa'!$A$12:$A$130,"&gt;="&amp;Diagram!$O41,'J1 C - (South) Bishopthorpe Roa'!$A$12:$A$130,"&lt;"&amp;Diagram!$P41),SUMIFS(INDIRECT(ADDRESS(12,3+18*3+(12),,,"J1 C - (South) Bishopthorpe Roa")&amp;":"&amp;ADDRESS(130,3+18*3+(12))),'J1 C - (South) Bishopthorpe Roa'!$A$12:$A$130,"&gt;="&amp;Diagram!$O41,'J1 C - (South) Bishopthorpe Roa'!$A$12:$A$130,"&lt;"&amp;Diagram!$P41)))</f>
        <v>0</v>
      </c>
      <c r="CT41" s="42">
        <f ca="1">IF(OR($I$10="",$O41="",$P41="",$J$39&lt;&gt;"Yes"),0,IF($K$10=0,SUMIFS(INDIRECT(ADDRESS(12,3+18*0+(4),,,"J1 C - (South) Bishopthorpe Roa")&amp;":"&amp;ADDRESS(130,3+18*0+(4))),'J1 C - (South) Bishopthorpe Roa'!$A$12:$A$130,"&gt;="&amp;Diagram!$O41,'J1 C - (South) Bishopthorpe Roa'!$A$12:$A$130,"&lt;"&amp;Diagram!$P41),SUMIFS(INDIRECT(ADDRESS(12,3+18*0+(12),,,"J1 C - (South) Bishopthorpe Roa")&amp;":"&amp;ADDRESS(130,3+18*0+(12))),'J1 C - (South) Bishopthorpe Roa'!$A$12:$A$130,"&gt;="&amp;Diagram!$O41,'J1 C - (South) Bishopthorpe Roa'!$A$12:$A$130,"&lt;"&amp;Diagram!$P41)))</f>
        <v>0</v>
      </c>
      <c r="CU41" s="42">
        <f ca="1">IF(OR($I$10="",$O41="",$P41="",$J$39&lt;&gt;"Yes"),0,IF($K$10=0,SUMIFS(INDIRECT(ADDRESS(12,3+18*0+(4),,,"J1 D - South Bank Avenue")&amp;":"&amp;ADDRESS(130,3+18*0+(4))),'J1 D - South Bank Avenue'!$A$12:$A$130,"&gt;="&amp;Diagram!$O41,'J1 D - South Bank Avenue'!$A$12:$A$130,"&lt;"&amp;Diagram!$P41),SUMIFS(INDIRECT(ADDRESS(12,3+18*0+(12),,,"J1 D - South Bank Avenue")&amp;":"&amp;ADDRESS(130,3+18*0+(12))),'J1 D - South Bank Avenue'!$A$12:$A$130,"&gt;="&amp;Diagram!$O41,'J1 D - South Bank Avenue'!$A$12:$A$130,"&lt;"&amp;Diagram!$P41)))</f>
        <v>0</v>
      </c>
      <c r="CV41" s="42">
        <f ca="1">IF(OR($I$10="",$O41="",$P41="",$J$39&lt;&gt;"Yes"),0,IF($K$10=0,SUMIFS(INDIRECT(ADDRESS(12,3+18*1+(4),,,"J1 D - South Bank Avenue")&amp;":"&amp;ADDRESS(130,3+18*1+(4))),'J1 D - South Bank Avenue'!$A$12:$A$130,"&gt;="&amp;Diagram!$O41,'J1 D - South Bank Avenue'!$A$12:$A$130,"&lt;"&amp;Diagram!$P41),SUMIFS(INDIRECT(ADDRESS(12,3+18*1+(12),,,"J1 D - South Bank Avenue")&amp;":"&amp;ADDRESS(130,3+18*1+(12))),'J1 D - South Bank Avenue'!$A$12:$A$130,"&gt;="&amp;Diagram!$O41,'J1 D - South Bank Avenue'!$A$12:$A$130,"&lt;"&amp;Diagram!$P41)))</f>
        <v>0</v>
      </c>
      <c r="CW41" s="42">
        <f ca="1">IF(OR($I$10="",$O41="",$P41="",$J$39&lt;&gt;"Yes"),0,IF($K$10=0,SUMIFS(INDIRECT(ADDRESS(12,3+18*2+(4),,,"J1 D - South Bank Avenue")&amp;":"&amp;ADDRESS(130,3+18*2+(4))),'J1 D - South Bank Avenue'!$A$12:$A$130,"&gt;="&amp;Diagram!$O41,'J1 D - South Bank Avenue'!$A$12:$A$130,"&lt;"&amp;Diagram!$P41),SUMIFS(INDIRECT(ADDRESS(12,3+18*2+(12),,,"J1 D - South Bank Avenue")&amp;":"&amp;ADDRESS(130,3+18*2+(12))),'J1 D - South Bank Avenue'!$A$12:$A$130,"&gt;="&amp;Diagram!$O41,'J1 D - South Bank Avenue'!$A$12:$A$130,"&lt;"&amp;Diagram!$P41)))</f>
        <v>0</v>
      </c>
      <c r="CX41" s="42">
        <f ca="1">IF(OR($I$10="",$O41="",$P41="",$J$39&lt;&gt;"Yes"),0,IF($K$10=0,SUMIFS(INDIRECT(ADDRESS(12,3+18*3+(4),,,"J1 D - South Bank Avenue")&amp;":"&amp;ADDRESS(130,3+18*3+(4))),'J1 D - South Bank Avenue'!$A$12:$A$130,"&gt;="&amp;Diagram!$O41,'J1 D - South Bank Avenue'!$A$12:$A$130,"&lt;"&amp;Diagram!$P41),SUMIFS(INDIRECT(ADDRESS(12,3+18*3+(12),,,"J1 D - South Bank Avenue")&amp;":"&amp;ADDRESS(130,3+18*3+(12))),'J1 D - South Bank Avenue'!$A$12:$A$130,"&gt;="&amp;Diagram!$O41,'J1 D - South Bank Avenue'!$A$12:$A$130,"&lt;"&amp;Diagram!$P41)))</f>
        <v>0</v>
      </c>
      <c r="CY41" s="42">
        <f t="shared" ca="1" si="6"/>
        <v>95</v>
      </c>
      <c r="CZ41" s="42">
        <f ca="1">IF(OR($I$10="",$O41="",$P41="",$J$40&lt;&gt;"Yes"),0,IF($K$10=0,SUMIFS(INDIRECT(ADDRESS(12,3+18*3+(5),,,"J1 A - (North) Bishopthorpe Roa")&amp;":"&amp;ADDRESS(130,3+18*3+(5))),'J1 A - (North) Bishopthorpe Roa'!$A$12:$A$130,"&gt;="&amp;Diagram!$O41,'J1 A - (North) Bishopthorpe Roa'!$A$12:$A$130,"&lt;"&amp;Diagram!$P41),SUMIFS(INDIRECT(ADDRESS(12,3+18*3+(13),,,"J1 A - (North) Bishopthorpe Roa")&amp;":"&amp;ADDRESS(130,3+18*3+(13))),'J1 A - (North) Bishopthorpe Roa'!$A$12:$A$130,"&gt;="&amp;Diagram!$O41,'J1 A - (North) Bishopthorpe Roa'!$A$12:$A$130,"&lt;"&amp;Diagram!$P41)))</f>
        <v>0</v>
      </c>
      <c r="DA41" s="42">
        <f ca="1">IF(OR($I$10="",$O41="",$P41="",$J$40&lt;&gt;"Yes"),0,IF($K$10=0,SUMIFS(INDIRECT(ADDRESS(12,3+18*0+(5),,,"J1 A - (North) Bishopthorpe Roa")&amp;":"&amp;ADDRESS(130,3+18*0+(5))),'J1 A - (North) Bishopthorpe Roa'!$A$12:$A$130,"&gt;="&amp;Diagram!$O41,'J1 A - (North) Bishopthorpe Roa'!$A$12:$A$130,"&lt;"&amp;Diagram!$P41),SUMIFS(INDIRECT(ADDRESS(12,3+18*0+(13),,,"J1 A - (North) Bishopthorpe Roa")&amp;":"&amp;ADDRESS(130,3+18*0+(13))),'J1 A - (North) Bishopthorpe Roa'!$A$12:$A$130,"&gt;="&amp;Diagram!$O41,'J1 A - (North) Bishopthorpe Roa'!$A$12:$A$130,"&lt;"&amp;Diagram!$P41)))</f>
        <v>11</v>
      </c>
      <c r="DB41" s="42">
        <f ca="1">IF(OR($I$10="",$O41="",$P41="",$J$40&lt;&gt;"Yes"),0,IF($K$10=0,SUMIFS(INDIRECT(ADDRESS(12,3+18*1+(5),,,"J1 A - (North) Bishopthorpe Roa")&amp;":"&amp;ADDRESS(130,3+18*1+(5))),'J1 A - (North) Bishopthorpe Roa'!$A$12:$A$130,"&gt;="&amp;Diagram!$O41,'J1 A - (North) Bishopthorpe Roa'!$A$12:$A$130,"&lt;"&amp;Diagram!$P41),SUMIFS(INDIRECT(ADDRESS(12,3+18*1+(13),,,"J1 A - (North) Bishopthorpe Roa")&amp;":"&amp;ADDRESS(130,3+18*1+(13))),'J1 A - (North) Bishopthorpe Roa'!$A$12:$A$130,"&gt;="&amp;Diagram!$O41,'J1 A - (North) Bishopthorpe Roa'!$A$12:$A$130,"&lt;"&amp;Diagram!$P41)))</f>
        <v>11</v>
      </c>
      <c r="DC41" s="42">
        <f ca="1">IF(OR($I$10="",$O41="",$P41="",$J$40&lt;&gt;"Yes"),0,IF($K$10=0,SUMIFS(INDIRECT(ADDRESS(12,3+18*2+(5),,,"J1 A - (North) Bishopthorpe Roa")&amp;":"&amp;ADDRESS(130,3+18*2+(5))),'J1 A - (North) Bishopthorpe Roa'!$A$12:$A$130,"&gt;="&amp;Diagram!$O41,'J1 A - (North) Bishopthorpe Roa'!$A$12:$A$130,"&lt;"&amp;Diagram!$P41),SUMIFS(INDIRECT(ADDRESS(12,3+18*2+(13),,,"J1 A - (North) Bishopthorpe Roa")&amp;":"&amp;ADDRESS(130,3+18*2+(13))),'J1 A - (North) Bishopthorpe Roa'!$A$12:$A$130,"&gt;="&amp;Diagram!$O41,'J1 A - (North) Bishopthorpe Roa'!$A$12:$A$130,"&lt;"&amp;Diagram!$P41)))</f>
        <v>2</v>
      </c>
      <c r="DD41" s="42">
        <f ca="1">IF(OR($I$10="",$O41="",$P41="",$J$40&lt;&gt;"Yes"),0,IF($K$10=0,SUMIFS(INDIRECT(ADDRESS(12,3+18*2+(5),,,"J1 B - Butcher Terrace")&amp;":"&amp;ADDRESS(130,3+18*2+(5))),'J1 B - Butcher Terrace'!$A$12:$A$130,"&gt;="&amp;Diagram!$O41,'J1 B - Butcher Terrace'!$A$12:$A$130,"&lt;"&amp;Diagram!$P41),SUMIFS(INDIRECT(ADDRESS(12,3+18*2+(13),,,"J1 B - Butcher Terrace")&amp;":"&amp;ADDRESS(130,3+18*2+(13))),'J1 B - Butcher Terrace'!$A$12:$A$130,"&gt;="&amp;Diagram!$O41,'J1 B - Butcher Terrace'!$A$12:$A$130,"&lt;"&amp;Diagram!$P41)))</f>
        <v>9</v>
      </c>
      <c r="DE41" s="42">
        <f ca="1">IF(OR($I$10="",$O41="",$P41="",$J$40&lt;&gt;"Yes"),0,IF($K$10=0,SUMIFS(INDIRECT(ADDRESS(12,3+18*3+(5),,,"J1 B - Butcher Terrace")&amp;":"&amp;ADDRESS(130,3+18*3+(5))),'J1 B - Butcher Terrace'!$A$12:$A$130,"&gt;="&amp;Diagram!$O41,'J1 B - Butcher Terrace'!$A$12:$A$130,"&lt;"&amp;Diagram!$P41),SUMIFS(INDIRECT(ADDRESS(12,3+18*3+(13),,,"J1 B - Butcher Terrace")&amp;":"&amp;ADDRESS(130,3+18*3+(13))),'J1 B - Butcher Terrace'!$A$12:$A$130,"&gt;="&amp;Diagram!$O41,'J1 B - Butcher Terrace'!$A$12:$A$130,"&lt;"&amp;Diagram!$P41)))</f>
        <v>0</v>
      </c>
      <c r="DF41" s="42">
        <f ca="1">IF(OR($I$10="",$O41="",$P41="",$J$40&lt;&gt;"Yes"),0,IF($K$10=0,SUMIFS(INDIRECT(ADDRESS(12,3+18*0+(5),,,"J1 B - Butcher Terrace")&amp;":"&amp;ADDRESS(130,3+18*0+(5))),'J1 B - Butcher Terrace'!$A$12:$A$130,"&gt;="&amp;Diagram!$O41,'J1 B - Butcher Terrace'!$A$12:$A$130,"&lt;"&amp;Diagram!$P41),SUMIFS(INDIRECT(ADDRESS(12,3+18*0+(13),,,"J1 B - Butcher Terrace")&amp;":"&amp;ADDRESS(130,3+18*0+(13))),'J1 B - Butcher Terrace'!$A$12:$A$130,"&gt;="&amp;Diagram!$O41,'J1 B - Butcher Terrace'!$A$12:$A$130,"&lt;"&amp;Diagram!$P41)))</f>
        <v>4</v>
      </c>
      <c r="DG41" s="42">
        <f ca="1">IF(OR($I$10="",$O41="",$P41="",$J$40&lt;&gt;"Yes"),0,IF($K$10=0,SUMIFS(INDIRECT(ADDRESS(12,3+18*1+(5),,,"J1 B - Butcher Terrace")&amp;":"&amp;ADDRESS(130,3+18*1+(5))),'J1 B - Butcher Terrace'!$A$12:$A$130,"&gt;="&amp;Diagram!$O41,'J1 B - Butcher Terrace'!$A$12:$A$130,"&lt;"&amp;Diagram!$P41),SUMIFS(INDIRECT(ADDRESS(12,3+18*1+(13),,,"J1 B - Butcher Terrace")&amp;":"&amp;ADDRESS(130,3+18*1+(13))),'J1 B - Butcher Terrace'!$A$12:$A$130,"&gt;="&amp;Diagram!$O41,'J1 B - Butcher Terrace'!$A$12:$A$130,"&lt;"&amp;Diagram!$P41)))</f>
        <v>28</v>
      </c>
      <c r="DH41" s="42">
        <f ca="1">IF(OR($I$10="",$O41="",$P41="",$J$40&lt;&gt;"Yes"),0,IF($K$10=0,SUMIFS(INDIRECT(ADDRESS(12,3+18*1+(5),,,"J1 C - (South) Bishopthorpe Roa")&amp;":"&amp;ADDRESS(130,3+18*1+(5))),'J1 C - (South) Bishopthorpe Roa'!$A$12:$A$130,"&gt;="&amp;Diagram!$O41,'J1 C - (South) Bishopthorpe Roa'!$A$12:$A$130,"&lt;"&amp;Diagram!$P41),SUMIFS(INDIRECT(ADDRESS(12,3+18*1+(13),,,"J1 C - (South) Bishopthorpe Roa")&amp;":"&amp;ADDRESS(130,3+18*1+(13))),'J1 C - (South) Bishopthorpe Roa'!$A$12:$A$130,"&gt;="&amp;Diagram!$O41,'J1 C - (South) Bishopthorpe Roa'!$A$12:$A$130,"&lt;"&amp;Diagram!$P41)))</f>
        <v>8</v>
      </c>
      <c r="DI41" s="42">
        <f ca="1">IF(OR($I$10="",$O41="",$P41="",$J$40&lt;&gt;"Yes"),0,IF($K$10=0,SUMIFS(INDIRECT(ADDRESS(12,3+18*2+(5),,,"J1 C - (South) Bishopthorpe Roa")&amp;":"&amp;ADDRESS(130,3+18*2+(5))),'J1 C - (South) Bishopthorpe Roa'!$A$12:$A$130,"&gt;="&amp;Diagram!$O41,'J1 C - (South) Bishopthorpe Roa'!$A$12:$A$130,"&lt;"&amp;Diagram!$P41),SUMIFS(INDIRECT(ADDRESS(12,3+18*2+(13),,,"J1 C - (South) Bishopthorpe Roa")&amp;":"&amp;ADDRESS(130,3+18*2+(13))),'J1 C - (South) Bishopthorpe Roa'!$A$12:$A$130,"&gt;="&amp;Diagram!$O41,'J1 C - (South) Bishopthorpe Roa'!$A$12:$A$130,"&lt;"&amp;Diagram!$P41)))</f>
        <v>5</v>
      </c>
      <c r="DJ41" s="42">
        <f ca="1">IF(OR($I$10="",$O41="",$P41="",$J$40&lt;&gt;"Yes"),0,IF($K$10=0,SUMIFS(INDIRECT(ADDRESS(12,3+18*3+(5),,,"J1 C - (South) Bishopthorpe Roa")&amp;":"&amp;ADDRESS(130,3+18*3+(5))),'J1 C - (South) Bishopthorpe Roa'!$A$12:$A$130,"&gt;="&amp;Diagram!$O41,'J1 C - (South) Bishopthorpe Roa'!$A$12:$A$130,"&lt;"&amp;Diagram!$P41),SUMIFS(INDIRECT(ADDRESS(12,3+18*3+(13),,,"J1 C - (South) Bishopthorpe Roa")&amp;":"&amp;ADDRESS(130,3+18*3+(13))),'J1 C - (South) Bishopthorpe Roa'!$A$12:$A$130,"&gt;="&amp;Diagram!$O41,'J1 C - (South) Bishopthorpe Roa'!$A$12:$A$130,"&lt;"&amp;Diagram!$P41)))</f>
        <v>0</v>
      </c>
      <c r="DK41" s="42">
        <f ca="1">IF(OR($I$10="",$O41="",$P41="",$J$40&lt;&gt;"Yes"),0,IF($K$10=0,SUMIFS(INDIRECT(ADDRESS(12,3+18*0+(5),,,"J1 C - (South) Bishopthorpe Roa")&amp;":"&amp;ADDRESS(130,3+18*0+(5))),'J1 C - (South) Bishopthorpe Roa'!$A$12:$A$130,"&gt;="&amp;Diagram!$O41,'J1 C - (South) Bishopthorpe Roa'!$A$12:$A$130,"&lt;"&amp;Diagram!$P41),SUMIFS(INDIRECT(ADDRESS(12,3+18*0+(13),,,"J1 C - (South) Bishopthorpe Roa")&amp;":"&amp;ADDRESS(130,3+18*0+(13))),'J1 C - (South) Bishopthorpe Roa'!$A$12:$A$130,"&gt;="&amp;Diagram!$O41,'J1 C - (South) Bishopthorpe Roa'!$A$12:$A$130,"&lt;"&amp;Diagram!$P41)))</f>
        <v>0</v>
      </c>
      <c r="DL41" s="42">
        <f ca="1">IF(OR($I$10="",$O41="",$P41="",$J$40&lt;&gt;"Yes"),0,IF($K$10=0,SUMIFS(INDIRECT(ADDRESS(12,3+18*0+(5),,,"J1 D - South Bank Avenue")&amp;":"&amp;ADDRESS(130,3+18*0+(5))),'J1 D - South Bank Avenue'!$A$12:$A$130,"&gt;="&amp;Diagram!$O41,'J1 D - South Bank Avenue'!$A$12:$A$130,"&lt;"&amp;Diagram!$P41),SUMIFS(INDIRECT(ADDRESS(12,3+18*0+(13),,,"J1 D - South Bank Avenue")&amp;":"&amp;ADDRESS(130,3+18*0+(13))),'J1 D - South Bank Avenue'!$A$12:$A$130,"&gt;="&amp;Diagram!$O41,'J1 D - South Bank Avenue'!$A$12:$A$130,"&lt;"&amp;Diagram!$P41)))</f>
        <v>3</v>
      </c>
      <c r="DM41" s="42">
        <f ca="1">IF(OR($I$10="",$O41="",$P41="",$J$40&lt;&gt;"Yes"),0,IF($K$10=0,SUMIFS(INDIRECT(ADDRESS(12,3+18*1+(5),,,"J1 D - South Bank Avenue")&amp;":"&amp;ADDRESS(130,3+18*1+(5))),'J1 D - South Bank Avenue'!$A$12:$A$130,"&gt;="&amp;Diagram!$O41,'J1 D - South Bank Avenue'!$A$12:$A$130,"&lt;"&amp;Diagram!$P41),SUMIFS(INDIRECT(ADDRESS(12,3+18*1+(13),,,"J1 D - South Bank Avenue")&amp;":"&amp;ADDRESS(130,3+18*1+(13))),'J1 D - South Bank Avenue'!$A$12:$A$130,"&gt;="&amp;Diagram!$O41,'J1 D - South Bank Avenue'!$A$12:$A$130,"&lt;"&amp;Diagram!$P41)))</f>
        <v>14</v>
      </c>
      <c r="DN41" s="42">
        <f ca="1">IF(OR($I$10="",$O41="",$P41="",$J$40&lt;&gt;"Yes"),0,IF($K$10=0,SUMIFS(INDIRECT(ADDRESS(12,3+18*2+(5),,,"J1 D - South Bank Avenue")&amp;":"&amp;ADDRESS(130,3+18*2+(5))),'J1 D - South Bank Avenue'!$A$12:$A$130,"&gt;="&amp;Diagram!$O41,'J1 D - South Bank Avenue'!$A$12:$A$130,"&lt;"&amp;Diagram!$P41),SUMIFS(INDIRECT(ADDRESS(12,3+18*2+(13),,,"J1 D - South Bank Avenue")&amp;":"&amp;ADDRESS(130,3+18*2+(13))),'J1 D - South Bank Avenue'!$A$12:$A$130,"&gt;="&amp;Diagram!$O41,'J1 D - South Bank Avenue'!$A$12:$A$130,"&lt;"&amp;Diagram!$P41)))</f>
        <v>0</v>
      </c>
      <c r="DO41" s="42">
        <f ca="1">IF(OR($I$10="",$O41="",$P41="",$J$40&lt;&gt;"Yes"),0,IF($K$10=0,SUMIFS(INDIRECT(ADDRESS(12,3+18*3+(5),,,"J1 D - South Bank Avenue")&amp;":"&amp;ADDRESS(130,3+18*3+(5))),'J1 D - South Bank Avenue'!$A$12:$A$130,"&gt;="&amp;Diagram!$O41,'J1 D - South Bank Avenue'!$A$12:$A$130,"&lt;"&amp;Diagram!$P41),SUMIFS(INDIRECT(ADDRESS(12,3+18*3+(13),,,"J1 D - South Bank Avenue")&amp;":"&amp;ADDRESS(130,3+18*3+(13))),'J1 D - South Bank Avenue'!$A$12:$A$130,"&gt;="&amp;Diagram!$O41,'J1 D - South Bank Avenue'!$A$12:$A$130,"&lt;"&amp;Diagram!$P41)))</f>
        <v>0</v>
      </c>
      <c r="DP41" s="42">
        <f t="shared" ca="1" si="7"/>
        <v>4</v>
      </c>
      <c r="DQ41" s="42">
        <f ca="1">IF(OR($I$10="",$O41="",$P41="",$J$41&lt;&gt;"Yes"),0,IF($K$10=0,SUMIFS(INDIRECT(ADDRESS(12,3+18*3+(6),,,"J1 A - (North) Bishopthorpe Roa")&amp;":"&amp;ADDRESS(130,3+18*3+(6))),'J1 A - (North) Bishopthorpe Roa'!$A$12:$A$130,"&gt;="&amp;Diagram!$O41,'J1 A - (North) Bishopthorpe Roa'!$A$12:$A$130,"&lt;"&amp;Diagram!$P41),SUMIFS(INDIRECT(ADDRESS(12,3+18*3+(14),,,"J1 A - (North) Bishopthorpe Roa")&amp;":"&amp;ADDRESS(130,3+18*3+(14))),'J1 A - (North) Bishopthorpe Roa'!$A$12:$A$130,"&gt;="&amp;Diagram!$O41,'J1 A - (North) Bishopthorpe Roa'!$A$12:$A$130,"&lt;"&amp;Diagram!$P41)))</f>
        <v>0</v>
      </c>
      <c r="DR41" s="42">
        <f ca="1">IF(OR($I$10="",$O41="",$P41="",$J$41&lt;&gt;"Yes"),0,IF($K$10=0,SUMIFS(INDIRECT(ADDRESS(12,3+18*0+(6),,,"J1 A - (North) Bishopthorpe Roa")&amp;":"&amp;ADDRESS(130,3+18*0+(6))),'J1 A - (North) Bishopthorpe Roa'!$A$12:$A$130,"&gt;="&amp;Diagram!$O41,'J1 A - (North) Bishopthorpe Roa'!$A$12:$A$130,"&lt;"&amp;Diagram!$P41),SUMIFS(INDIRECT(ADDRESS(12,3+18*0+(14),,,"J1 A - (North) Bishopthorpe Roa")&amp;":"&amp;ADDRESS(130,3+18*0+(14))),'J1 A - (North) Bishopthorpe Roa'!$A$12:$A$130,"&gt;="&amp;Diagram!$O41,'J1 A - (North) Bishopthorpe Roa'!$A$12:$A$130,"&lt;"&amp;Diagram!$P41)))</f>
        <v>0</v>
      </c>
      <c r="DS41" s="42">
        <f ca="1">IF(OR($I$10="",$O41="",$P41="",$J$41&lt;&gt;"Yes"),0,IF($K$10=0,SUMIFS(INDIRECT(ADDRESS(12,3+18*1+(6),,,"J1 A - (North) Bishopthorpe Roa")&amp;":"&amp;ADDRESS(130,3+18*1+(6))),'J1 A - (North) Bishopthorpe Roa'!$A$12:$A$130,"&gt;="&amp;Diagram!$O41,'J1 A - (North) Bishopthorpe Roa'!$A$12:$A$130,"&lt;"&amp;Diagram!$P41),SUMIFS(INDIRECT(ADDRESS(12,3+18*1+(14),,,"J1 A - (North) Bishopthorpe Roa")&amp;":"&amp;ADDRESS(130,3+18*1+(14))),'J1 A - (North) Bishopthorpe Roa'!$A$12:$A$130,"&gt;="&amp;Diagram!$O41,'J1 A - (North) Bishopthorpe Roa'!$A$12:$A$130,"&lt;"&amp;Diagram!$P41)))</f>
        <v>3</v>
      </c>
      <c r="DT41" s="42">
        <f ca="1">IF(OR($I$10="",$O41="",$P41="",$J$41&lt;&gt;"Yes"),0,IF($K$10=0,SUMIFS(INDIRECT(ADDRESS(12,3+18*2+(6),,,"J1 A - (North) Bishopthorpe Roa")&amp;":"&amp;ADDRESS(130,3+18*2+(6))),'J1 A - (North) Bishopthorpe Roa'!$A$12:$A$130,"&gt;="&amp;Diagram!$O41,'J1 A - (North) Bishopthorpe Roa'!$A$12:$A$130,"&lt;"&amp;Diagram!$P41),SUMIFS(INDIRECT(ADDRESS(12,3+18*2+(14),,,"J1 A - (North) Bishopthorpe Roa")&amp;":"&amp;ADDRESS(130,3+18*2+(14))),'J1 A - (North) Bishopthorpe Roa'!$A$12:$A$130,"&gt;="&amp;Diagram!$O41,'J1 A - (North) Bishopthorpe Roa'!$A$12:$A$130,"&lt;"&amp;Diagram!$P41)))</f>
        <v>0</v>
      </c>
      <c r="DU41" s="42">
        <f ca="1">IF(OR($I$10="",$O41="",$P41="",$J$41&lt;&gt;"Yes"),0,IF($K$10=0,SUMIFS(INDIRECT(ADDRESS(12,3+18*2+(6),,,"J1 B - Butcher Terrace")&amp;":"&amp;ADDRESS(130,3+18*2+(6))),'J1 B - Butcher Terrace'!$A$12:$A$130,"&gt;="&amp;Diagram!$O41,'J1 B - Butcher Terrace'!$A$12:$A$130,"&lt;"&amp;Diagram!$P41),SUMIFS(INDIRECT(ADDRESS(12,3+18*2+(14),,,"J1 B - Butcher Terrace")&amp;":"&amp;ADDRESS(130,3+18*2+(14))),'J1 B - Butcher Terrace'!$A$12:$A$130,"&gt;="&amp;Diagram!$O41,'J1 B - Butcher Terrace'!$A$12:$A$130,"&lt;"&amp;Diagram!$P41)))</f>
        <v>0</v>
      </c>
      <c r="DV41" s="42">
        <f ca="1">IF(OR($I$10="",$O41="",$P41="",$J$41&lt;&gt;"Yes"),0,IF($K$10=0,SUMIFS(INDIRECT(ADDRESS(12,3+18*3+(6),,,"J1 B - Butcher Terrace")&amp;":"&amp;ADDRESS(130,3+18*3+(6))),'J1 B - Butcher Terrace'!$A$12:$A$130,"&gt;="&amp;Diagram!$O41,'J1 B - Butcher Terrace'!$A$12:$A$130,"&lt;"&amp;Diagram!$P41),SUMIFS(INDIRECT(ADDRESS(12,3+18*3+(14),,,"J1 B - Butcher Terrace")&amp;":"&amp;ADDRESS(130,3+18*3+(14))),'J1 B - Butcher Terrace'!$A$12:$A$130,"&gt;="&amp;Diagram!$O41,'J1 B - Butcher Terrace'!$A$12:$A$130,"&lt;"&amp;Diagram!$P41)))</f>
        <v>0</v>
      </c>
      <c r="DW41" s="42">
        <f ca="1">IF(OR($I$10="",$O41="",$P41="",$J$41&lt;&gt;"Yes"),0,IF($K$10=0,SUMIFS(INDIRECT(ADDRESS(12,3+18*0+(6),,,"J1 B - Butcher Terrace")&amp;":"&amp;ADDRESS(130,3+18*0+(6))),'J1 B - Butcher Terrace'!$A$12:$A$130,"&gt;="&amp;Diagram!$O41,'J1 B - Butcher Terrace'!$A$12:$A$130,"&lt;"&amp;Diagram!$P41),SUMIFS(INDIRECT(ADDRESS(12,3+18*0+(14),,,"J1 B - Butcher Terrace")&amp;":"&amp;ADDRESS(130,3+18*0+(14))),'J1 B - Butcher Terrace'!$A$12:$A$130,"&gt;="&amp;Diagram!$O41,'J1 B - Butcher Terrace'!$A$12:$A$130,"&lt;"&amp;Diagram!$P41)))</f>
        <v>0</v>
      </c>
      <c r="DX41" s="42">
        <f ca="1">IF(OR($I$10="",$O41="",$P41="",$J$41&lt;&gt;"Yes"),0,IF($K$10=0,SUMIFS(INDIRECT(ADDRESS(12,3+18*1+(6),,,"J1 B - Butcher Terrace")&amp;":"&amp;ADDRESS(130,3+18*1+(6))),'J1 B - Butcher Terrace'!$A$12:$A$130,"&gt;="&amp;Diagram!$O41,'J1 B - Butcher Terrace'!$A$12:$A$130,"&lt;"&amp;Diagram!$P41),SUMIFS(INDIRECT(ADDRESS(12,3+18*1+(14),,,"J1 B - Butcher Terrace")&amp;":"&amp;ADDRESS(130,3+18*1+(14))),'J1 B - Butcher Terrace'!$A$12:$A$130,"&gt;="&amp;Diagram!$O41,'J1 B - Butcher Terrace'!$A$12:$A$130,"&lt;"&amp;Diagram!$P41)))</f>
        <v>0</v>
      </c>
      <c r="DY41" s="42">
        <f ca="1">IF(OR($I$10="",$O41="",$P41="",$J$41&lt;&gt;"Yes"),0,IF($K$10=0,SUMIFS(INDIRECT(ADDRESS(12,3+18*1+(6),,,"J1 C - (South) Bishopthorpe Roa")&amp;":"&amp;ADDRESS(130,3+18*1+(6))),'J1 C - (South) Bishopthorpe Roa'!$A$12:$A$130,"&gt;="&amp;Diagram!$O41,'J1 C - (South) Bishopthorpe Roa'!$A$12:$A$130,"&lt;"&amp;Diagram!$P41),SUMIFS(INDIRECT(ADDRESS(12,3+18*1+(14),,,"J1 C - (South) Bishopthorpe Roa")&amp;":"&amp;ADDRESS(130,3+18*1+(14))),'J1 C - (South) Bishopthorpe Roa'!$A$12:$A$130,"&gt;="&amp;Diagram!$O41,'J1 C - (South) Bishopthorpe Roa'!$A$12:$A$130,"&lt;"&amp;Diagram!$P41)))</f>
        <v>1</v>
      </c>
      <c r="DZ41" s="42">
        <f ca="1">IF(OR($I$10="",$O41="",$P41="",$J$41&lt;&gt;"Yes"),0,IF($K$10=0,SUMIFS(INDIRECT(ADDRESS(12,3+18*2+(6),,,"J1 C - (South) Bishopthorpe Roa")&amp;":"&amp;ADDRESS(130,3+18*2+(6))),'J1 C - (South) Bishopthorpe Roa'!$A$12:$A$130,"&gt;="&amp;Diagram!$O41,'J1 C - (South) Bishopthorpe Roa'!$A$12:$A$130,"&lt;"&amp;Diagram!$P41),SUMIFS(INDIRECT(ADDRESS(12,3+18*2+(14),,,"J1 C - (South) Bishopthorpe Roa")&amp;":"&amp;ADDRESS(130,3+18*2+(14))),'J1 C - (South) Bishopthorpe Roa'!$A$12:$A$130,"&gt;="&amp;Diagram!$O41,'J1 C - (South) Bishopthorpe Roa'!$A$12:$A$130,"&lt;"&amp;Diagram!$P41)))</f>
        <v>0</v>
      </c>
      <c r="EA41" s="42">
        <f ca="1">IF(OR($I$10="",$O41="",$P41="",$J$41&lt;&gt;"Yes"),0,IF($K$10=0,SUMIFS(INDIRECT(ADDRESS(12,3+18*3+(6),,,"J1 C - (South) Bishopthorpe Roa")&amp;":"&amp;ADDRESS(130,3+18*3+(6))),'J1 C - (South) Bishopthorpe Roa'!$A$12:$A$130,"&gt;="&amp;Diagram!$O41,'J1 C - (South) Bishopthorpe Roa'!$A$12:$A$130,"&lt;"&amp;Diagram!$P41),SUMIFS(INDIRECT(ADDRESS(12,3+18*3+(14),,,"J1 C - (South) Bishopthorpe Roa")&amp;":"&amp;ADDRESS(130,3+18*3+(14))),'J1 C - (South) Bishopthorpe Roa'!$A$12:$A$130,"&gt;="&amp;Diagram!$O41,'J1 C - (South) Bishopthorpe Roa'!$A$12:$A$130,"&lt;"&amp;Diagram!$P41)))</f>
        <v>0</v>
      </c>
      <c r="EB41" s="42">
        <f ca="1">IF(OR($I$10="",$O41="",$P41="",$J$41&lt;&gt;"Yes"),0,IF($K$10=0,SUMIFS(INDIRECT(ADDRESS(12,3+18*0+(6),,,"J1 C - (South) Bishopthorpe Roa")&amp;":"&amp;ADDRESS(130,3+18*0+(6))),'J1 C - (South) Bishopthorpe Roa'!$A$12:$A$130,"&gt;="&amp;Diagram!$O41,'J1 C - (South) Bishopthorpe Roa'!$A$12:$A$130,"&lt;"&amp;Diagram!$P41),SUMIFS(INDIRECT(ADDRESS(12,3+18*0+(14),,,"J1 C - (South) Bishopthorpe Roa")&amp;":"&amp;ADDRESS(130,3+18*0+(14))),'J1 C - (South) Bishopthorpe Roa'!$A$12:$A$130,"&gt;="&amp;Diagram!$O41,'J1 C - (South) Bishopthorpe Roa'!$A$12:$A$130,"&lt;"&amp;Diagram!$P41)))</f>
        <v>0</v>
      </c>
      <c r="EC41" s="42">
        <f ca="1">IF(OR($I$10="",$O41="",$P41="",$J$41&lt;&gt;"Yes"),0,IF($K$10=0,SUMIFS(INDIRECT(ADDRESS(12,3+18*0+(6),,,"J1 D - South Bank Avenue")&amp;":"&amp;ADDRESS(130,3+18*0+(6))),'J1 D - South Bank Avenue'!$A$12:$A$130,"&gt;="&amp;Diagram!$O41,'J1 D - South Bank Avenue'!$A$12:$A$130,"&lt;"&amp;Diagram!$P41),SUMIFS(INDIRECT(ADDRESS(12,3+18*0+(14),,,"J1 D - South Bank Avenue")&amp;":"&amp;ADDRESS(130,3+18*0+(14))),'J1 D - South Bank Avenue'!$A$12:$A$130,"&gt;="&amp;Diagram!$O41,'J1 D - South Bank Avenue'!$A$12:$A$130,"&lt;"&amp;Diagram!$P41)))</f>
        <v>0</v>
      </c>
      <c r="ED41" s="42">
        <f ca="1">IF(OR($I$10="",$O41="",$P41="",$J$41&lt;&gt;"Yes"),0,IF($K$10=0,SUMIFS(INDIRECT(ADDRESS(12,3+18*1+(6),,,"J1 D - South Bank Avenue")&amp;":"&amp;ADDRESS(130,3+18*1+(6))),'J1 D - South Bank Avenue'!$A$12:$A$130,"&gt;="&amp;Diagram!$O41,'J1 D - South Bank Avenue'!$A$12:$A$130,"&lt;"&amp;Diagram!$P41),SUMIFS(INDIRECT(ADDRESS(12,3+18*1+(14),,,"J1 D - South Bank Avenue")&amp;":"&amp;ADDRESS(130,3+18*1+(14))),'J1 D - South Bank Avenue'!$A$12:$A$130,"&gt;="&amp;Diagram!$O41,'J1 D - South Bank Avenue'!$A$12:$A$130,"&lt;"&amp;Diagram!$P41)))</f>
        <v>0</v>
      </c>
      <c r="EE41" s="42">
        <f ca="1">IF(OR($I$10="",$O41="",$P41="",$J$41&lt;&gt;"Yes"),0,IF($K$10=0,SUMIFS(INDIRECT(ADDRESS(12,3+18*2+(6),,,"J1 D - South Bank Avenue")&amp;":"&amp;ADDRESS(130,3+18*2+(6))),'J1 D - South Bank Avenue'!$A$12:$A$130,"&gt;="&amp;Diagram!$O41,'J1 D - South Bank Avenue'!$A$12:$A$130,"&lt;"&amp;Diagram!$P41),SUMIFS(INDIRECT(ADDRESS(12,3+18*2+(14),,,"J1 D - South Bank Avenue")&amp;":"&amp;ADDRESS(130,3+18*2+(14))),'J1 D - South Bank Avenue'!$A$12:$A$130,"&gt;="&amp;Diagram!$O41,'J1 D - South Bank Avenue'!$A$12:$A$130,"&lt;"&amp;Diagram!$P41)))</f>
        <v>0</v>
      </c>
      <c r="EF41" s="42">
        <f ca="1">IF(OR($I$10="",$O41="",$P41="",$J$41&lt;&gt;"Yes"),0,IF($K$10=0,SUMIFS(INDIRECT(ADDRESS(12,3+18*3+(6),,,"J1 D - South Bank Avenue")&amp;":"&amp;ADDRESS(130,3+18*3+(6))),'J1 D - South Bank Avenue'!$A$12:$A$130,"&gt;="&amp;Diagram!$O41,'J1 D - South Bank Avenue'!$A$12:$A$130,"&lt;"&amp;Diagram!$P41),SUMIFS(INDIRECT(ADDRESS(12,3+18*3+(14),,,"J1 D - South Bank Avenue")&amp;":"&amp;ADDRESS(130,3+18*3+(14))),'J1 D - South Bank Avenue'!$A$12:$A$130,"&gt;="&amp;Diagram!$O41,'J1 D - South Bank Avenue'!$A$12:$A$130,"&lt;"&amp;Diagram!$P41)))</f>
        <v>0</v>
      </c>
      <c r="EG41" s="42">
        <f t="shared" ca="1" si="8"/>
        <v>7</v>
      </c>
      <c r="EH41" s="42">
        <f ca="1">IF(OR($I$10="",$O41="",$P41="",$J$42&lt;&gt;"Yes"),0,IF($K$10=0,SUMIFS(INDIRECT(ADDRESS(12,3+18*3+(7),,,"J1 A - (North) Bishopthorpe Roa")&amp;":"&amp;ADDRESS(130,3+18*3+(7))),'J1 A - (North) Bishopthorpe Roa'!$A$12:$A$130,"&gt;="&amp;Diagram!$O41,'J1 A - (North) Bishopthorpe Roa'!$A$12:$A$130,"&lt;"&amp;Diagram!$P41),SUMIFS(INDIRECT(ADDRESS(12,3+18*3+(15),,,"J1 A - (North) Bishopthorpe Roa")&amp;":"&amp;ADDRESS(130,3+18*3+(15))),'J1 A - (North) Bishopthorpe Roa'!$A$12:$A$130,"&gt;="&amp;Diagram!$O41,'J1 A - (North) Bishopthorpe Roa'!$A$12:$A$130,"&lt;"&amp;Diagram!$P41)))</f>
        <v>0</v>
      </c>
      <c r="EI41" s="42">
        <f ca="1">IF(OR($I$10="",$O41="",$P41="",$J$42&lt;&gt;"Yes"),0,IF($K$10=0,SUMIFS(INDIRECT(ADDRESS(12,3+18*0+(7),,,"J1 A - (North) Bishopthorpe Roa")&amp;":"&amp;ADDRESS(130,3+18*0+(7))),'J1 A - (North) Bishopthorpe Roa'!$A$12:$A$130,"&gt;="&amp;Diagram!$O41,'J1 A - (North) Bishopthorpe Roa'!$A$12:$A$130,"&lt;"&amp;Diagram!$P41),SUMIFS(INDIRECT(ADDRESS(12,3+18*0+(15),,,"J1 A - (North) Bishopthorpe Roa")&amp;":"&amp;ADDRESS(130,3+18*0+(15))),'J1 A - (North) Bishopthorpe Roa'!$A$12:$A$130,"&gt;="&amp;Diagram!$O41,'J1 A - (North) Bishopthorpe Roa'!$A$12:$A$130,"&lt;"&amp;Diagram!$P41)))</f>
        <v>0</v>
      </c>
      <c r="EJ41" s="42">
        <f ca="1">IF(OR($I$10="",$O41="",$P41="",$J$42&lt;&gt;"Yes"),0,IF($K$10=0,SUMIFS(INDIRECT(ADDRESS(12,3+18*1+(7),,,"J1 A - (North) Bishopthorpe Roa")&amp;":"&amp;ADDRESS(130,3+18*1+(7))),'J1 A - (North) Bishopthorpe Roa'!$A$12:$A$130,"&gt;="&amp;Diagram!$O41,'J1 A - (North) Bishopthorpe Roa'!$A$12:$A$130,"&lt;"&amp;Diagram!$P41),SUMIFS(INDIRECT(ADDRESS(12,3+18*1+(15),,,"J1 A - (North) Bishopthorpe Roa")&amp;":"&amp;ADDRESS(130,3+18*1+(15))),'J1 A - (North) Bishopthorpe Roa'!$A$12:$A$130,"&gt;="&amp;Diagram!$O41,'J1 A - (North) Bishopthorpe Roa'!$A$12:$A$130,"&lt;"&amp;Diagram!$P41)))</f>
        <v>0</v>
      </c>
      <c r="EK41" s="42">
        <f ca="1">IF(OR($I$10="",$O41="",$P41="",$J$42&lt;&gt;"Yes"),0,IF($K$10=0,SUMIFS(INDIRECT(ADDRESS(12,3+18*2+(7),,,"J1 A - (North) Bishopthorpe Roa")&amp;":"&amp;ADDRESS(130,3+18*2+(7))),'J1 A - (North) Bishopthorpe Roa'!$A$12:$A$130,"&gt;="&amp;Diagram!$O41,'J1 A - (North) Bishopthorpe Roa'!$A$12:$A$130,"&lt;"&amp;Diagram!$P41),SUMIFS(INDIRECT(ADDRESS(12,3+18*2+(15),,,"J1 A - (North) Bishopthorpe Roa")&amp;":"&amp;ADDRESS(130,3+18*2+(15))),'J1 A - (North) Bishopthorpe Roa'!$A$12:$A$130,"&gt;="&amp;Diagram!$O41,'J1 A - (North) Bishopthorpe Roa'!$A$12:$A$130,"&lt;"&amp;Diagram!$P41)))</f>
        <v>0</v>
      </c>
      <c r="EL41" s="42">
        <f ca="1">IF(OR($I$10="",$O41="",$P41="",$J$42&lt;&gt;"Yes"),0,IF($K$10=0,SUMIFS(INDIRECT(ADDRESS(12,3+18*2+(7),,,"J1 B - Butcher Terrace")&amp;":"&amp;ADDRESS(130,3+18*2+(7))),'J1 B - Butcher Terrace'!$A$12:$A$130,"&gt;="&amp;Diagram!$O41,'J1 B - Butcher Terrace'!$A$12:$A$130,"&lt;"&amp;Diagram!$P41),SUMIFS(INDIRECT(ADDRESS(12,3+18*2+(15),,,"J1 B - Butcher Terrace")&amp;":"&amp;ADDRESS(130,3+18*2+(15))),'J1 B - Butcher Terrace'!$A$12:$A$130,"&gt;="&amp;Diagram!$O41,'J1 B - Butcher Terrace'!$A$12:$A$130,"&lt;"&amp;Diagram!$P41)))</f>
        <v>3</v>
      </c>
      <c r="EM41" s="42">
        <f ca="1">IF(OR($I$10="",$O41="",$P41="",$J$42&lt;&gt;"Yes"),0,IF($K$10=0,SUMIFS(INDIRECT(ADDRESS(12,3+18*3+(7),,,"J1 B - Butcher Terrace")&amp;":"&amp;ADDRESS(130,3+18*3+(7))),'J1 B - Butcher Terrace'!$A$12:$A$130,"&gt;="&amp;Diagram!$O41,'J1 B - Butcher Terrace'!$A$12:$A$130,"&lt;"&amp;Diagram!$P41),SUMIFS(INDIRECT(ADDRESS(12,3+18*3+(15),,,"J1 B - Butcher Terrace")&amp;":"&amp;ADDRESS(130,3+18*3+(15))),'J1 B - Butcher Terrace'!$A$12:$A$130,"&gt;="&amp;Diagram!$O41,'J1 B - Butcher Terrace'!$A$12:$A$130,"&lt;"&amp;Diagram!$P41)))</f>
        <v>0</v>
      </c>
      <c r="EN41" s="42">
        <f ca="1">IF(OR($I$10="",$O41="",$P41="",$J$42&lt;&gt;"Yes"),0,IF($K$10=0,SUMIFS(INDIRECT(ADDRESS(12,3+18*0+(7),,,"J1 B - Butcher Terrace")&amp;":"&amp;ADDRESS(130,3+18*0+(7))),'J1 B - Butcher Terrace'!$A$12:$A$130,"&gt;="&amp;Diagram!$O41,'J1 B - Butcher Terrace'!$A$12:$A$130,"&lt;"&amp;Diagram!$P41),SUMIFS(INDIRECT(ADDRESS(12,3+18*0+(15),,,"J1 B - Butcher Terrace")&amp;":"&amp;ADDRESS(130,3+18*0+(15))),'J1 B - Butcher Terrace'!$A$12:$A$130,"&gt;="&amp;Diagram!$O41,'J1 B - Butcher Terrace'!$A$12:$A$130,"&lt;"&amp;Diagram!$P41)))</f>
        <v>4</v>
      </c>
      <c r="EO41" s="42">
        <f ca="1">IF(OR($I$10="",$O41="",$P41="",$J$42&lt;&gt;"Yes"),0,IF($K$10=0,SUMIFS(INDIRECT(ADDRESS(12,3+18*1+(7),,,"J1 B - Butcher Terrace")&amp;":"&amp;ADDRESS(130,3+18*1+(7))),'J1 B - Butcher Terrace'!$A$12:$A$130,"&gt;="&amp;Diagram!$O41,'J1 B - Butcher Terrace'!$A$12:$A$130,"&lt;"&amp;Diagram!$P41),SUMIFS(INDIRECT(ADDRESS(12,3+18*1+(15),,,"J1 B - Butcher Terrace")&amp;":"&amp;ADDRESS(130,3+18*1+(15))),'J1 B - Butcher Terrace'!$A$12:$A$130,"&gt;="&amp;Diagram!$O41,'J1 B - Butcher Terrace'!$A$12:$A$130,"&lt;"&amp;Diagram!$P41)))</f>
        <v>0</v>
      </c>
      <c r="EP41" s="42">
        <f ca="1">IF(OR($I$10="",$O41="",$P41="",$J$42&lt;&gt;"Yes"),0,IF($K$10=0,SUMIFS(INDIRECT(ADDRESS(12,3+18*1+(7),,,"J1 C - (South) Bishopthorpe Roa")&amp;":"&amp;ADDRESS(130,3+18*1+(7))),'J1 C - (South) Bishopthorpe Roa'!$A$12:$A$130,"&gt;="&amp;Diagram!$O41,'J1 C - (South) Bishopthorpe Roa'!$A$12:$A$130,"&lt;"&amp;Diagram!$P41),SUMIFS(INDIRECT(ADDRESS(12,3+18*1+(15),,,"J1 C - (South) Bishopthorpe Roa")&amp;":"&amp;ADDRESS(130,3+18*1+(15))),'J1 C - (South) Bishopthorpe Roa'!$A$12:$A$130,"&gt;="&amp;Diagram!$O41,'J1 C - (South) Bishopthorpe Roa'!$A$12:$A$130,"&lt;"&amp;Diagram!$P41)))</f>
        <v>0</v>
      </c>
      <c r="EQ41" s="42">
        <f ca="1">IF(OR($I$10="",$O41="",$P41="",$J$42&lt;&gt;"Yes"),0,IF($K$10=0,SUMIFS(INDIRECT(ADDRESS(12,3+18*2+(7),,,"J1 C - (South) Bishopthorpe Roa")&amp;":"&amp;ADDRESS(130,3+18*2+(7))),'J1 C - (South) Bishopthorpe Roa'!$A$12:$A$130,"&gt;="&amp;Diagram!$O41,'J1 C - (South) Bishopthorpe Roa'!$A$12:$A$130,"&lt;"&amp;Diagram!$P41),SUMIFS(INDIRECT(ADDRESS(12,3+18*2+(15),,,"J1 C - (South) Bishopthorpe Roa")&amp;":"&amp;ADDRESS(130,3+18*2+(15))),'J1 C - (South) Bishopthorpe Roa'!$A$12:$A$130,"&gt;="&amp;Diagram!$O41,'J1 C - (South) Bishopthorpe Roa'!$A$12:$A$130,"&lt;"&amp;Diagram!$P41)))</f>
        <v>0</v>
      </c>
      <c r="ER41" s="42">
        <f ca="1">IF(OR($I$10="",$O41="",$P41="",$J$42&lt;&gt;"Yes"),0,IF($K$10=0,SUMIFS(INDIRECT(ADDRESS(12,3+18*3+(7),,,"J1 C - (South) Bishopthorpe Roa")&amp;":"&amp;ADDRESS(130,3+18*3+(7))),'J1 C - (South) Bishopthorpe Roa'!$A$12:$A$130,"&gt;="&amp;Diagram!$O41,'J1 C - (South) Bishopthorpe Roa'!$A$12:$A$130,"&lt;"&amp;Diagram!$P41),SUMIFS(INDIRECT(ADDRESS(12,3+18*3+(15),,,"J1 C - (South) Bishopthorpe Roa")&amp;":"&amp;ADDRESS(130,3+18*3+(15))),'J1 C - (South) Bishopthorpe Roa'!$A$12:$A$130,"&gt;="&amp;Diagram!$O41,'J1 C - (South) Bishopthorpe Roa'!$A$12:$A$130,"&lt;"&amp;Diagram!$P41)))</f>
        <v>0</v>
      </c>
      <c r="ES41" s="42">
        <f ca="1">IF(OR($I$10="",$O41="",$P41="",$J$42&lt;&gt;"Yes"),0,IF($K$10=0,SUMIFS(INDIRECT(ADDRESS(12,3+18*0+(7),,,"J1 C - (South) Bishopthorpe Roa")&amp;":"&amp;ADDRESS(130,3+18*0+(7))),'J1 C - (South) Bishopthorpe Roa'!$A$12:$A$130,"&gt;="&amp;Diagram!$O41,'J1 C - (South) Bishopthorpe Roa'!$A$12:$A$130,"&lt;"&amp;Diagram!$P41),SUMIFS(INDIRECT(ADDRESS(12,3+18*0+(15),,,"J1 C - (South) Bishopthorpe Roa")&amp;":"&amp;ADDRESS(130,3+18*0+(15))),'J1 C - (South) Bishopthorpe Roa'!$A$12:$A$130,"&gt;="&amp;Diagram!$O41,'J1 C - (South) Bishopthorpe Roa'!$A$12:$A$130,"&lt;"&amp;Diagram!$P41)))</f>
        <v>0</v>
      </c>
      <c r="ET41" s="42">
        <f ca="1">IF(OR($I$10="",$O41="",$P41="",$J$42&lt;&gt;"Yes"),0,IF($K$10=0,SUMIFS(INDIRECT(ADDRESS(12,3+18*0+(7),,,"J1 D - South Bank Avenue")&amp;":"&amp;ADDRESS(130,3+18*0+(7))),'J1 D - South Bank Avenue'!$A$12:$A$130,"&gt;="&amp;Diagram!$O41,'J1 D - South Bank Avenue'!$A$12:$A$130,"&lt;"&amp;Diagram!$P41),SUMIFS(INDIRECT(ADDRESS(12,3+18*0+(15),,,"J1 D - South Bank Avenue")&amp;":"&amp;ADDRESS(130,3+18*0+(15))),'J1 D - South Bank Avenue'!$A$12:$A$130,"&gt;="&amp;Diagram!$O41,'J1 D - South Bank Avenue'!$A$12:$A$130,"&lt;"&amp;Diagram!$P41)))</f>
        <v>0</v>
      </c>
      <c r="EU41" s="42">
        <f ca="1">IF(OR($I$10="",$O41="",$P41="",$J$42&lt;&gt;"Yes"),0,IF($K$10=0,SUMIFS(INDIRECT(ADDRESS(12,3+18*1+(7),,,"J1 D - South Bank Avenue")&amp;":"&amp;ADDRESS(130,3+18*1+(7))),'J1 D - South Bank Avenue'!$A$12:$A$130,"&gt;="&amp;Diagram!$O41,'J1 D - South Bank Avenue'!$A$12:$A$130,"&lt;"&amp;Diagram!$P41),SUMIFS(INDIRECT(ADDRESS(12,3+18*1+(15),,,"J1 D - South Bank Avenue")&amp;":"&amp;ADDRESS(130,3+18*1+(15))),'J1 D - South Bank Avenue'!$A$12:$A$130,"&gt;="&amp;Diagram!$O41,'J1 D - South Bank Avenue'!$A$12:$A$130,"&lt;"&amp;Diagram!$P41)))</f>
        <v>0</v>
      </c>
      <c r="EV41" s="42">
        <f ca="1">IF(OR($I$10="",$O41="",$P41="",$J$42&lt;&gt;"Yes"),0,IF($K$10=0,SUMIFS(INDIRECT(ADDRESS(12,3+18*2+(7),,,"J1 D - South Bank Avenue")&amp;":"&amp;ADDRESS(130,3+18*2+(7))),'J1 D - South Bank Avenue'!$A$12:$A$130,"&gt;="&amp;Diagram!$O41,'J1 D - South Bank Avenue'!$A$12:$A$130,"&lt;"&amp;Diagram!$P41),SUMIFS(INDIRECT(ADDRESS(12,3+18*2+(15),,,"J1 D - South Bank Avenue")&amp;":"&amp;ADDRESS(130,3+18*2+(15))),'J1 D - South Bank Avenue'!$A$12:$A$130,"&gt;="&amp;Diagram!$O41,'J1 D - South Bank Avenue'!$A$12:$A$130,"&lt;"&amp;Diagram!$P41)))</f>
        <v>0</v>
      </c>
      <c r="EW41" s="42">
        <f ca="1">IF(OR($I$10="",$O41="",$P41="",$J$42&lt;&gt;"Yes"),0,IF($K$10=0,SUMIFS(INDIRECT(ADDRESS(12,3+18*3+(7),,,"J1 D - South Bank Avenue")&amp;":"&amp;ADDRESS(130,3+18*3+(7))),'J1 D - South Bank Avenue'!$A$12:$A$130,"&gt;="&amp;Diagram!$O41,'J1 D - South Bank Avenue'!$A$12:$A$130,"&lt;"&amp;Diagram!$P41),SUMIFS(INDIRECT(ADDRESS(12,3+18*3+(15),,,"J1 D - South Bank Avenue")&amp;":"&amp;ADDRESS(130,3+18*3+(15))),'J1 D - South Bank Avenue'!$A$12:$A$130,"&gt;="&amp;Diagram!$O41,'J1 D - South Bank Avenue'!$A$12:$A$130,"&lt;"&amp;Diagram!$P41)))</f>
        <v>0</v>
      </c>
    </row>
    <row r="42" spans="1:153" ht="21" customHeight="1">
      <c r="A42" s="1">
        <v>44395.427083333299</v>
      </c>
      <c r="B42" s="1">
        <v>44395.4375</v>
      </c>
      <c r="I42" s="40" t="s">
        <v>19</v>
      </c>
      <c r="J42" s="41" t="s">
        <v>166</v>
      </c>
      <c r="K42" s="13">
        <v>7</v>
      </c>
      <c r="O42" s="3">
        <v>44395.427083333299</v>
      </c>
      <c r="P42" s="3">
        <v>44395.46875</v>
      </c>
      <c r="Q42" s="42">
        <f t="shared" ca="1" si="0"/>
        <v>656</v>
      </c>
      <c r="R42" s="42">
        <f t="shared" ca="1" si="1"/>
        <v>447</v>
      </c>
      <c r="S42" s="42">
        <f ca="1">IF(OR($I$10="",$O42="",$P42="",$J$35&lt;&gt;"Yes"),0,IF($K$10=0,SUMIFS(INDIRECT(ADDRESS(12,3+18*3+(0),,,"J1 A - (North) Bishopthorpe Roa")&amp;":"&amp;ADDRESS(130,3+18*3+(0))),'J1 A - (North) Bishopthorpe Roa'!$A$12:$A$130,"&gt;="&amp;Diagram!$O42,'J1 A - (North) Bishopthorpe Roa'!$A$12:$A$130,"&lt;"&amp;Diagram!$P42),SUMIFS(INDIRECT(ADDRESS(12,3+18*3+(8),,,"J1 A - (North) Bishopthorpe Roa")&amp;":"&amp;ADDRESS(130,3+18*3+(8))),'J1 A - (North) Bishopthorpe Roa'!$A$12:$A$130,"&gt;="&amp;Diagram!$O42,'J1 A - (North) Bishopthorpe Roa'!$A$12:$A$130,"&lt;"&amp;Diagram!$P42)))</f>
        <v>0</v>
      </c>
      <c r="T42" s="42">
        <f ca="1">IF(OR($I$10="",$O42="",$P42="",$J$35&lt;&gt;"Yes"),0,IF($K$10=0,SUMIFS(INDIRECT(ADDRESS(12,3+18*0+(0),,,"J1 A - (North) Bishopthorpe Roa")&amp;":"&amp;ADDRESS(130,3+18*0+(0))),'J1 A - (North) Bishopthorpe Roa'!$A$12:$A$130,"&gt;="&amp;Diagram!$O42,'J1 A - (North) Bishopthorpe Roa'!$A$12:$A$130,"&lt;"&amp;Diagram!$P42),SUMIFS(INDIRECT(ADDRESS(12,3+18*0+(8),,,"J1 A - (North) Bishopthorpe Roa")&amp;":"&amp;ADDRESS(130,3+18*0+(8))),'J1 A - (North) Bishopthorpe Roa'!$A$12:$A$130,"&gt;="&amp;Diagram!$O42,'J1 A - (North) Bishopthorpe Roa'!$A$12:$A$130,"&lt;"&amp;Diagram!$P42)))</f>
        <v>17</v>
      </c>
      <c r="U42" s="42">
        <f ca="1">IF(OR($I$10="",$O42="",$P42="",$J$35&lt;&gt;"Yes"),0,IF($K$10=0,SUMIFS(INDIRECT(ADDRESS(12,3+18*1+(0),,,"J1 A - (North) Bishopthorpe Roa")&amp;":"&amp;ADDRESS(130,3+18*1+(0))),'J1 A - (North) Bishopthorpe Roa'!$A$12:$A$130,"&gt;="&amp;Diagram!$O42,'J1 A - (North) Bishopthorpe Roa'!$A$12:$A$130,"&lt;"&amp;Diagram!$P42),SUMIFS(INDIRECT(ADDRESS(12,3+18*1+(8),,,"J1 A - (North) Bishopthorpe Roa")&amp;":"&amp;ADDRESS(130,3+18*1+(8))),'J1 A - (North) Bishopthorpe Roa'!$A$12:$A$130,"&gt;="&amp;Diagram!$O42,'J1 A - (North) Bishopthorpe Roa'!$A$12:$A$130,"&lt;"&amp;Diagram!$P42)))</f>
        <v>174</v>
      </c>
      <c r="V42" s="42">
        <f ca="1">IF(OR($I$10="",$O42="",$P42="",$J$35&lt;&gt;"Yes"),0,IF($K$10=0,SUMIFS(INDIRECT(ADDRESS(12,3+18*2+(0),,,"J1 A - (North) Bishopthorpe Roa")&amp;":"&amp;ADDRESS(130,3+18*2+(0))),'J1 A - (North) Bishopthorpe Roa'!$A$12:$A$130,"&gt;="&amp;Diagram!$O42,'J1 A - (North) Bishopthorpe Roa'!$A$12:$A$130,"&lt;"&amp;Diagram!$P42),SUMIFS(INDIRECT(ADDRESS(12,3+18*2+(8),,,"J1 A - (North) Bishopthorpe Roa")&amp;":"&amp;ADDRESS(130,3+18*2+(8))),'J1 A - (North) Bishopthorpe Roa'!$A$12:$A$130,"&gt;="&amp;Diagram!$O42,'J1 A - (North) Bishopthorpe Roa'!$A$12:$A$130,"&lt;"&amp;Diagram!$P42)))</f>
        <v>19</v>
      </c>
      <c r="W42" s="42">
        <f ca="1">IF(OR($I$10="",$O42="",$P42="",$J$35&lt;&gt;"Yes"),0,IF($K$10=0,SUMIFS(INDIRECT(ADDRESS(12,3+18*2+(0),,,"J1 B - Butcher Terrace")&amp;":"&amp;ADDRESS(130,3+18*2+(0))),'J1 B - Butcher Terrace'!$A$12:$A$130,"&gt;="&amp;Diagram!$O42,'J1 B - Butcher Terrace'!$A$12:$A$130,"&lt;"&amp;Diagram!$P42),SUMIFS(INDIRECT(ADDRESS(12,3+18*2+(8),,,"J1 B - Butcher Terrace")&amp;":"&amp;ADDRESS(130,3+18*2+(8))),'J1 B - Butcher Terrace'!$A$12:$A$130,"&gt;="&amp;Diagram!$O42,'J1 B - Butcher Terrace'!$A$12:$A$130,"&lt;"&amp;Diagram!$P42)))</f>
        <v>11</v>
      </c>
      <c r="X42" s="42">
        <f ca="1">IF(OR($I$10="",$O42="",$P42="",$J$35&lt;&gt;"Yes"),0,IF($K$10=0,SUMIFS(INDIRECT(ADDRESS(12,3+18*3+(0),,,"J1 B - Butcher Terrace")&amp;":"&amp;ADDRESS(130,3+18*3+(0))),'J1 B - Butcher Terrace'!$A$12:$A$130,"&gt;="&amp;Diagram!$O42,'J1 B - Butcher Terrace'!$A$12:$A$130,"&lt;"&amp;Diagram!$P42),SUMIFS(INDIRECT(ADDRESS(12,3+18*3+(8),,,"J1 B - Butcher Terrace")&amp;":"&amp;ADDRESS(130,3+18*3+(8))),'J1 B - Butcher Terrace'!$A$12:$A$130,"&gt;="&amp;Diagram!$O42,'J1 B - Butcher Terrace'!$A$12:$A$130,"&lt;"&amp;Diagram!$P42)))</f>
        <v>0</v>
      </c>
      <c r="Y42" s="42">
        <f ca="1">IF(OR($I$10="",$O42="",$P42="",$J$35&lt;&gt;"Yes"),0,IF($K$10=0,SUMIFS(INDIRECT(ADDRESS(12,3+18*0+(0),,,"J1 B - Butcher Terrace")&amp;":"&amp;ADDRESS(130,3+18*0+(0))),'J1 B - Butcher Terrace'!$A$12:$A$130,"&gt;="&amp;Diagram!$O42,'J1 B - Butcher Terrace'!$A$12:$A$130,"&lt;"&amp;Diagram!$P42),SUMIFS(INDIRECT(ADDRESS(12,3+18*0+(8),,,"J1 B - Butcher Terrace")&amp;":"&amp;ADDRESS(130,3+18*0+(8))),'J1 B - Butcher Terrace'!$A$12:$A$130,"&gt;="&amp;Diagram!$O42,'J1 B - Butcher Terrace'!$A$12:$A$130,"&lt;"&amp;Diagram!$P42)))</f>
        <v>13</v>
      </c>
      <c r="Z42" s="42">
        <f ca="1">IF(OR($I$10="",$O42="",$P42="",$J$35&lt;&gt;"Yes"),0,IF($K$10=0,SUMIFS(INDIRECT(ADDRESS(12,3+18*1+(0),,,"J1 B - Butcher Terrace")&amp;":"&amp;ADDRESS(130,3+18*1+(0))),'J1 B - Butcher Terrace'!$A$12:$A$130,"&gt;="&amp;Diagram!$O42,'J1 B - Butcher Terrace'!$A$12:$A$130,"&lt;"&amp;Diagram!$P42),SUMIFS(INDIRECT(ADDRESS(12,3+18*1+(8),,,"J1 B - Butcher Terrace")&amp;":"&amp;ADDRESS(130,3+18*1+(8))),'J1 B - Butcher Terrace'!$A$12:$A$130,"&gt;="&amp;Diagram!$O42,'J1 B - Butcher Terrace'!$A$12:$A$130,"&lt;"&amp;Diagram!$P42)))</f>
        <v>0</v>
      </c>
      <c r="AA42" s="42">
        <f ca="1">IF(OR($I$10="",$O42="",$P42="",$J$35&lt;&gt;"Yes"),0,IF($K$10=0,SUMIFS(INDIRECT(ADDRESS(12,3+18*1+(0),,,"J1 C - (South) Bishopthorpe Roa")&amp;":"&amp;ADDRESS(130,3+18*1+(0))),'J1 C - (South) Bishopthorpe Roa'!$A$12:$A$130,"&gt;="&amp;Diagram!$O42,'J1 C - (South) Bishopthorpe Roa'!$A$12:$A$130,"&lt;"&amp;Diagram!$P42),SUMIFS(INDIRECT(ADDRESS(12,3+18*1+(8),,,"J1 C - (South) Bishopthorpe Roa")&amp;":"&amp;ADDRESS(130,3+18*1+(8))),'J1 C - (South) Bishopthorpe Roa'!$A$12:$A$130,"&gt;="&amp;Diagram!$O42,'J1 C - (South) Bishopthorpe Roa'!$A$12:$A$130,"&lt;"&amp;Diagram!$P42)))</f>
        <v>177</v>
      </c>
      <c r="AB42" s="42">
        <f ca="1">IF(OR($I$10="",$O42="",$P42="",$J$35&lt;&gt;"Yes"),0,IF($K$10=0,SUMIFS(INDIRECT(ADDRESS(12,3+18*2+(0),,,"J1 C - (South) Bishopthorpe Roa")&amp;":"&amp;ADDRESS(130,3+18*2+(0))),'J1 C - (South) Bishopthorpe Roa'!$A$12:$A$130,"&gt;="&amp;Diagram!$O42,'J1 C - (South) Bishopthorpe Roa'!$A$12:$A$130,"&lt;"&amp;Diagram!$P42),SUMIFS(INDIRECT(ADDRESS(12,3+18*2+(8),,,"J1 C - (South) Bishopthorpe Roa")&amp;":"&amp;ADDRESS(130,3+18*2+(8))),'J1 C - (South) Bishopthorpe Roa'!$A$12:$A$130,"&gt;="&amp;Diagram!$O42,'J1 C - (South) Bishopthorpe Roa'!$A$12:$A$130,"&lt;"&amp;Diagram!$P42)))</f>
        <v>2</v>
      </c>
      <c r="AC42" s="42">
        <f ca="1">IF(OR($I$10="",$O42="",$P42="",$J$35&lt;&gt;"Yes"),0,IF($K$10=0,SUMIFS(INDIRECT(ADDRESS(12,3+18*3+(0),,,"J1 C - (South) Bishopthorpe Roa")&amp;":"&amp;ADDRESS(130,3+18*3+(0))),'J1 C - (South) Bishopthorpe Roa'!$A$12:$A$130,"&gt;="&amp;Diagram!$O42,'J1 C - (South) Bishopthorpe Roa'!$A$12:$A$130,"&lt;"&amp;Diagram!$P42),SUMIFS(INDIRECT(ADDRESS(12,3+18*3+(8),,,"J1 C - (South) Bishopthorpe Roa")&amp;":"&amp;ADDRESS(130,3+18*3+(8))),'J1 C - (South) Bishopthorpe Roa'!$A$12:$A$130,"&gt;="&amp;Diagram!$O42,'J1 C - (South) Bishopthorpe Roa'!$A$12:$A$130,"&lt;"&amp;Diagram!$P42)))</f>
        <v>0</v>
      </c>
      <c r="AD42" s="42">
        <f ca="1">IF(OR($I$10="",$O42="",$P42="",$J$35&lt;&gt;"Yes"),0,IF($K$10=0,SUMIFS(INDIRECT(ADDRESS(12,3+18*0+(0),,,"J1 C - (South) Bishopthorpe Roa")&amp;":"&amp;ADDRESS(130,3+18*0+(0))),'J1 C - (South) Bishopthorpe Roa'!$A$12:$A$130,"&gt;="&amp;Diagram!$O42,'J1 C - (South) Bishopthorpe Roa'!$A$12:$A$130,"&lt;"&amp;Diagram!$P42),SUMIFS(INDIRECT(ADDRESS(12,3+18*0+(8),,,"J1 C - (South) Bishopthorpe Roa")&amp;":"&amp;ADDRESS(130,3+18*0+(8))),'J1 C - (South) Bishopthorpe Roa'!$A$12:$A$130,"&gt;="&amp;Diagram!$O42,'J1 C - (South) Bishopthorpe Roa'!$A$12:$A$130,"&lt;"&amp;Diagram!$P42)))</f>
        <v>9</v>
      </c>
      <c r="AE42" s="42">
        <f ca="1">IF(OR($I$10="",$O42="",$P42="",$J$35&lt;&gt;"Yes"),0,IF($K$10=0,SUMIFS(INDIRECT(ADDRESS(12,3+18*0+(0),,,"J1 D - South Bank Avenue")&amp;":"&amp;ADDRESS(130,3+18*0+(0))),'J1 D - South Bank Avenue'!$A$12:$A$130,"&gt;="&amp;Diagram!$O42,'J1 D - South Bank Avenue'!$A$12:$A$130,"&lt;"&amp;Diagram!$P42),SUMIFS(INDIRECT(ADDRESS(12,3+18*0+(8),,,"J1 D - South Bank Avenue")&amp;":"&amp;ADDRESS(130,3+18*0+(8))),'J1 D - South Bank Avenue'!$A$12:$A$130,"&gt;="&amp;Diagram!$O42,'J1 D - South Bank Avenue'!$A$12:$A$130,"&lt;"&amp;Diagram!$P42)))</f>
        <v>22</v>
      </c>
      <c r="AF42" s="42">
        <f ca="1">IF(OR($I$10="",$O42="",$P42="",$J$35&lt;&gt;"Yes"),0,IF($K$10=0,SUMIFS(INDIRECT(ADDRESS(12,3+18*1+(0),,,"J1 D - South Bank Avenue")&amp;":"&amp;ADDRESS(130,3+18*1+(0))),'J1 D - South Bank Avenue'!$A$12:$A$130,"&gt;="&amp;Diagram!$O42,'J1 D - South Bank Avenue'!$A$12:$A$130,"&lt;"&amp;Diagram!$P42),SUMIFS(INDIRECT(ADDRESS(12,3+18*1+(8),,,"J1 D - South Bank Avenue")&amp;":"&amp;ADDRESS(130,3+18*1+(8))),'J1 D - South Bank Avenue'!$A$12:$A$130,"&gt;="&amp;Diagram!$O42,'J1 D - South Bank Avenue'!$A$12:$A$130,"&lt;"&amp;Diagram!$P42)))</f>
        <v>0</v>
      </c>
      <c r="AG42" s="42">
        <f ca="1">IF(OR($I$10="",$O42="",$P42="",$J$35&lt;&gt;"Yes"),0,IF($K$10=0,SUMIFS(INDIRECT(ADDRESS(12,3+18*2+(0),,,"J1 D - South Bank Avenue")&amp;":"&amp;ADDRESS(130,3+18*2+(0))),'J1 D - South Bank Avenue'!$A$12:$A$130,"&gt;="&amp;Diagram!$O42,'J1 D - South Bank Avenue'!$A$12:$A$130,"&lt;"&amp;Diagram!$P42),SUMIFS(INDIRECT(ADDRESS(12,3+18*2+(8),,,"J1 D - South Bank Avenue")&amp;":"&amp;ADDRESS(130,3+18*2+(8))),'J1 D - South Bank Avenue'!$A$12:$A$130,"&gt;="&amp;Diagram!$O42,'J1 D - South Bank Avenue'!$A$12:$A$130,"&lt;"&amp;Diagram!$P42)))</f>
        <v>3</v>
      </c>
      <c r="AH42" s="42">
        <f ca="1">IF(OR($I$10="",$O42="",$P42="",$J$35&lt;&gt;"Yes"),0,IF($K$10=0,SUMIFS(INDIRECT(ADDRESS(12,3+18*3+(0),,,"J1 D - South Bank Avenue")&amp;":"&amp;ADDRESS(130,3+18*3+(0))),'J1 D - South Bank Avenue'!$A$12:$A$130,"&gt;="&amp;Diagram!$O42,'J1 D - South Bank Avenue'!$A$12:$A$130,"&lt;"&amp;Diagram!$P42),SUMIFS(INDIRECT(ADDRESS(12,3+18*3+(8),,,"J1 D - South Bank Avenue")&amp;":"&amp;ADDRESS(130,3+18*3+(8))),'J1 D - South Bank Avenue'!$A$12:$A$130,"&gt;="&amp;Diagram!$O42,'J1 D - South Bank Avenue'!$A$12:$A$130,"&lt;"&amp;Diagram!$P42)))</f>
        <v>0</v>
      </c>
      <c r="AI42" s="42">
        <f t="shared" ca="1" si="2"/>
        <v>86</v>
      </c>
      <c r="AJ42" s="42">
        <f ca="1">IF(OR($I$10="",$O42="",$P42="",$J$36&lt;&gt;"Yes"),0,IF($K$10=0,SUMIFS(INDIRECT(ADDRESS(12,3+18*3+(1),,,"J1 A - (North) Bishopthorpe Roa")&amp;":"&amp;ADDRESS(130,3+18*3+(1))),'J1 A - (North) Bishopthorpe Roa'!$A$12:$A$130,"&gt;="&amp;Diagram!$O42,'J1 A - (North) Bishopthorpe Roa'!$A$12:$A$130,"&lt;"&amp;Diagram!$P42),SUMIFS(INDIRECT(ADDRESS(12,3+18*3+(9),,,"J1 A - (North) Bishopthorpe Roa")&amp;":"&amp;ADDRESS(130,3+18*3+(9))),'J1 A - (North) Bishopthorpe Roa'!$A$12:$A$130,"&gt;="&amp;Diagram!$O42,'J1 A - (North) Bishopthorpe Roa'!$A$12:$A$130,"&lt;"&amp;Diagram!$P42)))</f>
        <v>0</v>
      </c>
      <c r="AK42" s="42">
        <f ca="1">IF(OR($I$10="",$O42="",$P42="",$J$36&lt;&gt;"Yes"),0,IF($K$10=0,SUMIFS(INDIRECT(ADDRESS(12,3+18*0+(1),,,"J1 A - (North) Bishopthorpe Roa")&amp;":"&amp;ADDRESS(130,3+18*0+(1))),'J1 A - (North) Bishopthorpe Roa'!$A$12:$A$130,"&gt;="&amp;Diagram!$O42,'J1 A - (North) Bishopthorpe Roa'!$A$12:$A$130,"&lt;"&amp;Diagram!$P42),SUMIFS(INDIRECT(ADDRESS(12,3+18*0+(9),,,"J1 A - (North) Bishopthorpe Roa")&amp;":"&amp;ADDRESS(130,3+18*0+(9))),'J1 A - (North) Bishopthorpe Roa'!$A$12:$A$130,"&gt;="&amp;Diagram!$O42,'J1 A - (North) Bishopthorpe Roa'!$A$12:$A$130,"&lt;"&amp;Diagram!$P42)))</f>
        <v>3</v>
      </c>
      <c r="AL42" s="42">
        <f ca="1">IF(OR($I$10="",$O42="",$P42="",$J$36&lt;&gt;"Yes"),0,IF($K$10=0,SUMIFS(INDIRECT(ADDRESS(12,3+18*1+(1),,,"J1 A - (North) Bishopthorpe Roa")&amp;":"&amp;ADDRESS(130,3+18*1+(1))),'J1 A - (North) Bishopthorpe Roa'!$A$12:$A$130,"&gt;="&amp;Diagram!$O42,'J1 A - (North) Bishopthorpe Roa'!$A$12:$A$130,"&lt;"&amp;Diagram!$P42),SUMIFS(INDIRECT(ADDRESS(12,3+18*1+(9),,,"J1 A - (North) Bishopthorpe Roa")&amp;":"&amp;ADDRESS(130,3+18*1+(9))),'J1 A - (North) Bishopthorpe Roa'!$A$12:$A$130,"&gt;="&amp;Diagram!$O42,'J1 A - (North) Bishopthorpe Roa'!$A$12:$A$130,"&lt;"&amp;Diagram!$P42)))</f>
        <v>30</v>
      </c>
      <c r="AM42" s="42">
        <f ca="1">IF(OR($I$10="",$O42="",$P42="",$J$36&lt;&gt;"Yes"),0,IF($K$10=0,SUMIFS(INDIRECT(ADDRESS(12,3+18*2+(1),,,"J1 A - (North) Bishopthorpe Roa")&amp;":"&amp;ADDRESS(130,3+18*2+(1))),'J1 A - (North) Bishopthorpe Roa'!$A$12:$A$130,"&gt;="&amp;Diagram!$O42,'J1 A - (North) Bishopthorpe Roa'!$A$12:$A$130,"&lt;"&amp;Diagram!$P42),SUMIFS(INDIRECT(ADDRESS(12,3+18*2+(9),,,"J1 A - (North) Bishopthorpe Roa")&amp;":"&amp;ADDRESS(130,3+18*2+(9))),'J1 A - (North) Bishopthorpe Roa'!$A$12:$A$130,"&gt;="&amp;Diagram!$O42,'J1 A - (North) Bishopthorpe Roa'!$A$12:$A$130,"&lt;"&amp;Diagram!$P42)))</f>
        <v>5</v>
      </c>
      <c r="AN42" s="42">
        <f ca="1">IF(OR($I$10="",$O42="",$P42="",$J$36&lt;&gt;"Yes"),0,IF($K$10=0,SUMIFS(INDIRECT(ADDRESS(12,3+18*2+(1),,,"J1 B - Butcher Terrace")&amp;":"&amp;ADDRESS(130,3+18*2+(1))),'J1 B - Butcher Terrace'!$A$12:$A$130,"&gt;="&amp;Diagram!$O42,'J1 B - Butcher Terrace'!$A$12:$A$130,"&lt;"&amp;Diagram!$P42),SUMIFS(INDIRECT(ADDRESS(12,3+18*2+(9),,,"J1 B - Butcher Terrace")&amp;":"&amp;ADDRESS(130,3+18*2+(9))),'J1 B - Butcher Terrace'!$A$12:$A$130,"&gt;="&amp;Diagram!$O42,'J1 B - Butcher Terrace'!$A$12:$A$130,"&lt;"&amp;Diagram!$P42)))</f>
        <v>10</v>
      </c>
      <c r="AO42" s="42">
        <f ca="1">IF(OR($I$10="",$O42="",$P42="",$J$36&lt;&gt;"Yes"),0,IF($K$10=0,SUMIFS(INDIRECT(ADDRESS(12,3+18*3+(1),,,"J1 B - Butcher Terrace")&amp;":"&amp;ADDRESS(130,3+18*3+(1))),'J1 B - Butcher Terrace'!$A$12:$A$130,"&gt;="&amp;Diagram!$O42,'J1 B - Butcher Terrace'!$A$12:$A$130,"&lt;"&amp;Diagram!$P42),SUMIFS(INDIRECT(ADDRESS(12,3+18*3+(9),,,"J1 B - Butcher Terrace")&amp;":"&amp;ADDRESS(130,3+18*3+(9))),'J1 B - Butcher Terrace'!$A$12:$A$130,"&gt;="&amp;Diagram!$O42,'J1 B - Butcher Terrace'!$A$12:$A$130,"&lt;"&amp;Diagram!$P42)))</f>
        <v>0</v>
      </c>
      <c r="AP42" s="42">
        <f ca="1">IF(OR($I$10="",$O42="",$P42="",$J$36&lt;&gt;"Yes"),0,IF($K$10=0,SUMIFS(INDIRECT(ADDRESS(12,3+18*0+(1),,,"J1 B - Butcher Terrace")&amp;":"&amp;ADDRESS(130,3+18*0+(1))),'J1 B - Butcher Terrace'!$A$12:$A$130,"&gt;="&amp;Diagram!$O42,'J1 B - Butcher Terrace'!$A$12:$A$130,"&lt;"&amp;Diagram!$P42),SUMIFS(INDIRECT(ADDRESS(12,3+18*0+(9),,,"J1 B - Butcher Terrace")&amp;":"&amp;ADDRESS(130,3+18*0+(9))),'J1 B - Butcher Terrace'!$A$12:$A$130,"&gt;="&amp;Diagram!$O42,'J1 B - Butcher Terrace'!$A$12:$A$130,"&lt;"&amp;Diagram!$P42)))</f>
        <v>4</v>
      </c>
      <c r="AQ42" s="42">
        <f ca="1">IF(OR($I$10="",$O42="",$P42="",$J$36&lt;&gt;"Yes"),0,IF($K$10=0,SUMIFS(INDIRECT(ADDRESS(12,3+18*1+(1),,,"J1 B - Butcher Terrace")&amp;":"&amp;ADDRESS(130,3+18*1+(1))),'J1 B - Butcher Terrace'!$A$12:$A$130,"&gt;="&amp;Diagram!$O42,'J1 B - Butcher Terrace'!$A$12:$A$130,"&lt;"&amp;Diagram!$P42),SUMIFS(INDIRECT(ADDRESS(12,3+18*1+(9),,,"J1 B - Butcher Terrace")&amp;":"&amp;ADDRESS(130,3+18*1+(9))),'J1 B - Butcher Terrace'!$A$12:$A$130,"&gt;="&amp;Diagram!$O42,'J1 B - Butcher Terrace'!$A$12:$A$130,"&lt;"&amp;Diagram!$P42)))</f>
        <v>0</v>
      </c>
      <c r="AR42" s="42">
        <f ca="1">IF(OR($I$10="",$O42="",$P42="",$J$36&lt;&gt;"Yes"),0,IF($K$10=0,SUMIFS(INDIRECT(ADDRESS(12,3+18*1+(1),,,"J1 C - (South) Bishopthorpe Roa")&amp;":"&amp;ADDRESS(130,3+18*1+(1))),'J1 C - (South) Bishopthorpe Roa'!$A$12:$A$130,"&gt;="&amp;Diagram!$O42,'J1 C - (South) Bishopthorpe Roa'!$A$12:$A$130,"&lt;"&amp;Diagram!$P42),SUMIFS(INDIRECT(ADDRESS(12,3+18*1+(9),,,"J1 C - (South) Bishopthorpe Roa")&amp;":"&amp;ADDRESS(130,3+18*1+(9))),'J1 C - (South) Bishopthorpe Roa'!$A$12:$A$130,"&gt;="&amp;Diagram!$O42,'J1 C - (South) Bishopthorpe Roa'!$A$12:$A$130,"&lt;"&amp;Diagram!$P42)))</f>
        <v>24</v>
      </c>
      <c r="AS42" s="42">
        <f ca="1">IF(OR($I$10="",$O42="",$P42="",$J$36&lt;&gt;"Yes"),0,IF($K$10=0,SUMIFS(INDIRECT(ADDRESS(12,3+18*2+(1),,,"J1 C - (South) Bishopthorpe Roa")&amp;":"&amp;ADDRESS(130,3+18*2+(1))),'J1 C - (South) Bishopthorpe Roa'!$A$12:$A$130,"&gt;="&amp;Diagram!$O42,'J1 C - (South) Bishopthorpe Roa'!$A$12:$A$130,"&lt;"&amp;Diagram!$P42),SUMIFS(INDIRECT(ADDRESS(12,3+18*2+(9),,,"J1 C - (South) Bishopthorpe Roa")&amp;":"&amp;ADDRESS(130,3+18*2+(9))),'J1 C - (South) Bishopthorpe Roa'!$A$12:$A$130,"&gt;="&amp;Diagram!$O42,'J1 C - (South) Bishopthorpe Roa'!$A$12:$A$130,"&lt;"&amp;Diagram!$P42)))</f>
        <v>2</v>
      </c>
      <c r="AT42" s="42">
        <f ca="1">IF(OR($I$10="",$O42="",$P42="",$J$36&lt;&gt;"Yes"),0,IF($K$10=0,SUMIFS(INDIRECT(ADDRESS(12,3+18*3+(1),,,"J1 C - (South) Bishopthorpe Roa")&amp;":"&amp;ADDRESS(130,3+18*3+(1))),'J1 C - (South) Bishopthorpe Roa'!$A$12:$A$130,"&gt;="&amp;Diagram!$O42,'J1 C - (South) Bishopthorpe Roa'!$A$12:$A$130,"&lt;"&amp;Diagram!$P42),SUMIFS(INDIRECT(ADDRESS(12,3+18*3+(9),,,"J1 C - (South) Bishopthorpe Roa")&amp;":"&amp;ADDRESS(130,3+18*3+(9))),'J1 C - (South) Bishopthorpe Roa'!$A$12:$A$130,"&gt;="&amp;Diagram!$O42,'J1 C - (South) Bishopthorpe Roa'!$A$12:$A$130,"&lt;"&amp;Diagram!$P42)))</f>
        <v>0</v>
      </c>
      <c r="AU42" s="42">
        <f ca="1">IF(OR($I$10="",$O42="",$P42="",$J$36&lt;&gt;"Yes"),0,IF($K$10=0,SUMIFS(INDIRECT(ADDRESS(12,3+18*0+(1),,,"J1 C - (South) Bishopthorpe Roa")&amp;":"&amp;ADDRESS(130,3+18*0+(1))),'J1 C - (South) Bishopthorpe Roa'!$A$12:$A$130,"&gt;="&amp;Diagram!$O42,'J1 C - (South) Bishopthorpe Roa'!$A$12:$A$130,"&lt;"&amp;Diagram!$P42),SUMIFS(INDIRECT(ADDRESS(12,3+18*0+(9),,,"J1 C - (South) Bishopthorpe Roa")&amp;":"&amp;ADDRESS(130,3+18*0+(9))),'J1 C - (South) Bishopthorpe Roa'!$A$12:$A$130,"&gt;="&amp;Diagram!$O42,'J1 C - (South) Bishopthorpe Roa'!$A$12:$A$130,"&lt;"&amp;Diagram!$P42)))</f>
        <v>1</v>
      </c>
      <c r="AV42" s="42">
        <f ca="1">IF(OR($I$10="",$O42="",$P42="",$J$36&lt;&gt;"Yes"),0,IF($K$10=0,SUMIFS(INDIRECT(ADDRESS(12,3+18*0+(1),,,"J1 D - South Bank Avenue")&amp;":"&amp;ADDRESS(130,3+18*0+(1))),'J1 D - South Bank Avenue'!$A$12:$A$130,"&gt;="&amp;Diagram!$O42,'J1 D - South Bank Avenue'!$A$12:$A$130,"&lt;"&amp;Diagram!$P42),SUMIFS(INDIRECT(ADDRESS(12,3+18*0+(9),,,"J1 D - South Bank Avenue")&amp;":"&amp;ADDRESS(130,3+18*0+(9))),'J1 D - South Bank Avenue'!$A$12:$A$130,"&gt;="&amp;Diagram!$O42,'J1 D - South Bank Avenue'!$A$12:$A$130,"&lt;"&amp;Diagram!$P42)))</f>
        <v>7</v>
      </c>
      <c r="AW42" s="42">
        <f ca="1">IF(OR($I$10="",$O42="",$P42="",$J$36&lt;&gt;"Yes"),0,IF($K$10=0,SUMIFS(INDIRECT(ADDRESS(12,3+18*1+(1),,,"J1 D - South Bank Avenue")&amp;":"&amp;ADDRESS(130,3+18*1+(1))),'J1 D - South Bank Avenue'!$A$12:$A$130,"&gt;="&amp;Diagram!$O42,'J1 D - South Bank Avenue'!$A$12:$A$130,"&lt;"&amp;Diagram!$P42),SUMIFS(INDIRECT(ADDRESS(12,3+18*1+(9),,,"J1 D - South Bank Avenue")&amp;":"&amp;ADDRESS(130,3+18*1+(9))),'J1 D - South Bank Avenue'!$A$12:$A$130,"&gt;="&amp;Diagram!$O42,'J1 D - South Bank Avenue'!$A$12:$A$130,"&lt;"&amp;Diagram!$P42)))</f>
        <v>0</v>
      </c>
      <c r="AX42" s="42">
        <f ca="1">IF(OR($I$10="",$O42="",$P42="",$J$36&lt;&gt;"Yes"),0,IF($K$10=0,SUMIFS(INDIRECT(ADDRESS(12,3+18*2+(1),,,"J1 D - South Bank Avenue")&amp;":"&amp;ADDRESS(130,3+18*2+(1))),'J1 D - South Bank Avenue'!$A$12:$A$130,"&gt;="&amp;Diagram!$O42,'J1 D - South Bank Avenue'!$A$12:$A$130,"&lt;"&amp;Diagram!$P42),SUMIFS(INDIRECT(ADDRESS(12,3+18*2+(9),,,"J1 D - South Bank Avenue")&amp;":"&amp;ADDRESS(130,3+18*2+(9))),'J1 D - South Bank Avenue'!$A$12:$A$130,"&gt;="&amp;Diagram!$O42,'J1 D - South Bank Avenue'!$A$12:$A$130,"&lt;"&amp;Diagram!$P42)))</f>
        <v>0</v>
      </c>
      <c r="AY42" s="42">
        <f ca="1">IF(OR($I$10="",$O42="",$P42="",$J$36&lt;&gt;"Yes"),0,IF($K$10=0,SUMIFS(INDIRECT(ADDRESS(12,3+18*3+(1),,,"J1 D - South Bank Avenue")&amp;":"&amp;ADDRESS(130,3+18*3+(1))),'J1 D - South Bank Avenue'!$A$12:$A$130,"&gt;="&amp;Diagram!$O42,'J1 D - South Bank Avenue'!$A$12:$A$130,"&lt;"&amp;Diagram!$P42),SUMIFS(INDIRECT(ADDRESS(12,3+18*3+(9),,,"J1 D - South Bank Avenue")&amp;":"&amp;ADDRESS(130,3+18*3+(9))),'J1 D - South Bank Avenue'!$A$12:$A$130,"&gt;="&amp;Diagram!$O42,'J1 D - South Bank Avenue'!$A$12:$A$130,"&lt;"&amp;Diagram!$P42)))</f>
        <v>0</v>
      </c>
      <c r="AZ42" s="42">
        <f t="shared" ca="1" si="3"/>
        <v>22</v>
      </c>
      <c r="BA42" s="42">
        <f ca="1">IF(OR($I$10="",$O42="",$P42="",$J$37&lt;&gt;"Yes"),0,IF($K$10=0,SUMIFS(INDIRECT(ADDRESS(12,3+18*3+(2),,,"J1 A - (North) Bishopthorpe Roa")&amp;":"&amp;ADDRESS(130,3+18*3+(2))),'J1 A - (North) Bishopthorpe Roa'!$A$12:$A$130,"&gt;="&amp;Diagram!$O42,'J1 A - (North) Bishopthorpe Roa'!$A$12:$A$130,"&lt;"&amp;Diagram!$P42),SUMIFS(INDIRECT(ADDRESS(12,3+18*3+(10),,,"J1 A - (North) Bishopthorpe Roa")&amp;":"&amp;ADDRESS(130,3+18*3+(10))),'J1 A - (North) Bishopthorpe Roa'!$A$12:$A$130,"&gt;="&amp;Diagram!$O42,'J1 A - (North) Bishopthorpe Roa'!$A$12:$A$130,"&lt;"&amp;Diagram!$P42)))</f>
        <v>0</v>
      </c>
      <c r="BB42" s="42">
        <f ca="1">IF(OR($I$10="",$O42="",$P42="",$J$37&lt;&gt;"Yes"),0,IF($K$10=0,SUMIFS(INDIRECT(ADDRESS(12,3+18*0+(2),,,"J1 A - (North) Bishopthorpe Roa")&amp;":"&amp;ADDRESS(130,3+18*0+(2))),'J1 A - (North) Bishopthorpe Roa'!$A$12:$A$130,"&gt;="&amp;Diagram!$O42,'J1 A - (North) Bishopthorpe Roa'!$A$12:$A$130,"&lt;"&amp;Diagram!$P42),SUMIFS(INDIRECT(ADDRESS(12,3+18*0+(10),,,"J1 A - (North) Bishopthorpe Roa")&amp;":"&amp;ADDRESS(130,3+18*0+(10))),'J1 A - (North) Bishopthorpe Roa'!$A$12:$A$130,"&gt;="&amp;Diagram!$O42,'J1 A - (North) Bishopthorpe Roa'!$A$12:$A$130,"&lt;"&amp;Diagram!$P42)))</f>
        <v>3</v>
      </c>
      <c r="BC42" s="42">
        <f ca="1">IF(OR($I$10="",$O42="",$P42="",$J$37&lt;&gt;"Yes"),0,IF($K$10=0,SUMIFS(INDIRECT(ADDRESS(12,3+18*1+(2),,,"J1 A - (North) Bishopthorpe Roa")&amp;":"&amp;ADDRESS(130,3+18*1+(2))),'J1 A - (North) Bishopthorpe Roa'!$A$12:$A$130,"&gt;="&amp;Diagram!$O42,'J1 A - (North) Bishopthorpe Roa'!$A$12:$A$130,"&lt;"&amp;Diagram!$P42),SUMIFS(INDIRECT(ADDRESS(12,3+18*1+(10),,,"J1 A - (North) Bishopthorpe Roa")&amp;":"&amp;ADDRESS(130,3+18*1+(10))),'J1 A - (North) Bishopthorpe Roa'!$A$12:$A$130,"&gt;="&amp;Diagram!$O42,'J1 A - (North) Bishopthorpe Roa'!$A$12:$A$130,"&lt;"&amp;Diagram!$P42)))</f>
        <v>8</v>
      </c>
      <c r="BD42" s="42">
        <f ca="1">IF(OR($I$10="",$O42="",$P42="",$J$37&lt;&gt;"Yes"),0,IF($K$10=0,SUMIFS(INDIRECT(ADDRESS(12,3+18*2+(2),,,"J1 A - (North) Bishopthorpe Roa")&amp;":"&amp;ADDRESS(130,3+18*2+(2))),'J1 A - (North) Bishopthorpe Roa'!$A$12:$A$130,"&gt;="&amp;Diagram!$O42,'J1 A - (North) Bishopthorpe Roa'!$A$12:$A$130,"&lt;"&amp;Diagram!$P42),SUMIFS(INDIRECT(ADDRESS(12,3+18*2+(10),,,"J1 A - (North) Bishopthorpe Roa")&amp;":"&amp;ADDRESS(130,3+18*2+(10))),'J1 A - (North) Bishopthorpe Roa'!$A$12:$A$130,"&gt;="&amp;Diagram!$O42,'J1 A - (North) Bishopthorpe Roa'!$A$12:$A$130,"&lt;"&amp;Diagram!$P42)))</f>
        <v>0</v>
      </c>
      <c r="BE42" s="42">
        <f ca="1">IF(OR($I$10="",$O42="",$P42="",$J$37&lt;&gt;"Yes"),0,IF($K$10=0,SUMIFS(INDIRECT(ADDRESS(12,3+18*2+(2),,,"J1 B - Butcher Terrace")&amp;":"&amp;ADDRESS(130,3+18*2+(2))),'J1 B - Butcher Terrace'!$A$12:$A$130,"&gt;="&amp;Diagram!$O42,'J1 B - Butcher Terrace'!$A$12:$A$130,"&lt;"&amp;Diagram!$P42),SUMIFS(INDIRECT(ADDRESS(12,3+18*2+(10),,,"J1 B - Butcher Terrace")&amp;":"&amp;ADDRESS(130,3+18*2+(10))),'J1 B - Butcher Terrace'!$A$12:$A$130,"&gt;="&amp;Diagram!$O42,'J1 B - Butcher Terrace'!$A$12:$A$130,"&lt;"&amp;Diagram!$P42)))</f>
        <v>1</v>
      </c>
      <c r="BF42" s="42">
        <f ca="1">IF(OR($I$10="",$O42="",$P42="",$J$37&lt;&gt;"Yes"),0,IF($K$10=0,SUMIFS(INDIRECT(ADDRESS(12,3+18*3+(2),,,"J1 B - Butcher Terrace")&amp;":"&amp;ADDRESS(130,3+18*3+(2))),'J1 B - Butcher Terrace'!$A$12:$A$130,"&gt;="&amp;Diagram!$O42,'J1 B - Butcher Terrace'!$A$12:$A$130,"&lt;"&amp;Diagram!$P42),SUMIFS(INDIRECT(ADDRESS(12,3+18*3+(10),,,"J1 B - Butcher Terrace")&amp;":"&amp;ADDRESS(130,3+18*3+(10))),'J1 B - Butcher Terrace'!$A$12:$A$130,"&gt;="&amp;Diagram!$O42,'J1 B - Butcher Terrace'!$A$12:$A$130,"&lt;"&amp;Diagram!$P42)))</f>
        <v>0</v>
      </c>
      <c r="BG42" s="42">
        <f ca="1">IF(OR($I$10="",$O42="",$P42="",$J$37&lt;&gt;"Yes"),0,IF($K$10=0,SUMIFS(INDIRECT(ADDRESS(12,3+18*0+(2),,,"J1 B - Butcher Terrace")&amp;":"&amp;ADDRESS(130,3+18*0+(2))),'J1 B - Butcher Terrace'!$A$12:$A$130,"&gt;="&amp;Diagram!$O42,'J1 B - Butcher Terrace'!$A$12:$A$130,"&lt;"&amp;Diagram!$P42),SUMIFS(INDIRECT(ADDRESS(12,3+18*0+(10),,,"J1 B - Butcher Terrace")&amp;":"&amp;ADDRESS(130,3+18*0+(10))),'J1 B - Butcher Terrace'!$A$12:$A$130,"&gt;="&amp;Diagram!$O42,'J1 B - Butcher Terrace'!$A$12:$A$130,"&lt;"&amp;Diagram!$P42)))</f>
        <v>0</v>
      </c>
      <c r="BH42" s="42">
        <f ca="1">IF(OR($I$10="",$O42="",$P42="",$J$37&lt;&gt;"Yes"),0,IF($K$10=0,SUMIFS(INDIRECT(ADDRESS(12,3+18*1+(2),,,"J1 B - Butcher Terrace")&amp;":"&amp;ADDRESS(130,3+18*1+(2))),'J1 B - Butcher Terrace'!$A$12:$A$130,"&gt;="&amp;Diagram!$O42,'J1 B - Butcher Terrace'!$A$12:$A$130,"&lt;"&amp;Diagram!$P42),SUMIFS(INDIRECT(ADDRESS(12,3+18*1+(10),,,"J1 B - Butcher Terrace")&amp;":"&amp;ADDRESS(130,3+18*1+(10))),'J1 B - Butcher Terrace'!$A$12:$A$130,"&gt;="&amp;Diagram!$O42,'J1 B - Butcher Terrace'!$A$12:$A$130,"&lt;"&amp;Diagram!$P42)))</f>
        <v>0</v>
      </c>
      <c r="BI42" s="42">
        <f ca="1">IF(OR($I$10="",$O42="",$P42="",$J$37&lt;&gt;"Yes"),0,IF($K$10=0,SUMIFS(INDIRECT(ADDRESS(12,3+18*1+(2),,,"J1 C - (South) Bishopthorpe Roa")&amp;":"&amp;ADDRESS(130,3+18*1+(2))),'J1 C - (South) Bishopthorpe Roa'!$A$12:$A$130,"&gt;="&amp;Diagram!$O42,'J1 C - (South) Bishopthorpe Roa'!$A$12:$A$130,"&lt;"&amp;Diagram!$P42),SUMIFS(INDIRECT(ADDRESS(12,3+18*1+(10),,,"J1 C - (South) Bishopthorpe Roa")&amp;":"&amp;ADDRESS(130,3+18*1+(10))),'J1 C - (South) Bishopthorpe Roa'!$A$12:$A$130,"&gt;="&amp;Diagram!$O42,'J1 C - (South) Bishopthorpe Roa'!$A$12:$A$130,"&lt;"&amp;Diagram!$P42)))</f>
        <v>9</v>
      </c>
      <c r="BJ42" s="42">
        <f ca="1">IF(OR($I$10="",$O42="",$P42="",$J$37&lt;&gt;"Yes"),0,IF($K$10=0,SUMIFS(INDIRECT(ADDRESS(12,3+18*2+(2),,,"J1 C - (South) Bishopthorpe Roa")&amp;":"&amp;ADDRESS(130,3+18*2+(2))),'J1 C - (South) Bishopthorpe Roa'!$A$12:$A$130,"&gt;="&amp;Diagram!$O42,'J1 C - (South) Bishopthorpe Roa'!$A$12:$A$130,"&lt;"&amp;Diagram!$P42),SUMIFS(INDIRECT(ADDRESS(12,3+18*2+(10),,,"J1 C - (South) Bishopthorpe Roa")&amp;":"&amp;ADDRESS(130,3+18*2+(10))),'J1 C - (South) Bishopthorpe Roa'!$A$12:$A$130,"&gt;="&amp;Diagram!$O42,'J1 C - (South) Bishopthorpe Roa'!$A$12:$A$130,"&lt;"&amp;Diagram!$P42)))</f>
        <v>0</v>
      </c>
      <c r="BK42" s="42">
        <f ca="1">IF(OR($I$10="",$O42="",$P42="",$J$37&lt;&gt;"Yes"),0,IF($K$10=0,SUMIFS(INDIRECT(ADDRESS(12,3+18*3+(2),,,"J1 C - (South) Bishopthorpe Roa")&amp;":"&amp;ADDRESS(130,3+18*3+(2))),'J1 C - (South) Bishopthorpe Roa'!$A$12:$A$130,"&gt;="&amp;Diagram!$O42,'J1 C - (South) Bishopthorpe Roa'!$A$12:$A$130,"&lt;"&amp;Diagram!$P42),SUMIFS(INDIRECT(ADDRESS(12,3+18*3+(10),,,"J1 C - (South) Bishopthorpe Roa")&amp;":"&amp;ADDRESS(130,3+18*3+(10))),'J1 C - (South) Bishopthorpe Roa'!$A$12:$A$130,"&gt;="&amp;Diagram!$O42,'J1 C - (South) Bishopthorpe Roa'!$A$12:$A$130,"&lt;"&amp;Diagram!$P42)))</f>
        <v>0</v>
      </c>
      <c r="BL42" s="42">
        <f ca="1">IF(OR($I$10="",$O42="",$P42="",$J$37&lt;&gt;"Yes"),0,IF($K$10=0,SUMIFS(INDIRECT(ADDRESS(12,3+18*0+(2),,,"J1 C - (South) Bishopthorpe Roa")&amp;":"&amp;ADDRESS(130,3+18*0+(2))),'J1 C - (South) Bishopthorpe Roa'!$A$12:$A$130,"&gt;="&amp;Diagram!$O42,'J1 C - (South) Bishopthorpe Roa'!$A$12:$A$130,"&lt;"&amp;Diagram!$P42),SUMIFS(INDIRECT(ADDRESS(12,3+18*0+(10),,,"J1 C - (South) Bishopthorpe Roa")&amp;":"&amp;ADDRESS(130,3+18*0+(10))),'J1 C - (South) Bishopthorpe Roa'!$A$12:$A$130,"&gt;="&amp;Diagram!$O42,'J1 C - (South) Bishopthorpe Roa'!$A$12:$A$130,"&lt;"&amp;Diagram!$P42)))</f>
        <v>0</v>
      </c>
      <c r="BM42" s="42">
        <f ca="1">IF(OR($I$10="",$O42="",$P42="",$J$37&lt;&gt;"Yes"),0,IF($K$10=0,SUMIFS(INDIRECT(ADDRESS(12,3+18*0+(2),,,"J1 D - South Bank Avenue")&amp;":"&amp;ADDRESS(130,3+18*0+(2))),'J1 D - South Bank Avenue'!$A$12:$A$130,"&gt;="&amp;Diagram!$O42,'J1 D - South Bank Avenue'!$A$12:$A$130,"&lt;"&amp;Diagram!$P42),SUMIFS(INDIRECT(ADDRESS(12,3+18*0+(10),,,"J1 D - South Bank Avenue")&amp;":"&amp;ADDRESS(130,3+18*0+(10))),'J1 D - South Bank Avenue'!$A$12:$A$130,"&gt;="&amp;Diagram!$O42,'J1 D - South Bank Avenue'!$A$12:$A$130,"&lt;"&amp;Diagram!$P42)))</f>
        <v>1</v>
      </c>
      <c r="BN42" s="42">
        <f ca="1">IF(OR($I$10="",$O42="",$P42="",$J$37&lt;&gt;"Yes"),0,IF($K$10=0,SUMIFS(INDIRECT(ADDRESS(12,3+18*1+(2),,,"J1 D - South Bank Avenue")&amp;":"&amp;ADDRESS(130,3+18*1+(2))),'J1 D - South Bank Avenue'!$A$12:$A$130,"&gt;="&amp;Diagram!$O42,'J1 D - South Bank Avenue'!$A$12:$A$130,"&lt;"&amp;Diagram!$P42),SUMIFS(INDIRECT(ADDRESS(12,3+18*1+(10),,,"J1 D - South Bank Avenue")&amp;":"&amp;ADDRESS(130,3+18*1+(10))),'J1 D - South Bank Avenue'!$A$12:$A$130,"&gt;="&amp;Diagram!$O42,'J1 D - South Bank Avenue'!$A$12:$A$130,"&lt;"&amp;Diagram!$P42)))</f>
        <v>0</v>
      </c>
      <c r="BO42" s="42">
        <f ca="1">IF(OR($I$10="",$O42="",$P42="",$J$37&lt;&gt;"Yes"),0,IF($K$10=0,SUMIFS(INDIRECT(ADDRESS(12,3+18*2+(2),,,"J1 D - South Bank Avenue")&amp;":"&amp;ADDRESS(130,3+18*2+(2))),'J1 D - South Bank Avenue'!$A$12:$A$130,"&gt;="&amp;Diagram!$O42,'J1 D - South Bank Avenue'!$A$12:$A$130,"&lt;"&amp;Diagram!$P42),SUMIFS(INDIRECT(ADDRESS(12,3+18*2+(10),,,"J1 D - South Bank Avenue")&amp;":"&amp;ADDRESS(130,3+18*2+(10))),'J1 D - South Bank Avenue'!$A$12:$A$130,"&gt;="&amp;Diagram!$O42,'J1 D - South Bank Avenue'!$A$12:$A$130,"&lt;"&amp;Diagram!$P42)))</f>
        <v>0</v>
      </c>
      <c r="BP42" s="42">
        <f ca="1">IF(OR($I$10="",$O42="",$P42="",$J$37&lt;&gt;"Yes"),0,IF($K$10=0,SUMIFS(INDIRECT(ADDRESS(12,3+18*3+(2),,,"J1 D - South Bank Avenue")&amp;":"&amp;ADDRESS(130,3+18*3+(2))),'J1 D - South Bank Avenue'!$A$12:$A$130,"&gt;="&amp;Diagram!$O42,'J1 D - South Bank Avenue'!$A$12:$A$130,"&lt;"&amp;Diagram!$P42),SUMIFS(INDIRECT(ADDRESS(12,3+18*3+(10),,,"J1 D - South Bank Avenue")&amp;":"&amp;ADDRESS(130,3+18*3+(10))),'J1 D - South Bank Avenue'!$A$12:$A$130,"&gt;="&amp;Diagram!$O42,'J1 D - South Bank Avenue'!$A$12:$A$130,"&lt;"&amp;Diagram!$P42)))</f>
        <v>0</v>
      </c>
      <c r="BQ42" s="42">
        <f t="shared" ca="1" si="4"/>
        <v>2</v>
      </c>
      <c r="BR42" s="42">
        <f ca="1">IF(OR($I$10="",$O42="",$P42="",$J$38&lt;&gt;"Yes"),0,IF($K$10=0,SUMIFS(INDIRECT(ADDRESS(12,3+18*3+(3),,,"J1 A - (North) Bishopthorpe Roa")&amp;":"&amp;ADDRESS(130,3+18*3+(3))),'J1 A - (North) Bishopthorpe Roa'!$A$12:$A$130,"&gt;="&amp;Diagram!$O42,'J1 A - (North) Bishopthorpe Roa'!$A$12:$A$130,"&lt;"&amp;Diagram!$P42),SUMIFS(INDIRECT(ADDRESS(12,3+18*3+(11),,,"J1 A - (North) Bishopthorpe Roa")&amp;":"&amp;ADDRESS(130,3+18*3+(11))),'J1 A - (North) Bishopthorpe Roa'!$A$12:$A$130,"&gt;="&amp;Diagram!$O42,'J1 A - (North) Bishopthorpe Roa'!$A$12:$A$130,"&lt;"&amp;Diagram!$P42)))</f>
        <v>0</v>
      </c>
      <c r="BS42" s="42">
        <f ca="1">IF(OR($I$10="",$O42="",$P42="",$J$38&lt;&gt;"Yes"),0,IF($K$10=0,SUMIFS(INDIRECT(ADDRESS(12,3+18*0+(3),,,"J1 A - (North) Bishopthorpe Roa")&amp;":"&amp;ADDRESS(130,3+18*0+(3))),'J1 A - (North) Bishopthorpe Roa'!$A$12:$A$130,"&gt;="&amp;Diagram!$O42,'J1 A - (North) Bishopthorpe Roa'!$A$12:$A$130,"&lt;"&amp;Diagram!$P42),SUMIFS(INDIRECT(ADDRESS(12,3+18*0+(11),,,"J1 A - (North) Bishopthorpe Roa")&amp;":"&amp;ADDRESS(130,3+18*0+(11))),'J1 A - (North) Bishopthorpe Roa'!$A$12:$A$130,"&gt;="&amp;Diagram!$O42,'J1 A - (North) Bishopthorpe Roa'!$A$12:$A$130,"&lt;"&amp;Diagram!$P42)))</f>
        <v>0</v>
      </c>
      <c r="BT42" s="42">
        <f ca="1">IF(OR($I$10="",$O42="",$P42="",$J$38&lt;&gt;"Yes"),0,IF($K$10=0,SUMIFS(INDIRECT(ADDRESS(12,3+18*1+(3),,,"J1 A - (North) Bishopthorpe Roa")&amp;":"&amp;ADDRESS(130,3+18*1+(3))),'J1 A - (North) Bishopthorpe Roa'!$A$12:$A$130,"&gt;="&amp;Diagram!$O42,'J1 A - (North) Bishopthorpe Roa'!$A$12:$A$130,"&lt;"&amp;Diagram!$P42),SUMIFS(INDIRECT(ADDRESS(12,3+18*1+(11),,,"J1 A - (North) Bishopthorpe Roa")&amp;":"&amp;ADDRESS(130,3+18*1+(11))),'J1 A - (North) Bishopthorpe Roa'!$A$12:$A$130,"&gt;="&amp;Diagram!$O42,'J1 A - (North) Bishopthorpe Roa'!$A$12:$A$130,"&lt;"&amp;Diagram!$P42)))</f>
        <v>0</v>
      </c>
      <c r="BU42" s="42">
        <f ca="1">IF(OR($I$10="",$O42="",$P42="",$J$38&lt;&gt;"Yes"),0,IF($K$10=0,SUMIFS(INDIRECT(ADDRESS(12,3+18*2+(3),,,"J1 A - (North) Bishopthorpe Roa")&amp;":"&amp;ADDRESS(130,3+18*2+(3))),'J1 A - (North) Bishopthorpe Roa'!$A$12:$A$130,"&gt;="&amp;Diagram!$O42,'J1 A - (North) Bishopthorpe Roa'!$A$12:$A$130,"&lt;"&amp;Diagram!$P42),SUMIFS(INDIRECT(ADDRESS(12,3+18*2+(11),,,"J1 A - (North) Bishopthorpe Roa")&amp;":"&amp;ADDRESS(130,3+18*2+(11))),'J1 A - (North) Bishopthorpe Roa'!$A$12:$A$130,"&gt;="&amp;Diagram!$O42,'J1 A - (North) Bishopthorpe Roa'!$A$12:$A$130,"&lt;"&amp;Diagram!$P42)))</f>
        <v>0</v>
      </c>
      <c r="BV42" s="42">
        <f ca="1">IF(OR($I$10="",$O42="",$P42="",$J$38&lt;&gt;"Yes"),0,IF($K$10=0,SUMIFS(INDIRECT(ADDRESS(12,3+18*2+(3),,,"J1 B - Butcher Terrace")&amp;":"&amp;ADDRESS(130,3+18*2+(3))),'J1 B - Butcher Terrace'!$A$12:$A$130,"&gt;="&amp;Diagram!$O42,'J1 B - Butcher Terrace'!$A$12:$A$130,"&lt;"&amp;Diagram!$P42),SUMIFS(INDIRECT(ADDRESS(12,3+18*2+(11),,,"J1 B - Butcher Terrace")&amp;":"&amp;ADDRESS(130,3+18*2+(11))),'J1 B - Butcher Terrace'!$A$12:$A$130,"&gt;="&amp;Diagram!$O42,'J1 B - Butcher Terrace'!$A$12:$A$130,"&lt;"&amp;Diagram!$P42)))</f>
        <v>0</v>
      </c>
      <c r="BW42" s="42">
        <f ca="1">IF(OR($I$10="",$O42="",$P42="",$J$38&lt;&gt;"Yes"),0,IF($K$10=0,SUMIFS(INDIRECT(ADDRESS(12,3+18*3+(3),,,"J1 B - Butcher Terrace")&amp;":"&amp;ADDRESS(130,3+18*3+(3))),'J1 B - Butcher Terrace'!$A$12:$A$130,"&gt;="&amp;Diagram!$O42,'J1 B - Butcher Terrace'!$A$12:$A$130,"&lt;"&amp;Diagram!$P42),SUMIFS(INDIRECT(ADDRESS(12,3+18*3+(11),,,"J1 B - Butcher Terrace")&amp;":"&amp;ADDRESS(130,3+18*3+(11))),'J1 B - Butcher Terrace'!$A$12:$A$130,"&gt;="&amp;Diagram!$O42,'J1 B - Butcher Terrace'!$A$12:$A$130,"&lt;"&amp;Diagram!$P42)))</f>
        <v>0</v>
      </c>
      <c r="BX42" s="42">
        <f ca="1">IF(OR($I$10="",$O42="",$P42="",$J$38&lt;&gt;"Yes"),0,IF($K$10=0,SUMIFS(INDIRECT(ADDRESS(12,3+18*0+(3),,,"J1 B - Butcher Terrace")&amp;":"&amp;ADDRESS(130,3+18*0+(3))),'J1 B - Butcher Terrace'!$A$12:$A$130,"&gt;="&amp;Diagram!$O42,'J1 B - Butcher Terrace'!$A$12:$A$130,"&lt;"&amp;Diagram!$P42),SUMIFS(INDIRECT(ADDRESS(12,3+18*0+(11),,,"J1 B - Butcher Terrace")&amp;":"&amp;ADDRESS(130,3+18*0+(11))),'J1 B - Butcher Terrace'!$A$12:$A$130,"&gt;="&amp;Diagram!$O42,'J1 B - Butcher Terrace'!$A$12:$A$130,"&lt;"&amp;Diagram!$P42)))</f>
        <v>0</v>
      </c>
      <c r="BY42" s="42">
        <f ca="1">IF(OR($I$10="",$O42="",$P42="",$J$38&lt;&gt;"Yes"),0,IF($K$10=0,SUMIFS(INDIRECT(ADDRESS(12,3+18*1+(3),,,"J1 B - Butcher Terrace")&amp;":"&amp;ADDRESS(130,3+18*1+(3))),'J1 B - Butcher Terrace'!$A$12:$A$130,"&gt;="&amp;Diagram!$O42,'J1 B - Butcher Terrace'!$A$12:$A$130,"&lt;"&amp;Diagram!$P42),SUMIFS(INDIRECT(ADDRESS(12,3+18*1+(11),,,"J1 B - Butcher Terrace")&amp;":"&amp;ADDRESS(130,3+18*1+(11))),'J1 B - Butcher Terrace'!$A$12:$A$130,"&gt;="&amp;Diagram!$O42,'J1 B - Butcher Terrace'!$A$12:$A$130,"&lt;"&amp;Diagram!$P42)))</f>
        <v>0</v>
      </c>
      <c r="BZ42" s="42">
        <f ca="1">IF(OR($I$10="",$O42="",$P42="",$J$38&lt;&gt;"Yes"),0,IF($K$10=0,SUMIFS(INDIRECT(ADDRESS(12,3+18*1+(3),,,"J1 C - (South) Bishopthorpe Roa")&amp;":"&amp;ADDRESS(130,3+18*1+(3))),'J1 C - (South) Bishopthorpe Roa'!$A$12:$A$130,"&gt;="&amp;Diagram!$O42,'J1 C - (South) Bishopthorpe Roa'!$A$12:$A$130,"&lt;"&amp;Diagram!$P42),SUMIFS(INDIRECT(ADDRESS(12,3+18*1+(11),,,"J1 C - (South) Bishopthorpe Roa")&amp;":"&amp;ADDRESS(130,3+18*1+(11))),'J1 C - (South) Bishopthorpe Roa'!$A$12:$A$130,"&gt;="&amp;Diagram!$O42,'J1 C - (South) Bishopthorpe Roa'!$A$12:$A$130,"&lt;"&amp;Diagram!$P42)))</f>
        <v>2</v>
      </c>
      <c r="CA42" s="42">
        <f ca="1">IF(OR($I$10="",$O42="",$P42="",$J$38&lt;&gt;"Yes"),0,IF($K$10=0,SUMIFS(INDIRECT(ADDRESS(12,3+18*2+(3),,,"J1 C - (South) Bishopthorpe Roa")&amp;":"&amp;ADDRESS(130,3+18*2+(3))),'J1 C - (South) Bishopthorpe Roa'!$A$12:$A$130,"&gt;="&amp;Diagram!$O42,'J1 C - (South) Bishopthorpe Roa'!$A$12:$A$130,"&lt;"&amp;Diagram!$P42),SUMIFS(INDIRECT(ADDRESS(12,3+18*2+(11),,,"J1 C - (South) Bishopthorpe Roa")&amp;":"&amp;ADDRESS(130,3+18*2+(11))),'J1 C - (South) Bishopthorpe Roa'!$A$12:$A$130,"&gt;="&amp;Diagram!$O42,'J1 C - (South) Bishopthorpe Roa'!$A$12:$A$130,"&lt;"&amp;Diagram!$P42)))</f>
        <v>0</v>
      </c>
      <c r="CB42" s="42">
        <f ca="1">IF(OR($I$10="",$O42="",$P42="",$J$38&lt;&gt;"Yes"),0,IF($K$10=0,SUMIFS(INDIRECT(ADDRESS(12,3+18*3+(3),,,"J1 C - (South) Bishopthorpe Roa")&amp;":"&amp;ADDRESS(130,3+18*3+(3))),'J1 C - (South) Bishopthorpe Roa'!$A$12:$A$130,"&gt;="&amp;Diagram!$O42,'J1 C - (South) Bishopthorpe Roa'!$A$12:$A$130,"&lt;"&amp;Diagram!$P42),SUMIFS(INDIRECT(ADDRESS(12,3+18*3+(11),,,"J1 C - (South) Bishopthorpe Roa")&amp;":"&amp;ADDRESS(130,3+18*3+(11))),'J1 C - (South) Bishopthorpe Roa'!$A$12:$A$130,"&gt;="&amp;Diagram!$O42,'J1 C - (South) Bishopthorpe Roa'!$A$12:$A$130,"&lt;"&amp;Diagram!$P42)))</f>
        <v>0</v>
      </c>
      <c r="CC42" s="42">
        <f ca="1">IF(OR($I$10="",$O42="",$P42="",$J$38&lt;&gt;"Yes"),0,IF($K$10=0,SUMIFS(INDIRECT(ADDRESS(12,3+18*0+(3),,,"J1 C - (South) Bishopthorpe Roa")&amp;":"&amp;ADDRESS(130,3+18*0+(3))),'J1 C - (South) Bishopthorpe Roa'!$A$12:$A$130,"&gt;="&amp;Diagram!$O42,'J1 C - (South) Bishopthorpe Roa'!$A$12:$A$130,"&lt;"&amp;Diagram!$P42),SUMIFS(INDIRECT(ADDRESS(12,3+18*0+(11),,,"J1 C - (South) Bishopthorpe Roa")&amp;":"&amp;ADDRESS(130,3+18*0+(11))),'J1 C - (South) Bishopthorpe Roa'!$A$12:$A$130,"&gt;="&amp;Diagram!$O42,'J1 C - (South) Bishopthorpe Roa'!$A$12:$A$130,"&lt;"&amp;Diagram!$P42)))</f>
        <v>0</v>
      </c>
      <c r="CD42" s="42">
        <f ca="1">IF(OR($I$10="",$O42="",$P42="",$J$38&lt;&gt;"Yes"),0,IF($K$10=0,SUMIFS(INDIRECT(ADDRESS(12,3+18*0+(3),,,"J1 D - South Bank Avenue")&amp;":"&amp;ADDRESS(130,3+18*0+(3))),'J1 D - South Bank Avenue'!$A$12:$A$130,"&gt;="&amp;Diagram!$O42,'J1 D - South Bank Avenue'!$A$12:$A$130,"&lt;"&amp;Diagram!$P42),SUMIFS(INDIRECT(ADDRESS(12,3+18*0+(11),,,"J1 D - South Bank Avenue")&amp;":"&amp;ADDRESS(130,3+18*0+(11))),'J1 D - South Bank Avenue'!$A$12:$A$130,"&gt;="&amp;Diagram!$O42,'J1 D - South Bank Avenue'!$A$12:$A$130,"&lt;"&amp;Diagram!$P42)))</f>
        <v>0</v>
      </c>
      <c r="CE42" s="42">
        <f ca="1">IF(OR($I$10="",$O42="",$P42="",$J$38&lt;&gt;"Yes"),0,IF($K$10=0,SUMIFS(INDIRECT(ADDRESS(12,3+18*1+(3),,,"J1 D - South Bank Avenue")&amp;":"&amp;ADDRESS(130,3+18*1+(3))),'J1 D - South Bank Avenue'!$A$12:$A$130,"&gt;="&amp;Diagram!$O42,'J1 D - South Bank Avenue'!$A$12:$A$130,"&lt;"&amp;Diagram!$P42),SUMIFS(INDIRECT(ADDRESS(12,3+18*1+(11),,,"J1 D - South Bank Avenue")&amp;":"&amp;ADDRESS(130,3+18*1+(11))),'J1 D - South Bank Avenue'!$A$12:$A$130,"&gt;="&amp;Diagram!$O42,'J1 D - South Bank Avenue'!$A$12:$A$130,"&lt;"&amp;Diagram!$P42)))</f>
        <v>0</v>
      </c>
      <c r="CF42" s="42">
        <f ca="1">IF(OR($I$10="",$O42="",$P42="",$J$38&lt;&gt;"Yes"),0,IF($K$10=0,SUMIFS(INDIRECT(ADDRESS(12,3+18*2+(3),,,"J1 D - South Bank Avenue")&amp;":"&amp;ADDRESS(130,3+18*2+(3))),'J1 D - South Bank Avenue'!$A$12:$A$130,"&gt;="&amp;Diagram!$O42,'J1 D - South Bank Avenue'!$A$12:$A$130,"&lt;"&amp;Diagram!$P42),SUMIFS(INDIRECT(ADDRESS(12,3+18*2+(11),,,"J1 D - South Bank Avenue")&amp;":"&amp;ADDRESS(130,3+18*2+(11))),'J1 D - South Bank Avenue'!$A$12:$A$130,"&gt;="&amp;Diagram!$O42,'J1 D - South Bank Avenue'!$A$12:$A$130,"&lt;"&amp;Diagram!$P42)))</f>
        <v>0</v>
      </c>
      <c r="CG42" s="42">
        <f ca="1">IF(OR($I$10="",$O42="",$P42="",$J$38&lt;&gt;"Yes"),0,IF($K$10=0,SUMIFS(INDIRECT(ADDRESS(12,3+18*3+(3),,,"J1 D - South Bank Avenue")&amp;":"&amp;ADDRESS(130,3+18*3+(3))),'J1 D - South Bank Avenue'!$A$12:$A$130,"&gt;="&amp;Diagram!$O42,'J1 D - South Bank Avenue'!$A$12:$A$130,"&lt;"&amp;Diagram!$P42),SUMIFS(INDIRECT(ADDRESS(12,3+18*3+(11),,,"J1 D - South Bank Avenue")&amp;":"&amp;ADDRESS(130,3+18*3+(11))),'J1 D - South Bank Avenue'!$A$12:$A$130,"&gt;="&amp;Diagram!$O42,'J1 D - South Bank Avenue'!$A$12:$A$130,"&lt;"&amp;Diagram!$P42)))</f>
        <v>0</v>
      </c>
      <c r="CH42" s="42">
        <f t="shared" ca="1" si="5"/>
        <v>7</v>
      </c>
      <c r="CI42" s="42">
        <f ca="1">IF(OR($I$10="",$O42="",$P42="",$J$39&lt;&gt;"Yes"),0,IF($K$10=0,SUMIFS(INDIRECT(ADDRESS(12,3+18*3+(4),,,"J1 A - (North) Bishopthorpe Roa")&amp;":"&amp;ADDRESS(130,3+18*3+(4))),'J1 A - (North) Bishopthorpe Roa'!$A$12:$A$130,"&gt;="&amp;Diagram!$O42,'J1 A - (North) Bishopthorpe Roa'!$A$12:$A$130,"&lt;"&amp;Diagram!$P42),SUMIFS(INDIRECT(ADDRESS(12,3+18*3+(12),,,"J1 A - (North) Bishopthorpe Roa")&amp;":"&amp;ADDRESS(130,3+18*3+(12))),'J1 A - (North) Bishopthorpe Roa'!$A$12:$A$130,"&gt;="&amp;Diagram!$O42,'J1 A - (North) Bishopthorpe Roa'!$A$12:$A$130,"&lt;"&amp;Diagram!$P42)))</f>
        <v>0</v>
      </c>
      <c r="CJ42" s="42">
        <f ca="1">IF(OR($I$10="",$O42="",$P42="",$J$39&lt;&gt;"Yes"),0,IF($K$10=0,SUMIFS(INDIRECT(ADDRESS(12,3+18*0+(4),,,"J1 A - (North) Bishopthorpe Roa")&amp;":"&amp;ADDRESS(130,3+18*0+(4))),'J1 A - (North) Bishopthorpe Roa'!$A$12:$A$130,"&gt;="&amp;Diagram!$O42,'J1 A - (North) Bishopthorpe Roa'!$A$12:$A$130,"&lt;"&amp;Diagram!$P42),SUMIFS(INDIRECT(ADDRESS(12,3+18*0+(12),,,"J1 A - (North) Bishopthorpe Roa")&amp;":"&amp;ADDRESS(130,3+18*0+(12))),'J1 A - (North) Bishopthorpe Roa'!$A$12:$A$130,"&gt;="&amp;Diagram!$O42,'J1 A - (North) Bishopthorpe Roa'!$A$12:$A$130,"&lt;"&amp;Diagram!$P42)))</f>
        <v>0</v>
      </c>
      <c r="CK42" s="42">
        <f ca="1">IF(OR($I$10="",$O42="",$P42="",$J$39&lt;&gt;"Yes"),0,IF($K$10=0,SUMIFS(INDIRECT(ADDRESS(12,3+18*1+(4),,,"J1 A - (North) Bishopthorpe Roa")&amp;":"&amp;ADDRESS(130,3+18*1+(4))),'J1 A - (North) Bishopthorpe Roa'!$A$12:$A$130,"&gt;="&amp;Diagram!$O42,'J1 A - (North) Bishopthorpe Roa'!$A$12:$A$130,"&lt;"&amp;Diagram!$P42),SUMIFS(INDIRECT(ADDRESS(12,3+18*1+(12),,,"J1 A - (North) Bishopthorpe Roa")&amp;":"&amp;ADDRESS(130,3+18*1+(12))),'J1 A - (North) Bishopthorpe Roa'!$A$12:$A$130,"&gt;="&amp;Diagram!$O42,'J1 A - (North) Bishopthorpe Roa'!$A$12:$A$130,"&lt;"&amp;Diagram!$P42)))</f>
        <v>3</v>
      </c>
      <c r="CL42" s="42">
        <f ca="1">IF(OR($I$10="",$O42="",$P42="",$J$39&lt;&gt;"Yes"),0,IF($K$10=0,SUMIFS(INDIRECT(ADDRESS(12,3+18*2+(4),,,"J1 A - (North) Bishopthorpe Roa")&amp;":"&amp;ADDRESS(130,3+18*2+(4))),'J1 A - (North) Bishopthorpe Roa'!$A$12:$A$130,"&gt;="&amp;Diagram!$O42,'J1 A - (North) Bishopthorpe Roa'!$A$12:$A$130,"&lt;"&amp;Diagram!$P42),SUMIFS(INDIRECT(ADDRESS(12,3+18*2+(12),,,"J1 A - (North) Bishopthorpe Roa")&amp;":"&amp;ADDRESS(130,3+18*2+(12))),'J1 A - (North) Bishopthorpe Roa'!$A$12:$A$130,"&gt;="&amp;Diagram!$O42,'J1 A - (North) Bishopthorpe Roa'!$A$12:$A$130,"&lt;"&amp;Diagram!$P42)))</f>
        <v>0</v>
      </c>
      <c r="CM42" s="42">
        <f ca="1">IF(OR($I$10="",$O42="",$P42="",$J$39&lt;&gt;"Yes"),0,IF($K$10=0,SUMIFS(INDIRECT(ADDRESS(12,3+18*2+(4),,,"J1 B - Butcher Terrace")&amp;":"&amp;ADDRESS(130,3+18*2+(4))),'J1 B - Butcher Terrace'!$A$12:$A$130,"&gt;="&amp;Diagram!$O42,'J1 B - Butcher Terrace'!$A$12:$A$130,"&lt;"&amp;Diagram!$P42),SUMIFS(INDIRECT(ADDRESS(12,3+18*2+(12),,,"J1 B - Butcher Terrace")&amp;":"&amp;ADDRESS(130,3+18*2+(12))),'J1 B - Butcher Terrace'!$A$12:$A$130,"&gt;="&amp;Diagram!$O42,'J1 B - Butcher Terrace'!$A$12:$A$130,"&lt;"&amp;Diagram!$P42)))</f>
        <v>0</v>
      </c>
      <c r="CN42" s="42">
        <f ca="1">IF(OR($I$10="",$O42="",$P42="",$J$39&lt;&gt;"Yes"),0,IF($K$10=0,SUMIFS(INDIRECT(ADDRESS(12,3+18*3+(4),,,"J1 B - Butcher Terrace")&amp;":"&amp;ADDRESS(130,3+18*3+(4))),'J1 B - Butcher Terrace'!$A$12:$A$130,"&gt;="&amp;Diagram!$O42,'J1 B - Butcher Terrace'!$A$12:$A$130,"&lt;"&amp;Diagram!$P42),SUMIFS(INDIRECT(ADDRESS(12,3+18*3+(12),,,"J1 B - Butcher Terrace")&amp;":"&amp;ADDRESS(130,3+18*3+(12))),'J1 B - Butcher Terrace'!$A$12:$A$130,"&gt;="&amp;Diagram!$O42,'J1 B - Butcher Terrace'!$A$12:$A$130,"&lt;"&amp;Diagram!$P42)))</f>
        <v>0</v>
      </c>
      <c r="CO42" s="42">
        <f ca="1">IF(OR($I$10="",$O42="",$P42="",$J$39&lt;&gt;"Yes"),0,IF($K$10=0,SUMIFS(INDIRECT(ADDRESS(12,3+18*0+(4),,,"J1 B - Butcher Terrace")&amp;":"&amp;ADDRESS(130,3+18*0+(4))),'J1 B - Butcher Terrace'!$A$12:$A$130,"&gt;="&amp;Diagram!$O42,'J1 B - Butcher Terrace'!$A$12:$A$130,"&lt;"&amp;Diagram!$P42),SUMIFS(INDIRECT(ADDRESS(12,3+18*0+(12),,,"J1 B - Butcher Terrace")&amp;":"&amp;ADDRESS(130,3+18*0+(12))),'J1 B - Butcher Terrace'!$A$12:$A$130,"&gt;="&amp;Diagram!$O42,'J1 B - Butcher Terrace'!$A$12:$A$130,"&lt;"&amp;Diagram!$P42)))</f>
        <v>0</v>
      </c>
      <c r="CP42" s="42">
        <f ca="1">IF(OR($I$10="",$O42="",$P42="",$J$39&lt;&gt;"Yes"),0,IF($K$10=0,SUMIFS(INDIRECT(ADDRESS(12,3+18*1+(4),,,"J1 B - Butcher Terrace")&amp;":"&amp;ADDRESS(130,3+18*1+(4))),'J1 B - Butcher Terrace'!$A$12:$A$130,"&gt;="&amp;Diagram!$O42,'J1 B - Butcher Terrace'!$A$12:$A$130,"&lt;"&amp;Diagram!$P42),SUMIFS(INDIRECT(ADDRESS(12,3+18*1+(12),,,"J1 B - Butcher Terrace")&amp;":"&amp;ADDRESS(130,3+18*1+(12))),'J1 B - Butcher Terrace'!$A$12:$A$130,"&gt;="&amp;Diagram!$O42,'J1 B - Butcher Terrace'!$A$12:$A$130,"&lt;"&amp;Diagram!$P42)))</f>
        <v>0</v>
      </c>
      <c r="CQ42" s="42">
        <f ca="1">IF(OR($I$10="",$O42="",$P42="",$J$39&lt;&gt;"Yes"),0,IF($K$10=0,SUMIFS(INDIRECT(ADDRESS(12,3+18*1+(4),,,"J1 C - (South) Bishopthorpe Roa")&amp;":"&amp;ADDRESS(130,3+18*1+(4))),'J1 C - (South) Bishopthorpe Roa'!$A$12:$A$130,"&gt;="&amp;Diagram!$O42,'J1 C - (South) Bishopthorpe Roa'!$A$12:$A$130,"&lt;"&amp;Diagram!$P42),SUMIFS(INDIRECT(ADDRESS(12,3+18*1+(12),,,"J1 C - (South) Bishopthorpe Roa")&amp;":"&amp;ADDRESS(130,3+18*1+(12))),'J1 C - (South) Bishopthorpe Roa'!$A$12:$A$130,"&gt;="&amp;Diagram!$O42,'J1 C - (South) Bishopthorpe Roa'!$A$12:$A$130,"&lt;"&amp;Diagram!$P42)))</f>
        <v>4</v>
      </c>
      <c r="CR42" s="42">
        <f ca="1">IF(OR($I$10="",$O42="",$P42="",$J$39&lt;&gt;"Yes"),0,IF($K$10=0,SUMIFS(INDIRECT(ADDRESS(12,3+18*2+(4),,,"J1 C - (South) Bishopthorpe Roa")&amp;":"&amp;ADDRESS(130,3+18*2+(4))),'J1 C - (South) Bishopthorpe Roa'!$A$12:$A$130,"&gt;="&amp;Diagram!$O42,'J1 C - (South) Bishopthorpe Roa'!$A$12:$A$130,"&lt;"&amp;Diagram!$P42),SUMIFS(INDIRECT(ADDRESS(12,3+18*2+(12),,,"J1 C - (South) Bishopthorpe Roa")&amp;":"&amp;ADDRESS(130,3+18*2+(12))),'J1 C - (South) Bishopthorpe Roa'!$A$12:$A$130,"&gt;="&amp;Diagram!$O42,'J1 C - (South) Bishopthorpe Roa'!$A$12:$A$130,"&lt;"&amp;Diagram!$P42)))</f>
        <v>0</v>
      </c>
      <c r="CS42" s="42">
        <f ca="1">IF(OR($I$10="",$O42="",$P42="",$J$39&lt;&gt;"Yes"),0,IF($K$10=0,SUMIFS(INDIRECT(ADDRESS(12,3+18*3+(4),,,"J1 C - (South) Bishopthorpe Roa")&amp;":"&amp;ADDRESS(130,3+18*3+(4))),'J1 C - (South) Bishopthorpe Roa'!$A$12:$A$130,"&gt;="&amp;Diagram!$O42,'J1 C - (South) Bishopthorpe Roa'!$A$12:$A$130,"&lt;"&amp;Diagram!$P42),SUMIFS(INDIRECT(ADDRESS(12,3+18*3+(12),,,"J1 C - (South) Bishopthorpe Roa")&amp;":"&amp;ADDRESS(130,3+18*3+(12))),'J1 C - (South) Bishopthorpe Roa'!$A$12:$A$130,"&gt;="&amp;Diagram!$O42,'J1 C - (South) Bishopthorpe Roa'!$A$12:$A$130,"&lt;"&amp;Diagram!$P42)))</f>
        <v>0</v>
      </c>
      <c r="CT42" s="42">
        <f ca="1">IF(OR($I$10="",$O42="",$P42="",$J$39&lt;&gt;"Yes"),0,IF($K$10=0,SUMIFS(INDIRECT(ADDRESS(12,3+18*0+(4),,,"J1 C - (South) Bishopthorpe Roa")&amp;":"&amp;ADDRESS(130,3+18*0+(4))),'J1 C - (South) Bishopthorpe Roa'!$A$12:$A$130,"&gt;="&amp;Diagram!$O42,'J1 C - (South) Bishopthorpe Roa'!$A$12:$A$130,"&lt;"&amp;Diagram!$P42),SUMIFS(INDIRECT(ADDRESS(12,3+18*0+(12),,,"J1 C - (South) Bishopthorpe Roa")&amp;":"&amp;ADDRESS(130,3+18*0+(12))),'J1 C - (South) Bishopthorpe Roa'!$A$12:$A$130,"&gt;="&amp;Diagram!$O42,'J1 C - (South) Bishopthorpe Roa'!$A$12:$A$130,"&lt;"&amp;Diagram!$P42)))</f>
        <v>0</v>
      </c>
      <c r="CU42" s="42">
        <f ca="1">IF(OR($I$10="",$O42="",$P42="",$J$39&lt;&gt;"Yes"),0,IF($K$10=0,SUMIFS(INDIRECT(ADDRESS(12,3+18*0+(4),,,"J1 D - South Bank Avenue")&amp;":"&amp;ADDRESS(130,3+18*0+(4))),'J1 D - South Bank Avenue'!$A$12:$A$130,"&gt;="&amp;Diagram!$O42,'J1 D - South Bank Avenue'!$A$12:$A$130,"&lt;"&amp;Diagram!$P42),SUMIFS(INDIRECT(ADDRESS(12,3+18*0+(12),,,"J1 D - South Bank Avenue")&amp;":"&amp;ADDRESS(130,3+18*0+(12))),'J1 D - South Bank Avenue'!$A$12:$A$130,"&gt;="&amp;Diagram!$O42,'J1 D - South Bank Avenue'!$A$12:$A$130,"&lt;"&amp;Diagram!$P42)))</f>
        <v>0</v>
      </c>
      <c r="CV42" s="42">
        <f ca="1">IF(OR($I$10="",$O42="",$P42="",$J$39&lt;&gt;"Yes"),0,IF($K$10=0,SUMIFS(INDIRECT(ADDRESS(12,3+18*1+(4),,,"J1 D - South Bank Avenue")&amp;":"&amp;ADDRESS(130,3+18*1+(4))),'J1 D - South Bank Avenue'!$A$12:$A$130,"&gt;="&amp;Diagram!$O42,'J1 D - South Bank Avenue'!$A$12:$A$130,"&lt;"&amp;Diagram!$P42),SUMIFS(INDIRECT(ADDRESS(12,3+18*1+(12),,,"J1 D - South Bank Avenue")&amp;":"&amp;ADDRESS(130,3+18*1+(12))),'J1 D - South Bank Avenue'!$A$12:$A$130,"&gt;="&amp;Diagram!$O42,'J1 D - South Bank Avenue'!$A$12:$A$130,"&lt;"&amp;Diagram!$P42)))</f>
        <v>0</v>
      </c>
      <c r="CW42" s="42">
        <f ca="1">IF(OR($I$10="",$O42="",$P42="",$J$39&lt;&gt;"Yes"),0,IF($K$10=0,SUMIFS(INDIRECT(ADDRESS(12,3+18*2+(4),,,"J1 D - South Bank Avenue")&amp;":"&amp;ADDRESS(130,3+18*2+(4))),'J1 D - South Bank Avenue'!$A$12:$A$130,"&gt;="&amp;Diagram!$O42,'J1 D - South Bank Avenue'!$A$12:$A$130,"&lt;"&amp;Diagram!$P42),SUMIFS(INDIRECT(ADDRESS(12,3+18*2+(12),,,"J1 D - South Bank Avenue")&amp;":"&amp;ADDRESS(130,3+18*2+(12))),'J1 D - South Bank Avenue'!$A$12:$A$130,"&gt;="&amp;Diagram!$O42,'J1 D - South Bank Avenue'!$A$12:$A$130,"&lt;"&amp;Diagram!$P42)))</f>
        <v>0</v>
      </c>
      <c r="CX42" s="42">
        <f ca="1">IF(OR($I$10="",$O42="",$P42="",$J$39&lt;&gt;"Yes"),0,IF($K$10=0,SUMIFS(INDIRECT(ADDRESS(12,3+18*3+(4),,,"J1 D - South Bank Avenue")&amp;":"&amp;ADDRESS(130,3+18*3+(4))),'J1 D - South Bank Avenue'!$A$12:$A$130,"&gt;="&amp;Diagram!$O42,'J1 D - South Bank Avenue'!$A$12:$A$130,"&lt;"&amp;Diagram!$P42),SUMIFS(INDIRECT(ADDRESS(12,3+18*3+(12),,,"J1 D - South Bank Avenue")&amp;":"&amp;ADDRESS(130,3+18*3+(12))),'J1 D - South Bank Avenue'!$A$12:$A$130,"&gt;="&amp;Diagram!$O42,'J1 D - South Bank Avenue'!$A$12:$A$130,"&lt;"&amp;Diagram!$P42)))</f>
        <v>0</v>
      </c>
      <c r="CY42" s="42">
        <f t="shared" ca="1" si="6"/>
        <v>82</v>
      </c>
      <c r="CZ42" s="42">
        <f ca="1">IF(OR($I$10="",$O42="",$P42="",$J$40&lt;&gt;"Yes"),0,IF($K$10=0,SUMIFS(INDIRECT(ADDRESS(12,3+18*3+(5),,,"J1 A - (North) Bishopthorpe Roa")&amp;":"&amp;ADDRESS(130,3+18*3+(5))),'J1 A - (North) Bishopthorpe Roa'!$A$12:$A$130,"&gt;="&amp;Diagram!$O42,'J1 A - (North) Bishopthorpe Roa'!$A$12:$A$130,"&lt;"&amp;Diagram!$P42),SUMIFS(INDIRECT(ADDRESS(12,3+18*3+(13),,,"J1 A - (North) Bishopthorpe Roa")&amp;":"&amp;ADDRESS(130,3+18*3+(13))),'J1 A - (North) Bishopthorpe Roa'!$A$12:$A$130,"&gt;="&amp;Diagram!$O42,'J1 A - (North) Bishopthorpe Roa'!$A$12:$A$130,"&lt;"&amp;Diagram!$P42)))</f>
        <v>0</v>
      </c>
      <c r="DA42" s="42">
        <f ca="1">IF(OR($I$10="",$O42="",$P42="",$J$40&lt;&gt;"Yes"),0,IF($K$10=0,SUMIFS(INDIRECT(ADDRESS(12,3+18*0+(5),,,"J1 A - (North) Bishopthorpe Roa")&amp;":"&amp;ADDRESS(130,3+18*0+(5))),'J1 A - (North) Bishopthorpe Roa'!$A$12:$A$130,"&gt;="&amp;Diagram!$O42,'J1 A - (North) Bishopthorpe Roa'!$A$12:$A$130,"&lt;"&amp;Diagram!$P42),SUMIFS(INDIRECT(ADDRESS(12,3+18*0+(13),,,"J1 A - (North) Bishopthorpe Roa")&amp;":"&amp;ADDRESS(130,3+18*0+(13))),'J1 A - (North) Bishopthorpe Roa'!$A$12:$A$130,"&gt;="&amp;Diagram!$O42,'J1 A - (North) Bishopthorpe Roa'!$A$12:$A$130,"&lt;"&amp;Diagram!$P42)))</f>
        <v>7</v>
      </c>
      <c r="DB42" s="42">
        <f ca="1">IF(OR($I$10="",$O42="",$P42="",$J$40&lt;&gt;"Yes"),0,IF($K$10=0,SUMIFS(INDIRECT(ADDRESS(12,3+18*1+(5),,,"J1 A - (North) Bishopthorpe Roa")&amp;":"&amp;ADDRESS(130,3+18*1+(5))),'J1 A - (North) Bishopthorpe Roa'!$A$12:$A$130,"&gt;="&amp;Diagram!$O42,'J1 A - (North) Bishopthorpe Roa'!$A$12:$A$130,"&lt;"&amp;Diagram!$P42),SUMIFS(INDIRECT(ADDRESS(12,3+18*1+(13),,,"J1 A - (North) Bishopthorpe Roa")&amp;":"&amp;ADDRESS(130,3+18*1+(13))),'J1 A - (North) Bishopthorpe Roa'!$A$12:$A$130,"&gt;="&amp;Diagram!$O42,'J1 A - (North) Bishopthorpe Roa'!$A$12:$A$130,"&lt;"&amp;Diagram!$P42)))</f>
        <v>12</v>
      </c>
      <c r="DC42" s="42">
        <f ca="1">IF(OR($I$10="",$O42="",$P42="",$J$40&lt;&gt;"Yes"),0,IF($K$10=0,SUMIFS(INDIRECT(ADDRESS(12,3+18*2+(5),,,"J1 A - (North) Bishopthorpe Roa")&amp;":"&amp;ADDRESS(130,3+18*2+(5))),'J1 A - (North) Bishopthorpe Roa'!$A$12:$A$130,"&gt;="&amp;Diagram!$O42,'J1 A - (North) Bishopthorpe Roa'!$A$12:$A$130,"&lt;"&amp;Diagram!$P42),SUMIFS(INDIRECT(ADDRESS(12,3+18*2+(13),,,"J1 A - (North) Bishopthorpe Roa")&amp;":"&amp;ADDRESS(130,3+18*2+(13))),'J1 A - (North) Bishopthorpe Roa'!$A$12:$A$130,"&gt;="&amp;Diagram!$O42,'J1 A - (North) Bishopthorpe Roa'!$A$12:$A$130,"&lt;"&amp;Diagram!$P42)))</f>
        <v>1</v>
      </c>
      <c r="DD42" s="42">
        <f ca="1">IF(OR($I$10="",$O42="",$P42="",$J$40&lt;&gt;"Yes"),0,IF($K$10=0,SUMIFS(INDIRECT(ADDRESS(12,3+18*2+(5),,,"J1 B - Butcher Terrace")&amp;":"&amp;ADDRESS(130,3+18*2+(5))),'J1 B - Butcher Terrace'!$A$12:$A$130,"&gt;="&amp;Diagram!$O42,'J1 B - Butcher Terrace'!$A$12:$A$130,"&lt;"&amp;Diagram!$P42),SUMIFS(INDIRECT(ADDRESS(12,3+18*2+(13),,,"J1 B - Butcher Terrace")&amp;":"&amp;ADDRESS(130,3+18*2+(13))),'J1 B - Butcher Terrace'!$A$12:$A$130,"&gt;="&amp;Diagram!$O42,'J1 B - Butcher Terrace'!$A$12:$A$130,"&lt;"&amp;Diagram!$P42)))</f>
        <v>6</v>
      </c>
      <c r="DE42" s="42">
        <f ca="1">IF(OR($I$10="",$O42="",$P42="",$J$40&lt;&gt;"Yes"),0,IF($K$10=0,SUMIFS(INDIRECT(ADDRESS(12,3+18*3+(5),,,"J1 B - Butcher Terrace")&amp;":"&amp;ADDRESS(130,3+18*3+(5))),'J1 B - Butcher Terrace'!$A$12:$A$130,"&gt;="&amp;Diagram!$O42,'J1 B - Butcher Terrace'!$A$12:$A$130,"&lt;"&amp;Diagram!$P42),SUMIFS(INDIRECT(ADDRESS(12,3+18*3+(13),,,"J1 B - Butcher Terrace")&amp;":"&amp;ADDRESS(130,3+18*3+(13))),'J1 B - Butcher Terrace'!$A$12:$A$130,"&gt;="&amp;Diagram!$O42,'J1 B - Butcher Terrace'!$A$12:$A$130,"&lt;"&amp;Diagram!$P42)))</f>
        <v>0</v>
      </c>
      <c r="DF42" s="42">
        <f ca="1">IF(OR($I$10="",$O42="",$P42="",$J$40&lt;&gt;"Yes"),0,IF($K$10=0,SUMIFS(INDIRECT(ADDRESS(12,3+18*0+(5),,,"J1 B - Butcher Terrace")&amp;":"&amp;ADDRESS(130,3+18*0+(5))),'J1 B - Butcher Terrace'!$A$12:$A$130,"&gt;="&amp;Diagram!$O42,'J1 B - Butcher Terrace'!$A$12:$A$130,"&lt;"&amp;Diagram!$P42),SUMIFS(INDIRECT(ADDRESS(12,3+18*0+(13),,,"J1 B - Butcher Terrace")&amp;":"&amp;ADDRESS(130,3+18*0+(13))),'J1 B - Butcher Terrace'!$A$12:$A$130,"&gt;="&amp;Diagram!$O42,'J1 B - Butcher Terrace'!$A$12:$A$130,"&lt;"&amp;Diagram!$P42)))</f>
        <v>5</v>
      </c>
      <c r="DG42" s="42">
        <f ca="1">IF(OR($I$10="",$O42="",$P42="",$J$40&lt;&gt;"Yes"),0,IF($K$10=0,SUMIFS(INDIRECT(ADDRESS(12,3+18*1+(5),,,"J1 B - Butcher Terrace")&amp;":"&amp;ADDRESS(130,3+18*1+(5))),'J1 B - Butcher Terrace'!$A$12:$A$130,"&gt;="&amp;Diagram!$O42,'J1 B - Butcher Terrace'!$A$12:$A$130,"&lt;"&amp;Diagram!$P42),SUMIFS(INDIRECT(ADDRESS(12,3+18*1+(13),,,"J1 B - Butcher Terrace")&amp;":"&amp;ADDRESS(130,3+18*1+(13))),'J1 B - Butcher Terrace'!$A$12:$A$130,"&gt;="&amp;Diagram!$O42,'J1 B - Butcher Terrace'!$A$12:$A$130,"&lt;"&amp;Diagram!$P42)))</f>
        <v>26</v>
      </c>
      <c r="DH42" s="42">
        <f ca="1">IF(OR($I$10="",$O42="",$P42="",$J$40&lt;&gt;"Yes"),0,IF($K$10=0,SUMIFS(INDIRECT(ADDRESS(12,3+18*1+(5),,,"J1 C - (South) Bishopthorpe Roa")&amp;":"&amp;ADDRESS(130,3+18*1+(5))),'J1 C - (South) Bishopthorpe Roa'!$A$12:$A$130,"&gt;="&amp;Diagram!$O42,'J1 C - (South) Bishopthorpe Roa'!$A$12:$A$130,"&lt;"&amp;Diagram!$P42),SUMIFS(INDIRECT(ADDRESS(12,3+18*1+(13),,,"J1 C - (South) Bishopthorpe Roa")&amp;":"&amp;ADDRESS(130,3+18*1+(13))),'J1 C - (South) Bishopthorpe Roa'!$A$12:$A$130,"&gt;="&amp;Diagram!$O42,'J1 C - (South) Bishopthorpe Roa'!$A$12:$A$130,"&lt;"&amp;Diagram!$P42)))</f>
        <v>8</v>
      </c>
      <c r="DI42" s="42">
        <f ca="1">IF(OR($I$10="",$O42="",$P42="",$J$40&lt;&gt;"Yes"),0,IF($K$10=0,SUMIFS(INDIRECT(ADDRESS(12,3+18*2+(5),,,"J1 C - (South) Bishopthorpe Roa")&amp;":"&amp;ADDRESS(130,3+18*2+(5))),'J1 C - (South) Bishopthorpe Roa'!$A$12:$A$130,"&gt;="&amp;Diagram!$O42,'J1 C - (South) Bishopthorpe Roa'!$A$12:$A$130,"&lt;"&amp;Diagram!$P42),SUMIFS(INDIRECT(ADDRESS(12,3+18*2+(13),,,"J1 C - (South) Bishopthorpe Roa")&amp;":"&amp;ADDRESS(130,3+18*2+(13))),'J1 C - (South) Bishopthorpe Roa'!$A$12:$A$130,"&gt;="&amp;Diagram!$O42,'J1 C - (South) Bishopthorpe Roa'!$A$12:$A$130,"&lt;"&amp;Diagram!$P42)))</f>
        <v>3</v>
      </c>
      <c r="DJ42" s="42">
        <f ca="1">IF(OR($I$10="",$O42="",$P42="",$J$40&lt;&gt;"Yes"),0,IF($K$10=0,SUMIFS(INDIRECT(ADDRESS(12,3+18*3+(5),,,"J1 C - (South) Bishopthorpe Roa")&amp;":"&amp;ADDRESS(130,3+18*3+(5))),'J1 C - (South) Bishopthorpe Roa'!$A$12:$A$130,"&gt;="&amp;Diagram!$O42,'J1 C - (South) Bishopthorpe Roa'!$A$12:$A$130,"&lt;"&amp;Diagram!$P42),SUMIFS(INDIRECT(ADDRESS(12,3+18*3+(13),,,"J1 C - (South) Bishopthorpe Roa")&amp;":"&amp;ADDRESS(130,3+18*3+(13))),'J1 C - (South) Bishopthorpe Roa'!$A$12:$A$130,"&gt;="&amp;Diagram!$O42,'J1 C - (South) Bishopthorpe Roa'!$A$12:$A$130,"&lt;"&amp;Diagram!$P42)))</f>
        <v>0</v>
      </c>
      <c r="DK42" s="42">
        <f ca="1">IF(OR($I$10="",$O42="",$P42="",$J$40&lt;&gt;"Yes"),0,IF($K$10=0,SUMIFS(INDIRECT(ADDRESS(12,3+18*0+(5),,,"J1 C - (South) Bishopthorpe Roa")&amp;":"&amp;ADDRESS(130,3+18*0+(5))),'J1 C - (South) Bishopthorpe Roa'!$A$12:$A$130,"&gt;="&amp;Diagram!$O42,'J1 C - (South) Bishopthorpe Roa'!$A$12:$A$130,"&lt;"&amp;Diagram!$P42),SUMIFS(INDIRECT(ADDRESS(12,3+18*0+(13),,,"J1 C - (South) Bishopthorpe Roa")&amp;":"&amp;ADDRESS(130,3+18*0+(13))),'J1 C - (South) Bishopthorpe Roa'!$A$12:$A$130,"&gt;="&amp;Diagram!$O42,'J1 C - (South) Bishopthorpe Roa'!$A$12:$A$130,"&lt;"&amp;Diagram!$P42)))</f>
        <v>0</v>
      </c>
      <c r="DL42" s="42">
        <f ca="1">IF(OR($I$10="",$O42="",$P42="",$J$40&lt;&gt;"Yes"),0,IF($K$10=0,SUMIFS(INDIRECT(ADDRESS(12,3+18*0+(5),,,"J1 D - South Bank Avenue")&amp;":"&amp;ADDRESS(130,3+18*0+(5))),'J1 D - South Bank Avenue'!$A$12:$A$130,"&gt;="&amp;Diagram!$O42,'J1 D - South Bank Avenue'!$A$12:$A$130,"&lt;"&amp;Diagram!$P42),SUMIFS(INDIRECT(ADDRESS(12,3+18*0+(13),,,"J1 D - South Bank Avenue")&amp;":"&amp;ADDRESS(130,3+18*0+(13))),'J1 D - South Bank Avenue'!$A$12:$A$130,"&gt;="&amp;Diagram!$O42,'J1 D - South Bank Avenue'!$A$12:$A$130,"&lt;"&amp;Diagram!$P42)))</f>
        <v>2</v>
      </c>
      <c r="DM42" s="42">
        <f ca="1">IF(OR($I$10="",$O42="",$P42="",$J$40&lt;&gt;"Yes"),0,IF($K$10=0,SUMIFS(INDIRECT(ADDRESS(12,3+18*1+(5),,,"J1 D - South Bank Avenue")&amp;":"&amp;ADDRESS(130,3+18*1+(5))),'J1 D - South Bank Avenue'!$A$12:$A$130,"&gt;="&amp;Diagram!$O42,'J1 D - South Bank Avenue'!$A$12:$A$130,"&lt;"&amp;Diagram!$P42),SUMIFS(INDIRECT(ADDRESS(12,3+18*1+(13),,,"J1 D - South Bank Avenue")&amp;":"&amp;ADDRESS(130,3+18*1+(13))),'J1 D - South Bank Avenue'!$A$12:$A$130,"&gt;="&amp;Diagram!$O42,'J1 D - South Bank Avenue'!$A$12:$A$130,"&lt;"&amp;Diagram!$P42)))</f>
        <v>12</v>
      </c>
      <c r="DN42" s="42">
        <f ca="1">IF(OR($I$10="",$O42="",$P42="",$J$40&lt;&gt;"Yes"),0,IF($K$10=0,SUMIFS(INDIRECT(ADDRESS(12,3+18*2+(5),,,"J1 D - South Bank Avenue")&amp;":"&amp;ADDRESS(130,3+18*2+(5))),'J1 D - South Bank Avenue'!$A$12:$A$130,"&gt;="&amp;Diagram!$O42,'J1 D - South Bank Avenue'!$A$12:$A$130,"&lt;"&amp;Diagram!$P42),SUMIFS(INDIRECT(ADDRESS(12,3+18*2+(13),,,"J1 D - South Bank Avenue")&amp;":"&amp;ADDRESS(130,3+18*2+(13))),'J1 D - South Bank Avenue'!$A$12:$A$130,"&gt;="&amp;Diagram!$O42,'J1 D - South Bank Avenue'!$A$12:$A$130,"&lt;"&amp;Diagram!$P42)))</f>
        <v>0</v>
      </c>
      <c r="DO42" s="42">
        <f ca="1">IF(OR($I$10="",$O42="",$P42="",$J$40&lt;&gt;"Yes"),0,IF($K$10=0,SUMIFS(INDIRECT(ADDRESS(12,3+18*3+(5),,,"J1 D - South Bank Avenue")&amp;":"&amp;ADDRESS(130,3+18*3+(5))),'J1 D - South Bank Avenue'!$A$12:$A$130,"&gt;="&amp;Diagram!$O42,'J1 D - South Bank Avenue'!$A$12:$A$130,"&lt;"&amp;Diagram!$P42),SUMIFS(INDIRECT(ADDRESS(12,3+18*3+(13),,,"J1 D - South Bank Avenue")&amp;":"&amp;ADDRESS(130,3+18*3+(13))),'J1 D - South Bank Avenue'!$A$12:$A$130,"&gt;="&amp;Diagram!$O42,'J1 D - South Bank Avenue'!$A$12:$A$130,"&lt;"&amp;Diagram!$P42)))</f>
        <v>0</v>
      </c>
      <c r="DP42" s="42">
        <f t="shared" ca="1" si="7"/>
        <v>4</v>
      </c>
      <c r="DQ42" s="42">
        <f ca="1">IF(OR($I$10="",$O42="",$P42="",$J$41&lt;&gt;"Yes"),0,IF($K$10=0,SUMIFS(INDIRECT(ADDRESS(12,3+18*3+(6),,,"J1 A - (North) Bishopthorpe Roa")&amp;":"&amp;ADDRESS(130,3+18*3+(6))),'J1 A - (North) Bishopthorpe Roa'!$A$12:$A$130,"&gt;="&amp;Diagram!$O42,'J1 A - (North) Bishopthorpe Roa'!$A$12:$A$130,"&lt;"&amp;Diagram!$P42),SUMIFS(INDIRECT(ADDRESS(12,3+18*3+(14),,,"J1 A - (North) Bishopthorpe Roa")&amp;":"&amp;ADDRESS(130,3+18*3+(14))),'J1 A - (North) Bishopthorpe Roa'!$A$12:$A$130,"&gt;="&amp;Diagram!$O42,'J1 A - (North) Bishopthorpe Roa'!$A$12:$A$130,"&lt;"&amp;Diagram!$P42)))</f>
        <v>0</v>
      </c>
      <c r="DR42" s="42">
        <f ca="1">IF(OR($I$10="",$O42="",$P42="",$J$41&lt;&gt;"Yes"),0,IF($K$10=0,SUMIFS(INDIRECT(ADDRESS(12,3+18*0+(6),,,"J1 A - (North) Bishopthorpe Roa")&amp;":"&amp;ADDRESS(130,3+18*0+(6))),'J1 A - (North) Bishopthorpe Roa'!$A$12:$A$130,"&gt;="&amp;Diagram!$O42,'J1 A - (North) Bishopthorpe Roa'!$A$12:$A$130,"&lt;"&amp;Diagram!$P42),SUMIFS(INDIRECT(ADDRESS(12,3+18*0+(14),,,"J1 A - (North) Bishopthorpe Roa")&amp;":"&amp;ADDRESS(130,3+18*0+(14))),'J1 A - (North) Bishopthorpe Roa'!$A$12:$A$130,"&gt;="&amp;Diagram!$O42,'J1 A - (North) Bishopthorpe Roa'!$A$12:$A$130,"&lt;"&amp;Diagram!$P42)))</f>
        <v>0</v>
      </c>
      <c r="DS42" s="42">
        <f ca="1">IF(OR($I$10="",$O42="",$P42="",$J$41&lt;&gt;"Yes"),0,IF($K$10=0,SUMIFS(INDIRECT(ADDRESS(12,3+18*1+(6),,,"J1 A - (North) Bishopthorpe Roa")&amp;":"&amp;ADDRESS(130,3+18*1+(6))),'J1 A - (North) Bishopthorpe Roa'!$A$12:$A$130,"&gt;="&amp;Diagram!$O42,'J1 A - (North) Bishopthorpe Roa'!$A$12:$A$130,"&lt;"&amp;Diagram!$P42),SUMIFS(INDIRECT(ADDRESS(12,3+18*1+(14),,,"J1 A - (North) Bishopthorpe Roa")&amp;":"&amp;ADDRESS(130,3+18*1+(14))),'J1 A - (North) Bishopthorpe Roa'!$A$12:$A$130,"&gt;="&amp;Diagram!$O42,'J1 A - (North) Bishopthorpe Roa'!$A$12:$A$130,"&lt;"&amp;Diagram!$P42)))</f>
        <v>3</v>
      </c>
      <c r="DT42" s="42">
        <f ca="1">IF(OR($I$10="",$O42="",$P42="",$J$41&lt;&gt;"Yes"),0,IF($K$10=0,SUMIFS(INDIRECT(ADDRESS(12,3+18*2+(6),,,"J1 A - (North) Bishopthorpe Roa")&amp;":"&amp;ADDRESS(130,3+18*2+(6))),'J1 A - (North) Bishopthorpe Roa'!$A$12:$A$130,"&gt;="&amp;Diagram!$O42,'J1 A - (North) Bishopthorpe Roa'!$A$12:$A$130,"&lt;"&amp;Diagram!$P42),SUMIFS(INDIRECT(ADDRESS(12,3+18*2+(14),,,"J1 A - (North) Bishopthorpe Roa")&amp;":"&amp;ADDRESS(130,3+18*2+(14))),'J1 A - (North) Bishopthorpe Roa'!$A$12:$A$130,"&gt;="&amp;Diagram!$O42,'J1 A - (North) Bishopthorpe Roa'!$A$12:$A$130,"&lt;"&amp;Diagram!$P42)))</f>
        <v>0</v>
      </c>
      <c r="DU42" s="42">
        <f ca="1">IF(OR($I$10="",$O42="",$P42="",$J$41&lt;&gt;"Yes"),0,IF($K$10=0,SUMIFS(INDIRECT(ADDRESS(12,3+18*2+(6),,,"J1 B - Butcher Terrace")&amp;":"&amp;ADDRESS(130,3+18*2+(6))),'J1 B - Butcher Terrace'!$A$12:$A$130,"&gt;="&amp;Diagram!$O42,'J1 B - Butcher Terrace'!$A$12:$A$130,"&lt;"&amp;Diagram!$P42),SUMIFS(INDIRECT(ADDRESS(12,3+18*2+(14),,,"J1 B - Butcher Terrace")&amp;":"&amp;ADDRESS(130,3+18*2+(14))),'J1 B - Butcher Terrace'!$A$12:$A$130,"&gt;="&amp;Diagram!$O42,'J1 B - Butcher Terrace'!$A$12:$A$130,"&lt;"&amp;Diagram!$P42)))</f>
        <v>0</v>
      </c>
      <c r="DV42" s="42">
        <f ca="1">IF(OR($I$10="",$O42="",$P42="",$J$41&lt;&gt;"Yes"),0,IF($K$10=0,SUMIFS(INDIRECT(ADDRESS(12,3+18*3+(6),,,"J1 B - Butcher Terrace")&amp;":"&amp;ADDRESS(130,3+18*3+(6))),'J1 B - Butcher Terrace'!$A$12:$A$130,"&gt;="&amp;Diagram!$O42,'J1 B - Butcher Terrace'!$A$12:$A$130,"&lt;"&amp;Diagram!$P42),SUMIFS(INDIRECT(ADDRESS(12,3+18*3+(14),,,"J1 B - Butcher Terrace")&amp;":"&amp;ADDRESS(130,3+18*3+(14))),'J1 B - Butcher Terrace'!$A$12:$A$130,"&gt;="&amp;Diagram!$O42,'J1 B - Butcher Terrace'!$A$12:$A$130,"&lt;"&amp;Diagram!$P42)))</f>
        <v>0</v>
      </c>
      <c r="DW42" s="42">
        <f ca="1">IF(OR($I$10="",$O42="",$P42="",$J$41&lt;&gt;"Yes"),0,IF($K$10=0,SUMIFS(INDIRECT(ADDRESS(12,3+18*0+(6),,,"J1 B - Butcher Terrace")&amp;":"&amp;ADDRESS(130,3+18*0+(6))),'J1 B - Butcher Terrace'!$A$12:$A$130,"&gt;="&amp;Diagram!$O42,'J1 B - Butcher Terrace'!$A$12:$A$130,"&lt;"&amp;Diagram!$P42),SUMIFS(INDIRECT(ADDRESS(12,3+18*0+(14),,,"J1 B - Butcher Terrace")&amp;":"&amp;ADDRESS(130,3+18*0+(14))),'J1 B - Butcher Terrace'!$A$12:$A$130,"&gt;="&amp;Diagram!$O42,'J1 B - Butcher Terrace'!$A$12:$A$130,"&lt;"&amp;Diagram!$P42)))</f>
        <v>0</v>
      </c>
      <c r="DX42" s="42">
        <f ca="1">IF(OR($I$10="",$O42="",$P42="",$J$41&lt;&gt;"Yes"),0,IF($K$10=0,SUMIFS(INDIRECT(ADDRESS(12,3+18*1+(6),,,"J1 B - Butcher Terrace")&amp;":"&amp;ADDRESS(130,3+18*1+(6))),'J1 B - Butcher Terrace'!$A$12:$A$130,"&gt;="&amp;Diagram!$O42,'J1 B - Butcher Terrace'!$A$12:$A$130,"&lt;"&amp;Diagram!$P42),SUMIFS(INDIRECT(ADDRESS(12,3+18*1+(14),,,"J1 B - Butcher Terrace")&amp;":"&amp;ADDRESS(130,3+18*1+(14))),'J1 B - Butcher Terrace'!$A$12:$A$130,"&gt;="&amp;Diagram!$O42,'J1 B - Butcher Terrace'!$A$12:$A$130,"&lt;"&amp;Diagram!$P42)))</f>
        <v>0</v>
      </c>
      <c r="DY42" s="42">
        <f ca="1">IF(OR($I$10="",$O42="",$P42="",$J$41&lt;&gt;"Yes"),0,IF($K$10=0,SUMIFS(INDIRECT(ADDRESS(12,3+18*1+(6),,,"J1 C - (South) Bishopthorpe Roa")&amp;":"&amp;ADDRESS(130,3+18*1+(6))),'J1 C - (South) Bishopthorpe Roa'!$A$12:$A$130,"&gt;="&amp;Diagram!$O42,'J1 C - (South) Bishopthorpe Roa'!$A$12:$A$130,"&lt;"&amp;Diagram!$P42),SUMIFS(INDIRECT(ADDRESS(12,3+18*1+(14),,,"J1 C - (South) Bishopthorpe Roa")&amp;":"&amp;ADDRESS(130,3+18*1+(14))),'J1 C - (South) Bishopthorpe Roa'!$A$12:$A$130,"&gt;="&amp;Diagram!$O42,'J1 C - (South) Bishopthorpe Roa'!$A$12:$A$130,"&lt;"&amp;Diagram!$P42)))</f>
        <v>1</v>
      </c>
      <c r="DZ42" s="42">
        <f ca="1">IF(OR($I$10="",$O42="",$P42="",$J$41&lt;&gt;"Yes"),0,IF($K$10=0,SUMIFS(INDIRECT(ADDRESS(12,3+18*2+(6),,,"J1 C - (South) Bishopthorpe Roa")&amp;":"&amp;ADDRESS(130,3+18*2+(6))),'J1 C - (South) Bishopthorpe Roa'!$A$12:$A$130,"&gt;="&amp;Diagram!$O42,'J1 C - (South) Bishopthorpe Roa'!$A$12:$A$130,"&lt;"&amp;Diagram!$P42),SUMIFS(INDIRECT(ADDRESS(12,3+18*2+(14),,,"J1 C - (South) Bishopthorpe Roa")&amp;":"&amp;ADDRESS(130,3+18*2+(14))),'J1 C - (South) Bishopthorpe Roa'!$A$12:$A$130,"&gt;="&amp;Diagram!$O42,'J1 C - (South) Bishopthorpe Roa'!$A$12:$A$130,"&lt;"&amp;Diagram!$P42)))</f>
        <v>0</v>
      </c>
      <c r="EA42" s="42">
        <f ca="1">IF(OR($I$10="",$O42="",$P42="",$J$41&lt;&gt;"Yes"),0,IF($K$10=0,SUMIFS(INDIRECT(ADDRESS(12,3+18*3+(6),,,"J1 C - (South) Bishopthorpe Roa")&amp;":"&amp;ADDRESS(130,3+18*3+(6))),'J1 C - (South) Bishopthorpe Roa'!$A$12:$A$130,"&gt;="&amp;Diagram!$O42,'J1 C - (South) Bishopthorpe Roa'!$A$12:$A$130,"&lt;"&amp;Diagram!$P42),SUMIFS(INDIRECT(ADDRESS(12,3+18*3+(14),,,"J1 C - (South) Bishopthorpe Roa")&amp;":"&amp;ADDRESS(130,3+18*3+(14))),'J1 C - (South) Bishopthorpe Roa'!$A$12:$A$130,"&gt;="&amp;Diagram!$O42,'J1 C - (South) Bishopthorpe Roa'!$A$12:$A$130,"&lt;"&amp;Diagram!$P42)))</f>
        <v>0</v>
      </c>
      <c r="EB42" s="42">
        <f ca="1">IF(OR($I$10="",$O42="",$P42="",$J$41&lt;&gt;"Yes"),0,IF($K$10=0,SUMIFS(INDIRECT(ADDRESS(12,3+18*0+(6),,,"J1 C - (South) Bishopthorpe Roa")&amp;":"&amp;ADDRESS(130,3+18*0+(6))),'J1 C - (South) Bishopthorpe Roa'!$A$12:$A$130,"&gt;="&amp;Diagram!$O42,'J1 C - (South) Bishopthorpe Roa'!$A$12:$A$130,"&lt;"&amp;Diagram!$P42),SUMIFS(INDIRECT(ADDRESS(12,3+18*0+(14),,,"J1 C - (South) Bishopthorpe Roa")&amp;":"&amp;ADDRESS(130,3+18*0+(14))),'J1 C - (South) Bishopthorpe Roa'!$A$12:$A$130,"&gt;="&amp;Diagram!$O42,'J1 C - (South) Bishopthorpe Roa'!$A$12:$A$130,"&lt;"&amp;Diagram!$P42)))</f>
        <v>0</v>
      </c>
      <c r="EC42" s="42">
        <f ca="1">IF(OR($I$10="",$O42="",$P42="",$J$41&lt;&gt;"Yes"),0,IF($K$10=0,SUMIFS(INDIRECT(ADDRESS(12,3+18*0+(6),,,"J1 D - South Bank Avenue")&amp;":"&amp;ADDRESS(130,3+18*0+(6))),'J1 D - South Bank Avenue'!$A$12:$A$130,"&gt;="&amp;Diagram!$O42,'J1 D - South Bank Avenue'!$A$12:$A$130,"&lt;"&amp;Diagram!$P42),SUMIFS(INDIRECT(ADDRESS(12,3+18*0+(14),,,"J1 D - South Bank Avenue")&amp;":"&amp;ADDRESS(130,3+18*0+(14))),'J1 D - South Bank Avenue'!$A$12:$A$130,"&gt;="&amp;Diagram!$O42,'J1 D - South Bank Avenue'!$A$12:$A$130,"&lt;"&amp;Diagram!$P42)))</f>
        <v>0</v>
      </c>
      <c r="ED42" s="42">
        <f ca="1">IF(OR($I$10="",$O42="",$P42="",$J$41&lt;&gt;"Yes"),0,IF($K$10=0,SUMIFS(INDIRECT(ADDRESS(12,3+18*1+(6),,,"J1 D - South Bank Avenue")&amp;":"&amp;ADDRESS(130,3+18*1+(6))),'J1 D - South Bank Avenue'!$A$12:$A$130,"&gt;="&amp;Diagram!$O42,'J1 D - South Bank Avenue'!$A$12:$A$130,"&lt;"&amp;Diagram!$P42),SUMIFS(INDIRECT(ADDRESS(12,3+18*1+(14),,,"J1 D - South Bank Avenue")&amp;":"&amp;ADDRESS(130,3+18*1+(14))),'J1 D - South Bank Avenue'!$A$12:$A$130,"&gt;="&amp;Diagram!$O42,'J1 D - South Bank Avenue'!$A$12:$A$130,"&lt;"&amp;Diagram!$P42)))</f>
        <v>0</v>
      </c>
      <c r="EE42" s="42">
        <f ca="1">IF(OR($I$10="",$O42="",$P42="",$J$41&lt;&gt;"Yes"),0,IF($K$10=0,SUMIFS(INDIRECT(ADDRESS(12,3+18*2+(6),,,"J1 D - South Bank Avenue")&amp;":"&amp;ADDRESS(130,3+18*2+(6))),'J1 D - South Bank Avenue'!$A$12:$A$130,"&gt;="&amp;Diagram!$O42,'J1 D - South Bank Avenue'!$A$12:$A$130,"&lt;"&amp;Diagram!$P42),SUMIFS(INDIRECT(ADDRESS(12,3+18*2+(14),,,"J1 D - South Bank Avenue")&amp;":"&amp;ADDRESS(130,3+18*2+(14))),'J1 D - South Bank Avenue'!$A$12:$A$130,"&gt;="&amp;Diagram!$O42,'J1 D - South Bank Avenue'!$A$12:$A$130,"&lt;"&amp;Diagram!$P42)))</f>
        <v>0</v>
      </c>
      <c r="EF42" s="42">
        <f ca="1">IF(OR($I$10="",$O42="",$P42="",$J$41&lt;&gt;"Yes"),0,IF($K$10=0,SUMIFS(INDIRECT(ADDRESS(12,3+18*3+(6),,,"J1 D - South Bank Avenue")&amp;":"&amp;ADDRESS(130,3+18*3+(6))),'J1 D - South Bank Avenue'!$A$12:$A$130,"&gt;="&amp;Diagram!$O42,'J1 D - South Bank Avenue'!$A$12:$A$130,"&lt;"&amp;Diagram!$P42),SUMIFS(INDIRECT(ADDRESS(12,3+18*3+(14),,,"J1 D - South Bank Avenue")&amp;":"&amp;ADDRESS(130,3+18*3+(14))),'J1 D - South Bank Avenue'!$A$12:$A$130,"&gt;="&amp;Diagram!$O42,'J1 D - South Bank Avenue'!$A$12:$A$130,"&lt;"&amp;Diagram!$P42)))</f>
        <v>0</v>
      </c>
      <c r="EG42" s="42">
        <f t="shared" ca="1" si="8"/>
        <v>6</v>
      </c>
      <c r="EH42" s="42">
        <f ca="1">IF(OR($I$10="",$O42="",$P42="",$J$42&lt;&gt;"Yes"),0,IF($K$10=0,SUMIFS(INDIRECT(ADDRESS(12,3+18*3+(7),,,"J1 A - (North) Bishopthorpe Roa")&amp;":"&amp;ADDRESS(130,3+18*3+(7))),'J1 A - (North) Bishopthorpe Roa'!$A$12:$A$130,"&gt;="&amp;Diagram!$O42,'J1 A - (North) Bishopthorpe Roa'!$A$12:$A$130,"&lt;"&amp;Diagram!$P42),SUMIFS(INDIRECT(ADDRESS(12,3+18*3+(15),,,"J1 A - (North) Bishopthorpe Roa")&amp;":"&amp;ADDRESS(130,3+18*3+(15))),'J1 A - (North) Bishopthorpe Roa'!$A$12:$A$130,"&gt;="&amp;Diagram!$O42,'J1 A - (North) Bishopthorpe Roa'!$A$12:$A$130,"&lt;"&amp;Diagram!$P42)))</f>
        <v>0</v>
      </c>
      <c r="EI42" s="42">
        <f ca="1">IF(OR($I$10="",$O42="",$P42="",$J$42&lt;&gt;"Yes"),0,IF($K$10=0,SUMIFS(INDIRECT(ADDRESS(12,3+18*0+(7),,,"J1 A - (North) Bishopthorpe Roa")&amp;":"&amp;ADDRESS(130,3+18*0+(7))),'J1 A - (North) Bishopthorpe Roa'!$A$12:$A$130,"&gt;="&amp;Diagram!$O42,'J1 A - (North) Bishopthorpe Roa'!$A$12:$A$130,"&lt;"&amp;Diagram!$P42),SUMIFS(INDIRECT(ADDRESS(12,3+18*0+(15),,,"J1 A - (North) Bishopthorpe Roa")&amp;":"&amp;ADDRESS(130,3+18*0+(15))),'J1 A - (North) Bishopthorpe Roa'!$A$12:$A$130,"&gt;="&amp;Diagram!$O42,'J1 A - (North) Bishopthorpe Roa'!$A$12:$A$130,"&lt;"&amp;Diagram!$P42)))</f>
        <v>0</v>
      </c>
      <c r="EJ42" s="42">
        <f ca="1">IF(OR($I$10="",$O42="",$P42="",$J$42&lt;&gt;"Yes"),0,IF($K$10=0,SUMIFS(INDIRECT(ADDRESS(12,3+18*1+(7),,,"J1 A - (North) Bishopthorpe Roa")&amp;":"&amp;ADDRESS(130,3+18*1+(7))),'J1 A - (North) Bishopthorpe Roa'!$A$12:$A$130,"&gt;="&amp;Diagram!$O42,'J1 A - (North) Bishopthorpe Roa'!$A$12:$A$130,"&lt;"&amp;Diagram!$P42),SUMIFS(INDIRECT(ADDRESS(12,3+18*1+(15),,,"J1 A - (North) Bishopthorpe Roa")&amp;":"&amp;ADDRESS(130,3+18*1+(15))),'J1 A - (North) Bishopthorpe Roa'!$A$12:$A$130,"&gt;="&amp;Diagram!$O42,'J1 A - (North) Bishopthorpe Roa'!$A$12:$A$130,"&lt;"&amp;Diagram!$P42)))</f>
        <v>0</v>
      </c>
      <c r="EK42" s="42">
        <f ca="1">IF(OR($I$10="",$O42="",$P42="",$J$42&lt;&gt;"Yes"),0,IF($K$10=0,SUMIFS(INDIRECT(ADDRESS(12,3+18*2+(7),,,"J1 A - (North) Bishopthorpe Roa")&amp;":"&amp;ADDRESS(130,3+18*2+(7))),'J1 A - (North) Bishopthorpe Roa'!$A$12:$A$130,"&gt;="&amp;Diagram!$O42,'J1 A - (North) Bishopthorpe Roa'!$A$12:$A$130,"&lt;"&amp;Diagram!$P42),SUMIFS(INDIRECT(ADDRESS(12,3+18*2+(15),,,"J1 A - (North) Bishopthorpe Roa")&amp;":"&amp;ADDRESS(130,3+18*2+(15))),'J1 A - (North) Bishopthorpe Roa'!$A$12:$A$130,"&gt;="&amp;Diagram!$O42,'J1 A - (North) Bishopthorpe Roa'!$A$12:$A$130,"&lt;"&amp;Diagram!$P42)))</f>
        <v>0</v>
      </c>
      <c r="EL42" s="42">
        <f ca="1">IF(OR($I$10="",$O42="",$P42="",$J$42&lt;&gt;"Yes"),0,IF($K$10=0,SUMIFS(INDIRECT(ADDRESS(12,3+18*2+(7),,,"J1 B - Butcher Terrace")&amp;":"&amp;ADDRESS(130,3+18*2+(7))),'J1 B - Butcher Terrace'!$A$12:$A$130,"&gt;="&amp;Diagram!$O42,'J1 B - Butcher Terrace'!$A$12:$A$130,"&lt;"&amp;Diagram!$P42),SUMIFS(INDIRECT(ADDRESS(12,3+18*2+(15),,,"J1 B - Butcher Terrace")&amp;":"&amp;ADDRESS(130,3+18*2+(15))),'J1 B - Butcher Terrace'!$A$12:$A$130,"&gt;="&amp;Diagram!$O42,'J1 B - Butcher Terrace'!$A$12:$A$130,"&lt;"&amp;Diagram!$P42)))</f>
        <v>3</v>
      </c>
      <c r="EM42" s="42">
        <f ca="1">IF(OR($I$10="",$O42="",$P42="",$J$42&lt;&gt;"Yes"),0,IF($K$10=0,SUMIFS(INDIRECT(ADDRESS(12,3+18*3+(7),,,"J1 B - Butcher Terrace")&amp;":"&amp;ADDRESS(130,3+18*3+(7))),'J1 B - Butcher Terrace'!$A$12:$A$130,"&gt;="&amp;Diagram!$O42,'J1 B - Butcher Terrace'!$A$12:$A$130,"&lt;"&amp;Diagram!$P42),SUMIFS(INDIRECT(ADDRESS(12,3+18*3+(15),,,"J1 B - Butcher Terrace")&amp;":"&amp;ADDRESS(130,3+18*3+(15))),'J1 B - Butcher Terrace'!$A$12:$A$130,"&gt;="&amp;Diagram!$O42,'J1 B - Butcher Terrace'!$A$12:$A$130,"&lt;"&amp;Diagram!$P42)))</f>
        <v>0</v>
      </c>
      <c r="EN42" s="42">
        <f ca="1">IF(OR($I$10="",$O42="",$P42="",$J$42&lt;&gt;"Yes"),0,IF($K$10=0,SUMIFS(INDIRECT(ADDRESS(12,3+18*0+(7),,,"J1 B - Butcher Terrace")&amp;":"&amp;ADDRESS(130,3+18*0+(7))),'J1 B - Butcher Terrace'!$A$12:$A$130,"&gt;="&amp;Diagram!$O42,'J1 B - Butcher Terrace'!$A$12:$A$130,"&lt;"&amp;Diagram!$P42),SUMIFS(INDIRECT(ADDRESS(12,3+18*0+(15),,,"J1 B - Butcher Terrace")&amp;":"&amp;ADDRESS(130,3+18*0+(15))),'J1 B - Butcher Terrace'!$A$12:$A$130,"&gt;="&amp;Diagram!$O42,'J1 B - Butcher Terrace'!$A$12:$A$130,"&lt;"&amp;Diagram!$P42)))</f>
        <v>3</v>
      </c>
      <c r="EO42" s="42">
        <f ca="1">IF(OR($I$10="",$O42="",$P42="",$J$42&lt;&gt;"Yes"),0,IF($K$10=0,SUMIFS(INDIRECT(ADDRESS(12,3+18*1+(7),,,"J1 B - Butcher Terrace")&amp;":"&amp;ADDRESS(130,3+18*1+(7))),'J1 B - Butcher Terrace'!$A$12:$A$130,"&gt;="&amp;Diagram!$O42,'J1 B - Butcher Terrace'!$A$12:$A$130,"&lt;"&amp;Diagram!$P42),SUMIFS(INDIRECT(ADDRESS(12,3+18*1+(15),,,"J1 B - Butcher Terrace")&amp;":"&amp;ADDRESS(130,3+18*1+(15))),'J1 B - Butcher Terrace'!$A$12:$A$130,"&gt;="&amp;Diagram!$O42,'J1 B - Butcher Terrace'!$A$12:$A$130,"&lt;"&amp;Diagram!$P42)))</f>
        <v>0</v>
      </c>
      <c r="EP42" s="42">
        <f ca="1">IF(OR($I$10="",$O42="",$P42="",$J$42&lt;&gt;"Yes"),0,IF($K$10=0,SUMIFS(INDIRECT(ADDRESS(12,3+18*1+(7),,,"J1 C - (South) Bishopthorpe Roa")&amp;":"&amp;ADDRESS(130,3+18*1+(7))),'J1 C - (South) Bishopthorpe Roa'!$A$12:$A$130,"&gt;="&amp;Diagram!$O42,'J1 C - (South) Bishopthorpe Roa'!$A$12:$A$130,"&lt;"&amp;Diagram!$P42),SUMIFS(INDIRECT(ADDRESS(12,3+18*1+(15),,,"J1 C - (South) Bishopthorpe Roa")&amp;":"&amp;ADDRESS(130,3+18*1+(15))),'J1 C - (South) Bishopthorpe Roa'!$A$12:$A$130,"&gt;="&amp;Diagram!$O42,'J1 C - (South) Bishopthorpe Roa'!$A$12:$A$130,"&lt;"&amp;Diagram!$P42)))</f>
        <v>0</v>
      </c>
      <c r="EQ42" s="42">
        <f ca="1">IF(OR($I$10="",$O42="",$P42="",$J$42&lt;&gt;"Yes"),0,IF($K$10=0,SUMIFS(INDIRECT(ADDRESS(12,3+18*2+(7),,,"J1 C - (South) Bishopthorpe Roa")&amp;":"&amp;ADDRESS(130,3+18*2+(7))),'J1 C - (South) Bishopthorpe Roa'!$A$12:$A$130,"&gt;="&amp;Diagram!$O42,'J1 C - (South) Bishopthorpe Roa'!$A$12:$A$130,"&lt;"&amp;Diagram!$P42),SUMIFS(INDIRECT(ADDRESS(12,3+18*2+(15),,,"J1 C - (South) Bishopthorpe Roa")&amp;":"&amp;ADDRESS(130,3+18*2+(15))),'J1 C - (South) Bishopthorpe Roa'!$A$12:$A$130,"&gt;="&amp;Diagram!$O42,'J1 C - (South) Bishopthorpe Roa'!$A$12:$A$130,"&lt;"&amp;Diagram!$P42)))</f>
        <v>0</v>
      </c>
      <c r="ER42" s="42">
        <f ca="1">IF(OR($I$10="",$O42="",$P42="",$J$42&lt;&gt;"Yes"),0,IF($K$10=0,SUMIFS(INDIRECT(ADDRESS(12,3+18*3+(7),,,"J1 C - (South) Bishopthorpe Roa")&amp;":"&amp;ADDRESS(130,3+18*3+(7))),'J1 C - (South) Bishopthorpe Roa'!$A$12:$A$130,"&gt;="&amp;Diagram!$O42,'J1 C - (South) Bishopthorpe Roa'!$A$12:$A$130,"&lt;"&amp;Diagram!$P42),SUMIFS(INDIRECT(ADDRESS(12,3+18*3+(15),,,"J1 C - (South) Bishopthorpe Roa")&amp;":"&amp;ADDRESS(130,3+18*3+(15))),'J1 C - (South) Bishopthorpe Roa'!$A$12:$A$130,"&gt;="&amp;Diagram!$O42,'J1 C - (South) Bishopthorpe Roa'!$A$12:$A$130,"&lt;"&amp;Diagram!$P42)))</f>
        <v>0</v>
      </c>
      <c r="ES42" s="42">
        <f ca="1">IF(OR($I$10="",$O42="",$P42="",$J$42&lt;&gt;"Yes"),0,IF($K$10=0,SUMIFS(INDIRECT(ADDRESS(12,3+18*0+(7),,,"J1 C - (South) Bishopthorpe Roa")&amp;":"&amp;ADDRESS(130,3+18*0+(7))),'J1 C - (South) Bishopthorpe Roa'!$A$12:$A$130,"&gt;="&amp;Diagram!$O42,'J1 C - (South) Bishopthorpe Roa'!$A$12:$A$130,"&lt;"&amp;Diagram!$P42),SUMIFS(INDIRECT(ADDRESS(12,3+18*0+(15),,,"J1 C - (South) Bishopthorpe Roa")&amp;":"&amp;ADDRESS(130,3+18*0+(15))),'J1 C - (South) Bishopthorpe Roa'!$A$12:$A$130,"&gt;="&amp;Diagram!$O42,'J1 C - (South) Bishopthorpe Roa'!$A$12:$A$130,"&lt;"&amp;Diagram!$P42)))</f>
        <v>0</v>
      </c>
      <c r="ET42" s="42">
        <f ca="1">IF(OR($I$10="",$O42="",$P42="",$J$42&lt;&gt;"Yes"),0,IF($K$10=0,SUMIFS(INDIRECT(ADDRESS(12,3+18*0+(7),,,"J1 D - South Bank Avenue")&amp;":"&amp;ADDRESS(130,3+18*0+(7))),'J1 D - South Bank Avenue'!$A$12:$A$130,"&gt;="&amp;Diagram!$O42,'J1 D - South Bank Avenue'!$A$12:$A$130,"&lt;"&amp;Diagram!$P42),SUMIFS(INDIRECT(ADDRESS(12,3+18*0+(15),,,"J1 D - South Bank Avenue")&amp;":"&amp;ADDRESS(130,3+18*0+(15))),'J1 D - South Bank Avenue'!$A$12:$A$130,"&gt;="&amp;Diagram!$O42,'J1 D - South Bank Avenue'!$A$12:$A$130,"&lt;"&amp;Diagram!$P42)))</f>
        <v>0</v>
      </c>
      <c r="EU42" s="42">
        <f ca="1">IF(OR($I$10="",$O42="",$P42="",$J$42&lt;&gt;"Yes"),0,IF($K$10=0,SUMIFS(INDIRECT(ADDRESS(12,3+18*1+(7),,,"J1 D - South Bank Avenue")&amp;":"&amp;ADDRESS(130,3+18*1+(7))),'J1 D - South Bank Avenue'!$A$12:$A$130,"&gt;="&amp;Diagram!$O42,'J1 D - South Bank Avenue'!$A$12:$A$130,"&lt;"&amp;Diagram!$P42),SUMIFS(INDIRECT(ADDRESS(12,3+18*1+(15),,,"J1 D - South Bank Avenue")&amp;":"&amp;ADDRESS(130,3+18*1+(15))),'J1 D - South Bank Avenue'!$A$12:$A$130,"&gt;="&amp;Diagram!$O42,'J1 D - South Bank Avenue'!$A$12:$A$130,"&lt;"&amp;Diagram!$P42)))</f>
        <v>0</v>
      </c>
      <c r="EV42" s="42">
        <f ca="1">IF(OR($I$10="",$O42="",$P42="",$J$42&lt;&gt;"Yes"),0,IF($K$10=0,SUMIFS(INDIRECT(ADDRESS(12,3+18*2+(7),,,"J1 D - South Bank Avenue")&amp;":"&amp;ADDRESS(130,3+18*2+(7))),'J1 D - South Bank Avenue'!$A$12:$A$130,"&gt;="&amp;Diagram!$O42,'J1 D - South Bank Avenue'!$A$12:$A$130,"&lt;"&amp;Diagram!$P42),SUMIFS(INDIRECT(ADDRESS(12,3+18*2+(15),,,"J1 D - South Bank Avenue")&amp;":"&amp;ADDRESS(130,3+18*2+(15))),'J1 D - South Bank Avenue'!$A$12:$A$130,"&gt;="&amp;Diagram!$O42,'J1 D - South Bank Avenue'!$A$12:$A$130,"&lt;"&amp;Diagram!$P42)))</f>
        <v>0</v>
      </c>
      <c r="EW42" s="42">
        <f ca="1">IF(OR($I$10="",$O42="",$P42="",$J$42&lt;&gt;"Yes"),0,IF($K$10=0,SUMIFS(INDIRECT(ADDRESS(12,3+18*3+(7),,,"J1 D - South Bank Avenue")&amp;":"&amp;ADDRESS(130,3+18*3+(7))),'J1 D - South Bank Avenue'!$A$12:$A$130,"&gt;="&amp;Diagram!$O42,'J1 D - South Bank Avenue'!$A$12:$A$130,"&lt;"&amp;Diagram!$P42),SUMIFS(INDIRECT(ADDRESS(12,3+18*3+(15),,,"J1 D - South Bank Avenue")&amp;":"&amp;ADDRESS(130,3+18*3+(15))),'J1 D - South Bank Avenue'!$A$12:$A$130,"&gt;="&amp;Diagram!$O42,'J1 D - South Bank Avenue'!$A$12:$A$130,"&lt;"&amp;Diagram!$P42)))</f>
        <v>0</v>
      </c>
    </row>
    <row r="43" spans="1:153">
      <c r="A43" s="1">
        <v>44395.4375</v>
      </c>
      <c r="B43" s="1">
        <v>44395.447916666701</v>
      </c>
      <c r="O43" s="3">
        <v>44395.4375</v>
      </c>
      <c r="P43" s="3">
        <v>44395.479166666701</v>
      </c>
      <c r="Q43" s="42">
        <f t="shared" ca="1" si="0"/>
        <v>610</v>
      </c>
      <c r="R43" s="42">
        <f t="shared" ca="1" si="1"/>
        <v>438</v>
      </c>
      <c r="S43" s="42">
        <f ca="1">IF(OR($I$10="",$O43="",$P43="",$J$35&lt;&gt;"Yes"),0,IF($K$10=0,SUMIFS(INDIRECT(ADDRESS(12,3+18*3+(0),,,"J1 A - (North) Bishopthorpe Roa")&amp;":"&amp;ADDRESS(130,3+18*3+(0))),'J1 A - (North) Bishopthorpe Roa'!$A$12:$A$130,"&gt;="&amp;Diagram!$O43,'J1 A - (North) Bishopthorpe Roa'!$A$12:$A$130,"&lt;"&amp;Diagram!$P43),SUMIFS(INDIRECT(ADDRESS(12,3+18*3+(8),,,"J1 A - (North) Bishopthorpe Roa")&amp;":"&amp;ADDRESS(130,3+18*3+(8))),'J1 A - (North) Bishopthorpe Roa'!$A$12:$A$130,"&gt;="&amp;Diagram!$O43,'J1 A - (North) Bishopthorpe Roa'!$A$12:$A$130,"&lt;"&amp;Diagram!$P43)))</f>
        <v>0</v>
      </c>
      <c r="T43" s="42">
        <f ca="1">IF(OR($I$10="",$O43="",$P43="",$J$35&lt;&gt;"Yes"),0,IF($K$10=0,SUMIFS(INDIRECT(ADDRESS(12,3+18*0+(0),,,"J1 A - (North) Bishopthorpe Roa")&amp;":"&amp;ADDRESS(130,3+18*0+(0))),'J1 A - (North) Bishopthorpe Roa'!$A$12:$A$130,"&gt;="&amp;Diagram!$O43,'J1 A - (North) Bishopthorpe Roa'!$A$12:$A$130,"&lt;"&amp;Diagram!$P43),SUMIFS(INDIRECT(ADDRESS(12,3+18*0+(8),,,"J1 A - (North) Bishopthorpe Roa")&amp;":"&amp;ADDRESS(130,3+18*0+(8))),'J1 A - (North) Bishopthorpe Roa'!$A$12:$A$130,"&gt;="&amp;Diagram!$O43,'J1 A - (North) Bishopthorpe Roa'!$A$12:$A$130,"&lt;"&amp;Diagram!$P43)))</f>
        <v>11</v>
      </c>
      <c r="U43" s="42">
        <f ca="1">IF(OR($I$10="",$O43="",$P43="",$J$35&lt;&gt;"Yes"),0,IF($K$10=0,SUMIFS(INDIRECT(ADDRESS(12,3+18*1+(0),,,"J1 A - (North) Bishopthorpe Roa")&amp;":"&amp;ADDRESS(130,3+18*1+(0))),'J1 A - (North) Bishopthorpe Roa'!$A$12:$A$130,"&gt;="&amp;Diagram!$O43,'J1 A - (North) Bishopthorpe Roa'!$A$12:$A$130,"&lt;"&amp;Diagram!$P43),SUMIFS(INDIRECT(ADDRESS(12,3+18*1+(8),,,"J1 A - (North) Bishopthorpe Roa")&amp;":"&amp;ADDRESS(130,3+18*1+(8))),'J1 A - (North) Bishopthorpe Roa'!$A$12:$A$130,"&gt;="&amp;Diagram!$O43,'J1 A - (North) Bishopthorpe Roa'!$A$12:$A$130,"&lt;"&amp;Diagram!$P43)))</f>
        <v>174</v>
      </c>
      <c r="V43" s="42">
        <f ca="1">IF(OR($I$10="",$O43="",$P43="",$J$35&lt;&gt;"Yes"),0,IF($K$10=0,SUMIFS(INDIRECT(ADDRESS(12,3+18*2+(0),,,"J1 A - (North) Bishopthorpe Roa")&amp;":"&amp;ADDRESS(130,3+18*2+(0))),'J1 A - (North) Bishopthorpe Roa'!$A$12:$A$130,"&gt;="&amp;Diagram!$O43,'J1 A - (North) Bishopthorpe Roa'!$A$12:$A$130,"&lt;"&amp;Diagram!$P43),SUMIFS(INDIRECT(ADDRESS(12,3+18*2+(8),,,"J1 A - (North) Bishopthorpe Roa")&amp;":"&amp;ADDRESS(130,3+18*2+(8))),'J1 A - (North) Bishopthorpe Roa'!$A$12:$A$130,"&gt;="&amp;Diagram!$O43,'J1 A - (North) Bishopthorpe Roa'!$A$12:$A$130,"&lt;"&amp;Diagram!$P43)))</f>
        <v>19</v>
      </c>
      <c r="W43" s="42">
        <f ca="1">IF(OR($I$10="",$O43="",$P43="",$J$35&lt;&gt;"Yes"),0,IF($K$10=0,SUMIFS(INDIRECT(ADDRESS(12,3+18*2+(0),,,"J1 B - Butcher Terrace")&amp;":"&amp;ADDRESS(130,3+18*2+(0))),'J1 B - Butcher Terrace'!$A$12:$A$130,"&gt;="&amp;Diagram!$O43,'J1 B - Butcher Terrace'!$A$12:$A$130,"&lt;"&amp;Diagram!$P43),SUMIFS(INDIRECT(ADDRESS(12,3+18*2+(8),,,"J1 B - Butcher Terrace")&amp;":"&amp;ADDRESS(130,3+18*2+(8))),'J1 B - Butcher Terrace'!$A$12:$A$130,"&gt;="&amp;Diagram!$O43,'J1 B - Butcher Terrace'!$A$12:$A$130,"&lt;"&amp;Diagram!$P43)))</f>
        <v>13</v>
      </c>
      <c r="X43" s="42">
        <f ca="1">IF(OR($I$10="",$O43="",$P43="",$J$35&lt;&gt;"Yes"),0,IF($K$10=0,SUMIFS(INDIRECT(ADDRESS(12,3+18*3+(0),,,"J1 B - Butcher Terrace")&amp;":"&amp;ADDRESS(130,3+18*3+(0))),'J1 B - Butcher Terrace'!$A$12:$A$130,"&gt;="&amp;Diagram!$O43,'J1 B - Butcher Terrace'!$A$12:$A$130,"&lt;"&amp;Diagram!$P43),SUMIFS(INDIRECT(ADDRESS(12,3+18*3+(8),,,"J1 B - Butcher Terrace")&amp;":"&amp;ADDRESS(130,3+18*3+(8))),'J1 B - Butcher Terrace'!$A$12:$A$130,"&gt;="&amp;Diagram!$O43,'J1 B - Butcher Terrace'!$A$12:$A$130,"&lt;"&amp;Diagram!$P43)))</f>
        <v>0</v>
      </c>
      <c r="Y43" s="42">
        <f ca="1">IF(OR($I$10="",$O43="",$P43="",$J$35&lt;&gt;"Yes"),0,IF($K$10=0,SUMIFS(INDIRECT(ADDRESS(12,3+18*0+(0),,,"J1 B - Butcher Terrace")&amp;":"&amp;ADDRESS(130,3+18*0+(0))),'J1 B - Butcher Terrace'!$A$12:$A$130,"&gt;="&amp;Diagram!$O43,'J1 B - Butcher Terrace'!$A$12:$A$130,"&lt;"&amp;Diagram!$P43),SUMIFS(INDIRECT(ADDRESS(12,3+18*0+(8),,,"J1 B - Butcher Terrace")&amp;":"&amp;ADDRESS(130,3+18*0+(8))),'J1 B - Butcher Terrace'!$A$12:$A$130,"&gt;="&amp;Diagram!$O43,'J1 B - Butcher Terrace'!$A$12:$A$130,"&lt;"&amp;Diagram!$P43)))</f>
        <v>11</v>
      </c>
      <c r="Z43" s="42">
        <f ca="1">IF(OR($I$10="",$O43="",$P43="",$J$35&lt;&gt;"Yes"),0,IF($K$10=0,SUMIFS(INDIRECT(ADDRESS(12,3+18*1+(0),,,"J1 B - Butcher Terrace")&amp;":"&amp;ADDRESS(130,3+18*1+(0))),'J1 B - Butcher Terrace'!$A$12:$A$130,"&gt;="&amp;Diagram!$O43,'J1 B - Butcher Terrace'!$A$12:$A$130,"&lt;"&amp;Diagram!$P43),SUMIFS(INDIRECT(ADDRESS(12,3+18*1+(8),,,"J1 B - Butcher Terrace")&amp;":"&amp;ADDRESS(130,3+18*1+(8))),'J1 B - Butcher Terrace'!$A$12:$A$130,"&gt;="&amp;Diagram!$O43,'J1 B - Butcher Terrace'!$A$12:$A$130,"&lt;"&amp;Diagram!$P43)))</f>
        <v>0</v>
      </c>
      <c r="AA43" s="42">
        <f ca="1">IF(OR($I$10="",$O43="",$P43="",$J$35&lt;&gt;"Yes"),0,IF($K$10=0,SUMIFS(INDIRECT(ADDRESS(12,3+18*1+(0),,,"J1 C - (South) Bishopthorpe Roa")&amp;":"&amp;ADDRESS(130,3+18*1+(0))),'J1 C - (South) Bishopthorpe Roa'!$A$12:$A$130,"&gt;="&amp;Diagram!$O43,'J1 C - (South) Bishopthorpe Roa'!$A$12:$A$130,"&lt;"&amp;Diagram!$P43),SUMIFS(INDIRECT(ADDRESS(12,3+18*1+(8),,,"J1 C - (South) Bishopthorpe Roa")&amp;":"&amp;ADDRESS(130,3+18*1+(8))),'J1 C - (South) Bishopthorpe Roa'!$A$12:$A$130,"&gt;="&amp;Diagram!$O43,'J1 C - (South) Bishopthorpe Roa'!$A$12:$A$130,"&lt;"&amp;Diagram!$P43)))</f>
        <v>171</v>
      </c>
      <c r="AB43" s="42">
        <f ca="1">IF(OR($I$10="",$O43="",$P43="",$J$35&lt;&gt;"Yes"),0,IF($K$10=0,SUMIFS(INDIRECT(ADDRESS(12,3+18*2+(0),,,"J1 C - (South) Bishopthorpe Roa")&amp;":"&amp;ADDRESS(130,3+18*2+(0))),'J1 C - (South) Bishopthorpe Roa'!$A$12:$A$130,"&gt;="&amp;Diagram!$O43,'J1 C - (South) Bishopthorpe Roa'!$A$12:$A$130,"&lt;"&amp;Diagram!$P43),SUMIFS(INDIRECT(ADDRESS(12,3+18*2+(8),,,"J1 C - (South) Bishopthorpe Roa")&amp;":"&amp;ADDRESS(130,3+18*2+(8))),'J1 C - (South) Bishopthorpe Roa'!$A$12:$A$130,"&gt;="&amp;Diagram!$O43,'J1 C - (South) Bishopthorpe Roa'!$A$12:$A$130,"&lt;"&amp;Diagram!$P43)))</f>
        <v>3</v>
      </c>
      <c r="AC43" s="42">
        <f ca="1">IF(OR($I$10="",$O43="",$P43="",$J$35&lt;&gt;"Yes"),0,IF($K$10=0,SUMIFS(INDIRECT(ADDRESS(12,3+18*3+(0),,,"J1 C - (South) Bishopthorpe Roa")&amp;":"&amp;ADDRESS(130,3+18*3+(0))),'J1 C - (South) Bishopthorpe Roa'!$A$12:$A$130,"&gt;="&amp;Diagram!$O43,'J1 C - (South) Bishopthorpe Roa'!$A$12:$A$130,"&lt;"&amp;Diagram!$P43),SUMIFS(INDIRECT(ADDRESS(12,3+18*3+(8),,,"J1 C - (South) Bishopthorpe Roa")&amp;":"&amp;ADDRESS(130,3+18*3+(8))),'J1 C - (South) Bishopthorpe Roa'!$A$12:$A$130,"&gt;="&amp;Diagram!$O43,'J1 C - (South) Bishopthorpe Roa'!$A$12:$A$130,"&lt;"&amp;Diagram!$P43)))</f>
        <v>0</v>
      </c>
      <c r="AD43" s="42">
        <f ca="1">IF(OR($I$10="",$O43="",$P43="",$J$35&lt;&gt;"Yes"),0,IF($K$10=0,SUMIFS(INDIRECT(ADDRESS(12,3+18*0+(0),,,"J1 C - (South) Bishopthorpe Roa")&amp;":"&amp;ADDRESS(130,3+18*0+(0))),'J1 C - (South) Bishopthorpe Roa'!$A$12:$A$130,"&gt;="&amp;Diagram!$O43,'J1 C - (South) Bishopthorpe Roa'!$A$12:$A$130,"&lt;"&amp;Diagram!$P43),SUMIFS(INDIRECT(ADDRESS(12,3+18*0+(8),,,"J1 C - (South) Bishopthorpe Roa")&amp;":"&amp;ADDRESS(130,3+18*0+(8))),'J1 C - (South) Bishopthorpe Roa'!$A$12:$A$130,"&gt;="&amp;Diagram!$O43,'J1 C - (South) Bishopthorpe Roa'!$A$12:$A$130,"&lt;"&amp;Diagram!$P43)))</f>
        <v>9</v>
      </c>
      <c r="AE43" s="42">
        <f ca="1">IF(OR($I$10="",$O43="",$P43="",$J$35&lt;&gt;"Yes"),0,IF($K$10=0,SUMIFS(INDIRECT(ADDRESS(12,3+18*0+(0),,,"J1 D - South Bank Avenue")&amp;":"&amp;ADDRESS(130,3+18*0+(0))),'J1 D - South Bank Avenue'!$A$12:$A$130,"&gt;="&amp;Diagram!$O43,'J1 D - South Bank Avenue'!$A$12:$A$130,"&lt;"&amp;Diagram!$P43),SUMIFS(INDIRECT(ADDRESS(12,3+18*0+(8),,,"J1 D - South Bank Avenue")&amp;":"&amp;ADDRESS(130,3+18*0+(8))),'J1 D - South Bank Avenue'!$A$12:$A$130,"&gt;="&amp;Diagram!$O43,'J1 D - South Bank Avenue'!$A$12:$A$130,"&lt;"&amp;Diagram!$P43)))</f>
        <v>24</v>
      </c>
      <c r="AF43" s="42">
        <f ca="1">IF(OR($I$10="",$O43="",$P43="",$J$35&lt;&gt;"Yes"),0,IF($K$10=0,SUMIFS(INDIRECT(ADDRESS(12,3+18*1+(0),,,"J1 D - South Bank Avenue")&amp;":"&amp;ADDRESS(130,3+18*1+(0))),'J1 D - South Bank Avenue'!$A$12:$A$130,"&gt;="&amp;Diagram!$O43,'J1 D - South Bank Avenue'!$A$12:$A$130,"&lt;"&amp;Diagram!$P43),SUMIFS(INDIRECT(ADDRESS(12,3+18*1+(8),,,"J1 D - South Bank Avenue")&amp;":"&amp;ADDRESS(130,3+18*1+(8))),'J1 D - South Bank Avenue'!$A$12:$A$130,"&gt;="&amp;Diagram!$O43,'J1 D - South Bank Avenue'!$A$12:$A$130,"&lt;"&amp;Diagram!$P43)))</f>
        <v>0</v>
      </c>
      <c r="AG43" s="42">
        <f ca="1">IF(OR($I$10="",$O43="",$P43="",$J$35&lt;&gt;"Yes"),0,IF($K$10=0,SUMIFS(INDIRECT(ADDRESS(12,3+18*2+(0),,,"J1 D - South Bank Avenue")&amp;":"&amp;ADDRESS(130,3+18*2+(0))),'J1 D - South Bank Avenue'!$A$12:$A$130,"&gt;="&amp;Diagram!$O43,'J1 D - South Bank Avenue'!$A$12:$A$130,"&lt;"&amp;Diagram!$P43),SUMIFS(INDIRECT(ADDRESS(12,3+18*2+(8),,,"J1 D - South Bank Avenue")&amp;":"&amp;ADDRESS(130,3+18*2+(8))),'J1 D - South Bank Avenue'!$A$12:$A$130,"&gt;="&amp;Diagram!$O43,'J1 D - South Bank Avenue'!$A$12:$A$130,"&lt;"&amp;Diagram!$P43)))</f>
        <v>3</v>
      </c>
      <c r="AH43" s="42">
        <f ca="1">IF(OR($I$10="",$O43="",$P43="",$J$35&lt;&gt;"Yes"),0,IF($K$10=0,SUMIFS(INDIRECT(ADDRESS(12,3+18*3+(0),,,"J1 D - South Bank Avenue")&amp;":"&amp;ADDRESS(130,3+18*3+(0))),'J1 D - South Bank Avenue'!$A$12:$A$130,"&gt;="&amp;Diagram!$O43,'J1 D - South Bank Avenue'!$A$12:$A$130,"&lt;"&amp;Diagram!$P43),SUMIFS(INDIRECT(ADDRESS(12,3+18*3+(8),,,"J1 D - South Bank Avenue")&amp;":"&amp;ADDRESS(130,3+18*3+(8))),'J1 D - South Bank Avenue'!$A$12:$A$130,"&gt;="&amp;Diagram!$O43,'J1 D - South Bank Avenue'!$A$12:$A$130,"&lt;"&amp;Diagram!$P43)))</f>
        <v>0</v>
      </c>
      <c r="AI43" s="42">
        <f t="shared" ca="1" si="2"/>
        <v>74</v>
      </c>
      <c r="AJ43" s="42">
        <f ca="1">IF(OR($I$10="",$O43="",$P43="",$J$36&lt;&gt;"Yes"),0,IF($K$10=0,SUMIFS(INDIRECT(ADDRESS(12,3+18*3+(1),,,"J1 A - (North) Bishopthorpe Roa")&amp;":"&amp;ADDRESS(130,3+18*3+(1))),'J1 A - (North) Bishopthorpe Roa'!$A$12:$A$130,"&gt;="&amp;Diagram!$O43,'J1 A - (North) Bishopthorpe Roa'!$A$12:$A$130,"&lt;"&amp;Diagram!$P43),SUMIFS(INDIRECT(ADDRESS(12,3+18*3+(9),,,"J1 A - (North) Bishopthorpe Roa")&amp;":"&amp;ADDRESS(130,3+18*3+(9))),'J1 A - (North) Bishopthorpe Roa'!$A$12:$A$130,"&gt;="&amp;Diagram!$O43,'J1 A - (North) Bishopthorpe Roa'!$A$12:$A$130,"&lt;"&amp;Diagram!$P43)))</f>
        <v>0</v>
      </c>
      <c r="AK43" s="42">
        <f ca="1">IF(OR($I$10="",$O43="",$P43="",$J$36&lt;&gt;"Yes"),0,IF($K$10=0,SUMIFS(INDIRECT(ADDRESS(12,3+18*0+(1),,,"J1 A - (North) Bishopthorpe Roa")&amp;":"&amp;ADDRESS(130,3+18*0+(1))),'J1 A - (North) Bishopthorpe Roa'!$A$12:$A$130,"&gt;="&amp;Diagram!$O43,'J1 A - (North) Bishopthorpe Roa'!$A$12:$A$130,"&lt;"&amp;Diagram!$P43),SUMIFS(INDIRECT(ADDRESS(12,3+18*0+(9),,,"J1 A - (North) Bishopthorpe Roa")&amp;":"&amp;ADDRESS(130,3+18*0+(9))),'J1 A - (North) Bishopthorpe Roa'!$A$12:$A$130,"&gt;="&amp;Diagram!$O43,'J1 A - (North) Bishopthorpe Roa'!$A$12:$A$130,"&lt;"&amp;Diagram!$P43)))</f>
        <v>2</v>
      </c>
      <c r="AL43" s="42">
        <f ca="1">IF(OR($I$10="",$O43="",$P43="",$J$36&lt;&gt;"Yes"),0,IF($K$10=0,SUMIFS(INDIRECT(ADDRESS(12,3+18*1+(1),,,"J1 A - (North) Bishopthorpe Roa")&amp;":"&amp;ADDRESS(130,3+18*1+(1))),'J1 A - (North) Bishopthorpe Roa'!$A$12:$A$130,"&gt;="&amp;Diagram!$O43,'J1 A - (North) Bishopthorpe Roa'!$A$12:$A$130,"&lt;"&amp;Diagram!$P43),SUMIFS(INDIRECT(ADDRESS(12,3+18*1+(9),,,"J1 A - (North) Bishopthorpe Roa")&amp;":"&amp;ADDRESS(130,3+18*1+(9))),'J1 A - (North) Bishopthorpe Roa'!$A$12:$A$130,"&gt;="&amp;Diagram!$O43,'J1 A - (North) Bishopthorpe Roa'!$A$12:$A$130,"&lt;"&amp;Diagram!$P43)))</f>
        <v>27</v>
      </c>
      <c r="AM43" s="42">
        <f ca="1">IF(OR($I$10="",$O43="",$P43="",$J$36&lt;&gt;"Yes"),0,IF($K$10=0,SUMIFS(INDIRECT(ADDRESS(12,3+18*2+(1),,,"J1 A - (North) Bishopthorpe Roa")&amp;":"&amp;ADDRESS(130,3+18*2+(1))),'J1 A - (North) Bishopthorpe Roa'!$A$12:$A$130,"&gt;="&amp;Diagram!$O43,'J1 A - (North) Bishopthorpe Roa'!$A$12:$A$130,"&lt;"&amp;Diagram!$P43),SUMIFS(INDIRECT(ADDRESS(12,3+18*2+(9),,,"J1 A - (North) Bishopthorpe Roa")&amp;":"&amp;ADDRESS(130,3+18*2+(9))),'J1 A - (North) Bishopthorpe Roa'!$A$12:$A$130,"&gt;="&amp;Diagram!$O43,'J1 A - (North) Bishopthorpe Roa'!$A$12:$A$130,"&lt;"&amp;Diagram!$P43)))</f>
        <v>3</v>
      </c>
      <c r="AN43" s="42">
        <f ca="1">IF(OR($I$10="",$O43="",$P43="",$J$36&lt;&gt;"Yes"),0,IF($K$10=0,SUMIFS(INDIRECT(ADDRESS(12,3+18*2+(1),,,"J1 B - Butcher Terrace")&amp;":"&amp;ADDRESS(130,3+18*2+(1))),'J1 B - Butcher Terrace'!$A$12:$A$130,"&gt;="&amp;Diagram!$O43,'J1 B - Butcher Terrace'!$A$12:$A$130,"&lt;"&amp;Diagram!$P43),SUMIFS(INDIRECT(ADDRESS(12,3+18*2+(9),,,"J1 B - Butcher Terrace")&amp;":"&amp;ADDRESS(130,3+18*2+(9))),'J1 B - Butcher Terrace'!$A$12:$A$130,"&gt;="&amp;Diagram!$O43,'J1 B - Butcher Terrace'!$A$12:$A$130,"&lt;"&amp;Diagram!$P43)))</f>
        <v>9</v>
      </c>
      <c r="AO43" s="42">
        <f ca="1">IF(OR($I$10="",$O43="",$P43="",$J$36&lt;&gt;"Yes"),0,IF($K$10=0,SUMIFS(INDIRECT(ADDRESS(12,3+18*3+(1),,,"J1 B - Butcher Terrace")&amp;":"&amp;ADDRESS(130,3+18*3+(1))),'J1 B - Butcher Terrace'!$A$12:$A$130,"&gt;="&amp;Diagram!$O43,'J1 B - Butcher Terrace'!$A$12:$A$130,"&lt;"&amp;Diagram!$P43),SUMIFS(INDIRECT(ADDRESS(12,3+18*3+(9),,,"J1 B - Butcher Terrace")&amp;":"&amp;ADDRESS(130,3+18*3+(9))),'J1 B - Butcher Terrace'!$A$12:$A$130,"&gt;="&amp;Diagram!$O43,'J1 B - Butcher Terrace'!$A$12:$A$130,"&lt;"&amp;Diagram!$P43)))</f>
        <v>0</v>
      </c>
      <c r="AP43" s="42">
        <f ca="1">IF(OR($I$10="",$O43="",$P43="",$J$36&lt;&gt;"Yes"),0,IF($K$10=0,SUMIFS(INDIRECT(ADDRESS(12,3+18*0+(1),,,"J1 B - Butcher Terrace")&amp;":"&amp;ADDRESS(130,3+18*0+(1))),'J1 B - Butcher Terrace'!$A$12:$A$130,"&gt;="&amp;Diagram!$O43,'J1 B - Butcher Terrace'!$A$12:$A$130,"&lt;"&amp;Diagram!$P43),SUMIFS(INDIRECT(ADDRESS(12,3+18*0+(9),,,"J1 B - Butcher Terrace")&amp;":"&amp;ADDRESS(130,3+18*0+(9))),'J1 B - Butcher Terrace'!$A$12:$A$130,"&gt;="&amp;Diagram!$O43,'J1 B - Butcher Terrace'!$A$12:$A$130,"&lt;"&amp;Diagram!$P43)))</f>
        <v>3</v>
      </c>
      <c r="AQ43" s="42">
        <f ca="1">IF(OR($I$10="",$O43="",$P43="",$J$36&lt;&gt;"Yes"),0,IF($K$10=0,SUMIFS(INDIRECT(ADDRESS(12,3+18*1+(1),,,"J1 B - Butcher Terrace")&amp;":"&amp;ADDRESS(130,3+18*1+(1))),'J1 B - Butcher Terrace'!$A$12:$A$130,"&gt;="&amp;Diagram!$O43,'J1 B - Butcher Terrace'!$A$12:$A$130,"&lt;"&amp;Diagram!$P43),SUMIFS(INDIRECT(ADDRESS(12,3+18*1+(9),,,"J1 B - Butcher Terrace")&amp;":"&amp;ADDRESS(130,3+18*1+(9))),'J1 B - Butcher Terrace'!$A$12:$A$130,"&gt;="&amp;Diagram!$O43,'J1 B - Butcher Terrace'!$A$12:$A$130,"&lt;"&amp;Diagram!$P43)))</f>
        <v>1</v>
      </c>
      <c r="AR43" s="42">
        <f ca="1">IF(OR($I$10="",$O43="",$P43="",$J$36&lt;&gt;"Yes"),0,IF($K$10=0,SUMIFS(INDIRECT(ADDRESS(12,3+18*1+(1),,,"J1 C - (South) Bishopthorpe Roa")&amp;":"&amp;ADDRESS(130,3+18*1+(1))),'J1 C - (South) Bishopthorpe Roa'!$A$12:$A$130,"&gt;="&amp;Diagram!$O43,'J1 C - (South) Bishopthorpe Roa'!$A$12:$A$130,"&lt;"&amp;Diagram!$P43),SUMIFS(INDIRECT(ADDRESS(12,3+18*1+(9),,,"J1 C - (South) Bishopthorpe Roa")&amp;":"&amp;ADDRESS(130,3+18*1+(9))),'J1 C - (South) Bishopthorpe Roa'!$A$12:$A$130,"&gt;="&amp;Diagram!$O43,'J1 C - (South) Bishopthorpe Roa'!$A$12:$A$130,"&lt;"&amp;Diagram!$P43)))</f>
        <v>18</v>
      </c>
      <c r="AS43" s="42">
        <f ca="1">IF(OR($I$10="",$O43="",$P43="",$J$36&lt;&gt;"Yes"),0,IF($K$10=0,SUMIFS(INDIRECT(ADDRESS(12,3+18*2+(1),,,"J1 C - (South) Bishopthorpe Roa")&amp;":"&amp;ADDRESS(130,3+18*2+(1))),'J1 C - (South) Bishopthorpe Roa'!$A$12:$A$130,"&gt;="&amp;Diagram!$O43,'J1 C - (South) Bishopthorpe Roa'!$A$12:$A$130,"&lt;"&amp;Diagram!$P43),SUMIFS(INDIRECT(ADDRESS(12,3+18*2+(9),,,"J1 C - (South) Bishopthorpe Roa")&amp;":"&amp;ADDRESS(130,3+18*2+(9))),'J1 C - (South) Bishopthorpe Roa'!$A$12:$A$130,"&gt;="&amp;Diagram!$O43,'J1 C - (South) Bishopthorpe Roa'!$A$12:$A$130,"&lt;"&amp;Diagram!$P43)))</f>
        <v>1</v>
      </c>
      <c r="AT43" s="42">
        <f ca="1">IF(OR($I$10="",$O43="",$P43="",$J$36&lt;&gt;"Yes"),0,IF($K$10=0,SUMIFS(INDIRECT(ADDRESS(12,3+18*3+(1),,,"J1 C - (South) Bishopthorpe Roa")&amp;":"&amp;ADDRESS(130,3+18*3+(1))),'J1 C - (South) Bishopthorpe Roa'!$A$12:$A$130,"&gt;="&amp;Diagram!$O43,'J1 C - (South) Bishopthorpe Roa'!$A$12:$A$130,"&lt;"&amp;Diagram!$P43),SUMIFS(INDIRECT(ADDRESS(12,3+18*3+(9),,,"J1 C - (South) Bishopthorpe Roa")&amp;":"&amp;ADDRESS(130,3+18*3+(9))),'J1 C - (South) Bishopthorpe Roa'!$A$12:$A$130,"&gt;="&amp;Diagram!$O43,'J1 C - (South) Bishopthorpe Roa'!$A$12:$A$130,"&lt;"&amp;Diagram!$P43)))</f>
        <v>0</v>
      </c>
      <c r="AU43" s="42">
        <f ca="1">IF(OR($I$10="",$O43="",$P43="",$J$36&lt;&gt;"Yes"),0,IF($K$10=0,SUMIFS(INDIRECT(ADDRESS(12,3+18*0+(1),,,"J1 C - (South) Bishopthorpe Roa")&amp;":"&amp;ADDRESS(130,3+18*0+(1))),'J1 C - (South) Bishopthorpe Roa'!$A$12:$A$130,"&gt;="&amp;Diagram!$O43,'J1 C - (South) Bishopthorpe Roa'!$A$12:$A$130,"&lt;"&amp;Diagram!$P43),SUMIFS(INDIRECT(ADDRESS(12,3+18*0+(9),,,"J1 C - (South) Bishopthorpe Roa")&amp;":"&amp;ADDRESS(130,3+18*0+(9))),'J1 C - (South) Bishopthorpe Roa'!$A$12:$A$130,"&gt;="&amp;Diagram!$O43,'J1 C - (South) Bishopthorpe Roa'!$A$12:$A$130,"&lt;"&amp;Diagram!$P43)))</f>
        <v>3</v>
      </c>
      <c r="AV43" s="42">
        <f ca="1">IF(OR($I$10="",$O43="",$P43="",$J$36&lt;&gt;"Yes"),0,IF($K$10=0,SUMIFS(INDIRECT(ADDRESS(12,3+18*0+(1),,,"J1 D - South Bank Avenue")&amp;":"&amp;ADDRESS(130,3+18*0+(1))),'J1 D - South Bank Avenue'!$A$12:$A$130,"&gt;="&amp;Diagram!$O43,'J1 D - South Bank Avenue'!$A$12:$A$130,"&lt;"&amp;Diagram!$P43),SUMIFS(INDIRECT(ADDRESS(12,3+18*0+(9),,,"J1 D - South Bank Avenue")&amp;":"&amp;ADDRESS(130,3+18*0+(9))),'J1 D - South Bank Avenue'!$A$12:$A$130,"&gt;="&amp;Diagram!$O43,'J1 D - South Bank Avenue'!$A$12:$A$130,"&lt;"&amp;Diagram!$P43)))</f>
        <v>5</v>
      </c>
      <c r="AW43" s="42">
        <f ca="1">IF(OR($I$10="",$O43="",$P43="",$J$36&lt;&gt;"Yes"),0,IF($K$10=0,SUMIFS(INDIRECT(ADDRESS(12,3+18*1+(1),,,"J1 D - South Bank Avenue")&amp;":"&amp;ADDRESS(130,3+18*1+(1))),'J1 D - South Bank Avenue'!$A$12:$A$130,"&gt;="&amp;Diagram!$O43,'J1 D - South Bank Avenue'!$A$12:$A$130,"&lt;"&amp;Diagram!$P43),SUMIFS(INDIRECT(ADDRESS(12,3+18*1+(9),,,"J1 D - South Bank Avenue")&amp;":"&amp;ADDRESS(130,3+18*1+(9))),'J1 D - South Bank Avenue'!$A$12:$A$130,"&gt;="&amp;Diagram!$O43,'J1 D - South Bank Avenue'!$A$12:$A$130,"&lt;"&amp;Diagram!$P43)))</f>
        <v>0</v>
      </c>
      <c r="AX43" s="42">
        <f ca="1">IF(OR($I$10="",$O43="",$P43="",$J$36&lt;&gt;"Yes"),0,IF($K$10=0,SUMIFS(INDIRECT(ADDRESS(12,3+18*2+(1),,,"J1 D - South Bank Avenue")&amp;":"&amp;ADDRESS(130,3+18*2+(1))),'J1 D - South Bank Avenue'!$A$12:$A$130,"&gt;="&amp;Diagram!$O43,'J1 D - South Bank Avenue'!$A$12:$A$130,"&lt;"&amp;Diagram!$P43),SUMIFS(INDIRECT(ADDRESS(12,3+18*2+(9),,,"J1 D - South Bank Avenue")&amp;":"&amp;ADDRESS(130,3+18*2+(9))),'J1 D - South Bank Avenue'!$A$12:$A$130,"&gt;="&amp;Diagram!$O43,'J1 D - South Bank Avenue'!$A$12:$A$130,"&lt;"&amp;Diagram!$P43)))</f>
        <v>2</v>
      </c>
      <c r="AY43" s="42">
        <f ca="1">IF(OR($I$10="",$O43="",$P43="",$J$36&lt;&gt;"Yes"),0,IF($K$10=0,SUMIFS(INDIRECT(ADDRESS(12,3+18*3+(1),,,"J1 D - South Bank Avenue")&amp;":"&amp;ADDRESS(130,3+18*3+(1))),'J1 D - South Bank Avenue'!$A$12:$A$130,"&gt;="&amp;Diagram!$O43,'J1 D - South Bank Avenue'!$A$12:$A$130,"&lt;"&amp;Diagram!$P43),SUMIFS(INDIRECT(ADDRESS(12,3+18*3+(9),,,"J1 D - South Bank Avenue")&amp;":"&amp;ADDRESS(130,3+18*3+(9))),'J1 D - South Bank Avenue'!$A$12:$A$130,"&gt;="&amp;Diagram!$O43,'J1 D - South Bank Avenue'!$A$12:$A$130,"&lt;"&amp;Diagram!$P43)))</f>
        <v>0</v>
      </c>
      <c r="AZ43" s="42">
        <f t="shared" ca="1" si="3"/>
        <v>16</v>
      </c>
      <c r="BA43" s="42">
        <f ca="1">IF(OR($I$10="",$O43="",$P43="",$J$37&lt;&gt;"Yes"),0,IF($K$10=0,SUMIFS(INDIRECT(ADDRESS(12,3+18*3+(2),,,"J1 A - (North) Bishopthorpe Roa")&amp;":"&amp;ADDRESS(130,3+18*3+(2))),'J1 A - (North) Bishopthorpe Roa'!$A$12:$A$130,"&gt;="&amp;Diagram!$O43,'J1 A - (North) Bishopthorpe Roa'!$A$12:$A$130,"&lt;"&amp;Diagram!$P43),SUMIFS(INDIRECT(ADDRESS(12,3+18*3+(10),,,"J1 A - (North) Bishopthorpe Roa")&amp;":"&amp;ADDRESS(130,3+18*3+(10))),'J1 A - (North) Bishopthorpe Roa'!$A$12:$A$130,"&gt;="&amp;Diagram!$O43,'J1 A - (North) Bishopthorpe Roa'!$A$12:$A$130,"&lt;"&amp;Diagram!$P43)))</f>
        <v>0</v>
      </c>
      <c r="BB43" s="42">
        <f ca="1">IF(OR($I$10="",$O43="",$P43="",$J$37&lt;&gt;"Yes"),0,IF($K$10=0,SUMIFS(INDIRECT(ADDRESS(12,3+18*0+(2),,,"J1 A - (North) Bishopthorpe Roa")&amp;":"&amp;ADDRESS(130,3+18*0+(2))),'J1 A - (North) Bishopthorpe Roa'!$A$12:$A$130,"&gt;="&amp;Diagram!$O43,'J1 A - (North) Bishopthorpe Roa'!$A$12:$A$130,"&lt;"&amp;Diagram!$P43),SUMIFS(INDIRECT(ADDRESS(12,3+18*0+(10),,,"J1 A - (North) Bishopthorpe Roa")&amp;":"&amp;ADDRESS(130,3+18*0+(10))),'J1 A - (North) Bishopthorpe Roa'!$A$12:$A$130,"&gt;="&amp;Diagram!$O43,'J1 A - (North) Bishopthorpe Roa'!$A$12:$A$130,"&lt;"&amp;Diagram!$P43)))</f>
        <v>3</v>
      </c>
      <c r="BC43" s="42">
        <f ca="1">IF(OR($I$10="",$O43="",$P43="",$J$37&lt;&gt;"Yes"),0,IF($K$10=0,SUMIFS(INDIRECT(ADDRESS(12,3+18*1+(2),,,"J1 A - (North) Bishopthorpe Roa")&amp;":"&amp;ADDRESS(130,3+18*1+(2))),'J1 A - (North) Bishopthorpe Roa'!$A$12:$A$130,"&gt;="&amp;Diagram!$O43,'J1 A - (North) Bishopthorpe Roa'!$A$12:$A$130,"&lt;"&amp;Diagram!$P43),SUMIFS(INDIRECT(ADDRESS(12,3+18*1+(10),,,"J1 A - (North) Bishopthorpe Roa")&amp;":"&amp;ADDRESS(130,3+18*1+(10))),'J1 A - (North) Bishopthorpe Roa'!$A$12:$A$130,"&gt;="&amp;Diagram!$O43,'J1 A - (North) Bishopthorpe Roa'!$A$12:$A$130,"&lt;"&amp;Diagram!$P43)))</f>
        <v>4</v>
      </c>
      <c r="BD43" s="42">
        <f ca="1">IF(OR($I$10="",$O43="",$P43="",$J$37&lt;&gt;"Yes"),0,IF($K$10=0,SUMIFS(INDIRECT(ADDRESS(12,3+18*2+(2),,,"J1 A - (North) Bishopthorpe Roa")&amp;":"&amp;ADDRESS(130,3+18*2+(2))),'J1 A - (North) Bishopthorpe Roa'!$A$12:$A$130,"&gt;="&amp;Diagram!$O43,'J1 A - (North) Bishopthorpe Roa'!$A$12:$A$130,"&lt;"&amp;Diagram!$P43),SUMIFS(INDIRECT(ADDRESS(12,3+18*2+(10),,,"J1 A - (North) Bishopthorpe Roa")&amp;":"&amp;ADDRESS(130,3+18*2+(10))),'J1 A - (North) Bishopthorpe Roa'!$A$12:$A$130,"&gt;="&amp;Diagram!$O43,'J1 A - (North) Bishopthorpe Roa'!$A$12:$A$130,"&lt;"&amp;Diagram!$P43)))</f>
        <v>0</v>
      </c>
      <c r="BE43" s="42">
        <f ca="1">IF(OR($I$10="",$O43="",$P43="",$J$37&lt;&gt;"Yes"),0,IF($K$10=0,SUMIFS(INDIRECT(ADDRESS(12,3+18*2+(2),,,"J1 B - Butcher Terrace")&amp;":"&amp;ADDRESS(130,3+18*2+(2))),'J1 B - Butcher Terrace'!$A$12:$A$130,"&gt;="&amp;Diagram!$O43,'J1 B - Butcher Terrace'!$A$12:$A$130,"&lt;"&amp;Diagram!$P43),SUMIFS(INDIRECT(ADDRESS(12,3+18*2+(10),,,"J1 B - Butcher Terrace")&amp;":"&amp;ADDRESS(130,3+18*2+(10))),'J1 B - Butcher Terrace'!$A$12:$A$130,"&gt;="&amp;Diagram!$O43,'J1 B - Butcher Terrace'!$A$12:$A$130,"&lt;"&amp;Diagram!$P43)))</f>
        <v>1</v>
      </c>
      <c r="BF43" s="42">
        <f ca="1">IF(OR($I$10="",$O43="",$P43="",$J$37&lt;&gt;"Yes"),0,IF($K$10=0,SUMIFS(INDIRECT(ADDRESS(12,3+18*3+(2),,,"J1 B - Butcher Terrace")&amp;":"&amp;ADDRESS(130,3+18*3+(2))),'J1 B - Butcher Terrace'!$A$12:$A$130,"&gt;="&amp;Diagram!$O43,'J1 B - Butcher Terrace'!$A$12:$A$130,"&lt;"&amp;Diagram!$P43),SUMIFS(INDIRECT(ADDRESS(12,3+18*3+(10),,,"J1 B - Butcher Terrace")&amp;":"&amp;ADDRESS(130,3+18*3+(10))),'J1 B - Butcher Terrace'!$A$12:$A$130,"&gt;="&amp;Diagram!$O43,'J1 B - Butcher Terrace'!$A$12:$A$130,"&lt;"&amp;Diagram!$P43)))</f>
        <v>0</v>
      </c>
      <c r="BG43" s="42">
        <f ca="1">IF(OR($I$10="",$O43="",$P43="",$J$37&lt;&gt;"Yes"),0,IF($K$10=0,SUMIFS(INDIRECT(ADDRESS(12,3+18*0+(2),,,"J1 B - Butcher Terrace")&amp;":"&amp;ADDRESS(130,3+18*0+(2))),'J1 B - Butcher Terrace'!$A$12:$A$130,"&gt;="&amp;Diagram!$O43,'J1 B - Butcher Terrace'!$A$12:$A$130,"&lt;"&amp;Diagram!$P43),SUMIFS(INDIRECT(ADDRESS(12,3+18*0+(10),,,"J1 B - Butcher Terrace")&amp;":"&amp;ADDRESS(130,3+18*0+(10))),'J1 B - Butcher Terrace'!$A$12:$A$130,"&gt;="&amp;Diagram!$O43,'J1 B - Butcher Terrace'!$A$12:$A$130,"&lt;"&amp;Diagram!$P43)))</f>
        <v>0</v>
      </c>
      <c r="BH43" s="42">
        <f ca="1">IF(OR($I$10="",$O43="",$P43="",$J$37&lt;&gt;"Yes"),0,IF($K$10=0,SUMIFS(INDIRECT(ADDRESS(12,3+18*1+(2),,,"J1 B - Butcher Terrace")&amp;":"&amp;ADDRESS(130,3+18*1+(2))),'J1 B - Butcher Terrace'!$A$12:$A$130,"&gt;="&amp;Diagram!$O43,'J1 B - Butcher Terrace'!$A$12:$A$130,"&lt;"&amp;Diagram!$P43),SUMIFS(INDIRECT(ADDRESS(12,3+18*1+(10),,,"J1 B - Butcher Terrace")&amp;":"&amp;ADDRESS(130,3+18*1+(10))),'J1 B - Butcher Terrace'!$A$12:$A$130,"&gt;="&amp;Diagram!$O43,'J1 B - Butcher Terrace'!$A$12:$A$130,"&lt;"&amp;Diagram!$P43)))</f>
        <v>0</v>
      </c>
      <c r="BI43" s="42">
        <f ca="1">IF(OR($I$10="",$O43="",$P43="",$J$37&lt;&gt;"Yes"),0,IF($K$10=0,SUMIFS(INDIRECT(ADDRESS(12,3+18*1+(2),,,"J1 C - (South) Bishopthorpe Roa")&amp;":"&amp;ADDRESS(130,3+18*1+(2))),'J1 C - (South) Bishopthorpe Roa'!$A$12:$A$130,"&gt;="&amp;Diagram!$O43,'J1 C - (South) Bishopthorpe Roa'!$A$12:$A$130,"&lt;"&amp;Diagram!$P43),SUMIFS(INDIRECT(ADDRESS(12,3+18*1+(10),,,"J1 C - (South) Bishopthorpe Roa")&amp;":"&amp;ADDRESS(130,3+18*1+(10))),'J1 C - (South) Bishopthorpe Roa'!$A$12:$A$130,"&gt;="&amp;Diagram!$O43,'J1 C - (South) Bishopthorpe Roa'!$A$12:$A$130,"&lt;"&amp;Diagram!$P43)))</f>
        <v>8</v>
      </c>
      <c r="BJ43" s="42">
        <f ca="1">IF(OR($I$10="",$O43="",$P43="",$J$37&lt;&gt;"Yes"),0,IF($K$10=0,SUMIFS(INDIRECT(ADDRESS(12,3+18*2+(2),,,"J1 C - (South) Bishopthorpe Roa")&amp;":"&amp;ADDRESS(130,3+18*2+(2))),'J1 C - (South) Bishopthorpe Roa'!$A$12:$A$130,"&gt;="&amp;Diagram!$O43,'J1 C - (South) Bishopthorpe Roa'!$A$12:$A$130,"&lt;"&amp;Diagram!$P43),SUMIFS(INDIRECT(ADDRESS(12,3+18*2+(10),,,"J1 C - (South) Bishopthorpe Roa")&amp;":"&amp;ADDRESS(130,3+18*2+(10))),'J1 C - (South) Bishopthorpe Roa'!$A$12:$A$130,"&gt;="&amp;Diagram!$O43,'J1 C - (South) Bishopthorpe Roa'!$A$12:$A$130,"&lt;"&amp;Diagram!$P43)))</f>
        <v>0</v>
      </c>
      <c r="BK43" s="42">
        <f ca="1">IF(OR($I$10="",$O43="",$P43="",$J$37&lt;&gt;"Yes"),0,IF($K$10=0,SUMIFS(INDIRECT(ADDRESS(12,3+18*3+(2),,,"J1 C - (South) Bishopthorpe Roa")&amp;":"&amp;ADDRESS(130,3+18*3+(2))),'J1 C - (South) Bishopthorpe Roa'!$A$12:$A$130,"&gt;="&amp;Diagram!$O43,'J1 C - (South) Bishopthorpe Roa'!$A$12:$A$130,"&lt;"&amp;Diagram!$P43),SUMIFS(INDIRECT(ADDRESS(12,3+18*3+(10),,,"J1 C - (South) Bishopthorpe Roa")&amp;":"&amp;ADDRESS(130,3+18*3+(10))),'J1 C - (South) Bishopthorpe Roa'!$A$12:$A$130,"&gt;="&amp;Diagram!$O43,'J1 C - (South) Bishopthorpe Roa'!$A$12:$A$130,"&lt;"&amp;Diagram!$P43)))</f>
        <v>0</v>
      </c>
      <c r="BL43" s="42">
        <f ca="1">IF(OR($I$10="",$O43="",$P43="",$J$37&lt;&gt;"Yes"),0,IF($K$10=0,SUMIFS(INDIRECT(ADDRESS(12,3+18*0+(2),,,"J1 C - (South) Bishopthorpe Roa")&amp;":"&amp;ADDRESS(130,3+18*0+(2))),'J1 C - (South) Bishopthorpe Roa'!$A$12:$A$130,"&gt;="&amp;Diagram!$O43,'J1 C - (South) Bishopthorpe Roa'!$A$12:$A$130,"&lt;"&amp;Diagram!$P43),SUMIFS(INDIRECT(ADDRESS(12,3+18*0+(10),,,"J1 C - (South) Bishopthorpe Roa")&amp;":"&amp;ADDRESS(130,3+18*0+(10))),'J1 C - (South) Bishopthorpe Roa'!$A$12:$A$130,"&gt;="&amp;Diagram!$O43,'J1 C - (South) Bishopthorpe Roa'!$A$12:$A$130,"&lt;"&amp;Diagram!$P43)))</f>
        <v>0</v>
      </c>
      <c r="BM43" s="42">
        <f ca="1">IF(OR($I$10="",$O43="",$P43="",$J$37&lt;&gt;"Yes"),0,IF($K$10=0,SUMIFS(INDIRECT(ADDRESS(12,3+18*0+(2),,,"J1 D - South Bank Avenue")&amp;":"&amp;ADDRESS(130,3+18*0+(2))),'J1 D - South Bank Avenue'!$A$12:$A$130,"&gt;="&amp;Diagram!$O43,'J1 D - South Bank Avenue'!$A$12:$A$130,"&lt;"&amp;Diagram!$P43),SUMIFS(INDIRECT(ADDRESS(12,3+18*0+(10),,,"J1 D - South Bank Avenue")&amp;":"&amp;ADDRESS(130,3+18*0+(10))),'J1 D - South Bank Avenue'!$A$12:$A$130,"&gt;="&amp;Diagram!$O43,'J1 D - South Bank Avenue'!$A$12:$A$130,"&lt;"&amp;Diagram!$P43)))</f>
        <v>0</v>
      </c>
      <c r="BN43" s="42">
        <f ca="1">IF(OR($I$10="",$O43="",$P43="",$J$37&lt;&gt;"Yes"),0,IF($K$10=0,SUMIFS(INDIRECT(ADDRESS(12,3+18*1+(2),,,"J1 D - South Bank Avenue")&amp;":"&amp;ADDRESS(130,3+18*1+(2))),'J1 D - South Bank Avenue'!$A$12:$A$130,"&gt;="&amp;Diagram!$O43,'J1 D - South Bank Avenue'!$A$12:$A$130,"&lt;"&amp;Diagram!$P43),SUMIFS(INDIRECT(ADDRESS(12,3+18*1+(10),,,"J1 D - South Bank Avenue")&amp;":"&amp;ADDRESS(130,3+18*1+(10))),'J1 D - South Bank Avenue'!$A$12:$A$130,"&gt;="&amp;Diagram!$O43,'J1 D - South Bank Avenue'!$A$12:$A$130,"&lt;"&amp;Diagram!$P43)))</f>
        <v>0</v>
      </c>
      <c r="BO43" s="42">
        <f ca="1">IF(OR($I$10="",$O43="",$P43="",$J$37&lt;&gt;"Yes"),0,IF($K$10=0,SUMIFS(INDIRECT(ADDRESS(12,3+18*2+(2),,,"J1 D - South Bank Avenue")&amp;":"&amp;ADDRESS(130,3+18*2+(2))),'J1 D - South Bank Avenue'!$A$12:$A$130,"&gt;="&amp;Diagram!$O43,'J1 D - South Bank Avenue'!$A$12:$A$130,"&lt;"&amp;Diagram!$P43),SUMIFS(INDIRECT(ADDRESS(12,3+18*2+(10),,,"J1 D - South Bank Avenue")&amp;":"&amp;ADDRESS(130,3+18*2+(10))),'J1 D - South Bank Avenue'!$A$12:$A$130,"&gt;="&amp;Diagram!$O43,'J1 D - South Bank Avenue'!$A$12:$A$130,"&lt;"&amp;Diagram!$P43)))</f>
        <v>0</v>
      </c>
      <c r="BP43" s="42">
        <f ca="1">IF(OR($I$10="",$O43="",$P43="",$J$37&lt;&gt;"Yes"),0,IF($K$10=0,SUMIFS(INDIRECT(ADDRESS(12,3+18*3+(2),,,"J1 D - South Bank Avenue")&amp;":"&amp;ADDRESS(130,3+18*3+(2))),'J1 D - South Bank Avenue'!$A$12:$A$130,"&gt;="&amp;Diagram!$O43,'J1 D - South Bank Avenue'!$A$12:$A$130,"&lt;"&amp;Diagram!$P43),SUMIFS(INDIRECT(ADDRESS(12,3+18*3+(10),,,"J1 D - South Bank Avenue")&amp;":"&amp;ADDRESS(130,3+18*3+(10))),'J1 D - South Bank Avenue'!$A$12:$A$130,"&gt;="&amp;Diagram!$O43,'J1 D - South Bank Avenue'!$A$12:$A$130,"&lt;"&amp;Diagram!$P43)))</f>
        <v>0</v>
      </c>
      <c r="BQ43" s="42">
        <f t="shared" ca="1" si="4"/>
        <v>2</v>
      </c>
      <c r="BR43" s="42">
        <f ca="1">IF(OR($I$10="",$O43="",$P43="",$J$38&lt;&gt;"Yes"),0,IF($K$10=0,SUMIFS(INDIRECT(ADDRESS(12,3+18*3+(3),,,"J1 A - (North) Bishopthorpe Roa")&amp;":"&amp;ADDRESS(130,3+18*3+(3))),'J1 A - (North) Bishopthorpe Roa'!$A$12:$A$130,"&gt;="&amp;Diagram!$O43,'J1 A - (North) Bishopthorpe Roa'!$A$12:$A$130,"&lt;"&amp;Diagram!$P43),SUMIFS(INDIRECT(ADDRESS(12,3+18*3+(11),,,"J1 A - (North) Bishopthorpe Roa")&amp;":"&amp;ADDRESS(130,3+18*3+(11))),'J1 A - (North) Bishopthorpe Roa'!$A$12:$A$130,"&gt;="&amp;Diagram!$O43,'J1 A - (North) Bishopthorpe Roa'!$A$12:$A$130,"&lt;"&amp;Diagram!$P43)))</f>
        <v>0</v>
      </c>
      <c r="BS43" s="42">
        <f ca="1">IF(OR($I$10="",$O43="",$P43="",$J$38&lt;&gt;"Yes"),0,IF($K$10=0,SUMIFS(INDIRECT(ADDRESS(12,3+18*0+(3),,,"J1 A - (North) Bishopthorpe Roa")&amp;":"&amp;ADDRESS(130,3+18*0+(3))),'J1 A - (North) Bishopthorpe Roa'!$A$12:$A$130,"&gt;="&amp;Diagram!$O43,'J1 A - (North) Bishopthorpe Roa'!$A$12:$A$130,"&lt;"&amp;Diagram!$P43),SUMIFS(INDIRECT(ADDRESS(12,3+18*0+(11),,,"J1 A - (North) Bishopthorpe Roa")&amp;":"&amp;ADDRESS(130,3+18*0+(11))),'J1 A - (North) Bishopthorpe Roa'!$A$12:$A$130,"&gt;="&amp;Diagram!$O43,'J1 A - (North) Bishopthorpe Roa'!$A$12:$A$130,"&lt;"&amp;Diagram!$P43)))</f>
        <v>0</v>
      </c>
      <c r="BT43" s="42">
        <f ca="1">IF(OR($I$10="",$O43="",$P43="",$J$38&lt;&gt;"Yes"),0,IF($K$10=0,SUMIFS(INDIRECT(ADDRESS(12,3+18*1+(3),,,"J1 A - (North) Bishopthorpe Roa")&amp;":"&amp;ADDRESS(130,3+18*1+(3))),'J1 A - (North) Bishopthorpe Roa'!$A$12:$A$130,"&gt;="&amp;Diagram!$O43,'J1 A - (North) Bishopthorpe Roa'!$A$12:$A$130,"&lt;"&amp;Diagram!$P43),SUMIFS(INDIRECT(ADDRESS(12,3+18*1+(11),,,"J1 A - (North) Bishopthorpe Roa")&amp;":"&amp;ADDRESS(130,3+18*1+(11))),'J1 A - (North) Bishopthorpe Roa'!$A$12:$A$130,"&gt;="&amp;Diagram!$O43,'J1 A - (North) Bishopthorpe Roa'!$A$12:$A$130,"&lt;"&amp;Diagram!$P43)))</f>
        <v>0</v>
      </c>
      <c r="BU43" s="42">
        <f ca="1">IF(OR($I$10="",$O43="",$P43="",$J$38&lt;&gt;"Yes"),0,IF($K$10=0,SUMIFS(INDIRECT(ADDRESS(12,3+18*2+(3),,,"J1 A - (North) Bishopthorpe Roa")&amp;":"&amp;ADDRESS(130,3+18*2+(3))),'J1 A - (North) Bishopthorpe Roa'!$A$12:$A$130,"&gt;="&amp;Diagram!$O43,'J1 A - (North) Bishopthorpe Roa'!$A$12:$A$130,"&lt;"&amp;Diagram!$P43),SUMIFS(INDIRECT(ADDRESS(12,3+18*2+(11),,,"J1 A - (North) Bishopthorpe Roa")&amp;":"&amp;ADDRESS(130,3+18*2+(11))),'J1 A - (North) Bishopthorpe Roa'!$A$12:$A$130,"&gt;="&amp;Diagram!$O43,'J1 A - (North) Bishopthorpe Roa'!$A$12:$A$130,"&lt;"&amp;Diagram!$P43)))</f>
        <v>0</v>
      </c>
      <c r="BV43" s="42">
        <f ca="1">IF(OR($I$10="",$O43="",$P43="",$J$38&lt;&gt;"Yes"),0,IF($K$10=0,SUMIFS(INDIRECT(ADDRESS(12,3+18*2+(3),,,"J1 B - Butcher Terrace")&amp;":"&amp;ADDRESS(130,3+18*2+(3))),'J1 B - Butcher Terrace'!$A$12:$A$130,"&gt;="&amp;Diagram!$O43,'J1 B - Butcher Terrace'!$A$12:$A$130,"&lt;"&amp;Diagram!$P43),SUMIFS(INDIRECT(ADDRESS(12,3+18*2+(11),,,"J1 B - Butcher Terrace")&amp;":"&amp;ADDRESS(130,3+18*2+(11))),'J1 B - Butcher Terrace'!$A$12:$A$130,"&gt;="&amp;Diagram!$O43,'J1 B - Butcher Terrace'!$A$12:$A$130,"&lt;"&amp;Diagram!$P43)))</f>
        <v>0</v>
      </c>
      <c r="BW43" s="42">
        <f ca="1">IF(OR($I$10="",$O43="",$P43="",$J$38&lt;&gt;"Yes"),0,IF($K$10=0,SUMIFS(INDIRECT(ADDRESS(12,3+18*3+(3),,,"J1 B - Butcher Terrace")&amp;":"&amp;ADDRESS(130,3+18*3+(3))),'J1 B - Butcher Terrace'!$A$12:$A$130,"&gt;="&amp;Diagram!$O43,'J1 B - Butcher Terrace'!$A$12:$A$130,"&lt;"&amp;Diagram!$P43),SUMIFS(INDIRECT(ADDRESS(12,3+18*3+(11),,,"J1 B - Butcher Terrace")&amp;":"&amp;ADDRESS(130,3+18*3+(11))),'J1 B - Butcher Terrace'!$A$12:$A$130,"&gt;="&amp;Diagram!$O43,'J1 B - Butcher Terrace'!$A$12:$A$130,"&lt;"&amp;Diagram!$P43)))</f>
        <v>0</v>
      </c>
      <c r="BX43" s="42">
        <f ca="1">IF(OR($I$10="",$O43="",$P43="",$J$38&lt;&gt;"Yes"),0,IF($K$10=0,SUMIFS(INDIRECT(ADDRESS(12,3+18*0+(3),,,"J1 B - Butcher Terrace")&amp;":"&amp;ADDRESS(130,3+18*0+(3))),'J1 B - Butcher Terrace'!$A$12:$A$130,"&gt;="&amp;Diagram!$O43,'J1 B - Butcher Terrace'!$A$12:$A$130,"&lt;"&amp;Diagram!$P43),SUMIFS(INDIRECT(ADDRESS(12,3+18*0+(11),,,"J1 B - Butcher Terrace")&amp;":"&amp;ADDRESS(130,3+18*0+(11))),'J1 B - Butcher Terrace'!$A$12:$A$130,"&gt;="&amp;Diagram!$O43,'J1 B - Butcher Terrace'!$A$12:$A$130,"&lt;"&amp;Diagram!$P43)))</f>
        <v>0</v>
      </c>
      <c r="BY43" s="42">
        <f ca="1">IF(OR($I$10="",$O43="",$P43="",$J$38&lt;&gt;"Yes"),0,IF($K$10=0,SUMIFS(INDIRECT(ADDRESS(12,3+18*1+(3),,,"J1 B - Butcher Terrace")&amp;":"&amp;ADDRESS(130,3+18*1+(3))),'J1 B - Butcher Terrace'!$A$12:$A$130,"&gt;="&amp;Diagram!$O43,'J1 B - Butcher Terrace'!$A$12:$A$130,"&lt;"&amp;Diagram!$P43),SUMIFS(INDIRECT(ADDRESS(12,3+18*1+(11),,,"J1 B - Butcher Terrace")&amp;":"&amp;ADDRESS(130,3+18*1+(11))),'J1 B - Butcher Terrace'!$A$12:$A$130,"&gt;="&amp;Diagram!$O43,'J1 B - Butcher Terrace'!$A$12:$A$130,"&lt;"&amp;Diagram!$P43)))</f>
        <v>0</v>
      </c>
      <c r="BZ43" s="42">
        <f ca="1">IF(OR($I$10="",$O43="",$P43="",$J$38&lt;&gt;"Yes"),0,IF($K$10=0,SUMIFS(INDIRECT(ADDRESS(12,3+18*1+(3),,,"J1 C - (South) Bishopthorpe Roa")&amp;":"&amp;ADDRESS(130,3+18*1+(3))),'J1 C - (South) Bishopthorpe Roa'!$A$12:$A$130,"&gt;="&amp;Diagram!$O43,'J1 C - (South) Bishopthorpe Roa'!$A$12:$A$130,"&lt;"&amp;Diagram!$P43),SUMIFS(INDIRECT(ADDRESS(12,3+18*1+(11),,,"J1 C - (South) Bishopthorpe Roa")&amp;":"&amp;ADDRESS(130,3+18*1+(11))),'J1 C - (South) Bishopthorpe Roa'!$A$12:$A$130,"&gt;="&amp;Diagram!$O43,'J1 C - (South) Bishopthorpe Roa'!$A$12:$A$130,"&lt;"&amp;Diagram!$P43)))</f>
        <v>2</v>
      </c>
      <c r="CA43" s="42">
        <f ca="1">IF(OR($I$10="",$O43="",$P43="",$J$38&lt;&gt;"Yes"),0,IF($K$10=0,SUMIFS(INDIRECT(ADDRESS(12,3+18*2+(3),,,"J1 C - (South) Bishopthorpe Roa")&amp;":"&amp;ADDRESS(130,3+18*2+(3))),'J1 C - (South) Bishopthorpe Roa'!$A$12:$A$130,"&gt;="&amp;Diagram!$O43,'J1 C - (South) Bishopthorpe Roa'!$A$12:$A$130,"&lt;"&amp;Diagram!$P43),SUMIFS(INDIRECT(ADDRESS(12,3+18*2+(11),,,"J1 C - (South) Bishopthorpe Roa")&amp;":"&amp;ADDRESS(130,3+18*2+(11))),'J1 C - (South) Bishopthorpe Roa'!$A$12:$A$130,"&gt;="&amp;Diagram!$O43,'J1 C - (South) Bishopthorpe Roa'!$A$12:$A$130,"&lt;"&amp;Diagram!$P43)))</f>
        <v>0</v>
      </c>
      <c r="CB43" s="42">
        <f ca="1">IF(OR($I$10="",$O43="",$P43="",$J$38&lt;&gt;"Yes"),0,IF($K$10=0,SUMIFS(INDIRECT(ADDRESS(12,3+18*3+(3),,,"J1 C - (South) Bishopthorpe Roa")&amp;":"&amp;ADDRESS(130,3+18*3+(3))),'J1 C - (South) Bishopthorpe Roa'!$A$12:$A$130,"&gt;="&amp;Diagram!$O43,'J1 C - (South) Bishopthorpe Roa'!$A$12:$A$130,"&lt;"&amp;Diagram!$P43),SUMIFS(INDIRECT(ADDRESS(12,3+18*3+(11),,,"J1 C - (South) Bishopthorpe Roa")&amp;":"&amp;ADDRESS(130,3+18*3+(11))),'J1 C - (South) Bishopthorpe Roa'!$A$12:$A$130,"&gt;="&amp;Diagram!$O43,'J1 C - (South) Bishopthorpe Roa'!$A$12:$A$130,"&lt;"&amp;Diagram!$P43)))</f>
        <v>0</v>
      </c>
      <c r="CC43" s="42">
        <f ca="1">IF(OR($I$10="",$O43="",$P43="",$J$38&lt;&gt;"Yes"),0,IF($K$10=0,SUMIFS(INDIRECT(ADDRESS(12,3+18*0+(3),,,"J1 C - (South) Bishopthorpe Roa")&amp;":"&amp;ADDRESS(130,3+18*0+(3))),'J1 C - (South) Bishopthorpe Roa'!$A$12:$A$130,"&gt;="&amp;Diagram!$O43,'J1 C - (South) Bishopthorpe Roa'!$A$12:$A$130,"&lt;"&amp;Diagram!$P43),SUMIFS(INDIRECT(ADDRESS(12,3+18*0+(11),,,"J1 C - (South) Bishopthorpe Roa")&amp;":"&amp;ADDRESS(130,3+18*0+(11))),'J1 C - (South) Bishopthorpe Roa'!$A$12:$A$130,"&gt;="&amp;Diagram!$O43,'J1 C - (South) Bishopthorpe Roa'!$A$12:$A$130,"&lt;"&amp;Diagram!$P43)))</f>
        <v>0</v>
      </c>
      <c r="CD43" s="42">
        <f ca="1">IF(OR($I$10="",$O43="",$P43="",$J$38&lt;&gt;"Yes"),0,IF($K$10=0,SUMIFS(INDIRECT(ADDRESS(12,3+18*0+(3),,,"J1 D - South Bank Avenue")&amp;":"&amp;ADDRESS(130,3+18*0+(3))),'J1 D - South Bank Avenue'!$A$12:$A$130,"&gt;="&amp;Diagram!$O43,'J1 D - South Bank Avenue'!$A$12:$A$130,"&lt;"&amp;Diagram!$P43),SUMIFS(INDIRECT(ADDRESS(12,3+18*0+(11),,,"J1 D - South Bank Avenue")&amp;":"&amp;ADDRESS(130,3+18*0+(11))),'J1 D - South Bank Avenue'!$A$12:$A$130,"&gt;="&amp;Diagram!$O43,'J1 D - South Bank Avenue'!$A$12:$A$130,"&lt;"&amp;Diagram!$P43)))</f>
        <v>0</v>
      </c>
      <c r="CE43" s="42">
        <f ca="1">IF(OR($I$10="",$O43="",$P43="",$J$38&lt;&gt;"Yes"),0,IF($K$10=0,SUMIFS(INDIRECT(ADDRESS(12,3+18*1+(3),,,"J1 D - South Bank Avenue")&amp;":"&amp;ADDRESS(130,3+18*1+(3))),'J1 D - South Bank Avenue'!$A$12:$A$130,"&gt;="&amp;Diagram!$O43,'J1 D - South Bank Avenue'!$A$12:$A$130,"&lt;"&amp;Diagram!$P43),SUMIFS(INDIRECT(ADDRESS(12,3+18*1+(11),,,"J1 D - South Bank Avenue")&amp;":"&amp;ADDRESS(130,3+18*1+(11))),'J1 D - South Bank Avenue'!$A$12:$A$130,"&gt;="&amp;Diagram!$O43,'J1 D - South Bank Avenue'!$A$12:$A$130,"&lt;"&amp;Diagram!$P43)))</f>
        <v>0</v>
      </c>
      <c r="CF43" s="42">
        <f ca="1">IF(OR($I$10="",$O43="",$P43="",$J$38&lt;&gt;"Yes"),0,IF($K$10=0,SUMIFS(INDIRECT(ADDRESS(12,3+18*2+(3),,,"J1 D - South Bank Avenue")&amp;":"&amp;ADDRESS(130,3+18*2+(3))),'J1 D - South Bank Avenue'!$A$12:$A$130,"&gt;="&amp;Diagram!$O43,'J1 D - South Bank Avenue'!$A$12:$A$130,"&lt;"&amp;Diagram!$P43),SUMIFS(INDIRECT(ADDRESS(12,3+18*2+(11),,,"J1 D - South Bank Avenue")&amp;":"&amp;ADDRESS(130,3+18*2+(11))),'J1 D - South Bank Avenue'!$A$12:$A$130,"&gt;="&amp;Diagram!$O43,'J1 D - South Bank Avenue'!$A$12:$A$130,"&lt;"&amp;Diagram!$P43)))</f>
        <v>0</v>
      </c>
      <c r="CG43" s="42">
        <f ca="1">IF(OR($I$10="",$O43="",$P43="",$J$38&lt;&gt;"Yes"),0,IF($K$10=0,SUMIFS(INDIRECT(ADDRESS(12,3+18*3+(3),,,"J1 D - South Bank Avenue")&amp;":"&amp;ADDRESS(130,3+18*3+(3))),'J1 D - South Bank Avenue'!$A$12:$A$130,"&gt;="&amp;Diagram!$O43,'J1 D - South Bank Avenue'!$A$12:$A$130,"&lt;"&amp;Diagram!$P43),SUMIFS(INDIRECT(ADDRESS(12,3+18*3+(11),,,"J1 D - South Bank Avenue")&amp;":"&amp;ADDRESS(130,3+18*3+(11))),'J1 D - South Bank Avenue'!$A$12:$A$130,"&gt;="&amp;Diagram!$O43,'J1 D - South Bank Avenue'!$A$12:$A$130,"&lt;"&amp;Diagram!$P43)))</f>
        <v>0</v>
      </c>
      <c r="CH43" s="42">
        <f t="shared" ca="1" si="5"/>
        <v>8</v>
      </c>
      <c r="CI43" s="42">
        <f ca="1">IF(OR($I$10="",$O43="",$P43="",$J$39&lt;&gt;"Yes"),0,IF($K$10=0,SUMIFS(INDIRECT(ADDRESS(12,3+18*3+(4),,,"J1 A - (North) Bishopthorpe Roa")&amp;":"&amp;ADDRESS(130,3+18*3+(4))),'J1 A - (North) Bishopthorpe Roa'!$A$12:$A$130,"&gt;="&amp;Diagram!$O43,'J1 A - (North) Bishopthorpe Roa'!$A$12:$A$130,"&lt;"&amp;Diagram!$P43),SUMIFS(INDIRECT(ADDRESS(12,3+18*3+(12),,,"J1 A - (North) Bishopthorpe Roa")&amp;":"&amp;ADDRESS(130,3+18*3+(12))),'J1 A - (North) Bishopthorpe Roa'!$A$12:$A$130,"&gt;="&amp;Diagram!$O43,'J1 A - (North) Bishopthorpe Roa'!$A$12:$A$130,"&lt;"&amp;Diagram!$P43)))</f>
        <v>0</v>
      </c>
      <c r="CJ43" s="42">
        <f ca="1">IF(OR($I$10="",$O43="",$P43="",$J$39&lt;&gt;"Yes"),0,IF($K$10=0,SUMIFS(INDIRECT(ADDRESS(12,3+18*0+(4),,,"J1 A - (North) Bishopthorpe Roa")&amp;":"&amp;ADDRESS(130,3+18*0+(4))),'J1 A - (North) Bishopthorpe Roa'!$A$12:$A$130,"&gt;="&amp;Diagram!$O43,'J1 A - (North) Bishopthorpe Roa'!$A$12:$A$130,"&lt;"&amp;Diagram!$P43),SUMIFS(INDIRECT(ADDRESS(12,3+18*0+(12),,,"J1 A - (North) Bishopthorpe Roa")&amp;":"&amp;ADDRESS(130,3+18*0+(12))),'J1 A - (North) Bishopthorpe Roa'!$A$12:$A$130,"&gt;="&amp;Diagram!$O43,'J1 A - (North) Bishopthorpe Roa'!$A$12:$A$130,"&lt;"&amp;Diagram!$P43)))</f>
        <v>0</v>
      </c>
      <c r="CK43" s="42">
        <f ca="1">IF(OR($I$10="",$O43="",$P43="",$J$39&lt;&gt;"Yes"),0,IF($K$10=0,SUMIFS(INDIRECT(ADDRESS(12,3+18*1+(4),,,"J1 A - (North) Bishopthorpe Roa")&amp;":"&amp;ADDRESS(130,3+18*1+(4))),'J1 A - (North) Bishopthorpe Roa'!$A$12:$A$130,"&gt;="&amp;Diagram!$O43,'J1 A - (North) Bishopthorpe Roa'!$A$12:$A$130,"&lt;"&amp;Diagram!$P43),SUMIFS(INDIRECT(ADDRESS(12,3+18*1+(12),,,"J1 A - (North) Bishopthorpe Roa")&amp;":"&amp;ADDRESS(130,3+18*1+(12))),'J1 A - (North) Bishopthorpe Roa'!$A$12:$A$130,"&gt;="&amp;Diagram!$O43,'J1 A - (North) Bishopthorpe Roa'!$A$12:$A$130,"&lt;"&amp;Diagram!$P43)))</f>
        <v>4</v>
      </c>
      <c r="CL43" s="42">
        <f ca="1">IF(OR($I$10="",$O43="",$P43="",$J$39&lt;&gt;"Yes"),0,IF($K$10=0,SUMIFS(INDIRECT(ADDRESS(12,3+18*2+(4),,,"J1 A - (North) Bishopthorpe Roa")&amp;":"&amp;ADDRESS(130,3+18*2+(4))),'J1 A - (North) Bishopthorpe Roa'!$A$12:$A$130,"&gt;="&amp;Diagram!$O43,'J1 A - (North) Bishopthorpe Roa'!$A$12:$A$130,"&lt;"&amp;Diagram!$P43),SUMIFS(INDIRECT(ADDRESS(12,3+18*2+(12),,,"J1 A - (North) Bishopthorpe Roa")&amp;":"&amp;ADDRESS(130,3+18*2+(12))),'J1 A - (North) Bishopthorpe Roa'!$A$12:$A$130,"&gt;="&amp;Diagram!$O43,'J1 A - (North) Bishopthorpe Roa'!$A$12:$A$130,"&lt;"&amp;Diagram!$P43)))</f>
        <v>0</v>
      </c>
      <c r="CM43" s="42">
        <f ca="1">IF(OR($I$10="",$O43="",$P43="",$J$39&lt;&gt;"Yes"),0,IF($K$10=0,SUMIFS(INDIRECT(ADDRESS(12,3+18*2+(4),,,"J1 B - Butcher Terrace")&amp;":"&amp;ADDRESS(130,3+18*2+(4))),'J1 B - Butcher Terrace'!$A$12:$A$130,"&gt;="&amp;Diagram!$O43,'J1 B - Butcher Terrace'!$A$12:$A$130,"&lt;"&amp;Diagram!$P43),SUMIFS(INDIRECT(ADDRESS(12,3+18*2+(12),,,"J1 B - Butcher Terrace")&amp;":"&amp;ADDRESS(130,3+18*2+(12))),'J1 B - Butcher Terrace'!$A$12:$A$130,"&gt;="&amp;Diagram!$O43,'J1 B - Butcher Terrace'!$A$12:$A$130,"&lt;"&amp;Diagram!$P43)))</f>
        <v>0</v>
      </c>
      <c r="CN43" s="42">
        <f ca="1">IF(OR($I$10="",$O43="",$P43="",$J$39&lt;&gt;"Yes"),0,IF($K$10=0,SUMIFS(INDIRECT(ADDRESS(12,3+18*3+(4),,,"J1 B - Butcher Terrace")&amp;":"&amp;ADDRESS(130,3+18*3+(4))),'J1 B - Butcher Terrace'!$A$12:$A$130,"&gt;="&amp;Diagram!$O43,'J1 B - Butcher Terrace'!$A$12:$A$130,"&lt;"&amp;Diagram!$P43),SUMIFS(INDIRECT(ADDRESS(12,3+18*3+(12),,,"J1 B - Butcher Terrace")&amp;":"&amp;ADDRESS(130,3+18*3+(12))),'J1 B - Butcher Terrace'!$A$12:$A$130,"&gt;="&amp;Diagram!$O43,'J1 B - Butcher Terrace'!$A$12:$A$130,"&lt;"&amp;Diagram!$P43)))</f>
        <v>0</v>
      </c>
      <c r="CO43" s="42">
        <f ca="1">IF(OR($I$10="",$O43="",$P43="",$J$39&lt;&gt;"Yes"),0,IF($K$10=0,SUMIFS(INDIRECT(ADDRESS(12,3+18*0+(4),,,"J1 B - Butcher Terrace")&amp;":"&amp;ADDRESS(130,3+18*0+(4))),'J1 B - Butcher Terrace'!$A$12:$A$130,"&gt;="&amp;Diagram!$O43,'J1 B - Butcher Terrace'!$A$12:$A$130,"&lt;"&amp;Diagram!$P43),SUMIFS(INDIRECT(ADDRESS(12,3+18*0+(12),,,"J1 B - Butcher Terrace")&amp;":"&amp;ADDRESS(130,3+18*0+(12))),'J1 B - Butcher Terrace'!$A$12:$A$130,"&gt;="&amp;Diagram!$O43,'J1 B - Butcher Terrace'!$A$12:$A$130,"&lt;"&amp;Diagram!$P43)))</f>
        <v>0</v>
      </c>
      <c r="CP43" s="42">
        <f ca="1">IF(OR($I$10="",$O43="",$P43="",$J$39&lt;&gt;"Yes"),0,IF($K$10=0,SUMIFS(INDIRECT(ADDRESS(12,3+18*1+(4),,,"J1 B - Butcher Terrace")&amp;":"&amp;ADDRESS(130,3+18*1+(4))),'J1 B - Butcher Terrace'!$A$12:$A$130,"&gt;="&amp;Diagram!$O43,'J1 B - Butcher Terrace'!$A$12:$A$130,"&lt;"&amp;Diagram!$P43),SUMIFS(INDIRECT(ADDRESS(12,3+18*1+(12),,,"J1 B - Butcher Terrace")&amp;":"&amp;ADDRESS(130,3+18*1+(12))),'J1 B - Butcher Terrace'!$A$12:$A$130,"&gt;="&amp;Diagram!$O43,'J1 B - Butcher Terrace'!$A$12:$A$130,"&lt;"&amp;Diagram!$P43)))</f>
        <v>0</v>
      </c>
      <c r="CQ43" s="42">
        <f ca="1">IF(OR($I$10="",$O43="",$P43="",$J$39&lt;&gt;"Yes"),0,IF($K$10=0,SUMIFS(INDIRECT(ADDRESS(12,3+18*1+(4),,,"J1 C - (South) Bishopthorpe Roa")&amp;":"&amp;ADDRESS(130,3+18*1+(4))),'J1 C - (South) Bishopthorpe Roa'!$A$12:$A$130,"&gt;="&amp;Diagram!$O43,'J1 C - (South) Bishopthorpe Roa'!$A$12:$A$130,"&lt;"&amp;Diagram!$P43),SUMIFS(INDIRECT(ADDRESS(12,3+18*1+(12),,,"J1 C - (South) Bishopthorpe Roa")&amp;":"&amp;ADDRESS(130,3+18*1+(12))),'J1 C - (South) Bishopthorpe Roa'!$A$12:$A$130,"&gt;="&amp;Diagram!$O43,'J1 C - (South) Bishopthorpe Roa'!$A$12:$A$130,"&lt;"&amp;Diagram!$P43)))</f>
        <v>4</v>
      </c>
      <c r="CR43" s="42">
        <f ca="1">IF(OR($I$10="",$O43="",$P43="",$J$39&lt;&gt;"Yes"),0,IF($K$10=0,SUMIFS(INDIRECT(ADDRESS(12,3+18*2+(4),,,"J1 C - (South) Bishopthorpe Roa")&amp;":"&amp;ADDRESS(130,3+18*2+(4))),'J1 C - (South) Bishopthorpe Roa'!$A$12:$A$130,"&gt;="&amp;Diagram!$O43,'J1 C - (South) Bishopthorpe Roa'!$A$12:$A$130,"&lt;"&amp;Diagram!$P43),SUMIFS(INDIRECT(ADDRESS(12,3+18*2+(12),,,"J1 C - (South) Bishopthorpe Roa")&amp;":"&amp;ADDRESS(130,3+18*2+(12))),'J1 C - (South) Bishopthorpe Roa'!$A$12:$A$130,"&gt;="&amp;Diagram!$O43,'J1 C - (South) Bishopthorpe Roa'!$A$12:$A$130,"&lt;"&amp;Diagram!$P43)))</f>
        <v>0</v>
      </c>
      <c r="CS43" s="42">
        <f ca="1">IF(OR($I$10="",$O43="",$P43="",$J$39&lt;&gt;"Yes"),0,IF($K$10=0,SUMIFS(INDIRECT(ADDRESS(12,3+18*3+(4),,,"J1 C - (South) Bishopthorpe Roa")&amp;":"&amp;ADDRESS(130,3+18*3+(4))),'J1 C - (South) Bishopthorpe Roa'!$A$12:$A$130,"&gt;="&amp;Diagram!$O43,'J1 C - (South) Bishopthorpe Roa'!$A$12:$A$130,"&lt;"&amp;Diagram!$P43),SUMIFS(INDIRECT(ADDRESS(12,3+18*3+(12),,,"J1 C - (South) Bishopthorpe Roa")&amp;":"&amp;ADDRESS(130,3+18*3+(12))),'J1 C - (South) Bishopthorpe Roa'!$A$12:$A$130,"&gt;="&amp;Diagram!$O43,'J1 C - (South) Bishopthorpe Roa'!$A$12:$A$130,"&lt;"&amp;Diagram!$P43)))</f>
        <v>0</v>
      </c>
      <c r="CT43" s="42">
        <f ca="1">IF(OR($I$10="",$O43="",$P43="",$J$39&lt;&gt;"Yes"),0,IF($K$10=0,SUMIFS(INDIRECT(ADDRESS(12,3+18*0+(4),,,"J1 C - (South) Bishopthorpe Roa")&amp;":"&amp;ADDRESS(130,3+18*0+(4))),'J1 C - (South) Bishopthorpe Roa'!$A$12:$A$130,"&gt;="&amp;Diagram!$O43,'J1 C - (South) Bishopthorpe Roa'!$A$12:$A$130,"&lt;"&amp;Diagram!$P43),SUMIFS(INDIRECT(ADDRESS(12,3+18*0+(12),,,"J1 C - (South) Bishopthorpe Roa")&amp;":"&amp;ADDRESS(130,3+18*0+(12))),'J1 C - (South) Bishopthorpe Roa'!$A$12:$A$130,"&gt;="&amp;Diagram!$O43,'J1 C - (South) Bishopthorpe Roa'!$A$12:$A$130,"&lt;"&amp;Diagram!$P43)))</f>
        <v>0</v>
      </c>
      <c r="CU43" s="42">
        <f ca="1">IF(OR($I$10="",$O43="",$P43="",$J$39&lt;&gt;"Yes"),0,IF($K$10=0,SUMIFS(INDIRECT(ADDRESS(12,3+18*0+(4),,,"J1 D - South Bank Avenue")&amp;":"&amp;ADDRESS(130,3+18*0+(4))),'J1 D - South Bank Avenue'!$A$12:$A$130,"&gt;="&amp;Diagram!$O43,'J1 D - South Bank Avenue'!$A$12:$A$130,"&lt;"&amp;Diagram!$P43),SUMIFS(INDIRECT(ADDRESS(12,3+18*0+(12),,,"J1 D - South Bank Avenue")&amp;":"&amp;ADDRESS(130,3+18*0+(12))),'J1 D - South Bank Avenue'!$A$12:$A$130,"&gt;="&amp;Diagram!$O43,'J1 D - South Bank Avenue'!$A$12:$A$130,"&lt;"&amp;Diagram!$P43)))</f>
        <v>0</v>
      </c>
      <c r="CV43" s="42">
        <f ca="1">IF(OR($I$10="",$O43="",$P43="",$J$39&lt;&gt;"Yes"),0,IF($K$10=0,SUMIFS(INDIRECT(ADDRESS(12,3+18*1+(4),,,"J1 D - South Bank Avenue")&amp;":"&amp;ADDRESS(130,3+18*1+(4))),'J1 D - South Bank Avenue'!$A$12:$A$130,"&gt;="&amp;Diagram!$O43,'J1 D - South Bank Avenue'!$A$12:$A$130,"&lt;"&amp;Diagram!$P43),SUMIFS(INDIRECT(ADDRESS(12,3+18*1+(12),,,"J1 D - South Bank Avenue")&amp;":"&amp;ADDRESS(130,3+18*1+(12))),'J1 D - South Bank Avenue'!$A$12:$A$130,"&gt;="&amp;Diagram!$O43,'J1 D - South Bank Avenue'!$A$12:$A$130,"&lt;"&amp;Diagram!$P43)))</f>
        <v>0</v>
      </c>
      <c r="CW43" s="42">
        <f ca="1">IF(OR($I$10="",$O43="",$P43="",$J$39&lt;&gt;"Yes"),0,IF($K$10=0,SUMIFS(INDIRECT(ADDRESS(12,3+18*2+(4),,,"J1 D - South Bank Avenue")&amp;":"&amp;ADDRESS(130,3+18*2+(4))),'J1 D - South Bank Avenue'!$A$12:$A$130,"&gt;="&amp;Diagram!$O43,'J1 D - South Bank Avenue'!$A$12:$A$130,"&lt;"&amp;Diagram!$P43),SUMIFS(INDIRECT(ADDRESS(12,3+18*2+(12),,,"J1 D - South Bank Avenue")&amp;":"&amp;ADDRESS(130,3+18*2+(12))),'J1 D - South Bank Avenue'!$A$12:$A$130,"&gt;="&amp;Diagram!$O43,'J1 D - South Bank Avenue'!$A$12:$A$130,"&lt;"&amp;Diagram!$P43)))</f>
        <v>0</v>
      </c>
      <c r="CX43" s="42">
        <f ca="1">IF(OR($I$10="",$O43="",$P43="",$J$39&lt;&gt;"Yes"),0,IF($K$10=0,SUMIFS(INDIRECT(ADDRESS(12,3+18*3+(4),,,"J1 D - South Bank Avenue")&amp;":"&amp;ADDRESS(130,3+18*3+(4))),'J1 D - South Bank Avenue'!$A$12:$A$130,"&gt;="&amp;Diagram!$O43,'J1 D - South Bank Avenue'!$A$12:$A$130,"&lt;"&amp;Diagram!$P43),SUMIFS(INDIRECT(ADDRESS(12,3+18*3+(12),,,"J1 D - South Bank Avenue")&amp;":"&amp;ADDRESS(130,3+18*3+(12))),'J1 D - South Bank Avenue'!$A$12:$A$130,"&gt;="&amp;Diagram!$O43,'J1 D - South Bank Avenue'!$A$12:$A$130,"&lt;"&amp;Diagram!$P43)))</f>
        <v>0</v>
      </c>
      <c r="CY43" s="42">
        <f t="shared" ca="1" si="6"/>
        <v>63</v>
      </c>
      <c r="CZ43" s="42">
        <f ca="1">IF(OR($I$10="",$O43="",$P43="",$J$40&lt;&gt;"Yes"),0,IF($K$10=0,SUMIFS(INDIRECT(ADDRESS(12,3+18*3+(5),,,"J1 A - (North) Bishopthorpe Roa")&amp;":"&amp;ADDRESS(130,3+18*3+(5))),'J1 A - (North) Bishopthorpe Roa'!$A$12:$A$130,"&gt;="&amp;Diagram!$O43,'J1 A - (North) Bishopthorpe Roa'!$A$12:$A$130,"&lt;"&amp;Diagram!$P43),SUMIFS(INDIRECT(ADDRESS(12,3+18*3+(13),,,"J1 A - (North) Bishopthorpe Roa")&amp;":"&amp;ADDRESS(130,3+18*3+(13))),'J1 A - (North) Bishopthorpe Roa'!$A$12:$A$130,"&gt;="&amp;Diagram!$O43,'J1 A - (North) Bishopthorpe Roa'!$A$12:$A$130,"&lt;"&amp;Diagram!$P43)))</f>
        <v>0</v>
      </c>
      <c r="DA43" s="42">
        <f ca="1">IF(OR($I$10="",$O43="",$P43="",$J$40&lt;&gt;"Yes"),0,IF($K$10=0,SUMIFS(INDIRECT(ADDRESS(12,3+18*0+(5),,,"J1 A - (North) Bishopthorpe Roa")&amp;":"&amp;ADDRESS(130,3+18*0+(5))),'J1 A - (North) Bishopthorpe Roa'!$A$12:$A$130,"&gt;="&amp;Diagram!$O43,'J1 A - (North) Bishopthorpe Roa'!$A$12:$A$130,"&lt;"&amp;Diagram!$P43),SUMIFS(INDIRECT(ADDRESS(12,3+18*0+(13),,,"J1 A - (North) Bishopthorpe Roa")&amp;":"&amp;ADDRESS(130,3+18*0+(13))),'J1 A - (North) Bishopthorpe Roa'!$A$12:$A$130,"&gt;="&amp;Diagram!$O43,'J1 A - (North) Bishopthorpe Roa'!$A$12:$A$130,"&lt;"&amp;Diagram!$P43)))</f>
        <v>6</v>
      </c>
      <c r="DB43" s="42">
        <f ca="1">IF(OR($I$10="",$O43="",$P43="",$J$40&lt;&gt;"Yes"),0,IF($K$10=0,SUMIFS(INDIRECT(ADDRESS(12,3+18*1+(5),,,"J1 A - (North) Bishopthorpe Roa")&amp;":"&amp;ADDRESS(130,3+18*1+(5))),'J1 A - (North) Bishopthorpe Roa'!$A$12:$A$130,"&gt;="&amp;Diagram!$O43,'J1 A - (North) Bishopthorpe Roa'!$A$12:$A$130,"&lt;"&amp;Diagram!$P43),SUMIFS(INDIRECT(ADDRESS(12,3+18*1+(13),,,"J1 A - (North) Bishopthorpe Roa")&amp;":"&amp;ADDRESS(130,3+18*1+(13))),'J1 A - (North) Bishopthorpe Roa'!$A$12:$A$130,"&gt;="&amp;Diagram!$O43,'J1 A - (North) Bishopthorpe Roa'!$A$12:$A$130,"&lt;"&amp;Diagram!$P43)))</f>
        <v>10</v>
      </c>
      <c r="DC43" s="42">
        <f ca="1">IF(OR($I$10="",$O43="",$P43="",$J$40&lt;&gt;"Yes"),0,IF($K$10=0,SUMIFS(INDIRECT(ADDRESS(12,3+18*2+(5),,,"J1 A - (North) Bishopthorpe Roa")&amp;":"&amp;ADDRESS(130,3+18*2+(5))),'J1 A - (North) Bishopthorpe Roa'!$A$12:$A$130,"&gt;="&amp;Diagram!$O43,'J1 A - (North) Bishopthorpe Roa'!$A$12:$A$130,"&lt;"&amp;Diagram!$P43),SUMIFS(INDIRECT(ADDRESS(12,3+18*2+(13),,,"J1 A - (North) Bishopthorpe Roa")&amp;":"&amp;ADDRESS(130,3+18*2+(13))),'J1 A - (North) Bishopthorpe Roa'!$A$12:$A$130,"&gt;="&amp;Diagram!$O43,'J1 A - (North) Bishopthorpe Roa'!$A$12:$A$130,"&lt;"&amp;Diagram!$P43)))</f>
        <v>1</v>
      </c>
      <c r="DD43" s="42">
        <f ca="1">IF(OR($I$10="",$O43="",$P43="",$J$40&lt;&gt;"Yes"),0,IF($K$10=0,SUMIFS(INDIRECT(ADDRESS(12,3+18*2+(5),,,"J1 B - Butcher Terrace")&amp;":"&amp;ADDRESS(130,3+18*2+(5))),'J1 B - Butcher Terrace'!$A$12:$A$130,"&gt;="&amp;Diagram!$O43,'J1 B - Butcher Terrace'!$A$12:$A$130,"&lt;"&amp;Diagram!$P43),SUMIFS(INDIRECT(ADDRESS(12,3+18*2+(13),,,"J1 B - Butcher Terrace")&amp;":"&amp;ADDRESS(130,3+18*2+(13))),'J1 B - Butcher Terrace'!$A$12:$A$130,"&gt;="&amp;Diagram!$O43,'J1 B - Butcher Terrace'!$A$12:$A$130,"&lt;"&amp;Diagram!$P43)))</f>
        <v>6</v>
      </c>
      <c r="DE43" s="42">
        <f ca="1">IF(OR($I$10="",$O43="",$P43="",$J$40&lt;&gt;"Yes"),0,IF($K$10=0,SUMIFS(INDIRECT(ADDRESS(12,3+18*3+(5),,,"J1 B - Butcher Terrace")&amp;":"&amp;ADDRESS(130,3+18*3+(5))),'J1 B - Butcher Terrace'!$A$12:$A$130,"&gt;="&amp;Diagram!$O43,'J1 B - Butcher Terrace'!$A$12:$A$130,"&lt;"&amp;Diagram!$P43),SUMIFS(INDIRECT(ADDRESS(12,3+18*3+(13),,,"J1 B - Butcher Terrace")&amp;":"&amp;ADDRESS(130,3+18*3+(13))),'J1 B - Butcher Terrace'!$A$12:$A$130,"&gt;="&amp;Diagram!$O43,'J1 B - Butcher Terrace'!$A$12:$A$130,"&lt;"&amp;Diagram!$P43)))</f>
        <v>0</v>
      </c>
      <c r="DF43" s="42">
        <f ca="1">IF(OR($I$10="",$O43="",$P43="",$J$40&lt;&gt;"Yes"),0,IF($K$10=0,SUMIFS(INDIRECT(ADDRESS(12,3+18*0+(5),,,"J1 B - Butcher Terrace")&amp;":"&amp;ADDRESS(130,3+18*0+(5))),'J1 B - Butcher Terrace'!$A$12:$A$130,"&gt;="&amp;Diagram!$O43,'J1 B - Butcher Terrace'!$A$12:$A$130,"&lt;"&amp;Diagram!$P43),SUMIFS(INDIRECT(ADDRESS(12,3+18*0+(13),,,"J1 B - Butcher Terrace")&amp;":"&amp;ADDRESS(130,3+18*0+(13))),'J1 B - Butcher Terrace'!$A$12:$A$130,"&gt;="&amp;Diagram!$O43,'J1 B - Butcher Terrace'!$A$12:$A$130,"&lt;"&amp;Diagram!$P43)))</f>
        <v>5</v>
      </c>
      <c r="DG43" s="42">
        <f ca="1">IF(OR($I$10="",$O43="",$P43="",$J$40&lt;&gt;"Yes"),0,IF($K$10=0,SUMIFS(INDIRECT(ADDRESS(12,3+18*1+(5),,,"J1 B - Butcher Terrace")&amp;":"&amp;ADDRESS(130,3+18*1+(5))),'J1 B - Butcher Terrace'!$A$12:$A$130,"&gt;="&amp;Diagram!$O43,'J1 B - Butcher Terrace'!$A$12:$A$130,"&lt;"&amp;Diagram!$P43),SUMIFS(INDIRECT(ADDRESS(12,3+18*1+(13),,,"J1 B - Butcher Terrace")&amp;":"&amp;ADDRESS(130,3+18*1+(13))),'J1 B - Butcher Terrace'!$A$12:$A$130,"&gt;="&amp;Diagram!$O43,'J1 B - Butcher Terrace'!$A$12:$A$130,"&lt;"&amp;Diagram!$P43)))</f>
        <v>11</v>
      </c>
      <c r="DH43" s="42">
        <f ca="1">IF(OR($I$10="",$O43="",$P43="",$J$40&lt;&gt;"Yes"),0,IF($K$10=0,SUMIFS(INDIRECT(ADDRESS(12,3+18*1+(5),,,"J1 C - (South) Bishopthorpe Roa")&amp;":"&amp;ADDRESS(130,3+18*1+(5))),'J1 C - (South) Bishopthorpe Roa'!$A$12:$A$130,"&gt;="&amp;Diagram!$O43,'J1 C - (South) Bishopthorpe Roa'!$A$12:$A$130,"&lt;"&amp;Diagram!$P43),SUMIFS(INDIRECT(ADDRESS(12,3+18*1+(13),,,"J1 C - (South) Bishopthorpe Roa")&amp;":"&amp;ADDRESS(130,3+18*1+(13))),'J1 C - (South) Bishopthorpe Roa'!$A$12:$A$130,"&gt;="&amp;Diagram!$O43,'J1 C - (South) Bishopthorpe Roa'!$A$12:$A$130,"&lt;"&amp;Diagram!$P43)))</f>
        <v>5</v>
      </c>
      <c r="DI43" s="42">
        <f ca="1">IF(OR($I$10="",$O43="",$P43="",$J$40&lt;&gt;"Yes"),0,IF($K$10=0,SUMIFS(INDIRECT(ADDRESS(12,3+18*2+(5),,,"J1 C - (South) Bishopthorpe Roa")&amp;":"&amp;ADDRESS(130,3+18*2+(5))),'J1 C - (South) Bishopthorpe Roa'!$A$12:$A$130,"&gt;="&amp;Diagram!$O43,'J1 C - (South) Bishopthorpe Roa'!$A$12:$A$130,"&lt;"&amp;Diagram!$P43),SUMIFS(INDIRECT(ADDRESS(12,3+18*2+(13),,,"J1 C - (South) Bishopthorpe Roa")&amp;":"&amp;ADDRESS(130,3+18*2+(13))),'J1 C - (South) Bishopthorpe Roa'!$A$12:$A$130,"&gt;="&amp;Diagram!$O43,'J1 C - (South) Bishopthorpe Roa'!$A$12:$A$130,"&lt;"&amp;Diagram!$P43)))</f>
        <v>5</v>
      </c>
      <c r="DJ43" s="42">
        <f ca="1">IF(OR($I$10="",$O43="",$P43="",$J$40&lt;&gt;"Yes"),0,IF($K$10=0,SUMIFS(INDIRECT(ADDRESS(12,3+18*3+(5),,,"J1 C - (South) Bishopthorpe Roa")&amp;":"&amp;ADDRESS(130,3+18*3+(5))),'J1 C - (South) Bishopthorpe Roa'!$A$12:$A$130,"&gt;="&amp;Diagram!$O43,'J1 C - (South) Bishopthorpe Roa'!$A$12:$A$130,"&lt;"&amp;Diagram!$P43),SUMIFS(INDIRECT(ADDRESS(12,3+18*3+(13),,,"J1 C - (South) Bishopthorpe Roa")&amp;":"&amp;ADDRESS(130,3+18*3+(13))),'J1 C - (South) Bishopthorpe Roa'!$A$12:$A$130,"&gt;="&amp;Diagram!$O43,'J1 C - (South) Bishopthorpe Roa'!$A$12:$A$130,"&lt;"&amp;Diagram!$P43)))</f>
        <v>0</v>
      </c>
      <c r="DK43" s="42">
        <f ca="1">IF(OR($I$10="",$O43="",$P43="",$J$40&lt;&gt;"Yes"),0,IF($K$10=0,SUMIFS(INDIRECT(ADDRESS(12,3+18*0+(5),,,"J1 C - (South) Bishopthorpe Roa")&amp;":"&amp;ADDRESS(130,3+18*0+(5))),'J1 C - (South) Bishopthorpe Roa'!$A$12:$A$130,"&gt;="&amp;Diagram!$O43,'J1 C - (South) Bishopthorpe Roa'!$A$12:$A$130,"&lt;"&amp;Diagram!$P43),SUMIFS(INDIRECT(ADDRESS(12,3+18*0+(13),,,"J1 C - (South) Bishopthorpe Roa")&amp;":"&amp;ADDRESS(130,3+18*0+(13))),'J1 C - (South) Bishopthorpe Roa'!$A$12:$A$130,"&gt;="&amp;Diagram!$O43,'J1 C - (South) Bishopthorpe Roa'!$A$12:$A$130,"&lt;"&amp;Diagram!$P43)))</f>
        <v>0</v>
      </c>
      <c r="DL43" s="42">
        <f ca="1">IF(OR($I$10="",$O43="",$P43="",$J$40&lt;&gt;"Yes"),0,IF($K$10=0,SUMIFS(INDIRECT(ADDRESS(12,3+18*0+(5),,,"J1 D - South Bank Avenue")&amp;":"&amp;ADDRESS(130,3+18*0+(5))),'J1 D - South Bank Avenue'!$A$12:$A$130,"&gt;="&amp;Diagram!$O43,'J1 D - South Bank Avenue'!$A$12:$A$130,"&lt;"&amp;Diagram!$P43),SUMIFS(INDIRECT(ADDRESS(12,3+18*0+(13),,,"J1 D - South Bank Avenue")&amp;":"&amp;ADDRESS(130,3+18*0+(13))),'J1 D - South Bank Avenue'!$A$12:$A$130,"&gt;="&amp;Diagram!$O43,'J1 D - South Bank Avenue'!$A$12:$A$130,"&lt;"&amp;Diagram!$P43)))</f>
        <v>2</v>
      </c>
      <c r="DM43" s="42">
        <f ca="1">IF(OR($I$10="",$O43="",$P43="",$J$40&lt;&gt;"Yes"),0,IF($K$10=0,SUMIFS(INDIRECT(ADDRESS(12,3+18*1+(5),,,"J1 D - South Bank Avenue")&amp;":"&amp;ADDRESS(130,3+18*1+(5))),'J1 D - South Bank Avenue'!$A$12:$A$130,"&gt;="&amp;Diagram!$O43,'J1 D - South Bank Avenue'!$A$12:$A$130,"&lt;"&amp;Diagram!$P43),SUMIFS(INDIRECT(ADDRESS(12,3+18*1+(13),,,"J1 D - South Bank Avenue")&amp;":"&amp;ADDRESS(130,3+18*1+(13))),'J1 D - South Bank Avenue'!$A$12:$A$130,"&gt;="&amp;Diagram!$O43,'J1 D - South Bank Avenue'!$A$12:$A$130,"&lt;"&amp;Diagram!$P43)))</f>
        <v>12</v>
      </c>
      <c r="DN43" s="42">
        <f ca="1">IF(OR($I$10="",$O43="",$P43="",$J$40&lt;&gt;"Yes"),0,IF($K$10=0,SUMIFS(INDIRECT(ADDRESS(12,3+18*2+(5),,,"J1 D - South Bank Avenue")&amp;":"&amp;ADDRESS(130,3+18*2+(5))),'J1 D - South Bank Avenue'!$A$12:$A$130,"&gt;="&amp;Diagram!$O43,'J1 D - South Bank Avenue'!$A$12:$A$130,"&lt;"&amp;Diagram!$P43),SUMIFS(INDIRECT(ADDRESS(12,3+18*2+(13),,,"J1 D - South Bank Avenue")&amp;":"&amp;ADDRESS(130,3+18*2+(13))),'J1 D - South Bank Avenue'!$A$12:$A$130,"&gt;="&amp;Diagram!$O43,'J1 D - South Bank Avenue'!$A$12:$A$130,"&lt;"&amp;Diagram!$P43)))</f>
        <v>0</v>
      </c>
      <c r="DO43" s="42">
        <f ca="1">IF(OR($I$10="",$O43="",$P43="",$J$40&lt;&gt;"Yes"),0,IF($K$10=0,SUMIFS(INDIRECT(ADDRESS(12,3+18*3+(5),,,"J1 D - South Bank Avenue")&amp;":"&amp;ADDRESS(130,3+18*3+(5))),'J1 D - South Bank Avenue'!$A$12:$A$130,"&gt;="&amp;Diagram!$O43,'J1 D - South Bank Avenue'!$A$12:$A$130,"&lt;"&amp;Diagram!$P43),SUMIFS(INDIRECT(ADDRESS(12,3+18*3+(13),,,"J1 D - South Bank Avenue")&amp;":"&amp;ADDRESS(130,3+18*3+(13))),'J1 D - South Bank Avenue'!$A$12:$A$130,"&gt;="&amp;Diagram!$O43,'J1 D - South Bank Avenue'!$A$12:$A$130,"&lt;"&amp;Diagram!$P43)))</f>
        <v>0</v>
      </c>
      <c r="DP43" s="42">
        <f t="shared" ca="1" si="7"/>
        <v>4</v>
      </c>
      <c r="DQ43" s="42">
        <f ca="1">IF(OR($I$10="",$O43="",$P43="",$J$41&lt;&gt;"Yes"),0,IF($K$10=0,SUMIFS(INDIRECT(ADDRESS(12,3+18*3+(6),,,"J1 A - (North) Bishopthorpe Roa")&amp;":"&amp;ADDRESS(130,3+18*3+(6))),'J1 A - (North) Bishopthorpe Roa'!$A$12:$A$130,"&gt;="&amp;Diagram!$O43,'J1 A - (North) Bishopthorpe Roa'!$A$12:$A$130,"&lt;"&amp;Diagram!$P43),SUMIFS(INDIRECT(ADDRESS(12,3+18*3+(14),,,"J1 A - (North) Bishopthorpe Roa")&amp;":"&amp;ADDRESS(130,3+18*3+(14))),'J1 A - (North) Bishopthorpe Roa'!$A$12:$A$130,"&gt;="&amp;Diagram!$O43,'J1 A - (North) Bishopthorpe Roa'!$A$12:$A$130,"&lt;"&amp;Diagram!$P43)))</f>
        <v>0</v>
      </c>
      <c r="DR43" s="42">
        <f ca="1">IF(OR($I$10="",$O43="",$P43="",$J$41&lt;&gt;"Yes"),0,IF($K$10=0,SUMIFS(INDIRECT(ADDRESS(12,3+18*0+(6),,,"J1 A - (North) Bishopthorpe Roa")&amp;":"&amp;ADDRESS(130,3+18*0+(6))),'J1 A - (North) Bishopthorpe Roa'!$A$12:$A$130,"&gt;="&amp;Diagram!$O43,'J1 A - (North) Bishopthorpe Roa'!$A$12:$A$130,"&lt;"&amp;Diagram!$P43),SUMIFS(INDIRECT(ADDRESS(12,3+18*0+(14),,,"J1 A - (North) Bishopthorpe Roa")&amp;":"&amp;ADDRESS(130,3+18*0+(14))),'J1 A - (North) Bishopthorpe Roa'!$A$12:$A$130,"&gt;="&amp;Diagram!$O43,'J1 A - (North) Bishopthorpe Roa'!$A$12:$A$130,"&lt;"&amp;Diagram!$P43)))</f>
        <v>0</v>
      </c>
      <c r="DS43" s="42">
        <f ca="1">IF(OR($I$10="",$O43="",$P43="",$J$41&lt;&gt;"Yes"),0,IF($K$10=0,SUMIFS(INDIRECT(ADDRESS(12,3+18*1+(6),,,"J1 A - (North) Bishopthorpe Roa")&amp;":"&amp;ADDRESS(130,3+18*1+(6))),'J1 A - (North) Bishopthorpe Roa'!$A$12:$A$130,"&gt;="&amp;Diagram!$O43,'J1 A - (North) Bishopthorpe Roa'!$A$12:$A$130,"&lt;"&amp;Diagram!$P43),SUMIFS(INDIRECT(ADDRESS(12,3+18*1+(14),,,"J1 A - (North) Bishopthorpe Roa")&amp;":"&amp;ADDRESS(130,3+18*1+(14))),'J1 A - (North) Bishopthorpe Roa'!$A$12:$A$130,"&gt;="&amp;Diagram!$O43,'J1 A - (North) Bishopthorpe Roa'!$A$12:$A$130,"&lt;"&amp;Diagram!$P43)))</f>
        <v>3</v>
      </c>
      <c r="DT43" s="42">
        <f ca="1">IF(OR($I$10="",$O43="",$P43="",$J$41&lt;&gt;"Yes"),0,IF($K$10=0,SUMIFS(INDIRECT(ADDRESS(12,3+18*2+(6),,,"J1 A - (North) Bishopthorpe Roa")&amp;":"&amp;ADDRESS(130,3+18*2+(6))),'J1 A - (North) Bishopthorpe Roa'!$A$12:$A$130,"&gt;="&amp;Diagram!$O43,'J1 A - (North) Bishopthorpe Roa'!$A$12:$A$130,"&lt;"&amp;Diagram!$P43),SUMIFS(INDIRECT(ADDRESS(12,3+18*2+(14),,,"J1 A - (North) Bishopthorpe Roa")&amp;":"&amp;ADDRESS(130,3+18*2+(14))),'J1 A - (North) Bishopthorpe Roa'!$A$12:$A$130,"&gt;="&amp;Diagram!$O43,'J1 A - (North) Bishopthorpe Roa'!$A$12:$A$130,"&lt;"&amp;Diagram!$P43)))</f>
        <v>0</v>
      </c>
      <c r="DU43" s="42">
        <f ca="1">IF(OR($I$10="",$O43="",$P43="",$J$41&lt;&gt;"Yes"),0,IF($K$10=0,SUMIFS(INDIRECT(ADDRESS(12,3+18*2+(6),,,"J1 B - Butcher Terrace")&amp;":"&amp;ADDRESS(130,3+18*2+(6))),'J1 B - Butcher Terrace'!$A$12:$A$130,"&gt;="&amp;Diagram!$O43,'J1 B - Butcher Terrace'!$A$12:$A$130,"&lt;"&amp;Diagram!$P43),SUMIFS(INDIRECT(ADDRESS(12,3+18*2+(14),,,"J1 B - Butcher Terrace")&amp;":"&amp;ADDRESS(130,3+18*2+(14))),'J1 B - Butcher Terrace'!$A$12:$A$130,"&gt;="&amp;Diagram!$O43,'J1 B - Butcher Terrace'!$A$12:$A$130,"&lt;"&amp;Diagram!$P43)))</f>
        <v>0</v>
      </c>
      <c r="DV43" s="42">
        <f ca="1">IF(OR($I$10="",$O43="",$P43="",$J$41&lt;&gt;"Yes"),0,IF($K$10=0,SUMIFS(INDIRECT(ADDRESS(12,3+18*3+(6),,,"J1 B - Butcher Terrace")&amp;":"&amp;ADDRESS(130,3+18*3+(6))),'J1 B - Butcher Terrace'!$A$12:$A$130,"&gt;="&amp;Diagram!$O43,'J1 B - Butcher Terrace'!$A$12:$A$130,"&lt;"&amp;Diagram!$P43),SUMIFS(INDIRECT(ADDRESS(12,3+18*3+(14),,,"J1 B - Butcher Terrace")&amp;":"&amp;ADDRESS(130,3+18*3+(14))),'J1 B - Butcher Terrace'!$A$12:$A$130,"&gt;="&amp;Diagram!$O43,'J1 B - Butcher Terrace'!$A$12:$A$130,"&lt;"&amp;Diagram!$P43)))</f>
        <v>0</v>
      </c>
      <c r="DW43" s="42">
        <f ca="1">IF(OR($I$10="",$O43="",$P43="",$J$41&lt;&gt;"Yes"),0,IF($K$10=0,SUMIFS(INDIRECT(ADDRESS(12,3+18*0+(6),,,"J1 B - Butcher Terrace")&amp;":"&amp;ADDRESS(130,3+18*0+(6))),'J1 B - Butcher Terrace'!$A$12:$A$130,"&gt;="&amp;Diagram!$O43,'J1 B - Butcher Terrace'!$A$12:$A$130,"&lt;"&amp;Diagram!$P43),SUMIFS(INDIRECT(ADDRESS(12,3+18*0+(14),,,"J1 B - Butcher Terrace")&amp;":"&amp;ADDRESS(130,3+18*0+(14))),'J1 B - Butcher Terrace'!$A$12:$A$130,"&gt;="&amp;Diagram!$O43,'J1 B - Butcher Terrace'!$A$12:$A$130,"&lt;"&amp;Diagram!$P43)))</f>
        <v>0</v>
      </c>
      <c r="DX43" s="42">
        <f ca="1">IF(OR($I$10="",$O43="",$P43="",$J$41&lt;&gt;"Yes"),0,IF($K$10=0,SUMIFS(INDIRECT(ADDRESS(12,3+18*1+(6),,,"J1 B - Butcher Terrace")&amp;":"&amp;ADDRESS(130,3+18*1+(6))),'J1 B - Butcher Terrace'!$A$12:$A$130,"&gt;="&amp;Diagram!$O43,'J1 B - Butcher Terrace'!$A$12:$A$130,"&lt;"&amp;Diagram!$P43),SUMIFS(INDIRECT(ADDRESS(12,3+18*1+(14),,,"J1 B - Butcher Terrace")&amp;":"&amp;ADDRESS(130,3+18*1+(14))),'J1 B - Butcher Terrace'!$A$12:$A$130,"&gt;="&amp;Diagram!$O43,'J1 B - Butcher Terrace'!$A$12:$A$130,"&lt;"&amp;Diagram!$P43)))</f>
        <v>0</v>
      </c>
      <c r="DY43" s="42">
        <f ca="1">IF(OR($I$10="",$O43="",$P43="",$J$41&lt;&gt;"Yes"),0,IF($K$10=0,SUMIFS(INDIRECT(ADDRESS(12,3+18*1+(6),,,"J1 C - (South) Bishopthorpe Roa")&amp;":"&amp;ADDRESS(130,3+18*1+(6))),'J1 C - (South) Bishopthorpe Roa'!$A$12:$A$130,"&gt;="&amp;Diagram!$O43,'J1 C - (South) Bishopthorpe Roa'!$A$12:$A$130,"&lt;"&amp;Diagram!$P43),SUMIFS(INDIRECT(ADDRESS(12,3+18*1+(14),,,"J1 C - (South) Bishopthorpe Roa")&amp;":"&amp;ADDRESS(130,3+18*1+(14))),'J1 C - (South) Bishopthorpe Roa'!$A$12:$A$130,"&gt;="&amp;Diagram!$O43,'J1 C - (South) Bishopthorpe Roa'!$A$12:$A$130,"&lt;"&amp;Diagram!$P43)))</f>
        <v>1</v>
      </c>
      <c r="DZ43" s="42">
        <f ca="1">IF(OR($I$10="",$O43="",$P43="",$J$41&lt;&gt;"Yes"),0,IF($K$10=0,SUMIFS(INDIRECT(ADDRESS(12,3+18*2+(6),,,"J1 C - (South) Bishopthorpe Roa")&amp;":"&amp;ADDRESS(130,3+18*2+(6))),'J1 C - (South) Bishopthorpe Roa'!$A$12:$A$130,"&gt;="&amp;Diagram!$O43,'J1 C - (South) Bishopthorpe Roa'!$A$12:$A$130,"&lt;"&amp;Diagram!$P43),SUMIFS(INDIRECT(ADDRESS(12,3+18*2+(14),,,"J1 C - (South) Bishopthorpe Roa")&amp;":"&amp;ADDRESS(130,3+18*2+(14))),'J1 C - (South) Bishopthorpe Roa'!$A$12:$A$130,"&gt;="&amp;Diagram!$O43,'J1 C - (South) Bishopthorpe Roa'!$A$12:$A$130,"&lt;"&amp;Diagram!$P43)))</f>
        <v>0</v>
      </c>
      <c r="EA43" s="42">
        <f ca="1">IF(OR($I$10="",$O43="",$P43="",$J$41&lt;&gt;"Yes"),0,IF($K$10=0,SUMIFS(INDIRECT(ADDRESS(12,3+18*3+(6),,,"J1 C - (South) Bishopthorpe Roa")&amp;":"&amp;ADDRESS(130,3+18*3+(6))),'J1 C - (South) Bishopthorpe Roa'!$A$12:$A$130,"&gt;="&amp;Diagram!$O43,'J1 C - (South) Bishopthorpe Roa'!$A$12:$A$130,"&lt;"&amp;Diagram!$P43),SUMIFS(INDIRECT(ADDRESS(12,3+18*3+(14),,,"J1 C - (South) Bishopthorpe Roa")&amp;":"&amp;ADDRESS(130,3+18*3+(14))),'J1 C - (South) Bishopthorpe Roa'!$A$12:$A$130,"&gt;="&amp;Diagram!$O43,'J1 C - (South) Bishopthorpe Roa'!$A$12:$A$130,"&lt;"&amp;Diagram!$P43)))</f>
        <v>0</v>
      </c>
      <c r="EB43" s="42">
        <f ca="1">IF(OR($I$10="",$O43="",$P43="",$J$41&lt;&gt;"Yes"),0,IF($K$10=0,SUMIFS(INDIRECT(ADDRESS(12,3+18*0+(6),,,"J1 C - (South) Bishopthorpe Roa")&amp;":"&amp;ADDRESS(130,3+18*0+(6))),'J1 C - (South) Bishopthorpe Roa'!$A$12:$A$130,"&gt;="&amp;Diagram!$O43,'J1 C - (South) Bishopthorpe Roa'!$A$12:$A$130,"&lt;"&amp;Diagram!$P43),SUMIFS(INDIRECT(ADDRESS(12,3+18*0+(14),,,"J1 C - (South) Bishopthorpe Roa")&amp;":"&amp;ADDRESS(130,3+18*0+(14))),'J1 C - (South) Bishopthorpe Roa'!$A$12:$A$130,"&gt;="&amp;Diagram!$O43,'J1 C - (South) Bishopthorpe Roa'!$A$12:$A$130,"&lt;"&amp;Diagram!$P43)))</f>
        <v>0</v>
      </c>
      <c r="EC43" s="42">
        <f ca="1">IF(OR($I$10="",$O43="",$P43="",$J$41&lt;&gt;"Yes"),0,IF($K$10=0,SUMIFS(INDIRECT(ADDRESS(12,3+18*0+(6),,,"J1 D - South Bank Avenue")&amp;":"&amp;ADDRESS(130,3+18*0+(6))),'J1 D - South Bank Avenue'!$A$12:$A$130,"&gt;="&amp;Diagram!$O43,'J1 D - South Bank Avenue'!$A$12:$A$130,"&lt;"&amp;Diagram!$P43),SUMIFS(INDIRECT(ADDRESS(12,3+18*0+(14),,,"J1 D - South Bank Avenue")&amp;":"&amp;ADDRESS(130,3+18*0+(14))),'J1 D - South Bank Avenue'!$A$12:$A$130,"&gt;="&amp;Diagram!$O43,'J1 D - South Bank Avenue'!$A$12:$A$130,"&lt;"&amp;Diagram!$P43)))</f>
        <v>0</v>
      </c>
      <c r="ED43" s="42">
        <f ca="1">IF(OR($I$10="",$O43="",$P43="",$J$41&lt;&gt;"Yes"),0,IF($K$10=0,SUMIFS(INDIRECT(ADDRESS(12,3+18*1+(6),,,"J1 D - South Bank Avenue")&amp;":"&amp;ADDRESS(130,3+18*1+(6))),'J1 D - South Bank Avenue'!$A$12:$A$130,"&gt;="&amp;Diagram!$O43,'J1 D - South Bank Avenue'!$A$12:$A$130,"&lt;"&amp;Diagram!$P43),SUMIFS(INDIRECT(ADDRESS(12,3+18*1+(14),,,"J1 D - South Bank Avenue")&amp;":"&amp;ADDRESS(130,3+18*1+(14))),'J1 D - South Bank Avenue'!$A$12:$A$130,"&gt;="&amp;Diagram!$O43,'J1 D - South Bank Avenue'!$A$12:$A$130,"&lt;"&amp;Diagram!$P43)))</f>
        <v>0</v>
      </c>
      <c r="EE43" s="42">
        <f ca="1">IF(OR($I$10="",$O43="",$P43="",$J$41&lt;&gt;"Yes"),0,IF($K$10=0,SUMIFS(INDIRECT(ADDRESS(12,3+18*2+(6),,,"J1 D - South Bank Avenue")&amp;":"&amp;ADDRESS(130,3+18*2+(6))),'J1 D - South Bank Avenue'!$A$12:$A$130,"&gt;="&amp;Diagram!$O43,'J1 D - South Bank Avenue'!$A$12:$A$130,"&lt;"&amp;Diagram!$P43),SUMIFS(INDIRECT(ADDRESS(12,3+18*2+(14),,,"J1 D - South Bank Avenue")&amp;":"&amp;ADDRESS(130,3+18*2+(14))),'J1 D - South Bank Avenue'!$A$12:$A$130,"&gt;="&amp;Diagram!$O43,'J1 D - South Bank Avenue'!$A$12:$A$130,"&lt;"&amp;Diagram!$P43)))</f>
        <v>0</v>
      </c>
      <c r="EF43" s="42">
        <f ca="1">IF(OR($I$10="",$O43="",$P43="",$J$41&lt;&gt;"Yes"),0,IF($K$10=0,SUMIFS(INDIRECT(ADDRESS(12,3+18*3+(6),,,"J1 D - South Bank Avenue")&amp;":"&amp;ADDRESS(130,3+18*3+(6))),'J1 D - South Bank Avenue'!$A$12:$A$130,"&gt;="&amp;Diagram!$O43,'J1 D - South Bank Avenue'!$A$12:$A$130,"&lt;"&amp;Diagram!$P43),SUMIFS(INDIRECT(ADDRESS(12,3+18*3+(14),,,"J1 D - South Bank Avenue")&amp;":"&amp;ADDRESS(130,3+18*3+(14))),'J1 D - South Bank Avenue'!$A$12:$A$130,"&gt;="&amp;Diagram!$O43,'J1 D - South Bank Avenue'!$A$12:$A$130,"&lt;"&amp;Diagram!$P43)))</f>
        <v>0</v>
      </c>
      <c r="EG43" s="42">
        <f t="shared" ca="1" si="8"/>
        <v>5</v>
      </c>
      <c r="EH43" s="42">
        <f ca="1">IF(OR($I$10="",$O43="",$P43="",$J$42&lt;&gt;"Yes"),0,IF($K$10=0,SUMIFS(INDIRECT(ADDRESS(12,3+18*3+(7),,,"J1 A - (North) Bishopthorpe Roa")&amp;":"&amp;ADDRESS(130,3+18*3+(7))),'J1 A - (North) Bishopthorpe Roa'!$A$12:$A$130,"&gt;="&amp;Diagram!$O43,'J1 A - (North) Bishopthorpe Roa'!$A$12:$A$130,"&lt;"&amp;Diagram!$P43),SUMIFS(INDIRECT(ADDRESS(12,3+18*3+(15),,,"J1 A - (North) Bishopthorpe Roa")&amp;":"&amp;ADDRESS(130,3+18*3+(15))),'J1 A - (North) Bishopthorpe Roa'!$A$12:$A$130,"&gt;="&amp;Diagram!$O43,'J1 A - (North) Bishopthorpe Roa'!$A$12:$A$130,"&lt;"&amp;Diagram!$P43)))</f>
        <v>0</v>
      </c>
      <c r="EI43" s="42">
        <f ca="1">IF(OR($I$10="",$O43="",$P43="",$J$42&lt;&gt;"Yes"),0,IF($K$10=0,SUMIFS(INDIRECT(ADDRESS(12,3+18*0+(7),,,"J1 A - (North) Bishopthorpe Roa")&amp;":"&amp;ADDRESS(130,3+18*0+(7))),'J1 A - (North) Bishopthorpe Roa'!$A$12:$A$130,"&gt;="&amp;Diagram!$O43,'J1 A - (North) Bishopthorpe Roa'!$A$12:$A$130,"&lt;"&amp;Diagram!$P43),SUMIFS(INDIRECT(ADDRESS(12,3+18*0+(15),,,"J1 A - (North) Bishopthorpe Roa")&amp;":"&amp;ADDRESS(130,3+18*0+(15))),'J1 A - (North) Bishopthorpe Roa'!$A$12:$A$130,"&gt;="&amp;Diagram!$O43,'J1 A - (North) Bishopthorpe Roa'!$A$12:$A$130,"&lt;"&amp;Diagram!$P43)))</f>
        <v>0</v>
      </c>
      <c r="EJ43" s="42">
        <f ca="1">IF(OR($I$10="",$O43="",$P43="",$J$42&lt;&gt;"Yes"),0,IF($K$10=0,SUMIFS(INDIRECT(ADDRESS(12,3+18*1+(7),,,"J1 A - (North) Bishopthorpe Roa")&amp;":"&amp;ADDRESS(130,3+18*1+(7))),'J1 A - (North) Bishopthorpe Roa'!$A$12:$A$130,"&gt;="&amp;Diagram!$O43,'J1 A - (North) Bishopthorpe Roa'!$A$12:$A$130,"&lt;"&amp;Diagram!$P43),SUMIFS(INDIRECT(ADDRESS(12,3+18*1+(15),,,"J1 A - (North) Bishopthorpe Roa")&amp;":"&amp;ADDRESS(130,3+18*1+(15))),'J1 A - (North) Bishopthorpe Roa'!$A$12:$A$130,"&gt;="&amp;Diagram!$O43,'J1 A - (North) Bishopthorpe Roa'!$A$12:$A$130,"&lt;"&amp;Diagram!$P43)))</f>
        <v>0</v>
      </c>
      <c r="EK43" s="42">
        <f ca="1">IF(OR($I$10="",$O43="",$P43="",$J$42&lt;&gt;"Yes"),0,IF($K$10=0,SUMIFS(INDIRECT(ADDRESS(12,3+18*2+(7),,,"J1 A - (North) Bishopthorpe Roa")&amp;":"&amp;ADDRESS(130,3+18*2+(7))),'J1 A - (North) Bishopthorpe Roa'!$A$12:$A$130,"&gt;="&amp;Diagram!$O43,'J1 A - (North) Bishopthorpe Roa'!$A$12:$A$130,"&lt;"&amp;Diagram!$P43),SUMIFS(INDIRECT(ADDRESS(12,3+18*2+(15),,,"J1 A - (North) Bishopthorpe Roa")&amp;":"&amp;ADDRESS(130,3+18*2+(15))),'J1 A - (North) Bishopthorpe Roa'!$A$12:$A$130,"&gt;="&amp;Diagram!$O43,'J1 A - (North) Bishopthorpe Roa'!$A$12:$A$130,"&lt;"&amp;Diagram!$P43)))</f>
        <v>0</v>
      </c>
      <c r="EL43" s="42">
        <f ca="1">IF(OR($I$10="",$O43="",$P43="",$J$42&lt;&gt;"Yes"),0,IF($K$10=0,SUMIFS(INDIRECT(ADDRESS(12,3+18*2+(7),,,"J1 B - Butcher Terrace")&amp;":"&amp;ADDRESS(130,3+18*2+(7))),'J1 B - Butcher Terrace'!$A$12:$A$130,"&gt;="&amp;Diagram!$O43,'J1 B - Butcher Terrace'!$A$12:$A$130,"&lt;"&amp;Diagram!$P43),SUMIFS(INDIRECT(ADDRESS(12,3+18*2+(15),,,"J1 B - Butcher Terrace")&amp;":"&amp;ADDRESS(130,3+18*2+(15))),'J1 B - Butcher Terrace'!$A$12:$A$130,"&gt;="&amp;Diagram!$O43,'J1 B - Butcher Terrace'!$A$12:$A$130,"&lt;"&amp;Diagram!$P43)))</f>
        <v>3</v>
      </c>
      <c r="EM43" s="42">
        <f ca="1">IF(OR($I$10="",$O43="",$P43="",$J$42&lt;&gt;"Yes"),0,IF($K$10=0,SUMIFS(INDIRECT(ADDRESS(12,3+18*3+(7),,,"J1 B - Butcher Terrace")&amp;":"&amp;ADDRESS(130,3+18*3+(7))),'J1 B - Butcher Terrace'!$A$12:$A$130,"&gt;="&amp;Diagram!$O43,'J1 B - Butcher Terrace'!$A$12:$A$130,"&lt;"&amp;Diagram!$P43),SUMIFS(INDIRECT(ADDRESS(12,3+18*3+(15),,,"J1 B - Butcher Terrace")&amp;":"&amp;ADDRESS(130,3+18*3+(15))),'J1 B - Butcher Terrace'!$A$12:$A$130,"&gt;="&amp;Diagram!$O43,'J1 B - Butcher Terrace'!$A$12:$A$130,"&lt;"&amp;Diagram!$P43)))</f>
        <v>0</v>
      </c>
      <c r="EN43" s="42">
        <f ca="1">IF(OR($I$10="",$O43="",$P43="",$J$42&lt;&gt;"Yes"),0,IF($K$10=0,SUMIFS(INDIRECT(ADDRESS(12,3+18*0+(7),,,"J1 B - Butcher Terrace")&amp;":"&amp;ADDRESS(130,3+18*0+(7))),'J1 B - Butcher Terrace'!$A$12:$A$130,"&gt;="&amp;Diagram!$O43,'J1 B - Butcher Terrace'!$A$12:$A$130,"&lt;"&amp;Diagram!$P43),SUMIFS(INDIRECT(ADDRESS(12,3+18*0+(15),,,"J1 B - Butcher Terrace")&amp;":"&amp;ADDRESS(130,3+18*0+(15))),'J1 B - Butcher Terrace'!$A$12:$A$130,"&gt;="&amp;Diagram!$O43,'J1 B - Butcher Terrace'!$A$12:$A$130,"&lt;"&amp;Diagram!$P43)))</f>
        <v>2</v>
      </c>
      <c r="EO43" s="42">
        <f ca="1">IF(OR($I$10="",$O43="",$P43="",$J$42&lt;&gt;"Yes"),0,IF($K$10=0,SUMIFS(INDIRECT(ADDRESS(12,3+18*1+(7),,,"J1 B - Butcher Terrace")&amp;":"&amp;ADDRESS(130,3+18*1+(7))),'J1 B - Butcher Terrace'!$A$12:$A$130,"&gt;="&amp;Diagram!$O43,'J1 B - Butcher Terrace'!$A$12:$A$130,"&lt;"&amp;Diagram!$P43),SUMIFS(INDIRECT(ADDRESS(12,3+18*1+(15),,,"J1 B - Butcher Terrace")&amp;":"&amp;ADDRESS(130,3+18*1+(15))),'J1 B - Butcher Terrace'!$A$12:$A$130,"&gt;="&amp;Diagram!$O43,'J1 B - Butcher Terrace'!$A$12:$A$130,"&lt;"&amp;Diagram!$P43)))</f>
        <v>0</v>
      </c>
      <c r="EP43" s="42">
        <f ca="1">IF(OR($I$10="",$O43="",$P43="",$J$42&lt;&gt;"Yes"),0,IF($K$10=0,SUMIFS(INDIRECT(ADDRESS(12,3+18*1+(7),,,"J1 C - (South) Bishopthorpe Roa")&amp;":"&amp;ADDRESS(130,3+18*1+(7))),'J1 C - (South) Bishopthorpe Roa'!$A$12:$A$130,"&gt;="&amp;Diagram!$O43,'J1 C - (South) Bishopthorpe Roa'!$A$12:$A$130,"&lt;"&amp;Diagram!$P43),SUMIFS(INDIRECT(ADDRESS(12,3+18*1+(15),,,"J1 C - (South) Bishopthorpe Roa")&amp;":"&amp;ADDRESS(130,3+18*1+(15))),'J1 C - (South) Bishopthorpe Roa'!$A$12:$A$130,"&gt;="&amp;Diagram!$O43,'J1 C - (South) Bishopthorpe Roa'!$A$12:$A$130,"&lt;"&amp;Diagram!$P43)))</f>
        <v>0</v>
      </c>
      <c r="EQ43" s="42">
        <f ca="1">IF(OR($I$10="",$O43="",$P43="",$J$42&lt;&gt;"Yes"),0,IF($K$10=0,SUMIFS(INDIRECT(ADDRESS(12,3+18*2+(7),,,"J1 C - (South) Bishopthorpe Roa")&amp;":"&amp;ADDRESS(130,3+18*2+(7))),'J1 C - (South) Bishopthorpe Roa'!$A$12:$A$130,"&gt;="&amp;Diagram!$O43,'J1 C - (South) Bishopthorpe Roa'!$A$12:$A$130,"&lt;"&amp;Diagram!$P43),SUMIFS(INDIRECT(ADDRESS(12,3+18*2+(15),,,"J1 C - (South) Bishopthorpe Roa")&amp;":"&amp;ADDRESS(130,3+18*2+(15))),'J1 C - (South) Bishopthorpe Roa'!$A$12:$A$130,"&gt;="&amp;Diagram!$O43,'J1 C - (South) Bishopthorpe Roa'!$A$12:$A$130,"&lt;"&amp;Diagram!$P43)))</f>
        <v>0</v>
      </c>
      <c r="ER43" s="42">
        <f ca="1">IF(OR($I$10="",$O43="",$P43="",$J$42&lt;&gt;"Yes"),0,IF($K$10=0,SUMIFS(INDIRECT(ADDRESS(12,3+18*3+(7),,,"J1 C - (South) Bishopthorpe Roa")&amp;":"&amp;ADDRESS(130,3+18*3+(7))),'J1 C - (South) Bishopthorpe Roa'!$A$12:$A$130,"&gt;="&amp;Diagram!$O43,'J1 C - (South) Bishopthorpe Roa'!$A$12:$A$130,"&lt;"&amp;Diagram!$P43),SUMIFS(INDIRECT(ADDRESS(12,3+18*3+(15),,,"J1 C - (South) Bishopthorpe Roa")&amp;":"&amp;ADDRESS(130,3+18*3+(15))),'J1 C - (South) Bishopthorpe Roa'!$A$12:$A$130,"&gt;="&amp;Diagram!$O43,'J1 C - (South) Bishopthorpe Roa'!$A$12:$A$130,"&lt;"&amp;Diagram!$P43)))</f>
        <v>0</v>
      </c>
      <c r="ES43" s="42">
        <f ca="1">IF(OR($I$10="",$O43="",$P43="",$J$42&lt;&gt;"Yes"),0,IF($K$10=0,SUMIFS(INDIRECT(ADDRESS(12,3+18*0+(7),,,"J1 C - (South) Bishopthorpe Roa")&amp;":"&amp;ADDRESS(130,3+18*0+(7))),'J1 C - (South) Bishopthorpe Roa'!$A$12:$A$130,"&gt;="&amp;Diagram!$O43,'J1 C - (South) Bishopthorpe Roa'!$A$12:$A$130,"&lt;"&amp;Diagram!$P43),SUMIFS(INDIRECT(ADDRESS(12,3+18*0+(15),,,"J1 C - (South) Bishopthorpe Roa")&amp;":"&amp;ADDRESS(130,3+18*0+(15))),'J1 C - (South) Bishopthorpe Roa'!$A$12:$A$130,"&gt;="&amp;Diagram!$O43,'J1 C - (South) Bishopthorpe Roa'!$A$12:$A$130,"&lt;"&amp;Diagram!$P43)))</f>
        <v>0</v>
      </c>
      <c r="ET43" s="42">
        <f ca="1">IF(OR($I$10="",$O43="",$P43="",$J$42&lt;&gt;"Yes"),0,IF($K$10=0,SUMIFS(INDIRECT(ADDRESS(12,3+18*0+(7),,,"J1 D - South Bank Avenue")&amp;":"&amp;ADDRESS(130,3+18*0+(7))),'J1 D - South Bank Avenue'!$A$12:$A$130,"&gt;="&amp;Diagram!$O43,'J1 D - South Bank Avenue'!$A$12:$A$130,"&lt;"&amp;Diagram!$P43),SUMIFS(INDIRECT(ADDRESS(12,3+18*0+(15),,,"J1 D - South Bank Avenue")&amp;":"&amp;ADDRESS(130,3+18*0+(15))),'J1 D - South Bank Avenue'!$A$12:$A$130,"&gt;="&amp;Diagram!$O43,'J1 D - South Bank Avenue'!$A$12:$A$130,"&lt;"&amp;Diagram!$P43)))</f>
        <v>0</v>
      </c>
      <c r="EU43" s="42">
        <f ca="1">IF(OR($I$10="",$O43="",$P43="",$J$42&lt;&gt;"Yes"),0,IF($K$10=0,SUMIFS(INDIRECT(ADDRESS(12,3+18*1+(7),,,"J1 D - South Bank Avenue")&amp;":"&amp;ADDRESS(130,3+18*1+(7))),'J1 D - South Bank Avenue'!$A$12:$A$130,"&gt;="&amp;Diagram!$O43,'J1 D - South Bank Avenue'!$A$12:$A$130,"&lt;"&amp;Diagram!$P43),SUMIFS(INDIRECT(ADDRESS(12,3+18*1+(15),,,"J1 D - South Bank Avenue")&amp;":"&amp;ADDRESS(130,3+18*1+(15))),'J1 D - South Bank Avenue'!$A$12:$A$130,"&gt;="&amp;Diagram!$O43,'J1 D - South Bank Avenue'!$A$12:$A$130,"&lt;"&amp;Diagram!$P43)))</f>
        <v>0</v>
      </c>
      <c r="EV43" s="42">
        <f ca="1">IF(OR($I$10="",$O43="",$P43="",$J$42&lt;&gt;"Yes"),0,IF($K$10=0,SUMIFS(INDIRECT(ADDRESS(12,3+18*2+(7),,,"J1 D - South Bank Avenue")&amp;":"&amp;ADDRESS(130,3+18*2+(7))),'J1 D - South Bank Avenue'!$A$12:$A$130,"&gt;="&amp;Diagram!$O43,'J1 D - South Bank Avenue'!$A$12:$A$130,"&lt;"&amp;Diagram!$P43),SUMIFS(INDIRECT(ADDRESS(12,3+18*2+(15),,,"J1 D - South Bank Avenue")&amp;":"&amp;ADDRESS(130,3+18*2+(15))),'J1 D - South Bank Avenue'!$A$12:$A$130,"&gt;="&amp;Diagram!$O43,'J1 D - South Bank Avenue'!$A$12:$A$130,"&lt;"&amp;Diagram!$P43)))</f>
        <v>0</v>
      </c>
      <c r="EW43" s="42">
        <f ca="1">IF(OR($I$10="",$O43="",$P43="",$J$42&lt;&gt;"Yes"),0,IF($K$10=0,SUMIFS(INDIRECT(ADDRESS(12,3+18*3+(7),,,"J1 D - South Bank Avenue")&amp;":"&amp;ADDRESS(130,3+18*3+(7))),'J1 D - South Bank Avenue'!$A$12:$A$130,"&gt;="&amp;Diagram!$O43,'J1 D - South Bank Avenue'!$A$12:$A$130,"&lt;"&amp;Diagram!$P43),SUMIFS(INDIRECT(ADDRESS(12,3+18*3+(15),,,"J1 D - South Bank Avenue")&amp;":"&amp;ADDRESS(130,3+18*3+(15))),'J1 D - South Bank Avenue'!$A$12:$A$130,"&gt;="&amp;Diagram!$O43,'J1 D - South Bank Avenue'!$A$12:$A$130,"&lt;"&amp;Diagram!$P43)))</f>
        <v>0</v>
      </c>
    </row>
    <row r="44" spans="1:153">
      <c r="A44" s="1">
        <v>44395.447916666701</v>
      </c>
      <c r="B44" s="1">
        <v>44395.458333333299</v>
      </c>
      <c r="O44" s="3">
        <v>44395.447916666701</v>
      </c>
      <c r="P44" s="3">
        <v>44395.489583333299</v>
      </c>
      <c r="Q44" s="42">
        <f t="shared" ca="1" si="0"/>
        <v>598</v>
      </c>
      <c r="R44" s="42">
        <f t="shared" ca="1" si="1"/>
        <v>423</v>
      </c>
      <c r="S44" s="42">
        <f ca="1">IF(OR($I$10="",$O44="",$P44="",$J$35&lt;&gt;"Yes"),0,IF($K$10=0,SUMIFS(INDIRECT(ADDRESS(12,3+18*3+(0),,,"J1 A - (North) Bishopthorpe Roa")&amp;":"&amp;ADDRESS(130,3+18*3+(0))),'J1 A - (North) Bishopthorpe Roa'!$A$12:$A$130,"&gt;="&amp;Diagram!$O44,'J1 A - (North) Bishopthorpe Roa'!$A$12:$A$130,"&lt;"&amp;Diagram!$P44),SUMIFS(INDIRECT(ADDRESS(12,3+18*3+(8),,,"J1 A - (North) Bishopthorpe Roa")&amp;":"&amp;ADDRESS(130,3+18*3+(8))),'J1 A - (North) Bishopthorpe Roa'!$A$12:$A$130,"&gt;="&amp;Diagram!$O44,'J1 A - (North) Bishopthorpe Roa'!$A$12:$A$130,"&lt;"&amp;Diagram!$P44)))</f>
        <v>0</v>
      </c>
      <c r="T44" s="42">
        <f ca="1">IF(OR($I$10="",$O44="",$P44="",$J$35&lt;&gt;"Yes"),0,IF($K$10=0,SUMIFS(INDIRECT(ADDRESS(12,3+18*0+(0),,,"J1 A - (North) Bishopthorpe Roa")&amp;":"&amp;ADDRESS(130,3+18*0+(0))),'J1 A - (North) Bishopthorpe Roa'!$A$12:$A$130,"&gt;="&amp;Diagram!$O44,'J1 A - (North) Bishopthorpe Roa'!$A$12:$A$130,"&lt;"&amp;Diagram!$P44),SUMIFS(INDIRECT(ADDRESS(12,3+18*0+(8),,,"J1 A - (North) Bishopthorpe Roa")&amp;":"&amp;ADDRESS(130,3+18*0+(8))),'J1 A - (North) Bishopthorpe Roa'!$A$12:$A$130,"&gt;="&amp;Diagram!$O44,'J1 A - (North) Bishopthorpe Roa'!$A$12:$A$130,"&lt;"&amp;Diagram!$P44)))</f>
        <v>12</v>
      </c>
      <c r="U44" s="42">
        <f ca="1">IF(OR($I$10="",$O44="",$P44="",$J$35&lt;&gt;"Yes"),0,IF($K$10=0,SUMIFS(INDIRECT(ADDRESS(12,3+18*1+(0),,,"J1 A - (North) Bishopthorpe Roa")&amp;":"&amp;ADDRESS(130,3+18*1+(0))),'J1 A - (North) Bishopthorpe Roa'!$A$12:$A$130,"&gt;="&amp;Diagram!$O44,'J1 A - (North) Bishopthorpe Roa'!$A$12:$A$130,"&lt;"&amp;Diagram!$P44),SUMIFS(INDIRECT(ADDRESS(12,3+18*1+(8),,,"J1 A - (North) Bishopthorpe Roa")&amp;":"&amp;ADDRESS(130,3+18*1+(8))),'J1 A - (North) Bishopthorpe Roa'!$A$12:$A$130,"&gt;="&amp;Diagram!$O44,'J1 A - (North) Bishopthorpe Roa'!$A$12:$A$130,"&lt;"&amp;Diagram!$P44)))</f>
        <v>174</v>
      </c>
      <c r="V44" s="42">
        <f ca="1">IF(OR($I$10="",$O44="",$P44="",$J$35&lt;&gt;"Yes"),0,IF($K$10=0,SUMIFS(INDIRECT(ADDRESS(12,3+18*2+(0),,,"J1 A - (North) Bishopthorpe Roa")&amp;":"&amp;ADDRESS(130,3+18*2+(0))),'J1 A - (North) Bishopthorpe Roa'!$A$12:$A$130,"&gt;="&amp;Diagram!$O44,'J1 A - (North) Bishopthorpe Roa'!$A$12:$A$130,"&lt;"&amp;Diagram!$P44),SUMIFS(INDIRECT(ADDRESS(12,3+18*2+(8),,,"J1 A - (North) Bishopthorpe Roa")&amp;":"&amp;ADDRESS(130,3+18*2+(8))),'J1 A - (North) Bishopthorpe Roa'!$A$12:$A$130,"&gt;="&amp;Diagram!$O44,'J1 A - (North) Bishopthorpe Roa'!$A$12:$A$130,"&lt;"&amp;Diagram!$P44)))</f>
        <v>20</v>
      </c>
      <c r="W44" s="42">
        <f ca="1">IF(OR($I$10="",$O44="",$P44="",$J$35&lt;&gt;"Yes"),0,IF($K$10=0,SUMIFS(INDIRECT(ADDRESS(12,3+18*2+(0),,,"J1 B - Butcher Terrace")&amp;":"&amp;ADDRESS(130,3+18*2+(0))),'J1 B - Butcher Terrace'!$A$12:$A$130,"&gt;="&amp;Diagram!$O44,'J1 B - Butcher Terrace'!$A$12:$A$130,"&lt;"&amp;Diagram!$P44),SUMIFS(INDIRECT(ADDRESS(12,3+18*2+(8),,,"J1 B - Butcher Terrace")&amp;":"&amp;ADDRESS(130,3+18*2+(8))),'J1 B - Butcher Terrace'!$A$12:$A$130,"&gt;="&amp;Diagram!$O44,'J1 B - Butcher Terrace'!$A$12:$A$130,"&lt;"&amp;Diagram!$P44)))</f>
        <v>12</v>
      </c>
      <c r="X44" s="42">
        <f ca="1">IF(OR($I$10="",$O44="",$P44="",$J$35&lt;&gt;"Yes"),0,IF($K$10=0,SUMIFS(INDIRECT(ADDRESS(12,3+18*3+(0),,,"J1 B - Butcher Terrace")&amp;":"&amp;ADDRESS(130,3+18*3+(0))),'J1 B - Butcher Terrace'!$A$12:$A$130,"&gt;="&amp;Diagram!$O44,'J1 B - Butcher Terrace'!$A$12:$A$130,"&lt;"&amp;Diagram!$P44),SUMIFS(INDIRECT(ADDRESS(12,3+18*3+(8),,,"J1 B - Butcher Terrace")&amp;":"&amp;ADDRESS(130,3+18*3+(8))),'J1 B - Butcher Terrace'!$A$12:$A$130,"&gt;="&amp;Diagram!$O44,'J1 B - Butcher Terrace'!$A$12:$A$130,"&lt;"&amp;Diagram!$P44)))</f>
        <v>0</v>
      </c>
      <c r="Y44" s="42">
        <f ca="1">IF(OR($I$10="",$O44="",$P44="",$J$35&lt;&gt;"Yes"),0,IF($K$10=0,SUMIFS(INDIRECT(ADDRESS(12,3+18*0+(0),,,"J1 B - Butcher Terrace")&amp;":"&amp;ADDRESS(130,3+18*0+(0))),'J1 B - Butcher Terrace'!$A$12:$A$130,"&gt;="&amp;Diagram!$O44,'J1 B - Butcher Terrace'!$A$12:$A$130,"&lt;"&amp;Diagram!$P44),SUMIFS(INDIRECT(ADDRESS(12,3+18*0+(8),,,"J1 B - Butcher Terrace")&amp;":"&amp;ADDRESS(130,3+18*0+(8))),'J1 B - Butcher Terrace'!$A$12:$A$130,"&gt;="&amp;Diagram!$O44,'J1 B - Butcher Terrace'!$A$12:$A$130,"&lt;"&amp;Diagram!$P44)))</f>
        <v>8</v>
      </c>
      <c r="Z44" s="42">
        <f ca="1">IF(OR($I$10="",$O44="",$P44="",$J$35&lt;&gt;"Yes"),0,IF($K$10=0,SUMIFS(INDIRECT(ADDRESS(12,3+18*1+(0),,,"J1 B - Butcher Terrace")&amp;":"&amp;ADDRESS(130,3+18*1+(0))),'J1 B - Butcher Terrace'!$A$12:$A$130,"&gt;="&amp;Diagram!$O44,'J1 B - Butcher Terrace'!$A$12:$A$130,"&lt;"&amp;Diagram!$P44),SUMIFS(INDIRECT(ADDRESS(12,3+18*1+(8),,,"J1 B - Butcher Terrace")&amp;":"&amp;ADDRESS(130,3+18*1+(8))),'J1 B - Butcher Terrace'!$A$12:$A$130,"&gt;="&amp;Diagram!$O44,'J1 B - Butcher Terrace'!$A$12:$A$130,"&lt;"&amp;Diagram!$P44)))</f>
        <v>0</v>
      </c>
      <c r="AA44" s="42">
        <f ca="1">IF(OR($I$10="",$O44="",$P44="",$J$35&lt;&gt;"Yes"),0,IF($K$10=0,SUMIFS(INDIRECT(ADDRESS(12,3+18*1+(0),,,"J1 C - (South) Bishopthorpe Roa")&amp;":"&amp;ADDRESS(130,3+18*1+(0))),'J1 C - (South) Bishopthorpe Roa'!$A$12:$A$130,"&gt;="&amp;Diagram!$O44,'J1 C - (South) Bishopthorpe Roa'!$A$12:$A$130,"&lt;"&amp;Diagram!$P44),SUMIFS(INDIRECT(ADDRESS(12,3+18*1+(8),,,"J1 C - (South) Bishopthorpe Roa")&amp;":"&amp;ADDRESS(130,3+18*1+(8))),'J1 C - (South) Bishopthorpe Roa'!$A$12:$A$130,"&gt;="&amp;Diagram!$O44,'J1 C - (South) Bishopthorpe Roa'!$A$12:$A$130,"&lt;"&amp;Diagram!$P44)))</f>
        <v>157</v>
      </c>
      <c r="AB44" s="42">
        <f ca="1">IF(OR($I$10="",$O44="",$P44="",$J$35&lt;&gt;"Yes"),0,IF($K$10=0,SUMIFS(INDIRECT(ADDRESS(12,3+18*2+(0),,,"J1 C - (South) Bishopthorpe Roa")&amp;":"&amp;ADDRESS(130,3+18*2+(0))),'J1 C - (South) Bishopthorpe Roa'!$A$12:$A$130,"&gt;="&amp;Diagram!$O44,'J1 C - (South) Bishopthorpe Roa'!$A$12:$A$130,"&lt;"&amp;Diagram!$P44),SUMIFS(INDIRECT(ADDRESS(12,3+18*2+(8),,,"J1 C - (South) Bishopthorpe Roa")&amp;":"&amp;ADDRESS(130,3+18*2+(8))),'J1 C - (South) Bishopthorpe Roa'!$A$12:$A$130,"&gt;="&amp;Diagram!$O44,'J1 C - (South) Bishopthorpe Roa'!$A$12:$A$130,"&lt;"&amp;Diagram!$P44)))</f>
        <v>3</v>
      </c>
      <c r="AC44" s="42">
        <f ca="1">IF(OR($I$10="",$O44="",$P44="",$J$35&lt;&gt;"Yes"),0,IF($K$10=0,SUMIFS(INDIRECT(ADDRESS(12,3+18*3+(0),,,"J1 C - (South) Bishopthorpe Roa")&amp;":"&amp;ADDRESS(130,3+18*3+(0))),'J1 C - (South) Bishopthorpe Roa'!$A$12:$A$130,"&gt;="&amp;Diagram!$O44,'J1 C - (South) Bishopthorpe Roa'!$A$12:$A$130,"&lt;"&amp;Diagram!$P44),SUMIFS(INDIRECT(ADDRESS(12,3+18*3+(8),,,"J1 C - (South) Bishopthorpe Roa")&amp;":"&amp;ADDRESS(130,3+18*3+(8))),'J1 C - (South) Bishopthorpe Roa'!$A$12:$A$130,"&gt;="&amp;Diagram!$O44,'J1 C - (South) Bishopthorpe Roa'!$A$12:$A$130,"&lt;"&amp;Diagram!$P44)))</f>
        <v>0</v>
      </c>
      <c r="AD44" s="42">
        <f ca="1">IF(OR($I$10="",$O44="",$P44="",$J$35&lt;&gt;"Yes"),0,IF($K$10=0,SUMIFS(INDIRECT(ADDRESS(12,3+18*0+(0),,,"J1 C - (South) Bishopthorpe Roa")&amp;":"&amp;ADDRESS(130,3+18*0+(0))),'J1 C - (South) Bishopthorpe Roa'!$A$12:$A$130,"&gt;="&amp;Diagram!$O44,'J1 C - (South) Bishopthorpe Roa'!$A$12:$A$130,"&lt;"&amp;Diagram!$P44),SUMIFS(INDIRECT(ADDRESS(12,3+18*0+(8),,,"J1 C - (South) Bishopthorpe Roa")&amp;":"&amp;ADDRESS(130,3+18*0+(8))),'J1 C - (South) Bishopthorpe Roa'!$A$12:$A$130,"&gt;="&amp;Diagram!$O44,'J1 C - (South) Bishopthorpe Roa'!$A$12:$A$130,"&lt;"&amp;Diagram!$P44)))</f>
        <v>7</v>
      </c>
      <c r="AE44" s="42">
        <f ca="1">IF(OR($I$10="",$O44="",$P44="",$J$35&lt;&gt;"Yes"),0,IF($K$10=0,SUMIFS(INDIRECT(ADDRESS(12,3+18*0+(0),,,"J1 D - South Bank Avenue")&amp;":"&amp;ADDRESS(130,3+18*0+(0))),'J1 D - South Bank Avenue'!$A$12:$A$130,"&gt;="&amp;Diagram!$O44,'J1 D - South Bank Avenue'!$A$12:$A$130,"&lt;"&amp;Diagram!$P44),SUMIFS(INDIRECT(ADDRESS(12,3+18*0+(8),,,"J1 D - South Bank Avenue")&amp;":"&amp;ADDRESS(130,3+18*0+(8))),'J1 D - South Bank Avenue'!$A$12:$A$130,"&gt;="&amp;Diagram!$O44,'J1 D - South Bank Avenue'!$A$12:$A$130,"&lt;"&amp;Diagram!$P44)))</f>
        <v>25</v>
      </c>
      <c r="AF44" s="42">
        <f ca="1">IF(OR($I$10="",$O44="",$P44="",$J$35&lt;&gt;"Yes"),0,IF($K$10=0,SUMIFS(INDIRECT(ADDRESS(12,3+18*1+(0),,,"J1 D - South Bank Avenue")&amp;":"&amp;ADDRESS(130,3+18*1+(0))),'J1 D - South Bank Avenue'!$A$12:$A$130,"&gt;="&amp;Diagram!$O44,'J1 D - South Bank Avenue'!$A$12:$A$130,"&lt;"&amp;Diagram!$P44),SUMIFS(INDIRECT(ADDRESS(12,3+18*1+(8),,,"J1 D - South Bank Avenue")&amp;":"&amp;ADDRESS(130,3+18*1+(8))),'J1 D - South Bank Avenue'!$A$12:$A$130,"&gt;="&amp;Diagram!$O44,'J1 D - South Bank Avenue'!$A$12:$A$130,"&lt;"&amp;Diagram!$P44)))</f>
        <v>1</v>
      </c>
      <c r="AG44" s="42">
        <f ca="1">IF(OR($I$10="",$O44="",$P44="",$J$35&lt;&gt;"Yes"),0,IF($K$10=0,SUMIFS(INDIRECT(ADDRESS(12,3+18*2+(0),,,"J1 D - South Bank Avenue")&amp;":"&amp;ADDRESS(130,3+18*2+(0))),'J1 D - South Bank Avenue'!$A$12:$A$130,"&gt;="&amp;Diagram!$O44,'J1 D - South Bank Avenue'!$A$12:$A$130,"&lt;"&amp;Diagram!$P44),SUMIFS(INDIRECT(ADDRESS(12,3+18*2+(8),,,"J1 D - South Bank Avenue")&amp;":"&amp;ADDRESS(130,3+18*2+(8))),'J1 D - South Bank Avenue'!$A$12:$A$130,"&gt;="&amp;Diagram!$O44,'J1 D - South Bank Avenue'!$A$12:$A$130,"&lt;"&amp;Diagram!$P44)))</f>
        <v>4</v>
      </c>
      <c r="AH44" s="42">
        <f ca="1">IF(OR($I$10="",$O44="",$P44="",$J$35&lt;&gt;"Yes"),0,IF($K$10=0,SUMIFS(INDIRECT(ADDRESS(12,3+18*3+(0),,,"J1 D - South Bank Avenue")&amp;":"&amp;ADDRESS(130,3+18*3+(0))),'J1 D - South Bank Avenue'!$A$12:$A$130,"&gt;="&amp;Diagram!$O44,'J1 D - South Bank Avenue'!$A$12:$A$130,"&lt;"&amp;Diagram!$P44),SUMIFS(INDIRECT(ADDRESS(12,3+18*3+(8),,,"J1 D - South Bank Avenue")&amp;":"&amp;ADDRESS(130,3+18*3+(8))),'J1 D - South Bank Avenue'!$A$12:$A$130,"&gt;="&amp;Diagram!$O44,'J1 D - South Bank Avenue'!$A$12:$A$130,"&lt;"&amp;Diagram!$P44)))</f>
        <v>0</v>
      </c>
      <c r="AI44" s="42">
        <f t="shared" ca="1" si="2"/>
        <v>71</v>
      </c>
      <c r="AJ44" s="42">
        <f ca="1">IF(OR($I$10="",$O44="",$P44="",$J$36&lt;&gt;"Yes"),0,IF($K$10=0,SUMIFS(INDIRECT(ADDRESS(12,3+18*3+(1),,,"J1 A - (North) Bishopthorpe Roa")&amp;":"&amp;ADDRESS(130,3+18*3+(1))),'J1 A - (North) Bishopthorpe Roa'!$A$12:$A$130,"&gt;="&amp;Diagram!$O44,'J1 A - (North) Bishopthorpe Roa'!$A$12:$A$130,"&lt;"&amp;Diagram!$P44),SUMIFS(INDIRECT(ADDRESS(12,3+18*3+(9),,,"J1 A - (North) Bishopthorpe Roa")&amp;":"&amp;ADDRESS(130,3+18*3+(9))),'J1 A - (North) Bishopthorpe Roa'!$A$12:$A$130,"&gt;="&amp;Diagram!$O44,'J1 A - (North) Bishopthorpe Roa'!$A$12:$A$130,"&lt;"&amp;Diagram!$P44)))</f>
        <v>0</v>
      </c>
      <c r="AK44" s="42">
        <f ca="1">IF(OR($I$10="",$O44="",$P44="",$J$36&lt;&gt;"Yes"),0,IF($K$10=0,SUMIFS(INDIRECT(ADDRESS(12,3+18*0+(1),,,"J1 A - (North) Bishopthorpe Roa")&amp;":"&amp;ADDRESS(130,3+18*0+(1))),'J1 A - (North) Bishopthorpe Roa'!$A$12:$A$130,"&gt;="&amp;Diagram!$O44,'J1 A - (North) Bishopthorpe Roa'!$A$12:$A$130,"&lt;"&amp;Diagram!$P44),SUMIFS(INDIRECT(ADDRESS(12,3+18*0+(9),,,"J1 A - (North) Bishopthorpe Roa")&amp;":"&amp;ADDRESS(130,3+18*0+(9))),'J1 A - (North) Bishopthorpe Roa'!$A$12:$A$130,"&gt;="&amp;Diagram!$O44,'J1 A - (North) Bishopthorpe Roa'!$A$12:$A$130,"&lt;"&amp;Diagram!$P44)))</f>
        <v>4</v>
      </c>
      <c r="AL44" s="42">
        <f ca="1">IF(OR($I$10="",$O44="",$P44="",$J$36&lt;&gt;"Yes"),0,IF($K$10=0,SUMIFS(INDIRECT(ADDRESS(12,3+18*1+(1),,,"J1 A - (North) Bishopthorpe Roa")&amp;":"&amp;ADDRESS(130,3+18*1+(1))),'J1 A - (North) Bishopthorpe Roa'!$A$12:$A$130,"&gt;="&amp;Diagram!$O44,'J1 A - (North) Bishopthorpe Roa'!$A$12:$A$130,"&lt;"&amp;Diagram!$P44),SUMIFS(INDIRECT(ADDRESS(12,3+18*1+(9),,,"J1 A - (North) Bishopthorpe Roa")&amp;":"&amp;ADDRESS(130,3+18*1+(9))),'J1 A - (North) Bishopthorpe Roa'!$A$12:$A$130,"&gt;="&amp;Diagram!$O44,'J1 A - (North) Bishopthorpe Roa'!$A$12:$A$130,"&lt;"&amp;Diagram!$P44)))</f>
        <v>23</v>
      </c>
      <c r="AM44" s="42">
        <f ca="1">IF(OR($I$10="",$O44="",$P44="",$J$36&lt;&gt;"Yes"),0,IF($K$10=0,SUMIFS(INDIRECT(ADDRESS(12,3+18*2+(1),,,"J1 A - (North) Bishopthorpe Roa")&amp;":"&amp;ADDRESS(130,3+18*2+(1))),'J1 A - (North) Bishopthorpe Roa'!$A$12:$A$130,"&gt;="&amp;Diagram!$O44,'J1 A - (North) Bishopthorpe Roa'!$A$12:$A$130,"&lt;"&amp;Diagram!$P44),SUMIFS(INDIRECT(ADDRESS(12,3+18*2+(9),,,"J1 A - (North) Bishopthorpe Roa")&amp;":"&amp;ADDRESS(130,3+18*2+(9))),'J1 A - (North) Bishopthorpe Roa'!$A$12:$A$130,"&gt;="&amp;Diagram!$O44,'J1 A - (North) Bishopthorpe Roa'!$A$12:$A$130,"&lt;"&amp;Diagram!$P44)))</f>
        <v>5</v>
      </c>
      <c r="AN44" s="42">
        <f ca="1">IF(OR($I$10="",$O44="",$P44="",$J$36&lt;&gt;"Yes"),0,IF($K$10=0,SUMIFS(INDIRECT(ADDRESS(12,3+18*2+(1),,,"J1 B - Butcher Terrace")&amp;":"&amp;ADDRESS(130,3+18*2+(1))),'J1 B - Butcher Terrace'!$A$12:$A$130,"&gt;="&amp;Diagram!$O44,'J1 B - Butcher Terrace'!$A$12:$A$130,"&lt;"&amp;Diagram!$P44),SUMIFS(INDIRECT(ADDRESS(12,3+18*2+(9),,,"J1 B - Butcher Terrace")&amp;":"&amp;ADDRESS(130,3+18*2+(9))),'J1 B - Butcher Terrace'!$A$12:$A$130,"&gt;="&amp;Diagram!$O44,'J1 B - Butcher Terrace'!$A$12:$A$130,"&lt;"&amp;Diagram!$P44)))</f>
        <v>7</v>
      </c>
      <c r="AO44" s="42">
        <f ca="1">IF(OR($I$10="",$O44="",$P44="",$J$36&lt;&gt;"Yes"),0,IF($K$10=0,SUMIFS(INDIRECT(ADDRESS(12,3+18*3+(1),,,"J1 B - Butcher Terrace")&amp;":"&amp;ADDRESS(130,3+18*3+(1))),'J1 B - Butcher Terrace'!$A$12:$A$130,"&gt;="&amp;Diagram!$O44,'J1 B - Butcher Terrace'!$A$12:$A$130,"&lt;"&amp;Diagram!$P44),SUMIFS(INDIRECT(ADDRESS(12,3+18*3+(9),,,"J1 B - Butcher Terrace")&amp;":"&amp;ADDRESS(130,3+18*3+(9))),'J1 B - Butcher Terrace'!$A$12:$A$130,"&gt;="&amp;Diagram!$O44,'J1 B - Butcher Terrace'!$A$12:$A$130,"&lt;"&amp;Diagram!$P44)))</f>
        <v>0</v>
      </c>
      <c r="AP44" s="42">
        <f ca="1">IF(OR($I$10="",$O44="",$P44="",$J$36&lt;&gt;"Yes"),0,IF($K$10=0,SUMIFS(INDIRECT(ADDRESS(12,3+18*0+(1),,,"J1 B - Butcher Terrace")&amp;":"&amp;ADDRESS(130,3+18*0+(1))),'J1 B - Butcher Terrace'!$A$12:$A$130,"&gt;="&amp;Diagram!$O44,'J1 B - Butcher Terrace'!$A$12:$A$130,"&lt;"&amp;Diagram!$P44),SUMIFS(INDIRECT(ADDRESS(12,3+18*0+(9),,,"J1 B - Butcher Terrace")&amp;":"&amp;ADDRESS(130,3+18*0+(9))),'J1 B - Butcher Terrace'!$A$12:$A$130,"&gt;="&amp;Diagram!$O44,'J1 B - Butcher Terrace'!$A$12:$A$130,"&lt;"&amp;Diagram!$P44)))</f>
        <v>2</v>
      </c>
      <c r="AQ44" s="42">
        <f ca="1">IF(OR($I$10="",$O44="",$P44="",$J$36&lt;&gt;"Yes"),0,IF($K$10=0,SUMIFS(INDIRECT(ADDRESS(12,3+18*1+(1),,,"J1 B - Butcher Terrace")&amp;":"&amp;ADDRESS(130,3+18*1+(1))),'J1 B - Butcher Terrace'!$A$12:$A$130,"&gt;="&amp;Diagram!$O44,'J1 B - Butcher Terrace'!$A$12:$A$130,"&lt;"&amp;Diagram!$P44),SUMIFS(INDIRECT(ADDRESS(12,3+18*1+(9),,,"J1 B - Butcher Terrace")&amp;":"&amp;ADDRESS(130,3+18*1+(9))),'J1 B - Butcher Terrace'!$A$12:$A$130,"&gt;="&amp;Diagram!$O44,'J1 B - Butcher Terrace'!$A$12:$A$130,"&lt;"&amp;Diagram!$P44)))</f>
        <v>1</v>
      </c>
      <c r="AR44" s="42">
        <f ca="1">IF(OR($I$10="",$O44="",$P44="",$J$36&lt;&gt;"Yes"),0,IF($K$10=0,SUMIFS(INDIRECT(ADDRESS(12,3+18*1+(1),,,"J1 C - (South) Bishopthorpe Roa")&amp;":"&amp;ADDRESS(130,3+18*1+(1))),'J1 C - (South) Bishopthorpe Roa'!$A$12:$A$130,"&gt;="&amp;Diagram!$O44,'J1 C - (South) Bishopthorpe Roa'!$A$12:$A$130,"&lt;"&amp;Diagram!$P44),SUMIFS(INDIRECT(ADDRESS(12,3+18*1+(9),,,"J1 C - (South) Bishopthorpe Roa")&amp;":"&amp;ADDRESS(130,3+18*1+(9))),'J1 C - (South) Bishopthorpe Roa'!$A$12:$A$130,"&gt;="&amp;Diagram!$O44,'J1 C - (South) Bishopthorpe Roa'!$A$12:$A$130,"&lt;"&amp;Diagram!$P44)))</f>
        <v>18</v>
      </c>
      <c r="AS44" s="42">
        <f ca="1">IF(OR($I$10="",$O44="",$P44="",$J$36&lt;&gt;"Yes"),0,IF($K$10=0,SUMIFS(INDIRECT(ADDRESS(12,3+18*2+(1),,,"J1 C - (South) Bishopthorpe Roa")&amp;":"&amp;ADDRESS(130,3+18*2+(1))),'J1 C - (South) Bishopthorpe Roa'!$A$12:$A$130,"&gt;="&amp;Diagram!$O44,'J1 C - (South) Bishopthorpe Roa'!$A$12:$A$130,"&lt;"&amp;Diagram!$P44),SUMIFS(INDIRECT(ADDRESS(12,3+18*2+(9),,,"J1 C - (South) Bishopthorpe Roa")&amp;":"&amp;ADDRESS(130,3+18*2+(9))),'J1 C - (South) Bishopthorpe Roa'!$A$12:$A$130,"&gt;="&amp;Diagram!$O44,'J1 C - (South) Bishopthorpe Roa'!$A$12:$A$130,"&lt;"&amp;Diagram!$P44)))</f>
        <v>2</v>
      </c>
      <c r="AT44" s="42">
        <f ca="1">IF(OR($I$10="",$O44="",$P44="",$J$36&lt;&gt;"Yes"),0,IF($K$10=0,SUMIFS(INDIRECT(ADDRESS(12,3+18*3+(1),,,"J1 C - (South) Bishopthorpe Roa")&amp;":"&amp;ADDRESS(130,3+18*3+(1))),'J1 C - (South) Bishopthorpe Roa'!$A$12:$A$130,"&gt;="&amp;Diagram!$O44,'J1 C - (South) Bishopthorpe Roa'!$A$12:$A$130,"&lt;"&amp;Diagram!$P44),SUMIFS(INDIRECT(ADDRESS(12,3+18*3+(9),,,"J1 C - (South) Bishopthorpe Roa")&amp;":"&amp;ADDRESS(130,3+18*3+(9))),'J1 C - (South) Bishopthorpe Roa'!$A$12:$A$130,"&gt;="&amp;Diagram!$O44,'J1 C - (South) Bishopthorpe Roa'!$A$12:$A$130,"&lt;"&amp;Diagram!$P44)))</f>
        <v>0</v>
      </c>
      <c r="AU44" s="42">
        <f ca="1">IF(OR($I$10="",$O44="",$P44="",$J$36&lt;&gt;"Yes"),0,IF($K$10=0,SUMIFS(INDIRECT(ADDRESS(12,3+18*0+(1),,,"J1 C - (South) Bishopthorpe Roa")&amp;":"&amp;ADDRESS(130,3+18*0+(1))),'J1 C - (South) Bishopthorpe Roa'!$A$12:$A$130,"&gt;="&amp;Diagram!$O44,'J1 C - (South) Bishopthorpe Roa'!$A$12:$A$130,"&lt;"&amp;Diagram!$P44),SUMIFS(INDIRECT(ADDRESS(12,3+18*0+(9),,,"J1 C - (South) Bishopthorpe Roa")&amp;":"&amp;ADDRESS(130,3+18*0+(9))),'J1 C - (South) Bishopthorpe Roa'!$A$12:$A$130,"&gt;="&amp;Diagram!$O44,'J1 C - (South) Bishopthorpe Roa'!$A$12:$A$130,"&lt;"&amp;Diagram!$P44)))</f>
        <v>3</v>
      </c>
      <c r="AV44" s="42">
        <f ca="1">IF(OR($I$10="",$O44="",$P44="",$J$36&lt;&gt;"Yes"),0,IF($K$10=0,SUMIFS(INDIRECT(ADDRESS(12,3+18*0+(1),,,"J1 D - South Bank Avenue")&amp;":"&amp;ADDRESS(130,3+18*0+(1))),'J1 D - South Bank Avenue'!$A$12:$A$130,"&gt;="&amp;Diagram!$O44,'J1 D - South Bank Avenue'!$A$12:$A$130,"&lt;"&amp;Diagram!$P44),SUMIFS(INDIRECT(ADDRESS(12,3+18*0+(9),,,"J1 D - South Bank Avenue")&amp;":"&amp;ADDRESS(130,3+18*0+(9))),'J1 D - South Bank Avenue'!$A$12:$A$130,"&gt;="&amp;Diagram!$O44,'J1 D - South Bank Avenue'!$A$12:$A$130,"&lt;"&amp;Diagram!$P44)))</f>
        <v>3</v>
      </c>
      <c r="AW44" s="42">
        <f ca="1">IF(OR($I$10="",$O44="",$P44="",$J$36&lt;&gt;"Yes"),0,IF($K$10=0,SUMIFS(INDIRECT(ADDRESS(12,3+18*1+(1),,,"J1 D - South Bank Avenue")&amp;":"&amp;ADDRESS(130,3+18*1+(1))),'J1 D - South Bank Avenue'!$A$12:$A$130,"&gt;="&amp;Diagram!$O44,'J1 D - South Bank Avenue'!$A$12:$A$130,"&lt;"&amp;Diagram!$P44),SUMIFS(INDIRECT(ADDRESS(12,3+18*1+(9),,,"J1 D - South Bank Avenue")&amp;":"&amp;ADDRESS(130,3+18*1+(9))),'J1 D - South Bank Avenue'!$A$12:$A$130,"&gt;="&amp;Diagram!$O44,'J1 D - South Bank Avenue'!$A$12:$A$130,"&lt;"&amp;Diagram!$P44)))</f>
        <v>0</v>
      </c>
      <c r="AX44" s="42">
        <f ca="1">IF(OR($I$10="",$O44="",$P44="",$J$36&lt;&gt;"Yes"),0,IF($K$10=0,SUMIFS(INDIRECT(ADDRESS(12,3+18*2+(1),,,"J1 D - South Bank Avenue")&amp;":"&amp;ADDRESS(130,3+18*2+(1))),'J1 D - South Bank Avenue'!$A$12:$A$130,"&gt;="&amp;Diagram!$O44,'J1 D - South Bank Avenue'!$A$12:$A$130,"&lt;"&amp;Diagram!$P44),SUMIFS(INDIRECT(ADDRESS(12,3+18*2+(9),,,"J1 D - South Bank Avenue")&amp;":"&amp;ADDRESS(130,3+18*2+(9))),'J1 D - South Bank Avenue'!$A$12:$A$130,"&gt;="&amp;Diagram!$O44,'J1 D - South Bank Avenue'!$A$12:$A$130,"&lt;"&amp;Diagram!$P44)))</f>
        <v>3</v>
      </c>
      <c r="AY44" s="42">
        <f ca="1">IF(OR($I$10="",$O44="",$P44="",$J$36&lt;&gt;"Yes"),0,IF($K$10=0,SUMIFS(INDIRECT(ADDRESS(12,3+18*3+(1),,,"J1 D - South Bank Avenue")&amp;":"&amp;ADDRESS(130,3+18*3+(1))),'J1 D - South Bank Avenue'!$A$12:$A$130,"&gt;="&amp;Diagram!$O44,'J1 D - South Bank Avenue'!$A$12:$A$130,"&lt;"&amp;Diagram!$P44),SUMIFS(INDIRECT(ADDRESS(12,3+18*3+(9),,,"J1 D - South Bank Avenue")&amp;":"&amp;ADDRESS(130,3+18*3+(9))),'J1 D - South Bank Avenue'!$A$12:$A$130,"&gt;="&amp;Diagram!$O44,'J1 D - South Bank Avenue'!$A$12:$A$130,"&lt;"&amp;Diagram!$P44)))</f>
        <v>0</v>
      </c>
      <c r="AZ44" s="42">
        <f t="shared" ca="1" si="3"/>
        <v>17</v>
      </c>
      <c r="BA44" s="42">
        <f ca="1">IF(OR($I$10="",$O44="",$P44="",$J$37&lt;&gt;"Yes"),0,IF($K$10=0,SUMIFS(INDIRECT(ADDRESS(12,3+18*3+(2),,,"J1 A - (North) Bishopthorpe Roa")&amp;":"&amp;ADDRESS(130,3+18*3+(2))),'J1 A - (North) Bishopthorpe Roa'!$A$12:$A$130,"&gt;="&amp;Diagram!$O44,'J1 A - (North) Bishopthorpe Roa'!$A$12:$A$130,"&lt;"&amp;Diagram!$P44),SUMIFS(INDIRECT(ADDRESS(12,3+18*3+(10),,,"J1 A - (North) Bishopthorpe Roa")&amp;":"&amp;ADDRESS(130,3+18*3+(10))),'J1 A - (North) Bishopthorpe Roa'!$A$12:$A$130,"&gt;="&amp;Diagram!$O44,'J1 A - (North) Bishopthorpe Roa'!$A$12:$A$130,"&lt;"&amp;Diagram!$P44)))</f>
        <v>0</v>
      </c>
      <c r="BB44" s="42">
        <f ca="1">IF(OR($I$10="",$O44="",$P44="",$J$37&lt;&gt;"Yes"),0,IF($K$10=0,SUMIFS(INDIRECT(ADDRESS(12,3+18*0+(2),,,"J1 A - (North) Bishopthorpe Roa")&amp;":"&amp;ADDRESS(130,3+18*0+(2))),'J1 A - (North) Bishopthorpe Roa'!$A$12:$A$130,"&gt;="&amp;Diagram!$O44,'J1 A - (North) Bishopthorpe Roa'!$A$12:$A$130,"&lt;"&amp;Diagram!$P44),SUMIFS(INDIRECT(ADDRESS(12,3+18*0+(10),,,"J1 A - (North) Bishopthorpe Roa")&amp;":"&amp;ADDRESS(130,3+18*0+(10))),'J1 A - (North) Bishopthorpe Roa'!$A$12:$A$130,"&gt;="&amp;Diagram!$O44,'J1 A - (North) Bishopthorpe Roa'!$A$12:$A$130,"&lt;"&amp;Diagram!$P44)))</f>
        <v>3</v>
      </c>
      <c r="BC44" s="42">
        <f ca="1">IF(OR($I$10="",$O44="",$P44="",$J$37&lt;&gt;"Yes"),0,IF($K$10=0,SUMIFS(INDIRECT(ADDRESS(12,3+18*1+(2),,,"J1 A - (North) Bishopthorpe Roa")&amp;":"&amp;ADDRESS(130,3+18*1+(2))),'J1 A - (North) Bishopthorpe Roa'!$A$12:$A$130,"&gt;="&amp;Diagram!$O44,'J1 A - (North) Bishopthorpe Roa'!$A$12:$A$130,"&lt;"&amp;Diagram!$P44),SUMIFS(INDIRECT(ADDRESS(12,3+18*1+(10),,,"J1 A - (North) Bishopthorpe Roa")&amp;":"&amp;ADDRESS(130,3+18*1+(10))),'J1 A - (North) Bishopthorpe Roa'!$A$12:$A$130,"&gt;="&amp;Diagram!$O44,'J1 A - (North) Bishopthorpe Roa'!$A$12:$A$130,"&lt;"&amp;Diagram!$P44)))</f>
        <v>4</v>
      </c>
      <c r="BD44" s="42">
        <f ca="1">IF(OR($I$10="",$O44="",$P44="",$J$37&lt;&gt;"Yes"),0,IF($K$10=0,SUMIFS(INDIRECT(ADDRESS(12,3+18*2+(2),,,"J1 A - (North) Bishopthorpe Roa")&amp;":"&amp;ADDRESS(130,3+18*2+(2))),'J1 A - (North) Bishopthorpe Roa'!$A$12:$A$130,"&gt;="&amp;Diagram!$O44,'J1 A - (North) Bishopthorpe Roa'!$A$12:$A$130,"&lt;"&amp;Diagram!$P44),SUMIFS(INDIRECT(ADDRESS(12,3+18*2+(10),,,"J1 A - (North) Bishopthorpe Roa")&amp;":"&amp;ADDRESS(130,3+18*2+(10))),'J1 A - (North) Bishopthorpe Roa'!$A$12:$A$130,"&gt;="&amp;Diagram!$O44,'J1 A - (North) Bishopthorpe Roa'!$A$12:$A$130,"&lt;"&amp;Diagram!$P44)))</f>
        <v>0</v>
      </c>
      <c r="BE44" s="42">
        <f ca="1">IF(OR($I$10="",$O44="",$P44="",$J$37&lt;&gt;"Yes"),0,IF($K$10=0,SUMIFS(INDIRECT(ADDRESS(12,3+18*2+(2),,,"J1 B - Butcher Terrace")&amp;":"&amp;ADDRESS(130,3+18*2+(2))),'J1 B - Butcher Terrace'!$A$12:$A$130,"&gt;="&amp;Diagram!$O44,'J1 B - Butcher Terrace'!$A$12:$A$130,"&lt;"&amp;Diagram!$P44),SUMIFS(INDIRECT(ADDRESS(12,3+18*2+(10),,,"J1 B - Butcher Terrace")&amp;":"&amp;ADDRESS(130,3+18*2+(10))),'J1 B - Butcher Terrace'!$A$12:$A$130,"&gt;="&amp;Diagram!$O44,'J1 B - Butcher Terrace'!$A$12:$A$130,"&lt;"&amp;Diagram!$P44)))</f>
        <v>1</v>
      </c>
      <c r="BF44" s="42">
        <f ca="1">IF(OR($I$10="",$O44="",$P44="",$J$37&lt;&gt;"Yes"),0,IF($K$10=0,SUMIFS(INDIRECT(ADDRESS(12,3+18*3+(2),,,"J1 B - Butcher Terrace")&amp;":"&amp;ADDRESS(130,3+18*3+(2))),'J1 B - Butcher Terrace'!$A$12:$A$130,"&gt;="&amp;Diagram!$O44,'J1 B - Butcher Terrace'!$A$12:$A$130,"&lt;"&amp;Diagram!$P44),SUMIFS(INDIRECT(ADDRESS(12,3+18*3+(10),,,"J1 B - Butcher Terrace")&amp;":"&amp;ADDRESS(130,3+18*3+(10))),'J1 B - Butcher Terrace'!$A$12:$A$130,"&gt;="&amp;Diagram!$O44,'J1 B - Butcher Terrace'!$A$12:$A$130,"&lt;"&amp;Diagram!$P44)))</f>
        <v>0</v>
      </c>
      <c r="BG44" s="42">
        <f ca="1">IF(OR($I$10="",$O44="",$P44="",$J$37&lt;&gt;"Yes"),0,IF($K$10=0,SUMIFS(INDIRECT(ADDRESS(12,3+18*0+(2),,,"J1 B - Butcher Terrace")&amp;":"&amp;ADDRESS(130,3+18*0+(2))),'J1 B - Butcher Terrace'!$A$12:$A$130,"&gt;="&amp;Diagram!$O44,'J1 B - Butcher Terrace'!$A$12:$A$130,"&lt;"&amp;Diagram!$P44),SUMIFS(INDIRECT(ADDRESS(12,3+18*0+(10),,,"J1 B - Butcher Terrace")&amp;":"&amp;ADDRESS(130,3+18*0+(10))),'J1 B - Butcher Terrace'!$A$12:$A$130,"&gt;="&amp;Diagram!$O44,'J1 B - Butcher Terrace'!$A$12:$A$130,"&lt;"&amp;Diagram!$P44)))</f>
        <v>1</v>
      </c>
      <c r="BH44" s="42">
        <f ca="1">IF(OR($I$10="",$O44="",$P44="",$J$37&lt;&gt;"Yes"),0,IF($K$10=0,SUMIFS(INDIRECT(ADDRESS(12,3+18*1+(2),,,"J1 B - Butcher Terrace")&amp;":"&amp;ADDRESS(130,3+18*1+(2))),'J1 B - Butcher Terrace'!$A$12:$A$130,"&gt;="&amp;Diagram!$O44,'J1 B - Butcher Terrace'!$A$12:$A$130,"&lt;"&amp;Diagram!$P44),SUMIFS(INDIRECT(ADDRESS(12,3+18*1+(10),,,"J1 B - Butcher Terrace")&amp;":"&amp;ADDRESS(130,3+18*1+(10))),'J1 B - Butcher Terrace'!$A$12:$A$130,"&gt;="&amp;Diagram!$O44,'J1 B - Butcher Terrace'!$A$12:$A$130,"&lt;"&amp;Diagram!$P44)))</f>
        <v>0</v>
      </c>
      <c r="BI44" s="42">
        <f ca="1">IF(OR($I$10="",$O44="",$P44="",$J$37&lt;&gt;"Yes"),0,IF($K$10=0,SUMIFS(INDIRECT(ADDRESS(12,3+18*1+(2),,,"J1 C - (South) Bishopthorpe Roa")&amp;":"&amp;ADDRESS(130,3+18*1+(2))),'J1 C - (South) Bishopthorpe Roa'!$A$12:$A$130,"&gt;="&amp;Diagram!$O44,'J1 C - (South) Bishopthorpe Roa'!$A$12:$A$130,"&lt;"&amp;Diagram!$P44),SUMIFS(INDIRECT(ADDRESS(12,3+18*1+(10),,,"J1 C - (South) Bishopthorpe Roa")&amp;":"&amp;ADDRESS(130,3+18*1+(10))),'J1 C - (South) Bishopthorpe Roa'!$A$12:$A$130,"&gt;="&amp;Diagram!$O44,'J1 C - (South) Bishopthorpe Roa'!$A$12:$A$130,"&lt;"&amp;Diagram!$P44)))</f>
        <v>8</v>
      </c>
      <c r="BJ44" s="42">
        <f ca="1">IF(OR($I$10="",$O44="",$P44="",$J$37&lt;&gt;"Yes"),0,IF($K$10=0,SUMIFS(INDIRECT(ADDRESS(12,3+18*2+(2),,,"J1 C - (South) Bishopthorpe Roa")&amp;":"&amp;ADDRESS(130,3+18*2+(2))),'J1 C - (South) Bishopthorpe Roa'!$A$12:$A$130,"&gt;="&amp;Diagram!$O44,'J1 C - (South) Bishopthorpe Roa'!$A$12:$A$130,"&lt;"&amp;Diagram!$P44),SUMIFS(INDIRECT(ADDRESS(12,3+18*2+(10),,,"J1 C - (South) Bishopthorpe Roa")&amp;":"&amp;ADDRESS(130,3+18*2+(10))),'J1 C - (South) Bishopthorpe Roa'!$A$12:$A$130,"&gt;="&amp;Diagram!$O44,'J1 C - (South) Bishopthorpe Roa'!$A$12:$A$130,"&lt;"&amp;Diagram!$P44)))</f>
        <v>0</v>
      </c>
      <c r="BK44" s="42">
        <f ca="1">IF(OR($I$10="",$O44="",$P44="",$J$37&lt;&gt;"Yes"),0,IF($K$10=0,SUMIFS(INDIRECT(ADDRESS(12,3+18*3+(2),,,"J1 C - (South) Bishopthorpe Roa")&amp;":"&amp;ADDRESS(130,3+18*3+(2))),'J1 C - (South) Bishopthorpe Roa'!$A$12:$A$130,"&gt;="&amp;Diagram!$O44,'J1 C - (South) Bishopthorpe Roa'!$A$12:$A$130,"&lt;"&amp;Diagram!$P44),SUMIFS(INDIRECT(ADDRESS(12,3+18*3+(10),,,"J1 C - (South) Bishopthorpe Roa")&amp;":"&amp;ADDRESS(130,3+18*3+(10))),'J1 C - (South) Bishopthorpe Roa'!$A$12:$A$130,"&gt;="&amp;Diagram!$O44,'J1 C - (South) Bishopthorpe Roa'!$A$12:$A$130,"&lt;"&amp;Diagram!$P44)))</f>
        <v>0</v>
      </c>
      <c r="BL44" s="42">
        <f ca="1">IF(OR($I$10="",$O44="",$P44="",$J$37&lt;&gt;"Yes"),0,IF($K$10=0,SUMIFS(INDIRECT(ADDRESS(12,3+18*0+(2),,,"J1 C - (South) Bishopthorpe Roa")&amp;":"&amp;ADDRESS(130,3+18*0+(2))),'J1 C - (South) Bishopthorpe Roa'!$A$12:$A$130,"&gt;="&amp;Diagram!$O44,'J1 C - (South) Bishopthorpe Roa'!$A$12:$A$130,"&lt;"&amp;Diagram!$P44),SUMIFS(INDIRECT(ADDRESS(12,3+18*0+(10),,,"J1 C - (South) Bishopthorpe Roa")&amp;":"&amp;ADDRESS(130,3+18*0+(10))),'J1 C - (South) Bishopthorpe Roa'!$A$12:$A$130,"&gt;="&amp;Diagram!$O44,'J1 C - (South) Bishopthorpe Roa'!$A$12:$A$130,"&lt;"&amp;Diagram!$P44)))</f>
        <v>0</v>
      </c>
      <c r="BM44" s="42">
        <f ca="1">IF(OR($I$10="",$O44="",$P44="",$J$37&lt;&gt;"Yes"),0,IF($K$10=0,SUMIFS(INDIRECT(ADDRESS(12,3+18*0+(2),,,"J1 D - South Bank Avenue")&amp;":"&amp;ADDRESS(130,3+18*0+(2))),'J1 D - South Bank Avenue'!$A$12:$A$130,"&gt;="&amp;Diagram!$O44,'J1 D - South Bank Avenue'!$A$12:$A$130,"&lt;"&amp;Diagram!$P44),SUMIFS(INDIRECT(ADDRESS(12,3+18*0+(10),,,"J1 D - South Bank Avenue")&amp;":"&amp;ADDRESS(130,3+18*0+(10))),'J1 D - South Bank Avenue'!$A$12:$A$130,"&gt;="&amp;Diagram!$O44,'J1 D - South Bank Avenue'!$A$12:$A$130,"&lt;"&amp;Diagram!$P44)))</f>
        <v>0</v>
      </c>
      <c r="BN44" s="42">
        <f ca="1">IF(OR($I$10="",$O44="",$P44="",$J$37&lt;&gt;"Yes"),0,IF($K$10=0,SUMIFS(INDIRECT(ADDRESS(12,3+18*1+(2),,,"J1 D - South Bank Avenue")&amp;":"&amp;ADDRESS(130,3+18*1+(2))),'J1 D - South Bank Avenue'!$A$12:$A$130,"&gt;="&amp;Diagram!$O44,'J1 D - South Bank Avenue'!$A$12:$A$130,"&lt;"&amp;Diagram!$P44),SUMIFS(INDIRECT(ADDRESS(12,3+18*1+(10),,,"J1 D - South Bank Avenue")&amp;":"&amp;ADDRESS(130,3+18*1+(10))),'J1 D - South Bank Avenue'!$A$12:$A$130,"&gt;="&amp;Diagram!$O44,'J1 D - South Bank Avenue'!$A$12:$A$130,"&lt;"&amp;Diagram!$P44)))</f>
        <v>0</v>
      </c>
      <c r="BO44" s="42">
        <f ca="1">IF(OR($I$10="",$O44="",$P44="",$J$37&lt;&gt;"Yes"),0,IF($K$10=0,SUMIFS(INDIRECT(ADDRESS(12,3+18*2+(2),,,"J1 D - South Bank Avenue")&amp;":"&amp;ADDRESS(130,3+18*2+(2))),'J1 D - South Bank Avenue'!$A$12:$A$130,"&gt;="&amp;Diagram!$O44,'J1 D - South Bank Avenue'!$A$12:$A$130,"&lt;"&amp;Diagram!$P44),SUMIFS(INDIRECT(ADDRESS(12,3+18*2+(10),,,"J1 D - South Bank Avenue")&amp;":"&amp;ADDRESS(130,3+18*2+(10))),'J1 D - South Bank Avenue'!$A$12:$A$130,"&gt;="&amp;Diagram!$O44,'J1 D - South Bank Avenue'!$A$12:$A$130,"&lt;"&amp;Diagram!$P44)))</f>
        <v>0</v>
      </c>
      <c r="BP44" s="42">
        <f ca="1">IF(OR($I$10="",$O44="",$P44="",$J$37&lt;&gt;"Yes"),0,IF($K$10=0,SUMIFS(INDIRECT(ADDRESS(12,3+18*3+(2),,,"J1 D - South Bank Avenue")&amp;":"&amp;ADDRESS(130,3+18*3+(2))),'J1 D - South Bank Avenue'!$A$12:$A$130,"&gt;="&amp;Diagram!$O44,'J1 D - South Bank Avenue'!$A$12:$A$130,"&lt;"&amp;Diagram!$P44),SUMIFS(INDIRECT(ADDRESS(12,3+18*3+(10),,,"J1 D - South Bank Avenue")&amp;":"&amp;ADDRESS(130,3+18*3+(10))),'J1 D - South Bank Avenue'!$A$12:$A$130,"&gt;="&amp;Diagram!$O44,'J1 D - South Bank Avenue'!$A$12:$A$130,"&lt;"&amp;Diagram!$P44)))</f>
        <v>0</v>
      </c>
      <c r="BQ44" s="42">
        <f t="shared" ca="1" si="4"/>
        <v>2</v>
      </c>
      <c r="BR44" s="42">
        <f ca="1">IF(OR($I$10="",$O44="",$P44="",$J$38&lt;&gt;"Yes"),0,IF($K$10=0,SUMIFS(INDIRECT(ADDRESS(12,3+18*3+(3),,,"J1 A - (North) Bishopthorpe Roa")&amp;":"&amp;ADDRESS(130,3+18*3+(3))),'J1 A - (North) Bishopthorpe Roa'!$A$12:$A$130,"&gt;="&amp;Diagram!$O44,'J1 A - (North) Bishopthorpe Roa'!$A$12:$A$130,"&lt;"&amp;Diagram!$P44),SUMIFS(INDIRECT(ADDRESS(12,3+18*3+(11),,,"J1 A - (North) Bishopthorpe Roa")&amp;":"&amp;ADDRESS(130,3+18*3+(11))),'J1 A - (North) Bishopthorpe Roa'!$A$12:$A$130,"&gt;="&amp;Diagram!$O44,'J1 A - (North) Bishopthorpe Roa'!$A$12:$A$130,"&lt;"&amp;Diagram!$P44)))</f>
        <v>0</v>
      </c>
      <c r="BS44" s="42">
        <f ca="1">IF(OR($I$10="",$O44="",$P44="",$J$38&lt;&gt;"Yes"),0,IF($K$10=0,SUMIFS(INDIRECT(ADDRESS(12,3+18*0+(3),,,"J1 A - (North) Bishopthorpe Roa")&amp;":"&amp;ADDRESS(130,3+18*0+(3))),'J1 A - (North) Bishopthorpe Roa'!$A$12:$A$130,"&gt;="&amp;Diagram!$O44,'J1 A - (North) Bishopthorpe Roa'!$A$12:$A$130,"&lt;"&amp;Diagram!$P44),SUMIFS(INDIRECT(ADDRESS(12,3+18*0+(11),,,"J1 A - (North) Bishopthorpe Roa")&amp;":"&amp;ADDRESS(130,3+18*0+(11))),'J1 A - (North) Bishopthorpe Roa'!$A$12:$A$130,"&gt;="&amp;Diagram!$O44,'J1 A - (North) Bishopthorpe Roa'!$A$12:$A$130,"&lt;"&amp;Diagram!$P44)))</f>
        <v>0</v>
      </c>
      <c r="BT44" s="42">
        <f ca="1">IF(OR($I$10="",$O44="",$P44="",$J$38&lt;&gt;"Yes"),0,IF($K$10=0,SUMIFS(INDIRECT(ADDRESS(12,3+18*1+(3),,,"J1 A - (North) Bishopthorpe Roa")&amp;":"&amp;ADDRESS(130,3+18*1+(3))),'J1 A - (North) Bishopthorpe Roa'!$A$12:$A$130,"&gt;="&amp;Diagram!$O44,'J1 A - (North) Bishopthorpe Roa'!$A$12:$A$130,"&lt;"&amp;Diagram!$P44),SUMIFS(INDIRECT(ADDRESS(12,3+18*1+(11),,,"J1 A - (North) Bishopthorpe Roa")&amp;":"&amp;ADDRESS(130,3+18*1+(11))),'J1 A - (North) Bishopthorpe Roa'!$A$12:$A$130,"&gt;="&amp;Diagram!$O44,'J1 A - (North) Bishopthorpe Roa'!$A$12:$A$130,"&lt;"&amp;Diagram!$P44)))</f>
        <v>0</v>
      </c>
      <c r="BU44" s="42">
        <f ca="1">IF(OR($I$10="",$O44="",$P44="",$J$38&lt;&gt;"Yes"),0,IF($K$10=0,SUMIFS(INDIRECT(ADDRESS(12,3+18*2+(3),,,"J1 A - (North) Bishopthorpe Roa")&amp;":"&amp;ADDRESS(130,3+18*2+(3))),'J1 A - (North) Bishopthorpe Roa'!$A$12:$A$130,"&gt;="&amp;Diagram!$O44,'J1 A - (North) Bishopthorpe Roa'!$A$12:$A$130,"&lt;"&amp;Diagram!$P44),SUMIFS(INDIRECT(ADDRESS(12,3+18*2+(11),,,"J1 A - (North) Bishopthorpe Roa")&amp;":"&amp;ADDRESS(130,3+18*2+(11))),'J1 A - (North) Bishopthorpe Roa'!$A$12:$A$130,"&gt;="&amp;Diagram!$O44,'J1 A - (North) Bishopthorpe Roa'!$A$12:$A$130,"&lt;"&amp;Diagram!$P44)))</f>
        <v>0</v>
      </c>
      <c r="BV44" s="42">
        <f ca="1">IF(OR($I$10="",$O44="",$P44="",$J$38&lt;&gt;"Yes"),0,IF($K$10=0,SUMIFS(INDIRECT(ADDRESS(12,3+18*2+(3),,,"J1 B - Butcher Terrace")&amp;":"&amp;ADDRESS(130,3+18*2+(3))),'J1 B - Butcher Terrace'!$A$12:$A$130,"&gt;="&amp;Diagram!$O44,'J1 B - Butcher Terrace'!$A$12:$A$130,"&lt;"&amp;Diagram!$P44),SUMIFS(INDIRECT(ADDRESS(12,3+18*2+(11),,,"J1 B - Butcher Terrace")&amp;":"&amp;ADDRESS(130,3+18*2+(11))),'J1 B - Butcher Terrace'!$A$12:$A$130,"&gt;="&amp;Diagram!$O44,'J1 B - Butcher Terrace'!$A$12:$A$130,"&lt;"&amp;Diagram!$P44)))</f>
        <v>0</v>
      </c>
      <c r="BW44" s="42">
        <f ca="1">IF(OR($I$10="",$O44="",$P44="",$J$38&lt;&gt;"Yes"),0,IF($K$10=0,SUMIFS(INDIRECT(ADDRESS(12,3+18*3+(3),,,"J1 B - Butcher Terrace")&amp;":"&amp;ADDRESS(130,3+18*3+(3))),'J1 B - Butcher Terrace'!$A$12:$A$130,"&gt;="&amp;Diagram!$O44,'J1 B - Butcher Terrace'!$A$12:$A$130,"&lt;"&amp;Diagram!$P44),SUMIFS(INDIRECT(ADDRESS(12,3+18*3+(11),,,"J1 B - Butcher Terrace")&amp;":"&amp;ADDRESS(130,3+18*3+(11))),'J1 B - Butcher Terrace'!$A$12:$A$130,"&gt;="&amp;Diagram!$O44,'J1 B - Butcher Terrace'!$A$12:$A$130,"&lt;"&amp;Diagram!$P44)))</f>
        <v>0</v>
      </c>
      <c r="BX44" s="42">
        <f ca="1">IF(OR($I$10="",$O44="",$P44="",$J$38&lt;&gt;"Yes"),0,IF($K$10=0,SUMIFS(INDIRECT(ADDRESS(12,3+18*0+(3),,,"J1 B - Butcher Terrace")&amp;":"&amp;ADDRESS(130,3+18*0+(3))),'J1 B - Butcher Terrace'!$A$12:$A$130,"&gt;="&amp;Diagram!$O44,'J1 B - Butcher Terrace'!$A$12:$A$130,"&lt;"&amp;Diagram!$P44),SUMIFS(INDIRECT(ADDRESS(12,3+18*0+(11),,,"J1 B - Butcher Terrace")&amp;":"&amp;ADDRESS(130,3+18*0+(11))),'J1 B - Butcher Terrace'!$A$12:$A$130,"&gt;="&amp;Diagram!$O44,'J1 B - Butcher Terrace'!$A$12:$A$130,"&lt;"&amp;Diagram!$P44)))</f>
        <v>0</v>
      </c>
      <c r="BY44" s="42">
        <f ca="1">IF(OR($I$10="",$O44="",$P44="",$J$38&lt;&gt;"Yes"),0,IF($K$10=0,SUMIFS(INDIRECT(ADDRESS(12,3+18*1+(3),,,"J1 B - Butcher Terrace")&amp;":"&amp;ADDRESS(130,3+18*1+(3))),'J1 B - Butcher Terrace'!$A$12:$A$130,"&gt;="&amp;Diagram!$O44,'J1 B - Butcher Terrace'!$A$12:$A$130,"&lt;"&amp;Diagram!$P44),SUMIFS(INDIRECT(ADDRESS(12,3+18*1+(11),,,"J1 B - Butcher Terrace")&amp;":"&amp;ADDRESS(130,3+18*1+(11))),'J1 B - Butcher Terrace'!$A$12:$A$130,"&gt;="&amp;Diagram!$O44,'J1 B - Butcher Terrace'!$A$12:$A$130,"&lt;"&amp;Diagram!$P44)))</f>
        <v>0</v>
      </c>
      <c r="BZ44" s="42">
        <f ca="1">IF(OR($I$10="",$O44="",$P44="",$J$38&lt;&gt;"Yes"),0,IF($K$10=0,SUMIFS(INDIRECT(ADDRESS(12,3+18*1+(3),,,"J1 C - (South) Bishopthorpe Roa")&amp;":"&amp;ADDRESS(130,3+18*1+(3))),'J1 C - (South) Bishopthorpe Roa'!$A$12:$A$130,"&gt;="&amp;Diagram!$O44,'J1 C - (South) Bishopthorpe Roa'!$A$12:$A$130,"&lt;"&amp;Diagram!$P44),SUMIFS(INDIRECT(ADDRESS(12,3+18*1+(11),,,"J1 C - (South) Bishopthorpe Roa")&amp;":"&amp;ADDRESS(130,3+18*1+(11))),'J1 C - (South) Bishopthorpe Roa'!$A$12:$A$130,"&gt;="&amp;Diagram!$O44,'J1 C - (South) Bishopthorpe Roa'!$A$12:$A$130,"&lt;"&amp;Diagram!$P44)))</f>
        <v>2</v>
      </c>
      <c r="CA44" s="42">
        <f ca="1">IF(OR($I$10="",$O44="",$P44="",$J$38&lt;&gt;"Yes"),0,IF($K$10=0,SUMIFS(INDIRECT(ADDRESS(12,3+18*2+(3),,,"J1 C - (South) Bishopthorpe Roa")&amp;":"&amp;ADDRESS(130,3+18*2+(3))),'J1 C - (South) Bishopthorpe Roa'!$A$12:$A$130,"&gt;="&amp;Diagram!$O44,'J1 C - (South) Bishopthorpe Roa'!$A$12:$A$130,"&lt;"&amp;Diagram!$P44),SUMIFS(INDIRECT(ADDRESS(12,3+18*2+(11),,,"J1 C - (South) Bishopthorpe Roa")&amp;":"&amp;ADDRESS(130,3+18*2+(11))),'J1 C - (South) Bishopthorpe Roa'!$A$12:$A$130,"&gt;="&amp;Diagram!$O44,'J1 C - (South) Bishopthorpe Roa'!$A$12:$A$130,"&lt;"&amp;Diagram!$P44)))</f>
        <v>0</v>
      </c>
      <c r="CB44" s="42">
        <f ca="1">IF(OR($I$10="",$O44="",$P44="",$J$38&lt;&gt;"Yes"),0,IF($K$10=0,SUMIFS(INDIRECT(ADDRESS(12,3+18*3+(3),,,"J1 C - (South) Bishopthorpe Roa")&amp;":"&amp;ADDRESS(130,3+18*3+(3))),'J1 C - (South) Bishopthorpe Roa'!$A$12:$A$130,"&gt;="&amp;Diagram!$O44,'J1 C - (South) Bishopthorpe Roa'!$A$12:$A$130,"&lt;"&amp;Diagram!$P44),SUMIFS(INDIRECT(ADDRESS(12,3+18*3+(11),,,"J1 C - (South) Bishopthorpe Roa")&amp;":"&amp;ADDRESS(130,3+18*3+(11))),'J1 C - (South) Bishopthorpe Roa'!$A$12:$A$130,"&gt;="&amp;Diagram!$O44,'J1 C - (South) Bishopthorpe Roa'!$A$12:$A$130,"&lt;"&amp;Diagram!$P44)))</f>
        <v>0</v>
      </c>
      <c r="CC44" s="42">
        <f ca="1">IF(OR($I$10="",$O44="",$P44="",$J$38&lt;&gt;"Yes"),0,IF($K$10=0,SUMIFS(INDIRECT(ADDRESS(12,3+18*0+(3),,,"J1 C - (South) Bishopthorpe Roa")&amp;":"&amp;ADDRESS(130,3+18*0+(3))),'J1 C - (South) Bishopthorpe Roa'!$A$12:$A$130,"&gt;="&amp;Diagram!$O44,'J1 C - (South) Bishopthorpe Roa'!$A$12:$A$130,"&lt;"&amp;Diagram!$P44),SUMIFS(INDIRECT(ADDRESS(12,3+18*0+(11),,,"J1 C - (South) Bishopthorpe Roa")&amp;":"&amp;ADDRESS(130,3+18*0+(11))),'J1 C - (South) Bishopthorpe Roa'!$A$12:$A$130,"&gt;="&amp;Diagram!$O44,'J1 C - (South) Bishopthorpe Roa'!$A$12:$A$130,"&lt;"&amp;Diagram!$P44)))</f>
        <v>0</v>
      </c>
      <c r="CD44" s="42">
        <f ca="1">IF(OR($I$10="",$O44="",$P44="",$J$38&lt;&gt;"Yes"),0,IF($K$10=0,SUMIFS(INDIRECT(ADDRESS(12,3+18*0+(3),,,"J1 D - South Bank Avenue")&amp;":"&amp;ADDRESS(130,3+18*0+(3))),'J1 D - South Bank Avenue'!$A$12:$A$130,"&gt;="&amp;Diagram!$O44,'J1 D - South Bank Avenue'!$A$12:$A$130,"&lt;"&amp;Diagram!$P44),SUMIFS(INDIRECT(ADDRESS(12,3+18*0+(11),,,"J1 D - South Bank Avenue")&amp;":"&amp;ADDRESS(130,3+18*0+(11))),'J1 D - South Bank Avenue'!$A$12:$A$130,"&gt;="&amp;Diagram!$O44,'J1 D - South Bank Avenue'!$A$12:$A$130,"&lt;"&amp;Diagram!$P44)))</f>
        <v>0</v>
      </c>
      <c r="CE44" s="42">
        <f ca="1">IF(OR($I$10="",$O44="",$P44="",$J$38&lt;&gt;"Yes"),0,IF($K$10=0,SUMIFS(INDIRECT(ADDRESS(12,3+18*1+(3),,,"J1 D - South Bank Avenue")&amp;":"&amp;ADDRESS(130,3+18*1+(3))),'J1 D - South Bank Avenue'!$A$12:$A$130,"&gt;="&amp;Diagram!$O44,'J1 D - South Bank Avenue'!$A$12:$A$130,"&lt;"&amp;Diagram!$P44),SUMIFS(INDIRECT(ADDRESS(12,3+18*1+(11),,,"J1 D - South Bank Avenue")&amp;":"&amp;ADDRESS(130,3+18*1+(11))),'J1 D - South Bank Avenue'!$A$12:$A$130,"&gt;="&amp;Diagram!$O44,'J1 D - South Bank Avenue'!$A$12:$A$130,"&lt;"&amp;Diagram!$P44)))</f>
        <v>0</v>
      </c>
      <c r="CF44" s="42">
        <f ca="1">IF(OR($I$10="",$O44="",$P44="",$J$38&lt;&gt;"Yes"),0,IF($K$10=0,SUMIFS(INDIRECT(ADDRESS(12,3+18*2+(3),,,"J1 D - South Bank Avenue")&amp;":"&amp;ADDRESS(130,3+18*2+(3))),'J1 D - South Bank Avenue'!$A$12:$A$130,"&gt;="&amp;Diagram!$O44,'J1 D - South Bank Avenue'!$A$12:$A$130,"&lt;"&amp;Diagram!$P44),SUMIFS(INDIRECT(ADDRESS(12,3+18*2+(11),,,"J1 D - South Bank Avenue")&amp;":"&amp;ADDRESS(130,3+18*2+(11))),'J1 D - South Bank Avenue'!$A$12:$A$130,"&gt;="&amp;Diagram!$O44,'J1 D - South Bank Avenue'!$A$12:$A$130,"&lt;"&amp;Diagram!$P44)))</f>
        <v>0</v>
      </c>
      <c r="CG44" s="42">
        <f ca="1">IF(OR($I$10="",$O44="",$P44="",$J$38&lt;&gt;"Yes"),0,IF($K$10=0,SUMIFS(INDIRECT(ADDRESS(12,3+18*3+(3),,,"J1 D - South Bank Avenue")&amp;":"&amp;ADDRESS(130,3+18*3+(3))),'J1 D - South Bank Avenue'!$A$12:$A$130,"&gt;="&amp;Diagram!$O44,'J1 D - South Bank Avenue'!$A$12:$A$130,"&lt;"&amp;Diagram!$P44),SUMIFS(INDIRECT(ADDRESS(12,3+18*3+(11),,,"J1 D - South Bank Avenue")&amp;":"&amp;ADDRESS(130,3+18*3+(11))),'J1 D - South Bank Avenue'!$A$12:$A$130,"&gt;="&amp;Diagram!$O44,'J1 D - South Bank Avenue'!$A$12:$A$130,"&lt;"&amp;Diagram!$P44)))</f>
        <v>0</v>
      </c>
      <c r="CH44" s="42">
        <f t="shared" ca="1" si="5"/>
        <v>8</v>
      </c>
      <c r="CI44" s="42">
        <f ca="1">IF(OR($I$10="",$O44="",$P44="",$J$39&lt;&gt;"Yes"),0,IF($K$10=0,SUMIFS(INDIRECT(ADDRESS(12,3+18*3+(4),,,"J1 A - (North) Bishopthorpe Roa")&amp;":"&amp;ADDRESS(130,3+18*3+(4))),'J1 A - (North) Bishopthorpe Roa'!$A$12:$A$130,"&gt;="&amp;Diagram!$O44,'J1 A - (North) Bishopthorpe Roa'!$A$12:$A$130,"&lt;"&amp;Diagram!$P44),SUMIFS(INDIRECT(ADDRESS(12,3+18*3+(12),,,"J1 A - (North) Bishopthorpe Roa")&amp;":"&amp;ADDRESS(130,3+18*3+(12))),'J1 A - (North) Bishopthorpe Roa'!$A$12:$A$130,"&gt;="&amp;Diagram!$O44,'J1 A - (North) Bishopthorpe Roa'!$A$12:$A$130,"&lt;"&amp;Diagram!$P44)))</f>
        <v>0</v>
      </c>
      <c r="CJ44" s="42">
        <f ca="1">IF(OR($I$10="",$O44="",$P44="",$J$39&lt;&gt;"Yes"),0,IF($K$10=0,SUMIFS(INDIRECT(ADDRESS(12,3+18*0+(4),,,"J1 A - (North) Bishopthorpe Roa")&amp;":"&amp;ADDRESS(130,3+18*0+(4))),'J1 A - (North) Bishopthorpe Roa'!$A$12:$A$130,"&gt;="&amp;Diagram!$O44,'J1 A - (North) Bishopthorpe Roa'!$A$12:$A$130,"&lt;"&amp;Diagram!$P44),SUMIFS(INDIRECT(ADDRESS(12,3+18*0+(12),,,"J1 A - (North) Bishopthorpe Roa")&amp;":"&amp;ADDRESS(130,3+18*0+(12))),'J1 A - (North) Bishopthorpe Roa'!$A$12:$A$130,"&gt;="&amp;Diagram!$O44,'J1 A - (North) Bishopthorpe Roa'!$A$12:$A$130,"&lt;"&amp;Diagram!$P44)))</f>
        <v>0</v>
      </c>
      <c r="CK44" s="42">
        <f ca="1">IF(OR($I$10="",$O44="",$P44="",$J$39&lt;&gt;"Yes"),0,IF($K$10=0,SUMIFS(INDIRECT(ADDRESS(12,3+18*1+(4),,,"J1 A - (North) Bishopthorpe Roa")&amp;":"&amp;ADDRESS(130,3+18*1+(4))),'J1 A - (North) Bishopthorpe Roa'!$A$12:$A$130,"&gt;="&amp;Diagram!$O44,'J1 A - (North) Bishopthorpe Roa'!$A$12:$A$130,"&lt;"&amp;Diagram!$P44),SUMIFS(INDIRECT(ADDRESS(12,3+18*1+(12),,,"J1 A - (North) Bishopthorpe Roa")&amp;":"&amp;ADDRESS(130,3+18*1+(12))),'J1 A - (North) Bishopthorpe Roa'!$A$12:$A$130,"&gt;="&amp;Diagram!$O44,'J1 A - (North) Bishopthorpe Roa'!$A$12:$A$130,"&lt;"&amp;Diagram!$P44)))</f>
        <v>4</v>
      </c>
      <c r="CL44" s="42">
        <f ca="1">IF(OR($I$10="",$O44="",$P44="",$J$39&lt;&gt;"Yes"),0,IF($K$10=0,SUMIFS(INDIRECT(ADDRESS(12,3+18*2+(4),,,"J1 A - (North) Bishopthorpe Roa")&amp;":"&amp;ADDRESS(130,3+18*2+(4))),'J1 A - (North) Bishopthorpe Roa'!$A$12:$A$130,"&gt;="&amp;Diagram!$O44,'J1 A - (North) Bishopthorpe Roa'!$A$12:$A$130,"&lt;"&amp;Diagram!$P44),SUMIFS(INDIRECT(ADDRESS(12,3+18*2+(12),,,"J1 A - (North) Bishopthorpe Roa")&amp;":"&amp;ADDRESS(130,3+18*2+(12))),'J1 A - (North) Bishopthorpe Roa'!$A$12:$A$130,"&gt;="&amp;Diagram!$O44,'J1 A - (North) Bishopthorpe Roa'!$A$12:$A$130,"&lt;"&amp;Diagram!$P44)))</f>
        <v>0</v>
      </c>
      <c r="CM44" s="42">
        <f ca="1">IF(OR($I$10="",$O44="",$P44="",$J$39&lt;&gt;"Yes"),0,IF($K$10=0,SUMIFS(INDIRECT(ADDRESS(12,3+18*2+(4),,,"J1 B - Butcher Terrace")&amp;":"&amp;ADDRESS(130,3+18*2+(4))),'J1 B - Butcher Terrace'!$A$12:$A$130,"&gt;="&amp;Diagram!$O44,'J1 B - Butcher Terrace'!$A$12:$A$130,"&lt;"&amp;Diagram!$P44),SUMIFS(INDIRECT(ADDRESS(12,3+18*2+(12),,,"J1 B - Butcher Terrace")&amp;":"&amp;ADDRESS(130,3+18*2+(12))),'J1 B - Butcher Terrace'!$A$12:$A$130,"&gt;="&amp;Diagram!$O44,'J1 B - Butcher Terrace'!$A$12:$A$130,"&lt;"&amp;Diagram!$P44)))</f>
        <v>0</v>
      </c>
      <c r="CN44" s="42">
        <f ca="1">IF(OR($I$10="",$O44="",$P44="",$J$39&lt;&gt;"Yes"),0,IF($K$10=0,SUMIFS(INDIRECT(ADDRESS(12,3+18*3+(4),,,"J1 B - Butcher Terrace")&amp;":"&amp;ADDRESS(130,3+18*3+(4))),'J1 B - Butcher Terrace'!$A$12:$A$130,"&gt;="&amp;Diagram!$O44,'J1 B - Butcher Terrace'!$A$12:$A$130,"&lt;"&amp;Diagram!$P44),SUMIFS(INDIRECT(ADDRESS(12,3+18*3+(12),,,"J1 B - Butcher Terrace")&amp;":"&amp;ADDRESS(130,3+18*3+(12))),'J1 B - Butcher Terrace'!$A$12:$A$130,"&gt;="&amp;Diagram!$O44,'J1 B - Butcher Terrace'!$A$12:$A$130,"&lt;"&amp;Diagram!$P44)))</f>
        <v>0</v>
      </c>
      <c r="CO44" s="42">
        <f ca="1">IF(OR($I$10="",$O44="",$P44="",$J$39&lt;&gt;"Yes"),0,IF($K$10=0,SUMIFS(INDIRECT(ADDRESS(12,3+18*0+(4),,,"J1 B - Butcher Terrace")&amp;":"&amp;ADDRESS(130,3+18*0+(4))),'J1 B - Butcher Terrace'!$A$12:$A$130,"&gt;="&amp;Diagram!$O44,'J1 B - Butcher Terrace'!$A$12:$A$130,"&lt;"&amp;Diagram!$P44),SUMIFS(INDIRECT(ADDRESS(12,3+18*0+(12),,,"J1 B - Butcher Terrace")&amp;":"&amp;ADDRESS(130,3+18*0+(12))),'J1 B - Butcher Terrace'!$A$12:$A$130,"&gt;="&amp;Diagram!$O44,'J1 B - Butcher Terrace'!$A$12:$A$130,"&lt;"&amp;Diagram!$P44)))</f>
        <v>0</v>
      </c>
      <c r="CP44" s="42">
        <f ca="1">IF(OR($I$10="",$O44="",$P44="",$J$39&lt;&gt;"Yes"),0,IF($K$10=0,SUMIFS(INDIRECT(ADDRESS(12,3+18*1+(4),,,"J1 B - Butcher Terrace")&amp;":"&amp;ADDRESS(130,3+18*1+(4))),'J1 B - Butcher Terrace'!$A$12:$A$130,"&gt;="&amp;Diagram!$O44,'J1 B - Butcher Terrace'!$A$12:$A$130,"&lt;"&amp;Diagram!$P44),SUMIFS(INDIRECT(ADDRESS(12,3+18*1+(12),,,"J1 B - Butcher Terrace")&amp;":"&amp;ADDRESS(130,3+18*1+(12))),'J1 B - Butcher Terrace'!$A$12:$A$130,"&gt;="&amp;Diagram!$O44,'J1 B - Butcher Terrace'!$A$12:$A$130,"&lt;"&amp;Diagram!$P44)))</f>
        <v>0</v>
      </c>
      <c r="CQ44" s="42">
        <f ca="1">IF(OR($I$10="",$O44="",$P44="",$J$39&lt;&gt;"Yes"),0,IF($K$10=0,SUMIFS(INDIRECT(ADDRESS(12,3+18*1+(4),,,"J1 C - (South) Bishopthorpe Roa")&amp;":"&amp;ADDRESS(130,3+18*1+(4))),'J1 C - (South) Bishopthorpe Roa'!$A$12:$A$130,"&gt;="&amp;Diagram!$O44,'J1 C - (South) Bishopthorpe Roa'!$A$12:$A$130,"&lt;"&amp;Diagram!$P44),SUMIFS(INDIRECT(ADDRESS(12,3+18*1+(12),,,"J1 C - (South) Bishopthorpe Roa")&amp;":"&amp;ADDRESS(130,3+18*1+(12))),'J1 C - (South) Bishopthorpe Roa'!$A$12:$A$130,"&gt;="&amp;Diagram!$O44,'J1 C - (South) Bishopthorpe Roa'!$A$12:$A$130,"&lt;"&amp;Diagram!$P44)))</f>
        <v>4</v>
      </c>
      <c r="CR44" s="42">
        <f ca="1">IF(OR($I$10="",$O44="",$P44="",$J$39&lt;&gt;"Yes"),0,IF($K$10=0,SUMIFS(INDIRECT(ADDRESS(12,3+18*2+(4),,,"J1 C - (South) Bishopthorpe Roa")&amp;":"&amp;ADDRESS(130,3+18*2+(4))),'J1 C - (South) Bishopthorpe Roa'!$A$12:$A$130,"&gt;="&amp;Diagram!$O44,'J1 C - (South) Bishopthorpe Roa'!$A$12:$A$130,"&lt;"&amp;Diagram!$P44),SUMIFS(INDIRECT(ADDRESS(12,3+18*2+(12),,,"J1 C - (South) Bishopthorpe Roa")&amp;":"&amp;ADDRESS(130,3+18*2+(12))),'J1 C - (South) Bishopthorpe Roa'!$A$12:$A$130,"&gt;="&amp;Diagram!$O44,'J1 C - (South) Bishopthorpe Roa'!$A$12:$A$130,"&lt;"&amp;Diagram!$P44)))</f>
        <v>0</v>
      </c>
      <c r="CS44" s="42">
        <f ca="1">IF(OR($I$10="",$O44="",$P44="",$J$39&lt;&gt;"Yes"),0,IF($K$10=0,SUMIFS(INDIRECT(ADDRESS(12,3+18*3+(4),,,"J1 C - (South) Bishopthorpe Roa")&amp;":"&amp;ADDRESS(130,3+18*3+(4))),'J1 C - (South) Bishopthorpe Roa'!$A$12:$A$130,"&gt;="&amp;Diagram!$O44,'J1 C - (South) Bishopthorpe Roa'!$A$12:$A$130,"&lt;"&amp;Diagram!$P44),SUMIFS(INDIRECT(ADDRESS(12,3+18*3+(12),,,"J1 C - (South) Bishopthorpe Roa")&amp;":"&amp;ADDRESS(130,3+18*3+(12))),'J1 C - (South) Bishopthorpe Roa'!$A$12:$A$130,"&gt;="&amp;Diagram!$O44,'J1 C - (South) Bishopthorpe Roa'!$A$12:$A$130,"&lt;"&amp;Diagram!$P44)))</f>
        <v>0</v>
      </c>
      <c r="CT44" s="42">
        <f ca="1">IF(OR($I$10="",$O44="",$P44="",$J$39&lt;&gt;"Yes"),0,IF($K$10=0,SUMIFS(INDIRECT(ADDRESS(12,3+18*0+(4),,,"J1 C - (South) Bishopthorpe Roa")&amp;":"&amp;ADDRESS(130,3+18*0+(4))),'J1 C - (South) Bishopthorpe Roa'!$A$12:$A$130,"&gt;="&amp;Diagram!$O44,'J1 C - (South) Bishopthorpe Roa'!$A$12:$A$130,"&lt;"&amp;Diagram!$P44),SUMIFS(INDIRECT(ADDRESS(12,3+18*0+(12),,,"J1 C - (South) Bishopthorpe Roa")&amp;":"&amp;ADDRESS(130,3+18*0+(12))),'J1 C - (South) Bishopthorpe Roa'!$A$12:$A$130,"&gt;="&amp;Diagram!$O44,'J1 C - (South) Bishopthorpe Roa'!$A$12:$A$130,"&lt;"&amp;Diagram!$P44)))</f>
        <v>0</v>
      </c>
      <c r="CU44" s="42">
        <f ca="1">IF(OR($I$10="",$O44="",$P44="",$J$39&lt;&gt;"Yes"),0,IF($K$10=0,SUMIFS(INDIRECT(ADDRESS(12,3+18*0+(4),,,"J1 D - South Bank Avenue")&amp;":"&amp;ADDRESS(130,3+18*0+(4))),'J1 D - South Bank Avenue'!$A$12:$A$130,"&gt;="&amp;Diagram!$O44,'J1 D - South Bank Avenue'!$A$12:$A$130,"&lt;"&amp;Diagram!$P44),SUMIFS(INDIRECT(ADDRESS(12,3+18*0+(12),,,"J1 D - South Bank Avenue")&amp;":"&amp;ADDRESS(130,3+18*0+(12))),'J1 D - South Bank Avenue'!$A$12:$A$130,"&gt;="&amp;Diagram!$O44,'J1 D - South Bank Avenue'!$A$12:$A$130,"&lt;"&amp;Diagram!$P44)))</f>
        <v>0</v>
      </c>
      <c r="CV44" s="42">
        <f ca="1">IF(OR($I$10="",$O44="",$P44="",$J$39&lt;&gt;"Yes"),0,IF($K$10=0,SUMIFS(INDIRECT(ADDRESS(12,3+18*1+(4),,,"J1 D - South Bank Avenue")&amp;":"&amp;ADDRESS(130,3+18*1+(4))),'J1 D - South Bank Avenue'!$A$12:$A$130,"&gt;="&amp;Diagram!$O44,'J1 D - South Bank Avenue'!$A$12:$A$130,"&lt;"&amp;Diagram!$P44),SUMIFS(INDIRECT(ADDRESS(12,3+18*1+(12),,,"J1 D - South Bank Avenue")&amp;":"&amp;ADDRESS(130,3+18*1+(12))),'J1 D - South Bank Avenue'!$A$12:$A$130,"&gt;="&amp;Diagram!$O44,'J1 D - South Bank Avenue'!$A$12:$A$130,"&lt;"&amp;Diagram!$P44)))</f>
        <v>0</v>
      </c>
      <c r="CW44" s="42">
        <f ca="1">IF(OR($I$10="",$O44="",$P44="",$J$39&lt;&gt;"Yes"),0,IF($K$10=0,SUMIFS(INDIRECT(ADDRESS(12,3+18*2+(4),,,"J1 D - South Bank Avenue")&amp;":"&amp;ADDRESS(130,3+18*2+(4))),'J1 D - South Bank Avenue'!$A$12:$A$130,"&gt;="&amp;Diagram!$O44,'J1 D - South Bank Avenue'!$A$12:$A$130,"&lt;"&amp;Diagram!$P44),SUMIFS(INDIRECT(ADDRESS(12,3+18*2+(12),,,"J1 D - South Bank Avenue")&amp;":"&amp;ADDRESS(130,3+18*2+(12))),'J1 D - South Bank Avenue'!$A$12:$A$130,"&gt;="&amp;Diagram!$O44,'J1 D - South Bank Avenue'!$A$12:$A$130,"&lt;"&amp;Diagram!$P44)))</f>
        <v>0</v>
      </c>
      <c r="CX44" s="42">
        <f ca="1">IF(OR($I$10="",$O44="",$P44="",$J$39&lt;&gt;"Yes"),0,IF($K$10=0,SUMIFS(INDIRECT(ADDRESS(12,3+18*3+(4),,,"J1 D - South Bank Avenue")&amp;":"&amp;ADDRESS(130,3+18*3+(4))),'J1 D - South Bank Avenue'!$A$12:$A$130,"&gt;="&amp;Diagram!$O44,'J1 D - South Bank Avenue'!$A$12:$A$130,"&lt;"&amp;Diagram!$P44),SUMIFS(INDIRECT(ADDRESS(12,3+18*3+(12),,,"J1 D - South Bank Avenue")&amp;":"&amp;ADDRESS(130,3+18*3+(12))),'J1 D - South Bank Avenue'!$A$12:$A$130,"&gt;="&amp;Diagram!$O44,'J1 D - South Bank Avenue'!$A$12:$A$130,"&lt;"&amp;Diagram!$P44)))</f>
        <v>0</v>
      </c>
      <c r="CY44" s="42">
        <f t="shared" ca="1" si="6"/>
        <v>70</v>
      </c>
      <c r="CZ44" s="42">
        <f ca="1">IF(OR($I$10="",$O44="",$P44="",$J$40&lt;&gt;"Yes"),0,IF($K$10=0,SUMIFS(INDIRECT(ADDRESS(12,3+18*3+(5),,,"J1 A - (North) Bishopthorpe Roa")&amp;":"&amp;ADDRESS(130,3+18*3+(5))),'J1 A - (North) Bishopthorpe Roa'!$A$12:$A$130,"&gt;="&amp;Diagram!$O44,'J1 A - (North) Bishopthorpe Roa'!$A$12:$A$130,"&lt;"&amp;Diagram!$P44),SUMIFS(INDIRECT(ADDRESS(12,3+18*3+(13),,,"J1 A - (North) Bishopthorpe Roa")&amp;":"&amp;ADDRESS(130,3+18*3+(13))),'J1 A - (North) Bishopthorpe Roa'!$A$12:$A$130,"&gt;="&amp;Diagram!$O44,'J1 A - (North) Bishopthorpe Roa'!$A$12:$A$130,"&lt;"&amp;Diagram!$P44)))</f>
        <v>0</v>
      </c>
      <c r="DA44" s="42">
        <f ca="1">IF(OR($I$10="",$O44="",$P44="",$J$40&lt;&gt;"Yes"),0,IF($K$10=0,SUMIFS(INDIRECT(ADDRESS(12,3+18*0+(5),,,"J1 A - (North) Bishopthorpe Roa")&amp;":"&amp;ADDRESS(130,3+18*0+(5))),'J1 A - (North) Bishopthorpe Roa'!$A$12:$A$130,"&gt;="&amp;Diagram!$O44,'J1 A - (North) Bishopthorpe Roa'!$A$12:$A$130,"&lt;"&amp;Diagram!$P44),SUMIFS(INDIRECT(ADDRESS(12,3+18*0+(13),,,"J1 A - (North) Bishopthorpe Roa")&amp;":"&amp;ADDRESS(130,3+18*0+(13))),'J1 A - (North) Bishopthorpe Roa'!$A$12:$A$130,"&gt;="&amp;Diagram!$O44,'J1 A - (North) Bishopthorpe Roa'!$A$12:$A$130,"&lt;"&amp;Diagram!$P44)))</f>
        <v>11</v>
      </c>
      <c r="DB44" s="42">
        <f ca="1">IF(OR($I$10="",$O44="",$P44="",$J$40&lt;&gt;"Yes"),0,IF($K$10=0,SUMIFS(INDIRECT(ADDRESS(12,3+18*1+(5),,,"J1 A - (North) Bishopthorpe Roa")&amp;":"&amp;ADDRESS(130,3+18*1+(5))),'J1 A - (North) Bishopthorpe Roa'!$A$12:$A$130,"&gt;="&amp;Diagram!$O44,'J1 A - (North) Bishopthorpe Roa'!$A$12:$A$130,"&lt;"&amp;Diagram!$P44),SUMIFS(INDIRECT(ADDRESS(12,3+18*1+(13),,,"J1 A - (North) Bishopthorpe Roa")&amp;":"&amp;ADDRESS(130,3+18*1+(13))),'J1 A - (North) Bishopthorpe Roa'!$A$12:$A$130,"&gt;="&amp;Diagram!$O44,'J1 A - (North) Bishopthorpe Roa'!$A$12:$A$130,"&lt;"&amp;Diagram!$P44)))</f>
        <v>12</v>
      </c>
      <c r="DC44" s="42">
        <f ca="1">IF(OR($I$10="",$O44="",$P44="",$J$40&lt;&gt;"Yes"),0,IF($K$10=0,SUMIFS(INDIRECT(ADDRESS(12,3+18*2+(5),,,"J1 A - (North) Bishopthorpe Roa")&amp;":"&amp;ADDRESS(130,3+18*2+(5))),'J1 A - (North) Bishopthorpe Roa'!$A$12:$A$130,"&gt;="&amp;Diagram!$O44,'J1 A - (North) Bishopthorpe Roa'!$A$12:$A$130,"&lt;"&amp;Diagram!$P44),SUMIFS(INDIRECT(ADDRESS(12,3+18*2+(13),,,"J1 A - (North) Bishopthorpe Roa")&amp;":"&amp;ADDRESS(130,3+18*2+(13))),'J1 A - (North) Bishopthorpe Roa'!$A$12:$A$130,"&gt;="&amp;Diagram!$O44,'J1 A - (North) Bishopthorpe Roa'!$A$12:$A$130,"&lt;"&amp;Diagram!$P44)))</f>
        <v>0</v>
      </c>
      <c r="DD44" s="42">
        <f ca="1">IF(OR($I$10="",$O44="",$P44="",$J$40&lt;&gt;"Yes"),0,IF($K$10=0,SUMIFS(INDIRECT(ADDRESS(12,3+18*2+(5),,,"J1 B - Butcher Terrace")&amp;":"&amp;ADDRESS(130,3+18*2+(5))),'J1 B - Butcher Terrace'!$A$12:$A$130,"&gt;="&amp;Diagram!$O44,'J1 B - Butcher Terrace'!$A$12:$A$130,"&lt;"&amp;Diagram!$P44),SUMIFS(INDIRECT(ADDRESS(12,3+18*2+(13),,,"J1 B - Butcher Terrace")&amp;":"&amp;ADDRESS(130,3+18*2+(13))),'J1 B - Butcher Terrace'!$A$12:$A$130,"&gt;="&amp;Diagram!$O44,'J1 B - Butcher Terrace'!$A$12:$A$130,"&lt;"&amp;Diagram!$P44)))</f>
        <v>5</v>
      </c>
      <c r="DE44" s="42">
        <f ca="1">IF(OR($I$10="",$O44="",$P44="",$J$40&lt;&gt;"Yes"),0,IF($K$10=0,SUMIFS(INDIRECT(ADDRESS(12,3+18*3+(5),,,"J1 B - Butcher Terrace")&amp;":"&amp;ADDRESS(130,3+18*3+(5))),'J1 B - Butcher Terrace'!$A$12:$A$130,"&gt;="&amp;Diagram!$O44,'J1 B - Butcher Terrace'!$A$12:$A$130,"&lt;"&amp;Diagram!$P44),SUMIFS(INDIRECT(ADDRESS(12,3+18*3+(13),,,"J1 B - Butcher Terrace")&amp;":"&amp;ADDRESS(130,3+18*3+(13))),'J1 B - Butcher Terrace'!$A$12:$A$130,"&gt;="&amp;Diagram!$O44,'J1 B - Butcher Terrace'!$A$12:$A$130,"&lt;"&amp;Diagram!$P44)))</f>
        <v>0</v>
      </c>
      <c r="DF44" s="42">
        <f ca="1">IF(OR($I$10="",$O44="",$P44="",$J$40&lt;&gt;"Yes"),0,IF($K$10=0,SUMIFS(INDIRECT(ADDRESS(12,3+18*0+(5),,,"J1 B - Butcher Terrace")&amp;":"&amp;ADDRESS(130,3+18*0+(5))),'J1 B - Butcher Terrace'!$A$12:$A$130,"&gt;="&amp;Diagram!$O44,'J1 B - Butcher Terrace'!$A$12:$A$130,"&lt;"&amp;Diagram!$P44),SUMIFS(INDIRECT(ADDRESS(12,3+18*0+(13),,,"J1 B - Butcher Terrace")&amp;":"&amp;ADDRESS(130,3+18*0+(13))),'J1 B - Butcher Terrace'!$A$12:$A$130,"&gt;="&amp;Diagram!$O44,'J1 B - Butcher Terrace'!$A$12:$A$130,"&lt;"&amp;Diagram!$P44)))</f>
        <v>4</v>
      </c>
      <c r="DG44" s="42">
        <f ca="1">IF(OR($I$10="",$O44="",$P44="",$J$40&lt;&gt;"Yes"),0,IF($K$10=0,SUMIFS(INDIRECT(ADDRESS(12,3+18*1+(5),,,"J1 B - Butcher Terrace")&amp;":"&amp;ADDRESS(130,3+18*1+(5))),'J1 B - Butcher Terrace'!$A$12:$A$130,"&gt;="&amp;Diagram!$O44,'J1 B - Butcher Terrace'!$A$12:$A$130,"&lt;"&amp;Diagram!$P44),SUMIFS(INDIRECT(ADDRESS(12,3+18*1+(13),,,"J1 B - Butcher Terrace")&amp;":"&amp;ADDRESS(130,3+18*1+(13))),'J1 B - Butcher Terrace'!$A$12:$A$130,"&gt;="&amp;Diagram!$O44,'J1 B - Butcher Terrace'!$A$12:$A$130,"&lt;"&amp;Diagram!$P44)))</f>
        <v>8</v>
      </c>
      <c r="DH44" s="42">
        <f ca="1">IF(OR($I$10="",$O44="",$P44="",$J$40&lt;&gt;"Yes"),0,IF($K$10=0,SUMIFS(INDIRECT(ADDRESS(12,3+18*1+(5),,,"J1 C - (South) Bishopthorpe Roa")&amp;":"&amp;ADDRESS(130,3+18*1+(5))),'J1 C - (South) Bishopthorpe Roa'!$A$12:$A$130,"&gt;="&amp;Diagram!$O44,'J1 C - (South) Bishopthorpe Roa'!$A$12:$A$130,"&lt;"&amp;Diagram!$P44),SUMIFS(INDIRECT(ADDRESS(12,3+18*1+(13),,,"J1 C - (South) Bishopthorpe Roa")&amp;":"&amp;ADDRESS(130,3+18*1+(13))),'J1 C - (South) Bishopthorpe Roa'!$A$12:$A$130,"&gt;="&amp;Diagram!$O44,'J1 C - (South) Bishopthorpe Roa'!$A$12:$A$130,"&lt;"&amp;Diagram!$P44)))</f>
        <v>6</v>
      </c>
      <c r="DI44" s="42">
        <f ca="1">IF(OR($I$10="",$O44="",$P44="",$J$40&lt;&gt;"Yes"),0,IF($K$10=0,SUMIFS(INDIRECT(ADDRESS(12,3+18*2+(5),,,"J1 C - (South) Bishopthorpe Roa")&amp;":"&amp;ADDRESS(130,3+18*2+(5))),'J1 C - (South) Bishopthorpe Roa'!$A$12:$A$130,"&gt;="&amp;Diagram!$O44,'J1 C - (South) Bishopthorpe Roa'!$A$12:$A$130,"&lt;"&amp;Diagram!$P44),SUMIFS(INDIRECT(ADDRESS(12,3+18*2+(13),,,"J1 C - (South) Bishopthorpe Roa")&amp;":"&amp;ADDRESS(130,3+18*2+(13))),'J1 C - (South) Bishopthorpe Roa'!$A$12:$A$130,"&gt;="&amp;Diagram!$O44,'J1 C - (South) Bishopthorpe Roa'!$A$12:$A$130,"&lt;"&amp;Diagram!$P44)))</f>
        <v>5</v>
      </c>
      <c r="DJ44" s="42">
        <f ca="1">IF(OR($I$10="",$O44="",$P44="",$J$40&lt;&gt;"Yes"),0,IF($K$10=0,SUMIFS(INDIRECT(ADDRESS(12,3+18*3+(5),,,"J1 C - (South) Bishopthorpe Roa")&amp;":"&amp;ADDRESS(130,3+18*3+(5))),'J1 C - (South) Bishopthorpe Roa'!$A$12:$A$130,"&gt;="&amp;Diagram!$O44,'J1 C - (South) Bishopthorpe Roa'!$A$12:$A$130,"&lt;"&amp;Diagram!$P44),SUMIFS(INDIRECT(ADDRESS(12,3+18*3+(13),,,"J1 C - (South) Bishopthorpe Roa")&amp;":"&amp;ADDRESS(130,3+18*3+(13))),'J1 C - (South) Bishopthorpe Roa'!$A$12:$A$130,"&gt;="&amp;Diagram!$O44,'J1 C - (South) Bishopthorpe Roa'!$A$12:$A$130,"&lt;"&amp;Diagram!$P44)))</f>
        <v>0</v>
      </c>
      <c r="DK44" s="42">
        <f ca="1">IF(OR($I$10="",$O44="",$P44="",$J$40&lt;&gt;"Yes"),0,IF($K$10=0,SUMIFS(INDIRECT(ADDRESS(12,3+18*0+(5),,,"J1 C - (South) Bishopthorpe Roa")&amp;":"&amp;ADDRESS(130,3+18*0+(5))),'J1 C - (South) Bishopthorpe Roa'!$A$12:$A$130,"&gt;="&amp;Diagram!$O44,'J1 C - (South) Bishopthorpe Roa'!$A$12:$A$130,"&lt;"&amp;Diagram!$P44),SUMIFS(INDIRECT(ADDRESS(12,3+18*0+(13),,,"J1 C - (South) Bishopthorpe Roa")&amp;":"&amp;ADDRESS(130,3+18*0+(13))),'J1 C - (South) Bishopthorpe Roa'!$A$12:$A$130,"&gt;="&amp;Diagram!$O44,'J1 C - (South) Bishopthorpe Roa'!$A$12:$A$130,"&lt;"&amp;Diagram!$P44)))</f>
        <v>0</v>
      </c>
      <c r="DL44" s="42">
        <f ca="1">IF(OR($I$10="",$O44="",$P44="",$J$40&lt;&gt;"Yes"),0,IF($K$10=0,SUMIFS(INDIRECT(ADDRESS(12,3+18*0+(5),,,"J1 D - South Bank Avenue")&amp;":"&amp;ADDRESS(130,3+18*0+(5))),'J1 D - South Bank Avenue'!$A$12:$A$130,"&gt;="&amp;Diagram!$O44,'J1 D - South Bank Avenue'!$A$12:$A$130,"&lt;"&amp;Diagram!$P44),SUMIFS(INDIRECT(ADDRESS(12,3+18*0+(13),,,"J1 D - South Bank Avenue")&amp;":"&amp;ADDRESS(130,3+18*0+(13))),'J1 D - South Bank Avenue'!$A$12:$A$130,"&gt;="&amp;Diagram!$O44,'J1 D - South Bank Avenue'!$A$12:$A$130,"&lt;"&amp;Diagram!$P44)))</f>
        <v>5</v>
      </c>
      <c r="DM44" s="42">
        <f ca="1">IF(OR($I$10="",$O44="",$P44="",$J$40&lt;&gt;"Yes"),0,IF($K$10=0,SUMIFS(INDIRECT(ADDRESS(12,3+18*1+(5),,,"J1 D - South Bank Avenue")&amp;":"&amp;ADDRESS(130,3+18*1+(5))),'J1 D - South Bank Avenue'!$A$12:$A$130,"&gt;="&amp;Diagram!$O44,'J1 D - South Bank Avenue'!$A$12:$A$130,"&lt;"&amp;Diagram!$P44),SUMIFS(INDIRECT(ADDRESS(12,3+18*1+(13),,,"J1 D - South Bank Avenue")&amp;":"&amp;ADDRESS(130,3+18*1+(13))),'J1 D - South Bank Avenue'!$A$12:$A$130,"&gt;="&amp;Diagram!$O44,'J1 D - South Bank Avenue'!$A$12:$A$130,"&lt;"&amp;Diagram!$P44)))</f>
        <v>14</v>
      </c>
      <c r="DN44" s="42">
        <f ca="1">IF(OR($I$10="",$O44="",$P44="",$J$40&lt;&gt;"Yes"),0,IF($K$10=0,SUMIFS(INDIRECT(ADDRESS(12,3+18*2+(5),,,"J1 D - South Bank Avenue")&amp;":"&amp;ADDRESS(130,3+18*2+(5))),'J1 D - South Bank Avenue'!$A$12:$A$130,"&gt;="&amp;Diagram!$O44,'J1 D - South Bank Avenue'!$A$12:$A$130,"&lt;"&amp;Diagram!$P44),SUMIFS(INDIRECT(ADDRESS(12,3+18*2+(13),,,"J1 D - South Bank Avenue")&amp;":"&amp;ADDRESS(130,3+18*2+(13))),'J1 D - South Bank Avenue'!$A$12:$A$130,"&gt;="&amp;Diagram!$O44,'J1 D - South Bank Avenue'!$A$12:$A$130,"&lt;"&amp;Diagram!$P44)))</f>
        <v>0</v>
      </c>
      <c r="DO44" s="42">
        <f ca="1">IF(OR($I$10="",$O44="",$P44="",$J$40&lt;&gt;"Yes"),0,IF($K$10=0,SUMIFS(INDIRECT(ADDRESS(12,3+18*3+(5),,,"J1 D - South Bank Avenue")&amp;":"&amp;ADDRESS(130,3+18*3+(5))),'J1 D - South Bank Avenue'!$A$12:$A$130,"&gt;="&amp;Diagram!$O44,'J1 D - South Bank Avenue'!$A$12:$A$130,"&lt;"&amp;Diagram!$P44),SUMIFS(INDIRECT(ADDRESS(12,3+18*3+(13),,,"J1 D - South Bank Avenue")&amp;":"&amp;ADDRESS(130,3+18*3+(13))),'J1 D - South Bank Avenue'!$A$12:$A$130,"&gt;="&amp;Diagram!$O44,'J1 D - South Bank Avenue'!$A$12:$A$130,"&lt;"&amp;Diagram!$P44)))</f>
        <v>0</v>
      </c>
      <c r="DP44" s="42">
        <f t="shared" ca="1" si="7"/>
        <v>4</v>
      </c>
      <c r="DQ44" s="42">
        <f ca="1">IF(OR($I$10="",$O44="",$P44="",$J$41&lt;&gt;"Yes"),0,IF($K$10=0,SUMIFS(INDIRECT(ADDRESS(12,3+18*3+(6),,,"J1 A - (North) Bishopthorpe Roa")&amp;":"&amp;ADDRESS(130,3+18*3+(6))),'J1 A - (North) Bishopthorpe Roa'!$A$12:$A$130,"&gt;="&amp;Diagram!$O44,'J1 A - (North) Bishopthorpe Roa'!$A$12:$A$130,"&lt;"&amp;Diagram!$P44),SUMIFS(INDIRECT(ADDRESS(12,3+18*3+(14),,,"J1 A - (North) Bishopthorpe Roa")&amp;":"&amp;ADDRESS(130,3+18*3+(14))),'J1 A - (North) Bishopthorpe Roa'!$A$12:$A$130,"&gt;="&amp;Diagram!$O44,'J1 A - (North) Bishopthorpe Roa'!$A$12:$A$130,"&lt;"&amp;Diagram!$P44)))</f>
        <v>0</v>
      </c>
      <c r="DR44" s="42">
        <f ca="1">IF(OR($I$10="",$O44="",$P44="",$J$41&lt;&gt;"Yes"),0,IF($K$10=0,SUMIFS(INDIRECT(ADDRESS(12,3+18*0+(6),,,"J1 A - (North) Bishopthorpe Roa")&amp;":"&amp;ADDRESS(130,3+18*0+(6))),'J1 A - (North) Bishopthorpe Roa'!$A$12:$A$130,"&gt;="&amp;Diagram!$O44,'J1 A - (North) Bishopthorpe Roa'!$A$12:$A$130,"&lt;"&amp;Diagram!$P44),SUMIFS(INDIRECT(ADDRESS(12,3+18*0+(14),,,"J1 A - (North) Bishopthorpe Roa")&amp;":"&amp;ADDRESS(130,3+18*0+(14))),'J1 A - (North) Bishopthorpe Roa'!$A$12:$A$130,"&gt;="&amp;Diagram!$O44,'J1 A - (North) Bishopthorpe Roa'!$A$12:$A$130,"&lt;"&amp;Diagram!$P44)))</f>
        <v>0</v>
      </c>
      <c r="DS44" s="42">
        <f ca="1">IF(OR($I$10="",$O44="",$P44="",$J$41&lt;&gt;"Yes"),0,IF($K$10=0,SUMIFS(INDIRECT(ADDRESS(12,3+18*1+(6),,,"J1 A - (North) Bishopthorpe Roa")&amp;":"&amp;ADDRESS(130,3+18*1+(6))),'J1 A - (North) Bishopthorpe Roa'!$A$12:$A$130,"&gt;="&amp;Diagram!$O44,'J1 A - (North) Bishopthorpe Roa'!$A$12:$A$130,"&lt;"&amp;Diagram!$P44),SUMIFS(INDIRECT(ADDRESS(12,3+18*1+(14),,,"J1 A - (North) Bishopthorpe Roa")&amp;":"&amp;ADDRESS(130,3+18*1+(14))),'J1 A - (North) Bishopthorpe Roa'!$A$12:$A$130,"&gt;="&amp;Diagram!$O44,'J1 A - (North) Bishopthorpe Roa'!$A$12:$A$130,"&lt;"&amp;Diagram!$P44)))</f>
        <v>3</v>
      </c>
      <c r="DT44" s="42">
        <f ca="1">IF(OR($I$10="",$O44="",$P44="",$J$41&lt;&gt;"Yes"),0,IF($K$10=0,SUMIFS(INDIRECT(ADDRESS(12,3+18*2+(6),,,"J1 A - (North) Bishopthorpe Roa")&amp;":"&amp;ADDRESS(130,3+18*2+(6))),'J1 A - (North) Bishopthorpe Roa'!$A$12:$A$130,"&gt;="&amp;Diagram!$O44,'J1 A - (North) Bishopthorpe Roa'!$A$12:$A$130,"&lt;"&amp;Diagram!$P44),SUMIFS(INDIRECT(ADDRESS(12,3+18*2+(14),,,"J1 A - (North) Bishopthorpe Roa")&amp;":"&amp;ADDRESS(130,3+18*2+(14))),'J1 A - (North) Bishopthorpe Roa'!$A$12:$A$130,"&gt;="&amp;Diagram!$O44,'J1 A - (North) Bishopthorpe Roa'!$A$12:$A$130,"&lt;"&amp;Diagram!$P44)))</f>
        <v>0</v>
      </c>
      <c r="DU44" s="42">
        <f ca="1">IF(OR($I$10="",$O44="",$P44="",$J$41&lt;&gt;"Yes"),0,IF($K$10=0,SUMIFS(INDIRECT(ADDRESS(12,3+18*2+(6),,,"J1 B - Butcher Terrace")&amp;":"&amp;ADDRESS(130,3+18*2+(6))),'J1 B - Butcher Terrace'!$A$12:$A$130,"&gt;="&amp;Diagram!$O44,'J1 B - Butcher Terrace'!$A$12:$A$130,"&lt;"&amp;Diagram!$P44),SUMIFS(INDIRECT(ADDRESS(12,3+18*2+(14),,,"J1 B - Butcher Terrace")&amp;":"&amp;ADDRESS(130,3+18*2+(14))),'J1 B - Butcher Terrace'!$A$12:$A$130,"&gt;="&amp;Diagram!$O44,'J1 B - Butcher Terrace'!$A$12:$A$130,"&lt;"&amp;Diagram!$P44)))</f>
        <v>0</v>
      </c>
      <c r="DV44" s="42">
        <f ca="1">IF(OR($I$10="",$O44="",$P44="",$J$41&lt;&gt;"Yes"),0,IF($K$10=0,SUMIFS(INDIRECT(ADDRESS(12,3+18*3+(6),,,"J1 B - Butcher Terrace")&amp;":"&amp;ADDRESS(130,3+18*3+(6))),'J1 B - Butcher Terrace'!$A$12:$A$130,"&gt;="&amp;Diagram!$O44,'J1 B - Butcher Terrace'!$A$12:$A$130,"&lt;"&amp;Diagram!$P44),SUMIFS(INDIRECT(ADDRESS(12,3+18*3+(14),,,"J1 B - Butcher Terrace")&amp;":"&amp;ADDRESS(130,3+18*3+(14))),'J1 B - Butcher Terrace'!$A$12:$A$130,"&gt;="&amp;Diagram!$O44,'J1 B - Butcher Terrace'!$A$12:$A$130,"&lt;"&amp;Diagram!$P44)))</f>
        <v>0</v>
      </c>
      <c r="DW44" s="42">
        <f ca="1">IF(OR($I$10="",$O44="",$P44="",$J$41&lt;&gt;"Yes"),0,IF($K$10=0,SUMIFS(INDIRECT(ADDRESS(12,3+18*0+(6),,,"J1 B - Butcher Terrace")&amp;":"&amp;ADDRESS(130,3+18*0+(6))),'J1 B - Butcher Terrace'!$A$12:$A$130,"&gt;="&amp;Diagram!$O44,'J1 B - Butcher Terrace'!$A$12:$A$130,"&lt;"&amp;Diagram!$P44),SUMIFS(INDIRECT(ADDRESS(12,3+18*0+(14),,,"J1 B - Butcher Terrace")&amp;":"&amp;ADDRESS(130,3+18*0+(14))),'J1 B - Butcher Terrace'!$A$12:$A$130,"&gt;="&amp;Diagram!$O44,'J1 B - Butcher Terrace'!$A$12:$A$130,"&lt;"&amp;Diagram!$P44)))</f>
        <v>0</v>
      </c>
      <c r="DX44" s="42">
        <f ca="1">IF(OR($I$10="",$O44="",$P44="",$J$41&lt;&gt;"Yes"),0,IF($K$10=0,SUMIFS(INDIRECT(ADDRESS(12,3+18*1+(6),,,"J1 B - Butcher Terrace")&amp;":"&amp;ADDRESS(130,3+18*1+(6))),'J1 B - Butcher Terrace'!$A$12:$A$130,"&gt;="&amp;Diagram!$O44,'J1 B - Butcher Terrace'!$A$12:$A$130,"&lt;"&amp;Diagram!$P44),SUMIFS(INDIRECT(ADDRESS(12,3+18*1+(14),,,"J1 B - Butcher Terrace")&amp;":"&amp;ADDRESS(130,3+18*1+(14))),'J1 B - Butcher Terrace'!$A$12:$A$130,"&gt;="&amp;Diagram!$O44,'J1 B - Butcher Terrace'!$A$12:$A$130,"&lt;"&amp;Diagram!$P44)))</f>
        <v>0</v>
      </c>
      <c r="DY44" s="42">
        <f ca="1">IF(OR($I$10="",$O44="",$P44="",$J$41&lt;&gt;"Yes"),0,IF($K$10=0,SUMIFS(INDIRECT(ADDRESS(12,3+18*1+(6),,,"J1 C - (South) Bishopthorpe Roa")&amp;":"&amp;ADDRESS(130,3+18*1+(6))),'J1 C - (South) Bishopthorpe Roa'!$A$12:$A$130,"&gt;="&amp;Diagram!$O44,'J1 C - (South) Bishopthorpe Roa'!$A$12:$A$130,"&lt;"&amp;Diagram!$P44),SUMIFS(INDIRECT(ADDRESS(12,3+18*1+(14),,,"J1 C - (South) Bishopthorpe Roa")&amp;":"&amp;ADDRESS(130,3+18*1+(14))),'J1 C - (South) Bishopthorpe Roa'!$A$12:$A$130,"&gt;="&amp;Diagram!$O44,'J1 C - (South) Bishopthorpe Roa'!$A$12:$A$130,"&lt;"&amp;Diagram!$P44)))</f>
        <v>1</v>
      </c>
      <c r="DZ44" s="42">
        <f ca="1">IF(OR($I$10="",$O44="",$P44="",$J$41&lt;&gt;"Yes"),0,IF($K$10=0,SUMIFS(INDIRECT(ADDRESS(12,3+18*2+(6),,,"J1 C - (South) Bishopthorpe Roa")&amp;":"&amp;ADDRESS(130,3+18*2+(6))),'J1 C - (South) Bishopthorpe Roa'!$A$12:$A$130,"&gt;="&amp;Diagram!$O44,'J1 C - (South) Bishopthorpe Roa'!$A$12:$A$130,"&lt;"&amp;Diagram!$P44),SUMIFS(INDIRECT(ADDRESS(12,3+18*2+(14),,,"J1 C - (South) Bishopthorpe Roa")&amp;":"&amp;ADDRESS(130,3+18*2+(14))),'J1 C - (South) Bishopthorpe Roa'!$A$12:$A$130,"&gt;="&amp;Diagram!$O44,'J1 C - (South) Bishopthorpe Roa'!$A$12:$A$130,"&lt;"&amp;Diagram!$P44)))</f>
        <v>0</v>
      </c>
      <c r="EA44" s="42">
        <f ca="1">IF(OR($I$10="",$O44="",$P44="",$J$41&lt;&gt;"Yes"),0,IF($K$10=0,SUMIFS(INDIRECT(ADDRESS(12,3+18*3+(6),,,"J1 C - (South) Bishopthorpe Roa")&amp;":"&amp;ADDRESS(130,3+18*3+(6))),'J1 C - (South) Bishopthorpe Roa'!$A$12:$A$130,"&gt;="&amp;Diagram!$O44,'J1 C - (South) Bishopthorpe Roa'!$A$12:$A$130,"&lt;"&amp;Diagram!$P44),SUMIFS(INDIRECT(ADDRESS(12,3+18*3+(14),,,"J1 C - (South) Bishopthorpe Roa")&amp;":"&amp;ADDRESS(130,3+18*3+(14))),'J1 C - (South) Bishopthorpe Roa'!$A$12:$A$130,"&gt;="&amp;Diagram!$O44,'J1 C - (South) Bishopthorpe Roa'!$A$12:$A$130,"&lt;"&amp;Diagram!$P44)))</f>
        <v>0</v>
      </c>
      <c r="EB44" s="42">
        <f ca="1">IF(OR($I$10="",$O44="",$P44="",$J$41&lt;&gt;"Yes"),0,IF($K$10=0,SUMIFS(INDIRECT(ADDRESS(12,3+18*0+(6),,,"J1 C - (South) Bishopthorpe Roa")&amp;":"&amp;ADDRESS(130,3+18*0+(6))),'J1 C - (South) Bishopthorpe Roa'!$A$12:$A$130,"&gt;="&amp;Diagram!$O44,'J1 C - (South) Bishopthorpe Roa'!$A$12:$A$130,"&lt;"&amp;Diagram!$P44),SUMIFS(INDIRECT(ADDRESS(12,3+18*0+(14),,,"J1 C - (South) Bishopthorpe Roa")&amp;":"&amp;ADDRESS(130,3+18*0+(14))),'J1 C - (South) Bishopthorpe Roa'!$A$12:$A$130,"&gt;="&amp;Diagram!$O44,'J1 C - (South) Bishopthorpe Roa'!$A$12:$A$130,"&lt;"&amp;Diagram!$P44)))</f>
        <v>0</v>
      </c>
      <c r="EC44" s="42">
        <f ca="1">IF(OR($I$10="",$O44="",$P44="",$J$41&lt;&gt;"Yes"),0,IF($K$10=0,SUMIFS(INDIRECT(ADDRESS(12,3+18*0+(6),,,"J1 D - South Bank Avenue")&amp;":"&amp;ADDRESS(130,3+18*0+(6))),'J1 D - South Bank Avenue'!$A$12:$A$130,"&gt;="&amp;Diagram!$O44,'J1 D - South Bank Avenue'!$A$12:$A$130,"&lt;"&amp;Diagram!$P44),SUMIFS(INDIRECT(ADDRESS(12,3+18*0+(14),,,"J1 D - South Bank Avenue")&amp;":"&amp;ADDRESS(130,3+18*0+(14))),'J1 D - South Bank Avenue'!$A$12:$A$130,"&gt;="&amp;Diagram!$O44,'J1 D - South Bank Avenue'!$A$12:$A$130,"&lt;"&amp;Diagram!$P44)))</f>
        <v>0</v>
      </c>
      <c r="ED44" s="42">
        <f ca="1">IF(OR($I$10="",$O44="",$P44="",$J$41&lt;&gt;"Yes"),0,IF($K$10=0,SUMIFS(INDIRECT(ADDRESS(12,3+18*1+(6),,,"J1 D - South Bank Avenue")&amp;":"&amp;ADDRESS(130,3+18*1+(6))),'J1 D - South Bank Avenue'!$A$12:$A$130,"&gt;="&amp;Diagram!$O44,'J1 D - South Bank Avenue'!$A$12:$A$130,"&lt;"&amp;Diagram!$P44),SUMIFS(INDIRECT(ADDRESS(12,3+18*1+(14),,,"J1 D - South Bank Avenue")&amp;":"&amp;ADDRESS(130,3+18*1+(14))),'J1 D - South Bank Avenue'!$A$12:$A$130,"&gt;="&amp;Diagram!$O44,'J1 D - South Bank Avenue'!$A$12:$A$130,"&lt;"&amp;Diagram!$P44)))</f>
        <v>0</v>
      </c>
      <c r="EE44" s="42">
        <f ca="1">IF(OR($I$10="",$O44="",$P44="",$J$41&lt;&gt;"Yes"),0,IF($K$10=0,SUMIFS(INDIRECT(ADDRESS(12,3+18*2+(6),,,"J1 D - South Bank Avenue")&amp;":"&amp;ADDRESS(130,3+18*2+(6))),'J1 D - South Bank Avenue'!$A$12:$A$130,"&gt;="&amp;Diagram!$O44,'J1 D - South Bank Avenue'!$A$12:$A$130,"&lt;"&amp;Diagram!$P44),SUMIFS(INDIRECT(ADDRESS(12,3+18*2+(14),,,"J1 D - South Bank Avenue")&amp;":"&amp;ADDRESS(130,3+18*2+(14))),'J1 D - South Bank Avenue'!$A$12:$A$130,"&gt;="&amp;Diagram!$O44,'J1 D - South Bank Avenue'!$A$12:$A$130,"&lt;"&amp;Diagram!$P44)))</f>
        <v>0</v>
      </c>
      <c r="EF44" s="42">
        <f ca="1">IF(OR($I$10="",$O44="",$P44="",$J$41&lt;&gt;"Yes"),0,IF($K$10=0,SUMIFS(INDIRECT(ADDRESS(12,3+18*3+(6),,,"J1 D - South Bank Avenue")&amp;":"&amp;ADDRESS(130,3+18*3+(6))),'J1 D - South Bank Avenue'!$A$12:$A$130,"&gt;="&amp;Diagram!$O44,'J1 D - South Bank Avenue'!$A$12:$A$130,"&lt;"&amp;Diagram!$P44),SUMIFS(INDIRECT(ADDRESS(12,3+18*3+(14),,,"J1 D - South Bank Avenue")&amp;":"&amp;ADDRESS(130,3+18*3+(14))),'J1 D - South Bank Avenue'!$A$12:$A$130,"&gt;="&amp;Diagram!$O44,'J1 D - South Bank Avenue'!$A$12:$A$130,"&lt;"&amp;Diagram!$P44)))</f>
        <v>0</v>
      </c>
      <c r="EG44" s="42">
        <f t="shared" ca="1" si="8"/>
        <v>3</v>
      </c>
      <c r="EH44" s="42">
        <f ca="1">IF(OR($I$10="",$O44="",$P44="",$J$42&lt;&gt;"Yes"),0,IF($K$10=0,SUMIFS(INDIRECT(ADDRESS(12,3+18*3+(7),,,"J1 A - (North) Bishopthorpe Roa")&amp;":"&amp;ADDRESS(130,3+18*3+(7))),'J1 A - (North) Bishopthorpe Roa'!$A$12:$A$130,"&gt;="&amp;Diagram!$O44,'J1 A - (North) Bishopthorpe Roa'!$A$12:$A$130,"&lt;"&amp;Diagram!$P44),SUMIFS(INDIRECT(ADDRESS(12,3+18*3+(15),,,"J1 A - (North) Bishopthorpe Roa")&amp;":"&amp;ADDRESS(130,3+18*3+(15))),'J1 A - (North) Bishopthorpe Roa'!$A$12:$A$130,"&gt;="&amp;Diagram!$O44,'J1 A - (North) Bishopthorpe Roa'!$A$12:$A$130,"&lt;"&amp;Diagram!$P44)))</f>
        <v>0</v>
      </c>
      <c r="EI44" s="42">
        <f ca="1">IF(OR($I$10="",$O44="",$P44="",$J$42&lt;&gt;"Yes"),0,IF($K$10=0,SUMIFS(INDIRECT(ADDRESS(12,3+18*0+(7),,,"J1 A - (North) Bishopthorpe Roa")&amp;":"&amp;ADDRESS(130,3+18*0+(7))),'J1 A - (North) Bishopthorpe Roa'!$A$12:$A$130,"&gt;="&amp;Diagram!$O44,'J1 A - (North) Bishopthorpe Roa'!$A$12:$A$130,"&lt;"&amp;Diagram!$P44),SUMIFS(INDIRECT(ADDRESS(12,3+18*0+(15),,,"J1 A - (North) Bishopthorpe Roa")&amp;":"&amp;ADDRESS(130,3+18*0+(15))),'J1 A - (North) Bishopthorpe Roa'!$A$12:$A$130,"&gt;="&amp;Diagram!$O44,'J1 A - (North) Bishopthorpe Roa'!$A$12:$A$130,"&lt;"&amp;Diagram!$P44)))</f>
        <v>0</v>
      </c>
      <c r="EJ44" s="42">
        <f ca="1">IF(OR($I$10="",$O44="",$P44="",$J$42&lt;&gt;"Yes"),0,IF($K$10=0,SUMIFS(INDIRECT(ADDRESS(12,3+18*1+(7),,,"J1 A - (North) Bishopthorpe Roa")&amp;":"&amp;ADDRESS(130,3+18*1+(7))),'J1 A - (North) Bishopthorpe Roa'!$A$12:$A$130,"&gt;="&amp;Diagram!$O44,'J1 A - (North) Bishopthorpe Roa'!$A$12:$A$130,"&lt;"&amp;Diagram!$P44),SUMIFS(INDIRECT(ADDRESS(12,3+18*1+(15),,,"J1 A - (North) Bishopthorpe Roa")&amp;":"&amp;ADDRESS(130,3+18*1+(15))),'J1 A - (North) Bishopthorpe Roa'!$A$12:$A$130,"&gt;="&amp;Diagram!$O44,'J1 A - (North) Bishopthorpe Roa'!$A$12:$A$130,"&lt;"&amp;Diagram!$P44)))</f>
        <v>1</v>
      </c>
      <c r="EK44" s="42">
        <f ca="1">IF(OR($I$10="",$O44="",$P44="",$J$42&lt;&gt;"Yes"),0,IF($K$10=0,SUMIFS(INDIRECT(ADDRESS(12,3+18*2+(7),,,"J1 A - (North) Bishopthorpe Roa")&amp;":"&amp;ADDRESS(130,3+18*2+(7))),'J1 A - (North) Bishopthorpe Roa'!$A$12:$A$130,"&gt;="&amp;Diagram!$O44,'J1 A - (North) Bishopthorpe Roa'!$A$12:$A$130,"&lt;"&amp;Diagram!$P44),SUMIFS(INDIRECT(ADDRESS(12,3+18*2+(15),,,"J1 A - (North) Bishopthorpe Roa")&amp;":"&amp;ADDRESS(130,3+18*2+(15))),'J1 A - (North) Bishopthorpe Roa'!$A$12:$A$130,"&gt;="&amp;Diagram!$O44,'J1 A - (North) Bishopthorpe Roa'!$A$12:$A$130,"&lt;"&amp;Diagram!$P44)))</f>
        <v>0</v>
      </c>
      <c r="EL44" s="42">
        <f ca="1">IF(OR($I$10="",$O44="",$P44="",$J$42&lt;&gt;"Yes"),0,IF($K$10=0,SUMIFS(INDIRECT(ADDRESS(12,3+18*2+(7),,,"J1 B - Butcher Terrace")&amp;":"&amp;ADDRESS(130,3+18*2+(7))),'J1 B - Butcher Terrace'!$A$12:$A$130,"&gt;="&amp;Diagram!$O44,'J1 B - Butcher Terrace'!$A$12:$A$130,"&lt;"&amp;Diagram!$P44),SUMIFS(INDIRECT(ADDRESS(12,3+18*2+(15),,,"J1 B - Butcher Terrace")&amp;":"&amp;ADDRESS(130,3+18*2+(15))),'J1 B - Butcher Terrace'!$A$12:$A$130,"&gt;="&amp;Diagram!$O44,'J1 B - Butcher Terrace'!$A$12:$A$130,"&lt;"&amp;Diagram!$P44)))</f>
        <v>1</v>
      </c>
      <c r="EM44" s="42">
        <f ca="1">IF(OR($I$10="",$O44="",$P44="",$J$42&lt;&gt;"Yes"),0,IF($K$10=0,SUMIFS(INDIRECT(ADDRESS(12,3+18*3+(7),,,"J1 B - Butcher Terrace")&amp;":"&amp;ADDRESS(130,3+18*3+(7))),'J1 B - Butcher Terrace'!$A$12:$A$130,"&gt;="&amp;Diagram!$O44,'J1 B - Butcher Terrace'!$A$12:$A$130,"&lt;"&amp;Diagram!$P44),SUMIFS(INDIRECT(ADDRESS(12,3+18*3+(15),,,"J1 B - Butcher Terrace")&amp;":"&amp;ADDRESS(130,3+18*3+(15))),'J1 B - Butcher Terrace'!$A$12:$A$130,"&gt;="&amp;Diagram!$O44,'J1 B - Butcher Terrace'!$A$12:$A$130,"&lt;"&amp;Diagram!$P44)))</f>
        <v>0</v>
      </c>
      <c r="EN44" s="42">
        <f ca="1">IF(OR($I$10="",$O44="",$P44="",$J$42&lt;&gt;"Yes"),0,IF($K$10=0,SUMIFS(INDIRECT(ADDRESS(12,3+18*0+(7),,,"J1 B - Butcher Terrace")&amp;":"&amp;ADDRESS(130,3+18*0+(7))),'J1 B - Butcher Terrace'!$A$12:$A$130,"&gt;="&amp;Diagram!$O44,'J1 B - Butcher Terrace'!$A$12:$A$130,"&lt;"&amp;Diagram!$P44),SUMIFS(INDIRECT(ADDRESS(12,3+18*0+(15),,,"J1 B - Butcher Terrace")&amp;":"&amp;ADDRESS(130,3+18*0+(15))),'J1 B - Butcher Terrace'!$A$12:$A$130,"&gt;="&amp;Diagram!$O44,'J1 B - Butcher Terrace'!$A$12:$A$130,"&lt;"&amp;Diagram!$P44)))</f>
        <v>0</v>
      </c>
      <c r="EO44" s="42">
        <f ca="1">IF(OR($I$10="",$O44="",$P44="",$J$42&lt;&gt;"Yes"),0,IF($K$10=0,SUMIFS(INDIRECT(ADDRESS(12,3+18*1+(7),,,"J1 B - Butcher Terrace")&amp;":"&amp;ADDRESS(130,3+18*1+(7))),'J1 B - Butcher Terrace'!$A$12:$A$130,"&gt;="&amp;Diagram!$O44,'J1 B - Butcher Terrace'!$A$12:$A$130,"&lt;"&amp;Diagram!$P44),SUMIFS(INDIRECT(ADDRESS(12,3+18*1+(15),,,"J1 B - Butcher Terrace")&amp;":"&amp;ADDRESS(130,3+18*1+(15))),'J1 B - Butcher Terrace'!$A$12:$A$130,"&gt;="&amp;Diagram!$O44,'J1 B - Butcher Terrace'!$A$12:$A$130,"&lt;"&amp;Diagram!$P44)))</f>
        <v>0</v>
      </c>
      <c r="EP44" s="42">
        <f ca="1">IF(OR($I$10="",$O44="",$P44="",$J$42&lt;&gt;"Yes"),0,IF($K$10=0,SUMIFS(INDIRECT(ADDRESS(12,3+18*1+(7),,,"J1 C - (South) Bishopthorpe Roa")&amp;":"&amp;ADDRESS(130,3+18*1+(7))),'J1 C - (South) Bishopthorpe Roa'!$A$12:$A$130,"&gt;="&amp;Diagram!$O44,'J1 C - (South) Bishopthorpe Roa'!$A$12:$A$130,"&lt;"&amp;Diagram!$P44),SUMIFS(INDIRECT(ADDRESS(12,3+18*1+(15),,,"J1 C - (South) Bishopthorpe Roa")&amp;":"&amp;ADDRESS(130,3+18*1+(15))),'J1 C - (South) Bishopthorpe Roa'!$A$12:$A$130,"&gt;="&amp;Diagram!$O44,'J1 C - (South) Bishopthorpe Roa'!$A$12:$A$130,"&lt;"&amp;Diagram!$P44)))</f>
        <v>0</v>
      </c>
      <c r="EQ44" s="42">
        <f ca="1">IF(OR($I$10="",$O44="",$P44="",$J$42&lt;&gt;"Yes"),0,IF($K$10=0,SUMIFS(INDIRECT(ADDRESS(12,3+18*2+(7),,,"J1 C - (South) Bishopthorpe Roa")&amp;":"&amp;ADDRESS(130,3+18*2+(7))),'J1 C - (South) Bishopthorpe Roa'!$A$12:$A$130,"&gt;="&amp;Diagram!$O44,'J1 C - (South) Bishopthorpe Roa'!$A$12:$A$130,"&lt;"&amp;Diagram!$P44),SUMIFS(INDIRECT(ADDRESS(12,3+18*2+(15),,,"J1 C - (South) Bishopthorpe Roa")&amp;":"&amp;ADDRESS(130,3+18*2+(15))),'J1 C - (South) Bishopthorpe Roa'!$A$12:$A$130,"&gt;="&amp;Diagram!$O44,'J1 C - (South) Bishopthorpe Roa'!$A$12:$A$130,"&lt;"&amp;Diagram!$P44)))</f>
        <v>1</v>
      </c>
      <c r="ER44" s="42">
        <f ca="1">IF(OR($I$10="",$O44="",$P44="",$J$42&lt;&gt;"Yes"),0,IF($K$10=0,SUMIFS(INDIRECT(ADDRESS(12,3+18*3+(7),,,"J1 C - (South) Bishopthorpe Roa")&amp;":"&amp;ADDRESS(130,3+18*3+(7))),'J1 C - (South) Bishopthorpe Roa'!$A$12:$A$130,"&gt;="&amp;Diagram!$O44,'J1 C - (South) Bishopthorpe Roa'!$A$12:$A$130,"&lt;"&amp;Diagram!$P44),SUMIFS(INDIRECT(ADDRESS(12,3+18*3+(15),,,"J1 C - (South) Bishopthorpe Roa")&amp;":"&amp;ADDRESS(130,3+18*3+(15))),'J1 C - (South) Bishopthorpe Roa'!$A$12:$A$130,"&gt;="&amp;Diagram!$O44,'J1 C - (South) Bishopthorpe Roa'!$A$12:$A$130,"&lt;"&amp;Diagram!$P44)))</f>
        <v>0</v>
      </c>
      <c r="ES44" s="42">
        <f ca="1">IF(OR($I$10="",$O44="",$P44="",$J$42&lt;&gt;"Yes"),0,IF($K$10=0,SUMIFS(INDIRECT(ADDRESS(12,3+18*0+(7),,,"J1 C - (South) Bishopthorpe Roa")&amp;":"&amp;ADDRESS(130,3+18*0+(7))),'J1 C - (South) Bishopthorpe Roa'!$A$12:$A$130,"&gt;="&amp;Diagram!$O44,'J1 C - (South) Bishopthorpe Roa'!$A$12:$A$130,"&lt;"&amp;Diagram!$P44),SUMIFS(INDIRECT(ADDRESS(12,3+18*0+(15),,,"J1 C - (South) Bishopthorpe Roa")&amp;":"&amp;ADDRESS(130,3+18*0+(15))),'J1 C - (South) Bishopthorpe Roa'!$A$12:$A$130,"&gt;="&amp;Diagram!$O44,'J1 C - (South) Bishopthorpe Roa'!$A$12:$A$130,"&lt;"&amp;Diagram!$P44)))</f>
        <v>0</v>
      </c>
      <c r="ET44" s="42">
        <f ca="1">IF(OR($I$10="",$O44="",$P44="",$J$42&lt;&gt;"Yes"),0,IF($K$10=0,SUMIFS(INDIRECT(ADDRESS(12,3+18*0+(7),,,"J1 D - South Bank Avenue")&amp;":"&amp;ADDRESS(130,3+18*0+(7))),'J1 D - South Bank Avenue'!$A$12:$A$130,"&gt;="&amp;Diagram!$O44,'J1 D - South Bank Avenue'!$A$12:$A$130,"&lt;"&amp;Diagram!$P44),SUMIFS(INDIRECT(ADDRESS(12,3+18*0+(15),,,"J1 D - South Bank Avenue")&amp;":"&amp;ADDRESS(130,3+18*0+(15))),'J1 D - South Bank Avenue'!$A$12:$A$130,"&gt;="&amp;Diagram!$O44,'J1 D - South Bank Avenue'!$A$12:$A$130,"&lt;"&amp;Diagram!$P44)))</f>
        <v>0</v>
      </c>
      <c r="EU44" s="42">
        <f ca="1">IF(OR($I$10="",$O44="",$P44="",$J$42&lt;&gt;"Yes"),0,IF($K$10=0,SUMIFS(INDIRECT(ADDRESS(12,3+18*1+(7),,,"J1 D - South Bank Avenue")&amp;":"&amp;ADDRESS(130,3+18*1+(7))),'J1 D - South Bank Avenue'!$A$12:$A$130,"&gt;="&amp;Diagram!$O44,'J1 D - South Bank Avenue'!$A$12:$A$130,"&lt;"&amp;Diagram!$P44),SUMIFS(INDIRECT(ADDRESS(12,3+18*1+(15),,,"J1 D - South Bank Avenue")&amp;":"&amp;ADDRESS(130,3+18*1+(15))),'J1 D - South Bank Avenue'!$A$12:$A$130,"&gt;="&amp;Diagram!$O44,'J1 D - South Bank Avenue'!$A$12:$A$130,"&lt;"&amp;Diagram!$P44)))</f>
        <v>0</v>
      </c>
      <c r="EV44" s="42">
        <f ca="1">IF(OR($I$10="",$O44="",$P44="",$J$42&lt;&gt;"Yes"),0,IF($K$10=0,SUMIFS(INDIRECT(ADDRESS(12,3+18*2+(7),,,"J1 D - South Bank Avenue")&amp;":"&amp;ADDRESS(130,3+18*2+(7))),'J1 D - South Bank Avenue'!$A$12:$A$130,"&gt;="&amp;Diagram!$O44,'J1 D - South Bank Avenue'!$A$12:$A$130,"&lt;"&amp;Diagram!$P44),SUMIFS(INDIRECT(ADDRESS(12,3+18*2+(15),,,"J1 D - South Bank Avenue")&amp;":"&amp;ADDRESS(130,3+18*2+(15))),'J1 D - South Bank Avenue'!$A$12:$A$130,"&gt;="&amp;Diagram!$O44,'J1 D - South Bank Avenue'!$A$12:$A$130,"&lt;"&amp;Diagram!$P44)))</f>
        <v>0</v>
      </c>
      <c r="EW44" s="42">
        <f ca="1">IF(OR($I$10="",$O44="",$P44="",$J$42&lt;&gt;"Yes"),0,IF($K$10=0,SUMIFS(INDIRECT(ADDRESS(12,3+18*3+(7),,,"J1 D - South Bank Avenue")&amp;":"&amp;ADDRESS(130,3+18*3+(7))),'J1 D - South Bank Avenue'!$A$12:$A$130,"&gt;="&amp;Diagram!$O44,'J1 D - South Bank Avenue'!$A$12:$A$130,"&lt;"&amp;Diagram!$P44),SUMIFS(INDIRECT(ADDRESS(12,3+18*3+(15),,,"J1 D - South Bank Avenue")&amp;":"&amp;ADDRESS(130,3+18*3+(15))),'J1 D - South Bank Avenue'!$A$12:$A$130,"&gt;="&amp;Diagram!$O44,'J1 D - South Bank Avenue'!$A$12:$A$130,"&lt;"&amp;Diagram!$P44)))</f>
        <v>0</v>
      </c>
    </row>
    <row r="45" spans="1:153">
      <c r="A45" s="1">
        <v>44395.458333333299</v>
      </c>
      <c r="B45" s="1">
        <v>44395.46875</v>
      </c>
      <c r="O45" s="3">
        <v>44395.458333333299</v>
      </c>
      <c r="P45" s="3">
        <v>44395.5</v>
      </c>
      <c r="Q45" s="42">
        <f t="shared" ca="1" si="0"/>
        <v>598</v>
      </c>
      <c r="R45" s="42">
        <f t="shared" ca="1" si="1"/>
        <v>438</v>
      </c>
      <c r="S45" s="42">
        <f ca="1">IF(OR($I$10="",$O45="",$P45="",$J$35&lt;&gt;"Yes"),0,IF($K$10=0,SUMIFS(INDIRECT(ADDRESS(12,3+18*3+(0),,,"J1 A - (North) Bishopthorpe Roa")&amp;":"&amp;ADDRESS(130,3+18*3+(0))),'J1 A - (North) Bishopthorpe Roa'!$A$12:$A$130,"&gt;="&amp;Diagram!$O45,'J1 A - (North) Bishopthorpe Roa'!$A$12:$A$130,"&lt;"&amp;Diagram!$P45),SUMIFS(INDIRECT(ADDRESS(12,3+18*3+(8),,,"J1 A - (North) Bishopthorpe Roa")&amp;":"&amp;ADDRESS(130,3+18*3+(8))),'J1 A - (North) Bishopthorpe Roa'!$A$12:$A$130,"&gt;="&amp;Diagram!$O45,'J1 A - (North) Bishopthorpe Roa'!$A$12:$A$130,"&lt;"&amp;Diagram!$P45)))</f>
        <v>3</v>
      </c>
      <c r="T45" s="42">
        <f ca="1">IF(OR($I$10="",$O45="",$P45="",$J$35&lt;&gt;"Yes"),0,IF($K$10=0,SUMIFS(INDIRECT(ADDRESS(12,3+18*0+(0),,,"J1 A - (North) Bishopthorpe Roa")&amp;":"&amp;ADDRESS(130,3+18*0+(0))),'J1 A - (North) Bishopthorpe Roa'!$A$12:$A$130,"&gt;="&amp;Diagram!$O45,'J1 A - (North) Bishopthorpe Roa'!$A$12:$A$130,"&lt;"&amp;Diagram!$P45),SUMIFS(INDIRECT(ADDRESS(12,3+18*0+(8),,,"J1 A - (North) Bishopthorpe Roa")&amp;":"&amp;ADDRESS(130,3+18*0+(8))),'J1 A - (North) Bishopthorpe Roa'!$A$12:$A$130,"&gt;="&amp;Diagram!$O45,'J1 A - (North) Bishopthorpe Roa'!$A$12:$A$130,"&lt;"&amp;Diagram!$P45)))</f>
        <v>15</v>
      </c>
      <c r="U45" s="42">
        <f ca="1">IF(OR($I$10="",$O45="",$P45="",$J$35&lt;&gt;"Yes"),0,IF($K$10=0,SUMIFS(INDIRECT(ADDRESS(12,3+18*1+(0),,,"J1 A - (North) Bishopthorpe Roa")&amp;":"&amp;ADDRESS(130,3+18*1+(0))),'J1 A - (North) Bishopthorpe Roa'!$A$12:$A$130,"&gt;="&amp;Diagram!$O45,'J1 A - (North) Bishopthorpe Roa'!$A$12:$A$130,"&lt;"&amp;Diagram!$P45),SUMIFS(INDIRECT(ADDRESS(12,3+18*1+(8),,,"J1 A - (North) Bishopthorpe Roa")&amp;":"&amp;ADDRESS(130,3+18*1+(8))),'J1 A - (North) Bishopthorpe Roa'!$A$12:$A$130,"&gt;="&amp;Diagram!$O45,'J1 A - (North) Bishopthorpe Roa'!$A$12:$A$130,"&lt;"&amp;Diagram!$P45)))</f>
        <v>182</v>
      </c>
      <c r="V45" s="42">
        <f ca="1">IF(OR($I$10="",$O45="",$P45="",$J$35&lt;&gt;"Yes"),0,IF($K$10=0,SUMIFS(INDIRECT(ADDRESS(12,3+18*2+(0),,,"J1 A - (North) Bishopthorpe Roa")&amp;":"&amp;ADDRESS(130,3+18*2+(0))),'J1 A - (North) Bishopthorpe Roa'!$A$12:$A$130,"&gt;="&amp;Diagram!$O45,'J1 A - (North) Bishopthorpe Roa'!$A$12:$A$130,"&lt;"&amp;Diagram!$P45),SUMIFS(INDIRECT(ADDRESS(12,3+18*2+(8),,,"J1 A - (North) Bishopthorpe Roa")&amp;":"&amp;ADDRESS(130,3+18*2+(8))),'J1 A - (North) Bishopthorpe Roa'!$A$12:$A$130,"&gt;="&amp;Diagram!$O45,'J1 A - (North) Bishopthorpe Roa'!$A$12:$A$130,"&lt;"&amp;Diagram!$P45)))</f>
        <v>20</v>
      </c>
      <c r="W45" s="42">
        <f ca="1">IF(OR($I$10="",$O45="",$P45="",$J$35&lt;&gt;"Yes"),0,IF($K$10=0,SUMIFS(INDIRECT(ADDRESS(12,3+18*2+(0),,,"J1 B - Butcher Terrace")&amp;":"&amp;ADDRESS(130,3+18*2+(0))),'J1 B - Butcher Terrace'!$A$12:$A$130,"&gt;="&amp;Diagram!$O45,'J1 B - Butcher Terrace'!$A$12:$A$130,"&lt;"&amp;Diagram!$P45),SUMIFS(INDIRECT(ADDRESS(12,3+18*2+(8),,,"J1 B - Butcher Terrace")&amp;":"&amp;ADDRESS(130,3+18*2+(8))),'J1 B - Butcher Terrace'!$A$12:$A$130,"&gt;="&amp;Diagram!$O45,'J1 B - Butcher Terrace'!$A$12:$A$130,"&lt;"&amp;Diagram!$P45)))</f>
        <v>13</v>
      </c>
      <c r="X45" s="42">
        <f ca="1">IF(OR($I$10="",$O45="",$P45="",$J$35&lt;&gt;"Yes"),0,IF($K$10=0,SUMIFS(INDIRECT(ADDRESS(12,3+18*3+(0),,,"J1 B - Butcher Terrace")&amp;":"&amp;ADDRESS(130,3+18*3+(0))),'J1 B - Butcher Terrace'!$A$12:$A$130,"&gt;="&amp;Diagram!$O45,'J1 B - Butcher Terrace'!$A$12:$A$130,"&lt;"&amp;Diagram!$P45),SUMIFS(INDIRECT(ADDRESS(12,3+18*3+(8),,,"J1 B - Butcher Terrace")&amp;":"&amp;ADDRESS(130,3+18*3+(8))),'J1 B - Butcher Terrace'!$A$12:$A$130,"&gt;="&amp;Diagram!$O45,'J1 B - Butcher Terrace'!$A$12:$A$130,"&lt;"&amp;Diagram!$P45)))</f>
        <v>0</v>
      </c>
      <c r="Y45" s="42">
        <f ca="1">IF(OR($I$10="",$O45="",$P45="",$J$35&lt;&gt;"Yes"),0,IF($K$10=0,SUMIFS(INDIRECT(ADDRESS(12,3+18*0+(0),,,"J1 B - Butcher Terrace")&amp;":"&amp;ADDRESS(130,3+18*0+(0))),'J1 B - Butcher Terrace'!$A$12:$A$130,"&gt;="&amp;Diagram!$O45,'J1 B - Butcher Terrace'!$A$12:$A$130,"&lt;"&amp;Diagram!$P45),SUMIFS(INDIRECT(ADDRESS(12,3+18*0+(8),,,"J1 B - Butcher Terrace")&amp;":"&amp;ADDRESS(130,3+18*0+(8))),'J1 B - Butcher Terrace'!$A$12:$A$130,"&gt;="&amp;Diagram!$O45,'J1 B - Butcher Terrace'!$A$12:$A$130,"&lt;"&amp;Diagram!$P45)))</f>
        <v>11</v>
      </c>
      <c r="Z45" s="42">
        <f ca="1">IF(OR($I$10="",$O45="",$P45="",$J$35&lt;&gt;"Yes"),0,IF($K$10=0,SUMIFS(INDIRECT(ADDRESS(12,3+18*1+(0),,,"J1 B - Butcher Terrace")&amp;":"&amp;ADDRESS(130,3+18*1+(0))),'J1 B - Butcher Terrace'!$A$12:$A$130,"&gt;="&amp;Diagram!$O45,'J1 B - Butcher Terrace'!$A$12:$A$130,"&lt;"&amp;Diagram!$P45),SUMIFS(INDIRECT(ADDRESS(12,3+18*1+(8),,,"J1 B - Butcher Terrace")&amp;":"&amp;ADDRESS(130,3+18*1+(8))),'J1 B - Butcher Terrace'!$A$12:$A$130,"&gt;="&amp;Diagram!$O45,'J1 B - Butcher Terrace'!$A$12:$A$130,"&lt;"&amp;Diagram!$P45)))</f>
        <v>0</v>
      </c>
      <c r="AA45" s="42">
        <f ca="1">IF(OR($I$10="",$O45="",$P45="",$J$35&lt;&gt;"Yes"),0,IF($K$10=0,SUMIFS(INDIRECT(ADDRESS(12,3+18*1+(0),,,"J1 C - (South) Bishopthorpe Roa")&amp;":"&amp;ADDRESS(130,3+18*1+(0))),'J1 C - (South) Bishopthorpe Roa'!$A$12:$A$130,"&gt;="&amp;Diagram!$O45,'J1 C - (South) Bishopthorpe Roa'!$A$12:$A$130,"&lt;"&amp;Diagram!$P45),SUMIFS(INDIRECT(ADDRESS(12,3+18*1+(8),,,"J1 C - (South) Bishopthorpe Roa")&amp;":"&amp;ADDRESS(130,3+18*1+(8))),'J1 C - (South) Bishopthorpe Roa'!$A$12:$A$130,"&gt;="&amp;Diagram!$O45,'J1 C - (South) Bishopthorpe Roa'!$A$12:$A$130,"&lt;"&amp;Diagram!$P45)))</f>
        <v>162</v>
      </c>
      <c r="AB45" s="42">
        <f ca="1">IF(OR($I$10="",$O45="",$P45="",$J$35&lt;&gt;"Yes"),0,IF($K$10=0,SUMIFS(INDIRECT(ADDRESS(12,3+18*2+(0),,,"J1 C - (South) Bishopthorpe Roa")&amp;":"&amp;ADDRESS(130,3+18*2+(0))),'J1 C - (South) Bishopthorpe Roa'!$A$12:$A$130,"&gt;="&amp;Diagram!$O45,'J1 C - (South) Bishopthorpe Roa'!$A$12:$A$130,"&lt;"&amp;Diagram!$P45),SUMIFS(INDIRECT(ADDRESS(12,3+18*2+(8),,,"J1 C - (South) Bishopthorpe Roa")&amp;":"&amp;ADDRESS(130,3+18*2+(8))),'J1 C - (South) Bishopthorpe Roa'!$A$12:$A$130,"&gt;="&amp;Diagram!$O45,'J1 C - (South) Bishopthorpe Roa'!$A$12:$A$130,"&lt;"&amp;Diagram!$P45)))</f>
        <v>2</v>
      </c>
      <c r="AC45" s="42">
        <f ca="1">IF(OR($I$10="",$O45="",$P45="",$J$35&lt;&gt;"Yes"),0,IF($K$10=0,SUMIFS(INDIRECT(ADDRESS(12,3+18*3+(0),,,"J1 C - (South) Bishopthorpe Roa")&amp;":"&amp;ADDRESS(130,3+18*3+(0))),'J1 C - (South) Bishopthorpe Roa'!$A$12:$A$130,"&gt;="&amp;Diagram!$O45,'J1 C - (South) Bishopthorpe Roa'!$A$12:$A$130,"&lt;"&amp;Diagram!$P45),SUMIFS(INDIRECT(ADDRESS(12,3+18*3+(8),,,"J1 C - (South) Bishopthorpe Roa")&amp;":"&amp;ADDRESS(130,3+18*3+(8))),'J1 C - (South) Bishopthorpe Roa'!$A$12:$A$130,"&gt;="&amp;Diagram!$O45,'J1 C - (South) Bishopthorpe Roa'!$A$12:$A$130,"&lt;"&amp;Diagram!$P45)))</f>
        <v>0</v>
      </c>
      <c r="AD45" s="42">
        <f ca="1">IF(OR($I$10="",$O45="",$P45="",$J$35&lt;&gt;"Yes"),0,IF($K$10=0,SUMIFS(INDIRECT(ADDRESS(12,3+18*0+(0),,,"J1 C - (South) Bishopthorpe Roa")&amp;":"&amp;ADDRESS(130,3+18*0+(0))),'J1 C - (South) Bishopthorpe Roa'!$A$12:$A$130,"&gt;="&amp;Diagram!$O45,'J1 C - (South) Bishopthorpe Roa'!$A$12:$A$130,"&lt;"&amp;Diagram!$P45),SUMIFS(INDIRECT(ADDRESS(12,3+18*0+(8),,,"J1 C - (South) Bishopthorpe Roa")&amp;":"&amp;ADDRESS(130,3+18*0+(8))),'J1 C - (South) Bishopthorpe Roa'!$A$12:$A$130,"&gt;="&amp;Diagram!$O45,'J1 C - (South) Bishopthorpe Roa'!$A$12:$A$130,"&lt;"&amp;Diagram!$P45)))</f>
        <v>4</v>
      </c>
      <c r="AE45" s="42">
        <f ca="1">IF(OR($I$10="",$O45="",$P45="",$J$35&lt;&gt;"Yes"),0,IF($K$10=0,SUMIFS(INDIRECT(ADDRESS(12,3+18*0+(0),,,"J1 D - South Bank Avenue")&amp;":"&amp;ADDRESS(130,3+18*0+(0))),'J1 D - South Bank Avenue'!$A$12:$A$130,"&gt;="&amp;Diagram!$O45,'J1 D - South Bank Avenue'!$A$12:$A$130,"&lt;"&amp;Diagram!$P45),SUMIFS(INDIRECT(ADDRESS(12,3+18*0+(8),,,"J1 D - South Bank Avenue")&amp;":"&amp;ADDRESS(130,3+18*0+(8))),'J1 D - South Bank Avenue'!$A$12:$A$130,"&gt;="&amp;Diagram!$O45,'J1 D - South Bank Avenue'!$A$12:$A$130,"&lt;"&amp;Diagram!$P45)))</f>
        <v>22</v>
      </c>
      <c r="AF45" s="42">
        <f ca="1">IF(OR($I$10="",$O45="",$P45="",$J$35&lt;&gt;"Yes"),0,IF($K$10=0,SUMIFS(INDIRECT(ADDRESS(12,3+18*1+(0),,,"J1 D - South Bank Avenue")&amp;":"&amp;ADDRESS(130,3+18*1+(0))),'J1 D - South Bank Avenue'!$A$12:$A$130,"&gt;="&amp;Diagram!$O45,'J1 D - South Bank Avenue'!$A$12:$A$130,"&lt;"&amp;Diagram!$P45),SUMIFS(INDIRECT(ADDRESS(12,3+18*1+(8),,,"J1 D - South Bank Avenue")&amp;":"&amp;ADDRESS(130,3+18*1+(8))),'J1 D - South Bank Avenue'!$A$12:$A$130,"&gt;="&amp;Diagram!$O45,'J1 D - South Bank Avenue'!$A$12:$A$130,"&lt;"&amp;Diagram!$P45)))</f>
        <v>1</v>
      </c>
      <c r="AG45" s="42">
        <f ca="1">IF(OR($I$10="",$O45="",$P45="",$J$35&lt;&gt;"Yes"),0,IF($K$10=0,SUMIFS(INDIRECT(ADDRESS(12,3+18*2+(0),,,"J1 D - South Bank Avenue")&amp;":"&amp;ADDRESS(130,3+18*2+(0))),'J1 D - South Bank Avenue'!$A$12:$A$130,"&gt;="&amp;Diagram!$O45,'J1 D - South Bank Avenue'!$A$12:$A$130,"&lt;"&amp;Diagram!$P45),SUMIFS(INDIRECT(ADDRESS(12,3+18*2+(8),,,"J1 D - South Bank Avenue")&amp;":"&amp;ADDRESS(130,3+18*2+(8))),'J1 D - South Bank Avenue'!$A$12:$A$130,"&gt;="&amp;Diagram!$O45,'J1 D - South Bank Avenue'!$A$12:$A$130,"&lt;"&amp;Diagram!$P45)))</f>
        <v>3</v>
      </c>
      <c r="AH45" s="42">
        <f ca="1">IF(OR($I$10="",$O45="",$P45="",$J$35&lt;&gt;"Yes"),0,IF($K$10=0,SUMIFS(INDIRECT(ADDRESS(12,3+18*3+(0),,,"J1 D - South Bank Avenue")&amp;":"&amp;ADDRESS(130,3+18*3+(0))),'J1 D - South Bank Avenue'!$A$12:$A$130,"&gt;="&amp;Diagram!$O45,'J1 D - South Bank Avenue'!$A$12:$A$130,"&lt;"&amp;Diagram!$P45),SUMIFS(INDIRECT(ADDRESS(12,3+18*3+(8),,,"J1 D - South Bank Avenue")&amp;":"&amp;ADDRESS(130,3+18*3+(8))),'J1 D - South Bank Avenue'!$A$12:$A$130,"&gt;="&amp;Diagram!$O45,'J1 D - South Bank Avenue'!$A$12:$A$130,"&lt;"&amp;Diagram!$P45)))</f>
        <v>0</v>
      </c>
      <c r="AI45" s="42">
        <f t="shared" ca="1" si="2"/>
        <v>59</v>
      </c>
      <c r="AJ45" s="42">
        <f ca="1">IF(OR($I$10="",$O45="",$P45="",$J$36&lt;&gt;"Yes"),0,IF($K$10=0,SUMIFS(INDIRECT(ADDRESS(12,3+18*3+(1),,,"J1 A - (North) Bishopthorpe Roa")&amp;":"&amp;ADDRESS(130,3+18*3+(1))),'J1 A - (North) Bishopthorpe Roa'!$A$12:$A$130,"&gt;="&amp;Diagram!$O45,'J1 A - (North) Bishopthorpe Roa'!$A$12:$A$130,"&lt;"&amp;Diagram!$P45),SUMIFS(INDIRECT(ADDRESS(12,3+18*3+(9),,,"J1 A - (North) Bishopthorpe Roa")&amp;":"&amp;ADDRESS(130,3+18*3+(9))),'J1 A - (North) Bishopthorpe Roa'!$A$12:$A$130,"&gt;="&amp;Diagram!$O45,'J1 A - (North) Bishopthorpe Roa'!$A$12:$A$130,"&lt;"&amp;Diagram!$P45)))</f>
        <v>0</v>
      </c>
      <c r="AK45" s="42">
        <f ca="1">IF(OR($I$10="",$O45="",$P45="",$J$36&lt;&gt;"Yes"),0,IF($K$10=0,SUMIFS(INDIRECT(ADDRESS(12,3+18*0+(1),,,"J1 A - (North) Bishopthorpe Roa")&amp;":"&amp;ADDRESS(130,3+18*0+(1))),'J1 A - (North) Bishopthorpe Roa'!$A$12:$A$130,"&gt;="&amp;Diagram!$O45,'J1 A - (North) Bishopthorpe Roa'!$A$12:$A$130,"&lt;"&amp;Diagram!$P45),SUMIFS(INDIRECT(ADDRESS(12,3+18*0+(9),,,"J1 A - (North) Bishopthorpe Roa")&amp;":"&amp;ADDRESS(130,3+18*0+(9))),'J1 A - (North) Bishopthorpe Roa'!$A$12:$A$130,"&gt;="&amp;Diagram!$O45,'J1 A - (North) Bishopthorpe Roa'!$A$12:$A$130,"&lt;"&amp;Diagram!$P45)))</f>
        <v>3</v>
      </c>
      <c r="AL45" s="42">
        <f ca="1">IF(OR($I$10="",$O45="",$P45="",$J$36&lt;&gt;"Yes"),0,IF($K$10=0,SUMIFS(INDIRECT(ADDRESS(12,3+18*1+(1),,,"J1 A - (North) Bishopthorpe Roa")&amp;":"&amp;ADDRESS(130,3+18*1+(1))),'J1 A - (North) Bishopthorpe Roa'!$A$12:$A$130,"&gt;="&amp;Diagram!$O45,'J1 A - (North) Bishopthorpe Roa'!$A$12:$A$130,"&lt;"&amp;Diagram!$P45),SUMIFS(INDIRECT(ADDRESS(12,3+18*1+(9),,,"J1 A - (North) Bishopthorpe Roa")&amp;":"&amp;ADDRESS(130,3+18*1+(9))),'J1 A - (North) Bishopthorpe Roa'!$A$12:$A$130,"&gt;="&amp;Diagram!$O45,'J1 A - (North) Bishopthorpe Roa'!$A$12:$A$130,"&lt;"&amp;Diagram!$P45)))</f>
        <v>19</v>
      </c>
      <c r="AM45" s="42">
        <f ca="1">IF(OR($I$10="",$O45="",$P45="",$J$36&lt;&gt;"Yes"),0,IF($K$10=0,SUMIFS(INDIRECT(ADDRESS(12,3+18*2+(1),,,"J1 A - (North) Bishopthorpe Roa")&amp;":"&amp;ADDRESS(130,3+18*2+(1))),'J1 A - (North) Bishopthorpe Roa'!$A$12:$A$130,"&gt;="&amp;Diagram!$O45,'J1 A - (North) Bishopthorpe Roa'!$A$12:$A$130,"&lt;"&amp;Diagram!$P45),SUMIFS(INDIRECT(ADDRESS(12,3+18*2+(9),,,"J1 A - (North) Bishopthorpe Roa")&amp;":"&amp;ADDRESS(130,3+18*2+(9))),'J1 A - (North) Bishopthorpe Roa'!$A$12:$A$130,"&gt;="&amp;Diagram!$O45,'J1 A - (North) Bishopthorpe Roa'!$A$12:$A$130,"&lt;"&amp;Diagram!$P45)))</f>
        <v>4</v>
      </c>
      <c r="AN45" s="42">
        <f ca="1">IF(OR($I$10="",$O45="",$P45="",$J$36&lt;&gt;"Yes"),0,IF($K$10=0,SUMIFS(INDIRECT(ADDRESS(12,3+18*2+(1),,,"J1 B - Butcher Terrace")&amp;":"&amp;ADDRESS(130,3+18*2+(1))),'J1 B - Butcher Terrace'!$A$12:$A$130,"&gt;="&amp;Diagram!$O45,'J1 B - Butcher Terrace'!$A$12:$A$130,"&lt;"&amp;Diagram!$P45),SUMIFS(INDIRECT(ADDRESS(12,3+18*2+(9),,,"J1 B - Butcher Terrace")&amp;":"&amp;ADDRESS(130,3+18*2+(9))),'J1 B - Butcher Terrace'!$A$12:$A$130,"&gt;="&amp;Diagram!$O45,'J1 B - Butcher Terrace'!$A$12:$A$130,"&lt;"&amp;Diagram!$P45)))</f>
        <v>4</v>
      </c>
      <c r="AO45" s="42">
        <f ca="1">IF(OR($I$10="",$O45="",$P45="",$J$36&lt;&gt;"Yes"),0,IF($K$10=0,SUMIFS(INDIRECT(ADDRESS(12,3+18*3+(1),,,"J1 B - Butcher Terrace")&amp;":"&amp;ADDRESS(130,3+18*3+(1))),'J1 B - Butcher Terrace'!$A$12:$A$130,"&gt;="&amp;Diagram!$O45,'J1 B - Butcher Terrace'!$A$12:$A$130,"&lt;"&amp;Diagram!$P45),SUMIFS(INDIRECT(ADDRESS(12,3+18*3+(9),,,"J1 B - Butcher Terrace")&amp;":"&amp;ADDRESS(130,3+18*3+(9))),'J1 B - Butcher Terrace'!$A$12:$A$130,"&gt;="&amp;Diagram!$O45,'J1 B - Butcher Terrace'!$A$12:$A$130,"&lt;"&amp;Diagram!$P45)))</f>
        <v>0</v>
      </c>
      <c r="AP45" s="42">
        <f ca="1">IF(OR($I$10="",$O45="",$P45="",$J$36&lt;&gt;"Yes"),0,IF($K$10=0,SUMIFS(INDIRECT(ADDRESS(12,3+18*0+(1),,,"J1 B - Butcher Terrace")&amp;":"&amp;ADDRESS(130,3+18*0+(1))),'J1 B - Butcher Terrace'!$A$12:$A$130,"&gt;="&amp;Diagram!$O45,'J1 B - Butcher Terrace'!$A$12:$A$130,"&lt;"&amp;Diagram!$P45),SUMIFS(INDIRECT(ADDRESS(12,3+18*0+(9),,,"J1 B - Butcher Terrace")&amp;":"&amp;ADDRESS(130,3+18*0+(9))),'J1 B - Butcher Terrace'!$A$12:$A$130,"&gt;="&amp;Diagram!$O45,'J1 B - Butcher Terrace'!$A$12:$A$130,"&lt;"&amp;Diagram!$P45)))</f>
        <v>2</v>
      </c>
      <c r="AQ45" s="42">
        <f ca="1">IF(OR($I$10="",$O45="",$P45="",$J$36&lt;&gt;"Yes"),0,IF($K$10=0,SUMIFS(INDIRECT(ADDRESS(12,3+18*1+(1),,,"J1 B - Butcher Terrace")&amp;":"&amp;ADDRESS(130,3+18*1+(1))),'J1 B - Butcher Terrace'!$A$12:$A$130,"&gt;="&amp;Diagram!$O45,'J1 B - Butcher Terrace'!$A$12:$A$130,"&lt;"&amp;Diagram!$P45),SUMIFS(INDIRECT(ADDRESS(12,3+18*1+(9),,,"J1 B - Butcher Terrace")&amp;":"&amp;ADDRESS(130,3+18*1+(9))),'J1 B - Butcher Terrace'!$A$12:$A$130,"&gt;="&amp;Diagram!$O45,'J1 B - Butcher Terrace'!$A$12:$A$130,"&lt;"&amp;Diagram!$P45)))</f>
        <v>1</v>
      </c>
      <c r="AR45" s="42">
        <f ca="1">IF(OR($I$10="",$O45="",$P45="",$J$36&lt;&gt;"Yes"),0,IF($K$10=0,SUMIFS(INDIRECT(ADDRESS(12,3+18*1+(1),,,"J1 C - (South) Bishopthorpe Roa")&amp;":"&amp;ADDRESS(130,3+18*1+(1))),'J1 C - (South) Bishopthorpe Roa'!$A$12:$A$130,"&gt;="&amp;Diagram!$O45,'J1 C - (South) Bishopthorpe Roa'!$A$12:$A$130,"&lt;"&amp;Diagram!$P45),SUMIFS(INDIRECT(ADDRESS(12,3+18*1+(9),,,"J1 C - (South) Bishopthorpe Roa")&amp;":"&amp;ADDRESS(130,3+18*1+(9))),'J1 C - (South) Bishopthorpe Roa'!$A$12:$A$130,"&gt;="&amp;Diagram!$O45,'J1 C - (South) Bishopthorpe Roa'!$A$12:$A$130,"&lt;"&amp;Diagram!$P45)))</f>
        <v>16</v>
      </c>
      <c r="AS45" s="42">
        <f ca="1">IF(OR($I$10="",$O45="",$P45="",$J$36&lt;&gt;"Yes"),0,IF($K$10=0,SUMIFS(INDIRECT(ADDRESS(12,3+18*2+(1),,,"J1 C - (South) Bishopthorpe Roa")&amp;":"&amp;ADDRESS(130,3+18*2+(1))),'J1 C - (South) Bishopthorpe Roa'!$A$12:$A$130,"&gt;="&amp;Diagram!$O45,'J1 C - (South) Bishopthorpe Roa'!$A$12:$A$130,"&lt;"&amp;Diagram!$P45),SUMIFS(INDIRECT(ADDRESS(12,3+18*2+(9),,,"J1 C - (South) Bishopthorpe Roa")&amp;":"&amp;ADDRESS(130,3+18*2+(9))),'J1 C - (South) Bishopthorpe Roa'!$A$12:$A$130,"&gt;="&amp;Diagram!$O45,'J1 C - (South) Bishopthorpe Roa'!$A$12:$A$130,"&lt;"&amp;Diagram!$P45)))</f>
        <v>2</v>
      </c>
      <c r="AT45" s="42">
        <f ca="1">IF(OR($I$10="",$O45="",$P45="",$J$36&lt;&gt;"Yes"),0,IF($K$10=0,SUMIFS(INDIRECT(ADDRESS(12,3+18*3+(1),,,"J1 C - (South) Bishopthorpe Roa")&amp;":"&amp;ADDRESS(130,3+18*3+(1))),'J1 C - (South) Bishopthorpe Roa'!$A$12:$A$130,"&gt;="&amp;Diagram!$O45,'J1 C - (South) Bishopthorpe Roa'!$A$12:$A$130,"&lt;"&amp;Diagram!$P45),SUMIFS(INDIRECT(ADDRESS(12,3+18*3+(9),,,"J1 C - (South) Bishopthorpe Roa")&amp;":"&amp;ADDRESS(130,3+18*3+(9))),'J1 C - (South) Bishopthorpe Roa'!$A$12:$A$130,"&gt;="&amp;Diagram!$O45,'J1 C - (South) Bishopthorpe Roa'!$A$12:$A$130,"&lt;"&amp;Diagram!$P45)))</f>
        <v>0</v>
      </c>
      <c r="AU45" s="42">
        <f ca="1">IF(OR($I$10="",$O45="",$P45="",$J$36&lt;&gt;"Yes"),0,IF($K$10=0,SUMIFS(INDIRECT(ADDRESS(12,3+18*0+(1),,,"J1 C - (South) Bishopthorpe Roa")&amp;":"&amp;ADDRESS(130,3+18*0+(1))),'J1 C - (South) Bishopthorpe Roa'!$A$12:$A$130,"&gt;="&amp;Diagram!$O45,'J1 C - (South) Bishopthorpe Roa'!$A$12:$A$130,"&lt;"&amp;Diagram!$P45),SUMIFS(INDIRECT(ADDRESS(12,3+18*0+(9),,,"J1 C - (South) Bishopthorpe Roa")&amp;":"&amp;ADDRESS(130,3+18*0+(9))),'J1 C - (South) Bishopthorpe Roa'!$A$12:$A$130,"&gt;="&amp;Diagram!$O45,'J1 C - (South) Bishopthorpe Roa'!$A$12:$A$130,"&lt;"&amp;Diagram!$P45)))</f>
        <v>3</v>
      </c>
      <c r="AV45" s="42">
        <f ca="1">IF(OR($I$10="",$O45="",$P45="",$J$36&lt;&gt;"Yes"),0,IF($K$10=0,SUMIFS(INDIRECT(ADDRESS(12,3+18*0+(1),,,"J1 D - South Bank Avenue")&amp;":"&amp;ADDRESS(130,3+18*0+(1))),'J1 D - South Bank Avenue'!$A$12:$A$130,"&gt;="&amp;Diagram!$O45,'J1 D - South Bank Avenue'!$A$12:$A$130,"&lt;"&amp;Diagram!$P45),SUMIFS(INDIRECT(ADDRESS(12,3+18*0+(9),,,"J1 D - South Bank Avenue")&amp;":"&amp;ADDRESS(130,3+18*0+(9))),'J1 D - South Bank Avenue'!$A$12:$A$130,"&gt;="&amp;Diagram!$O45,'J1 D - South Bank Avenue'!$A$12:$A$130,"&lt;"&amp;Diagram!$P45)))</f>
        <v>2</v>
      </c>
      <c r="AW45" s="42">
        <f ca="1">IF(OR($I$10="",$O45="",$P45="",$J$36&lt;&gt;"Yes"),0,IF($K$10=0,SUMIFS(INDIRECT(ADDRESS(12,3+18*1+(1),,,"J1 D - South Bank Avenue")&amp;":"&amp;ADDRESS(130,3+18*1+(1))),'J1 D - South Bank Avenue'!$A$12:$A$130,"&gt;="&amp;Diagram!$O45,'J1 D - South Bank Avenue'!$A$12:$A$130,"&lt;"&amp;Diagram!$P45),SUMIFS(INDIRECT(ADDRESS(12,3+18*1+(9),,,"J1 D - South Bank Avenue")&amp;":"&amp;ADDRESS(130,3+18*1+(9))),'J1 D - South Bank Avenue'!$A$12:$A$130,"&gt;="&amp;Diagram!$O45,'J1 D - South Bank Avenue'!$A$12:$A$130,"&lt;"&amp;Diagram!$P45)))</f>
        <v>0</v>
      </c>
      <c r="AX45" s="42">
        <f ca="1">IF(OR($I$10="",$O45="",$P45="",$J$36&lt;&gt;"Yes"),0,IF($K$10=0,SUMIFS(INDIRECT(ADDRESS(12,3+18*2+(1),,,"J1 D - South Bank Avenue")&amp;":"&amp;ADDRESS(130,3+18*2+(1))),'J1 D - South Bank Avenue'!$A$12:$A$130,"&gt;="&amp;Diagram!$O45,'J1 D - South Bank Avenue'!$A$12:$A$130,"&lt;"&amp;Diagram!$P45),SUMIFS(INDIRECT(ADDRESS(12,3+18*2+(9),,,"J1 D - South Bank Avenue")&amp;":"&amp;ADDRESS(130,3+18*2+(9))),'J1 D - South Bank Avenue'!$A$12:$A$130,"&gt;="&amp;Diagram!$O45,'J1 D - South Bank Avenue'!$A$12:$A$130,"&lt;"&amp;Diagram!$P45)))</f>
        <v>3</v>
      </c>
      <c r="AY45" s="42">
        <f ca="1">IF(OR($I$10="",$O45="",$P45="",$J$36&lt;&gt;"Yes"),0,IF($K$10=0,SUMIFS(INDIRECT(ADDRESS(12,3+18*3+(1),,,"J1 D - South Bank Avenue")&amp;":"&amp;ADDRESS(130,3+18*3+(1))),'J1 D - South Bank Avenue'!$A$12:$A$130,"&gt;="&amp;Diagram!$O45,'J1 D - South Bank Avenue'!$A$12:$A$130,"&lt;"&amp;Diagram!$P45),SUMIFS(INDIRECT(ADDRESS(12,3+18*3+(9),,,"J1 D - South Bank Avenue")&amp;":"&amp;ADDRESS(130,3+18*3+(9))),'J1 D - South Bank Avenue'!$A$12:$A$130,"&gt;="&amp;Diagram!$O45,'J1 D - South Bank Avenue'!$A$12:$A$130,"&lt;"&amp;Diagram!$P45)))</f>
        <v>0</v>
      </c>
      <c r="AZ45" s="42">
        <f t="shared" ca="1" si="3"/>
        <v>13</v>
      </c>
      <c r="BA45" s="42">
        <f ca="1">IF(OR($I$10="",$O45="",$P45="",$J$37&lt;&gt;"Yes"),0,IF($K$10=0,SUMIFS(INDIRECT(ADDRESS(12,3+18*3+(2),,,"J1 A - (North) Bishopthorpe Roa")&amp;":"&amp;ADDRESS(130,3+18*3+(2))),'J1 A - (North) Bishopthorpe Roa'!$A$12:$A$130,"&gt;="&amp;Diagram!$O45,'J1 A - (North) Bishopthorpe Roa'!$A$12:$A$130,"&lt;"&amp;Diagram!$P45),SUMIFS(INDIRECT(ADDRESS(12,3+18*3+(10),,,"J1 A - (North) Bishopthorpe Roa")&amp;":"&amp;ADDRESS(130,3+18*3+(10))),'J1 A - (North) Bishopthorpe Roa'!$A$12:$A$130,"&gt;="&amp;Diagram!$O45,'J1 A - (North) Bishopthorpe Roa'!$A$12:$A$130,"&lt;"&amp;Diagram!$P45)))</f>
        <v>0</v>
      </c>
      <c r="BB45" s="42">
        <f ca="1">IF(OR($I$10="",$O45="",$P45="",$J$37&lt;&gt;"Yes"),0,IF($K$10=0,SUMIFS(INDIRECT(ADDRESS(12,3+18*0+(2),,,"J1 A - (North) Bishopthorpe Roa")&amp;":"&amp;ADDRESS(130,3+18*0+(2))),'J1 A - (North) Bishopthorpe Roa'!$A$12:$A$130,"&gt;="&amp;Diagram!$O45,'J1 A - (North) Bishopthorpe Roa'!$A$12:$A$130,"&lt;"&amp;Diagram!$P45),SUMIFS(INDIRECT(ADDRESS(12,3+18*0+(10),,,"J1 A - (North) Bishopthorpe Roa")&amp;":"&amp;ADDRESS(130,3+18*0+(10))),'J1 A - (North) Bishopthorpe Roa'!$A$12:$A$130,"&gt;="&amp;Diagram!$O45,'J1 A - (North) Bishopthorpe Roa'!$A$12:$A$130,"&lt;"&amp;Diagram!$P45)))</f>
        <v>0</v>
      </c>
      <c r="BC45" s="42">
        <f ca="1">IF(OR($I$10="",$O45="",$P45="",$J$37&lt;&gt;"Yes"),0,IF($K$10=0,SUMIFS(INDIRECT(ADDRESS(12,3+18*1+(2),,,"J1 A - (North) Bishopthorpe Roa")&amp;":"&amp;ADDRESS(130,3+18*1+(2))),'J1 A - (North) Bishopthorpe Roa'!$A$12:$A$130,"&gt;="&amp;Diagram!$O45,'J1 A - (North) Bishopthorpe Roa'!$A$12:$A$130,"&lt;"&amp;Diagram!$P45),SUMIFS(INDIRECT(ADDRESS(12,3+18*1+(10),,,"J1 A - (North) Bishopthorpe Roa")&amp;":"&amp;ADDRESS(130,3+18*1+(10))),'J1 A - (North) Bishopthorpe Roa'!$A$12:$A$130,"&gt;="&amp;Diagram!$O45,'J1 A - (North) Bishopthorpe Roa'!$A$12:$A$130,"&lt;"&amp;Diagram!$P45)))</f>
        <v>3</v>
      </c>
      <c r="BD45" s="42">
        <f ca="1">IF(OR($I$10="",$O45="",$P45="",$J$37&lt;&gt;"Yes"),0,IF($K$10=0,SUMIFS(INDIRECT(ADDRESS(12,3+18*2+(2),,,"J1 A - (North) Bishopthorpe Roa")&amp;":"&amp;ADDRESS(130,3+18*2+(2))),'J1 A - (North) Bishopthorpe Roa'!$A$12:$A$130,"&gt;="&amp;Diagram!$O45,'J1 A - (North) Bishopthorpe Roa'!$A$12:$A$130,"&lt;"&amp;Diagram!$P45),SUMIFS(INDIRECT(ADDRESS(12,3+18*2+(10),,,"J1 A - (North) Bishopthorpe Roa")&amp;":"&amp;ADDRESS(130,3+18*2+(10))),'J1 A - (North) Bishopthorpe Roa'!$A$12:$A$130,"&gt;="&amp;Diagram!$O45,'J1 A - (North) Bishopthorpe Roa'!$A$12:$A$130,"&lt;"&amp;Diagram!$P45)))</f>
        <v>0</v>
      </c>
      <c r="BE45" s="42">
        <f ca="1">IF(OR($I$10="",$O45="",$P45="",$J$37&lt;&gt;"Yes"),0,IF($K$10=0,SUMIFS(INDIRECT(ADDRESS(12,3+18*2+(2),,,"J1 B - Butcher Terrace")&amp;":"&amp;ADDRESS(130,3+18*2+(2))),'J1 B - Butcher Terrace'!$A$12:$A$130,"&gt;="&amp;Diagram!$O45,'J1 B - Butcher Terrace'!$A$12:$A$130,"&lt;"&amp;Diagram!$P45),SUMIFS(INDIRECT(ADDRESS(12,3+18*2+(10),,,"J1 B - Butcher Terrace")&amp;":"&amp;ADDRESS(130,3+18*2+(10))),'J1 B - Butcher Terrace'!$A$12:$A$130,"&gt;="&amp;Diagram!$O45,'J1 B - Butcher Terrace'!$A$12:$A$130,"&lt;"&amp;Diagram!$P45)))</f>
        <v>2</v>
      </c>
      <c r="BF45" s="42">
        <f ca="1">IF(OR($I$10="",$O45="",$P45="",$J$37&lt;&gt;"Yes"),0,IF($K$10=0,SUMIFS(INDIRECT(ADDRESS(12,3+18*3+(2),,,"J1 B - Butcher Terrace")&amp;":"&amp;ADDRESS(130,3+18*3+(2))),'J1 B - Butcher Terrace'!$A$12:$A$130,"&gt;="&amp;Diagram!$O45,'J1 B - Butcher Terrace'!$A$12:$A$130,"&lt;"&amp;Diagram!$P45),SUMIFS(INDIRECT(ADDRESS(12,3+18*3+(10),,,"J1 B - Butcher Terrace")&amp;":"&amp;ADDRESS(130,3+18*3+(10))),'J1 B - Butcher Terrace'!$A$12:$A$130,"&gt;="&amp;Diagram!$O45,'J1 B - Butcher Terrace'!$A$12:$A$130,"&lt;"&amp;Diagram!$P45)))</f>
        <v>0</v>
      </c>
      <c r="BG45" s="42">
        <f ca="1">IF(OR($I$10="",$O45="",$P45="",$J$37&lt;&gt;"Yes"),0,IF($K$10=0,SUMIFS(INDIRECT(ADDRESS(12,3+18*0+(2),,,"J1 B - Butcher Terrace")&amp;":"&amp;ADDRESS(130,3+18*0+(2))),'J1 B - Butcher Terrace'!$A$12:$A$130,"&gt;="&amp;Diagram!$O45,'J1 B - Butcher Terrace'!$A$12:$A$130,"&lt;"&amp;Diagram!$P45),SUMIFS(INDIRECT(ADDRESS(12,3+18*0+(10),,,"J1 B - Butcher Terrace")&amp;":"&amp;ADDRESS(130,3+18*0+(10))),'J1 B - Butcher Terrace'!$A$12:$A$130,"&gt;="&amp;Diagram!$O45,'J1 B - Butcher Terrace'!$A$12:$A$130,"&lt;"&amp;Diagram!$P45)))</f>
        <v>1</v>
      </c>
      <c r="BH45" s="42">
        <f ca="1">IF(OR($I$10="",$O45="",$P45="",$J$37&lt;&gt;"Yes"),0,IF($K$10=0,SUMIFS(INDIRECT(ADDRESS(12,3+18*1+(2),,,"J1 B - Butcher Terrace")&amp;":"&amp;ADDRESS(130,3+18*1+(2))),'J1 B - Butcher Terrace'!$A$12:$A$130,"&gt;="&amp;Diagram!$O45,'J1 B - Butcher Terrace'!$A$12:$A$130,"&lt;"&amp;Diagram!$P45),SUMIFS(INDIRECT(ADDRESS(12,3+18*1+(10),,,"J1 B - Butcher Terrace")&amp;":"&amp;ADDRESS(130,3+18*1+(10))),'J1 B - Butcher Terrace'!$A$12:$A$130,"&gt;="&amp;Diagram!$O45,'J1 B - Butcher Terrace'!$A$12:$A$130,"&lt;"&amp;Diagram!$P45)))</f>
        <v>0</v>
      </c>
      <c r="BI45" s="42">
        <f ca="1">IF(OR($I$10="",$O45="",$P45="",$J$37&lt;&gt;"Yes"),0,IF($K$10=0,SUMIFS(INDIRECT(ADDRESS(12,3+18*1+(2),,,"J1 C - (South) Bishopthorpe Roa")&amp;":"&amp;ADDRESS(130,3+18*1+(2))),'J1 C - (South) Bishopthorpe Roa'!$A$12:$A$130,"&gt;="&amp;Diagram!$O45,'J1 C - (South) Bishopthorpe Roa'!$A$12:$A$130,"&lt;"&amp;Diagram!$P45),SUMIFS(INDIRECT(ADDRESS(12,3+18*1+(10),,,"J1 C - (South) Bishopthorpe Roa")&amp;":"&amp;ADDRESS(130,3+18*1+(10))),'J1 C - (South) Bishopthorpe Roa'!$A$12:$A$130,"&gt;="&amp;Diagram!$O45,'J1 C - (South) Bishopthorpe Roa'!$A$12:$A$130,"&lt;"&amp;Diagram!$P45)))</f>
        <v>7</v>
      </c>
      <c r="BJ45" s="42">
        <f ca="1">IF(OR($I$10="",$O45="",$P45="",$J$37&lt;&gt;"Yes"),0,IF($K$10=0,SUMIFS(INDIRECT(ADDRESS(12,3+18*2+(2),,,"J1 C - (South) Bishopthorpe Roa")&amp;":"&amp;ADDRESS(130,3+18*2+(2))),'J1 C - (South) Bishopthorpe Roa'!$A$12:$A$130,"&gt;="&amp;Diagram!$O45,'J1 C - (South) Bishopthorpe Roa'!$A$12:$A$130,"&lt;"&amp;Diagram!$P45),SUMIFS(INDIRECT(ADDRESS(12,3+18*2+(10),,,"J1 C - (South) Bishopthorpe Roa")&amp;":"&amp;ADDRESS(130,3+18*2+(10))),'J1 C - (South) Bishopthorpe Roa'!$A$12:$A$130,"&gt;="&amp;Diagram!$O45,'J1 C - (South) Bishopthorpe Roa'!$A$12:$A$130,"&lt;"&amp;Diagram!$P45)))</f>
        <v>0</v>
      </c>
      <c r="BK45" s="42">
        <f ca="1">IF(OR($I$10="",$O45="",$P45="",$J$37&lt;&gt;"Yes"),0,IF($K$10=0,SUMIFS(INDIRECT(ADDRESS(12,3+18*3+(2),,,"J1 C - (South) Bishopthorpe Roa")&amp;":"&amp;ADDRESS(130,3+18*3+(2))),'J1 C - (South) Bishopthorpe Roa'!$A$12:$A$130,"&gt;="&amp;Diagram!$O45,'J1 C - (South) Bishopthorpe Roa'!$A$12:$A$130,"&lt;"&amp;Diagram!$P45),SUMIFS(INDIRECT(ADDRESS(12,3+18*3+(10),,,"J1 C - (South) Bishopthorpe Roa")&amp;":"&amp;ADDRESS(130,3+18*3+(10))),'J1 C - (South) Bishopthorpe Roa'!$A$12:$A$130,"&gt;="&amp;Diagram!$O45,'J1 C - (South) Bishopthorpe Roa'!$A$12:$A$130,"&lt;"&amp;Diagram!$P45)))</f>
        <v>0</v>
      </c>
      <c r="BL45" s="42">
        <f ca="1">IF(OR($I$10="",$O45="",$P45="",$J$37&lt;&gt;"Yes"),0,IF($K$10=0,SUMIFS(INDIRECT(ADDRESS(12,3+18*0+(2),,,"J1 C - (South) Bishopthorpe Roa")&amp;":"&amp;ADDRESS(130,3+18*0+(2))),'J1 C - (South) Bishopthorpe Roa'!$A$12:$A$130,"&gt;="&amp;Diagram!$O45,'J1 C - (South) Bishopthorpe Roa'!$A$12:$A$130,"&lt;"&amp;Diagram!$P45),SUMIFS(INDIRECT(ADDRESS(12,3+18*0+(10),,,"J1 C - (South) Bishopthorpe Roa")&amp;":"&amp;ADDRESS(130,3+18*0+(10))),'J1 C - (South) Bishopthorpe Roa'!$A$12:$A$130,"&gt;="&amp;Diagram!$O45,'J1 C - (South) Bishopthorpe Roa'!$A$12:$A$130,"&lt;"&amp;Diagram!$P45)))</f>
        <v>0</v>
      </c>
      <c r="BM45" s="42">
        <f ca="1">IF(OR($I$10="",$O45="",$P45="",$J$37&lt;&gt;"Yes"),0,IF($K$10=0,SUMIFS(INDIRECT(ADDRESS(12,3+18*0+(2),,,"J1 D - South Bank Avenue")&amp;":"&amp;ADDRESS(130,3+18*0+(2))),'J1 D - South Bank Avenue'!$A$12:$A$130,"&gt;="&amp;Diagram!$O45,'J1 D - South Bank Avenue'!$A$12:$A$130,"&lt;"&amp;Diagram!$P45),SUMIFS(INDIRECT(ADDRESS(12,3+18*0+(10),,,"J1 D - South Bank Avenue")&amp;":"&amp;ADDRESS(130,3+18*0+(10))),'J1 D - South Bank Avenue'!$A$12:$A$130,"&gt;="&amp;Diagram!$O45,'J1 D - South Bank Avenue'!$A$12:$A$130,"&lt;"&amp;Diagram!$P45)))</f>
        <v>0</v>
      </c>
      <c r="BN45" s="42">
        <f ca="1">IF(OR($I$10="",$O45="",$P45="",$J$37&lt;&gt;"Yes"),0,IF($K$10=0,SUMIFS(INDIRECT(ADDRESS(12,3+18*1+(2),,,"J1 D - South Bank Avenue")&amp;":"&amp;ADDRESS(130,3+18*1+(2))),'J1 D - South Bank Avenue'!$A$12:$A$130,"&gt;="&amp;Diagram!$O45,'J1 D - South Bank Avenue'!$A$12:$A$130,"&lt;"&amp;Diagram!$P45),SUMIFS(INDIRECT(ADDRESS(12,3+18*1+(10),,,"J1 D - South Bank Avenue")&amp;":"&amp;ADDRESS(130,3+18*1+(10))),'J1 D - South Bank Avenue'!$A$12:$A$130,"&gt;="&amp;Diagram!$O45,'J1 D - South Bank Avenue'!$A$12:$A$130,"&lt;"&amp;Diagram!$P45)))</f>
        <v>0</v>
      </c>
      <c r="BO45" s="42">
        <f ca="1">IF(OR($I$10="",$O45="",$P45="",$J$37&lt;&gt;"Yes"),0,IF($K$10=0,SUMIFS(INDIRECT(ADDRESS(12,3+18*2+(2),,,"J1 D - South Bank Avenue")&amp;":"&amp;ADDRESS(130,3+18*2+(2))),'J1 D - South Bank Avenue'!$A$12:$A$130,"&gt;="&amp;Diagram!$O45,'J1 D - South Bank Avenue'!$A$12:$A$130,"&lt;"&amp;Diagram!$P45),SUMIFS(INDIRECT(ADDRESS(12,3+18*2+(10),,,"J1 D - South Bank Avenue")&amp;":"&amp;ADDRESS(130,3+18*2+(10))),'J1 D - South Bank Avenue'!$A$12:$A$130,"&gt;="&amp;Diagram!$O45,'J1 D - South Bank Avenue'!$A$12:$A$130,"&lt;"&amp;Diagram!$P45)))</f>
        <v>0</v>
      </c>
      <c r="BP45" s="42">
        <f ca="1">IF(OR($I$10="",$O45="",$P45="",$J$37&lt;&gt;"Yes"),0,IF($K$10=0,SUMIFS(INDIRECT(ADDRESS(12,3+18*3+(2),,,"J1 D - South Bank Avenue")&amp;":"&amp;ADDRESS(130,3+18*3+(2))),'J1 D - South Bank Avenue'!$A$12:$A$130,"&gt;="&amp;Diagram!$O45,'J1 D - South Bank Avenue'!$A$12:$A$130,"&lt;"&amp;Diagram!$P45),SUMIFS(INDIRECT(ADDRESS(12,3+18*3+(10),,,"J1 D - South Bank Avenue")&amp;":"&amp;ADDRESS(130,3+18*3+(10))),'J1 D - South Bank Avenue'!$A$12:$A$130,"&gt;="&amp;Diagram!$O45,'J1 D - South Bank Avenue'!$A$12:$A$130,"&lt;"&amp;Diagram!$P45)))</f>
        <v>0</v>
      </c>
      <c r="BQ45" s="42">
        <f t="shared" ca="1" si="4"/>
        <v>0</v>
      </c>
      <c r="BR45" s="42">
        <f ca="1">IF(OR($I$10="",$O45="",$P45="",$J$38&lt;&gt;"Yes"),0,IF($K$10=0,SUMIFS(INDIRECT(ADDRESS(12,3+18*3+(3),,,"J1 A - (North) Bishopthorpe Roa")&amp;":"&amp;ADDRESS(130,3+18*3+(3))),'J1 A - (North) Bishopthorpe Roa'!$A$12:$A$130,"&gt;="&amp;Diagram!$O45,'J1 A - (North) Bishopthorpe Roa'!$A$12:$A$130,"&lt;"&amp;Diagram!$P45),SUMIFS(INDIRECT(ADDRESS(12,3+18*3+(11),,,"J1 A - (North) Bishopthorpe Roa")&amp;":"&amp;ADDRESS(130,3+18*3+(11))),'J1 A - (North) Bishopthorpe Roa'!$A$12:$A$130,"&gt;="&amp;Diagram!$O45,'J1 A - (North) Bishopthorpe Roa'!$A$12:$A$130,"&lt;"&amp;Diagram!$P45)))</f>
        <v>0</v>
      </c>
      <c r="BS45" s="42">
        <f ca="1">IF(OR($I$10="",$O45="",$P45="",$J$38&lt;&gt;"Yes"),0,IF($K$10=0,SUMIFS(INDIRECT(ADDRESS(12,3+18*0+(3),,,"J1 A - (North) Bishopthorpe Roa")&amp;":"&amp;ADDRESS(130,3+18*0+(3))),'J1 A - (North) Bishopthorpe Roa'!$A$12:$A$130,"&gt;="&amp;Diagram!$O45,'J1 A - (North) Bishopthorpe Roa'!$A$12:$A$130,"&lt;"&amp;Diagram!$P45),SUMIFS(INDIRECT(ADDRESS(12,3+18*0+(11),,,"J1 A - (North) Bishopthorpe Roa")&amp;":"&amp;ADDRESS(130,3+18*0+(11))),'J1 A - (North) Bishopthorpe Roa'!$A$12:$A$130,"&gt;="&amp;Diagram!$O45,'J1 A - (North) Bishopthorpe Roa'!$A$12:$A$130,"&lt;"&amp;Diagram!$P45)))</f>
        <v>0</v>
      </c>
      <c r="BT45" s="42">
        <f ca="1">IF(OR($I$10="",$O45="",$P45="",$J$38&lt;&gt;"Yes"),0,IF($K$10=0,SUMIFS(INDIRECT(ADDRESS(12,3+18*1+(3),,,"J1 A - (North) Bishopthorpe Roa")&amp;":"&amp;ADDRESS(130,3+18*1+(3))),'J1 A - (North) Bishopthorpe Roa'!$A$12:$A$130,"&gt;="&amp;Diagram!$O45,'J1 A - (North) Bishopthorpe Roa'!$A$12:$A$130,"&lt;"&amp;Diagram!$P45),SUMIFS(INDIRECT(ADDRESS(12,3+18*1+(11),,,"J1 A - (North) Bishopthorpe Roa")&amp;":"&amp;ADDRESS(130,3+18*1+(11))),'J1 A - (North) Bishopthorpe Roa'!$A$12:$A$130,"&gt;="&amp;Diagram!$O45,'J1 A - (North) Bishopthorpe Roa'!$A$12:$A$130,"&lt;"&amp;Diagram!$P45)))</f>
        <v>0</v>
      </c>
      <c r="BU45" s="42">
        <f ca="1">IF(OR($I$10="",$O45="",$P45="",$J$38&lt;&gt;"Yes"),0,IF($K$10=0,SUMIFS(INDIRECT(ADDRESS(12,3+18*2+(3),,,"J1 A - (North) Bishopthorpe Roa")&amp;":"&amp;ADDRESS(130,3+18*2+(3))),'J1 A - (North) Bishopthorpe Roa'!$A$12:$A$130,"&gt;="&amp;Diagram!$O45,'J1 A - (North) Bishopthorpe Roa'!$A$12:$A$130,"&lt;"&amp;Diagram!$P45),SUMIFS(INDIRECT(ADDRESS(12,3+18*2+(11),,,"J1 A - (North) Bishopthorpe Roa")&amp;":"&amp;ADDRESS(130,3+18*2+(11))),'J1 A - (North) Bishopthorpe Roa'!$A$12:$A$130,"&gt;="&amp;Diagram!$O45,'J1 A - (North) Bishopthorpe Roa'!$A$12:$A$130,"&lt;"&amp;Diagram!$P45)))</f>
        <v>0</v>
      </c>
      <c r="BV45" s="42">
        <f ca="1">IF(OR($I$10="",$O45="",$P45="",$J$38&lt;&gt;"Yes"),0,IF($K$10=0,SUMIFS(INDIRECT(ADDRESS(12,3+18*2+(3),,,"J1 B - Butcher Terrace")&amp;":"&amp;ADDRESS(130,3+18*2+(3))),'J1 B - Butcher Terrace'!$A$12:$A$130,"&gt;="&amp;Diagram!$O45,'J1 B - Butcher Terrace'!$A$12:$A$130,"&lt;"&amp;Diagram!$P45),SUMIFS(INDIRECT(ADDRESS(12,3+18*2+(11),,,"J1 B - Butcher Terrace")&amp;":"&amp;ADDRESS(130,3+18*2+(11))),'J1 B - Butcher Terrace'!$A$12:$A$130,"&gt;="&amp;Diagram!$O45,'J1 B - Butcher Terrace'!$A$12:$A$130,"&lt;"&amp;Diagram!$P45)))</f>
        <v>0</v>
      </c>
      <c r="BW45" s="42">
        <f ca="1">IF(OR($I$10="",$O45="",$P45="",$J$38&lt;&gt;"Yes"),0,IF($K$10=0,SUMIFS(INDIRECT(ADDRESS(12,3+18*3+(3),,,"J1 B - Butcher Terrace")&amp;":"&amp;ADDRESS(130,3+18*3+(3))),'J1 B - Butcher Terrace'!$A$12:$A$130,"&gt;="&amp;Diagram!$O45,'J1 B - Butcher Terrace'!$A$12:$A$130,"&lt;"&amp;Diagram!$P45),SUMIFS(INDIRECT(ADDRESS(12,3+18*3+(11),,,"J1 B - Butcher Terrace")&amp;":"&amp;ADDRESS(130,3+18*3+(11))),'J1 B - Butcher Terrace'!$A$12:$A$130,"&gt;="&amp;Diagram!$O45,'J1 B - Butcher Terrace'!$A$12:$A$130,"&lt;"&amp;Diagram!$P45)))</f>
        <v>0</v>
      </c>
      <c r="BX45" s="42">
        <f ca="1">IF(OR($I$10="",$O45="",$P45="",$J$38&lt;&gt;"Yes"),0,IF($K$10=0,SUMIFS(INDIRECT(ADDRESS(12,3+18*0+(3),,,"J1 B - Butcher Terrace")&amp;":"&amp;ADDRESS(130,3+18*0+(3))),'J1 B - Butcher Terrace'!$A$12:$A$130,"&gt;="&amp;Diagram!$O45,'J1 B - Butcher Terrace'!$A$12:$A$130,"&lt;"&amp;Diagram!$P45),SUMIFS(INDIRECT(ADDRESS(12,3+18*0+(11),,,"J1 B - Butcher Terrace")&amp;":"&amp;ADDRESS(130,3+18*0+(11))),'J1 B - Butcher Terrace'!$A$12:$A$130,"&gt;="&amp;Diagram!$O45,'J1 B - Butcher Terrace'!$A$12:$A$130,"&lt;"&amp;Diagram!$P45)))</f>
        <v>0</v>
      </c>
      <c r="BY45" s="42">
        <f ca="1">IF(OR($I$10="",$O45="",$P45="",$J$38&lt;&gt;"Yes"),0,IF($K$10=0,SUMIFS(INDIRECT(ADDRESS(12,3+18*1+(3),,,"J1 B - Butcher Terrace")&amp;":"&amp;ADDRESS(130,3+18*1+(3))),'J1 B - Butcher Terrace'!$A$12:$A$130,"&gt;="&amp;Diagram!$O45,'J1 B - Butcher Terrace'!$A$12:$A$130,"&lt;"&amp;Diagram!$P45),SUMIFS(INDIRECT(ADDRESS(12,3+18*1+(11),,,"J1 B - Butcher Terrace")&amp;":"&amp;ADDRESS(130,3+18*1+(11))),'J1 B - Butcher Terrace'!$A$12:$A$130,"&gt;="&amp;Diagram!$O45,'J1 B - Butcher Terrace'!$A$12:$A$130,"&lt;"&amp;Diagram!$P45)))</f>
        <v>0</v>
      </c>
      <c r="BZ45" s="42">
        <f ca="1">IF(OR($I$10="",$O45="",$P45="",$J$38&lt;&gt;"Yes"),0,IF($K$10=0,SUMIFS(INDIRECT(ADDRESS(12,3+18*1+(3),,,"J1 C - (South) Bishopthorpe Roa")&amp;":"&amp;ADDRESS(130,3+18*1+(3))),'J1 C - (South) Bishopthorpe Roa'!$A$12:$A$130,"&gt;="&amp;Diagram!$O45,'J1 C - (South) Bishopthorpe Roa'!$A$12:$A$130,"&lt;"&amp;Diagram!$P45),SUMIFS(INDIRECT(ADDRESS(12,3+18*1+(11),,,"J1 C - (South) Bishopthorpe Roa")&amp;":"&amp;ADDRESS(130,3+18*1+(11))),'J1 C - (South) Bishopthorpe Roa'!$A$12:$A$130,"&gt;="&amp;Diagram!$O45,'J1 C - (South) Bishopthorpe Roa'!$A$12:$A$130,"&lt;"&amp;Diagram!$P45)))</f>
        <v>0</v>
      </c>
      <c r="CA45" s="42">
        <f ca="1">IF(OR($I$10="",$O45="",$P45="",$J$38&lt;&gt;"Yes"),0,IF($K$10=0,SUMIFS(INDIRECT(ADDRESS(12,3+18*2+(3),,,"J1 C - (South) Bishopthorpe Roa")&amp;":"&amp;ADDRESS(130,3+18*2+(3))),'J1 C - (South) Bishopthorpe Roa'!$A$12:$A$130,"&gt;="&amp;Diagram!$O45,'J1 C - (South) Bishopthorpe Roa'!$A$12:$A$130,"&lt;"&amp;Diagram!$P45),SUMIFS(INDIRECT(ADDRESS(12,3+18*2+(11),,,"J1 C - (South) Bishopthorpe Roa")&amp;":"&amp;ADDRESS(130,3+18*2+(11))),'J1 C - (South) Bishopthorpe Roa'!$A$12:$A$130,"&gt;="&amp;Diagram!$O45,'J1 C - (South) Bishopthorpe Roa'!$A$12:$A$130,"&lt;"&amp;Diagram!$P45)))</f>
        <v>0</v>
      </c>
      <c r="CB45" s="42">
        <f ca="1">IF(OR($I$10="",$O45="",$P45="",$J$38&lt;&gt;"Yes"),0,IF($K$10=0,SUMIFS(INDIRECT(ADDRESS(12,3+18*3+(3),,,"J1 C - (South) Bishopthorpe Roa")&amp;":"&amp;ADDRESS(130,3+18*3+(3))),'J1 C - (South) Bishopthorpe Roa'!$A$12:$A$130,"&gt;="&amp;Diagram!$O45,'J1 C - (South) Bishopthorpe Roa'!$A$12:$A$130,"&lt;"&amp;Diagram!$P45),SUMIFS(INDIRECT(ADDRESS(12,3+18*3+(11),,,"J1 C - (South) Bishopthorpe Roa")&amp;":"&amp;ADDRESS(130,3+18*3+(11))),'J1 C - (South) Bishopthorpe Roa'!$A$12:$A$130,"&gt;="&amp;Diagram!$O45,'J1 C - (South) Bishopthorpe Roa'!$A$12:$A$130,"&lt;"&amp;Diagram!$P45)))</f>
        <v>0</v>
      </c>
      <c r="CC45" s="42">
        <f ca="1">IF(OR($I$10="",$O45="",$P45="",$J$38&lt;&gt;"Yes"),0,IF($K$10=0,SUMIFS(INDIRECT(ADDRESS(12,3+18*0+(3),,,"J1 C - (South) Bishopthorpe Roa")&amp;":"&amp;ADDRESS(130,3+18*0+(3))),'J1 C - (South) Bishopthorpe Roa'!$A$12:$A$130,"&gt;="&amp;Diagram!$O45,'J1 C - (South) Bishopthorpe Roa'!$A$12:$A$130,"&lt;"&amp;Diagram!$P45),SUMIFS(INDIRECT(ADDRESS(12,3+18*0+(11),,,"J1 C - (South) Bishopthorpe Roa")&amp;":"&amp;ADDRESS(130,3+18*0+(11))),'J1 C - (South) Bishopthorpe Roa'!$A$12:$A$130,"&gt;="&amp;Diagram!$O45,'J1 C - (South) Bishopthorpe Roa'!$A$12:$A$130,"&lt;"&amp;Diagram!$P45)))</f>
        <v>0</v>
      </c>
      <c r="CD45" s="42">
        <f ca="1">IF(OR($I$10="",$O45="",$P45="",$J$38&lt;&gt;"Yes"),0,IF($K$10=0,SUMIFS(INDIRECT(ADDRESS(12,3+18*0+(3),,,"J1 D - South Bank Avenue")&amp;":"&amp;ADDRESS(130,3+18*0+(3))),'J1 D - South Bank Avenue'!$A$12:$A$130,"&gt;="&amp;Diagram!$O45,'J1 D - South Bank Avenue'!$A$12:$A$130,"&lt;"&amp;Diagram!$P45),SUMIFS(INDIRECT(ADDRESS(12,3+18*0+(11),,,"J1 D - South Bank Avenue")&amp;":"&amp;ADDRESS(130,3+18*0+(11))),'J1 D - South Bank Avenue'!$A$12:$A$130,"&gt;="&amp;Diagram!$O45,'J1 D - South Bank Avenue'!$A$12:$A$130,"&lt;"&amp;Diagram!$P45)))</f>
        <v>0</v>
      </c>
      <c r="CE45" s="42">
        <f ca="1">IF(OR($I$10="",$O45="",$P45="",$J$38&lt;&gt;"Yes"),0,IF($K$10=0,SUMIFS(INDIRECT(ADDRESS(12,3+18*1+(3),,,"J1 D - South Bank Avenue")&amp;":"&amp;ADDRESS(130,3+18*1+(3))),'J1 D - South Bank Avenue'!$A$12:$A$130,"&gt;="&amp;Diagram!$O45,'J1 D - South Bank Avenue'!$A$12:$A$130,"&lt;"&amp;Diagram!$P45),SUMIFS(INDIRECT(ADDRESS(12,3+18*1+(11),,,"J1 D - South Bank Avenue")&amp;":"&amp;ADDRESS(130,3+18*1+(11))),'J1 D - South Bank Avenue'!$A$12:$A$130,"&gt;="&amp;Diagram!$O45,'J1 D - South Bank Avenue'!$A$12:$A$130,"&lt;"&amp;Diagram!$P45)))</f>
        <v>0</v>
      </c>
      <c r="CF45" s="42">
        <f ca="1">IF(OR($I$10="",$O45="",$P45="",$J$38&lt;&gt;"Yes"),0,IF($K$10=0,SUMIFS(INDIRECT(ADDRESS(12,3+18*2+(3),,,"J1 D - South Bank Avenue")&amp;":"&amp;ADDRESS(130,3+18*2+(3))),'J1 D - South Bank Avenue'!$A$12:$A$130,"&gt;="&amp;Diagram!$O45,'J1 D - South Bank Avenue'!$A$12:$A$130,"&lt;"&amp;Diagram!$P45),SUMIFS(INDIRECT(ADDRESS(12,3+18*2+(11),,,"J1 D - South Bank Avenue")&amp;":"&amp;ADDRESS(130,3+18*2+(11))),'J1 D - South Bank Avenue'!$A$12:$A$130,"&gt;="&amp;Diagram!$O45,'J1 D - South Bank Avenue'!$A$12:$A$130,"&lt;"&amp;Diagram!$P45)))</f>
        <v>0</v>
      </c>
      <c r="CG45" s="42">
        <f ca="1">IF(OR($I$10="",$O45="",$P45="",$J$38&lt;&gt;"Yes"),0,IF($K$10=0,SUMIFS(INDIRECT(ADDRESS(12,3+18*3+(3),,,"J1 D - South Bank Avenue")&amp;":"&amp;ADDRESS(130,3+18*3+(3))),'J1 D - South Bank Avenue'!$A$12:$A$130,"&gt;="&amp;Diagram!$O45,'J1 D - South Bank Avenue'!$A$12:$A$130,"&lt;"&amp;Diagram!$P45),SUMIFS(INDIRECT(ADDRESS(12,3+18*3+(11),,,"J1 D - South Bank Avenue")&amp;":"&amp;ADDRESS(130,3+18*3+(11))),'J1 D - South Bank Avenue'!$A$12:$A$130,"&gt;="&amp;Diagram!$O45,'J1 D - South Bank Avenue'!$A$12:$A$130,"&lt;"&amp;Diagram!$P45)))</f>
        <v>0</v>
      </c>
      <c r="CH45" s="42">
        <f t="shared" ca="1" si="5"/>
        <v>7</v>
      </c>
      <c r="CI45" s="42">
        <f ca="1">IF(OR($I$10="",$O45="",$P45="",$J$39&lt;&gt;"Yes"),0,IF($K$10=0,SUMIFS(INDIRECT(ADDRESS(12,3+18*3+(4),,,"J1 A - (North) Bishopthorpe Roa")&amp;":"&amp;ADDRESS(130,3+18*3+(4))),'J1 A - (North) Bishopthorpe Roa'!$A$12:$A$130,"&gt;="&amp;Diagram!$O45,'J1 A - (North) Bishopthorpe Roa'!$A$12:$A$130,"&lt;"&amp;Diagram!$P45),SUMIFS(INDIRECT(ADDRESS(12,3+18*3+(12),,,"J1 A - (North) Bishopthorpe Roa")&amp;":"&amp;ADDRESS(130,3+18*3+(12))),'J1 A - (North) Bishopthorpe Roa'!$A$12:$A$130,"&gt;="&amp;Diagram!$O45,'J1 A - (North) Bishopthorpe Roa'!$A$12:$A$130,"&lt;"&amp;Diagram!$P45)))</f>
        <v>0</v>
      </c>
      <c r="CJ45" s="42">
        <f ca="1">IF(OR($I$10="",$O45="",$P45="",$J$39&lt;&gt;"Yes"),0,IF($K$10=0,SUMIFS(INDIRECT(ADDRESS(12,3+18*0+(4),,,"J1 A - (North) Bishopthorpe Roa")&amp;":"&amp;ADDRESS(130,3+18*0+(4))),'J1 A - (North) Bishopthorpe Roa'!$A$12:$A$130,"&gt;="&amp;Diagram!$O45,'J1 A - (North) Bishopthorpe Roa'!$A$12:$A$130,"&lt;"&amp;Diagram!$P45),SUMIFS(INDIRECT(ADDRESS(12,3+18*0+(12),,,"J1 A - (North) Bishopthorpe Roa")&amp;":"&amp;ADDRESS(130,3+18*0+(12))),'J1 A - (North) Bishopthorpe Roa'!$A$12:$A$130,"&gt;="&amp;Diagram!$O45,'J1 A - (North) Bishopthorpe Roa'!$A$12:$A$130,"&lt;"&amp;Diagram!$P45)))</f>
        <v>0</v>
      </c>
      <c r="CK45" s="42">
        <f ca="1">IF(OR($I$10="",$O45="",$P45="",$J$39&lt;&gt;"Yes"),0,IF($K$10=0,SUMIFS(INDIRECT(ADDRESS(12,3+18*1+(4),,,"J1 A - (North) Bishopthorpe Roa")&amp;":"&amp;ADDRESS(130,3+18*1+(4))),'J1 A - (North) Bishopthorpe Roa'!$A$12:$A$130,"&gt;="&amp;Diagram!$O45,'J1 A - (North) Bishopthorpe Roa'!$A$12:$A$130,"&lt;"&amp;Diagram!$P45),SUMIFS(INDIRECT(ADDRESS(12,3+18*1+(12),,,"J1 A - (North) Bishopthorpe Roa")&amp;":"&amp;ADDRESS(130,3+18*1+(12))),'J1 A - (North) Bishopthorpe Roa'!$A$12:$A$130,"&gt;="&amp;Diagram!$O45,'J1 A - (North) Bishopthorpe Roa'!$A$12:$A$130,"&lt;"&amp;Diagram!$P45)))</f>
        <v>4</v>
      </c>
      <c r="CL45" s="42">
        <f ca="1">IF(OR($I$10="",$O45="",$P45="",$J$39&lt;&gt;"Yes"),0,IF($K$10=0,SUMIFS(INDIRECT(ADDRESS(12,3+18*2+(4),,,"J1 A - (North) Bishopthorpe Roa")&amp;":"&amp;ADDRESS(130,3+18*2+(4))),'J1 A - (North) Bishopthorpe Roa'!$A$12:$A$130,"&gt;="&amp;Diagram!$O45,'J1 A - (North) Bishopthorpe Roa'!$A$12:$A$130,"&lt;"&amp;Diagram!$P45),SUMIFS(INDIRECT(ADDRESS(12,3+18*2+(12),,,"J1 A - (North) Bishopthorpe Roa")&amp;":"&amp;ADDRESS(130,3+18*2+(12))),'J1 A - (North) Bishopthorpe Roa'!$A$12:$A$130,"&gt;="&amp;Diagram!$O45,'J1 A - (North) Bishopthorpe Roa'!$A$12:$A$130,"&lt;"&amp;Diagram!$P45)))</f>
        <v>0</v>
      </c>
      <c r="CM45" s="42">
        <f ca="1">IF(OR($I$10="",$O45="",$P45="",$J$39&lt;&gt;"Yes"),0,IF($K$10=0,SUMIFS(INDIRECT(ADDRESS(12,3+18*2+(4),,,"J1 B - Butcher Terrace")&amp;":"&amp;ADDRESS(130,3+18*2+(4))),'J1 B - Butcher Terrace'!$A$12:$A$130,"&gt;="&amp;Diagram!$O45,'J1 B - Butcher Terrace'!$A$12:$A$130,"&lt;"&amp;Diagram!$P45),SUMIFS(INDIRECT(ADDRESS(12,3+18*2+(12),,,"J1 B - Butcher Terrace")&amp;":"&amp;ADDRESS(130,3+18*2+(12))),'J1 B - Butcher Terrace'!$A$12:$A$130,"&gt;="&amp;Diagram!$O45,'J1 B - Butcher Terrace'!$A$12:$A$130,"&lt;"&amp;Diagram!$P45)))</f>
        <v>0</v>
      </c>
      <c r="CN45" s="42">
        <f ca="1">IF(OR($I$10="",$O45="",$P45="",$J$39&lt;&gt;"Yes"),0,IF($K$10=0,SUMIFS(INDIRECT(ADDRESS(12,3+18*3+(4),,,"J1 B - Butcher Terrace")&amp;":"&amp;ADDRESS(130,3+18*3+(4))),'J1 B - Butcher Terrace'!$A$12:$A$130,"&gt;="&amp;Diagram!$O45,'J1 B - Butcher Terrace'!$A$12:$A$130,"&lt;"&amp;Diagram!$P45),SUMIFS(INDIRECT(ADDRESS(12,3+18*3+(12),,,"J1 B - Butcher Terrace")&amp;":"&amp;ADDRESS(130,3+18*3+(12))),'J1 B - Butcher Terrace'!$A$12:$A$130,"&gt;="&amp;Diagram!$O45,'J1 B - Butcher Terrace'!$A$12:$A$130,"&lt;"&amp;Diagram!$P45)))</f>
        <v>0</v>
      </c>
      <c r="CO45" s="42">
        <f ca="1">IF(OR($I$10="",$O45="",$P45="",$J$39&lt;&gt;"Yes"),0,IF($K$10=0,SUMIFS(INDIRECT(ADDRESS(12,3+18*0+(4),,,"J1 B - Butcher Terrace")&amp;":"&amp;ADDRESS(130,3+18*0+(4))),'J1 B - Butcher Terrace'!$A$12:$A$130,"&gt;="&amp;Diagram!$O45,'J1 B - Butcher Terrace'!$A$12:$A$130,"&lt;"&amp;Diagram!$P45),SUMIFS(INDIRECT(ADDRESS(12,3+18*0+(12),,,"J1 B - Butcher Terrace")&amp;":"&amp;ADDRESS(130,3+18*0+(12))),'J1 B - Butcher Terrace'!$A$12:$A$130,"&gt;="&amp;Diagram!$O45,'J1 B - Butcher Terrace'!$A$12:$A$130,"&lt;"&amp;Diagram!$P45)))</f>
        <v>0</v>
      </c>
      <c r="CP45" s="42">
        <f ca="1">IF(OR($I$10="",$O45="",$P45="",$J$39&lt;&gt;"Yes"),0,IF($K$10=0,SUMIFS(INDIRECT(ADDRESS(12,3+18*1+(4),,,"J1 B - Butcher Terrace")&amp;":"&amp;ADDRESS(130,3+18*1+(4))),'J1 B - Butcher Terrace'!$A$12:$A$130,"&gt;="&amp;Diagram!$O45,'J1 B - Butcher Terrace'!$A$12:$A$130,"&lt;"&amp;Diagram!$P45),SUMIFS(INDIRECT(ADDRESS(12,3+18*1+(12),,,"J1 B - Butcher Terrace")&amp;":"&amp;ADDRESS(130,3+18*1+(12))),'J1 B - Butcher Terrace'!$A$12:$A$130,"&gt;="&amp;Diagram!$O45,'J1 B - Butcher Terrace'!$A$12:$A$130,"&lt;"&amp;Diagram!$P45)))</f>
        <v>0</v>
      </c>
      <c r="CQ45" s="42">
        <f ca="1">IF(OR($I$10="",$O45="",$P45="",$J$39&lt;&gt;"Yes"),0,IF($K$10=0,SUMIFS(INDIRECT(ADDRESS(12,3+18*1+(4),,,"J1 C - (South) Bishopthorpe Roa")&amp;":"&amp;ADDRESS(130,3+18*1+(4))),'J1 C - (South) Bishopthorpe Roa'!$A$12:$A$130,"&gt;="&amp;Diagram!$O45,'J1 C - (South) Bishopthorpe Roa'!$A$12:$A$130,"&lt;"&amp;Diagram!$P45),SUMIFS(INDIRECT(ADDRESS(12,3+18*1+(12),,,"J1 C - (South) Bishopthorpe Roa")&amp;":"&amp;ADDRESS(130,3+18*1+(12))),'J1 C - (South) Bishopthorpe Roa'!$A$12:$A$130,"&gt;="&amp;Diagram!$O45,'J1 C - (South) Bishopthorpe Roa'!$A$12:$A$130,"&lt;"&amp;Diagram!$P45)))</f>
        <v>3</v>
      </c>
      <c r="CR45" s="42">
        <f ca="1">IF(OR($I$10="",$O45="",$P45="",$J$39&lt;&gt;"Yes"),0,IF($K$10=0,SUMIFS(INDIRECT(ADDRESS(12,3+18*2+(4),,,"J1 C - (South) Bishopthorpe Roa")&amp;":"&amp;ADDRESS(130,3+18*2+(4))),'J1 C - (South) Bishopthorpe Roa'!$A$12:$A$130,"&gt;="&amp;Diagram!$O45,'J1 C - (South) Bishopthorpe Roa'!$A$12:$A$130,"&lt;"&amp;Diagram!$P45),SUMIFS(INDIRECT(ADDRESS(12,3+18*2+(12),,,"J1 C - (South) Bishopthorpe Roa")&amp;":"&amp;ADDRESS(130,3+18*2+(12))),'J1 C - (South) Bishopthorpe Roa'!$A$12:$A$130,"&gt;="&amp;Diagram!$O45,'J1 C - (South) Bishopthorpe Roa'!$A$12:$A$130,"&lt;"&amp;Diagram!$P45)))</f>
        <v>0</v>
      </c>
      <c r="CS45" s="42">
        <f ca="1">IF(OR($I$10="",$O45="",$P45="",$J$39&lt;&gt;"Yes"),0,IF($K$10=0,SUMIFS(INDIRECT(ADDRESS(12,3+18*3+(4),,,"J1 C - (South) Bishopthorpe Roa")&amp;":"&amp;ADDRESS(130,3+18*3+(4))),'J1 C - (South) Bishopthorpe Roa'!$A$12:$A$130,"&gt;="&amp;Diagram!$O45,'J1 C - (South) Bishopthorpe Roa'!$A$12:$A$130,"&lt;"&amp;Diagram!$P45),SUMIFS(INDIRECT(ADDRESS(12,3+18*3+(12),,,"J1 C - (South) Bishopthorpe Roa")&amp;":"&amp;ADDRESS(130,3+18*3+(12))),'J1 C - (South) Bishopthorpe Roa'!$A$12:$A$130,"&gt;="&amp;Diagram!$O45,'J1 C - (South) Bishopthorpe Roa'!$A$12:$A$130,"&lt;"&amp;Diagram!$P45)))</f>
        <v>0</v>
      </c>
      <c r="CT45" s="42">
        <f ca="1">IF(OR($I$10="",$O45="",$P45="",$J$39&lt;&gt;"Yes"),0,IF($K$10=0,SUMIFS(INDIRECT(ADDRESS(12,3+18*0+(4),,,"J1 C - (South) Bishopthorpe Roa")&amp;":"&amp;ADDRESS(130,3+18*0+(4))),'J1 C - (South) Bishopthorpe Roa'!$A$12:$A$130,"&gt;="&amp;Diagram!$O45,'J1 C - (South) Bishopthorpe Roa'!$A$12:$A$130,"&lt;"&amp;Diagram!$P45),SUMIFS(INDIRECT(ADDRESS(12,3+18*0+(12),,,"J1 C - (South) Bishopthorpe Roa")&amp;":"&amp;ADDRESS(130,3+18*0+(12))),'J1 C - (South) Bishopthorpe Roa'!$A$12:$A$130,"&gt;="&amp;Diagram!$O45,'J1 C - (South) Bishopthorpe Roa'!$A$12:$A$130,"&lt;"&amp;Diagram!$P45)))</f>
        <v>0</v>
      </c>
      <c r="CU45" s="42">
        <f ca="1">IF(OR($I$10="",$O45="",$P45="",$J$39&lt;&gt;"Yes"),0,IF($K$10=0,SUMIFS(INDIRECT(ADDRESS(12,3+18*0+(4),,,"J1 D - South Bank Avenue")&amp;":"&amp;ADDRESS(130,3+18*0+(4))),'J1 D - South Bank Avenue'!$A$12:$A$130,"&gt;="&amp;Diagram!$O45,'J1 D - South Bank Avenue'!$A$12:$A$130,"&lt;"&amp;Diagram!$P45),SUMIFS(INDIRECT(ADDRESS(12,3+18*0+(12),,,"J1 D - South Bank Avenue")&amp;":"&amp;ADDRESS(130,3+18*0+(12))),'J1 D - South Bank Avenue'!$A$12:$A$130,"&gt;="&amp;Diagram!$O45,'J1 D - South Bank Avenue'!$A$12:$A$130,"&lt;"&amp;Diagram!$P45)))</f>
        <v>0</v>
      </c>
      <c r="CV45" s="42">
        <f ca="1">IF(OR($I$10="",$O45="",$P45="",$J$39&lt;&gt;"Yes"),0,IF($K$10=0,SUMIFS(INDIRECT(ADDRESS(12,3+18*1+(4),,,"J1 D - South Bank Avenue")&amp;":"&amp;ADDRESS(130,3+18*1+(4))),'J1 D - South Bank Avenue'!$A$12:$A$130,"&gt;="&amp;Diagram!$O45,'J1 D - South Bank Avenue'!$A$12:$A$130,"&lt;"&amp;Diagram!$P45),SUMIFS(INDIRECT(ADDRESS(12,3+18*1+(12),,,"J1 D - South Bank Avenue")&amp;":"&amp;ADDRESS(130,3+18*1+(12))),'J1 D - South Bank Avenue'!$A$12:$A$130,"&gt;="&amp;Diagram!$O45,'J1 D - South Bank Avenue'!$A$12:$A$130,"&lt;"&amp;Diagram!$P45)))</f>
        <v>0</v>
      </c>
      <c r="CW45" s="42">
        <f ca="1">IF(OR($I$10="",$O45="",$P45="",$J$39&lt;&gt;"Yes"),0,IF($K$10=0,SUMIFS(INDIRECT(ADDRESS(12,3+18*2+(4),,,"J1 D - South Bank Avenue")&amp;":"&amp;ADDRESS(130,3+18*2+(4))),'J1 D - South Bank Avenue'!$A$12:$A$130,"&gt;="&amp;Diagram!$O45,'J1 D - South Bank Avenue'!$A$12:$A$130,"&lt;"&amp;Diagram!$P45),SUMIFS(INDIRECT(ADDRESS(12,3+18*2+(12),,,"J1 D - South Bank Avenue")&amp;":"&amp;ADDRESS(130,3+18*2+(12))),'J1 D - South Bank Avenue'!$A$12:$A$130,"&gt;="&amp;Diagram!$O45,'J1 D - South Bank Avenue'!$A$12:$A$130,"&lt;"&amp;Diagram!$P45)))</f>
        <v>0</v>
      </c>
      <c r="CX45" s="42">
        <f ca="1">IF(OR($I$10="",$O45="",$P45="",$J$39&lt;&gt;"Yes"),0,IF($K$10=0,SUMIFS(INDIRECT(ADDRESS(12,3+18*3+(4),,,"J1 D - South Bank Avenue")&amp;":"&amp;ADDRESS(130,3+18*3+(4))),'J1 D - South Bank Avenue'!$A$12:$A$130,"&gt;="&amp;Diagram!$O45,'J1 D - South Bank Avenue'!$A$12:$A$130,"&lt;"&amp;Diagram!$P45),SUMIFS(INDIRECT(ADDRESS(12,3+18*3+(12),,,"J1 D - South Bank Avenue")&amp;":"&amp;ADDRESS(130,3+18*3+(12))),'J1 D - South Bank Avenue'!$A$12:$A$130,"&gt;="&amp;Diagram!$O45,'J1 D - South Bank Avenue'!$A$12:$A$130,"&lt;"&amp;Diagram!$P45)))</f>
        <v>0</v>
      </c>
      <c r="CY45" s="42">
        <f t="shared" ca="1" si="6"/>
        <v>75</v>
      </c>
      <c r="CZ45" s="42">
        <f ca="1">IF(OR($I$10="",$O45="",$P45="",$J$40&lt;&gt;"Yes"),0,IF($K$10=0,SUMIFS(INDIRECT(ADDRESS(12,3+18*3+(5),,,"J1 A - (North) Bishopthorpe Roa")&amp;":"&amp;ADDRESS(130,3+18*3+(5))),'J1 A - (North) Bishopthorpe Roa'!$A$12:$A$130,"&gt;="&amp;Diagram!$O45,'J1 A - (North) Bishopthorpe Roa'!$A$12:$A$130,"&lt;"&amp;Diagram!$P45),SUMIFS(INDIRECT(ADDRESS(12,3+18*3+(13),,,"J1 A - (North) Bishopthorpe Roa")&amp;":"&amp;ADDRESS(130,3+18*3+(13))),'J1 A - (North) Bishopthorpe Roa'!$A$12:$A$130,"&gt;="&amp;Diagram!$O45,'J1 A - (North) Bishopthorpe Roa'!$A$12:$A$130,"&lt;"&amp;Diagram!$P45)))</f>
        <v>0</v>
      </c>
      <c r="DA45" s="42">
        <f ca="1">IF(OR($I$10="",$O45="",$P45="",$J$40&lt;&gt;"Yes"),0,IF($K$10=0,SUMIFS(INDIRECT(ADDRESS(12,3+18*0+(5),,,"J1 A - (North) Bishopthorpe Roa")&amp;":"&amp;ADDRESS(130,3+18*0+(5))),'J1 A - (North) Bishopthorpe Roa'!$A$12:$A$130,"&gt;="&amp;Diagram!$O45,'J1 A - (North) Bishopthorpe Roa'!$A$12:$A$130,"&lt;"&amp;Diagram!$P45),SUMIFS(INDIRECT(ADDRESS(12,3+18*0+(13),,,"J1 A - (North) Bishopthorpe Roa")&amp;":"&amp;ADDRESS(130,3+18*0+(13))),'J1 A - (North) Bishopthorpe Roa'!$A$12:$A$130,"&gt;="&amp;Diagram!$O45,'J1 A - (North) Bishopthorpe Roa'!$A$12:$A$130,"&lt;"&amp;Diagram!$P45)))</f>
        <v>12</v>
      </c>
      <c r="DB45" s="42">
        <f ca="1">IF(OR($I$10="",$O45="",$P45="",$J$40&lt;&gt;"Yes"),0,IF($K$10=0,SUMIFS(INDIRECT(ADDRESS(12,3+18*1+(5),,,"J1 A - (North) Bishopthorpe Roa")&amp;":"&amp;ADDRESS(130,3+18*1+(5))),'J1 A - (North) Bishopthorpe Roa'!$A$12:$A$130,"&gt;="&amp;Diagram!$O45,'J1 A - (North) Bishopthorpe Roa'!$A$12:$A$130,"&lt;"&amp;Diagram!$P45),SUMIFS(INDIRECT(ADDRESS(12,3+18*1+(13),,,"J1 A - (North) Bishopthorpe Roa")&amp;":"&amp;ADDRESS(130,3+18*1+(13))),'J1 A - (North) Bishopthorpe Roa'!$A$12:$A$130,"&gt;="&amp;Diagram!$O45,'J1 A - (North) Bishopthorpe Roa'!$A$12:$A$130,"&lt;"&amp;Diagram!$P45)))</f>
        <v>11</v>
      </c>
      <c r="DC45" s="42">
        <f ca="1">IF(OR($I$10="",$O45="",$P45="",$J$40&lt;&gt;"Yes"),0,IF($K$10=0,SUMIFS(INDIRECT(ADDRESS(12,3+18*2+(5),,,"J1 A - (North) Bishopthorpe Roa")&amp;":"&amp;ADDRESS(130,3+18*2+(5))),'J1 A - (North) Bishopthorpe Roa'!$A$12:$A$130,"&gt;="&amp;Diagram!$O45,'J1 A - (North) Bishopthorpe Roa'!$A$12:$A$130,"&lt;"&amp;Diagram!$P45),SUMIFS(INDIRECT(ADDRESS(12,3+18*2+(13),,,"J1 A - (North) Bishopthorpe Roa")&amp;":"&amp;ADDRESS(130,3+18*2+(13))),'J1 A - (North) Bishopthorpe Roa'!$A$12:$A$130,"&gt;="&amp;Diagram!$O45,'J1 A - (North) Bishopthorpe Roa'!$A$12:$A$130,"&lt;"&amp;Diagram!$P45)))</f>
        <v>2</v>
      </c>
      <c r="DD45" s="42">
        <f ca="1">IF(OR($I$10="",$O45="",$P45="",$J$40&lt;&gt;"Yes"),0,IF($K$10=0,SUMIFS(INDIRECT(ADDRESS(12,3+18*2+(5),,,"J1 B - Butcher Terrace")&amp;":"&amp;ADDRESS(130,3+18*2+(5))),'J1 B - Butcher Terrace'!$A$12:$A$130,"&gt;="&amp;Diagram!$O45,'J1 B - Butcher Terrace'!$A$12:$A$130,"&lt;"&amp;Diagram!$P45),SUMIFS(INDIRECT(ADDRESS(12,3+18*2+(13),,,"J1 B - Butcher Terrace")&amp;":"&amp;ADDRESS(130,3+18*2+(13))),'J1 B - Butcher Terrace'!$A$12:$A$130,"&gt;="&amp;Diagram!$O45,'J1 B - Butcher Terrace'!$A$12:$A$130,"&lt;"&amp;Diagram!$P45)))</f>
        <v>4</v>
      </c>
      <c r="DE45" s="42">
        <f ca="1">IF(OR($I$10="",$O45="",$P45="",$J$40&lt;&gt;"Yes"),0,IF($K$10=0,SUMIFS(INDIRECT(ADDRESS(12,3+18*3+(5),,,"J1 B - Butcher Terrace")&amp;":"&amp;ADDRESS(130,3+18*3+(5))),'J1 B - Butcher Terrace'!$A$12:$A$130,"&gt;="&amp;Diagram!$O45,'J1 B - Butcher Terrace'!$A$12:$A$130,"&lt;"&amp;Diagram!$P45),SUMIFS(INDIRECT(ADDRESS(12,3+18*3+(13),,,"J1 B - Butcher Terrace")&amp;":"&amp;ADDRESS(130,3+18*3+(13))),'J1 B - Butcher Terrace'!$A$12:$A$130,"&gt;="&amp;Diagram!$O45,'J1 B - Butcher Terrace'!$A$12:$A$130,"&lt;"&amp;Diagram!$P45)))</f>
        <v>0</v>
      </c>
      <c r="DF45" s="42">
        <f ca="1">IF(OR($I$10="",$O45="",$P45="",$J$40&lt;&gt;"Yes"),0,IF($K$10=0,SUMIFS(INDIRECT(ADDRESS(12,3+18*0+(5),,,"J1 B - Butcher Terrace")&amp;":"&amp;ADDRESS(130,3+18*0+(5))),'J1 B - Butcher Terrace'!$A$12:$A$130,"&gt;="&amp;Diagram!$O45,'J1 B - Butcher Terrace'!$A$12:$A$130,"&lt;"&amp;Diagram!$P45),SUMIFS(INDIRECT(ADDRESS(12,3+18*0+(13),,,"J1 B - Butcher Terrace")&amp;":"&amp;ADDRESS(130,3+18*0+(13))),'J1 B - Butcher Terrace'!$A$12:$A$130,"&gt;="&amp;Diagram!$O45,'J1 B - Butcher Terrace'!$A$12:$A$130,"&lt;"&amp;Diagram!$P45)))</f>
        <v>8</v>
      </c>
      <c r="DG45" s="42">
        <f ca="1">IF(OR($I$10="",$O45="",$P45="",$J$40&lt;&gt;"Yes"),0,IF($K$10=0,SUMIFS(INDIRECT(ADDRESS(12,3+18*1+(5),,,"J1 B - Butcher Terrace")&amp;":"&amp;ADDRESS(130,3+18*1+(5))),'J1 B - Butcher Terrace'!$A$12:$A$130,"&gt;="&amp;Diagram!$O45,'J1 B - Butcher Terrace'!$A$12:$A$130,"&lt;"&amp;Diagram!$P45),SUMIFS(INDIRECT(ADDRESS(12,3+18*1+(13),,,"J1 B - Butcher Terrace")&amp;":"&amp;ADDRESS(130,3+18*1+(13))),'J1 B - Butcher Terrace'!$A$12:$A$130,"&gt;="&amp;Diagram!$O45,'J1 B - Butcher Terrace'!$A$12:$A$130,"&lt;"&amp;Diagram!$P45)))</f>
        <v>10</v>
      </c>
      <c r="DH45" s="42">
        <f ca="1">IF(OR($I$10="",$O45="",$P45="",$J$40&lt;&gt;"Yes"),0,IF($K$10=0,SUMIFS(INDIRECT(ADDRESS(12,3+18*1+(5),,,"J1 C - (South) Bishopthorpe Roa")&amp;":"&amp;ADDRESS(130,3+18*1+(5))),'J1 C - (South) Bishopthorpe Roa'!$A$12:$A$130,"&gt;="&amp;Diagram!$O45,'J1 C - (South) Bishopthorpe Roa'!$A$12:$A$130,"&lt;"&amp;Diagram!$P45),SUMIFS(INDIRECT(ADDRESS(12,3+18*1+(13),,,"J1 C - (South) Bishopthorpe Roa")&amp;":"&amp;ADDRESS(130,3+18*1+(13))),'J1 C - (South) Bishopthorpe Roa'!$A$12:$A$130,"&gt;="&amp;Diagram!$O45,'J1 C - (South) Bishopthorpe Roa'!$A$12:$A$130,"&lt;"&amp;Diagram!$P45)))</f>
        <v>6</v>
      </c>
      <c r="DI45" s="42">
        <f ca="1">IF(OR($I$10="",$O45="",$P45="",$J$40&lt;&gt;"Yes"),0,IF($K$10=0,SUMIFS(INDIRECT(ADDRESS(12,3+18*2+(5),,,"J1 C - (South) Bishopthorpe Roa")&amp;":"&amp;ADDRESS(130,3+18*2+(5))),'J1 C - (South) Bishopthorpe Roa'!$A$12:$A$130,"&gt;="&amp;Diagram!$O45,'J1 C - (South) Bishopthorpe Roa'!$A$12:$A$130,"&lt;"&amp;Diagram!$P45),SUMIFS(INDIRECT(ADDRESS(12,3+18*2+(13),,,"J1 C - (South) Bishopthorpe Roa")&amp;":"&amp;ADDRESS(130,3+18*2+(13))),'J1 C - (South) Bishopthorpe Roa'!$A$12:$A$130,"&gt;="&amp;Diagram!$O45,'J1 C - (South) Bishopthorpe Roa'!$A$12:$A$130,"&lt;"&amp;Diagram!$P45)))</f>
        <v>6</v>
      </c>
      <c r="DJ45" s="42">
        <f ca="1">IF(OR($I$10="",$O45="",$P45="",$J$40&lt;&gt;"Yes"),0,IF($K$10=0,SUMIFS(INDIRECT(ADDRESS(12,3+18*3+(5),,,"J1 C - (South) Bishopthorpe Roa")&amp;":"&amp;ADDRESS(130,3+18*3+(5))),'J1 C - (South) Bishopthorpe Roa'!$A$12:$A$130,"&gt;="&amp;Diagram!$O45,'J1 C - (South) Bishopthorpe Roa'!$A$12:$A$130,"&lt;"&amp;Diagram!$P45),SUMIFS(INDIRECT(ADDRESS(12,3+18*3+(13),,,"J1 C - (South) Bishopthorpe Roa")&amp;":"&amp;ADDRESS(130,3+18*3+(13))),'J1 C - (South) Bishopthorpe Roa'!$A$12:$A$130,"&gt;="&amp;Diagram!$O45,'J1 C - (South) Bishopthorpe Roa'!$A$12:$A$130,"&lt;"&amp;Diagram!$P45)))</f>
        <v>0</v>
      </c>
      <c r="DK45" s="42">
        <f ca="1">IF(OR($I$10="",$O45="",$P45="",$J$40&lt;&gt;"Yes"),0,IF($K$10=0,SUMIFS(INDIRECT(ADDRESS(12,3+18*0+(5),,,"J1 C - (South) Bishopthorpe Roa")&amp;":"&amp;ADDRESS(130,3+18*0+(5))),'J1 C - (South) Bishopthorpe Roa'!$A$12:$A$130,"&gt;="&amp;Diagram!$O45,'J1 C - (South) Bishopthorpe Roa'!$A$12:$A$130,"&lt;"&amp;Diagram!$P45),SUMIFS(INDIRECT(ADDRESS(12,3+18*0+(13),,,"J1 C - (South) Bishopthorpe Roa")&amp;":"&amp;ADDRESS(130,3+18*0+(13))),'J1 C - (South) Bishopthorpe Roa'!$A$12:$A$130,"&gt;="&amp;Diagram!$O45,'J1 C - (South) Bishopthorpe Roa'!$A$12:$A$130,"&lt;"&amp;Diagram!$P45)))</f>
        <v>0</v>
      </c>
      <c r="DL45" s="42">
        <f ca="1">IF(OR($I$10="",$O45="",$P45="",$J$40&lt;&gt;"Yes"),0,IF($K$10=0,SUMIFS(INDIRECT(ADDRESS(12,3+18*0+(5),,,"J1 D - South Bank Avenue")&amp;":"&amp;ADDRESS(130,3+18*0+(5))),'J1 D - South Bank Avenue'!$A$12:$A$130,"&gt;="&amp;Diagram!$O45,'J1 D - South Bank Avenue'!$A$12:$A$130,"&lt;"&amp;Diagram!$P45),SUMIFS(INDIRECT(ADDRESS(12,3+18*0+(13),,,"J1 D - South Bank Avenue")&amp;":"&amp;ADDRESS(130,3+18*0+(13))),'J1 D - South Bank Avenue'!$A$12:$A$130,"&gt;="&amp;Diagram!$O45,'J1 D - South Bank Avenue'!$A$12:$A$130,"&lt;"&amp;Diagram!$P45)))</f>
        <v>7</v>
      </c>
      <c r="DM45" s="42">
        <f ca="1">IF(OR($I$10="",$O45="",$P45="",$J$40&lt;&gt;"Yes"),0,IF($K$10=0,SUMIFS(INDIRECT(ADDRESS(12,3+18*1+(5),,,"J1 D - South Bank Avenue")&amp;":"&amp;ADDRESS(130,3+18*1+(5))),'J1 D - South Bank Avenue'!$A$12:$A$130,"&gt;="&amp;Diagram!$O45,'J1 D - South Bank Avenue'!$A$12:$A$130,"&lt;"&amp;Diagram!$P45),SUMIFS(INDIRECT(ADDRESS(12,3+18*1+(13),,,"J1 D - South Bank Avenue")&amp;":"&amp;ADDRESS(130,3+18*1+(13))),'J1 D - South Bank Avenue'!$A$12:$A$130,"&gt;="&amp;Diagram!$O45,'J1 D - South Bank Avenue'!$A$12:$A$130,"&lt;"&amp;Diagram!$P45)))</f>
        <v>9</v>
      </c>
      <c r="DN45" s="42">
        <f ca="1">IF(OR($I$10="",$O45="",$P45="",$J$40&lt;&gt;"Yes"),0,IF($K$10=0,SUMIFS(INDIRECT(ADDRESS(12,3+18*2+(5),,,"J1 D - South Bank Avenue")&amp;":"&amp;ADDRESS(130,3+18*2+(5))),'J1 D - South Bank Avenue'!$A$12:$A$130,"&gt;="&amp;Diagram!$O45,'J1 D - South Bank Avenue'!$A$12:$A$130,"&lt;"&amp;Diagram!$P45),SUMIFS(INDIRECT(ADDRESS(12,3+18*2+(13),,,"J1 D - South Bank Avenue")&amp;":"&amp;ADDRESS(130,3+18*2+(13))),'J1 D - South Bank Avenue'!$A$12:$A$130,"&gt;="&amp;Diagram!$O45,'J1 D - South Bank Avenue'!$A$12:$A$130,"&lt;"&amp;Diagram!$P45)))</f>
        <v>0</v>
      </c>
      <c r="DO45" s="42">
        <f ca="1">IF(OR($I$10="",$O45="",$P45="",$J$40&lt;&gt;"Yes"),0,IF($K$10=0,SUMIFS(INDIRECT(ADDRESS(12,3+18*3+(5),,,"J1 D - South Bank Avenue")&amp;":"&amp;ADDRESS(130,3+18*3+(5))),'J1 D - South Bank Avenue'!$A$12:$A$130,"&gt;="&amp;Diagram!$O45,'J1 D - South Bank Avenue'!$A$12:$A$130,"&lt;"&amp;Diagram!$P45),SUMIFS(INDIRECT(ADDRESS(12,3+18*3+(13),,,"J1 D - South Bank Avenue")&amp;":"&amp;ADDRESS(130,3+18*3+(13))),'J1 D - South Bank Avenue'!$A$12:$A$130,"&gt;="&amp;Diagram!$O45,'J1 D - South Bank Avenue'!$A$12:$A$130,"&lt;"&amp;Diagram!$P45)))</f>
        <v>0</v>
      </c>
      <c r="DP45" s="42">
        <f t="shared" ca="1" si="7"/>
        <v>2</v>
      </c>
      <c r="DQ45" s="42">
        <f ca="1">IF(OR($I$10="",$O45="",$P45="",$J$41&lt;&gt;"Yes"),0,IF($K$10=0,SUMIFS(INDIRECT(ADDRESS(12,3+18*3+(6),,,"J1 A - (North) Bishopthorpe Roa")&amp;":"&amp;ADDRESS(130,3+18*3+(6))),'J1 A - (North) Bishopthorpe Roa'!$A$12:$A$130,"&gt;="&amp;Diagram!$O45,'J1 A - (North) Bishopthorpe Roa'!$A$12:$A$130,"&lt;"&amp;Diagram!$P45),SUMIFS(INDIRECT(ADDRESS(12,3+18*3+(14),,,"J1 A - (North) Bishopthorpe Roa")&amp;":"&amp;ADDRESS(130,3+18*3+(14))),'J1 A - (North) Bishopthorpe Roa'!$A$12:$A$130,"&gt;="&amp;Diagram!$O45,'J1 A - (North) Bishopthorpe Roa'!$A$12:$A$130,"&lt;"&amp;Diagram!$P45)))</f>
        <v>0</v>
      </c>
      <c r="DR45" s="42">
        <f ca="1">IF(OR($I$10="",$O45="",$P45="",$J$41&lt;&gt;"Yes"),0,IF($K$10=0,SUMIFS(INDIRECT(ADDRESS(12,3+18*0+(6),,,"J1 A - (North) Bishopthorpe Roa")&amp;":"&amp;ADDRESS(130,3+18*0+(6))),'J1 A - (North) Bishopthorpe Roa'!$A$12:$A$130,"&gt;="&amp;Diagram!$O45,'J1 A - (North) Bishopthorpe Roa'!$A$12:$A$130,"&lt;"&amp;Diagram!$P45),SUMIFS(INDIRECT(ADDRESS(12,3+18*0+(14),,,"J1 A - (North) Bishopthorpe Roa")&amp;":"&amp;ADDRESS(130,3+18*0+(14))),'J1 A - (North) Bishopthorpe Roa'!$A$12:$A$130,"&gt;="&amp;Diagram!$O45,'J1 A - (North) Bishopthorpe Roa'!$A$12:$A$130,"&lt;"&amp;Diagram!$P45)))</f>
        <v>0</v>
      </c>
      <c r="DS45" s="42">
        <f ca="1">IF(OR($I$10="",$O45="",$P45="",$J$41&lt;&gt;"Yes"),0,IF($K$10=0,SUMIFS(INDIRECT(ADDRESS(12,3+18*1+(6),,,"J1 A - (North) Bishopthorpe Roa")&amp;":"&amp;ADDRESS(130,3+18*1+(6))),'J1 A - (North) Bishopthorpe Roa'!$A$12:$A$130,"&gt;="&amp;Diagram!$O45,'J1 A - (North) Bishopthorpe Roa'!$A$12:$A$130,"&lt;"&amp;Diagram!$P45),SUMIFS(INDIRECT(ADDRESS(12,3+18*1+(14),,,"J1 A - (North) Bishopthorpe Roa")&amp;":"&amp;ADDRESS(130,3+18*1+(14))),'J1 A - (North) Bishopthorpe Roa'!$A$12:$A$130,"&gt;="&amp;Diagram!$O45,'J1 A - (North) Bishopthorpe Roa'!$A$12:$A$130,"&lt;"&amp;Diagram!$P45)))</f>
        <v>1</v>
      </c>
      <c r="DT45" s="42">
        <f ca="1">IF(OR($I$10="",$O45="",$P45="",$J$41&lt;&gt;"Yes"),0,IF($K$10=0,SUMIFS(INDIRECT(ADDRESS(12,3+18*2+(6),,,"J1 A - (North) Bishopthorpe Roa")&amp;":"&amp;ADDRESS(130,3+18*2+(6))),'J1 A - (North) Bishopthorpe Roa'!$A$12:$A$130,"&gt;="&amp;Diagram!$O45,'J1 A - (North) Bishopthorpe Roa'!$A$12:$A$130,"&lt;"&amp;Diagram!$P45),SUMIFS(INDIRECT(ADDRESS(12,3+18*2+(14),,,"J1 A - (North) Bishopthorpe Roa")&amp;":"&amp;ADDRESS(130,3+18*2+(14))),'J1 A - (North) Bishopthorpe Roa'!$A$12:$A$130,"&gt;="&amp;Diagram!$O45,'J1 A - (North) Bishopthorpe Roa'!$A$12:$A$130,"&lt;"&amp;Diagram!$P45)))</f>
        <v>0</v>
      </c>
      <c r="DU45" s="42">
        <f ca="1">IF(OR($I$10="",$O45="",$P45="",$J$41&lt;&gt;"Yes"),0,IF($K$10=0,SUMIFS(INDIRECT(ADDRESS(12,3+18*2+(6),,,"J1 B - Butcher Terrace")&amp;":"&amp;ADDRESS(130,3+18*2+(6))),'J1 B - Butcher Terrace'!$A$12:$A$130,"&gt;="&amp;Diagram!$O45,'J1 B - Butcher Terrace'!$A$12:$A$130,"&lt;"&amp;Diagram!$P45),SUMIFS(INDIRECT(ADDRESS(12,3+18*2+(14),,,"J1 B - Butcher Terrace")&amp;":"&amp;ADDRESS(130,3+18*2+(14))),'J1 B - Butcher Terrace'!$A$12:$A$130,"&gt;="&amp;Diagram!$O45,'J1 B - Butcher Terrace'!$A$12:$A$130,"&lt;"&amp;Diagram!$P45)))</f>
        <v>0</v>
      </c>
      <c r="DV45" s="42">
        <f ca="1">IF(OR($I$10="",$O45="",$P45="",$J$41&lt;&gt;"Yes"),0,IF($K$10=0,SUMIFS(INDIRECT(ADDRESS(12,3+18*3+(6),,,"J1 B - Butcher Terrace")&amp;":"&amp;ADDRESS(130,3+18*3+(6))),'J1 B - Butcher Terrace'!$A$12:$A$130,"&gt;="&amp;Diagram!$O45,'J1 B - Butcher Terrace'!$A$12:$A$130,"&lt;"&amp;Diagram!$P45),SUMIFS(INDIRECT(ADDRESS(12,3+18*3+(14),,,"J1 B - Butcher Terrace")&amp;":"&amp;ADDRESS(130,3+18*3+(14))),'J1 B - Butcher Terrace'!$A$12:$A$130,"&gt;="&amp;Diagram!$O45,'J1 B - Butcher Terrace'!$A$12:$A$130,"&lt;"&amp;Diagram!$P45)))</f>
        <v>0</v>
      </c>
      <c r="DW45" s="42">
        <f ca="1">IF(OR($I$10="",$O45="",$P45="",$J$41&lt;&gt;"Yes"),0,IF($K$10=0,SUMIFS(INDIRECT(ADDRESS(12,3+18*0+(6),,,"J1 B - Butcher Terrace")&amp;":"&amp;ADDRESS(130,3+18*0+(6))),'J1 B - Butcher Terrace'!$A$12:$A$130,"&gt;="&amp;Diagram!$O45,'J1 B - Butcher Terrace'!$A$12:$A$130,"&lt;"&amp;Diagram!$P45),SUMIFS(INDIRECT(ADDRESS(12,3+18*0+(14),,,"J1 B - Butcher Terrace")&amp;":"&amp;ADDRESS(130,3+18*0+(14))),'J1 B - Butcher Terrace'!$A$12:$A$130,"&gt;="&amp;Diagram!$O45,'J1 B - Butcher Terrace'!$A$12:$A$130,"&lt;"&amp;Diagram!$P45)))</f>
        <v>0</v>
      </c>
      <c r="DX45" s="42">
        <f ca="1">IF(OR($I$10="",$O45="",$P45="",$J$41&lt;&gt;"Yes"),0,IF($K$10=0,SUMIFS(INDIRECT(ADDRESS(12,3+18*1+(6),,,"J1 B - Butcher Terrace")&amp;":"&amp;ADDRESS(130,3+18*1+(6))),'J1 B - Butcher Terrace'!$A$12:$A$130,"&gt;="&amp;Diagram!$O45,'J1 B - Butcher Terrace'!$A$12:$A$130,"&lt;"&amp;Diagram!$P45),SUMIFS(INDIRECT(ADDRESS(12,3+18*1+(14),,,"J1 B - Butcher Terrace")&amp;":"&amp;ADDRESS(130,3+18*1+(14))),'J1 B - Butcher Terrace'!$A$12:$A$130,"&gt;="&amp;Diagram!$O45,'J1 B - Butcher Terrace'!$A$12:$A$130,"&lt;"&amp;Diagram!$P45)))</f>
        <v>0</v>
      </c>
      <c r="DY45" s="42">
        <f ca="1">IF(OR($I$10="",$O45="",$P45="",$J$41&lt;&gt;"Yes"),0,IF($K$10=0,SUMIFS(INDIRECT(ADDRESS(12,3+18*1+(6),,,"J1 C - (South) Bishopthorpe Roa")&amp;":"&amp;ADDRESS(130,3+18*1+(6))),'J1 C - (South) Bishopthorpe Roa'!$A$12:$A$130,"&gt;="&amp;Diagram!$O45,'J1 C - (South) Bishopthorpe Roa'!$A$12:$A$130,"&lt;"&amp;Diagram!$P45),SUMIFS(INDIRECT(ADDRESS(12,3+18*1+(14),,,"J1 C - (South) Bishopthorpe Roa")&amp;":"&amp;ADDRESS(130,3+18*1+(14))),'J1 C - (South) Bishopthorpe Roa'!$A$12:$A$130,"&gt;="&amp;Diagram!$O45,'J1 C - (South) Bishopthorpe Roa'!$A$12:$A$130,"&lt;"&amp;Diagram!$P45)))</f>
        <v>1</v>
      </c>
      <c r="DZ45" s="42">
        <f ca="1">IF(OR($I$10="",$O45="",$P45="",$J$41&lt;&gt;"Yes"),0,IF($K$10=0,SUMIFS(INDIRECT(ADDRESS(12,3+18*2+(6),,,"J1 C - (South) Bishopthorpe Roa")&amp;":"&amp;ADDRESS(130,3+18*2+(6))),'J1 C - (South) Bishopthorpe Roa'!$A$12:$A$130,"&gt;="&amp;Diagram!$O45,'J1 C - (South) Bishopthorpe Roa'!$A$12:$A$130,"&lt;"&amp;Diagram!$P45),SUMIFS(INDIRECT(ADDRESS(12,3+18*2+(14),,,"J1 C - (South) Bishopthorpe Roa")&amp;":"&amp;ADDRESS(130,3+18*2+(14))),'J1 C - (South) Bishopthorpe Roa'!$A$12:$A$130,"&gt;="&amp;Diagram!$O45,'J1 C - (South) Bishopthorpe Roa'!$A$12:$A$130,"&lt;"&amp;Diagram!$P45)))</f>
        <v>0</v>
      </c>
      <c r="EA45" s="42">
        <f ca="1">IF(OR($I$10="",$O45="",$P45="",$J$41&lt;&gt;"Yes"),0,IF($K$10=0,SUMIFS(INDIRECT(ADDRESS(12,3+18*3+(6),,,"J1 C - (South) Bishopthorpe Roa")&amp;":"&amp;ADDRESS(130,3+18*3+(6))),'J1 C - (South) Bishopthorpe Roa'!$A$12:$A$130,"&gt;="&amp;Diagram!$O45,'J1 C - (South) Bishopthorpe Roa'!$A$12:$A$130,"&lt;"&amp;Diagram!$P45),SUMIFS(INDIRECT(ADDRESS(12,3+18*3+(14),,,"J1 C - (South) Bishopthorpe Roa")&amp;":"&amp;ADDRESS(130,3+18*3+(14))),'J1 C - (South) Bishopthorpe Roa'!$A$12:$A$130,"&gt;="&amp;Diagram!$O45,'J1 C - (South) Bishopthorpe Roa'!$A$12:$A$130,"&lt;"&amp;Diagram!$P45)))</f>
        <v>0</v>
      </c>
      <c r="EB45" s="42">
        <f ca="1">IF(OR($I$10="",$O45="",$P45="",$J$41&lt;&gt;"Yes"),0,IF($K$10=0,SUMIFS(INDIRECT(ADDRESS(12,3+18*0+(6),,,"J1 C - (South) Bishopthorpe Roa")&amp;":"&amp;ADDRESS(130,3+18*0+(6))),'J1 C - (South) Bishopthorpe Roa'!$A$12:$A$130,"&gt;="&amp;Diagram!$O45,'J1 C - (South) Bishopthorpe Roa'!$A$12:$A$130,"&lt;"&amp;Diagram!$P45),SUMIFS(INDIRECT(ADDRESS(12,3+18*0+(14),,,"J1 C - (South) Bishopthorpe Roa")&amp;":"&amp;ADDRESS(130,3+18*0+(14))),'J1 C - (South) Bishopthorpe Roa'!$A$12:$A$130,"&gt;="&amp;Diagram!$O45,'J1 C - (South) Bishopthorpe Roa'!$A$12:$A$130,"&lt;"&amp;Diagram!$P45)))</f>
        <v>0</v>
      </c>
      <c r="EC45" s="42">
        <f ca="1">IF(OR($I$10="",$O45="",$P45="",$J$41&lt;&gt;"Yes"),0,IF($K$10=0,SUMIFS(INDIRECT(ADDRESS(12,3+18*0+(6),,,"J1 D - South Bank Avenue")&amp;":"&amp;ADDRESS(130,3+18*0+(6))),'J1 D - South Bank Avenue'!$A$12:$A$130,"&gt;="&amp;Diagram!$O45,'J1 D - South Bank Avenue'!$A$12:$A$130,"&lt;"&amp;Diagram!$P45),SUMIFS(INDIRECT(ADDRESS(12,3+18*0+(14),,,"J1 D - South Bank Avenue")&amp;":"&amp;ADDRESS(130,3+18*0+(14))),'J1 D - South Bank Avenue'!$A$12:$A$130,"&gt;="&amp;Diagram!$O45,'J1 D - South Bank Avenue'!$A$12:$A$130,"&lt;"&amp;Diagram!$P45)))</f>
        <v>0</v>
      </c>
      <c r="ED45" s="42">
        <f ca="1">IF(OR($I$10="",$O45="",$P45="",$J$41&lt;&gt;"Yes"),0,IF($K$10=0,SUMIFS(INDIRECT(ADDRESS(12,3+18*1+(6),,,"J1 D - South Bank Avenue")&amp;":"&amp;ADDRESS(130,3+18*1+(6))),'J1 D - South Bank Avenue'!$A$12:$A$130,"&gt;="&amp;Diagram!$O45,'J1 D - South Bank Avenue'!$A$12:$A$130,"&lt;"&amp;Diagram!$P45),SUMIFS(INDIRECT(ADDRESS(12,3+18*1+(14),,,"J1 D - South Bank Avenue")&amp;":"&amp;ADDRESS(130,3+18*1+(14))),'J1 D - South Bank Avenue'!$A$12:$A$130,"&gt;="&amp;Diagram!$O45,'J1 D - South Bank Avenue'!$A$12:$A$130,"&lt;"&amp;Diagram!$P45)))</f>
        <v>0</v>
      </c>
      <c r="EE45" s="42">
        <f ca="1">IF(OR($I$10="",$O45="",$P45="",$J$41&lt;&gt;"Yes"),0,IF($K$10=0,SUMIFS(INDIRECT(ADDRESS(12,3+18*2+(6),,,"J1 D - South Bank Avenue")&amp;":"&amp;ADDRESS(130,3+18*2+(6))),'J1 D - South Bank Avenue'!$A$12:$A$130,"&gt;="&amp;Diagram!$O45,'J1 D - South Bank Avenue'!$A$12:$A$130,"&lt;"&amp;Diagram!$P45),SUMIFS(INDIRECT(ADDRESS(12,3+18*2+(14),,,"J1 D - South Bank Avenue")&amp;":"&amp;ADDRESS(130,3+18*2+(14))),'J1 D - South Bank Avenue'!$A$12:$A$130,"&gt;="&amp;Diagram!$O45,'J1 D - South Bank Avenue'!$A$12:$A$130,"&lt;"&amp;Diagram!$P45)))</f>
        <v>0</v>
      </c>
      <c r="EF45" s="42">
        <f ca="1">IF(OR($I$10="",$O45="",$P45="",$J$41&lt;&gt;"Yes"),0,IF($K$10=0,SUMIFS(INDIRECT(ADDRESS(12,3+18*3+(6),,,"J1 D - South Bank Avenue")&amp;":"&amp;ADDRESS(130,3+18*3+(6))),'J1 D - South Bank Avenue'!$A$12:$A$130,"&gt;="&amp;Diagram!$O45,'J1 D - South Bank Avenue'!$A$12:$A$130,"&lt;"&amp;Diagram!$P45),SUMIFS(INDIRECT(ADDRESS(12,3+18*3+(14),,,"J1 D - South Bank Avenue")&amp;":"&amp;ADDRESS(130,3+18*3+(14))),'J1 D - South Bank Avenue'!$A$12:$A$130,"&gt;="&amp;Diagram!$O45,'J1 D - South Bank Avenue'!$A$12:$A$130,"&lt;"&amp;Diagram!$P45)))</f>
        <v>0</v>
      </c>
      <c r="EG45" s="42">
        <f t="shared" ca="1" si="8"/>
        <v>4</v>
      </c>
      <c r="EH45" s="42">
        <f ca="1">IF(OR($I$10="",$O45="",$P45="",$J$42&lt;&gt;"Yes"),0,IF($K$10=0,SUMIFS(INDIRECT(ADDRESS(12,3+18*3+(7),,,"J1 A - (North) Bishopthorpe Roa")&amp;":"&amp;ADDRESS(130,3+18*3+(7))),'J1 A - (North) Bishopthorpe Roa'!$A$12:$A$130,"&gt;="&amp;Diagram!$O45,'J1 A - (North) Bishopthorpe Roa'!$A$12:$A$130,"&lt;"&amp;Diagram!$P45),SUMIFS(INDIRECT(ADDRESS(12,3+18*3+(15),,,"J1 A - (North) Bishopthorpe Roa")&amp;":"&amp;ADDRESS(130,3+18*3+(15))),'J1 A - (North) Bishopthorpe Roa'!$A$12:$A$130,"&gt;="&amp;Diagram!$O45,'J1 A - (North) Bishopthorpe Roa'!$A$12:$A$130,"&lt;"&amp;Diagram!$P45)))</f>
        <v>0</v>
      </c>
      <c r="EI45" s="42">
        <f ca="1">IF(OR($I$10="",$O45="",$P45="",$J$42&lt;&gt;"Yes"),0,IF($K$10=0,SUMIFS(INDIRECT(ADDRESS(12,3+18*0+(7),,,"J1 A - (North) Bishopthorpe Roa")&amp;":"&amp;ADDRESS(130,3+18*0+(7))),'J1 A - (North) Bishopthorpe Roa'!$A$12:$A$130,"&gt;="&amp;Diagram!$O45,'J1 A - (North) Bishopthorpe Roa'!$A$12:$A$130,"&lt;"&amp;Diagram!$P45),SUMIFS(INDIRECT(ADDRESS(12,3+18*0+(15),,,"J1 A - (North) Bishopthorpe Roa")&amp;":"&amp;ADDRESS(130,3+18*0+(15))),'J1 A - (North) Bishopthorpe Roa'!$A$12:$A$130,"&gt;="&amp;Diagram!$O45,'J1 A - (North) Bishopthorpe Roa'!$A$12:$A$130,"&lt;"&amp;Diagram!$P45)))</f>
        <v>1</v>
      </c>
      <c r="EJ45" s="42">
        <f ca="1">IF(OR($I$10="",$O45="",$P45="",$J$42&lt;&gt;"Yes"),0,IF($K$10=0,SUMIFS(INDIRECT(ADDRESS(12,3+18*1+(7),,,"J1 A - (North) Bishopthorpe Roa")&amp;":"&amp;ADDRESS(130,3+18*1+(7))),'J1 A - (North) Bishopthorpe Roa'!$A$12:$A$130,"&gt;="&amp;Diagram!$O45,'J1 A - (North) Bishopthorpe Roa'!$A$12:$A$130,"&lt;"&amp;Diagram!$P45),SUMIFS(INDIRECT(ADDRESS(12,3+18*1+(15),,,"J1 A - (North) Bishopthorpe Roa")&amp;":"&amp;ADDRESS(130,3+18*1+(15))),'J1 A - (North) Bishopthorpe Roa'!$A$12:$A$130,"&gt;="&amp;Diagram!$O45,'J1 A - (North) Bishopthorpe Roa'!$A$12:$A$130,"&lt;"&amp;Diagram!$P45)))</f>
        <v>1</v>
      </c>
      <c r="EK45" s="42">
        <f ca="1">IF(OR($I$10="",$O45="",$P45="",$J$42&lt;&gt;"Yes"),0,IF($K$10=0,SUMIFS(INDIRECT(ADDRESS(12,3+18*2+(7),,,"J1 A - (North) Bishopthorpe Roa")&amp;":"&amp;ADDRESS(130,3+18*2+(7))),'J1 A - (North) Bishopthorpe Roa'!$A$12:$A$130,"&gt;="&amp;Diagram!$O45,'J1 A - (North) Bishopthorpe Roa'!$A$12:$A$130,"&lt;"&amp;Diagram!$P45),SUMIFS(INDIRECT(ADDRESS(12,3+18*2+(15),,,"J1 A - (North) Bishopthorpe Roa")&amp;":"&amp;ADDRESS(130,3+18*2+(15))),'J1 A - (North) Bishopthorpe Roa'!$A$12:$A$130,"&gt;="&amp;Diagram!$O45,'J1 A - (North) Bishopthorpe Roa'!$A$12:$A$130,"&lt;"&amp;Diagram!$P45)))</f>
        <v>0</v>
      </c>
      <c r="EL45" s="42">
        <f ca="1">IF(OR($I$10="",$O45="",$P45="",$J$42&lt;&gt;"Yes"),0,IF($K$10=0,SUMIFS(INDIRECT(ADDRESS(12,3+18*2+(7),,,"J1 B - Butcher Terrace")&amp;":"&amp;ADDRESS(130,3+18*2+(7))),'J1 B - Butcher Terrace'!$A$12:$A$130,"&gt;="&amp;Diagram!$O45,'J1 B - Butcher Terrace'!$A$12:$A$130,"&lt;"&amp;Diagram!$P45),SUMIFS(INDIRECT(ADDRESS(12,3+18*2+(15),,,"J1 B - Butcher Terrace")&amp;":"&amp;ADDRESS(130,3+18*2+(15))),'J1 B - Butcher Terrace'!$A$12:$A$130,"&gt;="&amp;Diagram!$O45,'J1 B - Butcher Terrace'!$A$12:$A$130,"&lt;"&amp;Diagram!$P45)))</f>
        <v>1</v>
      </c>
      <c r="EM45" s="42">
        <f ca="1">IF(OR($I$10="",$O45="",$P45="",$J$42&lt;&gt;"Yes"),0,IF($K$10=0,SUMIFS(INDIRECT(ADDRESS(12,3+18*3+(7),,,"J1 B - Butcher Terrace")&amp;":"&amp;ADDRESS(130,3+18*3+(7))),'J1 B - Butcher Terrace'!$A$12:$A$130,"&gt;="&amp;Diagram!$O45,'J1 B - Butcher Terrace'!$A$12:$A$130,"&lt;"&amp;Diagram!$P45),SUMIFS(INDIRECT(ADDRESS(12,3+18*3+(15),,,"J1 B - Butcher Terrace")&amp;":"&amp;ADDRESS(130,3+18*3+(15))),'J1 B - Butcher Terrace'!$A$12:$A$130,"&gt;="&amp;Diagram!$O45,'J1 B - Butcher Terrace'!$A$12:$A$130,"&lt;"&amp;Diagram!$P45)))</f>
        <v>0</v>
      </c>
      <c r="EN45" s="42">
        <f ca="1">IF(OR($I$10="",$O45="",$P45="",$J$42&lt;&gt;"Yes"),0,IF($K$10=0,SUMIFS(INDIRECT(ADDRESS(12,3+18*0+(7),,,"J1 B - Butcher Terrace")&amp;":"&amp;ADDRESS(130,3+18*0+(7))),'J1 B - Butcher Terrace'!$A$12:$A$130,"&gt;="&amp;Diagram!$O45,'J1 B - Butcher Terrace'!$A$12:$A$130,"&lt;"&amp;Diagram!$P45),SUMIFS(INDIRECT(ADDRESS(12,3+18*0+(15),,,"J1 B - Butcher Terrace")&amp;":"&amp;ADDRESS(130,3+18*0+(15))),'J1 B - Butcher Terrace'!$A$12:$A$130,"&gt;="&amp;Diagram!$O45,'J1 B - Butcher Terrace'!$A$12:$A$130,"&lt;"&amp;Diagram!$P45)))</f>
        <v>0</v>
      </c>
      <c r="EO45" s="42">
        <f ca="1">IF(OR($I$10="",$O45="",$P45="",$J$42&lt;&gt;"Yes"),0,IF($K$10=0,SUMIFS(INDIRECT(ADDRESS(12,3+18*1+(7),,,"J1 B - Butcher Terrace")&amp;":"&amp;ADDRESS(130,3+18*1+(7))),'J1 B - Butcher Terrace'!$A$12:$A$130,"&gt;="&amp;Diagram!$O45,'J1 B - Butcher Terrace'!$A$12:$A$130,"&lt;"&amp;Diagram!$P45),SUMIFS(INDIRECT(ADDRESS(12,3+18*1+(15),,,"J1 B - Butcher Terrace")&amp;":"&amp;ADDRESS(130,3+18*1+(15))),'J1 B - Butcher Terrace'!$A$12:$A$130,"&gt;="&amp;Diagram!$O45,'J1 B - Butcher Terrace'!$A$12:$A$130,"&lt;"&amp;Diagram!$P45)))</f>
        <v>0</v>
      </c>
      <c r="EP45" s="42">
        <f ca="1">IF(OR($I$10="",$O45="",$P45="",$J$42&lt;&gt;"Yes"),0,IF($K$10=0,SUMIFS(INDIRECT(ADDRESS(12,3+18*1+(7),,,"J1 C - (South) Bishopthorpe Roa")&amp;":"&amp;ADDRESS(130,3+18*1+(7))),'J1 C - (South) Bishopthorpe Roa'!$A$12:$A$130,"&gt;="&amp;Diagram!$O45,'J1 C - (South) Bishopthorpe Roa'!$A$12:$A$130,"&lt;"&amp;Diagram!$P45),SUMIFS(INDIRECT(ADDRESS(12,3+18*1+(15),,,"J1 C - (South) Bishopthorpe Roa")&amp;":"&amp;ADDRESS(130,3+18*1+(15))),'J1 C - (South) Bishopthorpe Roa'!$A$12:$A$130,"&gt;="&amp;Diagram!$O45,'J1 C - (South) Bishopthorpe Roa'!$A$12:$A$130,"&lt;"&amp;Diagram!$P45)))</f>
        <v>0</v>
      </c>
      <c r="EQ45" s="42">
        <f ca="1">IF(OR($I$10="",$O45="",$P45="",$J$42&lt;&gt;"Yes"),0,IF($K$10=0,SUMIFS(INDIRECT(ADDRESS(12,3+18*2+(7),,,"J1 C - (South) Bishopthorpe Roa")&amp;":"&amp;ADDRESS(130,3+18*2+(7))),'J1 C - (South) Bishopthorpe Roa'!$A$12:$A$130,"&gt;="&amp;Diagram!$O45,'J1 C - (South) Bishopthorpe Roa'!$A$12:$A$130,"&lt;"&amp;Diagram!$P45),SUMIFS(INDIRECT(ADDRESS(12,3+18*2+(15),,,"J1 C - (South) Bishopthorpe Roa")&amp;":"&amp;ADDRESS(130,3+18*2+(15))),'J1 C - (South) Bishopthorpe Roa'!$A$12:$A$130,"&gt;="&amp;Diagram!$O45,'J1 C - (South) Bishopthorpe Roa'!$A$12:$A$130,"&lt;"&amp;Diagram!$P45)))</f>
        <v>1</v>
      </c>
      <c r="ER45" s="42">
        <f ca="1">IF(OR($I$10="",$O45="",$P45="",$J$42&lt;&gt;"Yes"),0,IF($K$10=0,SUMIFS(INDIRECT(ADDRESS(12,3+18*3+(7),,,"J1 C - (South) Bishopthorpe Roa")&amp;":"&amp;ADDRESS(130,3+18*3+(7))),'J1 C - (South) Bishopthorpe Roa'!$A$12:$A$130,"&gt;="&amp;Diagram!$O45,'J1 C - (South) Bishopthorpe Roa'!$A$12:$A$130,"&lt;"&amp;Diagram!$P45),SUMIFS(INDIRECT(ADDRESS(12,3+18*3+(15),,,"J1 C - (South) Bishopthorpe Roa")&amp;":"&amp;ADDRESS(130,3+18*3+(15))),'J1 C - (South) Bishopthorpe Roa'!$A$12:$A$130,"&gt;="&amp;Diagram!$O45,'J1 C - (South) Bishopthorpe Roa'!$A$12:$A$130,"&lt;"&amp;Diagram!$P45)))</f>
        <v>0</v>
      </c>
      <c r="ES45" s="42">
        <f ca="1">IF(OR($I$10="",$O45="",$P45="",$J$42&lt;&gt;"Yes"),0,IF($K$10=0,SUMIFS(INDIRECT(ADDRESS(12,3+18*0+(7),,,"J1 C - (South) Bishopthorpe Roa")&amp;":"&amp;ADDRESS(130,3+18*0+(7))),'J1 C - (South) Bishopthorpe Roa'!$A$12:$A$130,"&gt;="&amp;Diagram!$O45,'J1 C - (South) Bishopthorpe Roa'!$A$12:$A$130,"&lt;"&amp;Diagram!$P45),SUMIFS(INDIRECT(ADDRESS(12,3+18*0+(15),,,"J1 C - (South) Bishopthorpe Roa")&amp;":"&amp;ADDRESS(130,3+18*0+(15))),'J1 C - (South) Bishopthorpe Roa'!$A$12:$A$130,"&gt;="&amp;Diagram!$O45,'J1 C - (South) Bishopthorpe Roa'!$A$12:$A$130,"&lt;"&amp;Diagram!$P45)))</f>
        <v>0</v>
      </c>
      <c r="ET45" s="42">
        <f ca="1">IF(OR($I$10="",$O45="",$P45="",$J$42&lt;&gt;"Yes"),0,IF($K$10=0,SUMIFS(INDIRECT(ADDRESS(12,3+18*0+(7),,,"J1 D - South Bank Avenue")&amp;":"&amp;ADDRESS(130,3+18*0+(7))),'J1 D - South Bank Avenue'!$A$12:$A$130,"&gt;="&amp;Diagram!$O45,'J1 D - South Bank Avenue'!$A$12:$A$130,"&lt;"&amp;Diagram!$P45),SUMIFS(INDIRECT(ADDRESS(12,3+18*0+(15),,,"J1 D - South Bank Avenue")&amp;":"&amp;ADDRESS(130,3+18*0+(15))),'J1 D - South Bank Avenue'!$A$12:$A$130,"&gt;="&amp;Diagram!$O45,'J1 D - South Bank Avenue'!$A$12:$A$130,"&lt;"&amp;Diagram!$P45)))</f>
        <v>0</v>
      </c>
      <c r="EU45" s="42">
        <f ca="1">IF(OR($I$10="",$O45="",$P45="",$J$42&lt;&gt;"Yes"),0,IF($K$10=0,SUMIFS(INDIRECT(ADDRESS(12,3+18*1+(7),,,"J1 D - South Bank Avenue")&amp;":"&amp;ADDRESS(130,3+18*1+(7))),'J1 D - South Bank Avenue'!$A$12:$A$130,"&gt;="&amp;Diagram!$O45,'J1 D - South Bank Avenue'!$A$12:$A$130,"&lt;"&amp;Diagram!$P45),SUMIFS(INDIRECT(ADDRESS(12,3+18*1+(15),,,"J1 D - South Bank Avenue")&amp;":"&amp;ADDRESS(130,3+18*1+(15))),'J1 D - South Bank Avenue'!$A$12:$A$130,"&gt;="&amp;Diagram!$O45,'J1 D - South Bank Avenue'!$A$12:$A$130,"&lt;"&amp;Diagram!$P45)))</f>
        <v>0</v>
      </c>
      <c r="EV45" s="42">
        <f ca="1">IF(OR($I$10="",$O45="",$P45="",$J$42&lt;&gt;"Yes"),0,IF($K$10=0,SUMIFS(INDIRECT(ADDRESS(12,3+18*2+(7),,,"J1 D - South Bank Avenue")&amp;":"&amp;ADDRESS(130,3+18*2+(7))),'J1 D - South Bank Avenue'!$A$12:$A$130,"&gt;="&amp;Diagram!$O45,'J1 D - South Bank Avenue'!$A$12:$A$130,"&lt;"&amp;Diagram!$P45),SUMIFS(INDIRECT(ADDRESS(12,3+18*2+(15),,,"J1 D - South Bank Avenue")&amp;":"&amp;ADDRESS(130,3+18*2+(15))),'J1 D - South Bank Avenue'!$A$12:$A$130,"&gt;="&amp;Diagram!$O45,'J1 D - South Bank Avenue'!$A$12:$A$130,"&lt;"&amp;Diagram!$P45)))</f>
        <v>0</v>
      </c>
      <c r="EW45" s="42">
        <f ca="1">IF(OR($I$10="",$O45="",$P45="",$J$42&lt;&gt;"Yes"),0,IF($K$10=0,SUMIFS(INDIRECT(ADDRESS(12,3+18*3+(7),,,"J1 D - South Bank Avenue")&amp;":"&amp;ADDRESS(130,3+18*3+(7))),'J1 D - South Bank Avenue'!$A$12:$A$130,"&gt;="&amp;Diagram!$O45,'J1 D - South Bank Avenue'!$A$12:$A$130,"&lt;"&amp;Diagram!$P45),SUMIFS(INDIRECT(ADDRESS(12,3+18*3+(15),,,"J1 D - South Bank Avenue")&amp;":"&amp;ADDRESS(130,3+18*3+(15))),'J1 D - South Bank Avenue'!$A$12:$A$130,"&gt;="&amp;Diagram!$O45,'J1 D - South Bank Avenue'!$A$12:$A$130,"&lt;"&amp;Diagram!$P45)))</f>
        <v>0</v>
      </c>
    </row>
    <row r="46" spans="1:153">
      <c r="A46" s="1">
        <v>44395.46875</v>
      </c>
      <c r="B46" s="1">
        <v>44395.479166666701</v>
      </c>
      <c r="O46" s="3">
        <v>44395.46875</v>
      </c>
      <c r="P46" s="3">
        <v>44395.510416666701</v>
      </c>
      <c r="Q46" s="42">
        <f t="shared" ca="1" si="0"/>
        <v>654</v>
      </c>
      <c r="R46" s="42">
        <f t="shared" ca="1" si="1"/>
        <v>476</v>
      </c>
      <c r="S46" s="42">
        <f ca="1">IF(OR($I$10="",$O46="",$P46="",$J$35&lt;&gt;"Yes"),0,IF($K$10=0,SUMIFS(INDIRECT(ADDRESS(12,3+18*3+(0),,,"J1 A - (North) Bishopthorpe Roa")&amp;":"&amp;ADDRESS(130,3+18*3+(0))),'J1 A - (North) Bishopthorpe Roa'!$A$12:$A$130,"&gt;="&amp;Diagram!$O46,'J1 A - (North) Bishopthorpe Roa'!$A$12:$A$130,"&lt;"&amp;Diagram!$P46),SUMIFS(INDIRECT(ADDRESS(12,3+18*3+(8),,,"J1 A - (North) Bishopthorpe Roa")&amp;":"&amp;ADDRESS(130,3+18*3+(8))),'J1 A - (North) Bishopthorpe Roa'!$A$12:$A$130,"&gt;="&amp;Diagram!$O46,'J1 A - (North) Bishopthorpe Roa'!$A$12:$A$130,"&lt;"&amp;Diagram!$P46)))</f>
        <v>3</v>
      </c>
      <c r="T46" s="42">
        <f ca="1">IF(OR($I$10="",$O46="",$P46="",$J$35&lt;&gt;"Yes"),0,IF($K$10=0,SUMIFS(INDIRECT(ADDRESS(12,3+18*0+(0),,,"J1 A - (North) Bishopthorpe Roa")&amp;":"&amp;ADDRESS(130,3+18*0+(0))),'J1 A - (North) Bishopthorpe Roa'!$A$12:$A$130,"&gt;="&amp;Diagram!$O46,'J1 A - (North) Bishopthorpe Roa'!$A$12:$A$130,"&lt;"&amp;Diagram!$P46),SUMIFS(INDIRECT(ADDRESS(12,3+18*0+(8),,,"J1 A - (North) Bishopthorpe Roa")&amp;":"&amp;ADDRESS(130,3+18*0+(8))),'J1 A - (North) Bishopthorpe Roa'!$A$12:$A$130,"&gt;="&amp;Diagram!$O46,'J1 A - (North) Bishopthorpe Roa'!$A$12:$A$130,"&lt;"&amp;Diagram!$P46)))</f>
        <v>13</v>
      </c>
      <c r="U46" s="42">
        <f ca="1">IF(OR($I$10="",$O46="",$P46="",$J$35&lt;&gt;"Yes"),0,IF($K$10=0,SUMIFS(INDIRECT(ADDRESS(12,3+18*1+(0),,,"J1 A - (North) Bishopthorpe Roa")&amp;":"&amp;ADDRESS(130,3+18*1+(0))),'J1 A - (North) Bishopthorpe Roa'!$A$12:$A$130,"&gt;="&amp;Diagram!$O46,'J1 A - (North) Bishopthorpe Roa'!$A$12:$A$130,"&lt;"&amp;Diagram!$P46),SUMIFS(INDIRECT(ADDRESS(12,3+18*1+(8),,,"J1 A - (North) Bishopthorpe Roa")&amp;":"&amp;ADDRESS(130,3+18*1+(8))),'J1 A - (North) Bishopthorpe Roa'!$A$12:$A$130,"&gt;="&amp;Diagram!$O46,'J1 A - (North) Bishopthorpe Roa'!$A$12:$A$130,"&lt;"&amp;Diagram!$P46)))</f>
        <v>187</v>
      </c>
      <c r="V46" s="42">
        <f ca="1">IF(OR($I$10="",$O46="",$P46="",$J$35&lt;&gt;"Yes"),0,IF($K$10=0,SUMIFS(INDIRECT(ADDRESS(12,3+18*2+(0),,,"J1 A - (North) Bishopthorpe Roa")&amp;":"&amp;ADDRESS(130,3+18*2+(0))),'J1 A - (North) Bishopthorpe Roa'!$A$12:$A$130,"&gt;="&amp;Diagram!$O46,'J1 A - (North) Bishopthorpe Roa'!$A$12:$A$130,"&lt;"&amp;Diagram!$P46),SUMIFS(INDIRECT(ADDRESS(12,3+18*2+(8),,,"J1 A - (North) Bishopthorpe Roa")&amp;":"&amp;ADDRESS(130,3+18*2+(8))),'J1 A - (North) Bishopthorpe Roa'!$A$12:$A$130,"&gt;="&amp;Diagram!$O46,'J1 A - (North) Bishopthorpe Roa'!$A$12:$A$130,"&lt;"&amp;Diagram!$P46)))</f>
        <v>24</v>
      </c>
      <c r="W46" s="42">
        <f ca="1">IF(OR($I$10="",$O46="",$P46="",$J$35&lt;&gt;"Yes"),0,IF($K$10=0,SUMIFS(INDIRECT(ADDRESS(12,3+18*2+(0),,,"J1 B - Butcher Terrace")&amp;":"&amp;ADDRESS(130,3+18*2+(0))),'J1 B - Butcher Terrace'!$A$12:$A$130,"&gt;="&amp;Diagram!$O46,'J1 B - Butcher Terrace'!$A$12:$A$130,"&lt;"&amp;Diagram!$P46),SUMIFS(INDIRECT(ADDRESS(12,3+18*2+(8),,,"J1 B - Butcher Terrace")&amp;":"&amp;ADDRESS(130,3+18*2+(8))),'J1 B - Butcher Terrace'!$A$12:$A$130,"&gt;="&amp;Diagram!$O46,'J1 B - Butcher Terrace'!$A$12:$A$130,"&lt;"&amp;Diagram!$P46)))</f>
        <v>15</v>
      </c>
      <c r="X46" s="42">
        <f ca="1">IF(OR($I$10="",$O46="",$P46="",$J$35&lt;&gt;"Yes"),0,IF($K$10=0,SUMIFS(INDIRECT(ADDRESS(12,3+18*3+(0),,,"J1 B - Butcher Terrace")&amp;":"&amp;ADDRESS(130,3+18*3+(0))),'J1 B - Butcher Terrace'!$A$12:$A$130,"&gt;="&amp;Diagram!$O46,'J1 B - Butcher Terrace'!$A$12:$A$130,"&lt;"&amp;Diagram!$P46),SUMIFS(INDIRECT(ADDRESS(12,3+18*3+(8),,,"J1 B - Butcher Terrace")&amp;":"&amp;ADDRESS(130,3+18*3+(8))),'J1 B - Butcher Terrace'!$A$12:$A$130,"&gt;="&amp;Diagram!$O46,'J1 B - Butcher Terrace'!$A$12:$A$130,"&lt;"&amp;Diagram!$P46)))</f>
        <v>0</v>
      </c>
      <c r="Y46" s="42">
        <f ca="1">IF(OR($I$10="",$O46="",$P46="",$J$35&lt;&gt;"Yes"),0,IF($K$10=0,SUMIFS(INDIRECT(ADDRESS(12,3+18*0+(0),,,"J1 B - Butcher Terrace")&amp;":"&amp;ADDRESS(130,3+18*0+(0))),'J1 B - Butcher Terrace'!$A$12:$A$130,"&gt;="&amp;Diagram!$O46,'J1 B - Butcher Terrace'!$A$12:$A$130,"&lt;"&amp;Diagram!$P46),SUMIFS(INDIRECT(ADDRESS(12,3+18*0+(8),,,"J1 B - Butcher Terrace")&amp;":"&amp;ADDRESS(130,3+18*0+(8))),'J1 B - Butcher Terrace'!$A$12:$A$130,"&gt;="&amp;Diagram!$O46,'J1 B - Butcher Terrace'!$A$12:$A$130,"&lt;"&amp;Diagram!$P46)))</f>
        <v>8</v>
      </c>
      <c r="Z46" s="42">
        <f ca="1">IF(OR($I$10="",$O46="",$P46="",$J$35&lt;&gt;"Yes"),0,IF($K$10=0,SUMIFS(INDIRECT(ADDRESS(12,3+18*1+(0),,,"J1 B - Butcher Terrace")&amp;":"&amp;ADDRESS(130,3+18*1+(0))),'J1 B - Butcher Terrace'!$A$12:$A$130,"&gt;="&amp;Diagram!$O46,'J1 B - Butcher Terrace'!$A$12:$A$130,"&lt;"&amp;Diagram!$P46),SUMIFS(INDIRECT(ADDRESS(12,3+18*1+(8),,,"J1 B - Butcher Terrace")&amp;":"&amp;ADDRESS(130,3+18*1+(8))),'J1 B - Butcher Terrace'!$A$12:$A$130,"&gt;="&amp;Diagram!$O46,'J1 B - Butcher Terrace'!$A$12:$A$130,"&lt;"&amp;Diagram!$P46)))</f>
        <v>0</v>
      </c>
      <c r="AA46" s="42">
        <f ca="1">IF(OR($I$10="",$O46="",$P46="",$J$35&lt;&gt;"Yes"),0,IF($K$10=0,SUMIFS(INDIRECT(ADDRESS(12,3+18*1+(0),,,"J1 C - (South) Bishopthorpe Roa")&amp;":"&amp;ADDRESS(130,3+18*1+(0))),'J1 C - (South) Bishopthorpe Roa'!$A$12:$A$130,"&gt;="&amp;Diagram!$O46,'J1 C - (South) Bishopthorpe Roa'!$A$12:$A$130,"&lt;"&amp;Diagram!$P46),SUMIFS(INDIRECT(ADDRESS(12,3+18*1+(8),,,"J1 C - (South) Bishopthorpe Roa")&amp;":"&amp;ADDRESS(130,3+18*1+(8))),'J1 C - (South) Bishopthorpe Roa'!$A$12:$A$130,"&gt;="&amp;Diagram!$O46,'J1 C - (South) Bishopthorpe Roa'!$A$12:$A$130,"&lt;"&amp;Diagram!$P46)))</f>
        <v>191</v>
      </c>
      <c r="AB46" s="42">
        <f ca="1">IF(OR($I$10="",$O46="",$P46="",$J$35&lt;&gt;"Yes"),0,IF($K$10=0,SUMIFS(INDIRECT(ADDRESS(12,3+18*2+(0),,,"J1 C - (South) Bishopthorpe Roa")&amp;":"&amp;ADDRESS(130,3+18*2+(0))),'J1 C - (South) Bishopthorpe Roa'!$A$12:$A$130,"&gt;="&amp;Diagram!$O46,'J1 C - (South) Bishopthorpe Roa'!$A$12:$A$130,"&lt;"&amp;Diagram!$P46),SUMIFS(INDIRECT(ADDRESS(12,3+18*2+(8),,,"J1 C - (South) Bishopthorpe Roa")&amp;":"&amp;ADDRESS(130,3+18*2+(8))),'J1 C - (South) Bishopthorpe Roa'!$A$12:$A$130,"&gt;="&amp;Diagram!$O46,'J1 C - (South) Bishopthorpe Roa'!$A$12:$A$130,"&lt;"&amp;Diagram!$P46)))</f>
        <v>2</v>
      </c>
      <c r="AC46" s="42">
        <f ca="1">IF(OR($I$10="",$O46="",$P46="",$J$35&lt;&gt;"Yes"),0,IF($K$10=0,SUMIFS(INDIRECT(ADDRESS(12,3+18*3+(0),,,"J1 C - (South) Bishopthorpe Roa")&amp;":"&amp;ADDRESS(130,3+18*3+(0))),'J1 C - (South) Bishopthorpe Roa'!$A$12:$A$130,"&gt;="&amp;Diagram!$O46,'J1 C - (South) Bishopthorpe Roa'!$A$12:$A$130,"&lt;"&amp;Diagram!$P46),SUMIFS(INDIRECT(ADDRESS(12,3+18*3+(8),,,"J1 C - (South) Bishopthorpe Roa")&amp;":"&amp;ADDRESS(130,3+18*3+(8))),'J1 C - (South) Bishopthorpe Roa'!$A$12:$A$130,"&gt;="&amp;Diagram!$O46,'J1 C - (South) Bishopthorpe Roa'!$A$12:$A$130,"&lt;"&amp;Diagram!$P46)))</f>
        <v>0</v>
      </c>
      <c r="AD46" s="42">
        <f ca="1">IF(OR($I$10="",$O46="",$P46="",$J$35&lt;&gt;"Yes"),0,IF($K$10=0,SUMIFS(INDIRECT(ADDRESS(12,3+18*0+(0),,,"J1 C - (South) Bishopthorpe Roa")&amp;":"&amp;ADDRESS(130,3+18*0+(0))),'J1 C - (South) Bishopthorpe Roa'!$A$12:$A$130,"&gt;="&amp;Diagram!$O46,'J1 C - (South) Bishopthorpe Roa'!$A$12:$A$130,"&lt;"&amp;Diagram!$P46),SUMIFS(INDIRECT(ADDRESS(12,3+18*0+(8),,,"J1 C - (South) Bishopthorpe Roa")&amp;":"&amp;ADDRESS(130,3+18*0+(8))),'J1 C - (South) Bishopthorpe Roa'!$A$12:$A$130,"&gt;="&amp;Diagram!$O46,'J1 C - (South) Bishopthorpe Roa'!$A$12:$A$130,"&lt;"&amp;Diagram!$P46)))</f>
        <v>3</v>
      </c>
      <c r="AE46" s="42">
        <f ca="1">IF(OR($I$10="",$O46="",$P46="",$J$35&lt;&gt;"Yes"),0,IF($K$10=0,SUMIFS(INDIRECT(ADDRESS(12,3+18*0+(0),,,"J1 D - South Bank Avenue")&amp;":"&amp;ADDRESS(130,3+18*0+(0))),'J1 D - South Bank Avenue'!$A$12:$A$130,"&gt;="&amp;Diagram!$O46,'J1 D - South Bank Avenue'!$A$12:$A$130,"&lt;"&amp;Diagram!$P46),SUMIFS(INDIRECT(ADDRESS(12,3+18*0+(8),,,"J1 D - South Bank Avenue")&amp;":"&amp;ADDRESS(130,3+18*0+(8))),'J1 D - South Bank Avenue'!$A$12:$A$130,"&gt;="&amp;Diagram!$O46,'J1 D - South Bank Avenue'!$A$12:$A$130,"&lt;"&amp;Diagram!$P46)))</f>
        <v>24</v>
      </c>
      <c r="AF46" s="42">
        <f ca="1">IF(OR($I$10="",$O46="",$P46="",$J$35&lt;&gt;"Yes"),0,IF($K$10=0,SUMIFS(INDIRECT(ADDRESS(12,3+18*1+(0),,,"J1 D - South Bank Avenue")&amp;":"&amp;ADDRESS(130,3+18*1+(0))),'J1 D - South Bank Avenue'!$A$12:$A$130,"&gt;="&amp;Diagram!$O46,'J1 D - South Bank Avenue'!$A$12:$A$130,"&lt;"&amp;Diagram!$P46),SUMIFS(INDIRECT(ADDRESS(12,3+18*1+(8),,,"J1 D - South Bank Avenue")&amp;":"&amp;ADDRESS(130,3+18*1+(8))),'J1 D - South Bank Avenue'!$A$12:$A$130,"&gt;="&amp;Diagram!$O46,'J1 D - South Bank Avenue'!$A$12:$A$130,"&lt;"&amp;Diagram!$P46)))</f>
        <v>2</v>
      </c>
      <c r="AG46" s="42">
        <f ca="1">IF(OR($I$10="",$O46="",$P46="",$J$35&lt;&gt;"Yes"),0,IF($K$10=0,SUMIFS(INDIRECT(ADDRESS(12,3+18*2+(0),,,"J1 D - South Bank Avenue")&amp;":"&amp;ADDRESS(130,3+18*2+(0))),'J1 D - South Bank Avenue'!$A$12:$A$130,"&gt;="&amp;Diagram!$O46,'J1 D - South Bank Avenue'!$A$12:$A$130,"&lt;"&amp;Diagram!$P46),SUMIFS(INDIRECT(ADDRESS(12,3+18*2+(8),,,"J1 D - South Bank Avenue")&amp;":"&amp;ADDRESS(130,3+18*2+(8))),'J1 D - South Bank Avenue'!$A$12:$A$130,"&gt;="&amp;Diagram!$O46,'J1 D - South Bank Avenue'!$A$12:$A$130,"&lt;"&amp;Diagram!$P46)))</f>
        <v>4</v>
      </c>
      <c r="AH46" s="42">
        <f ca="1">IF(OR($I$10="",$O46="",$P46="",$J$35&lt;&gt;"Yes"),0,IF($K$10=0,SUMIFS(INDIRECT(ADDRESS(12,3+18*3+(0),,,"J1 D - South Bank Avenue")&amp;":"&amp;ADDRESS(130,3+18*3+(0))),'J1 D - South Bank Avenue'!$A$12:$A$130,"&gt;="&amp;Diagram!$O46,'J1 D - South Bank Avenue'!$A$12:$A$130,"&lt;"&amp;Diagram!$P46),SUMIFS(INDIRECT(ADDRESS(12,3+18*3+(8),,,"J1 D - South Bank Avenue")&amp;":"&amp;ADDRESS(130,3+18*3+(8))),'J1 D - South Bank Avenue'!$A$12:$A$130,"&gt;="&amp;Diagram!$O46,'J1 D - South Bank Avenue'!$A$12:$A$130,"&lt;"&amp;Diagram!$P46)))</f>
        <v>0</v>
      </c>
      <c r="AI46" s="42">
        <f t="shared" ca="1" si="2"/>
        <v>65</v>
      </c>
      <c r="AJ46" s="42">
        <f ca="1">IF(OR($I$10="",$O46="",$P46="",$J$36&lt;&gt;"Yes"),0,IF($K$10=0,SUMIFS(INDIRECT(ADDRESS(12,3+18*3+(1),,,"J1 A - (North) Bishopthorpe Roa")&amp;":"&amp;ADDRESS(130,3+18*3+(1))),'J1 A - (North) Bishopthorpe Roa'!$A$12:$A$130,"&gt;="&amp;Diagram!$O46,'J1 A - (North) Bishopthorpe Roa'!$A$12:$A$130,"&lt;"&amp;Diagram!$P46),SUMIFS(INDIRECT(ADDRESS(12,3+18*3+(9),,,"J1 A - (North) Bishopthorpe Roa")&amp;":"&amp;ADDRESS(130,3+18*3+(9))),'J1 A - (North) Bishopthorpe Roa'!$A$12:$A$130,"&gt;="&amp;Diagram!$O46,'J1 A - (North) Bishopthorpe Roa'!$A$12:$A$130,"&lt;"&amp;Diagram!$P46)))</f>
        <v>0</v>
      </c>
      <c r="AK46" s="42">
        <f ca="1">IF(OR($I$10="",$O46="",$P46="",$J$36&lt;&gt;"Yes"),0,IF($K$10=0,SUMIFS(INDIRECT(ADDRESS(12,3+18*0+(1),,,"J1 A - (North) Bishopthorpe Roa")&amp;":"&amp;ADDRESS(130,3+18*0+(1))),'J1 A - (North) Bishopthorpe Roa'!$A$12:$A$130,"&gt;="&amp;Diagram!$O46,'J1 A - (North) Bishopthorpe Roa'!$A$12:$A$130,"&lt;"&amp;Diagram!$P46),SUMIFS(INDIRECT(ADDRESS(12,3+18*0+(9),,,"J1 A - (North) Bishopthorpe Roa")&amp;":"&amp;ADDRESS(130,3+18*0+(9))),'J1 A - (North) Bishopthorpe Roa'!$A$12:$A$130,"&gt;="&amp;Diagram!$O46,'J1 A - (North) Bishopthorpe Roa'!$A$12:$A$130,"&lt;"&amp;Diagram!$P46)))</f>
        <v>3</v>
      </c>
      <c r="AL46" s="42">
        <f ca="1">IF(OR($I$10="",$O46="",$P46="",$J$36&lt;&gt;"Yes"),0,IF($K$10=0,SUMIFS(INDIRECT(ADDRESS(12,3+18*1+(1),,,"J1 A - (North) Bishopthorpe Roa")&amp;":"&amp;ADDRESS(130,3+18*1+(1))),'J1 A - (North) Bishopthorpe Roa'!$A$12:$A$130,"&gt;="&amp;Diagram!$O46,'J1 A - (North) Bishopthorpe Roa'!$A$12:$A$130,"&lt;"&amp;Diagram!$P46),SUMIFS(INDIRECT(ADDRESS(12,3+18*1+(9),,,"J1 A - (North) Bishopthorpe Roa")&amp;":"&amp;ADDRESS(130,3+18*1+(9))),'J1 A - (North) Bishopthorpe Roa'!$A$12:$A$130,"&gt;="&amp;Diagram!$O46,'J1 A - (North) Bishopthorpe Roa'!$A$12:$A$130,"&lt;"&amp;Diagram!$P46)))</f>
        <v>24</v>
      </c>
      <c r="AM46" s="42">
        <f ca="1">IF(OR($I$10="",$O46="",$P46="",$J$36&lt;&gt;"Yes"),0,IF($K$10=0,SUMIFS(INDIRECT(ADDRESS(12,3+18*2+(1),,,"J1 A - (North) Bishopthorpe Roa")&amp;":"&amp;ADDRESS(130,3+18*2+(1))),'J1 A - (North) Bishopthorpe Roa'!$A$12:$A$130,"&gt;="&amp;Diagram!$O46,'J1 A - (North) Bishopthorpe Roa'!$A$12:$A$130,"&lt;"&amp;Diagram!$P46),SUMIFS(INDIRECT(ADDRESS(12,3+18*2+(9),,,"J1 A - (North) Bishopthorpe Roa")&amp;":"&amp;ADDRESS(130,3+18*2+(9))),'J1 A - (North) Bishopthorpe Roa'!$A$12:$A$130,"&gt;="&amp;Diagram!$O46,'J1 A - (North) Bishopthorpe Roa'!$A$12:$A$130,"&lt;"&amp;Diagram!$P46)))</f>
        <v>4</v>
      </c>
      <c r="AN46" s="42">
        <f ca="1">IF(OR($I$10="",$O46="",$P46="",$J$36&lt;&gt;"Yes"),0,IF($K$10=0,SUMIFS(INDIRECT(ADDRESS(12,3+18*2+(1),,,"J1 B - Butcher Terrace")&amp;":"&amp;ADDRESS(130,3+18*2+(1))),'J1 B - Butcher Terrace'!$A$12:$A$130,"&gt;="&amp;Diagram!$O46,'J1 B - Butcher Terrace'!$A$12:$A$130,"&lt;"&amp;Diagram!$P46),SUMIFS(INDIRECT(ADDRESS(12,3+18*2+(9),,,"J1 B - Butcher Terrace")&amp;":"&amp;ADDRESS(130,3+18*2+(9))),'J1 B - Butcher Terrace'!$A$12:$A$130,"&gt;="&amp;Diagram!$O46,'J1 B - Butcher Terrace'!$A$12:$A$130,"&lt;"&amp;Diagram!$P46)))</f>
        <v>4</v>
      </c>
      <c r="AO46" s="42">
        <f ca="1">IF(OR($I$10="",$O46="",$P46="",$J$36&lt;&gt;"Yes"),0,IF($K$10=0,SUMIFS(INDIRECT(ADDRESS(12,3+18*3+(1),,,"J1 B - Butcher Terrace")&amp;":"&amp;ADDRESS(130,3+18*3+(1))),'J1 B - Butcher Terrace'!$A$12:$A$130,"&gt;="&amp;Diagram!$O46,'J1 B - Butcher Terrace'!$A$12:$A$130,"&lt;"&amp;Diagram!$P46),SUMIFS(INDIRECT(ADDRESS(12,3+18*3+(9),,,"J1 B - Butcher Terrace")&amp;":"&amp;ADDRESS(130,3+18*3+(9))),'J1 B - Butcher Terrace'!$A$12:$A$130,"&gt;="&amp;Diagram!$O46,'J1 B - Butcher Terrace'!$A$12:$A$130,"&lt;"&amp;Diagram!$P46)))</f>
        <v>0</v>
      </c>
      <c r="AP46" s="42">
        <f ca="1">IF(OR($I$10="",$O46="",$P46="",$J$36&lt;&gt;"Yes"),0,IF($K$10=0,SUMIFS(INDIRECT(ADDRESS(12,3+18*0+(1),,,"J1 B - Butcher Terrace")&amp;":"&amp;ADDRESS(130,3+18*0+(1))),'J1 B - Butcher Terrace'!$A$12:$A$130,"&gt;="&amp;Diagram!$O46,'J1 B - Butcher Terrace'!$A$12:$A$130,"&lt;"&amp;Diagram!$P46),SUMIFS(INDIRECT(ADDRESS(12,3+18*0+(9),,,"J1 B - Butcher Terrace")&amp;":"&amp;ADDRESS(130,3+18*0+(9))),'J1 B - Butcher Terrace'!$A$12:$A$130,"&gt;="&amp;Diagram!$O46,'J1 B - Butcher Terrace'!$A$12:$A$130,"&lt;"&amp;Diagram!$P46)))</f>
        <v>1</v>
      </c>
      <c r="AQ46" s="42">
        <f ca="1">IF(OR($I$10="",$O46="",$P46="",$J$36&lt;&gt;"Yes"),0,IF($K$10=0,SUMIFS(INDIRECT(ADDRESS(12,3+18*1+(1),,,"J1 B - Butcher Terrace")&amp;":"&amp;ADDRESS(130,3+18*1+(1))),'J1 B - Butcher Terrace'!$A$12:$A$130,"&gt;="&amp;Diagram!$O46,'J1 B - Butcher Terrace'!$A$12:$A$130,"&lt;"&amp;Diagram!$P46),SUMIFS(INDIRECT(ADDRESS(12,3+18*1+(9),,,"J1 B - Butcher Terrace")&amp;":"&amp;ADDRESS(130,3+18*1+(9))),'J1 B - Butcher Terrace'!$A$12:$A$130,"&gt;="&amp;Diagram!$O46,'J1 B - Butcher Terrace'!$A$12:$A$130,"&lt;"&amp;Diagram!$P46)))</f>
        <v>1</v>
      </c>
      <c r="AR46" s="42">
        <f ca="1">IF(OR($I$10="",$O46="",$P46="",$J$36&lt;&gt;"Yes"),0,IF($K$10=0,SUMIFS(INDIRECT(ADDRESS(12,3+18*1+(1),,,"J1 C - (South) Bishopthorpe Roa")&amp;":"&amp;ADDRESS(130,3+18*1+(1))),'J1 C - (South) Bishopthorpe Roa'!$A$12:$A$130,"&gt;="&amp;Diagram!$O46,'J1 C - (South) Bishopthorpe Roa'!$A$12:$A$130,"&lt;"&amp;Diagram!$P46),SUMIFS(INDIRECT(ADDRESS(12,3+18*1+(9),,,"J1 C - (South) Bishopthorpe Roa")&amp;":"&amp;ADDRESS(130,3+18*1+(9))),'J1 C - (South) Bishopthorpe Roa'!$A$12:$A$130,"&gt;="&amp;Diagram!$O46,'J1 C - (South) Bishopthorpe Roa'!$A$12:$A$130,"&lt;"&amp;Diagram!$P46)))</f>
        <v>16</v>
      </c>
      <c r="AS46" s="42">
        <f ca="1">IF(OR($I$10="",$O46="",$P46="",$J$36&lt;&gt;"Yes"),0,IF($K$10=0,SUMIFS(INDIRECT(ADDRESS(12,3+18*2+(1),,,"J1 C - (South) Bishopthorpe Roa")&amp;":"&amp;ADDRESS(130,3+18*2+(1))),'J1 C - (South) Bishopthorpe Roa'!$A$12:$A$130,"&gt;="&amp;Diagram!$O46,'J1 C - (South) Bishopthorpe Roa'!$A$12:$A$130,"&lt;"&amp;Diagram!$P46),SUMIFS(INDIRECT(ADDRESS(12,3+18*2+(9),,,"J1 C - (South) Bishopthorpe Roa")&amp;":"&amp;ADDRESS(130,3+18*2+(9))),'J1 C - (South) Bishopthorpe Roa'!$A$12:$A$130,"&gt;="&amp;Diagram!$O46,'J1 C - (South) Bishopthorpe Roa'!$A$12:$A$130,"&lt;"&amp;Diagram!$P46)))</f>
        <v>2</v>
      </c>
      <c r="AT46" s="42">
        <f ca="1">IF(OR($I$10="",$O46="",$P46="",$J$36&lt;&gt;"Yes"),0,IF($K$10=0,SUMIFS(INDIRECT(ADDRESS(12,3+18*3+(1),,,"J1 C - (South) Bishopthorpe Roa")&amp;":"&amp;ADDRESS(130,3+18*3+(1))),'J1 C - (South) Bishopthorpe Roa'!$A$12:$A$130,"&gt;="&amp;Diagram!$O46,'J1 C - (South) Bishopthorpe Roa'!$A$12:$A$130,"&lt;"&amp;Diagram!$P46),SUMIFS(INDIRECT(ADDRESS(12,3+18*3+(9),,,"J1 C - (South) Bishopthorpe Roa")&amp;":"&amp;ADDRESS(130,3+18*3+(9))),'J1 C - (South) Bishopthorpe Roa'!$A$12:$A$130,"&gt;="&amp;Diagram!$O46,'J1 C - (South) Bishopthorpe Roa'!$A$12:$A$130,"&lt;"&amp;Diagram!$P46)))</f>
        <v>0</v>
      </c>
      <c r="AU46" s="42">
        <f ca="1">IF(OR($I$10="",$O46="",$P46="",$J$36&lt;&gt;"Yes"),0,IF($K$10=0,SUMIFS(INDIRECT(ADDRESS(12,3+18*0+(1),,,"J1 C - (South) Bishopthorpe Roa")&amp;":"&amp;ADDRESS(130,3+18*0+(1))),'J1 C - (South) Bishopthorpe Roa'!$A$12:$A$130,"&gt;="&amp;Diagram!$O46,'J1 C - (South) Bishopthorpe Roa'!$A$12:$A$130,"&lt;"&amp;Diagram!$P46),SUMIFS(INDIRECT(ADDRESS(12,3+18*0+(9),,,"J1 C - (South) Bishopthorpe Roa")&amp;":"&amp;ADDRESS(130,3+18*0+(9))),'J1 C - (South) Bishopthorpe Roa'!$A$12:$A$130,"&gt;="&amp;Diagram!$O46,'J1 C - (South) Bishopthorpe Roa'!$A$12:$A$130,"&lt;"&amp;Diagram!$P46)))</f>
        <v>4</v>
      </c>
      <c r="AV46" s="42">
        <f ca="1">IF(OR($I$10="",$O46="",$P46="",$J$36&lt;&gt;"Yes"),0,IF($K$10=0,SUMIFS(INDIRECT(ADDRESS(12,3+18*0+(1),,,"J1 D - South Bank Avenue")&amp;":"&amp;ADDRESS(130,3+18*0+(1))),'J1 D - South Bank Avenue'!$A$12:$A$130,"&gt;="&amp;Diagram!$O46,'J1 D - South Bank Avenue'!$A$12:$A$130,"&lt;"&amp;Diagram!$P46),SUMIFS(INDIRECT(ADDRESS(12,3+18*0+(9),,,"J1 D - South Bank Avenue")&amp;":"&amp;ADDRESS(130,3+18*0+(9))),'J1 D - South Bank Avenue'!$A$12:$A$130,"&gt;="&amp;Diagram!$O46,'J1 D - South Bank Avenue'!$A$12:$A$130,"&lt;"&amp;Diagram!$P46)))</f>
        <v>3</v>
      </c>
      <c r="AW46" s="42">
        <f ca="1">IF(OR($I$10="",$O46="",$P46="",$J$36&lt;&gt;"Yes"),0,IF($K$10=0,SUMIFS(INDIRECT(ADDRESS(12,3+18*1+(1),,,"J1 D - South Bank Avenue")&amp;":"&amp;ADDRESS(130,3+18*1+(1))),'J1 D - South Bank Avenue'!$A$12:$A$130,"&gt;="&amp;Diagram!$O46,'J1 D - South Bank Avenue'!$A$12:$A$130,"&lt;"&amp;Diagram!$P46),SUMIFS(INDIRECT(ADDRESS(12,3+18*1+(9),,,"J1 D - South Bank Avenue")&amp;":"&amp;ADDRESS(130,3+18*1+(9))),'J1 D - South Bank Avenue'!$A$12:$A$130,"&gt;="&amp;Diagram!$O46,'J1 D - South Bank Avenue'!$A$12:$A$130,"&lt;"&amp;Diagram!$P46)))</f>
        <v>0</v>
      </c>
      <c r="AX46" s="42">
        <f ca="1">IF(OR($I$10="",$O46="",$P46="",$J$36&lt;&gt;"Yes"),0,IF($K$10=0,SUMIFS(INDIRECT(ADDRESS(12,3+18*2+(1),,,"J1 D - South Bank Avenue")&amp;":"&amp;ADDRESS(130,3+18*2+(1))),'J1 D - South Bank Avenue'!$A$12:$A$130,"&gt;="&amp;Diagram!$O46,'J1 D - South Bank Avenue'!$A$12:$A$130,"&lt;"&amp;Diagram!$P46),SUMIFS(INDIRECT(ADDRESS(12,3+18*2+(9),,,"J1 D - South Bank Avenue")&amp;":"&amp;ADDRESS(130,3+18*2+(9))),'J1 D - South Bank Avenue'!$A$12:$A$130,"&gt;="&amp;Diagram!$O46,'J1 D - South Bank Avenue'!$A$12:$A$130,"&lt;"&amp;Diagram!$P46)))</f>
        <v>3</v>
      </c>
      <c r="AY46" s="42">
        <f ca="1">IF(OR($I$10="",$O46="",$P46="",$J$36&lt;&gt;"Yes"),0,IF($K$10=0,SUMIFS(INDIRECT(ADDRESS(12,3+18*3+(1),,,"J1 D - South Bank Avenue")&amp;":"&amp;ADDRESS(130,3+18*3+(1))),'J1 D - South Bank Avenue'!$A$12:$A$130,"&gt;="&amp;Diagram!$O46,'J1 D - South Bank Avenue'!$A$12:$A$130,"&lt;"&amp;Diagram!$P46),SUMIFS(INDIRECT(ADDRESS(12,3+18*3+(9),,,"J1 D - South Bank Avenue")&amp;":"&amp;ADDRESS(130,3+18*3+(9))),'J1 D - South Bank Avenue'!$A$12:$A$130,"&gt;="&amp;Diagram!$O46,'J1 D - South Bank Avenue'!$A$12:$A$130,"&lt;"&amp;Diagram!$P46)))</f>
        <v>0</v>
      </c>
      <c r="AZ46" s="42">
        <f t="shared" ca="1" si="3"/>
        <v>10</v>
      </c>
      <c r="BA46" s="42">
        <f ca="1">IF(OR($I$10="",$O46="",$P46="",$J$37&lt;&gt;"Yes"),0,IF($K$10=0,SUMIFS(INDIRECT(ADDRESS(12,3+18*3+(2),,,"J1 A - (North) Bishopthorpe Roa")&amp;":"&amp;ADDRESS(130,3+18*3+(2))),'J1 A - (North) Bishopthorpe Roa'!$A$12:$A$130,"&gt;="&amp;Diagram!$O46,'J1 A - (North) Bishopthorpe Roa'!$A$12:$A$130,"&lt;"&amp;Diagram!$P46),SUMIFS(INDIRECT(ADDRESS(12,3+18*3+(10),,,"J1 A - (North) Bishopthorpe Roa")&amp;":"&amp;ADDRESS(130,3+18*3+(10))),'J1 A - (North) Bishopthorpe Roa'!$A$12:$A$130,"&gt;="&amp;Diagram!$O46,'J1 A - (North) Bishopthorpe Roa'!$A$12:$A$130,"&lt;"&amp;Diagram!$P46)))</f>
        <v>0</v>
      </c>
      <c r="BB46" s="42">
        <f ca="1">IF(OR($I$10="",$O46="",$P46="",$J$37&lt;&gt;"Yes"),0,IF($K$10=0,SUMIFS(INDIRECT(ADDRESS(12,3+18*0+(2),,,"J1 A - (North) Bishopthorpe Roa")&amp;":"&amp;ADDRESS(130,3+18*0+(2))),'J1 A - (North) Bishopthorpe Roa'!$A$12:$A$130,"&gt;="&amp;Diagram!$O46,'J1 A - (North) Bishopthorpe Roa'!$A$12:$A$130,"&lt;"&amp;Diagram!$P46),SUMIFS(INDIRECT(ADDRESS(12,3+18*0+(10),,,"J1 A - (North) Bishopthorpe Roa")&amp;":"&amp;ADDRESS(130,3+18*0+(10))),'J1 A - (North) Bishopthorpe Roa'!$A$12:$A$130,"&gt;="&amp;Diagram!$O46,'J1 A - (North) Bishopthorpe Roa'!$A$12:$A$130,"&lt;"&amp;Diagram!$P46)))</f>
        <v>1</v>
      </c>
      <c r="BC46" s="42">
        <f ca="1">IF(OR($I$10="",$O46="",$P46="",$J$37&lt;&gt;"Yes"),0,IF($K$10=0,SUMIFS(INDIRECT(ADDRESS(12,3+18*1+(2),,,"J1 A - (North) Bishopthorpe Roa")&amp;":"&amp;ADDRESS(130,3+18*1+(2))),'J1 A - (North) Bishopthorpe Roa'!$A$12:$A$130,"&gt;="&amp;Diagram!$O46,'J1 A - (North) Bishopthorpe Roa'!$A$12:$A$130,"&lt;"&amp;Diagram!$P46),SUMIFS(INDIRECT(ADDRESS(12,3+18*1+(10),,,"J1 A - (North) Bishopthorpe Roa")&amp;":"&amp;ADDRESS(130,3+18*1+(10))),'J1 A - (North) Bishopthorpe Roa'!$A$12:$A$130,"&gt;="&amp;Diagram!$O46,'J1 A - (North) Bishopthorpe Roa'!$A$12:$A$130,"&lt;"&amp;Diagram!$P46)))</f>
        <v>3</v>
      </c>
      <c r="BD46" s="42">
        <f ca="1">IF(OR($I$10="",$O46="",$P46="",$J$37&lt;&gt;"Yes"),0,IF($K$10=0,SUMIFS(INDIRECT(ADDRESS(12,3+18*2+(2),,,"J1 A - (North) Bishopthorpe Roa")&amp;":"&amp;ADDRESS(130,3+18*2+(2))),'J1 A - (North) Bishopthorpe Roa'!$A$12:$A$130,"&gt;="&amp;Diagram!$O46,'J1 A - (North) Bishopthorpe Roa'!$A$12:$A$130,"&lt;"&amp;Diagram!$P46),SUMIFS(INDIRECT(ADDRESS(12,3+18*2+(10),,,"J1 A - (North) Bishopthorpe Roa")&amp;":"&amp;ADDRESS(130,3+18*2+(10))),'J1 A - (North) Bishopthorpe Roa'!$A$12:$A$130,"&gt;="&amp;Diagram!$O46,'J1 A - (North) Bishopthorpe Roa'!$A$12:$A$130,"&lt;"&amp;Diagram!$P46)))</f>
        <v>0</v>
      </c>
      <c r="BE46" s="42">
        <f ca="1">IF(OR($I$10="",$O46="",$P46="",$J$37&lt;&gt;"Yes"),0,IF($K$10=0,SUMIFS(INDIRECT(ADDRESS(12,3+18*2+(2),,,"J1 B - Butcher Terrace")&amp;":"&amp;ADDRESS(130,3+18*2+(2))),'J1 B - Butcher Terrace'!$A$12:$A$130,"&gt;="&amp;Diagram!$O46,'J1 B - Butcher Terrace'!$A$12:$A$130,"&lt;"&amp;Diagram!$P46),SUMIFS(INDIRECT(ADDRESS(12,3+18*2+(10),,,"J1 B - Butcher Terrace")&amp;":"&amp;ADDRESS(130,3+18*2+(10))),'J1 B - Butcher Terrace'!$A$12:$A$130,"&gt;="&amp;Diagram!$O46,'J1 B - Butcher Terrace'!$A$12:$A$130,"&lt;"&amp;Diagram!$P46)))</f>
        <v>2</v>
      </c>
      <c r="BF46" s="42">
        <f ca="1">IF(OR($I$10="",$O46="",$P46="",$J$37&lt;&gt;"Yes"),0,IF($K$10=0,SUMIFS(INDIRECT(ADDRESS(12,3+18*3+(2),,,"J1 B - Butcher Terrace")&amp;":"&amp;ADDRESS(130,3+18*3+(2))),'J1 B - Butcher Terrace'!$A$12:$A$130,"&gt;="&amp;Diagram!$O46,'J1 B - Butcher Terrace'!$A$12:$A$130,"&lt;"&amp;Diagram!$P46),SUMIFS(INDIRECT(ADDRESS(12,3+18*3+(10),,,"J1 B - Butcher Terrace")&amp;":"&amp;ADDRESS(130,3+18*3+(10))),'J1 B - Butcher Terrace'!$A$12:$A$130,"&gt;="&amp;Diagram!$O46,'J1 B - Butcher Terrace'!$A$12:$A$130,"&lt;"&amp;Diagram!$P46)))</f>
        <v>0</v>
      </c>
      <c r="BG46" s="42">
        <f ca="1">IF(OR($I$10="",$O46="",$P46="",$J$37&lt;&gt;"Yes"),0,IF($K$10=0,SUMIFS(INDIRECT(ADDRESS(12,3+18*0+(2),,,"J1 B - Butcher Terrace")&amp;":"&amp;ADDRESS(130,3+18*0+(2))),'J1 B - Butcher Terrace'!$A$12:$A$130,"&gt;="&amp;Diagram!$O46,'J1 B - Butcher Terrace'!$A$12:$A$130,"&lt;"&amp;Diagram!$P46),SUMIFS(INDIRECT(ADDRESS(12,3+18*0+(10),,,"J1 B - Butcher Terrace")&amp;":"&amp;ADDRESS(130,3+18*0+(10))),'J1 B - Butcher Terrace'!$A$12:$A$130,"&gt;="&amp;Diagram!$O46,'J1 B - Butcher Terrace'!$A$12:$A$130,"&lt;"&amp;Diagram!$P46)))</f>
        <v>1</v>
      </c>
      <c r="BH46" s="42">
        <f ca="1">IF(OR($I$10="",$O46="",$P46="",$J$37&lt;&gt;"Yes"),0,IF($K$10=0,SUMIFS(INDIRECT(ADDRESS(12,3+18*1+(2),,,"J1 B - Butcher Terrace")&amp;":"&amp;ADDRESS(130,3+18*1+(2))),'J1 B - Butcher Terrace'!$A$12:$A$130,"&gt;="&amp;Diagram!$O46,'J1 B - Butcher Terrace'!$A$12:$A$130,"&lt;"&amp;Diagram!$P46),SUMIFS(INDIRECT(ADDRESS(12,3+18*1+(10),,,"J1 B - Butcher Terrace")&amp;":"&amp;ADDRESS(130,3+18*1+(10))),'J1 B - Butcher Terrace'!$A$12:$A$130,"&gt;="&amp;Diagram!$O46,'J1 B - Butcher Terrace'!$A$12:$A$130,"&lt;"&amp;Diagram!$P46)))</f>
        <v>0</v>
      </c>
      <c r="BI46" s="42">
        <f ca="1">IF(OR($I$10="",$O46="",$P46="",$J$37&lt;&gt;"Yes"),0,IF($K$10=0,SUMIFS(INDIRECT(ADDRESS(12,3+18*1+(2),,,"J1 C - (South) Bishopthorpe Roa")&amp;":"&amp;ADDRESS(130,3+18*1+(2))),'J1 C - (South) Bishopthorpe Roa'!$A$12:$A$130,"&gt;="&amp;Diagram!$O46,'J1 C - (South) Bishopthorpe Roa'!$A$12:$A$130,"&lt;"&amp;Diagram!$P46),SUMIFS(INDIRECT(ADDRESS(12,3+18*1+(10),,,"J1 C - (South) Bishopthorpe Roa")&amp;":"&amp;ADDRESS(130,3+18*1+(10))),'J1 C - (South) Bishopthorpe Roa'!$A$12:$A$130,"&gt;="&amp;Diagram!$O46,'J1 C - (South) Bishopthorpe Roa'!$A$12:$A$130,"&lt;"&amp;Diagram!$P46)))</f>
        <v>3</v>
      </c>
      <c r="BJ46" s="42">
        <f ca="1">IF(OR($I$10="",$O46="",$P46="",$J$37&lt;&gt;"Yes"),0,IF($K$10=0,SUMIFS(INDIRECT(ADDRESS(12,3+18*2+(2),,,"J1 C - (South) Bishopthorpe Roa")&amp;":"&amp;ADDRESS(130,3+18*2+(2))),'J1 C - (South) Bishopthorpe Roa'!$A$12:$A$130,"&gt;="&amp;Diagram!$O46,'J1 C - (South) Bishopthorpe Roa'!$A$12:$A$130,"&lt;"&amp;Diagram!$P46),SUMIFS(INDIRECT(ADDRESS(12,3+18*2+(10),,,"J1 C - (South) Bishopthorpe Roa")&amp;":"&amp;ADDRESS(130,3+18*2+(10))),'J1 C - (South) Bishopthorpe Roa'!$A$12:$A$130,"&gt;="&amp;Diagram!$O46,'J1 C - (South) Bishopthorpe Roa'!$A$12:$A$130,"&lt;"&amp;Diagram!$P46)))</f>
        <v>0</v>
      </c>
      <c r="BK46" s="42">
        <f ca="1">IF(OR($I$10="",$O46="",$P46="",$J$37&lt;&gt;"Yes"),0,IF($K$10=0,SUMIFS(INDIRECT(ADDRESS(12,3+18*3+(2),,,"J1 C - (South) Bishopthorpe Roa")&amp;":"&amp;ADDRESS(130,3+18*3+(2))),'J1 C - (South) Bishopthorpe Roa'!$A$12:$A$130,"&gt;="&amp;Diagram!$O46,'J1 C - (South) Bishopthorpe Roa'!$A$12:$A$130,"&lt;"&amp;Diagram!$P46),SUMIFS(INDIRECT(ADDRESS(12,3+18*3+(10),,,"J1 C - (South) Bishopthorpe Roa")&amp;":"&amp;ADDRESS(130,3+18*3+(10))),'J1 C - (South) Bishopthorpe Roa'!$A$12:$A$130,"&gt;="&amp;Diagram!$O46,'J1 C - (South) Bishopthorpe Roa'!$A$12:$A$130,"&lt;"&amp;Diagram!$P46)))</f>
        <v>0</v>
      </c>
      <c r="BL46" s="42">
        <f ca="1">IF(OR($I$10="",$O46="",$P46="",$J$37&lt;&gt;"Yes"),0,IF($K$10=0,SUMIFS(INDIRECT(ADDRESS(12,3+18*0+(2),,,"J1 C - (South) Bishopthorpe Roa")&amp;":"&amp;ADDRESS(130,3+18*0+(2))),'J1 C - (South) Bishopthorpe Roa'!$A$12:$A$130,"&gt;="&amp;Diagram!$O46,'J1 C - (South) Bishopthorpe Roa'!$A$12:$A$130,"&lt;"&amp;Diagram!$P46),SUMIFS(INDIRECT(ADDRESS(12,3+18*0+(10),,,"J1 C - (South) Bishopthorpe Roa")&amp;":"&amp;ADDRESS(130,3+18*0+(10))),'J1 C - (South) Bishopthorpe Roa'!$A$12:$A$130,"&gt;="&amp;Diagram!$O46,'J1 C - (South) Bishopthorpe Roa'!$A$12:$A$130,"&lt;"&amp;Diagram!$P46)))</f>
        <v>0</v>
      </c>
      <c r="BM46" s="42">
        <f ca="1">IF(OR($I$10="",$O46="",$P46="",$J$37&lt;&gt;"Yes"),0,IF($K$10=0,SUMIFS(INDIRECT(ADDRESS(12,3+18*0+(2),,,"J1 D - South Bank Avenue")&amp;":"&amp;ADDRESS(130,3+18*0+(2))),'J1 D - South Bank Avenue'!$A$12:$A$130,"&gt;="&amp;Diagram!$O46,'J1 D - South Bank Avenue'!$A$12:$A$130,"&lt;"&amp;Diagram!$P46),SUMIFS(INDIRECT(ADDRESS(12,3+18*0+(10),,,"J1 D - South Bank Avenue")&amp;":"&amp;ADDRESS(130,3+18*0+(10))),'J1 D - South Bank Avenue'!$A$12:$A$130,"&gt;="&amp;Diagram!$O46,'J1 D - South Bank Avenue'!$A$12:$A$130,"&lt;"&amp;Diagram!$P46)))</f>
        <v>0</v>
      </c>
      <c r="BN46" s="42">
        <f ca="1">IF(OR($I$10="",$O46="",$P46="",$J$37&lt;&gt;"Yes"),0,IF($K$10=0,SUMIFS(INDIRECT(ADDRESS(12,3+18*1+(2),,,"J1 D - South Bank Avenue")&amp;":"&amp;ADDRESS(130,3+18*1+(2))),'J1 D - South Bank Avenue'!$A$12:$A$130,"&gt;="&amp;Diagram!$O46,'J1 D - South Bank Avenue'!$A$12:$A$130,"&lt;"&amp;Diagram!$P46),SUMIFS(INDIRECT(ADDRESS(12,3+18*1+(10),,,"J1 D - South Bank Avenue")&amp;":"&amp;ADDRESS(130,3+18*1+(10))),'J1 D - South Bank Avenue'!$A$12:$A$130,"&gt;="&amp;Diagram!$O46,'J1 D - South Bank Avenue'!$A$12:$A$130,"&lt;"&amp;Diagram!$P46)))</f>
        <v>0</v>
      </c>
      <c r="BO46" s="42">
        <f ca="1">IF(OR($I$10="",$O46="",$P46="",$J$37&lt;&gt;"Yes"),0,IF($K$10=0,SUMIFS(INDIRECT(ADDRESS(12,3+18*2+(2),,,"J1 D - South Bank Avenue")&amp;":"&amp;ADDRESS(130,3+18*2+(2))),'J1 D - South Bank Avenue'!$A$12:$A$130,"&gt;="&amp;Diagram!$O46,'J1 D - South Bank Avenue'!$A$12:$A$130,"&lt;"&amp;Diagram!$P46),SUMIFS(INDIRECT(ADDRESS(12,3+18*2+(10),,,"J1 D - South Bank Avenue")&amp;":"&amp;ADDRESS(130,3+18*2+(10))),'J1 D - South Bank Avenue'!$A$12:$A$130,"&gt;="&amp;Diagram!$O46,'J1 D - South Bank Avenue'!$A$12:$A$130,"&lt;"&amp;Diagram!$P46)))</f>
        <v>0</v>
      </c>
      <c r="BP46" s="42">
        <f ca="1">IF(OR($I$10="",$O46="",$P46="",$J$37&lt;&gt;"Yes"),0,IF($K$10=0,SUMIFS(INDIRECT(ADDRESS(12,3+18*3+(2),,,"J1 D - South Bank Avenue")&amp;":"&amp;ADDRESS(130,3+18*3+(2))),'J1 D - South Bank Avenue'!$A$12:$A$130,"&gt;="&amp;Diagram!$O46,'J1 D - South Bank Avenue'!$A$12:$A$130,"&lt;"&amp;Diagram!$P46),SUMIFS(INDIRECT(ADDRESS(12,3+18*3+(10),,,"J1 D - South Bank Avenue")&amp;":"&amp;ADDRESS(130,3+18*3+(10))),'J1 D - South Bank Avenue'!$A$12:$A$130,"&gt;="&amp;Diagram!$O46,'J1 D - South Bank Avenue'!$A$12:$A$130,"&lt;"&amp;Diagram!$P46)))</f>
        <v>0</v>
      </c>
      <c r="BQ46" s="42">
        <f t="shared" ca="1" si="4"/>
        <v>0</v>
      </c>
      <c r="BR46" s="42">
        <f ca="1">IF(OR($I$10="",$O46="",$P46="",$J$38&lt;&gt;"Yes"),0,IF($K$10=0,SUMIFS(INDIRECT(ADDRESS(12,3+18*3+(3),,,"J1 A - (North) Bishopthorpe Roa")&amp;":"&amp;ADDRESS(130,3+18*3+(3))),'J1 A - (North) Bishopthorpe Roa'!$A$12:$A$130,"&gt;="&amp;Diagram!$O46,'J1 A - (North) Bishopthorpe Roa'!$A$12:$A$130,"&lt;"&amp;Diagram!$P46),SUMIFS(INDIRECT(ADDRESS(12,3+18*3+(11),,,"J1 A - (North) Bishopthorpe Roa")&amp;":"&amp;ADDRESS(130,3+18*3+(11))),'J1 A - (North) Bishopthorpe Roa'!$A$12:$A$130,"&gt;="&amp;Diagram!$O46,'J1 A - (North) Bishopthorpe Roa'!$A$12:$A$130,"&lt;"&amp;Diagram!$P46)))</f>
        <v>0</v>
      </c>
      <c r="BS46" s="42">
        <f ca="1">IF(OR($I$10="",$O46="",$P46="",$J$38&lt;&gt;"Yes"),0,IF($K$10=0,SUMIFS(INDIRECT(ADDRESS(12,3+18*0+(3),,,"J1 A - (North) Bishopthorpe Roa")&amp;":"&amp;ADDRESS(130,3+18*0+(3))),'J1 A - (North) Bishopthorpe Roa'!$A$12:$A$130,"&gt;="&amp;Diagram!$O46,'J1 A - (North) Bishopthorpe Roa'!$A$12:$A$130,"&lt;"&amp;Diagram!$P46),SUMIFS(INDIRECT(ADDRESS(12,3+18*0+(11),,,"J1 A - (North) Bishopthorpe Roa")&amp;":"&amp;ADDRESS(130,3+18*0+(11))),'J1 A - (North) Bishopthorpe Roa'!$A$12:$A$130,"&gt;="&amp;Diagram!$O46,'J1 A - (North) Bishopthorpe Roa'!$A$12:$A$130,"&lt;"&amp;Diagram!$P46)))</f>
        <v>0</v>
      </c>
      <c r="BT46" s="42">
        <f ca="1">IF(OR($I$10="",$O46="",$P46="",$J$38&lt;&gt;"Yes"),0,IF($K$10=0,SUMIFS(INDIRECT(ADDRESS(12,3+18*1+(3),,,"J1 A - (North) Bishopthorpe Roa")&amp;":"&amp;ADDRESS(130,3+18*1+(3))),'J1 A - (North) Bishopthorpe Roa'!$A$12:$A$130,"&gt;="&amp;Diagram!$O46,'J1 A - (North) Bishopthorpe Roa'!$A$12:$A$130,"&lt;"&amp;Diagram!$P46),SUMIFS(INDIRECT(ADDRESS(12,3+18*1+(11),,,"J1 A - (North) Bishopthorpe Roa")&amp;":"&amp;ADDRESS(130,3+18*1+(11))),'J1 A - (North) Bishopthorpe Roa'!$A$12:$A$130,"&gt;="&amp;Diagram!$O46,'J1 A - (North) Bishopthorpe Roa'!$A$12:$A$130,"&lt;"&amp;Diagram!$P46)))</f>
        <v>0</v>
      </c>
      <c r="BU46" s="42">
        <f ca="1">IF(OR($I$10="",$O46="",$P46="",$J$38&lt;&gt;"Yes"),0,IF($K$10=0,SUMIFS(INDIRECT(ADDRESS(12,3+18*2+(3),,,"J1 A - (North) Bishopthorpe Roa")&amp;":"&amp;ADDRESS(130,3+18*2+(3))),'J1 A - (North) Bishopthorpe Roa'!$A$12:$A$130,"&gt;="&amp;Diagram!$O46,'J1 A - (North) Bishopthorpe Roa'!$A$12:$A$130,"&lt;"&amp;Diagram!$P46),SUMIFS(INDIRECT(ADDRESS(12,3+18*2+(11),,,"J1 A - (North) Bishopthorpe Roa")&amp;":"&amp;ADDRESS(130,3+18*2+(11))),'J1 A - (North) Bishopthorpe Roa'!$A$12:$A$130,"&gt;="&amp;Diagram!$O46,'J1 A - (North) Bishopthorpe Roa'!$A$12:$A$130,"&lt;"&amp;Diagram!$P46)))</f>
        <v>0</v>
      </c>
      <c r="BV46" s="42">
        <f ca="1">IF(OR($I$10="",$O46="",$P46="",$J$38&lt;&gt;"Yes"),0,IF($K$10=0,SUMIFS(INDIRECT(ADDRESS(12,3+18*2+(3),,,"J1 B - Butcher Terrace")&amp;":"&amp;ADDRESS(130,3+18*2+(3))),'J1 B - Butcher Terrace'!$A$12:$A$130,"&gt;="&amp;Diagram!$O46,'J1 B - Butcher Terrace'!$A$12:$A$130,"&lt;"&amp;Diagram!$P46),SUMIFS(INDIRECT(ADDRESS(12,3+18*2+(11),,,"J1 B - Butcher Terrace")&amp;":"&amp;ADDRESS(130,3+18*2+(11))),'J1 B - Butcher Terrace'!$A$12:$A$130,"&gt;="&amp;Diagram!$O46,'J1 B - Butcher Terrace'!$A$12:$A$130,"&lt;"&amp;Diagram!$P46)))</f>
        <v>0</v>
      </c>
      <c r="BW46" s="42">
        <f ca="1">IF(OR($I$10="",$O46="",$P46="",$J$38&lt;&gt;"Yes"),0,IF($K$10=0,SUMIFS(INDIRECT(ADDRESS(12,3+18*3+(3),,,"J1 B - Butcher Terrace")&amp;":"&amp;ADDRESS(130,3+18*3+(3))),'J1 B - Butcher Terrace'!$A$12:$A$130,"&gt;="&amp;Diagram!$O46,'J1 B - Butcher Terrace'!$A$12:$A$130,"&lt;"&amp;Diagram!$P46),SUMIFS(INDIRECT(ADDRESS(12,3+18*3+(11),,,"J1 B - Butcher Terrace")&amp;":"&amp;ADDRESS(130,3+18*3+(11))),'J1 B - Butcher Terrace'!$A$12:$A$130,"&gt;="&amp;Diagram!$O46,'J1 B - Butcher Terrace'!$A$12:$A$130,"&lt;"&amp;Diagram!$P46)))</f>
        <v>0</v>
      </c>
      <c r="BX46" s="42">
        <f ca="1">IF(OR($I$10="",$O46="",$P46="",$J$38&lt;&gt;"Yes"),0,IF($K$10=0,SUMIFS(INDIRECT(ADDRESS(12,3+18*0+(3),,,"J1 B - Butcher Terrace")&amp;":"&amp;ADDRESS(130,3+18*0+(3))),'J1 B - Butcher Terrace'!$A$12:$A$130,"&gt;="&amp;Diagram!$O46,'J1 B - Butcher Terrace'!$A$12:$A$130,"&lt;"&amp;Diagram!$P46),SUMIFS(INDIRECT(ADDRESS(12,3+18*0+(11),,,"J1 B - Butcher Terrace")&amp;":"&amp;ADDRESS(130,3+18*0+(11))),'J1 B - Butcher Terrace'!$A$12:$A$130,"&gt;="&amp;Diagram!$O46,'J1 B - Butcher Terrace'!$A$12:$A$130,"&lt;"&amp;Diagram!$P46)))</f>
        <v>0</v>
      </c>
      <c r="BY46" s="42">
        <f ca="1">IF(OR($I$10="",$O46="",$P46="",$J$38&lt;&gt;"Yes"),0,IF($K$10=0,SUMIFS(INDIRECT(ADDRESS(12,3+18*1+(3),,,"J1 B - Butcher Terrace")&amp;":"&amp;ADDRESS(130,3+18*1+(3))),'J1 B - Butcher Terrace'!$A$12:$A$130,"&gt;="&amp;Diagram!$O46,'J1 B - Butcher Terrace'!$A$12:$A$130,"&lt;"&amp;Diagram!$P46),SUMIFS(INDIRECT(ADDRESS(12,3+18*1+(11),,,"J1 B - Butcher Terrace")&amp;":"&amp;ADDRESS(130,3+18*1+(11))),'J1 B - Butcher Terrace'!$A$12:$A$130,"&gt;="&amp;Diagram!$O46,'J1 B - Butcher Terrace'!$A$12:$A$130,"&lt;"&amp;Diagram!$P46)))</f>
        <v>0</v>
      </c>
      <c r="BZ46" s="42">
        <f ca="1">IF(OR($I$10="",$O46="",$P46="",$J$38&lt;&gt;"Yes"),0,IF($K$10=0,SUMIFS(INDIRECT(ADDRESS(12,3+18*1+(3),,,"J1 C - (South) Bishopthorpe Roa")&amp;":"&amp;ADDRESS(130,3+18*1+(3))),'J1 C - (South) Bishopthorpe Roa'!$A$12:$A$130,"&gt;="&amp;Diagram!$O46,'J1 C - (South) Bishopthorpe Roa'!$A$12:$A$130,"&lt;"&amp;Diagram!$P46),SUMIFS(INDIRECT(ADDRESS(12,3+18*1+(11),,,"J1 C - (South) Bishopthorpe Roa")&amp;":"&amp;ADDRESS(130,3+18*1+(11))),'J1 C - (South) Bishopthorpe Roa'!$A$12:$A$130,"&gt;="&amp;Diagram!$O46,'J1 C - (South) Bishopthorpe Roa'!$A$12:$A$130,"&lt;"&amp;Diagram!$P46)))</f>
        <v>0</v>
      </c>
      <c r="CA46" s="42">
        <f ca="1">IF(OR($I$10="",$O46="",$P46="",$J$38&lt;&gt;"Yes"),0,IF($K$10=0,SUMIFS(INDIRECT(ADDRESS(12,3+18*2+(3),,,"J1 C - (South) Bishopthorpe Roa")&amp;":"&amp;ADDRESS(130,3+18*2+(3))),'J1 C - (South) Bishopthorpe Roa'!$A$12:$A$130,"&gt;="&amp;Diagram!$O46,'J1 C - (South) Bishopthorpe Roa'!$A$12:$A$130,"&lt;"&amp;Diagram!$P46),SUMIFS(INDIRECT(ADDRESS(12,3+18*2+(11),,,"J1 C - (South) Bishopthorpe Roa")&amp;":"&amp;ADDRESS(130,3+18*2+(11))),'J1 C - (South) Bishopthorpe Roa'!$A$12:$A$130,"&gt;="&amp;Diagram!$O46,'J1 C - (South) Bishopthorpe Roa'!$A$12:$A$130,"&lt;"&amp;Diagram!$P46)))</f>
        <v>0</v>
      </c>
      <c r="CB46" s="42">
        <f ca="1">IF(OR($I$10="",$O46="",$P46="",$J$38&lt;&gt;"Yes"),0,IF($K$10=0,SUMIFS(INDIRECT(ADDRESS(12,3+18*3+(3),,,"J1 C - (South) Bishopthorpe Roa")&amp;":"&amp;ADDRESS(130,3+18*3+(3))),'J1 C - (South) Bishopthorpe Roa'!$A$12:$A$130,"&gt;="&amp;Diagram!$O46,'J1 C - (South) Bishopthorpe Roa'!$A$12:$A$130,"&lt;"&amp;Diagram!$P46),SUMIFS(INDIRECT(ADDRESS(12,3+18*3+(11),,,"J1 C - (South) Bishopthorpe Roa")&amp;":"&amp;ADDRESS(130,3+18*3+(11))),'J1 C - (South) Bishopthorpe Roa'!$A$12:$A$130,"&gt;="&amp;Diagram!$O46,'J1 C - (South) Bishopthorpe Roa'!$A$12:$A$130,"&lt;"&amp;Diagram!$P46)))</f>
        <v>0</v>
      </c>
      <c r="CC46" s="42">
        <f ca="1">IF(OR($I$10="",$O46="",$P46="",$J$38&lt;&gt;"Yes"),0,IF($K$10=0,SUMIFS(INDIRECT(ADDRESS(12,3+18*0+(3),,,"J1 C - (South) Bishopthorpe Roa")&amp;":"&amp;ADDRESS(130,3+18*0+(3))),'J1 C - (South) Bishopthorpe Roa'!$A$12:$A$130,"&gt;="&amp;Diagram!$O46,'J1 C - (South) Bishopthorpe Roa'!$A$12:$A$130,"&lt;"&amp;Diagram!$P46),SUMIFS(INDIRECT(ADDRESS(12,3+18*0+(11),,,"J1 C - (South) Bishopthorpe Roa")&amp;":"&amp;ADDRESS(130,3+18*0+(11))),'J1 C - (South) Bishopthorpe Roa'!$A$12:$A$130,"&gt;="&amp;Diagram!$O46,'J1 C - (South) Bishopthorpe Roa'!$A$12:$A$130,"&lt;"&amp;Diagram!$P46)))</f>
        <v>0</v>
      </c>
      <c r="CD46" s="42">
        <f ca="1">IF(OR($I$10="",$O46="",$P46="",$J$38&lt;&gt;"Yes"),0,IF($K$10=0,SUMIFS(INDIRECT(ADDRESS(12,3+18*0+(3),,,"J1 D - South Bank Avenue")&amp;":"&amp;ADDRESS(130,3+18*0+(3))),'J1 D - South Bank Avenue'!$A$12:$A$130,"&gt;="&amp;Diagram!$O46,'J1 D - South Bank Avenue'!$A$12:$A$130,"&lt;"&amp;Diagram!$P46),SUMIFS(INDIRECT(ADDRESS(12,3+18*0+(11),,,"J1 D - South Bank Avenue")&amp;":"&amp;ADDRESS(130,3+18*0+(11))),'J1 D - South Bank Avenue'!$A$12:$A$130,"&gt;="&amp;Diagram!$O46,'J1 D - South Bank Avenue'!$A$12:$A$130,"&lt;"&amp;Diagram!$P46)))</f>
        <v>0</v>
      </c>
      <c r="CE46" s="42">
        <f ca="1">IF(OR($I$10="",$O46="",$P46="",$J$38&lt;&gt;"Yes"),0,IF($K$10=0,SUMIFS(INDIRECT(ADDRESS(12,3+18*1+(3),,,"J1 D - South Bank Avenue")&amp;":"&amp;ADDRESS(130,3+18*1+(3))),'J1 D - South Bank Avenue'!$A$12:$A$130,"&gt;="&amp;Diagram!$O46,'J1 D - South Bank Avenue'!$A$12:$A$130,"&lt;"&amp;Diagram!$P46),SUMIFS(INDIRECT(ADDRESS(12,3+18*1+(11),,,"J1 D - South Bank Avenue")&amp;":"&amp;ADDRESS(130,3+18*1+(11))),'J1 D - South Bank Avenue'!$A$12:$A$130,"&gt;="&amp;Diagram!$O46,'J1 D - South Bank Avenue'!$A$12:$A$130,"&lt;"&amp;Diagram!$P46)))</f>
        <v>0</v>
      </c>
      <c r="CF46" s="42">
        <f ca="1">IF(OR($I$10="",$O46="",$P46="",$J$38&lt;&gt;"Yes"),0,IF($K$10=0,SUMIFS(INDIRECT(ADDRESS(12,3+18*2+(3),,,"J1 D - South Bank Avenue")&amp;":"&amp;ADDRESS(130,3+18*2+(3))),'J1 D - South Bank Avenue'!$A$12:$A$130,"&gt;="&amp;Diagram!$O46,'J1 D - South Bank Avenue'!$A$12:$A$130,"&lt;"&amp;Diagram!$P46),SUMIFS(INDIRECT(ADDRESS(12,3+18*2+(11),,,"J1 D - South Bank Avenue")&amp;":"&amp;ADDRESS(130,3+18*2+(11))),'J1 D - South Bank Avenue'!$A$12:$A$130,"&gt;="&amp;Diagram!$O46,'J1 D - South Bank Avenue'!$A$12:$A$130,"&lt;"&amp;Diagram!$P46)))</f>
        <v>0</v>
      </c>
      <c r="CG46" s="42">
        <f ca="1">IF(OR($I$10="",$O46="",$P46="",$J$38&lt;&gt;"Yes"),0,IF($K$10=0,SUMIFS(INDIRECT(ADDRESS(12,3+18*3+(3),,,"J1 D - South Bank Avenue")&amp;":"&amp;ADDRESS(130,3+18*3+(3))),'J1 D - South Bank Avenue'!$A$12:$A$130,"&gt;="&amp;Diagram!$O46,'J1 D - South Bank Avenue'!$A$12:$A$130,"&lt;"&amp;Diagram!$P46),SUMIFS(INDIRECT(ADDRESS(12,3+18*3+(11),,,"J1 D - South Bank Avenue")&amp;":"&amp;ADDRESS(130,3+18*3+(11))),'J1 D - South Bank Avenue'!$A$12:$A$130,"&gt;="&amp;Diagram!$O46,'J1 D - South Bank Avenue'!$A$12:$A$130,"&lt;"&amp;Diagram!$P46)))</f>
        <v>0</v>
      </c>
      <c r="CH46" s="42">
        <f t="shared" ca="1" si="5"/>
        <v>8</v>
      </c>
      <c r="CI46" s="42">
        <f ca="1">IF(OR($I$10="",$O46="",$P46="",$J$39&lt;&gt;"Yes"),0,IF($K$10=0,SUMIFS(INDIRECT(ADDRESS(12,3+18*3+(4),,,"J1 A - (North) Bishopthorpe Roa")&amp;":"&amp;ADDRESS(130,3+18*3+(4))),'J1 A - (North) Bishopthorpe Roa'!$A$12:$A$130,"&gt;="&amp;Diagram!$O46,'J1 A - (North) Bishopthorpe Roa'!$A$12:$A$130,"&lt;"&amp;Diagram!$P46),SUMIFS(INDIRECT(ADDRESS(12,3+18*3+(12),,,"J1 A - (North) Bishopthorpe Roa")&amp;":"&amp;ADDRESS(130,3+18*3+(12))),'J1 A - (North) Bishopthorpe Roa'!$A$12:$A$130,"&gt;="&amp;Diagram!$O46,'J1 A - (North) Bishopthorpe Roa'!$A$12:$A$130,"&lt;"&amp;Diagram!$P46)))</f>
        <v>0</v>
      </c>
      <c r="CJ46" s="42">
        <f ca="1">IF(OR($I$10="",$O46="",$P46="",$J$39&lt;&gt;"Yes"),0,IF($K$10=0,SUMIFS(INDIRECT(ADDRESS(12,3+18*0+(4),,,"J1 A - (North) Bishopthorpe Roa")&amp;":"&amp;ADDRESS(130,3+18*0+(4))),'J1 A - (North) Bishopthorpe Roa'!$A$12:$A$130,"&gt;="&amp;Diagram!$O46,'J1 A - (North) Bishopthorpe Roa'!$A$12:$A$130,"&lt;"&amp;Diagram!$P46),SUMIFS(INDIRECT(ADDRESS(12,3+18*0+(12),,,"J1 A - (North) Bishopthorpe Roa")&amp;":"&amp;ADDRESS(130,3+18*0+(12))),'J1 A - (North) Bishopthorpe Roa'!$A$12:$A$130,"&gt;="&amp;Diagram!$O46,'J1 A - (North) Bishopthorpe Roa'!$A$12:$A$130,"&lt;"&amp;Diagram!$P46)))</f>
        <v>0</v>
      </c>
      <c r="CK46" s="42">
        <f ca="1">IF(OR($I$10="",$O46="",$P46="",$J$39&lt;&gt;"Yes"),0,IF($K$10=0,SUMIFS(INDIRECT(ADDRESS(12,3+18*1+(4),,,"J1 A - (North) Bishopthorpe Roa")&amp;":"&amp;ADDRESS(130,3+18*1+(4))),'J1 A - (North) Bishopthorpe Roa'!$A$12:$A$130,"&gt;="&amp;Diagram!$O46,'J1 A - (North) Bishopthorpe Roa'!$A$12:$A$130,"&lt;"&amp;Diagram!$P46),SUMIFS(INDIRECT(ADDRESS(12,3+18*1+(12),,,"J1 A - (North) Bishopthorpe Roa")&amp;":"&amp;ADDRESS(130,3+18*1+(12))),'J1 A - (North) Bishopthorpe Roa'!$A$12:$A$130,"&gt;="&amp;Diagram!$O46,'J1 A - (North) Bishopthorpe Roa'!$A$12:$A$130,"&lt;"&amp;Diagram!$P46)))</f>
        <v>4</v>
      </c>
      <c r="CL46" s="42">
        <f ca="1">IF(OR($I$10="",$O46="",$P46="",$J$39&lt;&gt;"Yes"),0,IF($K$10=0,SUMIFS(INDIRECT(ADDRESS(12,3+18*2+(4),,,"J1 A - (North) Bishopthorpe Roa")&amp;":"&amp;ADDRESS(130,3+18*2+(4))),'J1 A - (North) Bishopthorpe Roa'!$A$12:$A$130,"&gt;="&amp;Diagram!$O46,'J1 A - (North) Bishopthorpe Roa'!$A$12:$A$130,"&lt;"&amp;Diagram!$P46),SUMIFS(INDIRECT(ADDRESS(12,3+18*2+(12),,,"J1 A - (North) Bishopthorpe Roa")&amp;":"&amp;ADDRESS(130,3+18*2+(12))),'J1 A - (North) Bishopthorpe Roa'!$A$12:$A$130,"&gt;="&amp;Diagram!$O46,'J1 A - (North) Bishopthorpe Roa'!$A$12:$A$130,"&lt;"&amp;Diagram!$P46)))</f>
        <v>0</v>
      </c>
      <c r="CM46" s="42">
        <f ca="1">IF(OR($I$10="",$O46="",$P46="",$J$39&lt;&gt;"Yes"),0,IF($K$10=0,SUMIFS(INDIRECT(ADDRESS(12,3+18*2+(4),,,"J1 B - Butcher Terrace")&amp;":"&amp;ADDRESS(130,3+18*2+(4))),'J1 B - Butcher Terrace'!$A$12:$A$130,"&gt;="&amp;Diagram!$O46,'J1 B - Butcher Terrace'!$A$12:$A$130,"&lt;"&amp;Diagram!$P46),SUMIFS(INDIRECT(ADDRESS(12,3+18*2+(12),,,"J1 B - Butcher Terrace")&amp;":"&amp;ADDRESS(130,3+18*2+(12))),'J1 B - Butcher Terrace'!$A$12:$A$130,"&gt;="&amp;Diagram!$O46,'J1 B - Butcher Terrace'!$A$12:$A$130,"&lt;"&amp;Diagram!$P46)))</f>
        <v>0</v>
      </c>
      <c r="CN46" s="42">
        <f ca="1">IF(OR($I$10="",$O46="",$P46="",$J$39&lt;&gt;"Yes"),0,IF($K$10=0,SUMIFS(INDIRECT(ADDRESS(12,3+18*3+(4),,,"J1 B - Butcher Terrace")&amp;":"&amp;ADDRESS(130,3+18*3+(4))),'J1 B - Butcher Terrace'!$A$12:$A$130,"&gt;="&amp;Diagram!$O46,'J1 B - Butcher Terrace'!$A$12:$A$130,"&lt;"&amp;Diagram!$P46),SUMIFS(INDIRECT(ADDRESS(12,3+18*3+(12),,,"J1 B - Butcher Terrace")&amp;":"&amp;ADDRESS(130,3+18*3+(12))),'J1 B - Butcher Terrace'!$A$12:$A$130,"&gt;="&amp;Diagram!$O46,'J1 B - Butcher Terrace'!$A$12:$A$130,"&lt;"&amp;Diagram!$P46)))</f>
        <v>0</v>
      </c>
      <c r="CO46" s="42">
        <f ca="1">IF(OR($I$10="",$O46="",$P46="",$J$39&lt;&gt;"Yes"),0,IF($K$10=0,SUMIFS(INDIRECT(ADDRESS(12,3+18*0+(4),,,"J1 B - Butcher Terrace")&amp;":"&amp;ADDRESS(130,3+18*0+(4))),'J1 B - Butcher Terrace'!$A$12:$A$130,"&gt;="&amp;Diagram!$O46,'J1 B - Butcher Terrace'!$A$12:$A$130,"&lt;"&amp;Diagram!$P46),SUMIFS(INDIRECT(ADDRESS(12,3+18*0+(12),,,"J1 B - Butcher Terrace")&amp;":"&amp;ADDRESS(130,3+18*0+(12))),'J1 B - Butcher Terrace'!$A$12:$A$130,"&gt;="&amp;Diagram!$O46,'J1 B - Butcher Terrace'!$A$12:$A$130,"&lt;"&amp;Diagram!$P46)))</f>
        <v>0</v>
      </c>
      <c r="CP46" s="42">
        <f ca="1">IF(OR($I$10="",$O46="",$P46="",$J$39&lt;&gt;"Yes"),0,IF($K$10=0,SUMIFS(INDIRECT(ADDRESS(12,3+18*1+(4),,,"J1 B - Butcher Terrace")&amp;":"&amp;ADDRESS(130,3+18*1+(4))),'J1 B - Butcher Terrace'!$A$12:$A$130,"&gt;="&amp;Diagram!$O46,'J1 B - Butcher Terrace'!$A$12:$A$130,"&lt;"&amp;Diagram!$P46),SUMIFS(INDIRECT(ADDRESS(12,3+18*1+(12),,,"J1 B - Butcher Terrace")&amp;":"&amp;ADDRESS(130,3+18*1+(12))),'J1 B - Butcher Terrace'!$A$12:$A$130,"&gt;="&amp;Diagram!$O46,'J1 B - Butcher Terrace'!$A$12:$A$130,"&lt;"&amp;Diagram!$P46)))</f>
        <v>0</v>
      </c>
      <c r="CQ46" s="42">
        <f ca="1">IF(OR($I$10="",$O46="",$P46="",$J$39&lt;&gt;"Yes"),0,IF($K$10=0,SUMIFS(INDIRECT(ADDRESS(12,3+18*1+(4),,,"J1 C - (South) Bishopthorpe Roa")&amp;":"&amp;ADDRESS(130,3+18*1+(4))),'J1 C - (South) Bishopthorpe Roa'!$A$12:$A$130,"&gt;="&amp;Diagram!$O46,'J1 C - (South) Bishopthorpe Roa'!$A$12:$A$130,"&lt;"&amp;Diagram!$P46),SUMIFS(INDIRECT(ADDRESS(12,3+18*1+(12),,,"J1 C - (South) Bishopthorpe Roa")&amp;":"&amp;ADDRESS(130,3+18*1+(12))),'J1 C - (South) Bishopthorpe Roa'!$A$12:$A$130,"&gt;="&amp;Diagram!$O46,'J1 C - (South) Bishopthorpe Roa'!$A$12:$A$130,"&lt;"&amp;Diagram!$P46)))</f>
        <v>4</v>
      </c>
      <c r="CR46" s="42">
        <f ca="1">IF(OR($I$10="",$O46="",$P46="",$J$39&lt;&gt;"Yes"),0,IF($K$10=0,SUMIFS(INDIRECT(ADDRESS(12,3+18*2+(4),,,"J1 C - (South) Bishopthorpe Roa")&amp;":"&amp;ADDRESS(130,3+18*2+(4))),'J1 C - (South) Bishopthorpe Roa'!$A$12:$A$130,"&gt;="&amp;Diagram!$O46,'J1 C - (South) Bishopthorpe Roa'!$A$12:$A$130,"&lt;"&amp;Diagram!$P46),SUMIFS(INDIRECT(ADDRESS(12,3+18*2+(12),,,"J1 C - (South) Bishopthorpe Roa")&amp;":"&amp;ADDRESS(130,3+18*2+(12))),'J1 C - (South) Bishopthorpe Roa'!$A$12:$A$130,"&gt;="&amp;Diagram!$O46,'J1 C - (South) Bishopthorpe Roa'!$A$12:$A$130,"&lt;"&amp;Diagram!$P46)))</f>
        <v>0</v>
      </c>
      <c r="CS46" s="42">
        <f ca="1">IF(OR($I$10="",$O46="",$P46="",$J$39&lt;&gt;"Yes"),0,IF($K$10=0,SUMIFS(INDIRECT(ADDRESS(12,3+18*3+(4),,,"J1 C - (South) Bishopthorpe Roa")&amp;":"&amp;ADDRESS(130,3+18*3+(4))),'J1 C - (South) Bishopthorpe Roa'!$A$12:$A$130,"&gt;="&amp;Diagram!$O46,'J1 C - (South) Bishopthorpe Roa'!$A$12:$A$130,"&lt;"&amp;Diagram!$P46),SUMIFS(INDIRECT(ADDRESS(12,3+18*3+(12),,,"J1 C - (South) Bishopthorpe Roa")&amp;":"&amp;ADDRESS(130,3+18*3+(12))),'J1 C - (South) Bishopthorpe Roa'!$A$12:$A$130,"&gt;="&amp;Diagram!$O46,'J1 C - (South) Bishopthorpe Roa'!$A$12:$A$130,"&lt;"&amp;Diagram!$P46)))</f>
        <v>0</v>
      </c>
      <c r="CT46" s="42">
        <f ca="1">IF(OR($I$10="",$O46="",$P46="",$J$39&lt;&gt;"Yes"),0,IF($K$10=0,SUMIFS(INDIRECT(ADDRESS(12,3+18*0+(4),,,"J1 C - (South) Bishopthorpe Roa")&amp;":"&amp;ADDRESS(130,3+18*0+(4))),'J1 C - (South) Bishopthorpe Roa'!$A$12:$A$130,"&gt;="&amp;Diagram!$O46,'J1 C - (South) Bishopthorpe Roa'!$A$12:$A$130,"&lt;"&amp;Diagram!$P46),SUMIFS(INDIRECT(ADDRESS(12,3+18*0+(12),,,"J1 C - (South) Bishopthorpe Roa")&amp;":"&amp;ADDRESS(130,3+18*0+(12))),'J1 C - (South) Bishopthorpe Roa'!$A$12:$A$130,"&gt;="&amp;Diagram!$O46,'J1 C - (South) Bishopthorpe Roa'!$A$12:$A$130,"&lt;"&amp;Diagram!$P46)))</f>
        <v>0</v>
      </c>
      <c r="CU46" s="42">
        <f ca="1">IF(OR($I$10="",$O46="",$P46="",$J$39&lt;&gt;"Yes"),0,IF($K$10=0,SUMIFS(INDIRECT(ADDRESS(12,3+18*0+(4),,,"J1 D - South Bank Avenue")&amp;":"&amp;ADDRESS(130,3+18*0+(4))),'J1 D - South Bank Avenue'!$A$12:$A$130,"&gt;="&amp;Diagram!$O46,'J1 D - South Bank Avenue'!$A$12:$A$130,"&lt;"&amp;Diagram!$P46),SUMIFS(INDIRECT(ADDRESS(12,3+18*0+(12),,,"J1 D - South Bank Avenue")&amp;":"&amp;ADDRESS(130,3+18*0+(12))),'J1 D - South Bank Avenue'!$A$12:$A$130,"&gt;="&amp;Diagram!$O46,'J1 D - South Bank Avenue'!$A$12:$A$130,"&lt;"&amp;Diagram!$P46)))</f>
        <v>0</v>
      </c>
      <c r="CV46" s="42">
        <f ca="1">IF(OR($I$10="",$O46="",$P46="",$J$39&lt;&gt;"Yes"),0,IF($K$10=0,SUMIFS(INDIRECT(ADDRESS(12,3+18*1+(4),,,"J1 D - South Bank Avenue")&amp;":"&amp;ADDRESS(130,3+18*1+(4))),'J1 D - South Bank Avenue'!$A$12:$A$130,"&gt;="&amp;Diagram!$O46,'J1 D - South Bank Avenue'!$A$12:$A$130,"&lt;"&amp;Diagram!$P46),SUMIFS(INDIRECT(ADDRESS(12,3+18*1+(12),,,"J1 D - South Bank Avenue")&amp;":"&amp;ADDRESS(130,3+18*1+(12))),'J1 D - South Bank Avenue'!$A$12:$A$130,"&gt;="&amp;Diagram!$O46,'J1 D - South Bank Avenue'!$A$12:$A$130,"&lt;"&amp;Diagram!$P46)))</f>
        <v>0</v>
      </c>
      <c r="CW46" s="42">
        <f ca="1">IF(OR($I$10="",$O46="",$P46="",$J$39&lt;&gt;"Yes"),0,IF($K$10=0,SUMIFS(INDIRECT(ADDRESS(12,3+18*2+(4),,,"J1 D - South Bank Avenue")&amp;":"&amp;ADDRESS(130,3+18*2+(4))),'J1 D - South Bank Avenue'!$A$12:$A$130,"&gt;="&amp;Diagram!$O46,'J1 D - South Bank Avenue'!$A$12:$A$130,"&lt;"&amp;Diagram!$P46),SUMIFS(INDIRECT(ADDRESS(12,3+18*2+(12),,,"J1 D - South Bank Avenue")&amp;":"&amp;ADDRESS(130,3+18*2+(12))),'J1 D - South Bank Avenue'!$A$12:$A$130,"&gt;="&amp;Diagram!$O46,'J1 D - South Bank Avenue'!$A$12:$A$130,"&lt;"&amp;Diagram!$P46)))</f>
        <v>0</v>
      </c>
      <c r="CX46" s="42">
        <f ca="1">IF(OR($I$10="",$O46="",$P46="",$J$39&lt;&gt;"Yes"),0,IF($K$10=0,SUMIFS(INDIRECT(ADDRESS(12,3+18*3+(4),,,"J1 D - South Bank Avenue")&amp;":"&amp;ADDRESS(130,3+18*3+(4))),'J1 D - South Bank Avenue'!$A$12:$A$130,"&gt;="&amp;Diagram!$O46,'J1 D - South Bank Avenue'!$A$12:$A$130,"&lt;"&amp;Diagram!$P46),SUMIFS(INDIRECT(ADDRESS(12,3+18*3+(12),,,"J1 D - South Bank Avenue")&amp;":"&amp;ADDRESS(130,3+18*3+(12))),'J1 D - South Bank Avenue'!$A$12:$A$130,"&gt;="&amp;Diagram!$O46,'J1 D - South Bank Avenue'!$A$12:$A$130,"&lt;"&amp;Diagram!$P46)))</f>
        <v>0</v>
      </c>
      <c r="CY46" s="42">
        <f t="shared" ca="1" si="6"/>
        <v>90</v>
      </c>
      <c r="CZ46" s="42">
        <f ca="1">IF(OR($I$10="",$O46="",$P46="",$J$40&lt;&gt;"Yes"),0,IF($K$10=0,SUMIFS(INDIRECT(ADDRESS(12,3+18*3+(5),,,"J1 A - (North) Bishopthorpe Roa")&amp;":"&amp;ADDRESS(130,3+18*3+(5))),'J1 A - (North) Bishopthorpe Roa'!$A$12:$A$130,"&gt;="&amp;Diagram!$O46,'J1 A - (North) Bishopthorpe Roa'!$A$12:$A$130,"&lt;"&amp;Diagram!$P46),SUMIFS(INDIRECT(ADDRESS(12,3+18*3+(13),,,"J1 A - (North) Bishopthorpe Roa")&amp;":"&amp;ADDRESS(130,3+18*3+(13))),'J1 A - (North) Bishopthorpe Roa'!$A$12:$A$130,"&gt;="&amp;Diagram!$O46,'J1 A - (North) Bishopthorpe Roa'!$A$12:$A$130,"&lt;"&amp;Diagram!$P46)))</f>
        <v>0</v>
      </c>
      <c r="DA46" s="42">
        <f ca="1">IF(OR($I$10="",$O46="",$P46="",$J$40&lt;&gt;"Yes"),0,IF($K$10=0,SUMIFS(INDIRECT(ADDRESS(12,3+18*0+(5),,,"J1 A - (North) Bishopthorpe Roa")&amp;":"&amp;ADDRESS(130,3+18*0+(5))),'J1 A - (North) Bishopthorpe Roa'!$A$12:$A$130,"&gt;="&amp;Diagram!$O46,'J1 A - (North) Bishopthorpe Roa'!$A$12:$A$130,"&lt;"&amp;Diagram!$P46),SUMIFS(INDIRECT(ADDRESS(12,3+18*0+(13),,,"J1 A - (North) Bishopthorpe Roa")&amp;":"&amp;ADDRESS(130,3+18*0+(13))),'J1 A - (North) Bishopthorpe Roa'!$A$12:$A$130,"&gt;="&amp;Diagram!$O46,'J1 A - (North) Bishopthorpe Roa'!$A$12:$A$130,"&lt;"&amp;Diagram!$P46)))</f>
        <v>16</v>
      </c>
      <c r="DB46" s="42">
        <f ca="1">IF(OR($I$10="",$O46="",$P46="",$J$40&lt;&gt;"Yes"),0,IF($K$10=0,SUMIFS(INDIRECT(ADDRESS(12,3+18*1+(5),,,"J1 A - (North) Bishopthorpe Roa")&amp;":"&amp;ADDRESS(130,3+18*1+(5))),'J1 A - (North) Bishopthorpe Roa'!$A$12:$A$130,"&gt;="&amp;Diagram!$O46,'J1 A - (North) Bishopthorpe Roa'!$A$12:$A$130,"&lt;"&amp;Diagram!$P46),SUMIFS(INDIRECT(ADDRESS(12,3+18*1+(13),,,"J1 A - (North) Bishopthorpe Roa")&amp;":"&amp;ADDRESS(130,3+18*1+(13))),'J1 A - (North) Bishopthorpe Roa'!$A$12:$A$130,"&gt;="&amp;Diagram!$O46,'J1 A - (North) Bishopthorpe Roa'!$A$12:$A$130,"&lt;"&amp;Diagram!$P46)))</f>
        <v>11</v>
      </c>
      <c r="DC46" s="42">
        <f ca="1">IF(OR($I$10="",$O46="",$P46="",$J$40&lt;&gt;"Yes"),0,IF($K$10=0,SUMIFS(INDIRECT(ADDRESS(12,3+18*2+(5),,,"J1 A - (North) Bishopthorpe Roa")&amp;":"&amp;ADDRESS(130,3+18*2+(5))),'J1 A - (North) Bishopthorpe Roa'!$A$12:$A$130,"&gt;="&amp;Diagram!$O46,'J1 A - (North) Bishopthorpe Roa'!$A$12:$A$130,"&lt;"&amp;Diagram!$P46),SUMIFS(INDIRECT(ADDRESS(12,3+18*2+(13),,,"J1 A - (North) Bishopthorpe Roa")&amp;":"&amp;ADDRESS(130,3+18*2+(13))),'J1 A - (North) Bishopthorpe Roa'!$A$12:$A$130,"&gt;="&amp;Diagram!$O46,'J1 A - (North) Bishopthorpe Roa'!$A$12:$A$130,"&lt;"&amp;Diagram!$P46)))</f>
        <v>3</v>
      </c>
      <c r="DD46" s="42">
        <f ca="1">IF(OR($I$10="",$O46="",$P46="",$J$40&lt;&gt;"Yes"),0,IF($K$10=0,SUMIFS(INDIRECT(ADDRESS(12,3+18*2+(5),,,"J1 B - Butcher Terrace")&amp;":"&amp;ADDRESS(130,3+18*2+(5))),'J1 B - Butcher Terrace'!$A$12:$A$130,"&gt;="&amp;Diagram!$O46,'J1 B - Butcher Terrace'!$A$12:$A$130,"&lt;"&amp;Diagram!$P46),SUMIFS(INDIRECT(ADDRESS(12,3+18*2+(13),,,"J1 B - Butcher Terrace")&amp;":"&amp;ADDRESS(130,3+18*2+(13))),'J1 B - Butcher Terrace'!$A$12:$A$130,"&gt;="&amp;Diagram!$O46,'J1 B - Butcher Terrace'!$A$12:$A$130,"&lt;"&amp;Diagram!$P46)))</f>
        <v>8</v>
      </c>
      <c r="DE46" s="42">
        <f ca="1">IF(OR($I$10="",$O46="",$P46="",$J$40&lt;&gt;"Yes"),0,IF($K$10=0,SUMIFS(INDIRECT(ADDRESS(12,3+18*3+(5),,,"J1 B - Butcher Terrace")&amp;":"&amp;ADDRESS(130,3+18*3+(5))),'J1 B - Butcher Terrace'!$A$12:$A$130,"&gt;="&amp;Diagram!$O46,'J1 B - Butcher Terrace'!$A$12:$A$130,"&lt;"&amp;Diagram!$P46),SUMIFS(INDIRECT(ADDRESS(12,3+18*3+(13),,,"J1 B - Butcher Terrace")&amp;":"&amp;ADDRESS(130,3+18*3+(13))),'J1 B - Butcher Terrace'!$A$12:$A$130,"&gt;="&amp;Diagram!$O46,'J1 B - Butcher Terrace'!$A$12:$A$130,"&lt;"&amp;Diagram!$P46)))</f>
        <v>0</v>
      </c>
      <c r="DF46" s="42">
        <f ca="1">IF(OR($I$10="",$O46="",$P46="",$J$40&lt;&gt;"Yes"),0,IF($K$10=0,SUMIFS(INDIRECT(ADDRESS(12,3+18*0+(5),,,"J1 B - Butcher Terrace")&amp;":"&amp;ADDRESS(130,3+18*0+(5))),'J1 B - Butcher Terrace'!$A$12:$A$130,"&gt;="&amp;Diagram!$O46,'J1 B - Butcher Terrace'!$A$12:$A$130,"&lt;"&amp;Diagram!$P46),SUMIFS(INDIRECT(ADDRESS(12,3+18*0+(13),,,"J1 B - Butcher Terrace")&amp;":"&amp;ADDRESS(130,3+18*0+(13))),'J1 B - Butcher Terrace'!$A$12:$A$130,"&gt;="&amp;Diagram!$O46,'J1 B - Butcher Terrace'!$A$12:$A$130,"&lt;"&amp;Diagram!$P46)))</f>
        <v>7</v>
      </c>
      <c r="DG46" s="42">
        <f ca="1">IF(OR($I$10="",$O46="",$P46="",$J$40&lt;&gt;"Yes"),0,IF($K$10=0,SUMIFS(INDIRECT(ADDRESS(12,3+18*1+(5),,,"J1 B - Butcher Terrace")&amp;":"&amp;ADDRESS(130,3+18*1+(5))),'J1 B - Butcher Terrace'!$A$12:$A$130,"&gt;="&amp;Diagram!$O46,'J1 B - Butcher Terrace'!$A$12:$A$130,"&lt;"&amp;Diagram!$P46),SUMIFS(INDIRECT(ADDRESS(12,3+18*1+(13),,,"J1 B - Butcher Terrace")&amp;":"&amp;ADDRESS(130,3+18*1+(13))),'J1 B - Butcher Terrace'!$A$12:$A$130,"&gt;="&amp;Diagram!$O46,'J1 B - Butcher Terrace'!$A$12:$A$130,"&lt;"&amp;Diagram!$P46)))</f>
        <v>12</v>
      </c>
      <c r="DH46" s="42">
        <f ca="1">IF(OR($I$10="",$O46="",$P46="",$J$40&lt;&gt;"Yes"),0,IF($K$10=0,SUMIFS(INDIRECT(ADDRESS(12,3+18*1+(5),,,"J1 C - (South) Bishopthorpe Roa")&amp;":"&amp;ADDRESS(130,3+18*1+(5))),'J1 C - (South) Bishopthorpe Roa'!$A$12:$A$130,"&gt;="&amp;Diagram!$O46,'J1 C - (South) Bishopthorpe Roa'!$A$12:$A$130,"&lt;"&amp;Diagram!$P46),SUMIFS(INDIRECT(ADDRESS(12,3+18*1+(13),,,"J1 C - (South) Bishopthorpe Roa")&amp;":"&amp;ADDRESS(130,3+18*1+(13))),'J1 C - (South) Bishopthorpe Roa'!$A$12:$A$130,"&gt;="&amp;Diagram!$O46,'J1 C - (South) Bishopthorpe Roa'!$A$12:$A$130,"&lt;"&amp;Diagram!$P46)))</f>
        <v>8</v>
      </c>
      <c r="DI46" s="42">
        <f ca="1">IF(OR($I$10="",$O46="",$P46="",$J$40&lt;&gt;"Yes"),0,IF($K$10=0,SUMIFS(INDIRECT(ADDRESS(12,3+18*2+(5),,,"J1 C - (South) Bishopthorpe Roa")&amp;":"&amp;ADDRESS(130,3+18*2+(5))),'J1 C - (South) Bishopthorpe Roa'!$A$12:$A$130,"&gt;="&amp;Diagram!$O46,'J1 C - (South) Bishopthorpe Roa'!$A$12:$A$130,"&lt;"&amp;Diagram!$P46),SUMIFS(INDIRECT(ADDRESS(12,3+18*2+(13),,,"J1 C - (South) Bishopthorpe Roa")&amp;":"&amp;ADDRESS(130,3+18*2+(13))),'J1 C - (South) Bishopthorpe Roa'!$A$12:$A$130,"&gt;="&amp;Diagram!$O46,'J1 C - (South) Bishopthorpe Roa'!$A$12:$A$130,"&lt;"&amp;Diagram!$P46)))</f>
        <v>6</v>
      </c>
      <c r="DJ46" s="42">
        <f ca="1">IF(OR($I$10="",$O46="",$P46="",$J$40&lt;&gt;"Yes"),0,IF($K$10=0,SUMIFS(INDIRECT(ADDRESS(12,3+18*3+(5),,,"J1 C - (South) Bishopthorpe Roa")&amp;":"&amp;ADDRESS(130,3+18*3+(5))),'J1 C - (South) Bishopthorpe Roa'!$A$12:$A$130,"&gt;="&amp;Diagram!$O46,'J1 C - (South) Bishopthorpe Roa'!$A$12:$A$130,"&lt;"&amp;Diagram!$P46),SUMIFS(INDIRECT(ADDRESS(12,3+18*3+(13),,,"J1 C - (South) Bishopthorpe Roa")&amp;":"&amp;ADDRESS(130,3+18*3+(13))),'J1 C - (South) Bishopthorpe Roa'!$A$12:$A$130,"&gt;="&amp;Diagram!$O46,'J1 C - (South) Bishopthorpe Roa'!$A$12:$A$130,"&lt;"&amp;Diagram!$P46)))</f>
        <v>0</v>
      </c>
      <c r="DK46" s="42">
        <f ca="1">IF(OR($I$10="",$O46="",$P46="",$J$40&lt;&gt;"Yes"),0,IF($K$10=0,SUMIFS(INDIRECT(ADDRESS(12,3+18*0+(5),,,"J1 C - (South) Bishopthorpe Roa")&amp;":"&amp;ADDRESS(130,3+18*0+(5))),'J1 C - (South) Bishopthorpe Roa'!$A$12:$A$130,"&gt;="&amp;Diagram!$O46,'J1 C - (South) Bishopthorpe Roa'!$A$12:$A$130,"&lt;"&amp;Diagram!$P46),SUMIFS(INDIRECT(ADDRESS(12,3+18*0+(13),,,"J1 C - (South) Bishopthorpe Roa")&amp;":"&amp;ADDRESS(130,3+18*0+(13))),'J1 C - (South) Bishopthorpe Roa'!$A$12:$A$130,"&gt;="&amp;Diagram!$O46,'J1 C - (South) Bishopthorpe Roa'!$A$12:$A$130,"&lt;"&amp;Diagram!$P46)))</f>
        <v>0</v>
      </c>
      <c r="DL46" s="42">
        <f ca="1">IF(OR($I$10="",$O46="",$P46="",$J$40&lt;&gt;"Yes"),0,IF($K$10=0,SUMIFS(INDIRECT(ADDRESS(12,3+18*0+(5),,,"J1 D - South Bank Avenue")&amp;":"&amp;ADDRESS(130,3+18*0+(5))),'J1 D - South Bank Avenue'!$A$12:$A$130,"&gt;="&amp;Diagram!$O46,'J1 D - South Bank Avenue'!$A$12:$A$130,"&lt;"&amp;Diagram!$P46),SUMIFS(INDIRECT(ADDRESS(12,3+18*0+(13),,,"J1 D - South Bank Avenue")&amp;":"&amp;ADDRESS(130,3+18*0+(13))),'J1 D - South Bank Avenue'!$A$12:$A$130,"&gt;="&amp;Diagram!$O46,'J1 D - South Bank Avenue'!$A$12:$A$130,"&lt;"&amp;Diagram!$P46)))</f>
        <v>9</v>
      </c>
      <c r="DM46" s="42">
        <f ca="1">IF(OR($I$10="",$O46="",$P46="",$J$40&lt;&gt;"Yes"),0,IF($K$10=0,SUMIFS(INDIRECT(ADDRESS(12,3+18*1+(5),,,"J1 D - South Bank Avenue")&amp;":"&amp;ADDRESS(130,3+18*1+(5))),'J1 D - South Bank Avenue'!$A$12:$A$130,"&gt;="&amp;Diagram!$O46,'J1 D - South Bank Avenue'!$A$12:$A$130,"&lt;"&amp;Diagram!$P46),SUMIFS(INDIRECT(ADDRESS(12,3+18*1+(13),,,"J1 D - South Bank Avenue")&amp;":"&amp;ADDRESS(130,3+18*1+(13))),'J1 D - South Bank Avenue'!$A$12:$A$130,"&gt;="&amp;Diagram!$O46,'J1 D - South Bank Avenue'!$A$12:$A$130,"&lt;"&amp;Diagram!$P46)))</f>
        <v>10</v>
      </c>
      <c r="DN46" s="42">
        <f ca="1">IF(OR($I$10="",$O46="",$P46="",$J$40&lt;&gt;"Yes"),0,IF($K$10=0,SUMIFS(INDIRECT(ADDRESS(12,3+18*2+(5),,,"J1 D - South Bank Avenue")&amp;":"&amp;ADDRESS(130,3+18*2+(5))),'J1 D - South Bank Avenue'!$A$12:$A$130,"&gt;="&amp;Diagram!$O46,'J1 D - South Bank Avenue'!$A$12:$A$130,"&lt;"&amp;Diagram!$P46),SUMIFS(INDIRECT(ADDRESS(12,3+18*2+(13),,,"J1 D - South Bank Avenue")&amp;":"&amp;ADDRESS(130,3+18*2+(13))),'J1 D - South Bank Avenue'!$A$12:$A$130,"&gt;="&amp;Diagram!$O46,'J1 D - South Bank Avenue'!$A$12:$A$130,"&lt;"&amp;Diagram!$P46)))</f>
        <v>0</v>
      </c>
      <c r="DO46" s="42">
        <f ca="1">IF(OR($I$10="",$O46="",$P46="",$J$40&lt;&gt;"Yes"),0,IF($K$10=0,SUMIFS(INDIRECT(ADDRESS(12,3+18*3+(5),,,"J1 D - South Bank Avenue")&amp;":"&amp;ADDRESS(130,3+18*3+(5))),'J1 D - South Bank Avenue'!$A$12:$A$130,"&gt;="&amp;Diagram!$O46,'J1 D - South Bank Avenue'!$A$12:$A$130,"&lt;"&amp;Diagram!$P46),SUMIFS(INDIRECT(ADDRESS(12,3+18*3+(13),,,"J1 D - South Bank Avenue")&amp;":"&amp;ADDRESS(130,3+18*3+(13))),'J1 D - South Bank Avenue'!$A$12:$A$130,"&gt;="&amp;Diagram!$O46,'J1 D - South Bank Avenue'!$A$12:$A$130,"&lt;"&amp;Diagram!$P46)))</f>
        <v>0</v>
      </c>
      <c r="DP46" s="42">
        <f t="shared" ca="1" si="7"/>
        <v>2</v>
      </c>
      <c r="DQ46" s="42">
        <f ca="1">IF(OR($I$10="",$O46="",$P46="",$J$41&lt;&gt;"Yes"),0,IF($K$10=0,SUMIFS(INDIRECT(ADDRESS(12,3+18*3+(6),,,"J1 A - (North) Bishopthorpe Roa")&amp;":"&amp;ADDRESS(130,3+18*3+(6))),'J1 A - (North) Bishopthorpe Roa'!$A$12:$A$130,"&gt;="&amp;Diagram!$O46,'J1 A - (North) Bishopthorpe Roa'!$A$12:$A$130,"&lt;"&amp;Diagram!$P46),SUMIFS(INDIRECT(ADDRESS(12,3+18*3+(14),,,"J1 A - (North) Bishopthorpe Roa")&amp;":"&amp;ADDRESS(130,3+18*3+(14))),'J1 A - (North) Bishopthorpe Roa'!$A$12:$A$130,"&gt;="&amp;Diagram!$O46,'J1 A - (North) Bishopthorpe Roa'!$A$12:$A$130,"&lt;"&amp;Diagram!$P46)))</f>
        <v>0</v>
      </c>
      <c r="DR46" s="42">
        <f ca="1">IF(OR($I$10="",$O46="",$P46="",$J$41&lt;&gt;"Yes"),0,IF($K$10=0,SUMIFS(INDIRECT(ADDRESS(12,3+18*0+(6),,,"J1 A - (North) Bishopthorpe Roa")&amp;":"&amp;ADDRESS(130,3+18*0+(6))),'J1 A - (North) Bishopthorpe Roa'!$A$12:$A$130,"&gt;="&amp;Diagram!$O46,'J1 A - (North) Bishopthorpe Roa'!$A$12:$A$130,"&lt;"&amp;Diagram!$P46),SUMIFS(INDIRECT(ADDRESS(12,3+18*0+(14),,,"J1 A - (North) Bishopthorpe Roa")&amp;":"&amp;ADDRESS(130,3+18*0+(14))),'J1 A - (North) Bishopthorpe Roa'!$A$12:$A$130,"&gt;="&amp;Diagram!$O46,'J1 A - (North) Bishopthorpe Roa'!$A$12:$A$130,"&lt;"&amp;Diagram!$P46)))</f>
        <v>0</v>
      </c>
      <c r="DS46" s="42">
        <f ca="1">IF(OR($I$10="",$O46="",$P46="",$J$41&lt;&gt;"Yes"),0,IF($K$10=0,SUMIFS(INDIRECT(ADDRESS(12,3+18*1+(6),,,"J1 A - (North) Bishopthorpe Roa")&amp;":"&amp;ADDRESS(130,3+18*1+(6))),'J1 A - (North) Bishopthorpe Roa'!$A$12:$A$130,"&gt;="&amp;Diagram!$O46,'J1 A - (North) Bishopthorpe Roa'!$A$12:$A$130,"&lt;"&amp;Diagram!$P46),SUMIFS(INDIRECT(ADDRESS(12,3+18*1+(14),,,"J1 A - (North) Bishopthorpe Roa")&amp;":"&amp;ADDRESS(130,3+18*1+(14))),'J1 A - (North) Bishopthorpe Roa'!$A$12:$A$130,"&gt;="&amp;Diagram!$O46,'J1 A - (North) Bishopthorpe Roa'!$A$12:$A$130,"&lt;"&amp;Diagram!$P46)))</f>
        <v>1</v>
      </c>
      <c r="DT46" s="42">
        <f ca="1">IF(OR($I$10="",$O46="",$P46="",$J$41&lt;&gt;"Yes"),0,IF($K$10=0,SUMIFS(INDIRECT(ADDRESS(12,3+18*2+(6),,,"J1 A - (North) Bishopthorpe Roa")&amp;":"&amp;ADDRESS(130,3+18*2+(6))),'J1 A - (North) Bishopthorpe Roa'!$A$12:$A$130,"&gt;="&amp;Diagram!$O46,'J1 A - (North) Bishopthorpe Roa'!$A$12:$A$130,"&lt;"&amp;Diagram!$P46),SUMIFS(INDIRECT(ADDRESS(12,3+18*2+(14),,,"J1 A - (North) Bishopthorpe Roa")&amp;":"&amp;ADDRESS(130,3+18*2+(14))),'J1 A - (North) Bishopthorpe Roa'!$A$12:$A$130,"&gt;="&amp;Diagram!$O46,'J1 A - (North) Bishopthorpe Roa'!$A$12:$A$130,"&lt;"&amp;Diagram!$P46)))</f>
        <v>0</v>
      </c>
      <c r="DU46" s="42">
        <f ca="1">IF(OR($I$10="",$O46="",$P46="",$J$41&lt;&gt;"Yes"),0,IF($K$10=0,SUMIFS(INDIRECT(ADDRESS(12,3+18*2+(6),,,"J1 B - Butcher Terrace")&amp;":"&amp;ADDRESS(130,3+18*2+(6))),'J1 B - Butcher Terrace'!$A$12:$A$130,"&gt;="&amp;Diagram!$O46,'J1 B - Butcher Terrace'!$A$12:$A$130,"&lt;"&amp;Diagram!$P46),SUMIFS(INDIRECT(ADDRESS(12,3+18*2+(14),,,"J1 B - Butcher Terrace")&amp;":"&amp;ADDRESS(130,3+18*2+(14))),'J1 B - Butcher Terrace'!$A$12:$A$130,"&gt;="&amp;Diagram!$O46,'J1 B - Butcher Terrace'!$A$12:$A$130,"&lt;"&amp;Diagram!$P46)))</f>
        <v>0</v>
      </c>
      <c r="DV46" s="42">
        <f ca="1">IF(OR($I$10="",$O46="",$P46="",$J$41&lt;&gt;"Yes"),0,IF($K$10=0,SUMIFS(INDIRECT(ADDRESS(12,3+18*3+(6),,,"J1 B - Butcher Terrace")&amp;":"&amp;ADDRESS(130,3+18*3+(6))),'J1 B - Butcher Terrace'!$A$12:$A$130,"&gt;="&amp;Diagram!$O46,'J1 B - Butcher Terrace'!$A$12:$A$130,"&lt;"&amp;Diagram!$P46),SUMIFS(INDIRECT(ADDRESS(12,3+18*3+(14),,,"J1 B - Butcher Terrace")&amp;":"&amp;ADDRESS(130,3+18*3+(14))),'J1 B - Butcher Terrace'!$A$12:$A$130,"&gt;="&amp;Diagram!$O46,'J1 B - Butcher Terrace'!$A$12:$A$130,"&lt;"&amp;Diagram!$P46)))</f>
        <v>0</v>
      </c>
      <c r="DW46" s="42">
        <f ca="1">IF(OR($I$10="",$O46="",$P46="",$J$41&lt;&gt;"Yes"),0,IF($K$10=0,SUMIFS(INDIRECT(ADDRESS(12,3+18*0+(6),,,"J1 B - Butcher Terrace")&amp;":"&amp;ADDRESS(130,3+18*0+(6))),'J1 B - Butcher Terrace'!$A$12:$A$130,"&gt;="&amp;Diagram!$O46,'J1 B - Butcher Terrace'!$A$12:$A$130,"&lt;"&amp;Diagram!$P46),SUMIFS(INDIRECT(ADDRESS(12,3+18*0+(14),,,"J1 B - Butcher Terrace")&amp;":"&amp;ADDRESS(130,3+18*0+(14))),'J1 B - Butcher Terrace'!$A$12:$A$130,"&gt;="&amp;Diagram!$O46,'J1 B - Butcher Terrace'!$A$12:$A$130,"&lt;"&amp;Diagram!$P46)))</f>
        <v>0</v>
      </c>
      <c r="DX46" s="42">
        <f ca="1">IF(OR($I$10="",$O46="",$P46="",$J$41&lt;&gt;"Yes"),0,IF($K$10=0,SUMIFS(INDIRECT(ADDRESS(12,3+18*1+(6),,,"J1 B - Butcher Terrace")&amp;":"&amp;ADDRESS(130,3+18*1+(6))),'J1 B - Butcher Terrace'!$A$12:$A$130,"&gt;="&amp;Diagram!$O46,'J1 B - Butcher Terrace'!$A$12:$A$130,"&lt;"&amp;Diagram!$P46),SUMIFS(INDIRECT(ADDRESS(12,3+18*1+(14),,,"J1 B - Butcher Terrace")&amp;":"&amp;ADDRESS(130,3+18*1+(14))),'J1 B - Butcher Terrace'!$A$12:$A$130,"&gt;="&amp;Diagram!$O46,'J1 B - Butcher Terrace'!$A$12:$A$130,"&lt;"&amp;Diagram!$P46)))</f>
        <v>0</v>
      </c>
      <c r="DY46" s="42">
        <f ca="1">IF(OR($I$10="",$O46="",$P46="",$J$41&lt;&gt;"Yes"),0,IF($K$10=0,SUMIFS(INDIRECT(ADDRESS(12,3+18*1+(6),,,"J1 C - (South) Bishopthorpe Roa")&amp;":"&amp;ADDRESS(130,3+18*1+(6))),'J1 C - (South) Bishopthorpe Roa'!$A$12:$A$130,"&gt;="&amp;Diagram!$O46,'J1 C - (South) Bishopthorpe Roa'!$A$12:$A$130,"&lt;"&amp;Diagram!$P46),SUMIFS(INDIRECT(ADDRESS(12,3+18*1+(14),,,"J1 C - (South) Bishopthorpe Roa")&amp;":"&amp;ADDRESS(130,3+18*1+(14))),'J1 C - (South) Bishopthorpe Roa'!$A$12:$A$130,"&gt;="&amp;Diagram!$O46,'J1 C - (South) Bishopthorpe Roa'!$A$12:$A$130,"&lt;"&amp;Diagram!$P46)))</f>
        <v>1</v>
      </c>
      <c r="DZ46" s="42">
        <f ca="1">IF(OR($I$10="",$O46="",$P46="",$J$41&lt;&gt;"Yes"),0,IF($K$10=0,SUMIFS(INDIRECT(ADDRESS(12,3+18*2+(6),,,"J1 C - (South) Bishopthorpe Roa")&amp;":"&amp;ADDRESS(130,3+18*2+(6))),'J1 C - (South) Bishopthorpe Roa'!$A$12:$A$130,"&gt;="&amp;Diagram!$O46,'J1 C - (South) Bishopthorpe Roa'!$A$12:$A$130,"&lt;"&amp;Diagram!$P46),SUMIFS(INDIRECT(ADDRESS(12,3+18*2+(14),,,"J1 C - (South) Bishopthorpe Roa")&amp;":"&amp;ADDRESS(130,3+18*2+(14))),'J1 C - (South) Bishopthorpe Roa'!$A$12:$A$130,"&gt;="&amp;Diagram!$O46,'J1 C - (South) Bishopthorpe Roa'!$A$12:$A$130,"&lt;"&amp;Diagram!$P46)))</f>
        <v>0</v>
      </c>
      <c r="EA46" s="42">
        <f ca="1">IF(OR($I$10="",$O46="",$P46="",$J$41&lt;&gt;"Yes"),0,IF($K$10=0,SUMIFS(INDIRECT(ADDRESS(12,3+18*3+(6),,,"J1 C - (South) Bishopthorpe Roa")&amp;":"&amp;ADDRESS(130,3+18*3+(6))),'J1 C - (South) Bishopthorpe Roa'!$A$12:$A$130,"&gt;="&amp;Diagram!$O46,'J1 C - (South) Bishopthorpe Roa'!$A$12:$A$130,"&lt;"&amp;Diagram!$P46),SUMIFS(INDIRECT(ADDRESS(12,3+18*3+(14),,,"J1 C - (South) Bishopthorpe Roa")&amp;":"&amp;ADDRESS(130,3+18*3+(14))),'J1 C - (South) Bishopthorpe Roa'!$A$12:$A$130,"&gt;="&amp;Diagram!$O46,'J1 C - (South) Bishopthorpe Roa'!$A$12:$A$130,"&lt;"&amp;Diagram!$P46)))</f>
        <v>0</v>
      </c>
      <c r="EB46" s="42">
        <f ca="1">IF(OR($I$10="",$O46="",$P46="",$J$41&lt;&gt;"Yes"),0,IF($K$10=0,SUMIFS(INDIRECT(ADDRESS(12,3+18*0+(6),,,"J1 C - (South) Bishopthorpe Roa")&amp;":"&amp;ADDRESS(130,3+18*0+(6))),'J1 C - (South) Bishopthorpe Roa'!$A$12:$A$130,"&gt;="&amp;Diagram!$O46,'J1 C - (South) Bishopthorpe Roa'!$A$12:$A$130,"&lt;"&amp;Diagram!$P46),SUMIFS(INDIRECT(ADDRESS(12,3+18*0+(14),,,"J1 C - (South) Bishopthorpe Roa")&amp;":"&amp;ADDRESS(130,3+18*0+(14))),'J1 C - (South) Bishopthorpe Roa'!$A$12:$A$130,"&gt;="&amp;Diagram!$O46,'J1 C - (South) Bishopthorpe Roa'!$A$12:$A$130,"&lt;"&amp;Diagram!$P46)))</f>
        <v>0</v>
      </c>
      <c r="EC46" s="42">
        <f ca="1">IF(OR($I$10="",$O46="",$P46="",$J$41&lt;&gt;"Yes"),0,IF($K$10=0,SUMIFS(INDIRECT(ADDRESS(12,3+18*0+(6),,,"J1 D - South Bank Avenue")&amp;":"&amp;ADDRESS(130,3+18*0+(6))),'J1 D - South Bank Avenue'!$A$12:$A$130,"&gt;="&amp;Diagram!$O46,'J1 D - South Bank Avenue'!$A$12:$A$130,"&lt;"&amp;Diagram!$P46),SUMIFS(INDIRECT(ADDRESS(12,3+18*0+(14),,,"J1 D - South Bank Avenue")&amp;":"&amp;ADDRESS(130,3+18*0+(14))),'J1 D - South Bank Avenue'!$A$12:$A$130,"&gt;="&amp;Diagram!$O46,'J1 D - South Bank Avenue'!$A$12:$A$130,"&lt;"&amp;Diagram!$P46)))</f>
        <v>0</v>
      </c>
      <c r="ED46" s="42">
        <f ca="1">IF(OR($I$10="",$O46="",$P46="",$J$41&lt;&gt;"Yes"),0,IF($K$10=0,SUMIFS(INDIRECT(ADDRESS(12,3+18*1+(6),,,"J1 D - South Bank Avenue")&amp;":"&amp;ADDRESS(130,3+18*1+(6))),'J1 D - South Bank Avenue'!$A$12:$A$130,"&gt;="&amp;Diagram!$O46,'J1 D - South Bank Avenue'!$A$12:$A$130,"&lt;"&amp;Diagram!$P46),SUMIFS(INDIRECT(ADDRESS(12,3+18*1+(14),,,"J1 D - South Bank Avenue")&amp;":"&amp;ADDRESS(130,3+18*1+(14))),'J1 D - South Bank Avenue'!$A$12:$A$130,"&gt;="&amp;Diagram!$O46,'J1 D - South Bank Avenue'!$A$12:$A$130,"&lt;"&amp;Diagram!$P46)))</f>
        <v>0</v>
      </c>
      <c r="EE46" s="42">
        <f ca="1">IF(OR($I$10="",$O46="",$P46="",$J$41&lt;&gt;"Yes"),0,IF($K$10=0,SUMIFS(INDIRECT(ADDRESS(12,3+18*2+(6),,,"J1 D - South Bank Avenue")&amp;":"&amp;ADDRESS(130,3+18*2+(6))),'J1 D - South Bank Avenue'!$A$12:$A$130,"&gt;="&amp;Diagram!$O46,'J1 D - South Bank Avenue'!$A$12:$A$130,"&lt;"&amp;Diagram!$P46),SUMIFS(INDIRECT(ADDRESS(12,3+18*2+(14),,,"J1 D - South Bank Avenue")&amp;":"&amp;ADDRESS(130,3+18*2+(14))),'J1 D - South Bank Avenue'!$A$12:$A$130,"&gt;="&amp;Diagram!$O46,'J1 D - South Bank Avenue'!$A$12:$A$130,"&lt;"&amp;Diagram!$P46)))</f>
        <v>0</v>
      </c>
      <c r="EF46" s="42">
        <f ca="1">IF(OR($I$10="",$O46="",$P46="",$J$41&lt;&gt;"Yes"),0,IF($K$10=0,SUMIFS(INDIRECT(ADDRESS(12,3+18*3+(6),,,"J1 D - South Bank Avenue")&amp;":"&amp;ADDRESS(130,3+18*3+(6))),'J1 D - South Bank Avenue'!$A$12:$A$130,"&gt;="&amp;Diagram!$O46,'J1 D - South Bank Avenue'!$A$12:$A$130,"&lt;"&amp;Diagram!$P46),SUMIFS(INDIRECT(ADDRESS(12,3+18*3+(14),,,"J1 D - South Bank Avenue")&amp;":"&amp;ADDRESS(130,3+18*3+(14))),'J1 D - South Bank Avenue'!$A$12:$A$130,"&gt;="&amp;Diagram!$O46,'J1 D - South Bank Avenue'!$A$12:$A$130,"&lt;"&amp;Diagram!$P46)))</f>
        <v>0</v>
      </c>
      <c r="EG46" s="42">
        <f t="shared" ca="1" si="8"/>
        <v>3</v>
      </c>
      <c r="EH46" s="42">
        <f ca="1">IF(OR($I$10="",$O46="",$P46="",$J$42&lt;&gt;"Yes"),0,IF($K$10=0,SUMIFS(INDIRECT(ADDRESS(12,3+18*3+(7),,,"J1 A - (North) Bishopthorpe Roa")&amp;":"&amp;ADDRESS(130,3+18*3+(7))),'J1 A - (North) Bishopthorpe Roa'!$A$12:$A$130,"&gt;="&amp;Diagram!$O46,'J1 A - (North) Bishopthorpe Roa'!$A$12:$A$130,"&lt;"&amp;Diagram!$P46),SUMIFS(INDIRECT(ADDRESS(12,3+18*3+(15),,,"J1 A - (North) Bishopthorpe Roa")&amp;":"&amp;ADDRESS(130,3+18*3+(15))),'J1 A - (North) Bishopthorpe Roa'!$A$12:$A$130,"&gt;="&amp;Diagram!$O46,'J1 A - (North) Bishopthorpe Roa'!$A$12:$A$130,"&lt;"&amp;Diagram!$P46)))</f>
        <v>0</v>
      </c>
      <c r="EI46" s="42">
        <f ca="1">IF(OR($I$10="",$O46="",$P46="",$J$42&lt;&gt;"Yes"),0,IF($K$10=0,SUMIFS(INDIRECT(ADDRESS(12,3+18*0+(7),,,"J1 A - (North) Bishopthorpe Roa")&amp;":"&amp;ADDRESS(130,3+18*0+(7))),'J1 A - (North) Bishopthorpe Roa'!$A$12:$A$130,"&gt;="&amp;Diagram!$O46,'J1 A - (North) Bishopthorpe Roa'!$A$12:$A$130,"&lt;"&amp;Diagram!$P46),SUMIFS(INDIRECT(ADDRESS(12,3+18*0+(15),,,"J1 A - (North) Bishopthorpe Roa")&amp;":"&amp;ADDRESS(130,3+18*0+(15))),'J1 A - (North) Bishopthorpe Roa'!$A$12:$A$130,"&gt;="&amp;Diagram!$O46,'J1 A - (North) Bishopthorpe Roa'!$A$12:$A$130,"&lt;"&amp;Diagram!$P46)))</f>
        <v>1</v>
      </c>
      <c r="EJ46" s="42">
        <f ca="1">IF(OR($I$10="",$O46="",$P46="",$J$42&lt;&gt;"Yes"),0,IF($K$10=0,SUMIFS(INDIRECT(ADDRESS(12,3+18*1+(7),,,"J1 A - (North) Bishopthorpe Roa")&amp;":"&amp;ADDRESS(130,3+18*1+(7))),'J1 A - (North) Bishopthorpe Roa'!$A$12:$A$130,"&gt;="&amp;Diagram!$O46,'J1 A - (North) Bishopthorpe Roa'!$A$12:$A$130,"&lt;"&amp;Diagram!$P46),SUMIFS(INDIRECT(ADDRESS(12,3+18*1+(15),,,"J1 A - (North) Bishopthorpe Roa")&amp;":"&amp;ADDRESS(130,3+18*1+(15))),'J1 A - (North) Bishopthorpe Roa'!$A$12:$A$130,"&gt;="&amp;Diagram!$O46,'J1 A - (North) Bishopthorpe Roa'!$A$12:$A$130,"&lt;"&amp;Diagram!$P46)))</f>
        <v>1</v>
      </c>
      <c r="EK46" s="42">
        <f ca="1">IF(OR($I$10="",$O46="",$P46="",$J$42&lt;&gt;"Yes"),0,IF($K$10=0,SUMIFS(INDIRECT(ADDRESS(12,3+18*2+(7),,,"J1 A - (North) Bishopthorpe Roa")&amp;":"&amp;ADDRESS(130,3+18*2+(7))),'J1 A - (North) Bishopthorpe Roa'!$A$12:$A$130,"&gt;="&amp;Diagram!$O46,'J1 A - (North) Bishopthorpe Roa'!$A$12:$A$130,"&lt;"&amp;Diagram!$P46),SUMIFS(INDIRECT(ADDRESS(12,3+18*2+(15),,,"J1 A - (North) Bishopthorpe Roa")&amp;":"&amp;ADDRESS(130,3+18*2+(15))),'J1 A - (North) Bishopthorpe Roa'!$A$12:$A$130,"&gt;="&amp;Diagram!$O46,'J1 A - (North) Bishopthorpe Roa'!$A$12:$A$130,"&lt;"&amp;Diagram!$P46)))</f>
        <v>0</v>
      </c>
      <c r="EL46" s="42">
        <f ca="1">IF(OR($I$10="",$O46="",$P46="",$J$42&lt;&gt;"Yes"),0,IF($K$10=0,SUMIFS(INDIRECT(ADDRESS(12,3+18*2+(7),,,"J1 B - Butcher Terrace")&amp;":"&amp;ADDRESS(130,3+18*2+(7))),'J1 B - Butcher Terrace'!$A$12:$A$130,"&gt;="&amp;Diagram!$O46,'J1 B - Butcher Terrace'!$A$12:$A$130,"&lt;"&amp;Diagram!$P46),SUMIFS(INDIRECT(ADDRESS(12,3+18*2+(15),,,"J1 B - Butcher Terrace")&amp;":"&amp;ADDRESS(130,3+18*2+(15))),'J1 B - Butcher Terrace'!$A$12:$A$130,"&gt;="&amp;Diagram!$O46,'J1 B - Butcher Terrace'!$A$12:$A$130,"&lt;"&amp;Diagram!$P46)))</f>
        <v>0</v>
      </c>
      <c r="EM46" s="42">
        <f ca="1">IF(OR($I$10="",$O46="",$P46="",$J$42&lt;&gt;"Yes"),0,IF($K$10=0,SUMIFS(INDIRECT(ADDRESS(12,3+18*3+(7),,,"J1 B - Butcher Terrace")&amp;":"&amp;ADDRESS(130,3+18*3+(7))),'J1 B - Butcher Terrace'!$A$12:$A$130,"&gt;="&amp;Diagram!$O46,'J1 B - Butcher Terrace'!$A$12:$A$130,"&lt;"&amp;Diagram!$P46),SUMIFS(INDIRECT(ADDRESS(12,3+18*3+(15),,,"J1 B - Butcher Terrace")&amp;":"&amp;ADDRESS(130,3+18*3+(15))),'J1 B - Butcher Terrace'!$A$12:$A$130,"&gt;="&amp;Diagram!$O46,'J1 B - Butcher Terrace'!$A$12:$A$130,"&lt;"&amp;Diagram!$P46)))</f>
        <v>0</v>
      </c>
      <c r="EN46" s="42">
        <f ca="1">IF(OR($I$10="",$O46="",$P46="",$J$42&lt;&gt;"Yes"),0,IF($K$10=0,SUMIFS(INDIRECT(ADDRESS(12,3+18*0+(7),,,"J1 B - Butcher Terrace")&amp;":"&amp;ADDRESS(130,3+18*0+(7))),'J1 B - Butcher Terrace'!$A$12:$A$130,"&gt;="&amp;Diagram!$O46,'J1 B - Butcher Terrace'!$A$12:$A$130,"&lt;"&amp;Diagram!$P46),SUMIFS(INDIRECT(ADDRESS(12,3+18*0+(15),,,"J1 B - Butcher Terrace")&amp;":"&amp;ADDRESS(130,3+18*0+(15))),'J1 B - Butcher Terrace'!$A$12:$A$130,"&gt;="&amp;Diagram!$O46,'J1 B - Butcher Terrace'!$A$12:$A$130,"&lt;"&amp;Diagram!$P46)))</f>
        <v>0</v>
      </c>
      <c r="EO46" s="42">
        <f ca="1">IF(OR($I$10="",$O46="",$P46="",$J$42&lt;&gt;"Yes"),0,IF($K$10=0,SUMIFS(INDIRECT(ADDRESS(12,3+18*1+(7),,,"J1 B - Butcher Terrace")&amp;":"&amp;ADDRESS(130,3+18*1+(7))),'J1 B - Butcher Terrace'!$A$12:$A$130,"&gt;="&amp;Diagram!$O46,'J1 B - Butcher Terrace'!$A$12:$A$130,"&lt;"&amp;Diagram!$P46),SUMIFS(INDIRECT(ADDRESS(12,3+18*1+(15),,,"J1 B - Butcher Terrace")&amp;":"&amp;ADDRESS(130,3+18*1+(15))),'J1 B - Butcher Terrace'!$A$12:$A$130,"&gt;="&amp;Diagram!$O46,'J1 B - Butcher Terrace'!$A$12:$A$130,"&lt;"&amp;Diagram!$P46)))</f>
        <v>0</v>
      </c>
      <c r="EP46" s="42">
        <f ca="1">IF(OR($I$10="",$O46="",$P46="",$J$42&lt;&gt;"Yes"),0,IF($K$10=0,SUMIFS(INDIRECT(ADDRESS(12,3+18*1+(7),,,"J1 C - (South) Bishopthorpe Roa")&amp;":"&amp;ADDRESS(130,3+18*1+(7))),'J1 C - (South) Bishopthorpe Roa'!$A$12:$A$130,"&gt;="&amp;Diagram!$O46,'J1 C - (South) Bishopthorpe Roa'!$A$12:$A$130,"&lt;"&amp;Diagram!$P46),SUMIFS(INDIRECT(ADDRESS(12,3+18*1+(15),,,"J1 C - (South) Bishopthorpe Roa")&amp;":"&amp;ADDRESS(130,3+18*1+(15))),'J1 C - (South) Bishopthorpe Roa'!$A$12:$A$130,"&gt;="&amp;Diagram!$O46,'J1 C - (South) Bishopthorpe Roa'!$A$12:$A$130,"&lt;"&amp;Diagram!$P46)))</f>
        <v>0</v>
      </c>
      <c r="EQ46" s="42">
        <f ca="1">IF(OR($I$10="",$O46="",$P46="",$J$42&lt;&gt;"Yes"),0,IF($K$10=0,SUMIFS(INDIRECT(ADDRESS(12,3+18*2+(7),,,"J1 C - (South) Bishopthorpe Roa")&amp;":"&amp;ADDRESS(130,3+18*2+(7))),'J1 C - (South) Bishopthorpe Roa'!$A$12:$A$130,"&gt;="&amp;Diagram!$O46,'J1 C - (South) Bishopthorpe Roa'!$A$12:$A$130,"&lt;"&amp;Diagram!$P46),SUMIFS(INDIRECT(ADDRESS(12,3+18*2+(15),,,"J1 C - (South) Bishopthorpe Roa")&amp;":"&amp;ADDRESS(130,3+18*2+(15))),'J1 C - (South) Bishopthorpe Roa'!$A$12:$A$130,"&gt;="&amp;Diagram!$O46,'J1 C - (South) Bishopthorpe Roa'!$A$12:$A$130,"&lt;"&amp;Diagram!$P46)))</f>
        <v>1</v>
      </c>
      <c r="ER46" s="42">
        <f ca="1">IF(OR($I$10="",$O46="",$P46="",$J$42&lt;&gt;"Yes"),0,IF($K$10=0,SUMIFS(INDIRECT(ADDRESS(12,3+18*3+(7),,,"J1 C - (South) Bishopthorpe Roa")&amp;":"&amp;ADDRESS(130,3+18*3+(7))),'J1 C - (South) Bishopthorpe Roa'!$A$12:$A$130,"&gt;="&amp;Diagram!$O46,'J1 C - (South) Bishopthorpe Roa'!$A$12:$A$130,"&lt;"&amp;Diagram!$P46),SUMIFS(INDIRECT(ADDRESS(12,3+18*3+(15),,,"J1 C - (South) Bishopthorpe Roa")&amp;":"&amp;ADDRESS(130,3+18*3+(15))),'J1 C - (South) Bishopthorpe Roa'!$A$12:$A$130,"&gt;="&amp;Diagram!$O46,'J1 C - (South) Bishopthorpe Roa'!$A$12:$A$130,"&lt;"&amp;Diagram!$P46)))</f>
        <v>0</v>
      </c>
      <c r="ES46" s="42">
        <f ca="1">IF(OR($I$10="",$O46="",$P46="",$J$42&lt;&gt;"Yes"),0,IF($K$10=0,SUMIFS(INDIRECT(ADDRESS(12,3+18*0+(7),,,"J1 C - (South) Bishopthorpe Roa")&amp;":"&amp;ADDRESS(130,3+18*0+(7))),'J1 C - (South) Bishopthorpe Roa'!$A$12:$A$130,"&gt;="&amp;Diagram!$O46,'J1 C - (South) Bishopthorpe Roa'!$A$12:$A$130,"&lt;"&amp;Diagram!$P46),SUMIFS(INDIRECT(ADDRESS(12,3+18*0+(15),,,"J1 C - (South) Bishopthorpe Roa")&amp;":"&amp;ADDRESS(130,3+18*0+(15))),'J1 C - (South) Bishopthorpe Roa'!$A$12:$A$130,"&gt;="&amp;Diagram!$O46,'J1 C - (South) Bishopthorpe Roa'!$A$12:$A$130,"&lt;"&amp;Diagram!$P46)))</f>
        <v>0</v>
      </c>
      <c r="ET46" s="42">
        <f ca="1">IF(OR($I$10="",$O46="",$P46="",$J$42&lt;&gt;"Yes"),0,IF($K$10=0,SUMIFS(INDIRECT(ADDRESS(12,3+18*0+(7),,,"J1 D - South Bank Avenue")&amp;":"&amp;ADDRESS(130,3+18*0+(7))),'J1 D - South Bank Avenue'!$A$12:$A$130,"&gt;="&amp;Diagram!$O46,'J1 D - South Bank Avenue'!$A$12:$A$130,"&lt;"&amp;Diagram!$P46),SUMIFS(INDIRECT(ADDRESS(12,3+18*0+(15),,,"J1 D - South Bank Avenue")&amp;":"&amp;ADDRESS(130,3+18*0+(15))),'J1 D - South Bank Avenue'!$A$12:$A$130,"&gt;="&amp;Diagram!$O46,'J1 D - South Bank Avenue'!$A$12:$A$130,"&lt;"&amp;Diagram!$P46)))</f>
        <v>0</v>
      </c>
      <c r="EU46" s="42">
        <f ca="1">IF(OR($I$10="",$O46="",$P46="",$J$42&lt;&gt;"Yes"),0,IF($K$10=0,SUMIFS(INDIRECT(ADDRESS(12,3+18*1+(7),,,"J1 D - South Bank Avenue")&amp;":"&amp;ADDRESS(130,3+18*1+(7))),'J1 D - South Bank Avenue'!$A$12:$A$130,"&gt;="&amp;Diagram!$O46,'J1 D - South Bank Avenue'!$A$12:$A$130,"&lt;"&amp;Diagram!$P46),SUMIFS(INDIRECT(ADDRESS(12,3+18*1+(15),,,"J1 D - South Bank Avenue")&amp;":"&amp;ADDRESS(130,3+18*1+(15))),'J1 D - South Bank Avenue'!$A$12:$A$130,"&gt;="&amp;Diagram!$O46,'J1 D - South Bank Avenue'!$A$12:$A$130,"&lt;"&amp;Diagram!$P46)))</f>
        <v>0</v>
      </c>
      <c r="EV46" s="42">
        <f ca="1">IF(OR($I$10="",$O46="",$P46="",$J$42&lt;&gt;"Yes"),0,IF($K$10=0,SUMIFS(INDIRECT(ADDRESS(12,3+18*2+(7),,,"J1 D - South Bank Avenue")&amp;":"&amp;ADDRESS(130,3+18*2+(7))),'J1 D - South Bank Avenue'!$A$12:$A$130,"&gt;="&amp;Diagram!$O46,'J1 D - South Bank Avenue'!$A$12:$A$130,"&lt;"&amp;Diagram!$P46),SUMIFS(INDIRECT(ADDRESS(12,3+18*2+(15),,,"J1 D - South Bank Avenue")&amp;":"&amp;ADDRESS(130,3+18*2+(15))),'J1 D - South Bank Avenue'!$A$12:$A$130,"&gt;="&amp;Diagram!$O46,'J1 D - South Bank Avenue'!$A$12:$A$130,"&lt;"&amp;Diagram!$P46)))</f>
        <v>0</v>
      </c>
      <c r="EW46" s="42">
        <f ca="1">IF(OR($I$10="",$O46="",$P46="",$J$42&lt;&gt;"Yes"),0,IF($K$10=0,SUMIFS(INDIRECT(ADDRESS(12,3+18*3+(7),,,"J1 D - South Bank Avenue")&amp;":"&amp;ADDRESS(130,3+18*3+(7))),'J1 D - South Bank Avenue'!$A$12:$A$130,"&gt;="&amp;Diagram!$O46,'J1 D - South Bank Avenue'!$A$12:$A$130,"&lt;"&amp;Diagram!$P46),SUMIFS(INDIRECT(ADDRESS(12,3+18*3+(15),,,"J1 D - South Bank Avenue")&amp;":"&amp;ADDRESS(130,3+18*3+(15))),'J1 D - South Bank Avenue'!$A$12:$A$130,"&gt;="&amp;Diagram!$O46,'J1 D - South Bank Avenue'!$A$12:$A$130,"&lt;"&amp;Diagram!$P46)))</f>
        <v>0</v>
      </c>
    </row>
    <row r="47" spans="1:153">
      <c r="A47" s="1">
        <v>44395.479166666701</v>
      </c>
      <c r="B47" s="1">
        <v>44395.489583333299</v>
      </c>
      <c r="O47" s="3">
        <v>44395.479166666701</v>
      </c>
      <c r="P47" s="3">
        <v>44395.520833333299</v>
      </c>
      <c r="Q47" s="42">
        <f t="shared" ca="1" si="0"/>
        <v>688</v>
      </c>
      <c r="R47" s="42">
        <f t="shared" ca="1" si="1"/>
        <v>494</v>
      </c>
      <c r="S47" s="42">
        <f ca="1">IF(OR($I$10="",$O47="",$P47="",$J$35&lt;&gt;"Yes"),0,IF($K$10=0,SUMIFS(INDIRECT(ADDRESS(12,3+18*3+(0),,,"J1 A - (North) Bishopthorpe Roa")&amp;":"&amp;ADDRESS(130,3+18*3+(0))),'J1 A - (North) Bishopthorpe Roa'!$A$12:$A$130,"&gt;="&amp;Diagram!$O47,'J1 A - (North) Bishopthorpe Roa'!$A$12:$A$130,"&lt;"&amp;Diagram!$P47),SUMIFS(INDIRECT(ADDRESS(12,3+18*3+(8),,,"J1 A - (North) Bishopthorpe Roa")&amp;":"&amp;ADDRESS(130,3+18*3+(8))),'J1 A - (North) Bishopthorpe Roa'!$A$12:$A$130,"&gt;="&amp;Diagram!$O47,'J1 A - (North) Bishopthorpe Roa'!$A$12:$A$130,"&lt;"&amp;Diagram!$P47)))</f>
        <v>4</v>
      </c>
      <c r="T47" s="42">
        <f ca="1">IF(OR($I$10="",$O47="",$P47="",$J$35&lt;&gt;"Yes"),0,IF($K$10=0,SUMIFS(INDIRECT(ADDRESS(12,3+18*0+(0),,,"J1 A - (North) Bishopthorpe Roa")&amp;":"&amp;ADDRESS(130,3+18*0+(0))),'J1 A - (North) Bishopthorpe Roa'!$A$12:$A$130,"&gt;="&amp;Diagram!$O47,'J1 A - (North) Bishopthorpe Roa'!$A$12:$A$130,"&lt;"&amp;Diagram!$P47),SUMIFS(INDIRECT(ADDRESS(12,3+18*0+(8),,,"J1 A - (North) Bishopthorpe Roa")&amp;":"&amp;ADDRESS(130,3+18*0+(8))),'J1 A - (North) Bishopthorpe Roa'!$A$12:$A$130,"&gt;="&amp;Diagram!$O47,'J1 A - (North) Bishopthorpe Roa'!$A$12:$A$130,"&lt;"&amp;Diagram!$P47)))</f>
        <v>16</v>
      </c>
      <c r="U47" s="42">
        <f ca="1">IF(OR($I$10="",$O47="",$P47="",$J$35&lt;&gt;"Yes"),0,IF($K$10=0,SUMIFS(INDIRECT(ADDRESS(12,3+18*1+(0),,,"J1 A - (North) Bishopthorpe Roa")&amp;":"&amp;ADDRESS(130,3+18*1+(0))),'J1 A - (North) Bishopthorpe Roa'!$A$12:$A$130,"&gt;="&amp;Diagram!$O47,'J1 A - (North) Bishopthorpe Roa'!$A$12:$A$130,"&lt;"&amp;Diagram!$P47),SUMIFS(INDIRECT(ADDRESS(12,3+18*1+(8),,,"J1 A - (North) Bishopthorpe Roa")&amp;":"&amp;ADDRESS(130,3+18*1+(8))),'J1 A - (North) Bishopthorpe Roa'!$A$12:$A$130,"&gt;="&amp;Diagram!$O47,'J1 A - (North) Bishopthorpe Roa'!$A$12:$A$130,"&lt;"&amp;Diagram!$P47)))</f>
        <v>202</v>
      </c>
      <c r="V47" s="42">
        <f ca="1">IF(OR($I$10="",$O47="",$P47="",$J$35&lt;&gt;"Yes"),0,IF($K$10=0,SUMIFS(INDIRECT(ADDRESS(12,3+18*2+(0),,,"J1 A - (North) Bishopthorpe Roa")&amp;":"&amp;ADDRESS(130,3+18*2+(0))),'J1 A - (North) Bishopthorpe Roa'!$A$12:$A$130,"&gt;="&amp;Diagram!$O47,'J1 A - (North) Bishopthorpe Roa'!$A$12:$A$130,"&lt;"&amp;Diagram!$P47),SUMIFS(INDIRECT(ADDRESS(12,3+18*2+(8),,,"J1 A - (North) Bishopthorpe Roa")&amp;":"&amp;ADDRESS(130,3+18*2+(8))),'J1 A - (North) Bishopthorpe Roa'!$A$12:$A$130,"&gt;="&amp;Diagram!$O47,'J1 A - (North) Bishopthorpe Roa'!$A$12:$A$130,"&lt;"&amp;Diagram!$P47)))</f>
        <v>27</v>
      </c>
      <c r="W47" s="42">
        <f ca="1">IF(OR($I$10="",$O47="",$P47="",$J$35&lt;&gt;"Yes"),0,IF($K$10=0,SUMIFS(INDIRECT(ADDRESS(12,3+18*2+(0),,,"J1 B - Butcher Terrace")&amp;":"&amp;ADDRESS(130,3+18*2+(0))),'J1 B - Butcher Terrace'!$A$12:$A$130,"&gt;="&amp;Diagram!$O47,'J1 B - Butcher Terrace'!$A$12:$A$130,"&lt;"&amp;Diagram!$P47),SUMIFS(INDIRECT(ADDRESS(12,3+18*2+(8),,,"J1 B - Butcher Terrace")&amp;":"&amp;ADDRESS(130,3+18*2+(8))),'J1 B - Butcher Terrace'!$A$12:$A$130,"&gt;="&amp;Diagram!$O47,'J1 B - Butcher Terrace'!$A$12:$A$130,"&lt;"&amp;Diagram!$P47)))</f>
        <v>15</v>
      </c>
      <c r="X47" s="42">
        <f ca="1">IF(OR($I$10="",$O47="",$P47="",$J$35&lt;&gt;"Yes"),0,IF($K$10=0,SUMIFS(INDIRECT(ADDRESS(12,3+18*3+(0),,,"J1 B - Butcher Terrace")&amp;":"&amp;ADDRESS(130,3+18*3+(0))),'J1 B - Butcher Terrace'!$A$12:$A$130,"&gt;="&amp;Diagram!$O47,'J1 B - Butcher Terrace'!$A$12:$A$130,"&lt;"&amp;Diagram!$P47),SUMIFS(INDIRECT(ADDRESS(12,3+18*3+(8),,,"J1 B - Butcher Terrace")&amp;":"&amp;ADDRESS(130,3+18*3+(8))),'J1 B - Butcher Terrace'!$A$12:$A$130,"&gt;="&amp;Diagram!$O47,'J1 B - Butcher Terrace'!$A$12:$A$130,"&lt;"&amp;Diagram!$P47)))</f>
        <v>0</v>
      </c>
      <c r="Y47" s="42">
        <f ca="1">IF(OR($I$10="",$O47="",$P47="",$J$35&lt;&gt;"Yes"),0,IF($K$10=0,SUMIFS(INDIRECT(ADDRESS(12,3+18*0+(0),,,"J1 B - Butcher Terrace")&amp;":"&amp;ADDRESS(130,3+18*0+(0))),'J1 B - Butcher Terrace'!$A$12:$A$130,"&gt;="&amp;Diagram!$O47,'J1 B - Butcher Terrace'!$A$12:$A$130,"&lt;"&amp;Diagram!$P47),SUMIFS(INDIRECT(ADDRESS(12,3+18*0+(8),,,"J1 B - Butcher Terrace")&amp;":"&amp;ADDRESS(130,3+18*0+(8))),'J1 B - Butcher Terrace'!$A$12:$A$130,"&gt;="&amp;Diagram!$O47,'J1 B - Butcher Terrace'!$A$12:$A$130,"&lt;"&amp;Diagram!$P47)))</f>
        <v>7</v>
      </c>
      <c r="Z47" s="42">
        <f ca="1">IF(OR($I$10="",$O47="",$P47="",$J$35&lt;&gt;"Yes"),0,IF($K$10=0,SUMIFS(INDIRECT(ADDRESS(12,3+18*1+(0),,,"J1 B - Butcher Terrace")&amp;":"&amp;ADDRESS(130,3+18*1+(0))),'J1 B - Butcher Terrace'!$A$12:$A$130,"&gt;="&amp;Diagram!$O47,'J1 B - Butcher Terrace'!$A$12:$A$130,"&lt;"&amp;Diagram!$P47),SUMIFS(INDIRECT(ADDRESS(12,3+18*1+(8),,,"J1 B - Butcher Terrace")&amp;":"&amp;ADDRESS(130,3+18*1+(8))),'J1 B - Butcher Terrace'!$A$12:$A$130,"&gt;="&amp;Diagram!$O47,'J1 B - Butcher Terrace'!$A$12:$A$130,"&lt;"&amp;Diagram!$P47)))</f>
        <v>0</v>
      </c>
      <c r="AA47" s="42">
        <f ca="1">IF(OR($I$10="",$O47="",$P47="",$J$35&lt;&gt;"Yes"),0,IF($K$10=0,SUMIFS(INDIRECT(ADDRESS(12,3+18*1+(0),,,"J1 C - (South) Bishopthorpe Roa")&amp;":"&amp;ADDRESS(130,3+18*1+(0))),'J1 C - (South) Bishopthorpe Roa'!$A$12:$A$130,"&gt;="&amp;Diagram!$O47,'J1 C - (South) Bishopthorpe Roa'!$A$12:$A$130,"&lt;"&amp;Diagram!$P47),SUMIFS(INDIRECT(ADDRESS(12,3+18*1+(8),,,"J1 C - (South) Bishopthorpe Roa")&amp;":"&amp;ADDRESS(130,3+18*1+(8))),'J1 C - (South) Bishopthorpe Roa'!$A$12:$A$130,"&gt;="&amp;Diagram!$O47,'J1 C - (South) Bishopthorpe Roa'!$A$12:$A$130,"&lt;"&amp;Diagram!$P47)))</f>
        <v>190</v>
      </c>
      <c r="AB47" s="42">
        <f ca="1">IF(OR($I$10="",$O47="",$P47="",$J$35&lt;&gt;"Yes"),0,IF($K$10=0,SUMIFS(INDIRECT(ADDRESS(12,3+18*2+(0),,,"J1 C - (South) Bishopthorpe Roa")&amp;":"&amp;ADDRESS(130,3+18*2+(0))),'J1 C - (South) Bishopthorpe Roa'!$A$12:$A$130,"&gt;="&amp;Diagram!$O47,'J1 C - (South) Bishopthorpe Roa'!$A$12:$A$130,"&lt;"&amp;Diagram!$P47),SUMIFS(INDIRECT(ADDRESS(12,3+18*2+(8),,,"J1 C - (South) Bishopthorpe Roa")&amp;":"&amp;ADDRESS(130,3+18*2+(8))),'J1 C - (South) Bishopthorpe Roa'!$A$12:$A$130,"&gt;="&amp;Diagram!$O47,'J1 C - (South) Bishopthorpe Roa'!$A$12:$A$130,"&lt;"&amp;Diagram!$P47)))</f>
        <v>1</v>
      </c>
      <c r="AC47" s="42">
        <f ca="1">IF(OR($I$10="",$O47="",$P47="",$J$35&lt;&gt;"Yes"),0,IF($K$10=0,SUMIFS(INDIRECT(ADDRESS(12,3+18*3+(0),,,"J1 C - (South) Bishopthorpe Roa")&amp;":"&amp;ADDRESS(130,3+18*3+(0))),'J1 C - (South) Bishopthorpe Roa'!$A$12:$A$130,"&gt;="&amp;Diagram!$O47,'J1 C - (South) Bishopthorpe Roa'!$A$12:$A$130,"&lt;"&amp;Diagram!$P47),SUMIFS(INDIRECT(ADDRESS(12,3+18*3+(8),,,"J1 C - (South) Bishopthorpe Roa")&amp;":"&amp;ADDRESS(130,3+18*3+(8))),'J1 C - (South) Bishopthorpe Roa'!$A$12:$A$130,"&gt;="&amp;Diagram!$O47,'J1 C - (South) Bishopthorpe Roa'!$A$12:$A$130,"&lt;"&amp;Diagram!$P47)))</f>
        <v>0</v>
      </c>
      <c r="AD47" s="42">
        <f ca="1">IF(OR($I$10="",$O47="",$P47="",$J$35&lt;&gt;"Yes"),0,IF($K$10=0,SUMIFS(INDIRECT(ADDRESS(12,3+18*0+(0),,,"J1 C - (South) Bishopthorpe Roa")&amp;":"&amp;ADDRESS(130,3+18*0+(0))),'J1 C - (South) Bishopthorpe Roa'!$A$12:$A$130,"&gt;="&amp;Diagram!$O47,'J1 C - (South) Bishopthorpe Roa'!$A$12:$A$130,"&lt;"&amp;Diagram!$P47),SUMIFS(INDIRECT(ADDRESS(12,3+18*0+(8),,,"J1 C - (South) Bishopthorpe Roa")&amp;":"&amp;ADDRESS(130,3+18*0+(8))),'J1 C - (South) Bishopthorpe Roa'!$A$12:$A$130,"&gt;="&amp;Diagram!$O47,'J1 C - (South) Bishopthorpe Roa'!$A$12:$A$130,"&lt;"&amp;Diagram!$P47)))</f>
        <v>5</v>
      </c>
      <c r="AE47" s="42">
        <f ca="1">IF(OR($I$10="",$O47="",$P47="",$J$35&lt;&gt;"Yes"),0,IF($K$10=0,SUMIFS(INDIRECT(ADDRESS(12,3+18*0+(0),,,"J1 D - South Bank Avenue")&amp;":"&amp;ADDRESS(130,3+18*0+(0))),'J1 D - South Bank Avenue'!$A$12:$A$130,"&gt;="&amp;Diagram!$O47,'J1 D - South Bank Avenue'!$A$12:$A$130,"&lt;"&amp;Diagram!$P47),SUMIFS(INDIRECT(ADDRESS(12,3+18*0+(8),,,"J1 D - South Bank Avenue")&amp;":"&amp;ADDRESS(130,3+18*0+(8))),'J1 D - South Bank Avenue'!$A$12:$A$130,"&gt;="&amp;Diagram!$O47,'J1 D - South Bank Avenue'!$A$12:$A$130,"&lt;"&amp;Diagram!$P47)))</f>
        <v>20</v>
      </c>
      <c r="AF47" s="42">
        <f ca="1">IF(OR($I$10="",$O47="",$P47="",$J$35&lt;&gt;"Yes"),0,IF($K$10=0,SUMIFS(INDIRECT(ADDRESS(12,3+18*1+(0),,,"J1 D - South Bank Avenue")&amp;":"&amp;ADDRESS(130,3+18*1+(0))),'J1 D - South Bank Avenue'!$A$12:$A$130,"&gt;="&amp;Diagram!$O47,'J1 D - South Bank Avenue'!$A$12:$A$130,"&lt;"&amp;Diagram!$P47),SUMIFS(INDIRECT(ADDRESS(12,3+18*1+(8),,,"J1 D - South Bank Avenue")&amp;":"&amp;ADDRESS(130,3+18*1+(8))),'J1 D - South Bank Avenue'!$A$12:$A$130,"&gt;="&amp;Diagram!$O47,'J1 D - South Bank Avenue'!$A$12:$A$130,"&lt;"&amp;Diagram!$P47)))</f>
        <v>2</v>
      </c>
      <c r="AG47" s="42">
        <f ca="1">IF(OR($I$10="",$O47="",$P47="",$J$35&lt;&gt;"Yes"),0,IF($K$10=0,SUMIFS(INDIRECT(ADDRESS(12,3+18*2+(0),,,"J1 D - South Bank Avenue")&amp;":"&amp;ADDRESS(130,3+18*2+(0))),'J1 D - South Bank Avenue'!$A$12:$A$130,"&gt;="&amp;Diagram!$O47,'J1 D - South Bank Avenue'!$A$12:$A$130,"&lt;"&amp;Diagram!$P47),SUMIFS(INDIRECT(ADDRESS(12,3+18*2+(8),,,"J1 D - South Bank Avenue")&amp;":"&amp;ADDRESS(130,3+18*2+(8))),'J1 D - South Bank Avenue'!$A$12:$A$130,"&gt;="&amp;Diagram!$O47,'J1 D - South Bank Avenue'!$A$12:$A$130,"&lt;"&amp;Diagram!$P47)))</f>
        <v>5</v>
      </c>
      <c r="AH47" s="42">
        <f ca="1">IF(OR($I$10="",$O47="",$P47="",$J$35&lt;&gt;"Yes"),0,IF($K$10=0,SUMIFS(INDIRECT(ADDRESS(12,3+18*3+(0),,,"J1 D - South Bank Avenue")&amp;":"&amp;ADDRESS(130,3+18*3+(0))),'J1 D - South Bank Avenue'!$A$12:$A$130,"&gt;="&amp;Diagram!$O47,'J1 D - South Bank Avenue'!$A$12:$A$130,"&lt;"&amp;Diagram!$P47),SUMIFS(INDIRECT(ADDRESS(12,3+18*3+(8),,,"J1 D - South Bank Avenue")&amp;":"&amp;ADDRESS(130,3+18*3+(8))),'J1 D - South Bank Avenue'!$A$12:$A$130,"&gt;="&amp;Diagram!$O47,'J1 D - South Bank Avenue'!$A$12:$A$130,"&lt;"&amp;Diagram!$P47)))</f>
        <v>0</v>
      </c>
      <c r="AI47" s="42">
        <f t="shared" ca="1" si="2"/>
        <v>69</v>
      </c>
      <c r="AJ47" s="42">
        <f ca="1">IF(OR($I$10="",$O47="",$P47="",$J$36&lt;&gt;"Yes"),0,IF($K$10=0,SUMIFS(INDIRECT(ADDRESS(12,3+18*3+(1),,,"J1 A - (North) Bishopthorpe Roa")&amp;":"&amp;ADDRESS(130,3+18*3+(1))),'J1 A - (North) Bishopthorpe Roa'!$A$12:$A$130,"&gt;="&amp;Diagram!$O47,'J1 A - (North) Bishopthorpe Roa'!$A$12:$A$130,"&lt;"&amp;Diagram!$P47),SUMIFS(INDIRECT(ADDRESS(12,3+18*3+(9),,,"J1 A - (North) Bishopthorpe Roa")&amp;":"&amp;ADDRESS(130,3+18*3+(9))),'J1 A - (North) Bishopthorpe Roa'!$A$12:$A$130,"&gt;="&amp;Diagram!$O47,'J1 A - (North) Bishopthorpe Roa'!$A$12:$A$130,"&lt;"&amp;Diagram!$P47)))</f>
        <v>1</v>
      </c>
      <c r="AK47" s="42">
        <f ca="1">IF(OR($I$10="",$O47="",$P47="",$J$36&lt;&gt;"Yes"),0,IF($K$10=0,SUMIFS(INDIRECT(ADDRESS(12,3+18*0+(1),,,"J1 A - (North) Bishopthorpe Roa")&amp;":"&amp;ADDRESS(130,3+18*0+(1))),'J1 A - (North) Bishopthorpe Roa'!$A$12:$A$130,"&gt;="&amp;Diagram!$O47,'J1 A - (North) Bishopthorpe Roa'!$A$12:$A$130,"&lt;"&amp;Diagram!$P47),SUMIFS(INDIRECT(ADDRESS(12,3+18*0+(9),,,"J1 A - (North) Bishopthorpe Roa")&amp;":"&amp;ADDRESS(130,3+18*0+(9))),'J1 A - (North) Bishopthorpe Roa'!$A$12:$A$130,"&gt;="&amp;Diagram!$O47,'J1 A - (North) Bishopthorpe Roa'!$A$12:$A$130,"&lt;"&amp;Diagram!$P47)))</f>
        <v>6</v>
      </c>
      <c r="AL47" s="42">
        <f ca="1">IF(OR($I$10="",$O47="",$P47="",$J$36&lt;&gt;"Yes"),0,IF($K$10=0,SUMIFS(INDIRECT(ADDRESS(12,3+18*1+(1),,,"J1 A - (North) Bishopthorpe Roa")&amp;":"&amp;ADDRESS(130,3+18*1+(1))),'J1 A - (North) Bishopthorpe Roa'!$A$12:$A$130,"&gt;="&amp;Diagram!$O47,'J1 A - (North) Bishopthorpe Roa'!$A$12:$A$130,"&lt;"&amp;Diagram!$P47),SUMIFS(INDIRECT(ADDRESS(12,3+18*1+(9),,,"J1 A - (North) Bishopthorpe Roa")&amp;":"&amp;ADDRESS(130,3+18*1+(9))),'J1 A - (North) Bishopthorpe Roa'!$A$12:$A$130,"&gt;="&amp;Diagram!$O47,'J1 A - (North) Bishopthorpe Roa'!$A$12:$A$130,"&lt;"&amp;Diagram!$P47)))</f>
        <v>25</v>
      </c>
      <c r="AM47" s="42">
        <f ca="1">IF(OR($I$10="",$O47="",$P47="",$J$36&lt;&gt;"Yes"),0,IF($K$10=0,SUMIFS(INDIRECT(ADDRESS(12,3+18*2+(1),,,"J1 A - (North) Bishopthorpe Roa")&amp;":"&amp;ADDRESS(130,3+18*2+(1))),'J1 A - (North) Bishopthorpe Roa'!$A$12:$A$130,"&gt;="&amp;Diagram!$O47,'J1 A - (North) Bishopthorpe Roa'!$A$12:$A$130,"&lt;"&amp;Diagram!$P47),SUMIFS(INDIRECT(ADDRESS(12,3+18*2+(9),,,"J1 A - (North) Bishopthorpe Roa")&amp;":"&amp;ADDRESS(130,3+18*2+(9))),'J1 A - (North) Bishopthorpe Roa'!$A$12:$A$130,"&gt;="&amp;Diagram!$O47,'J1 A - (North) Bishopthorpe Roa'!$A$12:$A$130,"&lt;"&amp;Diagram!$P47)))</f>
        <v>4</v>
      </c>
      <c r="AN47" s="42">
        <f ca="1">IF(OR($I$10="",$O47="",$P47="",$J$36&lt;&gt;"Yes"),0,IF($K$10=0,SUMIFS(INDIRECT(ADDRESS(12,3+18*2+(1),,,"J1 B - Butcher Terrace")&amp;":"&amp;ADDRESS(130,3+18*2+(1))),'J1 B - Butcher Terrace'!$A$12:$A$130,"&gt;="&amp;Diagram!$O47,'J1 B - Butcher Terrace'!$A$12:$A$130,"&lt;"&amp;Diagram!$P47),SUMIFS(INDIRECT(ADDRESS(12,3+18*2+(9),,,"J1 B - Butcher Terrace")&amp;":"&amp;ADDRESS(130,3+18*2+(9))),'J1 B - Butcher Terrace'!$A$12:$A$130,"&gt;="&amp;Diagram!$O47,'J1 B - Butcher Terrace'!$A$12:$A$130,"&lt;"&amp;Diagram!$P47)))</f>
        <v>3</v>
      </c>
      <c r="AO47" s="42">
        <f ca="1">IF(OR($I$10="",$O47="",$P47="",$J$36&lt;&gt;"Yes"),0,IF($K$10=0,SUMIFS(INDIRECT(ADDRESS(12,3+18*3+(1),,,"J1 B - Butcher Terrace")&amp;":"&amp;ADDRESS(130,3+18*3+(1))),'J1 B - Butcher Terrace'!$A$12:$A$130,"&gt;="&amp;Diagram!$O47,'J1 B - Butcher Terrace'!$A$12:$A$130,"&lt;"&amp;Diagram!$P47),SUMIFS(INDIRECT(ADDRESS(12,3+18*3+(9),,,"J1 B - Butcher Terrace")&amp;":"&amp;ADDRESS(130,3+18*3+(9))),'J1 B - Butcher Terrace'!$A$12:$A$130,"&gt;="&amp;Diagram!$O47,'J1 B - Butcher Terrace'!$A$12:$A$130,"&lt;"&amp;Diagram!$P47)))</f>
        <v>0</v>
      </c>
      <c r="AP47" s="42">
        <f ca="1">IF(OR($I$10="",$O47="",$P47="",$J$36&lt;&gt;"Yes"),0,IF($K$10=0,SUMIFS(INDIRECT(ADDRESS(12,3+18*0+(1),,,"J1 B - Butcher Terrace")&amp;":"&amp;ADDRESS(130,3+18*0+(1))),'J1 B - Butcher Terrace'!$A$12:$A$130,"&gt;="&amp;Diagram!$O47,'J1 B - Butcher Terrace'!$A$12:$A$130,"&lt;"&amp;Diagram!$P47),SUMIFS(INDIRECT(ADDRESS(12,3+18*0+(9),,,"J1 B - Butcher Terrace")&amp;":"&amp;ADDRESS(130,3+18*0+(9))),'J1 B - Butcher Terrace'!$A$12:$A$130,"&gt;="&amp;Diagram!$O47,'J1 B - Butcher Terrace'!$A$12:$A$130,"&lt;"&amp;Diagram!$P47)))</f>
        <v>2</v>
      </c>
      <c r="AQ47" s="42">
        <f ca="1">IF(OR($I$10="",$O47="",$P47="",$J$36&lt;&gt;"Yes"),0,IF($K$10=0,SUMIFS(INDIRECT(ADDRESS(12,3+18*1+(1),,,"J1 B - Butcher Terrace")&amp;":"&amp;ADDRESS(130,3+18*1+(1))),'J1 B - Butcher Terrace'!$A$12:$A$130,"&gt;="&amp;Diagram!$O47,'J1 B - Butcher Terrace'!$A$12:$A$130,"&lt;"&amp;Diagram!$P47),SUMIFS(INDIRECT(ADDRESS(12,3+18*1+(9),,,"J1 B - Butcher Terrace")&amp;":"&amp;ADDRESS(130,3+18*1+(9))),'J1 B - Butcher Terrace'!$A$12:$A$130,"&gt;="&amp;Diagram!$O47,'J1 B - Butcher Terrace'!$A$12:$A$130,"&lt;"&amp;Diagram!$P47)))</f>
        <v>0</v>
      </c>
      <c r="AR47" s="42">
        <f ca="1">IF(OR($I$10="",$O47="",$P47="",$J$36&lt;&gt;"Yes"),0,IF($K$10=0,SUMIFS(INDIRECT(ADDRESS(12,3+18*1+(1),,,"J1 C - (South) Bishopthorpe Roa")&amp;":"&amp;ADDRESS(130,3+18*1+(1))),'J1 C - (South) Bishopthorpe Roa'!$A$12:$A$130,"&gt;="&amp;Diagram!$O47,'J1 C - (South) Bishopthorpe Roa'!$A$12:$A$130,"&lt;"&amp;Diagram!$P47),SUMIFS(INDIRECT(ADDRESS(12,3+18*1+(9),,,"J1 C - (South) Bishopthorpe Roa")&amp;":"&amp;ADDRESS(130,3+18*1+(9))),'J1 C - (South) Bishopthorpe Roa'!$A$12:$A$130,"&gt;="&amp;Diagram!$O47,'J1 C - (South) Bishopthorpe Roa'!$A$12:$A$130,"&lt;"&amp;Diagram!$P47)))</f>
        <v>18</v>
      </c>
      <c r="AS47" s="42">
        <f ca="1">IF(OR($I$10="",$O47="",$P47="",$J$36&lt;&gt;"Yes"),0,IF($K$10=0,SUMIFS(INDIRECT(ADDRESS(12,3+18*2+(1),,,"J1 C - (South) Bishopthorpe Roa")&amp;":"&amp;ADDRESS(130,3+18*2+(1))),'J1 C - (South) Bishopthorpe Roa'!$A$12:$A$130,"&gt;="&amp;Diagram!$O47,'J1 C - (South) Bishopthorpe Roa'!$A$12:$A$130,"&lt;"&amp;Diagram!$P47),SUMIFS(INDIRECT(ADDRESS(12,3+18*2+(9),,,"J1 C - (South) Bishopthorpe Roa")&amp;":"&amp;ADDRESS(130,3+18*2+(9))),'J1 C - (South) Bishopthorpe Roa'!$A$12:$A$130,"&gt;="&amp;Diagram!$O47,'J1 C - (South) Bishopthorpe Roa'!$A$12:$A$130,"&lt;"&amp;Diagram!$P47)))</f>
        <v>2</v>
      </c>
      <c r="AT47" s="42">
        <f ca="1">IF(OR($I$10="",$O47="",$P47="",$J$36&lt;&gt;"Yes"),0,IF($K$10=0,SUMIFS(INDIRECT(ADDRESS(12,3+18*3+(1),,,"J1 C - (South) Bishopthorpe Roa")&amp;":"&amp;ADDRESS(130,3+18*3+(1))),'J1 C - (South) Bishopthorpe Roa'!$A$12:$A$130,"&gt;="&amp;Diagram!$O47,'J1 C - (South) Bishopthorpe Roa'!$A$12:$A$130,"&lt;"&amp;Diagram!$P47),SUMIFS(INDIRECT(ADDRESS(12,3+18*3+(9),,,"J1 C - (South) Bishopthorpe Roa")&amp;":"&amp;ADDRESS(130,3+18*3+(9))),'J1 C - (South) Bishopthorpe Roa'!$A$12:$A$130,"&gt;="&amp;Diagram!$O47,'J1 C - (South) Bishopthorpe Roa'!$A$12:$A$130,"&lt;"&amp;Diagram!$P47)))</f>
        <v>0</v>
      </c>
      <c r="AU47" s="42">
        <f ca="1">IF(OR($I$10="",$O47="",$P47="",$J$36&lt;&gt;"Yes"),0,IF($K$10=0,SUMIFS(INDIRECT(ADDRESS(12,3+18*0+(1),,,"J1 C - (South) Bishopthorpe Roa")&amp;":"&amp;ADDRESS(130,3+18*0+(1))),'J1 C - (South) Bishopthorpe Roa'!$A$12:$A$130,"&gt;="&amp;Diagram!$O47,'J1 C - (South) Bishopthorpe Roa'!$A$12:$A$130,"&lt;"&amp;Diagram!$P47),SUMIFS(INDIRECT(ADDRESS(12,3+18*0+(9),,,"J1 C - (South) Bishopthorpe Roa")&amp;":"&amp;ADDRESS(130,3+18*0+(9))),'J1 C - (South) Bishopthorpe Roa'!$A$12:$A$130,"&gt;="&amp;Diagram!$O47,'J1 C - (South) Bishopthorpe Roa'!$A$12:$A$130,"&lt;"&amp;Diagram!$P47)))</f>
        <v>2</v>
      </c>
      <c r="AV47" s="42">
        <f ca="1">IF(OR($I$10="",$O47="",$P47="",$J$36&lt;&gt;"Yes"),0,IF($K$10=0,SUMIFS(INDIRECT(ADDRESS(12,3+18*0+(1),,,"J1 D - South Bank Avenue")&amp;":"&amp;ADDRESS(130,3+18*0+(1))),'J1 D - South Bank Avenue'!$A$12:$A$130,"&gt;="&amp;Diagram!$O47,'J1 D - South Bank Avenue'!$A$12:$A$130,"&lt;"&amp;Diagram!$P47),SUMIFS(INDIRECT(ADDRESS(12,3+18*0+(9),,,"J1 D - South Bank Avenue")&amp;":"&amp;ADDRESS(130,3+18*0+(9))),'J1 D - South Bank Avenue'!$A$12:$A$130,"&gt;="&amp;Diagram!$O47,'J1 D - South Bank Avenue'!$A$12:$A$130,"&lt;"&amp;Diagram!$P47)))</f>
        <v>5</v>
      </c>
      <c r="AW47" s="42">
        <f ca="1">IF(OR($I$10="",$O47="",$P47="",$J$36&lt;&gt;"Yes"),0,IF($K$10=0,SUMIFS(INDIRECT(ADDRESS(12,3+18*1+(1),,,"J1 D - South Bank Avenue")&amp;":"&amp;ADDRESS(130,3+18*1+(1))),'J1 D - South Bank Avenue'!$A$12:$A$130,"&gt;="&amp;Diagram!$O47,'J1 D - South Bank Avenue'!$A$12:$A$130,"&lt;"&amp;Diagram!$P47),SUMIFS(INDIRECT(ADDRESS(12,3+18*1+(9),,,"J1 D - South Bank Avenue")&amp;":"&amp;ADDRESS(130,3+18*1+(9))),'J1 D - South Bank Avenue'!$A$12:$A$130,"&gt;="&amp;Diagram!$O47,'J1 D - South Bank Avenue'!$A$12:$A$130,"&lt;"&amp;Diagram!$P47)))</f>
        <v>0</v>
      </c>
      <c r="AX47" s="42">
        <f ca="1">IF(OR($I$10="",$O47="",$P47="",$J$36&lt;&gt;"Yes"),0,IF($K$10=0,SUMIFS(INDIRECT(ADDRESS(12,3+18*2+(1),,,"J1 D - South Bank Avenue")&amp;":"&amp;ADDRESS(130,3+18*2+(1))),'J1 D - South Bank Avenue'!$A$12:$A$130,"&gt;="&amp;Diagram!$O47,'J1 D - South Bank Avenue'!$A$12:$A$130,"&lt;"&amp;Diagram!$P47),SUMIFS(INDIRECT(ADDRESS(12,3+18*2+(9),,,"J1 D - South Bank Avenue")&amp;":"&amp;ADDRESS(130,3+18*2+(9))),'J1 D - South Bank Avenue'!$A$12:$A$130,"&gt;="&amp;Diagram!$O47,'J1 D - South Bank Avenue'!$A$12:$A$130,"&lt;"&amp;Diagram!$P47)))</f>
        <v>1</v>
      </c>
      <c r="AY47" s="42">
        <f ca="1">IF(OR($I$10="",$O47="",$P47="",$J$36&lt;&gt;"Yes"),0,IF($K$10=0,SUMIFS(INDIRECT(ADDRESS(12,3+18*3+(1),,,"J1 D - South Bank Avenue")&amp;":"&amp;ADDRESS(130,3+18*3+(1))),'J1 D - South Bank Avenue'!$A$12:$A$130,"&gt;="&amp;Diagram!$O47,'J1 D - South Bank Avenue'!$A$12:$A$130,"&lt;"&amp;Diagram!$P47),SUMIFS(INDIRECT(ADDRESS(12,3+18*3+(9),,,"J1 D - South Bank Avenue")&amp;":"&amp;ADDRESS(130,3+18*3+(9))),'J1 D - South Bank Avenue'!$A$12:$A$130,"&gt;="&amp;Diagram!$O47,'J1 D - South Bank Avenue'!$A$12:$A$130,"&lt;"&amp;Diagram!$P47)))</f>
        <v>0</v>
      </c>
      <c r="AZ47" s="42">
        <f t="shared" ca="1" si="3"/>
        <v>10</v>
      </c>
      <c r="BA47" s="42">
        <f ca="1">IF(OR($I$10="",$O47="",$P47="",$J$37&lt;&gt;"Yes"),0,IF($K$10=0,SUMIFS(INDIRECT(ADDRESS(12,3+18*3+(2),,,"J1 A - (North) Bishopthorpe Roa")&amp;":"&amp;ADDRESS(130,3+18*3+(2))),'J1 A - (North) Bishopthorpe Roa'!$A$12:$A$130,"&gt;="&amp;Diagram!$O47,'J1 A - (North) Bishopthorpe Roa'!$A$12:$A$130,"&lt;"&amp;Diagram!$P47),SUMIFS(INDIRECT(ADDRESS(12,3+18*3+(10),,,"J1 A - (North) Bishopthorpe Roa")&amp;":"&amp;ADDRESS(130,3+18*3+(10))),'J1 A - (North) Bishopthorpe Roa'!$A$12:$A$130,"&gt;="&amp;Diagram!$O47,'J1 A - (North) Bishopthorpe Roa'!$A$12:$A$130,"&lt;"&amp;Diagram!$P47)))</f>
        <v>0</v>
      </c>
      <c r="BB47" s="42">
        <f ca="1">IF(OR($I$10="",$O47="",$P47="",$J$37&lt;&gt;"Yes"),0,IF($K$10=0,SUMIFS(INDIRECT(ADDRESS(12,3+18*0+(2),,,"J1 A - (North) Bishopthorpe Roa")&amp;":"&amp;ADDRESS(130,3+18*0+(2))),'J1 A - (North) Bishopthorpe Roa'!$A$12:$A$130,"&gt;="&amp;Diagram!$O47,'J1 A - (North) Bishopthorpe Roa'!$A$12:$A$130,"&lt;"&amp;Diagram!$P47),SUMIFS(INDIRECT(ADDRESS(12,3+18*0+(10),,,"J1 A - (North) Bishopthorpe Roa")&amp;":"&amp;ADDRESS(130,3+18*0+(10))),'J1 A - (North) Bishopthorpe Roa'!$A$12:$A$130,"&gt;="&amp;Diagram!$O47,'J1 A - (North) Bishopthorpe Roa'!$A$12:$A$130,"&lt;"&amp;Diagram!$P47)))</f>
        <v>1</v>
      </c>
      <c r="BC47" s="42">
        <f ca="1">IF(OR($I$10="",$O47="",$P47="",$J$37&lt;&gt;"Yes"),0,IF($K$10=0,SUMIFS(INDIRECT(ADDRESS(12,3+18*1+(2),,,"J1 A - (North) Bishopthorpe Roa")&amp;":"&amp;ADDRESS(130,3+18*1+(2))),'J1 A - (North) Bishopthorpe Roa'!$A$12:$A$130,"&gt;="&amp;Diagram!$O47,'J1 A - (North) Bishopthorpe Roa'!$A$12:$A$130,"&lt;"&amp;Diagram!$P47),SUMIFS(INDIRECT(ADDRESS(12,3+18*1+(10),,,"J1 A - (North) Bishopthorpe Roa")&amp;":"&amp;ADDRESS(130,3+18*1+(10))),'J1 A - (North) Bishopthorpe Roa'!$A$12:$A$130,"&gt;="&amp;Diagram!$O47,'J1 A - (North) Bishopthorpe Roa'!$A$12:$A$130,"&lt;"&amp;Diagram!$P47)))</f>
        <v>3</v>
      </c>
      <c r="BD47" s="42">
        <f ca="1">IF(OR($I$10="",$O47="",$P47="",$J$37&lt;&gt;"Yes"),0,IF($K$10=0,SUMIFS(INDIRECT(ADDRESS(12,3+18*2+(2),,,"J1 A - (North) Bishopthorpe Roa")&amp;":"&amp;ADDRESS(130,3+18*2+(2))),'J1 A - (North) Bishopthorpe Roa'!$A$12:$A$130,"&gt;="&amp;Diagram!$O47,'J1 A - (North) Bishopthorpe Roa'!$A$12:$A$130,"&lt;"&amp;Diagram!$P47),SUMIFS(INDIRECT(ADDRESS(12,3+18*2+(10),,,"J1 A - (North) Bishopthorpe Roa")&amp;":"&amp;ADDRESS(130,3+18*2+(10))),'J1 A - (North) Bishopthorpe Roa'!$A$12:$A$130,"&gt;="&amp;Diagram!$O47,'J1 A - (North) Bishopthorpe Roa'!$A$12:$A$130,"&lt;"&amp;Diagram!$P47)))</f>
        <v>0</v>
      </c>
      <c r="BE47" s="42">
        <f ca="1">IF(OR($I$10="",$O47="",$P47="",$J$37&lt;&gt;"Yes"),0,IF($K$10=0,SUMIFS(INDIRECT(ADDRESS(12,3+18*2+(2),,,"J1 B - Butcher Terrace")&amp;":"&amp;ADDRESS(130,3+18*2+(2))),'J1 B - Butcher Terrace'!$A$12:$A$130,"&gt;="&amp;Diagram!$O47,'J1 B - Butcher Terrace'!$A$12:$A$130,"&lt;"&amp;Diagram!$P47),SUMIFS(INDIRECT(ADDRESS(12,3+18*2+(10),,,"J1 B - Butcher Terrace")&amp;":"&amp;ADDRESS(130,3+18*2+(10))),'J1 B - Butcher Terrace'!$A$12:$A$130,"&gt;="&amp;Diagram!$O47,'J1 B - Butcher Terrace'!$A$12:$A$130,"&lt;"&amp;Diagram!$P47)))</f>
        <v>1</v>
      </c>
      <c r="BF47" s="42">
        <f ca="1">IF(OR($I$10="",$O47="",$P47="",$J$37&lt;&gt;"Yes"),0,IF($K$10=0,SUMIFS(INDIRECT(ADDRESS(12,3+18*3+(2),,,"J1 B - Butcher Terrace")&amp;":"&amp;ADDRESS(130,3+18*3+(2))),'J1 B - Butcher Terrace'!$A$12:$A$130,"&gt;="&amp;Diagram!$O47,'J1 B - Butcher Terrace'!$A$12:$A$130,"&lt;"&amp;Diagram!$P47),SUMIFS(INDIRECT(ADDRESS(12,3+18*3+(10),,,"J1 B - Butcher Terrace")&amp;":"&amp;ADDRESS(130,3+18*3+(10))),'J1 B - Butcher Terrace'!$A$12:$A$130,"&gt;="&amp;Diagram!$O47,'J1 B - Butcher Terrace'!$A$12:$A$130,"&lt;"&amp;Diagram!$P47)))</f>
        <v>0</v>
      </c>
      <c r="BG47" s="42">
        <f ca="1">IF(OR($I$10="",$O47="",$P47="",$J$37&lt;&gt;"Yes"),0,IF($K$10=0,SUMIFS(INDIRECT(ADDRESS(12,3+18*0+(2),,,"J1 B - Butcher Terrace")&amp;":"&amp;ADDRESS(130,3+18*0+(2))),'J1 B - Butcher Terrace'!$A$12:$A$130,"&gt;="&amp;Diagram!$O47,'J1 B - Butcher Terrace'!$A$12:$A$130,"&lt;"&amp;Diagram!$P47),SUMIFS(INDIRECT(ADDRESS(12,3+18*0+(10),,,"J1 B - Butcher Terrace")&amp;":"&amp;ADDRESS(130,3+18*0+(10))),'J1 B - Butcher Terrace'!$A$12:$A$130,"&gt;="&amp;Diagram!$O47,'J1 B - Butcher Terrace'!$A$12:$A$130,"&lt;"&amp;Diagram!$P47)))</f>
        <v>1</v>
      </c>
      <c r="BH47" s="42">
        <f ca="1">IF(OR($I$10="",$O47="",$P47="",$J$37&lt;&gt;"Yes"),0,IF($K$10=0,SUMIFS(INDIRECT(ADDRESS(12,3+18*1+(2),,,"J1 B - Butcher Terrace")&amp;":"&amp;ADDRESS(130,3+18*1+(2))),'J1 B - Butcher Terrace'!$A$12:$A$130,"&gt;="&amp;Diagram!$O47,'J1 B - Butcher Terrace'!$A$12:$A$130,"&lt;"&amp;Diagram!$P47),SUMIFS(INDIRECT(ADDRESS(12,3+18*1+(10),,,"J1 B - Butcher Terrace")&amp;":"&amp;ADDRESS(130,3+18*1+(10))),'J1 B - Butcher Terrace'!$A$12:$A$130,"&gt;="&amp;Diagram!$O47,'J1 B - Butcher Terrace'!$A$12:$A$130,"&lt;"&amp;Diagram!$P47)))</f>
        <v>0</v>
      </c>
      <c r="BI47" s="42">
        <f ca="1">IF(OR($I$10="",$O47="",$P47="",$J$37&lt;&gt;"Yes"),0,IF($K$10=0,SUMIFS(INDIRECT(ADDRESS(12,3+18*1+(2),,,"J1 C - (South) Bishopthorpe Roa")&amp;":"&amp;ADDRESS(130,3+18*1+(2))),'J1 C - (South) Bishopthorpe Roa'!$A$12:$A$130,"&gt;="&amp;Diagram!$O47,'J1 C - (South) Bishopthorpe Roa'!$A$12:$A$130,"&lt;"&amp;Diagram!$P47),SUMIFS(INDIRECT(ADDRESS(12,3+18*1+(10),,,"J1 C - (South) Bishopthorpe Roa")&amp;":"&amp;ADDRESS(130,3+18*1+(10))),'J1 C - (South) Bishopthorpe Roa'!$A$12:$A$130,"&gt;="&amp;Diagram!$O47,'J1 C - (South) Bishopthorpe Roa'!$A$12:$A$130,"&lt;"&amp;Diagram!$P47)))</f>
        <v>4</v>
      </c>
      <c r="BJ47" s="42">
        <f ca="1">IF(OR($I$10="",$O47="",$P47="",$J$37&lt;&gt;"Yes"),0,IF($K$10=0,SUMIFS(INDIRECT(ADDRESS(12,3+18*2+(2),,,"J1 C - (South) Bishopthorpe Roa")&amp;":"&amp;ADDRESS(130,3+18*2+(2))),'J1 C - (South) Bishopthorpe Roa'!$A$12:$A$130,"&gt;="&amp;Diagram!$O47,'J1 C - (South) Bishopthorpe Roa'!$A$12:$A$130,"&lt;"&amp;Diagram!$P47),SUMIFS(INDIRECT(ADDRESS(12,3+18*2+(10),,,"J1 C - (South) Bishopthorpe Roa")&amp;":"&amp;ADDRESS(130,3+18*2+(10))),'J1 C - (South) Bishopthorpe Roa'!$A$12:$A$130,"&gt;="&amp;Diagram!$O47,'J1 C - (South) Bishopthorpe Roa'!$A$12:$A$130,"&lt;"&amp;Diagram!$P47)))</f>
        <v>0</v>
      </c>
      <c r="BK47" s="42">
        <f ca="1">IF(OR($I$10="",$O47="",$P47="",$J$37&lt;&gt;"Yes"),0,IF($K$10=0,SUMIFS(INDIRECT(ADDRESS(12,3+18*3+(2),,,"J1 C - (South) Bishopthorpe Roa")&amp;":"&amp;ADDRESS(130,3+18*3+(2))),'J1 C - (South) Bishopthorpe Roa'!$A$12:$A$130,"&gt;="&amp;Diagram!$O47,'J1 C - (South) Bishopthorpe Roa'!$A$12:$A$130,"&lt;"&amp;Diagram!$P47),SUMIFS(INDIRECT(ADDRESS(12,3+18*3+(10),,,"J1 C - (South) Bishopthorpe Roa")&amp;":"&amp;ADDRESS(130,3+18*3+(10))),'J1 C - (South) Bishopthorpe Roa'!$A$12:$A$130,"&gt;="&amp;Diagram!$O47,'J1 C - (South) Bishopthorpe Roa'!$A$12:$A$130,"&lt;"&amp;Diagram!$P47)))</f>
        <v>0</v>
      </c>
      <c r="BL47" s="42">
        <f ca="1">IF(OR($I$10="",$O47="",$P47="",$J$37&lt;&gt;"Yes"),0,IF($K$10=0,SUMIFS(INDIRECT(ADDRESS(12,3+18*0+(2),,,"J1 C - (South) Bishopthorpe Roa")&amp;":"&amp;ADDRESS(130,3+18*0+(2))),'J1 C - (South) Bishopthorpe Roa'!$A$12:$A$130,"&gt;="&amp;Diagram!$O47,'J1 C - (South) Bishopthorpe Roa'!$A$12:$A$130,"&lt;"&amp;Diagram!$P47),SUMIFS(INDIRECT(ADDRESS(12,3+18*0+(10),,,"J1 C - (South) Bishopthorpe Roa")&amp;":"&amp;ADDRESS(130,3+18*0+(10))),'J1 C - (South) Bishopthorpe Roa'!$A$12:$A$130,"&gt;="&amp;Diagram!$O47,'J1 C - (South) Bishopthorpe Roa'!$A$12:$A$130,"&lt;"&amp;Diagram!$P47)))</f>
        <v>0</v>
      </c>
      <c r="BM47" s="42">
        <f ca="1">IF(OR($I$10="",$O47="",$P47="",$J$37&lt;&gt;"Yes"),0,IF($K$10=0,SUMIFS(INDIRECT(ADDRESS(12,3+18*0+(2),,,"J1 D - South Bank Avenue")&amp;":"&amp;ADDRESS(130,3+18*0+(2))),'J1 D - South Bank Avenue'!$A$12:$A$130,"&gt;="&amp;Diagram!$O47,'J1 D - South Bank Avenue'!$A$12:$A$130,"&lt;"&amp;Diagram!$P47),SUMIFS(INDIRECT(ADDRESS(12,3+18*0+(10),,,"J1 D - South Bank Avenue")&amp;":"&amp;ADDRESS(130,3+18*0+(10))),'J1 D - South Bank Avenue'!$A$12:$A$130,"&gt;="&amp;Diagram!$O47,'J1 D - South Bank Avenue'!$A$12:$A$130,"&lt;"&amp;Diagram!$P47)))</f>
        <v>0</v>
      </c>
      <c r="BN47" s="42">
        <f ca="1">IF(OR($I$10="",$O47="",$P47="",$J$37&lt;&gt;"Yes"),0,IF($K$10=0,SUMIFS(INDIRECT(ADDRESS(12,3+18*1+(2),,,"J1 D - South Bank Avenue")&amp;":"&amp;ADDRESS(130,3+18*1+(2))),'J1 D - South Bank Avenue'!$A$12:$A$130,"&gt;="&amp;Diagram!$O47,'J1 D - South Bank Avenue'!$A$12:$A$130,"&lt;"&amp;Diagram!$P47),SUMIFS(INDIRECT(ADDRESS(12,3+18*1+(10),,,"J1 D - South Bank Avenue")&amp;":"&amp;ADDRESS(130,3+18*1+(10))),'J1 D - South Bank Avenue'!$A$12:$A$130,"&gt;="&amp;Diagram!$O47,'J1 D - South Bank Avenue'!$A$12:$A$130,"&lt;"&amp;Diagram!$P47)))</f>
        <v>0</v>
      </c>
      <c r="BO47" s="42">
        <f ca="1">IF(OR($I$10="",$O47="",$P47="",$J$37&lt;&gt;"Yes"),0,IF($K$10=0,SUMIFS(INDIRECT(ADDRESS(12,3+18*2+(2),,,"J1 D - South Bank Avenue")&amp;":"&amp;ADDRESS(130,3+18*2+(2))),'J1 D - South Bank Avenue'!$A$12:$A$130,"&gt;="&amp;Diagram!$O47,'J1 D - South Bank Avenue'!$A$12:$A$130,"&lt;"&amp;Diagram!$P47),SUMIFS(INDIRECT(ADDRESS(12,3+18*2+(10),,,"J1 D - South Bank Avenue")&amp;":"&amp;ADDRESS(130,3+18*2+(10))),'J1 D - South Bank Avenue'!$A$12:$A$130,"&gt;="&amp;Diagram!$O47,'J1 D - South Bank Avenue'!$A$12:$A$130,"&lt;"&amp;Diagram!$P47)))</f>
        <v>0</v>
      </c>
      <c r="BP47" s="42">
        <f ca="1">IF(OR($I$10="",$O47="",$P47="",$J$37&lt;&gt;"Yes"),0,IF($K$10=0,SUMIFS(INDIRECT(ADDRESS(12,3+18*3+(2),,,"J1 D - South Bank Avenue")&amp;":"&amp;ADDRESS(130,3+18*3+(2))),'J1 D - South Bank Avenue'!$A$12:$A$130,"&gt;="&amp;Diagram!$O47,'J1 D - South Bank Avenue'!$A$12:$A$130,"&lt;"&amp;Diagram!$P47),SUMIFS(INDIRECT(ADDRESS(12,3+18*3+(10),,,"J1 D - South Bank Avenue")&amp;":"&amp;ADDRESS(130,3+18*3+(10))),'J1 D - South Bank Avenue'!$A$12:$A$130,"&gt;="&amp;Diagram!$O47,'J1 D - South Bank Avenue'!$A$12:$A$130,"&lt;"&amp;Diagram!$P47)))</f>
        <v>0</v>
      </c>
      <c r="BQ47" s="42">
        <f t="shared" ca="1" si="4"/>
        <v>0</v>
      </c>
      <c r="BR47" s="42">
        <f ca="1">IF(OR($I$10="",$O47="",$P47="",$J$38&lt;&gt;"Yes"),0,IF($K$10=0,SUMIFS(INDIRECT(ADDRESS(12,3+18*3+(3),,,"J1 A - (North) Bishopthorpe Roa")&amp;":"&amp;ADDRESS(130,3+18*3+(3))),'J1 A - (North) Bishopthorpe Roa'!$A$12:$A$130,"&gt;="&amp;Diagram!$O47,'J1 A - (North) Bishopthorpe Roa'!$A$12:$A$130,"&lt;"&amp;Diagram!$P47),SUMIFS(INDIRECT(ADDRESS(12,3+18*3+(11),,,"J1 A - (North) Bishopthorpe Roa")&amp;":"&amp;ADDRESS(130,3+18*3+(11))),'J1 A - (North) Bishopthorpe Roa'!$A$12:$A$130,"&gt;="&amp;Diagram!$O47,'J1 A - (North) Bishopthorpe Roa'!$A$12:$A$130,"&lt;"&amp;Diagram!$P47)))</f>
        <v>0</v>
      </c>
      <c r="BS47" s="42">
        <f ca="1">IF(OR($I$10="",$O47="",$P47="",$J$38&lt;&gt;"Yes"),0,IF($K$10=0,SUMIFS(INDIRECT(ADDRESS(12,3+18*0+(3),,,"J1 A - (North) Bishopthorpe Roa")&amp;":"&amp;ADDRESS(130,3+18*0+(3))),'J1 A - (North) Bishopthorpe Roa'!$A$12:$A$130,"&gt;="&amp;Diagram!$O47,'J1 A - (North) Bishopthorpe Roa'!$A$12:$A$130,"&lt;"&amp;Diagram!$P47),SUMIFS(INDIRECT(ADDRESS(12,3+18*0+(11),,,"J1 A - (North) Bishopthorpe Roa")&amp;":"&amp;ADDRESS(130,3+18*0+(11))),'J1 A - (North) Bishopthorpe Roa'!$A$12:$A$130,"&gt;="&amp;Diagram!$O47,'J1 A - (North) Bishopthorpe Roa'!$A$12:$A$130,"&lt;"&amp;Diagram!$P47)))</f>
        <v>0</v>
      </c>
      <c r="BT47" s="42">
        <f ca="1">IF(OR($I$10="",$O47="",$P47="",$J$38&lt;&gt;"Yes"),0,IF($K$10=0,SUMIFS(INDIRECT(ADDRESS(12,3+18*1+(3),,,"J1 A - (North) Bishopthorpe Roa")&amp;":"&amp;ADDRESS(130,3+18*1+(3))),'J1 A - (North) Bishopthorpe Roa'!$A$12:$A$130,"&gt;="&amp;Diagram!$O47,'J1 A - (North) Bishopthorpe Roa'!$A$12:$A$130,"&lt;"&amp;Diagram!$P47),SUMIFS(INDIRECT(ADDRESS(12,3+18*1+(11),,,"J1 A - (North) Bishopthorpe Roa")&amp;":"&amp;ADDRESS(130,3+18*1+(11))),'J1 A - (North) Bishopthorpe Roa'!$A$12:$A$130,"&gt;="&amp;Diagram!$O47,'J1 A - (North) Bishopthorpe Roa'!$A$12:$A$130,"&lt;"&amp;Diagram!$P47)))</f>
        <v>0</v>
      </c>
      <c r="BU47" s="42">
        <f ca="1">IF(OR($I$10="",$O47="",$P47="",$J$38&lt;&gt;"Yes"),0,IF($K$10=0,SUMIFS(INDIRECT(ADDRESS(12,3+18*2+(3),,,"J1 A - (North) Bishopthorpe Roa")&amp;":"&amp;ADDRESS(130,3+18*2+(3))),'J1 A - (North) Bishopthorpe Roa'!$A$12:$A$130,"&gt;="&amp;Diagram!$O47,'J1 A - (North) Bishopthorpe Roa'!$A$12:$A$130,"&lt;"&amp;Diagram!$P47),SUMIFS(INDIRECT(ADDRESS(12,3+18*2+(11),,,"J1 A - (North) Bishopthorpe Roa")&amp;":"&amp;ADDRESS(130,3+18*2+(11))),'J1 A - (North) Bishopthorpe Roa'!$A$12:$A$130,"&gt;="&amp;Diagram!$O47,'J1 A - (North) Bishopthorpe Roa'!$A$12:$A$130,"&lt;"&amp;Diagram!$P47)))</f>
        <v>0</v>
      </c>
      <c r="BV47" s="42">
        <f ca="1">IF(OR($I$10="",$O47="",$P47="",$J$38&lt;&gt;"Yes"),0,IF($K$10=0,SUMIFS(INDIRECT(ADDRESS(12,3+18*2+(3),,,"J1 B - Butcher Terrace")&amp;":"&amp;ADDRESS(130,3+18*2+(3))),'J1 B - Butcher Terrace'!$A$12:$A$130,"&gt;="&amp;Diagram!$O47,'J1 B - Butcher Terrace'!$A$12:$A$130,"&lt;"&amp;Diagram!$P47),SUMIFS(INDIRECT(ADDRESS(12,3+18*2+(11),,,"J1 B - Butcher Terrace")&amp;":"&amp;ADDRESS(130,3+18*2+(11))),'J1 B - Butcher Terrace'!$A$12:$A$130,"&gt;="&amp;Diagram!$O47,'J1 B - Butcher Terrace'!$A$12:$A$130,"&lt;"&amp;Diagram!$P47)))</f>
        <v>0</v>
      </c>
      <c r="BW47" s="42">
        <f ca="1">IF(OR($I$10="",$O47="",$P47="",$J$38&lt;&gt;"Yes"),0,IF($K$10=0,SUMIFS(INDIRECT(ADDRESS(12,3+18*3+(3),,,"J1 B - Butcher Terrace")&amp;":"&amp;ADDRESS(130,3+18*3+(3))),'J1 B - Butcher Terrace'!$A$12:$A$130,"&gt;="&amp;Diagram!$O47,'J1 B - Butcher Terrace'!$A$12:$A$130,"&lt;"&amp;Diagram!$P47),SUMIFS(INDIRECT(ADDRESS(12,3+18*3+(11),,,"J1 B - Butcher Terrace")&amp;":"&amp;ADDRESS(130,3+18*3+(11))),'J1 B - Butcher Terrace'!$A$12:$A$130,"&gt;="&amp;Diagram!$O47,'J1 B - Butcher Terrace'!$A$12:$A$130,"&lt;"&amp;Diagram!$P47)))</f>
        <v>0</v>
      </c>
      <c r="BX47" s="42">
        <f ca="1">IF(OR($I$10="",$O47="",$P47="",$J$38&lt;&gt;"Yes"),0,IF($K$10=0,SUMIFS(INDIRECT(ADDRESS(12,3+18*0+(3),,,"J1 B - Butcher Terrace")&amp;":"&amp;ADDRESS(130,3+18*0+(3))),'J1 B - Butcher Terrace'!$A$12:$A$130,"&gt;="&amp;Diagram!$O47,'J1 B - Butcher Terrace'!$A$12:$A$130,"&lt;"&amp;Diagram!$P47),SUMIFS(INDIRECT(ADDRESS(12,3+18*0+(11),,,"J1 B - Butcher Terrace")&amp;":"&amp;ADDRESS(130,3+18*0+(11))),'J1 B - Butcher Terrace'!$A$12:$A$130,"&gt;="&amp;Diagram!$O47,'J1 B - Butcher Terrace'!$A$12:$A$130,"&lt;"&amp;Diagram!$P47)))</f>
        <v>0</v>
      </c>
      <c r="BY47" s="42">
        <f ca="1">IF(OR($I$10="",$O47="",$P47="",$J$38&lt;&gt;"Yes"),0,IF($K$10=0,SUMIFS(INDIRECT(ADDRESS(12,3+18*1+(3),,,"J1 B - Butcher Terrace")&amp;":"&amp;ADDRESS(130,3+18*1+(3))),'J1 B - Butcher Terrace'!$A$12:$A$130,"&gt;="&amp;Diagram!$O47,'J1 B - Butcher Terrace'!$A$12:$A$130,"&lt;"&amp;Diagram!$P47),SUMIFS(INDIRECT(ADDRESS(12,3+18*1+(11),,,"J1 B - Butcher Terrace")&amp;":"&amp;ADDRESS(130,3+18*1+(11))),'J1 B - Butcher Terrace'!$A$12:$A$130,"&gt;="&amp;Diagram!$O47,'J1 B - Butcher Terrace'!$A$12:$A$130,"&lt;"&amp;Diagram!$P47)))</f>
        <v>0</v>
      </c>
      <c r="BZ47" s="42">
        <f ca="1">IF(OR($I$10="",$O47="",$P47="",$J$38&lt;&gt;"Yes"),0,IF($K$10=0,SUMIFS(INDIRECT(ADDRESS(12,3+18*1+(3),,,"J1 C - (South) Bishopthorpe Roa")&amp;":"&amp;ADDRESS(130,3+18*1+(3))),'J1 C - (South) Bishopthorpe Roa'!$A$12:$A$130,"&gt;="&amp;Diagram!$O47,'J1 C - (South) Bishopthorpe Roa'!$A$12:$A$130,"&lt;"&amp;Diagram!$P47),SUMIFS(INDIRECT(ADDRESS(12,3+18*1+(11),,,"J1 C - (South) Bishopthorpe Roa")&amp;":"&amp;ADDRESS(130,3+18*1+(11))),'J1 C - (South) Bishopthorpe Roa'!$A$12:$A$130,"&gt;="&amp;Diagram!$O47,'J1 C - (South) Bishopthorpe Roa'!$A$12:$A$130,"&lt;"&amp;Diagram!$P47)))</f>
        <v>0</v>
      </c>
      <c r="CA47" s="42">
        <f ca="1">IF(OR($I$10="",$O47="",$P47="",$J$38&lt;&gt;"Yes"),0,IF($K$10=0,SUMIFS(INDIRECT(ADDRESS(12,3+18*2+(3),,,"J1 C - (South) Bishopthorpe Roa")&amp;":"&amp;ADDRESS(130,3+18*2+(3))),'J1 C - (South) Bishopthorpe Roa'!$A$12:$A$130,"&gt;="&amp;Diagram!$O47,'J1 C - (South) Bishopthorpe Roa'!$A$12:$A$130,"&lt;"&amp;Diagram!$P47),SUMIFS(INDIRECT(ADDRESS(12,3+18*2+(11),,,"J1 C - (South) Bishopthorpe Roa")&amp;":"&amp;ADDRESS(130,3+18*2+(11))),'J1 C - (South) Bishopthorpe Roa'!$A$12:$A$130,"&gt;="&amp;Diagram!$O47,'J1 C - (South) Bishopthorpe Roa'!$A$12:$A$130,"&lt;"&amp;Diagram!$P47)))</f>
        <v>0</v>
      </c>
      <c r="CB47" s="42">
        <f ca="1">IF(OR($I$10="",$O47="",$P47="",$J$38&lt;&gt;"Yes"),0,IF($K$10=0,SUMIFS(INDIRECT(ADDRESS(12,3+18*3+(3),,,"J1 C - (South) Bishopthorpe Roa")&amp;":"&amp;ADDRESS(130,3+18*3+(3))),'J1 C - (South) Bishopthorpe Roa'!$A$12:$A$130,"&gt;="&amp;Diagram!$O47,'J1 C - (South) Bishopthorpe Roa'!$A$12:$A$130,"&lt;"&amp;Diagram!$P47),SUMIFS(INDIRECT(ADDRESS(12,3+18*3+(11),,,"J1 C - (South) Bishopthorpe Roa")&amp;":"&amp;ADDRESS(130,3+18*3+(11))),'J1 C - (South) Bishopthorpe Roa'!$A$12:$A$130,"&gt;="&amp;Diagram!$O47,'J1 C - (South) Bishopthorpe Roa'!$A$12:$A$130,"&lt;"&amp;Diagram!$P47)))</f>
        <v>0</v>
      </c>
      <c r="CC47" s="42">
        <f ca="1">IF(OR($I$10="",$O47="",$P47="",$J$38&lt;&gt;"Yes"),0,IF($K$10=0,SUMIFS(INDIRECT(ADDRESS(12,3+18*0+(3),,,"J1 C - (South) Bishopthorpe Roa")&amp;":"&amp;ADDRESS(130,3+18*0+(3))),'J1 C - (South) Bishopthorpe Roa'!$A$12:$A$130,"&gt;="&amp;Diagram!$O47,'J1 C - (South) Bishopthorpe Roa'!$A$12:$A$130,"&lt;"&amp;Diagram!$P47),SUMIFS(INDIRECT(ADDRESS(12,3+18*0+(11),,,"J1 C - (South) Bishopthorpe Roa")&amp;":"&amp;ADDRESS(130,3+18*0+(11))),'J1 C - (South) Bishopthorpe Roa'!$A$12:$A$130,"&gt;="&amp;Diagram!$O47,'J1 C - (South) Bishopthorpe Roa'!$A$12:$A$130,"&lt;"&amp;Diagram!$P47)))</f>
        <v>0</v>
      </c>
      <c r="CD47" s="42">
        <f ca="1">IF(OR($I$10="",$O47="",$P47="",$J$38&lt;&gt;"Yes"),0,IF($K$10=0,SUMIFS(INDIRECT(ADDRESS(12,3+18*0+(3),,,"J1 D - South Bank Avenue")&amp;":"&amp;ADDRESS(130,3+18*0+(3))),'J1 D - South Bank Avenue'!$A$12:$A$130,"&gt;="&amp;Diagram!$O47,'J1 D - South Bank Avenue'!$A$12:$A$130,"&lt;"&amp;Diagram!$P47),SUMIFS(INDIRECT(ADDRESS(12,3+18*0+(11),,,"J1 D - South Bank Avenue")&amp;":"&amp;ADDRESS(130,3+18*0+(11))),'J1 D - South Bank Avenue'!$A$12:$A$130,"&gt;="&amp;Diagram!$O47,'J1 D - South Bank Avenue'!$A$12:$A$130,"&lt;"&amp;Diagram!$P47)))</f>
        <v>0</v>
      </c>
      <c r="CE47" s="42">
        <f ca="1">IF(OR($I$10="",$O47="",$P47="",$J$38&lt;&gt;"Yes"),0,IF($K$10=0,SUMIFS(INDIRECT(ADDRESS(12,3+18*1+(3),,,"J1 D - South Bank Avenue")&amp;":"&amp;ADDRESS(130,3+18*1+(3))),'J1 D - South Bank Avenue'!$A$12:$A$130,"&gt;="&amp;Diagram!$O47,'J1 D - South Bank Avenue'!$A$12:$A$130,"&lt;"&amp;Diagram!$P47),SUMIFS(INDIRECT(ADDRESS(12,3+18*1+(11),,,"J1 D - South Bank Avenue")&amp;":"&amp;ADDRESS(130,3+18*1+(11))),'J1 D - South Bank Avenue'!$A$12:$A$130,"&gt;="&amp;Diagram!$O47,'J1 D - South Bank Avenue'!$A$12:$A$130,"&lt;"&amp;Diagram!$P47)))</f>
        <v>0</v>
      </c>
      <c r="CF47" s="42">
        <f ca="1">IF(OR($I$10="",$O47="",$P47="",$J$38&lt;&gt;"Yes"),0,IF($K$10=0,SUMIFS(INDIRECT(ADDRESS(12,3+18*2+(3),,,"J1 D - South Bank Avenue")&amp;":"&amp;ADDRESS(130,3+18*2+(3))),'J1 D - South Bank Avenue'!$A$12:$A$130,"&gt;="&amp;Diagram!$O47,'J1 D - South Bank Avenue'!$A$12:$A$130,"&lt;"&amp;Diagram!$P47),SUMIFS(INDIRECT(ADDRESS(12,3+18*2+(11),,,"J1 D - South Bank Avenue")&amp;":"&amp;ADDRESS(130,3+18*2+(11))),'J1 D - South Bank Avenue'!$A$12:$A$130,"&gt;="&amp;Diagram!$O47,'J1 D - South Bank Avenue'!$A$12:$A$130,"&lt;"&amp;Diagram!$P47)))</f>
        <v>0</v>
      </c>
      <c r="CG47" s="42">
        <f ca="1">IF(OR($I$10="",$O47="",$P47="",$J$38&lt;&gt;"Yes"),0,IF($K$10=0,SUMIFS(INDIRECT(ADDRESS(12,3+18*3+(3),,,"J1 D - South Bank Avenue")&amp;":"&amp;ADDRESS(130,3+18*3+(3))),'J1 D - South Bank Avenue'!$A$12:$A$130,"&gt;="&amp;Diagram!$O47,'J1 D - South Bank Avenue'!$A$12:$A$130,"&lt;"&amp;Diagram!$P47),SUMIFS(INDIRECT(ADDRESS(12,3+18*3+(11),,,"J1 D - South Bank Avenue")&amp;":"&amp;ADDRESS(130,3+18*3+(11))),'J1 D - South Bank Avenue'!$A$12:$A$130,"&gt;="&amp;Diagram!$O47,'J1 D - South Bank Avenue'!$A$12:$A$130,"&lt;"&amp;Diagram!$P47)))</f>
        <v>0</v>
      </c>
      <c r="CH47" s="42">
        <f t="shared" ca="1" si="5"/>
        <v>7</v>
      </c>
      <c r="CI47" s="42">
        <f ca="1">IF(OR($I$10="",$O47="",$P47="",$J$39&lt;&gt;"Yes"),0,IF($K$10=0,SUMIFS(INDIRECT(ADDRESS(12,3+18*3+(4),,,"J1 A - (North) Bishopthorpe Roa")&amp;":"&amp;ADDRESS(130,3+18*3+(4))),'J1 A - (North) Bishopthorpe Roa'!$A$12:$A$130,"&gt;="&amp;Diagram!$O47,'J1 A - (North) Bishopthorpe Roa'!$A$12:$A$130,"&lt;"&amp;Diagram!$P47),SUMIFS(INDIRECT(ADDRESS(12,3+18*3+(12),,,"J1 A - (North) Bishopthorpe Roa")&amp;":"&amp;ADDRESS(130,3+18*3+(12))),'J1 A - (North) Bishopthorpe Roa'!$A$12:$A$130,"&gt;="&amp;Diagram!$O47,'J1 A - (North) Bishopthorpe Roa'!$A$12:$A$130,"&lt;"&amp;Diagram!$P47)))</f>
        <v>0</v>
      </c>
      <c r="CJ47" s="42">
        <f ca="1">IF(OR($I$10="",$O47="",$P47="",$J$39&lt;&gt;"Yes"),0,IF($K$10=0,SUMIFS(INDIRECT(ADDRESS(12,3+18*0+(4),,,"J1 A - (North) Bishopthorpe Roa")&amp;":"&amp;ADDRESS(130,3+18*0+(4))),'J1 A - (North) Bishopthorpe Roa'!$A$12:$A$130,"&gt;="&amp;Diagram!$O47,'J1 A - (North) Bishopthorpe Roa'!$A$12:$A$130,"&lt;"&amp;Diagram!$P47),SUMIFS(INDIRECT(ADDRESS(12,3+18*0+(12),,,"J1 A - (North) Bishopthorpe Roa")&amp;":"&amp;ADDRESS(130,3+18*0+(12))),'J1 A - (North) Bishopthorpe Roa'!$A$12:$A$130,"&gt;="&amp;Diagram!$O47,'J1 A - (North) Bishopthorpe Roa'!$A$12:$A$130,"&lt;"&amp;Diagram!$P47)))</f>
        <v>0</v>
      </c>
      <c r="CK47" s="42">
        <f ca="1">IF(OR($I$10="",$O47="",$P47="",$J$39&lt;&gt;"Yes"),0,IF($K$10=0,SUMIFS(INDIRECT(ADDRESS(12,3+18*1+(4),,,"J1 A - (North) Bishopthorpe Roa")&amp;":"&amp;ADDRESS(130,3+18*1+(4))),'J1 A - (North) Bishopthorpe Roa'!$A$12:$A$130,"&gt;="&amp;Diagram!$O47,'J1 A - (North) Bishopthorpe Roa'!$A$12:$A$130,"&lt;"&amp;Diagram!$P47),SUMIFS(INDIRECT(ADDRESS(12,3+18*1+(12),,,"J1 A - (North) Bishopthorpe Roa")&amp;":"&amp;ADDRESS(130,3+18*1+(12))),'J1 A - (North) Bishopthorpe Roa'!$A$12:$A$130,"&gt;="&amp;Diagram!$O47,'J1 A - (North) Bishopthorpe Roa'!$A$12:$A$130,"&lt;"&amp;Diagram!$P47)))</f>
        <v>3</v>
      </c>
      <c r="CL47" s="42">
        <f ca="1">IF(OR($I$10="",$O47="",$P47="",$J$39&lt;&gt;"Yes"),0,IF($K$10=0,SUMIFS(INDIRECT(ADDRESS(12,3+18*2+(4),,,"J1 A - (North) Bishopthorpe Roa")&amp;":"&amp;ADDRESS(130,3+18*2+(4))),'J1 A - (North) Bishopthorpe Roa'!$A$12:$A$130,"&gt;="&amp;Diagram!$O47,'J1 A - (North) Bishopthorpe Roa'!$A$12:$A$130,"&lt;"&amp;Diagram!$P47),SUMIFS(INDIRECT(ADDRESS(12,3+18*2+(12),,,"J1 A - (North) Bishopthorpe Roa")&amp;":"&amp;ADDRESS(130,3+18*2+(12))),'J1 A - (North) Bishopthorpe Roa'!$A$12:$A$130,"&gt;="&amp;Diagram!$O47,'J1 A - (North) Bishopthorpe Roa'!$A$12:$A$130,"&lt;"&amp;Diagram!$P47)))</f>
        <v>0</v>
      </c>
      <c r="CM47" s="42">
        <f ca="1">IF(OR($I$10="",$O47="",$P47="",$J$39&lt;&gt;"Yes"),0,IF($K$10=0,SUMIFS(INDIRECT(ADDRESS(12,3+18*2+(4),,,"J1 B - Butcher Terrace")&amp;":"&amp;ADDRESS(130,3+18*2+(4))),'J1 B - Butcher Terrace'!$A$12:$A$130,"&gt;="&amp;Diagram!$O47,'J1 B - Butcher Terrace'!$A$12:$A$130,"&lt;"&amp;Diagram!$P47),SUMIFS(INDIRECT(ADDRESS(12,3+18*2+(12),,,"J1 B - Butcher Terrace")&amp;":"&amp;ADDRESS(130,3+18*2+(12))),'J1 B - Butcher Terrace'!$A$12:$A$130,"&gt;="&amp;Diagram!$O47,'J1 B - Butcher Terrace'!$A$12:$A$130,"&lt;"&amp;Diagram!$P47)))</f>
        <v>0</v>
      </c>
      <c r="CN47" s="42">
        <f ca="1">IF(OR($I$10="",$O47="",$P47="",$J$39&lt;&gt;"Yes"),0,IF($K$10=0,SUMIFS(INDIRECT(ADDRESS(12,3+18*3+(4),,,"J1 B - Butcher Terrace")&amp;":"&amp;ADDRESS(130,3+18*3+(4))),'J1 B - Butcher Terrace'!$A$12:$A$130,"&gt;="&amp;Diagram!$O47,'J1 B - Butcher Terrace'!$A$12:$A$130,"&lt;"&amp;Diagram!$P47),SUMIFS(INDIRECT(ADDRESS(12,3+18*3+(12),,,"J1 B - Butcher Terrace")&amp;":"&amp;ADDRESS(130,3+18*3+(12))),'J1 B - Butcher Terrace'!$A$12:$A$130,"&gt;="&amp;Diagram!$O47,'J1 B - Butcher Terrace'!$A$12:$A$130,"&lt;"&amp;Diagram!$P47)))</f>
        <v>0</v>
      </c>
      <c r="CO47" s="42">
        <f ca="1">IF(OR($I$10="",$O47="",$P47="",$J$39&lt;&gt;"Yes"),0,IF($K$10=0,SUMIFS(INDIRECT(ADDRESS(12,3+18*0+(4),,,"J1 B - Butcher Terrace")&amp;":"&amp;ADDRESS(130,3+18*0+(4))),'J1 B - Butcher Terrace'!$A$12:$A$130,"&gt;="&amp;Diagram!$O47,'J1 B - Butcher Terrace'!$A$12:$A$130,"&lt;"&amp;Diagram!$P47),SUMIFS(INDIRECT(ADDRESS(12,3+18*0+(12),,,"J1 B - Butcher Terrace")&amp;":"&amp;ADDRESS(130,3+18*0+(12))),'J1 B - Butcher Terrace'!$A$12:$A$130,"&gt;="&amp;Diagram!$O47,'J1 B - Butcher Terrace'!$A$12:$A$130,"&lt;"&amp;Diagram!$P47)))</f>
        <v>0</v>
      </c>
      <c r="CP47" s="42">
        <f ca="1">IF(OR($I$10="",$O47="",$P47="",$J$39&lt;&gt;"Yes"),0,IF($K$10=0,SUMIFS(INDIRECT(ADDRESS(12,3+18*1+(4),,,"J1 B - Butcher Terrace")&amp;":"&amp;ADDRESS(130,3+18*1+(4))),'J1 B - Butcher Terrace'!$A$12:$A$130,"&gt;="&amp;Diagram!$O47,'J1 B - Butcher Terrace'!$A$12:$A$130,"&lt;"&amp;Diagram!$P47),SUMIFS(INDIRECT(ADDRESS(12,3+18*1+(12),,,"J1 B - Butcher Terrace")&amp;":"&amp;ADDRESS(130,3+18*1+(12))),'J1 B - Butcher Terrace'!$A$12:$A$130,"&gt;="&amp;Diagram!$O47,'J1 B - Butcher Terrace'!$A$12:$A$130,"&lt;"&amp;Diagram!$P47)))</f>
        <v>0</v>
      </c>
      <c r="CQ47" s="42">
        <f ca="1">IF(OR($I$10="",$O47="",$P47="",$J$39&lt;&gt;"Yes"),0,IF($K$10=0,SUMIFS(INDIRECT(ADDRESS(12,3+18*1+(4),,,"J1 C - (South) Bishopthorpe Roa")&amp;":"&amp;ADDRESS(130,3+18*1+(4))),'J1 C - (South) Bishopthorpe Roa'!$A$12:$A$130,"&gt;="&amp;Diagram!$O47,'J1 C - (South) Bishopthorpe Roa'!$A$12:$A$130,"&lt;"&amp;Diagram!$P47),SUMIFS(INDIRECT(ADDRESS(12,3+18*1+(12),,,"J1 C - (South) Bishopthorpe Roa")&amp;":"&amp;ADDRESS(130,3+18*1+(12))),'J1 C - (South) Bishopthorpe Roa'!$A$12:$A$130,"&gt;="&amp;Diagram!$O47,'J1 C - (South) Bishopthorpe Roa'!$A$12:$A$130,"&lt;"&amp;Diagram!$P47)))</f>
        <v>4</v>
      </c>
      <c r="CR47" s="42">
        <f ca="1">IF(OR($I$10="",$O47="",$P47="",$J$39&lt;&gt;"Yes"),0,IF($K$10=0,SUMIFS(INDIRECT(ADDRESS(12,3+18*2+(4),,,"J1 C - (South) Bishopthorpe Roa")&amp;":"&amp;ADDRESS(130,3+18*2+(4))),'J1 C - (South) Bishopthorpe Roa'!$A$12:$A$130,"&gt;="&amp;Diagram!$O47,'J1 C - (South) Bishopthorpe Roa'!$A$12:$A$130,"&lt;"&amp;Diagram!$P47),SUMIFS(INDIRECT(ADDRESS(12,3+18*2+(12),,,"J1 C - (South) Bishopthorpe Roa")&amp;":"&amp;ADDRESS(130,3+18*2+(12))),'J1 C - (South) Bishopthorpe Roa'!$A$12:$A$130,"&gt;="&amp;Diagram!$O47,'J1 C - (South) Bishopthorpe Roa'!$A$12:$A$130,"&lt;"&amp;Diagram!$P47)))</f>
        <v>0</v>
      </c>
      <c r="CS47" s="42">
        <f ca="1">IF(OR($I$10="",$O47="",$P47="",$J$39&lt;&gt;"Yes"),0,IF($K$10=0,SUMIFS(INDIRECT(ADDRESS(12,3+18*3+(4),,,"J1 C - (South) Bishopthorpe Roa")&amp;":"&amp;ADDRESS(130,3+18*3+(4))),'J1 C - (South) Bishopthorpe Roa'!$A$12:$A$130,"&gt;="&amp;Diagram!$O47,'J1 C - (South) Bishopthorpe Roa'!$A$12:$A$130,"&lt;"&amp;Diagram!$P47),SUMIFS(INDIRECT(ADDRESS(12,3+18*3+(12),,,"J1 C - (South) Bishopthorpe Roa")&amp;":"&amp;ADDRESS(130,3+18*3+(12))),'J1 C - (South) Bishopthorpe Roa'!$A$12:$A$130,"&gt;="&amp;Diagram!$O47,'J1 C - (South) Bishopthorpe Roa'!$A$12:$A$130,"&lt;"&amp;Diagram!$P47)))</f>
        <v>0</v>
      </c>
      <c r="CT47" s="42">
        <f ca="1">IF(OR($I$10="",$O47="",$P47="",$J$39&lt;&gt;"Yes"),0,IF($K$10=0,SUMIFS(INDIRECT(ADDRESS(12,3+18*0+(4),,,"J1 C - (South) Bishopthorpe Roa")&amp;":"&amp;ADDRESS(130,3+18*0+(4))),'J1 C - (South) Bishopthorpe Roa'!$A$12:$A$130,"&gt;="&amp;Diagram!$O47,'J1 C - (South) Bishopthorpe Roa'!$A$12:$A$130,"&lt;"&amp;Diagram!$P47),SUMIFS(INDIRECT(ADDRESS(12,3+18*0+(12),,,"J1 C - (South) Bishopthorpe Roa")&amp;":"&amp;ADDRESS(130,3+18*0+(12))),'J1 C - (South) Bishopthorpe Roa'!$A$12:$A$130,"&gt;="&amp;Diagram!$O47,'J1 C - (South) Bishopthorpe Roa'!$A$12:$A$130,"&lt;"&amp;Diagram!$P47)))</f>
        <v>0</v>
      </c>
      <c r="CU47" s="42">
        <f ca="1">IF(OR($I$10="",$O47="",$P47="",$J$39&lt;&gt;"Yes"),0,IF($K$10=0,SUMIFS(INDIRECT(ADDRESS(12,3+18*0+(4),,,"J1 D - South Bank Avenue")&amp;":"&amp;ADDRESS(130,3+18*0+(4))),'J1 D - South Bank Avenue'!$A$12:$A$130,"&gt;="&amp;Diagram!$O47,'J1 D - South Bank Avenue'!$A$12:$A$130,"&lt;"&amp;Diagram!$P47),SUMIFS(INDIRECT(ADDRESS(12,3+18*0+(12),,,"J1 D - South Bank Avenue")&amp;":"&amp;ADDRESS(130,3+18*0+(12))),'J1 D - South Bank Avenue'!$A$12:$A$130,"&gt;="&amp;Diagram!$O47,'J1 D - South Bank Avenue'!$A$12:$A$130,"&lt;"&amp;Diagram!$P47)))</f>
        <v>0</v>
      </c>
      <c r="CV47" s="42">
        <f ca="1">IF(OR($I$10="",$O47="",$P47="",$J$39&lt;&gt;"Yes"),0,IF($K$10=0,SUMIFS(INDIRECT(ADDRESS(12,3+18*1+(4),,,"J1 D - South Bank Avenue")&amp;":"&amp;ADDRESS(130,3+18*1+(4))),'J1 D - South Bank Avenue'!$A$12:$A$130,"&gt;="&amp;Diagram!$O47,'J1 D - South Bank Avenue'!$A$12:$A$130,"&lt;"&amp;Diagram!$P47),SUMIFS(INDIRECT(ADDRESS(12,3+18*1+(12),,,"J1 D - South Bank Avenue")&amp;":"&amp;ADDRESS(130,3+18*1+(12))),'J1 D - South Bank Avenue'!$A$12:$A$130,"&gt;="&amp;Diagram!$O47,'J1 D - South Bank Avenue'!$A$12:$A$130,"&lt;"&amp;Diagram!$P47)))</f>
        <v>0</v>
      </c>
      <c r="CW47" s="42">
        <f ca="1">IF(OR($I$10="",$O47="",$P47="",$J$39&lt;&gt;"Yes"),0,IF($K$10=0,SUMIFS(INDIRECT(ADDRESS(12,3+18*2+(4),,,"J1 D - South Bank Avenue")&amp;":"&amp;ADDRESS(130,3+18*2+(4))),'J1 D - South Bank Avenue'!$A$12:$A$130,"&gt;="&amp;Diagram!$O47,'J1 D - South Bank Avenue'!$A$12:$A$130,"&lt;"&amp;Diagram!$P47),SUMIFS(INDIRECT(ADDRESS(12,3+18*2+(12),,,"J1 D - South Bank Avenue")&amp;":"&amp;ADDRESS(130,3+18*2+(12))),'J1 D - South Bank Avenue'!$A$12:$A$130,"&gt;="&amp;Diagram!$O47,'J1 D - South Bank Avenue'!$A$12:$A$130,"&lt;"&amp;Diagram!$P47)))</f>
        <v>0</v>
      </c>
      <c r="CX47" s="42">
        <f ca="1">IF(OR($I$10="",$O47="",$P47="",$J$39&lt;&gt;"Yes"),0,IF($K$10=0,SUMIFS(INDIRECT(ADDRESS(12,3+18*3+(4),,,"J1 D - South Bank Avenue")&amp;":"&amp;ADDRESS(130,3+18*3+(4))),'J1 D - South Bank Avenue'!$A$12:$A$130,"&gt;="&amp;Diagram!$O47,'J1 D - South Bank Avenue'!$A$12:$A$130,"&lt;"&amp;Diagram!$P47),SUMIFS(INDIRECT(ADDRESS(12,3+18*3+(12),,,"J1 D - South Bank Avenue")&amp;":"&amp;ADDRESS(130,3+18*3+(12))),'J1 D - South Bank Avenue'!$A$12:$A$130,"&gt;="&amp;Diagram!$O47,'J1 D - South Bank Avenue'!$A$12:$A$130,"&lt;"&amp;Diagram!$P47)))</f>
        <v>0</v>
      </c>
      <c r="CY47" s="42">
        <f t="shared" ca="1" si="6"/>
        <v>101</v>
      </c>
      <c r="CZ47" s="42">
        <f ca="1">IF(OR($I$10="",$O47="",$P47="",$J$40&lt;&gt;"Yes"),0,IF($K$10=0,SUMIFS(INDIRECT(ADDRESS(12,3+18*3+(5),,,"J1 A - (North) Bishopthorpe Roa")&amp;":"&amp;ADDRESS(130,3+18*3+(5))),'J1 A - (North) Bishopthorpe Roa'!$A$12:$A$130,"&gt;="&amp;Diagram!$O47,'J1 A - (North) Bishopthorpe Roa'!$A$12:$A$130,"&lt;"&amp;Diagram!$P47),SUMIFS(INDIRECT(ADDRESS(12,3+18*3+(13),,,"J1 A - (North) Bishopthorpe Roa")&amp;":"&amp;ADDRESS(130,3+18*3+(13))),'J1 A - (North) Bishopthorpe Roa'!$A$12:$A$130,"&gt;="&amp;Diagram!$O47,'J1 A - (North) Bishopthorpe Roa'!$A$12:$A$130,"&lt;"&amp;Diagram!$P47)))</f>
        <v>0</v>
      </c>
      <c r="DA47" s="42">
        <f ca="1">IF(OR($I$10="",$O47="",$P47="",$J$40&lt;&gt;"Yes"),0,IF($K$10=0,SUMIFS(INDIRECT(ADDRESS(12,3+18*0+(5),,,"J1 A - (North) Bishopthorpe Roa")&amp;":"&amp;ADDRESS(130,3+18*0+(5))),'J1 A - (North) Bishopthorpe Roa'!$A$12:$A$130,"&gt;="&amp;Diagram!$O47,'J1 A - (North) Bishopthorpe Roa'!$A$12:$A$130,"&lt;"&amp;Diagram!$P47),SUMIFS(INDIRECT(ADDRESS(12,3+18*0+(13),,,"J1 A - (North) Bishopthorpe Roa")&amp;":"&amp;ADDRESS(130,3+18*0+(13))),'J1 A - (North) Bishopthorpe Roa'!$A$12:$A$130,"&gt;="&amp;Diagram!$O47,'J1 A - (North) Bishopthorpe Roa'!$A$12:$A$130,"&lt;"&amp;Diagram!$P47)))</f>
        <v>17</v>
      </c>
      <c r="DB47" s="42">
        <f ca="1">IF(OR($I$10="",$O47="",$P47="",$J$40&lt;&gt;"Yes"),0,IF($K$10=0,SUMIFS(INDIRECT(ADDRESS(12,3+18*1+(5),,,"J1 A - (North) Bishopthorpe Roa")&amp;":"&amp;ADDRESS(130,3+18*1+(5))),'J1 A - (North) Bishopthorpe Roa'!$A$12:$A$130,"&gt;="&amp;Diagram!$O47,'J1 A - (North) Bishopthorpe Roa'!$A$12:$A$130,"&lt;"&amp;Diagram!$P47),SUMIFS(INDIRECT(ADDRESS(12,3+18*1+(13),,,"J1 A - (North) Bishopthorpe Roa")&amp;":"&amp;ADDRESS(130,3+18*1+(13))),'J1 A - (North) Bishopthorpe Roa'!$A$12:$A$130,"&gt;="&amp;Diagram!$O47,'J1 A - (North) Bishopthorpe Roa'!$A$12:$A$130,"&lt;"&amp;Diagram!$P47)))</f>
        <v>14</v>
      </c>
      <c r="DC47" s="42">
        <f ca="1">IF(OR($I$10="",$O47="",$P47="",$J$40&lt;&gt;"Yes"),0,IF($K$10=0,SUMIFS(INDIRECT(ADDRESS(12,3+18*2+(5),,,"J1 A - (North) Bishopthorpe Roa")&amp;":"&amp;ADDRESS(130,3+18*2+(5))),'J1 A - (North) Bishopthorpe Roa'!$A$12:$A$130,"&gt;="&amp;Diagram!$O47,'J1 A - (North) Bishopthorpe Roa'!$A$12:$A$130,"&lt;"&amp;Diagram!$P47),SUMIFS(INDIRECT(ADDRESS(12,3+18*2+(13),,,"J1 A - (North) Bishopthorpe Roa")&amp;":"&amp;ADDRESS(130,3+18*2+(13))),'J1 A - (North) Bishopthorpe Roa'!$A$12:$A$130,"&gt;="&amp;Diagram!$O47,'J1 A - (North) Bishopthorpe Roa'!$A$12:$A$130,"&lt;"&amp;Diagram!$P47)))</f>
        <v>4</v>
      </c>
      <c r="DD47" s="42">
        <f ca="1">IF(OR($I$10="",$O47="",$P47="",$J$40&lt;&gt;"Yes"),0,IF($K$10=0,SUMIFS(INDIRECT(ADDRESS(12,3+18*2+(5),,,"J1 B - Butcher Terrace")&amp;":"&amp;ADDRESS(130,3+18*2+(5))),'J1 B - Butcher Terrace'!$A$12:$A$130,"&gt;="&amp;Diagram!$O47,'J1 B - Butcher Terrace'!$A$12:$A$130,"&lt;"&amp;Diagram!$P47),SUMIFS(INDIRECT(ADDRESS(12,3+18*2+(13),,,"J1 B - Butcher Terrace")&amp;":"&amp;ADDRESS(130,3+18*2+(13))),'J1 B - Butcher Terrace'!$A$12:$A$130,"&gt;="&amp;Diagram!$O47,'J1 B - Butcher Terrace'!$A$12:$A$130,"&lt;"&amp;Diagram!$P47)))</f>
        <v>7</v>
      </c>
      <c r="DE47" s="42">
        <f ca="1">IF(OR($I$10="",$O47="",$P47="",$J$40&lt;&gt;"Yes"),0,IF($K$10=0,SUMIFS(INDIRECT(ADDRESS(12,3+18*3+(5),,,"J1 B - Butcher Terrace")&amp;":"&amp;ADDRESS(130,3+18*3+(5))),'J1 B - Butcher Terrace'!$A$12:$A$130,"&gt;="&amp;Diagram!$O47,'J1 B - Butcher Terrace'!$A$12:$A$130,"&lt;"&amp;Diagram!$P47),SUMIFS(INDIRECT(ADDRESS(12,3+18*3+(13),,,"J1 B - Butcher Terrace")&amp;":"&amp;ADDRESS(130,3+18*3+(13))),'J1 B - Butcher Terrace'!$A$12:$A$130,"&gt;="&amp;Diagram!$O47,'J1 B - Butcher Terrace'!$A$12:$A$130,"&lt;"&amp;Diagram!$P47)))</f>
        <v>0</v>
      </c>
      <c r="DF47" s="42">
        <f ca="1">IF(OR($I$10="",$O47="",$P47="",$J$40&lt;&gt;"Yes"),0,IF($K$10=0,SUMIFS(INDIRECT(ADDRESS(12,3+18*0+(5),,,"J1 B - Butcher Terrace")&amp;":"&amp;ADDRESS(130,3+18*0+(5))),'J1 B - Butcher Terrace'!$A$12:$A$130,"&gt;="&amp;Diagram!$O47,'J1 B - Butcher Terrace'!$A$12:$A$130,"&lt;"&amp;Diagram!$P47),SUMIFS(INDIRECT(ADDRESS(12,3+18*0+(13),,,"J1 B - Butcher Terrace")&amp;":"&amp;ADDRESS(130,3+18*0+(13))),'J1 B - Butcher Terrace'!$A$12:$A$130,"&gt;="&amp;Diagram!$O47,'J1 B - Butcher Terrace'!$A$12:$A$130,"&lt;"&amp;Diagram!$P47)))</f>
        <v>6</v>
      </c>
      <c r="DG47" s="42">
        <f ca="1">IF(OR($I$10="",$O47="",$P47="",$J$40&lt;&gt;"Yes"),0,IF($K$10=0,SUMIFS(INDIRECT(ADDRESS(12,3+18*1+(5),,,"J1 B - Butcher Terrace")&amp;":"&amp;ADDRESS(130,3+18*1+(5))),'J1 B - Butcher Terrace'!$A$12:$A$130,"&gt;="&amp;Diagram!$O47,'J1 B - Butcher Terrace'!$A$12:$A$130,"&lt;"&amp;Diagram!$P47),SUMIFS(INDIRECT(ADDRESS(12,3+18*1+(13),,,"J1 B - Butcher Terrace")&amp;":"&amp;ADDRESS(130,3+18*1+(13))),'J1 B - Butcher Terrace'!$A$12:$A$130,"&gt;="&amp;Diagram!$O47,'J1 B - Butcher Terrace'!$A$12:$A$130,"&lt;"&amp;Diagram!$P47)))</f>
        <v>13</v>
      </c>
      <c r="DH47" s="42">
        <f ca="1">IF(OR($I$10="",$O47="",$P47="",$J$40&lt;&gt;"Yes"),0,IF($K$10=0,SUMIFS(INDIRECT(ADDRESS(12,3+18*1+(5),,,"J1 C - (South) Bishopthorpe Roa")&amp;":"&amp;ADDRESS(130,3+18*1+(5))),'J1 C - (South) Bishopthorpe Roa'!$A$12:$A$130,"&gt;="&amp;Diagram!$O47,'J1 C - (South) Bishopthorpe Roa'!$A$12:$A$130,"&lt;"&amp;Diagram!$P47),SUMIFS(INDIRECT(ADDRESS(12,3+18*1+(13),,,"J1 C - (South) Bishopthorpe Roa")&amp;":"&amp;ADDRESS(130,3+18*1+(13))),'J1 C - (South) Bishopthorpe Roa'!$A$12:$A$130,"&gt;="&amp;Diagram!$O47,'J1 C - (South) Bishopthorpe Roa'!$A$12:$A$130,"&lt;"&amp;Diagram!$P47)))</f>
        <v>11</v>
      </c>
      <c r="DI47" s="42">
        <f ca="1">IF(OR($I$10="",$O47="",$P47="",$J$40&lt;&gt;"Yes"),0,IF($K$10=0,SUMIFS(INDIRECT(ADDRESS(12,3+18*2+(5),,,"J1 C - (South) Bishopthorpe Roa")&amp;":"&amp;ADDRESS(130,3+18*2+(5))),'J1 C - (South) Bishopthorpe Roa'!$A$12:$A$130,"&gt;="&amp;Diagram!$O47,'J1 C - (South) Bishopthorpe Roa'!$A$12:$A$130,"&lt;"&amp;Diagram!$P47),SUMIFS(INDIRECT(ADDRESS(12,3+18*2+(13),,,"J1 C - (South) Bishopthorpe Roa")&amp;":"&amp;ADDRESS(130,3+18*2+(13))),'J1 C - (South) Bishopthorpe Roa'!$A$12:$A$130,"&gt;="&amp;Diagram!$O47,'J1 C - (South) Bishopthorpe Roa'!$A$12:$A$130,"&lt;"&amp;Diagram!$P47)))</f>
        <v>8</v>
      </c>
      <c r="DJ47" s="42">
        <f ca="1">IF(OR($I$10="",$O47="",$P47="",$J$40&lt;&gt;"Yes"),0,IF($K$10=0,SUMIFS(INDIRECT(ADDRESS(12,3+18*3+(5),,,"J1 C - (South) Bishopthorpe Roa")&amp;":"&amp;ADDRESS(130,3+18*3+(5))),'J1 C - (South) Bishopthorpe Roa'!$A$12:$A$130,"&gt;="&amp;Diagram!$O47,'J1 C - (South) Bishopthorpe Roa'!$A$12:$A$130,"&lt;"&amp;Diagram!$P47),SUMIFS(INDIRECT(ADDRESS(12,3+18*3+(13),,,"J1 C - (South) Bishopthorpe Roa")&amp;":"&amp;ADDRESS(130,3+18*3+(13))),'J1 C - (South) Bishopthorpe Roa'!$A$12:$A$130,"&gt;="&amp;Diagram!$O47,'J1 C - (South) Bishopthorpe Roa'!$A$12:$A$130,"&lt;"&amp;Diagram!$P47)))</f>
        <v>0</v>
      </c>
      <c r="DK47" s="42">
        <f ca="1">IF(OR($I$10="",$O47="",$P47="",$J$40&lt;&gt;"Yes"),0,IF($K$10=0,SUMIFS(INDIRECT(ADDRESS(12,3+18*0+(5),,,"J1 C - (South) Bishopthorpe Roa")&amp;":"&amp;ADDRESS(130,3+18*0+(5))),'J1 C - (South) Bishopthorpe Roa'!$A$12:$A$130,"&gt;="&amp;Diagram!$O47,'J1 C - (South) Bishopthorpe Roa'!$A$12:$A$130,"&lt;"&amp;Diagram!$P47),SUMIFS(INDIRECT(ADDRESS(12,3+18*0+(13),,,"J1 C - (South) Bishopthorpe Roa")&amp;":"&amp;ADDRESS(130,3+18*0+(13))),'J1 C - (South) Bishopthorpe Roa'!$A$12:$A$130,"&gt;="&amp;Diagram!$O47,'J1 C - (South) Bishopthorpe Roa'!$A$12:$A$130,"&lt;"&amp;Diagram!$P47)))</f>
        <v>0</v>
      </c>
      <c r="DL47" s="42">
        <f ca="1">IF(OR($I$10="",$O47="",$P47="",$J$40&lt;&gt;"Yes"),0,IF($K$10=0,SUMIFS(INDIRECT(ADDRESS(12,3+18*0+(5),,,"J1 D - South Bank Avenue")&amp;":"&amp;ADDRESS(130,3+18*0+(5))),'J1 D - South Bank Avenue'!$A$12:$A$130,"&gt;="&amp;Diagram!$O47,'J1 D - South Bank Avenue'!$A$12:$A$130,"&lt;"&amp;Diagram!$P47),SUMIFS(INDIRECT(ADDRESS(12,3+18*0+(13),,,"J1 D - South Bank Avenue")&amp;":"&amp;ADDRESS(130,3+18*0+(13))),'J1 D - South Bank Avenue'!$A$12:$A$130,"&gt;="&amp;Diagram!$O47,'J1 D - South Bank Avenue'!$A$12:$A$130,"&lt;"&amp;Diagram!$P47)))</f>
        <v>10</v>
      </c>
      <c r="DM47" s="42">
        <f ca="1">IF(OR($I$10="",$O47="",$P47="",$J$40&lt;&gt;"Yes"),0,IF($K$10=0,SUMIFS(INDIRECT(ADDRESS(12,3+18*1+(5),,,"J1 D - South Bank Avenue")&amp;":"&amp;ADDRESS(130,3+18*1+(5))),'J1 D - South Bank Avenue'!$A$12:$A$130,"&gt;="&amp;Diagram!$O47,'J1 D - South Bank Avenue'!$A$12:$A$130,"&lt;"&amp;Diagram!$P47),SUMIFS(INDIRECT(ADDRESS(12,3+18*1+(13),,,"J1 D - South Bank Avenue")&amp;":"&amp;ADDRESS(130,3+18*1+(13))),'J1 D - South Bank Avenue'!$A$12:$A$130,"&gt;="&amp;Diagram!$O47,'J1 D - South Bank Avenue'!$A$12:$A$130,"&lt;"&amp;Diagram!$P47)))</f>
        <v>11</v>
      </c>
      <c r="DN47" s="42">
        <f ca="1">IF(OR($I$10="",$O47="",$P47="",$J$40&lt;&gt;"Yes"),0,IF($K$10=0,SUMIFS(INDIRECT(ADDRESS(12,3+18*2+(5),,,"J1 D - South Bank Avenue")&amp;":"&amp;ADDRESS(130,3+18*2+(5))),'J1 D - South Bank Avenue'!$A$12:$A$130,"&gt;="&amp;Diagram!$O47,'J1 D - South Bank Avenue'!$A$12:$A$130,"&lt;"&amp;Diagram!$P47),SUMIFS(INDIRECT(ADDRESS(12,3+18*2+(13),,,"J1 D - South Bank Avenue")&amp;":"&amp;ADDRESS(130,3+18*2+(13))),'J1 D - South Bank Avenue'!$A$12:$A$130,"&gt;="&amp;Diagram!$O47,'J1 D - South Bank Avenue'!$A$12:$A$130,"&lt;"&amp;Diagram!$P47)))</f>
        <v>0</v>
      </c>
      <c r="DO47" s="42">
        <f ca="1">IF(OR($I$10="",$O47="",$P47="",$J$40&lt;&gt;"Yes"),0,IF($K$10=0,SUMIFS(INDIRECT(ADDRESS(12,3+18*3+(5),,,"J1 D - South Bank Avenue")&amp;":"&amp;ADDRESS(130,3+18*3+(5))),'J1 D - South Bank Avenue'!$A$12:$A$130,"&gt;="&amp;Diagram!$O47,'J1 D - South Bank Avenue'!$A$12:$A$130,"&lt;"&amp;Diagram!$P47),SUMIFS(INDIRECT(ADDRESS(12,3+18*3+(13),,,"J1 D - South Bank Avenue")&amp;":"&amp;ADDRESS(130,3+18*3+(13))),'J1 D - South Bank Avenue'!$A$12:$A$130,"&gt;="&amp;Diagram!$O47,'J1 D - South Bank Avenue'!$A$12:$A$130,"&lt;"&amp;Diagram!$P47)))</f>
        <v>0</v>
      </c>
      <c r="DP47" s="42">
        <f t="shared" ca="1" si="7"/>
        <v>4</v>
      </c>
      <c r="DQ47" s="42">
        <f ca="1">IF(OR($I$10="",$O47="",$P47="",$J$41&lt;&gt;"Yes"),0,IF($K$10=0,SUMIFS(INDIRECT(ADDRESS(12,3+18*3+(6),,,"J1 A - (North) Bishopthorpe Roa")&amp;":"&amp;ADDRESS(130,3+18*3+(6))),'J1 A - (North) Bishopthorpe Roa'!$A$12:$A$130,"&gt;="&amp;Diagram!$O47,'J1 A - (North) Bishopthorpe Roa'!$A$12:$A$130,"&lt;"&amp;Diagram!$P47),SUMIFS(INDIRECT(ADDRESS(12,3+18*3+(14),,,"J1 A - (North) Bishopthorpe Roa")&amp;":"&amp;ADDRESS(130,3+18*3+(14))),'J1 A - (North) Bishopthorpe Roa'!$A$12:$A$130,"&gt;="&amp;Diagram!$O47,'J1 A - (North) Bishopthorpe Roa'!$A$12:$A$130,"&lt;"&amp;Diagram!$P47)))</f>
        <v>0</v>
      </c>
      <c r="DR47" s="42">
        <f ca="1">IF(OR($I$10="",$O47="",$P47="",$J$41&lt;&gt;"Yes"),0,IF($K$10=0,SUMIFS(INDIRECT(ADDRESS(12,3+18*0+(6),,,"J1 A - (North) Bishopthorpe Roa")&amp;":"&amp;ADDRESS(130,3+18*0+(6))),'J1 A - (North) Bishopthorpe Roa'!$A$12:$A$130,"&gt;="&amp;Diagram!$O47,'J1 A - (North) Bishopthorpe Roa'!$A$12:$A$130,"&lt;"&amp;Diagram!$P47),SUMIFS(INDIRECT(ADDRESS(12,3+18*0+(14),,,"J1 A - (North) Bishopthorpe Roa")&amp;":"&amp;ADDRESS(130,3+18*0+(14))),'J1 A - (North) Bishopthorpe Roa'!$A$12:$A$130,"&gt;="&amp;Diagram!$O47,'J1 A - (North) Bishopthorpe Roa'!$A$12:$A$130,"&lt;"&amp;Diagram!$P47)))</f>
        <v>0</v>
      </c>
      <c r="DS47" s="42">
        <f ca="1">IF(OR($I$10="",$O47="",$P47="",$J$41&lt;&gt;"Yes"),0,IF($K$10=0,SUMIFS(INDIRECT(ADDRESS(12,3+18*1+(6),,,"J1 A - (North) Bishopthorpe Roa")&amp;":"&amp;ADDRESS(130,3+18*1+(6))),'J1 A - (North) Bishopthorpe Roa'!$A$12:$A$130,"&gt;="&amp;Diagram!$O47,'J1 A - (North) Bishopthorpe Roa'!$A$12:$A$130,"&lt;"&amp;Diagram!$P47),SUMIFS(INDIRECT(ADDRESS(12,3+18*1+(14),,,"J1 A - (North) Bishopthorpe Roa")&amp;":"&amp;ADDRESS(130,3+18*1+(14))),'J1 A - (North) Bishopthorpe Roa'!$A$12:$A$130,"&gt;="&amp;Diagram!$O47,'J1 A - (North) Bishopthorpe Roa'!$A$12:$A$130,"&lt;"&amp;Diagram!$P47)))</f>
        <v>3</v>
      </c>
      <c r="DT47" s="42">
        <f ca="1">IF(OR($I$10="",$O47="",$P47="",$J$41&lt;&gt;"Yes"),0,IF($K$10=0,SUMIFS(INDIRECT(ADDRESS(12,3+18*2+(6),,,"J1 A - (North) Bishopthorpe Roa")&amp;":"&amp;ADDRESS(130,3+18*2+(6))),'J1 A - (North) Bishopthorpe Roa'!$A$12:$A$130,"&gt;="&amp;Diagram!$O47,'J1 A - (North) Bishopthorpe Roa'!$A$12:$A$130,"&lt;"&amp;Diagram!$P47),SUMIFS(INDIRECT(ADDRESS(12,3+18*2+(14),,,"J1 A - (North) Bishopthorpe Roa")&amp;":"&amp;ADDRESS(130,3+18*2+(14))),'J1 A - (North) Bishopthorpe Roa'!$A$12:$A$130,"&gt;="&amp;Diagram!$O47,'J1 A - (North) Bishopthorpe Roa'!$A$12:$A$130,"&lt;"&amp;Diagram!$P47)))</f>
        <v>0</v>
      </c>
      <c r="DU47" s="42">
        <f ca="1">IF(OR($I$10="",$O47="",$P47="",$J$41&lt;&gt;"Yes"),0,IF($K$10=0,SUMIFS(INDIRECT(ADDRESS(12,3+18*2+(6),,,"J1 B - Butcher Terrace")&amp;":"&amp;ADDRESS(130,3+18*2+(6))),'J1 B - Butcher Terrace'!$A$12:$A$130,"&gt;="&amp;Diagram!$O47,'J1 B - Butcher Terrace'!$A$12:$A$130,"&lt;"&amp;Diagram!$P47),SUMIFS(INDIRECT(ADDRESS(12,3+18*2+(14),,,"J1 B - Butcher Terrace")&amp;":"&amp;ADDRESS(130,3+18*2+(14))),'J1 B - Butcher Terrace'!$A$12:$A$130,"&gt;="&amp;Diagram!$O47,'J1 B - Butcher Terrace'!$A$12:$A$130,"&lt;"&amp;Diagram!$P47)))</f>
        <v>0</v>
      </c>
      <c r="DV47" s="42">
        <f ca="1">IF(OR($I$10="",$O47="",$P47="",$J$41&lt;&gt;"Yes"),0,IF($K$10=0,SUMIFS(INDIRECT(ADDRESS(12,3+18*3+(6),,,"J1 B - Butcher Terrace")&amp;":"&amp;ADDRESS(130,3+18*3+(6))),'J1 B - Butcher Terrace'!$A$12:$A$130,"&gt;="&amp;Diagram!$O47,'J1 B - Butcher Terrace'!$A$12:$A$130,"&lt;"&amp;Diagram!$P47),SUMIFS(INDIRECT(ADDRESS(12,3+18*3+(14),,,"J1 B - Butcher Terrace")&amp;":"&amp;ADDRESS(130,3+18*3+(14))),'J1 B - Butcher Terrace'!$A$12:$A$130,"&gt;="&amp;Diagram!$O47,'J1 B - Butcher Terrace'!$A$12:$A$130,"&lt;"&amp;Diagram!$P47)))</f>
        <v>0</v>
      </c>
      <c r="DW47" s="42">
        <f ca="1">IF(OR($I$10="",$O47="",$P47="",$J$41&lt;&gt;"Yes"),0,IF($K$10=0,SUMIFS(INDIRECT(ADDRESS(12,3+18*0+(6),,,"J1 B - Butcher Terrace")&amp;":"&amp;ADDRESS(130,3+18*0+(6))),'J1 B - Butcher Terrace'!$A$12:$A$130,"&gt;="&amp;Diagram!$O47,'J1 B - Butcher Terrace'!$A$12:$A$130,"&lt;"&amp;Diagram!$P47),SUMIFS(INDIRECT(ADDRESS(12,3+18*0+(14),,,"J1 B - Butcher Terrace")&amp;":"&amp;ADDRESS(130,3+18*0+(14))),'J1 B - Butcher Terrace'!$A$12:$A$130,"&gt;="&amp;Diagram!$O47,'J1 B - Butcher Terrace'!$A$12:$A$130,"&lt;"&amp;Diagram!$P47)))</f>
        <v>0</v>
      </c>
      <c r="DX47" s="42">
        <f ca="1">IF(OR($I$10="",$O47="",$P47="",$J$41&lt;&gt;"Yes"),0,IF($K$10=0,SUMIFS(INDIRECT(ADDRESS(12,3+18*1+(6),,,"J1 B - Butcher Terrace")&amp;":"&amp;ADDRESS(130,3+18*1+(6))),'J1 B - Butcher Terrace'!$A$12:$A$130,"&gt;="&amp;Diagram!$O47,'J1 B - Butcher Terrace'!$A$12:$A$130,"&lt;"&amp;Diagram!$P47),SUMIFS(INDIRECT(ADDRESS(12,3+18*1+(14),,,"J1 B - Butcher Terrace")&amp;":"&amp;ADDRESS(130,3+18*1+(14))),'J1 B - Butcher Terrace'!$A$12:$A$130,"&gt;="&amp;Diagram!$O47,'J1 B - Butcher Terrace'!$A$12:$A$130,"&lt;"&amp;Diagram!$P47)))</f>
        <v>0</v>
      </c>
      <c r="DY47" s="42">
        <f ca="1">IF(OR($I$10="",$O47="",$P47="",$J$41&lt;&gt;"Yes"),0,IF($K$10=0,SUMIFS(INDIRECT(ADDRESS(12,3+18*1+(6),,,"J1 C - (South) Bishopthorpe Roa")&amp;":"&amp;ADDRESS(130,3+18*1+(6))),'J1 C - (South) Bishopthorpe Roa'!$A$12:$A$130,"&gt;="&amp;Diagram!$O47,'J1 C - (South) Bishopthorpe Roa'!$A$12:$A$130,"&lt;"&amp;Diagram!$P47),SUMIFS(INDIRECT(ADDRESS(12,3+18*1+(14),,,"J1 C - (South) Bishopthorpe Roa")&amp;":"&amp;ADDRESS(130,3+18*1+(14))),'J1 C - (South) Bishopthorpe Roa'!$A$12:$A$130,"&gt;="&amp;Diagram!$O47,'J1 C - (South) Bishopthorpe Roa'!$A$12:$A$130,"&lt;"&amp;Diagram!$P47)))</f>
        <v>1</v>
      </c>
      <c r="DZ47" s="42">
        <f ca="1">IF(OR($I$10="",$O47="",$P47="",$J$41&lt;&gt;"Yes"),0,IF($K$10=0,SUMIFS(INDIRECT(ADDRESS(12,3+18*2+(6),,,"J1 C - (South) Bishopthorpe Roa")&amp;":"&amp;ADDRESS(130,3+18*2+(6))),'J1 C - (South) Bishopthorpe Roa'!$A$12:$A$130,"&gt;="&amp;Diagram!$O47,'J1 C - (South) Bishopthorpe Roa'!$A$12:$A$130,"&lt;"&amp;Diagram!$P47),SUMIFS(INDIRECT(ADDRESS(12,3+18*2+(14),,,"J1 C - (South) Bishopthorpe Roa")&amp;":"&amp;ADDRESS(130,3+18*2+(14))),'J1 C - (South) Bishopthorpe Roa'!$A$12:$A$130,"&gt;="&amp;Diagram!$O47,'J1 C - (South) Bishopthorpe Roa'!$A$12:$A$130,"&lt;"&amp;Diagram!$P47)))</f>
        <v>0</v>
      </c>
      <c r="EA47" s="42">
        <f ca="1">IF(OR($I$10="",$O47="",$P47="",$J$41&lt;&gt;"Yes"),0,IF($K$10=0,SUMIFS(INDIRECT(ADDRESS(12,3+18*3+(6),,,"J1 C - (South) Bishopthorpe Roa")&amp;":"&amp;ADDRESS(130,3+18*3+(6))),'J1 C - (South) Bishopthorpe Roa'!$A$12:$A$130,"&gt;="&amp;Diagram!$O47,'J1 C - (South) Bishopthorpe Roa'!$A$12:$A$130,"&lt;"&amp;Diagram!$P47),SUMIFS(INDIRECT(ADDRESS(12,3+18*3+(14),,,"J1 C - (South) Bishopthorpe Roa")&amp;":"&amp;ADDRESS(130,3+18*3+(14))),'J1 C - (South) Bishopthorpe Roa'!$A$12:$A$130,"&gt;="&amp;Diagram!$O47,'J1 C - (South) Bishopthorpe Roa'!$A$12:$A$130,"&lt;"&amp;Diagram!$P47)))</f>
        <v>0</v>
      </c>
      <c r="EB47" s="42">
        <f ca="1">IF(OR($I$10="",$O47="",$P47="",$J$41&lt;&gt;"Yes"),0,IF($K$10=0,SUMIFS(INDIRECT(ADDRESS(12,3+18*0+(6),,,"J1 C - (South) Bishopthorpe Roa")&amp;":"&amp;ADDRESS(130,3+18*0+(6))),'J1 C - (South) Bishopthorpe Roa'!$A$12:$A$130,"&gt;="&amp;Diagram!$O47,'J1 C - (South) Bishopthorpe Roa'!$A$12:$A$130,"&lt;"&amp;Diagram!$P47),SUMIFS(INDIRECT(ADDRESS(12,3+18*0+(14),,,"J1 C - (South) Bishopthorpe Roa")&amp;":"&amp;ADDRESS(130,3+18*0+(14))),'J1 C - (South) Bishopthorpe Roa'!$A$12:$A$130,"&gt;="&amp;Diagram!$O47,'J1 C - (South) Bishopthorpe Roa'!$A$12:$A$130,"&lt;"&amp;Diagram!$P47)))</f>
        <v>0</v>
      </c>
      <c r="EC47" s="42">
        <f ca="1">IF(OR($I$10="",$O47="",$P47="",$J$41&lt;&gt;"Yes"),0,IF($K$10=0,SUMIFS(INDIRECT(ADDRESS(12,3+18*0+(6),,,"J1 D - South Bank Avenue")&amp;":"&amp;ADDRESS(130,3+18*0+(6))),'J1 D - South Bank Avenue'!$A$12:$A$130,"&gt;="&amp;Diagram!$O47,'J1 D - South Bank Avenue'!$A$12:$A$130,"&lt;"&amp;Diagram!$P47),SUMIFS(INDIRECT(ADDRESS(12,3+18*0+(14),,,"J1 D - South Bank Avenue")&amp;":"&amp;ADDRESS(130,3+18*0+(14))),'J1 D - South Bank Avenue'!$A$12:$A$130,"&gt;="&amp;Diagram!$O47,'J1 D - South Bank Avenue'!$A$12:$A$130,"&lt;"&amp;Diagram!$P47)))</f>
        <v>0</v>
      </c>
      <c r="ED47" s="42">
        <f ca="1">IF(OR($I$10="",$O47="",$P47="",$J$41&lt;&gt;"Yes"),0,IF($K$10=0,SUMIFS(INDIRECT(ADDRESS(12,3+18*1+(6),,,"J1 D - South Bank Avenue")&amp;":"&amp;ADDRESS(130,3+18*1+(6))),'J1 D - South Bank Avenue'!$A$12:$A$130,"&gt;="&amp;Diagram!$O47,'J1 D - South Bank Avenue'!$A$12:$A$130,"&lt;"&amp;Diagram!$P47),SUMIFS(INDIRECT(ADDRESS(12,3+18*1+(14),,,"J1 D - South Bank Avenue")&amp;":"&amp;ADDRESS(130,3+18*1+(14))),'J1 D - South Bank Avenue'!$A$12:$A$130,"&gt;="&amp;Diagram!$O47,'J1 D - South Bank Avenue'!$A$12:$A$130,"&lt;"&amp;Diagram!$P47)))</f>
        <v>0</v>
      </c>
      <c r="EE47" s="42">
        <f ca="1">IF(OR($I$10="",$O47="",$P47="",$J$41&lt;&gt;"Yes"),0,IF($K$10=0,SUMIFS(INDIRECT(ADDRESS(12,3+18*2+(6),,,"J1 D - South Bank Avenue")&amp;":"&amp;ADDRESS(130,3+18*2+(6))),'J1 D - South Bank Avenue'!$A$12:$A$130,"&gt;="&amp;Diagram!$O47,'J1 D - South Bank Avenue'!$A$12:$A$130,"&lt;"&amp;Diagram!$P47),SUMIFS(INDIRECT(ADDRESS(12,3+18*2+(14),,,"J1 D - South Bank Avenue")&amp;":"&amp;ADDRESS(130,3+18*2+(14))),'J1 D - South Bank Avenue'!$A$12:$A$130,"&gt;="&amp;Diagram!$O47,'J1 D - South Bank Avenue'!$A$12:$A$130,"&lt;"&amp;Diagram!$P47)))</f>
        <v>0</v>
      </c>
      <c r="EF47" s="42">
        <f ca="1">IF(OR($I$10="",$O47="",$P47="",$J$41&lt;&gt;"Yes"),0,IF($K$10=0,SUMIFS(INDIRECT(ADDRESS(12,3+18*3+(6),,,"J1 D - South Bank Avenue")&amp;":"&amp;ADDRESS(130,3+18*3+(6))),'J1 D - South Bank Avenue'!$A$12:$A$130,"&gt;="&amp;Diagram!$O47,'J1 D - South Bank Avenue'!$A$12:$A$130,"&lt;"&amp;Diagram!$P47),SUMIFS(INDIRECT(ADDRESS(12,3+18*3+(14),,,"J1 D - South Bank Avenue")&amp;":"&amp;ADDRESS(130,3+18*3+(14))),'J1 D - South Bank Avenue'!$A$12:$A$130,"&gt;="&amp;Diagram!$O47,'J1 D - South Bank Avenue'!$A$12:$A$130,"&lt;"&amp;Diagram!$P47)))</f>
        <v>0</v>
      </c>
      <c r="EG47" s="42">
        <f t="shared" ca="1" si="8"/>
        <v>3</v>
      </c>
      <c r="EH47" s="42">
        <f ca="1">IF(OR($I$10="",$O47="",$P47="",$J$42&lt;&gt;"Yes"),0,IF($K$10=0,SUMIFS(INDIRECT(ADDRESS(12,3+18*3+(7),,,"J1 A - (North) Bishopthorpe Roa")&amp;":"&amp;ADDRESS(130,3+18*3+(7))),'J1 A - (North) Bishopthorpe Roa'!$A$12:$A$130,"&gt;="&amp;Diagram!$O47,'J1 A - (North) Bishopthorpe Roa'!$A$12:$A$130,"&lt;"&amp;Diagram!$P47),SUMIFS(INDIRECT(ADDRESS(12,3+18*3+(15),,,"J1 A - (North) Bishopthorpe Roa")&amp;":"&amp;ADDRESS(130,3+18*3+(15))),'J1 A - (North) Bishopthorpe Roa'!$A$12:$A$130,"&gt;="&amp;Diagram!$O47,'J1 A - (North) Bishopthorpe Roa'!$A$12:$A$130,"&lt;"&amp;Diagram!$P47)))</f>
        <v>0</v>
      </c>
      <c r="EI47" s="42">
        <f ca="1">IF(OR($I$10="",$O47="",$P47="",$J$42&lt;&gt;"Yes"),0,IF($K$10=0,SUMIFS(INDIRECT(ADDRESS(12,3+18*0+(7),,,"J1 A - (North) Bishopthorpe Roa")&amp;":"&amp;ADDRESS(130,3+18*0+(7))),'J1 A - (North) Bishopthorpe Roa'!$A$12:$A$130,"&gt;="&amp;Diagram!$O47,'J1 A - (North) Bishopthorpe Roa'!$A$12:$A$130,"&lt;"&amp;Diagram!$P47),SUMIFS(INDIRECT(ADDRESS(12,3+18*0+(15),,,"J1 A - (North) Bishopthorpe Roa")&amp;":"&amp;ADDRESS(130,3+18*0+(15))),'J1 A - (North) Bishopthorpe Roa'!$A$12:$A$130,"&gt;="&amp;Diagram!$O47,'J1 A - (North) Bishopthorpe Roa'!$A$12:$A$130,"&lt;"&amp;Diagram!$P47)))</f>
        <v>1</v>
      </c>
      <c r="EJ47" s="42">
        <f ca="1">IF(OR($I$10="",$O47="",$P47="",$J$42&lt;&gt;"Yes"),0,IF($K$10=0,SUMIFS(INDIRECT(ADDRESS(12,3+18*1+(7),,,"J1 A - (North) Bishopthorpe Roa")&amp;":"&amp;ADDRESS(130,3+18*1+(7))),'J1 A - (North) Bishopthorpe Roa'!$A$12:$A$130,"&gt;="&amp;Diagram!$O47,'J1 A - (North) Bishopthorpe Roa'!$A$12:$A$130,"&lt;"&amp;Diagram!$P47),SUMIFS(INDIRECT(ADDRESS(12,3+18*1+(15),,,"J1 A - (North) Bishopthorpe Roa")&amp;":"&amp;ADDRESS(130,3+18*1+(15))),'J1 A - (North) Bishopthorpe Roa'!$A$12:$A$130,"&gt;="&amp;Diagram!$O47,'J1 A - (North) Bishopthorpe Roa'!$A$12:$A$130,"&lt;"&amp;Diagram!$P47)))</f>
        <v>1</v>
      </c>
      <c r="EK47" s="42">
        <f ca="1">IF(OR($I$10="",$O47="",$P47="",$J$42&lt;&gt;"Yes"),0,IF($K$10=0,SUMIFS(INDIRECT(ADDRESS(12,3+18*2+(7),,,"J1 A - (North) Bishopthorpe Roa")&amp;":"&amp;ADDRESS(130,3+18*2+(7))),'J1 A - (North) Bishopthorpe Roa'!$A$12:$A$130,"&gt;="&amp;Diagram!$O47,'J1 A - (North) Bishopthorpe Roa'!$A$12:$A$130,"&lt;"&amp;Diagram!$P47),SUMIFS(INDIRECT(ADDRESS(12,3+18*2+(15),,,"J1 A - (North) Bishopthorpe Roa")&amp;":"&amp;ADDRESS(130,3+18*2+(15))),'J1 A - (North) Bishopthorpe Roa'!$A$12:$A$130,"&gt;="&amp;Diagram!$O47,'J1 A - (North) Bishopthorpe Roa'!$A$12:$A$130,"&lt;"&amp;Diagram!$P47)))</f>
        <v>0</v>
      </c>
      <c r="EL47" s="42">
        <f ca="1">IF(OR($I$10="",$O47="",$P47="",$J$42&lt;&gt;"Yes"),0,IF($K$10=0,SUMIFS(INDIRECT(ADDRESS(12,3+18*2+(7),,,"J1 B - Butcher Terrace")&amp;":"&amp;ADDRESS(130,3+18*2+(7))),'J1 B - Butcher Terrace'!$A$12:$A$130,"&gt;="&amp;Diagram!$O47,'J1 B - Butcher Terrace'!$A$12:$A$130,"&lt;"&amp;Diagram!$P47),SUMIFS(INDIRECT(ADDRESS(12,3+18*2+(15),,,"J1 B - Butcher Terrace")&amp;":"&amp;ADDRESS(130,3+18*2+(15))),'J1 B - Butcher Terrace'!$A$12:$A$130,"&gt;="&amp;Diagram!$O47,'J1 B - Butcher Terrace'!$A$12:$A$130,"&lt;"&amp;Diagram!$P47)))</f>
        <v>0</v>
      </c>
      <c r="EM47" s="42">
        <f ca="1">IF(OR($I$10="",$O47="",$P47="",$J$42&lt;&gt;"Yes"),0,IF($K$10=0,SUMIFS(INDIRECT(ADDRESS(12,3+18*3+(7),,,"J1 B - Butcher Terrace")&amp;":"&amp;ADDRESS(130,3+18*3+(7))),'J1 B - Butcher Terrace'!$A$12:$A$130,"&gt;="&amp;Diagram!$O47,'J1 B - Butcher Terrace'!$A$12:$A$130,"&lt;"&amp;Diagram!$P47),SUMIFS(INDIRECT(ADDRESS(12,3+18*3+(15),,,"J1 B - Butcher Terrace")&amp;":"&amp;ADDRESS(130,3+18*3+(15))),'J1 B - Butcher Terrace'!$A$12:$A$130,"&gt;="&amp;Diagram!$O47,'J1 B - Butcher Terrace'!$A$12:$A$130,"&lt;"&amp;Diagram!$P47)))</f>
        <v>0</v>
      </c>
      <c r="EN47" s="42">
        <f ca="1">IF(OR($I$10="",$O47="",$P47="",$J$42&lt;&gt;"Yes"),0,IF($K$10=0,SUMIFS(INDIRECT(ADDRESS(12,3+18*0+(7),,,"J1 B - Butcher Terrace")&amp;":"&amp;ADDRESS(130,3+18*0+(7))),'J1 B - Butcher Terrace'!$A$12:$A$130,"&gt;="&amp;Diagram!$O47,'J1 B - Butcher Terrace'!$A$12:$A$130,"&lt;"&amp;Diagram!$P47),SUMIFS(INDIRECT(ADDRESS(12,3+18*0+(15),,,"J1 B - Butcher Terrace")&amp;":"&amp;ADDRESS(130,3+18*0+(15))),'J1 B - Butcher Terrace'!$A$12:$A$130,"&gt;="&amp;Diagram!$O47,'J1 B - Butcher Terrace'!$A$12:$A$130,"&lt;"&amp;Diagram!$P47)))</f>
        <v>0</v>
      </c>
      <c r="EO47" s="42">
        <f ca="1">IF(OR($I$10="",$O47="",$P47="",$J$42&lt;&gt;"Yes"),0,IF($K$10=0,SUMIFS(INDIRECT(ADDRESS(12,3+18*1+(7),,,"J1 B - Butcher Terrace")&amp;":"&amp;ADDRESS(130,3+18*1+(7))),'J1 B - Butcher Terrace'!$A$12:$A$130,"&gt;="&amp;Diagram!$O47,'J1 B - Butcher Terrace'!$A$12:$A$130,"&lt;"&amp;Diagram!$P47),SUMIFS(INDIRECT(ADDRESS(12,3+18*1+(15),,,"J1 B - Butcher Terrace")&amp;":"&amp;ADDRESS(130,3+18*1+(15))),'J1 B - Butcher Terrace'!$A$12:$A$130,"&gt;="&amp;Diagram!$O47,'J1 B - Butcher Terrace'!$A$12:$A$130,"&lt;"&amp;Diagram!$P47)))</f>
        <v>0</v>
      </c>
      <c r="EP47" s="42">
        <f ca="1">IF(OR($I$10="",$O47="",$P47="",$J$42&lt;&gt;"Yes"),0,IF($K$10=0,SUMIFS(INDIRECT(ADDRESS(12,3+18*1+(7),,,"J1 C - (South) Bishopthorpe Roa")&amp;":"&amp;ADDRESS(130,3+18*1+(7))),'J1 C - (South) Bishopthorpe Roa'!$A$12:$A$130,"&gt;="&amp;Diagram!$O47,'J1 C - (South) Bishopthorpe Roa'!$A$12:$A$130,"&lt;"&amp;Diagram!$P47),SUMIFS(INDIRECT(ADDRESS(12,3+18*1+(15),,,"J1 C - (South) Bishopthorpe Roa")&amp;":"&amp;ADDRESS(130,3+18*1+(15))),'J1 C - (South) Bishopthorpe Roa'!$A$12:$A$130,"&gt;="&amp;Diagram!$O47,'J1 C - (South) Bishopthorpe Roa'!$A$12:$A$130,"&lt;"&amp;Diagram!$P47)))</f>
        <v>0</v>
      </c>
      <c r="EQ47" s="42">
        <f ca="1">IF(OR($I$10="",$O47="",$P47="",$J$42&lt;&gt;"Yes"),0,IF($K$10=0,SUMIFS(INDIRECT(ADDRESS(12,3+18*2+(7),,,"J1 C - (South) Bishopthorpe Roa")&amp;":"&amp;ADDRESS(130,3+18*2+(7))),'J1 C - (South) Bishopthorpe Roa'!$A$12:$A$130,"&gt;="&amp;Diagram!$O47,'J1 C - (South) Bishopthorpe Roa'!$A$12:$A$130,"&lt;"&amp;Diagram!$P47),SUMIFS(INDIRECT(ADDRESS(12,3+18*2+(15),,,"J1 C - (South) Bishopthorpe Roa")&amp;":"&amp;ADDRESS(130,3+18*2+(15))),'J1 C - (South) Bishopthorpe Roa'!$A$12:$A$130,"&gt;="&amp;Diagram!$O47,'J1 C - (South) Bishopthorpe Roa'!$A$12:$A$130,"&lt;"&amp;Diagram!$P47)))</f>
        <v>1</v>
      </c>
      <c r="ER47" s="42">
        <f ca="1">IF(OR($I$10="",$O47="",$P47="",$J$42&lt;&gt;"Yes"),0,IF($K$10=0,SUMIFS(INDIRECT(ADDRESS(12,3+18*3+(7),,,"J1 C - (South) Bishopthorpe Roa")&amp;":"&amp;ADDRESS(130,3+18*3+(7))),'J1 C - (South) Bishopthorpe Roa'!$A$12:$A$130,"&gt;="&amp;Diagram!$O47,'J1 C - (South) Bishopthorpe Roa'!$A$12:$A$130,"&lt;"&amp;Diagram!$P47),SUMIFS(INDIRECT(ADDRESS(12,3+18*3+(15),,,"J1 C - (South) Bishopthorpe Roa")&amp;":"&amp;ADDRESS(130,3+18*3+(15))),'J1 C - (South) Bishopthorpe Roa'!$A$12:$A$130,"&gt;="&amp;Diagram!$O47,'J1 C - (South) Bishopthorpe Roa'!$A$12:$A$130,"&lt;"&amp;Diagram!$P47)))</f>
        <v>0</v>
      </c>
      <c r="ES47" s="42">
        <f ca="1">IF(OR($I$10="",$O47="",$P47="",$J$42&lt;&gt;"Yes"),0,IF($K$10=0,SUMIFS(INDIRECT(ADDRESS(12,3+18*0+(7),,,"J1 C - (South) Bishopthorpe Roa")&amp;":"&amp;ADDRESS(130,3+18*0+(7))),'J1 C - (South) Bishopthorpe Roa'!$A$12:$A$130,"&gt;="&amp;Diagram!$O47,'J1 C - (South) Bishopthorpe Roa'!$A$12:$A$130,"&lt;"&amp;Diagram!$P47),SUMIFS(INDIRECT(ADDRESS(12,3+18*0+(15),,,"J1 C - (South) Bishopthorpe Roa")&amp;":"&amp;ADDRESS(130,3+18*0+(15))),'J1 C - (South) Bishopthorpe Roa'!$A$12:$A$130,"&gt;="&amp;Diagram!$O47,'J1 C - (South) Bishopthorpe Roa'!$A$12:$A$130,"&lt;"&amp;Diagram!$P47)))</f>
        <v>0</v>
      </c>
      <c r="ET47" s="42">
        <f ca="1">IF(OR($I$10="",$O47="",$P47="",$J$42&lt;&gt;"Yes"),0,IF($K$10=0,SUMIFS(INDIRECT(ADDRESS(12,3+18*0+(7),,,"J1 D - South Bank Avenue")&amp;":"&amp;ADDRESS(130,3+18*0+(7))),'J1 D - South Bank Avenue'!$A$12:$A$130,"&gt;="&amp;Diagram!$O47,'J1 D - South Bank Avenue'!$A$12:$A$130,"&lt;"&amp;Diagram!$P47),SUMIFS(INDIRECT(ADDRESS(12,3+18*0+(15),,,"J1 D - South Bank Avenue")&amp;":"&amp;ADDRESS(130,3+18*0+(15))),'J1 D - South Bank Avenue'!$A$12:$A$130,"&gt;="&amp;Diagram!$O47,'J1 D - South Bank Avenue'!$A$12:$A$130,"&lt;"&amp;Diagram!$P47)))</f>
        <v>0</v>
      </c>
      <c r="EU47" s="42">
        <f ca="1">IF(OR($I$10="",$O47="",$P47="",$J$42&lt;&gt;"Yes"),0,IF($K$10=0,SUMIFS(INDIRECT(ADDRESS(12,3+18*1+(7),,,"J1 D - South Bank Avenue")&amp;":"&amp;ADDRESS(130,3+18*1+(7))),'J1 D - South Bank Avenue'!$A$12:$A$130,"&gt;="&amp;Diagram!$O47,'J1 D - South Bank Avenue'!$A$12:$A$130,"&lt;"&amp;Diagram!$P47),SUMIFS(INDIRECT(ADDRESS(12,3+18*1+(15),,,"J1 D - South Bank Avenue")&amp;":"&amp;ADDRESS(130,3+18*1+(15))),'J1 D - South Bank Avenue'!$A$12:$A$130,"&gt;="&amp;Diagram!$O47,'J1 D - South Bank Avenue'!$A$12:$A$130,"&lt;"&amp;Diagram!$P47)))</f>
        <v>0</v>
      </c>
      <c r="EV47" s="42">
        <f ca="1">IF(OR($I$10="",$O47="",$P47="",$J$42&lt;&gt;"Yes"),0,IF($K$10=0,SUMIFS(INDIRECT(ADDRESS(12,3+18*2+(7),,,"J1 D - South Bank Avenue")&amp;":"&amp;ADDRESS(130,3+18*2+(7))),'J1 D - South Bank Avenue'!$A$12:$A$130,"&gt;="&amp;Diagram!$O47,'J1 D - South Bank Avenue'!$A$12:$A$130,"&lt;"&amp;Diagram!$P47),SUMIFS(INDIRECT(ADDRESS(12,3+18*2+(15),,,"J1 D - South Bank Avenue")&amp;":"&amp;ADDRESS(130,3+18*2+(15))),'J1 D - South Bank Avenue'!$A$12:$A$130,"&gt;="&amp;Diagram!$O47,'J1 D - South Bank Avenue'!$A$12:$A$130,"&lt;"&amp;Diagram!$P47)))</f>
        <v>0</v>
      </c>
      <c r="EW47" s="42">
        <f ca="1">IF(OR($I$10="",$O47="",$P47="",$J$42&lt;&gt;"Yes"),0,IF($K$10=0,SUMIFS(INDIRECT(ADDRESS(12,3+18*3+(7),,,"J1 D - South Bank Avenue")&amp;":"&amp;ADDRESS(130,3+18*3+(7))),'J1 D - South Bank Avenue'!$A$12:$A$130,"&gt;="&amp;Diagram!$O47,'J1 D - South Bank Avenue'!$A$12:$A$130,"&lt;"&amp;Diagram!$P47),SUMIFS(INDIRECT(ADDRESS(12,3+18*3+(15),,,"J1 D - South Bank Avenue")&amp;":"&amp;ADDRESS(130,3+18*3+(15))),'J1 D - South Bank Avenue'!$A$12:$A$130,"&gt;="&amp;Diagram!$O47,'J1 D - South Bank Avenue'!$A$12:$A$130,"&lt;"&amp;Diagram!$P47)))</f>
        <v>0</v>
      </c>
    </row>
    <row r="48" spans="1:153">
      <c r="A48" s="1">
        <v>44395.489583333299</v>
      </c>
      <c r="B48" s="1">
        <v>44395.5</v>
      </c>
      <c r="O48" s="3">
        <v>44395.489583333299</v>
      </c>
      <c r="P48" s="3">
        <v>44395.53125</v>
      </c>
      <c r="Q48" s="42">
        <f t="shared" ca="1" si="0"/>
        <v>724</v>
      </c>
      <c r="R48" s="42">
        <f t="shared" ca="1" si="1"/>
        <v>526</v>
      </c>
      <c r="S48" s="42">
        <f ca="1">IF(OR($I$10="",$O48="",$P48="",$J$35&lt;&gt;"Yes"),0,IF($K$10=0,SUMIFS(INDIRECT(ADDRESS(12,3+18*3+(0),,,"J1 A - (North) Bishopthorpe Roa")&amp;":"&amp;ADDRESS(130,3+18*3+(0))),'J1 A - (North) Bishopthorpe Roa'!$A$12:$A$130,"&gt;="&amp;Diagram!$O48,'J1 A - (North) Bishopthorpe Roa'!$A$12:$A$130,"&lt;"&amp;Diagram!$P48),SUMIFS(INDIRECT(ADDRESS(12,3+18*3+(8),,,"J1 A - (North) Bishopthorpe Roa")&amp;":"&amp;ADDRESS(130,3+18*3+(8))),'J1 A - (North) Bishopthorpe Roa'!$A$12:$A$130,"&gt;="&amp;Diagram!$O48,'J1 A - (North) Bishopthorpe Roa'!$A$12:$A$130,"&lt;"&amp;Diagram!$P48)))</f>
        <v>5</v>
      </c>
      <c r="T48" s="42">
        <f ca="1">IF(OR($I$10="",$O48="",$P48="",$J$35&lt;&gt;"Yes"),0,IF($K$10=0,SUMIFS(INDIRECT(ADDRESS(12,3+18*0+(0),,,"J1 A - (North) Bishopthorpe Roa")&amp;":"&amp;ADDRESS(130,3+18*0+(0))),'J1 A - (North) Bishopthorpe Roa'!$A$12:$A$130,"&gt;="&amp;Diagram!$O48,'J1 A - (North) Bishopthorpe Roa'!$A$12:$A$130,"&lt;"&amp;Diagram!$P48),SUMIFS(INDIRECT(ADDRESS(12,3+18*0+(8),,,"J1 A - (North) Bishopthorpe Roa")&amp;":"&amp;ADDRESS(130,3+18*0+(8))),'J1 A - (North) Bishopthorpe Roa'!$A$12:$A$130,"&gt;="&amp;Diagram!$O48,'J1 A - (North) Bishopthorpe Roa'!$A$12:$A$130,"&lt;"&amp;Diagram!$P48)))</f>
        <v>16</v>
      </c>
      <c r="U48" s="42">
        <f ca="1">IF(OR($I$10="",$O48="",$P48="",$J$35&lt;&gt;"Yes"),0,IF($K$10=0,SUMIFS(INDIRECT(ADDRESS(12,3+18*1+(0),,,"J1 A - (North) Bishopthorpe Roa")&amp;":"&amp;ADDRESS(130,3+18*1+(0))),'J1 A - (North) Bishopthorpe Roa'!$A$12:$A$130,"&gt;="&amp;Diagram!$O48,'J1 A - (North) Bishopthorpe Roa'!$A$12:$A$130,"&lt;"&amp;Diagram!$P48),SUMIFS(INDIRECT(ADDRESS(12,3+18*1+(8),,,"J1 A - (North) Bishopthorpe Roa")&amp;":"&amp;ADDRESS(130,3+18*1+(8))),'J1 A - (North) Bishopthorpe Roa'!$A$12:$A$130,"&gt;="&amp;Diagram!$O48,'J1 A - (North) Bishopthorpe Roa'!$A$12:$A$130,"&lt;"&amp;Diagram!$P48)))</f>
        <v>218</v>
      </c>
      <c r="V48" s="42">
        <f ca="1">IF(OR($I$10="",$O48="",$P48="",$J$35&lt;&gt;"Yes"),0,IF($K$10=0,SUMIFS(INDIRECT(ADDRESS(12,3+18*2+(0),,,"J1 A - (North) Bishopthorpe Roa")&amp;":"&amp;ADDRESS(130,3+18*2+(0))),'J1 A - (North) Bishopthorpe Roa'!$A$12:$A$130,"&gt;="&amp;Diagram!$O48,'J1 A - (North) Bishopthorpe Roa'!$A$12:$A$130,"&lt;"&amp;Diagram!$P48),SUMIFS(INDIRECT(ADDRESS(12,3+18*2+(8),,,"J1 A - (North) Bishopthorpe Roa")&amp;":"&amp;ADDRESS(130,3+18*2+(8))),'J1 A - (North) Bishopthorpe Roa'!$A$12:$A$130,"&gt;="&amp;Diagram!$O48,'J1 A - (North) Bishopthorpe Roa'!$A$12:$A$130,"&lt;"&amp;Diagram!$P48)))</f>
        <v>27</v>
      </c>
      <c r="W48" s="42">
        <f ca="1">IF(OR($I$10="",$O48="",$P48="",$J$35&lt;&gt;"Yes"),0,IF($K$10=0,SUMIFS(INDIRECT(ADDRESS(12,3+18*2+(0),,,"J1 B - Butcher Terrace")&amp;":"&amp;ADDRESS(130,3+18*2+(0))),'J1 B - Butcher Terrace'!$A$12:$A$130,"&gt;="&amp;Diagram!$O48,'J1 B - Butcher Terrace'!$A$12:$A$130,"&lt;"&amp;Diagram!$P48),SUMIFS(INDIRECT(ADDRESS(12,3+18*2+(8),,,"J1 B - Butcher Terrace")&amp;":"&amp;ADDRESS(130,3+18*2+(8))),'J1 B - Butcher Terrace'!$A$12:$A$130,"&gt;="&amp;Diagram!$O48,'J1 B - Butcher Terrace'!$A$12:$A$130,"&lt;"&amp;Diagram!$P48)))</f>
        <v>14</v>
      </c>
      <c r="X48" s="42">
        <f ca="1">IF(OR($I$10="",$O48="",$P48="",$J$35&lt;&gt;"Yes"),0,IF($K$10=0,SUMIFS(INDIRECT(ADDRESS(12,3+18*3+(0),,,"J1 B - Butcher Terrace")&amp;":"&amp;ADDRESS(130,3+18*3+(0))),'J1 B - Butcher Terrace'!$A$12:$A$130,"&gt;="&amp;Diagram!$O48,'J1 B - Butcher Terrace'!$A$12:$A$130,"&lt;"&amp;Diagram!$P48),SUMIFS(INDIRECT(ADDRESS(12,3+18*3+(8),,,"J1 B - Butcher Terrace")&amp;":"&amp;ADDRESS(130,3+18*3+(8))),'J1 B - Butcher Terrace'!$A$12:$A$130,"&gt;="&amp;Diagram!$O48,'J1 B - Butcher Terrace'!$A$12:$A$130,"&lt;"&amp;Diagram!$P48)))</f>
        <v>0</v>
      </c>
      <c r="Y48" s="42">
        <f ca="1">IF(OR($I$10="",$O48="",$P48="",$J$35&lt;&gt;"Yes"),0,IF($K$10=0,SUMIFS(INDIRECT(ADDRESS(12,3+18*0+(0),,,"J1 B - Butcher Terrace")&amp;":"&amp;ADDRESS(130,3+18*0+(0))),'J1 B - Butcher Terrace'!$A$12:$A$130,"&gt;="&amp;Diagram!$O48,'J1 B - Butcher Terrace'!$A$12:$A$130,"&lt;"&amp;Diagram!$P48),SUMIFS(INDIRECT(ADDRESS(12,3+18*0+(8),,,"J1 B - Butcher Terrace")&amp;":"&amp;ADDRESS(130,3+18*0+(8))),'J1 B - Butcher Terrace'!$A$12:$A$130,"&gt;="&amp;Diagram!$O48,'J1 B - Butcher Terrace'!$A$12:$A$130,"&lt;"&amp;Diagram!$P48)))</f>
        <v>7</v>
      </c>
      <c r="Z48" s="42">
        <f ca="1">IF(OR($I$10="",$O48="",$P48="",$J$35&lt;&gt;"Yes"),0,IF($K$10=0,SUMIFS(INDIRECT(ADDRESS(12,3+18*1+(0),,,"J1 B - Butcher Terrace")&amp;":"&amp;ADDRESS(130,3+18*1+(0))),'J1 B - Butcher Terrace'!$A$12:$A$130,"&gt;="&amp;Diagram!$O48,'J1 B - Butcher Terrace'!$A$12:$A$130,"&lt;"&amp;Diagram!$P48),SUMIFS(INDIRECT(ADDRESS(12,3+18*1+(8),,,"J1 B - Butcher Terrace")&amp;":"&amp;ADDRESS(130,3+18*1+(8))),'J1 B - Butcher Terrace'!$A$12:$A$130,"&gt;="&amp;Diagram!$O48,'J1 B - Butcher Terrace'!$A$12:$A$130,"&lt;"&amp;Diagram!$P48)))</f>
        <v>0</v>
      </c>
      <c r="AA48" s="42">
        <f ca="1">IF(OR($I$10="",$O48="",$P48="",$J$35&lt;&gt;"Yes"),0,IF($K$10=0,SUMIFS(INDIRECT(ADDRESS(12,3+18*1+(0),,,"J1 C - (South) Bishopthorpe Roa")&amp;":"&amp;ADDRESS(130,3+18*1+(0))),'J1 C - (South) Bishopthorpe Roa'!$A$12:$A$130,"&gt;="&amp;Diagram!$O48,'J1 C - (South) Bishopthorpe Roa'!$A$12:$A$130,"&lt;"&amp;Diagram!$P48),SUMIFS(INDIRECT(ADDRESS(12,3+18*1+(8),,,"J1 C - (South) Bishopthorpe Roa")&amp;":"&amp;ADDRESS(130,3+18*1+(8))),'J1 C - (South) Bishopthorpe Roa'!$A$12:$A$130,"&gt;="&amp;Diagram!$O48,'J1 C - (South) Bishopthorpe Roa'!$A$12:$A$130,"&lt;"&amp;Diagram!$P48)))</f>
        <v>208</v>
      </c>
      <c r="AB48" s="42">
        <f ca="1">IF(OR($I$10="",$O48="",$P48="",$J$35&lt;&gt;"Yes"),0,IF($K$10=0,SUMIFS(INDIRECT(ADDRESS(12,3+18*2+(0),,,"J1 C - (South) Bishopthorpe Roa")&amp;":"&amp;ADDRESS(130,3+18*2+(0))),'J1 C - (South) Bishopthorpe Roa'!$A$12:$A$130,"&gt;="&amp;Diagram!$O48,'J1 C - (South) Bishopthorpe Roa'!$A$12:$A$130,"&lt;"&amp;Diagram!$P48),SUMIFS(INDIRECT(ADDRESS(12,3+18*2+(8),,,"J1 C - (South) Bishopthorpe Roa")&amp;":"&amp;ADDRESS(130,3+18*2+(8))),'J1 C - (South) Bishopthorpe Roa'!$A$12:$A$130,"&gt;="&amp;Diagram!$O48,'J1 C - (South) Bishopthorpe Roa'!$A$12:$A$130,"&lt;"&amp;Diagram!$P48)))</f>
        <v>1</v>
      </c>
      <c r="AC48" s="42">
        <f ca="1">IF(OR($I$10="",$O48="",$P48="",$J$35&lt;&gt;"Yes"),0,IF($K$10=0,SUMIFS(INDIRECT(ADDRESS(12,3+18*3+(0),,,"J1 C - (South) Bishopthorpe Roa")&amp;":"&amp;ADDRESS(130,3+18*3+(0))),'J1 C - (South) Bishopthorpe Roa'!$A$12:$A$130,"&gt;="&amp;Diagram!$O48,'J1 C - (South) Bishopthorpe Roa'!$A$12:$A$130,"&lt;"&amp;Diagram!$P48),SUMIFS(INDIRECT(ADDRESS(12,3+18*3+(8),,,"J1 C - (South) Bishopthorpe Roa")&amp;":"&amp;ADDRESS(130,3+18*3+(8))),'J1 C - (South) Bishopthorpe Roa'!$A$12:$A$130,"&gt;="&amp;Diagram!$O48,'J1 C - (South) Bishopthorpe Roa'!$A$12:$A$130,"&lt;"&amp;Diagram!$P48)))</f>
        <v>0</v>
      </c>
      <c r="AD48" s="42">
        <f ca="1">IF(OR($I$10="",$O48="",$P48="",$J$35&lt;&gt;"Yes"),0,IF($K$10=0,SUMIFS(INDIRECT(ADDRESS(12,3+18*0+(0),,,"J1 C - (South) Bishopthorpe Roa")&amp;":"&amp;ADDRESS(130,3+18*0+(0))),'J1 C - (South) Bishopthorpe Roa'!$A$12:$A$130,"&gt;="&amp;Diagram!$O48,'J1 C - (South) Bishopthorpe Roa'!$A$12:$A$130,"&lt;"&amp;Diagram!$P48),SUMIFS(INDIRECT(ADDRESS(12,3+18*0+(8),,,"J1 C - (South) Bishopthorpe Roa")&amp;":"&amp;ADDRESS(130,3+18*0+(8))),'J1 C - (South) Bishopthorpe Roa'!$A$12:$A$130,"&gt;="&amp;Diagram!$O48,'J1 C - (South) Bishopthorpe Roa'!$A$12:$A$130,"&lt;"&amp;Diagram!$P48)))</f>
        <v>6</v>
      </c>
      <c r="AE48" s="42">
        <f ca="1">IF(OR($I$10="",$O48="",$P48="",$J$35&lt;&gt;"Yes"),0,IF($K$10=0,SUMIFS(INDIRECT(ADDRESS(12,3+18*0+(0),,,"J1 D - South Bank Avenue")&amp;":"&amp;ADDRESS(130,3+18*0+(0))),'J1 D - South Bank Avenue'!$A$12:$A$130,"&gt;="&amp;Diagram!$O48,'J1 D - South Bank Avenue'!$A$12:$A$130,"&lt;"&amp;Diagram!$P48),SUMIFS(INDIRECT(ADDRESS(12,3+18*0+(8),,,"J1 D - South Bank Avenue")&amp;":"&amp;ADDRESS(130,3+18*0+(8))),'J1 D - South Bank Avenue'!$A$12:$A$130,"&gt;="&amp;Diagram!$O48,'J1 D - South Bank Avenue'!$A$12:$A$130,"&lt;"&amp;Diagram!$P48)))</f>
        <v>17</v>
      </c>
      <c r="AF48" s="42">
        <f ca="1">IF(OR($I$10="",$O48="",$P48="",$J$35&lt;&gt;"Yes"),0,IF($K$10=0,SUMIFS(INDIRECT(ADDRESS(12,3+18*1+(0),,,"J1 D - South Bank Avenue")&amp;":"&amp;ADDRESS(130,3+18*1+(0))),'J1 D - South Bank Avenue'!$A$12:$A$130,"&gt;="&amp;Diagram!$O48,'J1 D - South Bank Avenue'!$A$12:$A$130,"&lt;"&amp;Diagram!$P48),SUMIFS(INDIRECT(ADDRESS(12,3+18*1+(8),,,"J1 D - South Bank Avenue")&amp;":"&amp;ADDRESS(130,3+18*1+(8))),'J1 D - South Bank Avenue'!$A$12:$A$130,"&gt;="&amp;Diagram!$O48,'J1 D - South Bank Avenue'!$A$12:$A$130,"&lt;"&amp;Diagram!$P48)))</f>
        <v>2</v>
      </c>
      <c r="AG48" s="42">
        <f ca="1">IF(OR($I$10="",$O48="",$P48="",$J$35&lt;&gt;"Yes"),0,IF($K$10=0,SUMIFS(INDIRECT(ADDRESS(12,3+18*2+(0),,,"J1 D - South Bank Avenue")&amp;":"&amp;ADDRESS(130,3+18*2+(0))),'J1 D - South Bank Avenue'!$A$12:$A$130,"&gt;="&amp;Diagram!$O48,'J1 D - South Bank Avenue'!$A$12:$A$130,"&lt;"&amp;Diagram!$P48),SUMIFS(INDIRECT(ADDRESS(12,3+18*2+(8),,,"J1 D - South Bank Avenue")&amp;":"&amp;ADDRESS(130,3+18*2+(8))),'J1 D - South Bank Avenue'!$A$12:$A$130,"&gt;="&amp;Diagram!$O48,'J1 D - South Bank Avenue'!$A$12:$A$130,"&lt;"&amp;Diagram!$P48)))</f>
        <v>5</v>
      </c>
      <c r="AH48" s="42">
        <f ca="1">IF(OR($I$10="",$O48="",$P48="",$J$35&lt;&gt;"Yes"),0,IF($K$10=0,SUMIFS(INDIRECT(ADDRESS(12,3+18*3+(0),,,"J1 D - South Bank Avenue")&amp;":"&amp;ADDRESS(130,3+18*3+(0))),'J1 D - South Bank Avenue'!$A$12:$A$130,"&gt;="&amp;Diagram!$O48,'J1 D - South Bank Avenue'!$A$12:$A$130,"&lt;"&amp;Diagram!$P48),SUMIFS(INDIRECT(ADDRESS(12,3+18*3+(8),,,"J1 D - South Bank Avenue")&amp;":"&amp;ADDRESS(130,3+18*3+(8))),'J1 D - South Bank Avenue'!$A$12:$A$130,"&gt;="&amp;Diagram!$O48,'J1 D - South Bank Avenue'!$A$12:$A$130,"&lt;"&amp;Diagram!$P48)))</f>
        <v>0</v>
      </c>
      <c r="AI48" s="42">
        <f t="shared" ca="1" si="2"/>
        <v>77</v>
      </c>
      <c r="AJ48" s="42">
        <f ca="1">IF(OR($I$10="",$O48="",$P48="",$J$36&lt;&gt;"Yes"),0,IF($K$10=0,SUMIFS(INDIRECT(ADDRESS(12,3+18*3+(1),,,"J1 A - (North) Bishopthorpe Roa")&amp;":"&amp;ADDRESS(130,3+18*3+(1))),'J1 A - (North) Bishopthorpe Roa'!$A$12:$A$130,"&gt;="&amp;Diagram!$O48,'J1 A - (North) Bishopthorpe Roa'!$A$12:$A$130,"&lt;"&amp;Diagram!$P48),SUMIFS(INDIRECT(ADDRESS(12,3+18*3+(9),,,"J1 A - (North) Bishopthorpe Roa")&amp;":"&amp;ADDRESS(130,3+18*3+(9))),'J1 A - (North) Bishopthorpe Roa'!$A$12:$A$130,"&gt;="&amp;Diagram!$O48,'J1 A - (North) Bishopthorpe Roa'!$A$12:$A$130,"&lt;"&amp;Diagram!$P48)))</f>
        <v>1</v>
      </c>
      <c r="AK48" s="42">
        <f ca="1">IF(OR($I$10="",$O48="",$P48="",$J$36&lt;&gt;"Yes"),0,IF($K$10=0,SUMIFS(INDIRECT(ADDRESS(12,3+18*0+(1),,,"J1 A - (North) Bishopthorpe Roa")&amp;":"&amp;ADDRESS(130,3+18*0+(1))),'J1 A - (North) Bishopthorpe Roa'!$A$12:$A$130,"&gt;="&amp;Diagram!$O48,'J1 A - (North) Bishopthorpe Roa'!$A$12:$A$130,"&lt;"&amp;Diagram!$P48),SUMIFS(INDIRECT(ADDRESS(12,3+18*0+(9),,,"J1 A - (North) Bishopthorpe Roa")&amp;":"&amp;ADDRESS(130,3+18*0+(9))),'J1 A - (North) Bishopthorpe Roa'!$A$12:$A$130,"&gt;="&amp;Diagram!$O48,'J1 A - (North) Bishopthorpe Roa'!$A$12:$A$130,"&lt;"&amp;Diagram!$P48)))</f>
        <v>5</v>
      </c>
      <c r="AL48" s="42">
        <f ca="1">IF(OR($I$10="",$O48="",$P48="",$J$36&lt;&gt;"Yes"),0,IF($K$10=0,SUMIFS(INDIRECT(ADDRESS(12,3+18*1+(1),,,"J1 A - (North) Bishopthorpe Roa")&amp;":"&amp;ADDRESS(130,3+18*1+(1))),'J1 A - (North) Bishopthorpe Roa'!$A$12:$A$130,"&gt;="&amp;Diagram!$O48,'J1 A - (North) Bishopthorpe Roa'!$A$12:$A$130,"&lt;"&amp;Diagram!$P48),SUMIFS(INDIRECT(ADDRESS(12,3+18*1+(9),,,"J1 A - (North) Bishopthorpe Roa")&amp;":"&amp;ADDRESS(130,3+18*1+(9))),'J1 A - (North) Bishopthorpe Roa'!$A$12:$A$130,"&gt;="&amp;Diagram!$O48,'J1 A - (North) Bishopthorpe Roa'!$A$12:$A$130,"&lt;"&amp;Diagram!$P48)))</f>
        <v>31</v>
      </c>
      <c r="AM48" s="42">
        <f ca="1">IF(OR($I$10="",$O48="",$P48="",$J$36&lt;&gt;"Yes"),0,IF($K$10=0,SUMIFS(INDIRECT(ADDRESS(12,3+18*2+(1),,,"J1 A - (North) Bishopthorpe Roa")&amp;":"&amp;ADDRESS(130,3+18*2+(1))),'J1 A - (North) Bishopthorpe Roa'!$A$12:$A$130,"&gt;="&amp;Diagram!$O48,'J1 A - (North) Bishopthorpe Roa'!$A$12:$A$130,"&lt;"&amp;Diagram!$P48),SUMIFS(INDIRECT(ADDRESS(12,3+18*2+(9),,,"J1 A - (North) Bishopthorpe Roa")&amp;":"&amp;ADDRESS(130,3+18*2+(9))),'J1 A - (North) Bishopthorpe Roa'!$A$12:$A$130,"&gt;="&amp;Diagram!$O48,'J1 A - (North) Bishopthorpe Roa'!$A$12:$A$130,"&lt;"&amp;Diagram!$P48)))</f>
        <v>3</v>
      </c>
      <c r="AN48" s="42">
        <f ca="1">IF(OR($I$10="",$O48="",$P48="",$J$36&lt;&gt;"Yes"),0,IF($K$10=0,SUMIFS(INDIRECT(ADDRESS(12,3+18*2+(1),,,"J1 B - Butcher Terrace")&amp;":"&amp;ADDRESS(130,3+18*2+(1))),'J1 B - Butcher Terrace'!$A$12:$A$130,"&gt;="&amp;Diagram!$O48,'J1 B - Butcher Terrace'!$A$12:$A$130,"&lt;"&amp;Diagram!$P48),SUMIFS(INDIRECT(ADDRESS(12,3+18*2+(9),,,"J1 B - Butcher Terrace")&amp;":"&amp;ADDRESS(130,3+18*2+(9))),'J1 B - Butcher Terrace'!$A$12:$A$130,"&gt;="&amp;Diagram!$O48,'J1 B - Butcher Terrace'!$A$12:$A$130,"&lt;"&amp;Diagram!$P48)))</f>
        <v>2</v>
      </c>
      <c r="AO48" s="42">
        <f ca="1">IF(OR($I$10="",$O48="",$P48="",$J$36&lt;&gt;"Yes"),0,IF($K$10=0,SUMIFS(INDIRECT(ADDRESS(12,3+18*3+(1),,,"J1 B - Butcher Terrace")&amp;":"&amp;ADDRESS(130,3+18*3+(1))),'J1 B - Butcher Terrace'!$A$12:$A$130,"&gt;="&amp;Diagram!$O48,'J1 B - Butcher Terrace'!$A$12:$A$130,"&lt;"&amp;Diagram!$P48),SUMIFS(INDIRECT(ADDRESS(12,3+18*3+(9),,,"J1 B - Butcher Terrace")&amp;":"&amp;ADDRESS(130,3+18*3+(9))),'J1 B - Butcher Terrace'!$A$12:$A$130,"&gt;="&amp;Diagram!$O48,'J1 B - Butcher Terrace'!$A$12:$A$130,"&lt;"&amp;Diagram!$P48)))</f>
        <v>0</v>
      </c>
      <c r="AP48" s="42">
        <f ca="1">IF(OR($I$10="",$O48="",$P48="",$J$36&lt;&gt;"Yes"),0,IF($K$10=0,SUMIFS(INDIRECT(ADDRESS(12,3+18*0+(1),,,"J1 B - Butcher Terrace")&amp;":"&amp;ADDRESS(130,3+18*0+(1))),'J1 B - Butcher Terrace'!$A$12:$A$130,"&gt;="&amp;Diagram!$O48,'J1 B - Butcher Terrace'!$A$12:$A$130,"&lt;"&amp;Diagram!$P48),SUMIFS(INDIRECT(ADDRESS(12,3+18*0+(9),,,"J1 B - Butcher Terrace")&amp;":"&amp;ADDRESS(130,3+18*0+(9))),'J1 B - Butcher Terrace'!$A$12:$A$130,"&gt;="&amp;Diagram!$O48,'J1 B - Butcher Terrace'!$A$12:$A$130,"&lt;"&amp;Diagram!$P48)))</f>
        <v>1</v>
      </c>
      <c r="AQ48" s="42">
        <f ca="1">IF(OR($I$10="",$O48="",$P48="",$J$36&lt;&gt;"Yes"),0,IF($K$10=0,SUMIFS(INDIRECT(ADDRESS(12,3+18*1+(1),,,"J1 B - Butcher Terrace")&amp;":"&amp;ADDRESS(130,3+18*1+(1))),'J1 B - Butcher Terrace'!$A$12:$A$130,"&gt;="&amp;Diagram!$O48,'J1 B - Butcher Terrace'!$A$12:$A$130,"&lt;"&amp;Diagram!$P48),SUMIFS(INDIRECT(ADDRESS(12,3+18*1+(9),,,"J1 B - Butcher Terrace")&amp;":"&amp;ADDRESS(130,3+18*1+(9))),'J1 B - Butcher Terrace'!$A$12:$A$130,"&gt;="&amp;Diagram!$O48,'J1 B - Butcher Terrace'!$A$12:$A$130,"&lt;"&amp;Diagram!$P48)))</f>
        <v>1</v>
      </c>
      <c r="AR48" s="42">
        <f ca="1">IF(OR($I$10="",$O48="",$P48="",$J$36&lt;&gt;"Yes"),0,IF($K$10=0,SUMIFS(INDIRECT(ADDRESS(12,3+18*1+(1),,,"J1 C - (South) Bishopthorpe Roa")&amp;":"&amp;ADDRESS(130,3+18*1+(1))),'J1 C - (South) Bishopthorpe Roa'!$A$12:$A$130,"&gt;="&amp;Diagram!$O48,'J1 C - (South) Bishopthorpe Roa'!$A$12:$A$130,"&lt;"&amp;Diagram!$P48),SUMIFS(INDIRECT(ADDRESS(12,3+18*1+(9),,,"J1 C - (South) Bishopthorpe Roa")&amp;":"&amp;ADDRESS(130,3+18*1+(9))),'J1 C - (South) Bishopthorpe Roa'!$A$12:$A$130,"&gt;="&amp;Diagram!$O48,'J1 C - (South) Bishopthorpe Roa'!$A$12:$A$130,"&lt;"&amp;Diagram!$P48)))</f>
        <v>23</v>
      </c>
      <c r="AS48" s="42">
        <f ca="1">IF(OR($I$10="",$O48="",$P48="",$J$36&lt;&gt;"Yes"),0,IF($K$10=0,SUMIFS(INDIRECT(ADDRESS(12,3+18*2+(1),,,"J1 C - (South) Bishopthorpe Roa")&amp;":"&amp;ADDRESS(130,3+18*2+(1))),'J1 C - (South) Bishopthorpe Roa'!$A$12:$A$130,"&gt;="&amp;Diagram!$O48,'J1 C - (South) Bishopthorpe Roa'!$A$12:$A$130,"&lt;"&amp;Diagram!$P48),SUMIFS(INDIRECT(ADDRESS(12,3+18*2+(9),,,"J1 C - (South) Bishopthorpe Roa")&amp;":"&amp;ADDRESS(130,3+18*2+(9))),'J1 C - (South) Bishopthorpe Roa'!$A$12:$A$130,"&gt;="&amp;Diagram!$O48,'J1 C - (South) Bishopthorpe Roa'!$A$12:$A$130,"&lt;"&amp;Diagram!$P48)))</f>
        <v>1</v>
      </c>
      <c r="AT48" s="42">
        <f ca="1">IF(OR($I$10="",$O48="",$P48="",$J$36&lt;&gt;"Yes"),0,IF($K$10=0,SUMIFS(INDIRECT(ADDRESS(12,3+18*3+(1),,,"J1 C - (South) Bishopthorpe Roa")&amp;":"&amp;ADDRESS(130,3+18*3+(1))),'J1 C - (South) Bishopthorpe Roa'!$A$12:$A$130,"&gt;="&amp;Diagram!$O48,'J1 C - (South) Bishopthorpe Roa'!$A$12:$A$130,"&lt;"&amp;Diagram!$P48),SUMIFS(INDIRECT(ADDRESS(12,3+18*3+(9),,,"J1 C - (South) Bishopthorpe Roa")&amp;":"&amp;ADDRESS(130,3+18*3+(9))),'J1 C - (South) Bishopthorpe Roa'!$A$12:$A$130,"&gt;="&amp;Diagram!$O48,'J1 C - (South) Bishopthorpe Roa'!$A$12:$A$130,"&lt;"&amp;Diagram!$P48)))</f>
        <v>0</v>
      </c>
      <c r="AU48" s="42">
        <f ca="1">IF(OR($I$10="",$O48="",$P48="",$J$36&lt;&gt;"Yes"),0,IF($K$10=0,SUMIFS(INDIRECT(ADDRESS(12,3+18*0+(1),,,"J1 C - (South) Bishopthorpe Roa")&amp;":"&amp;ADDRESS(130,3+18*0+(1))),'J1 C - (South) Bishopthorpe Roa'!$A$12:$A$130,"&gt;="&amp;Diagram!$O48,'J1 C - (South) Bishopthorpe Roa'!$A$12:$A$130,"&lt;"&amp;Diagram!$P48),SUMIFS(INDIRECT(ADDRESS(12,3+18*0+(9),,,"J1 C - (South) Bishopthorpe Roa")&amp;":"&amp;ADDRESS(130,3+18*0+(9))),'J1 C - (South) Bishopthorpe Roa'!$A$12:$A$130,"&gt;="&amp;Diagram!$O48,'J1 C - (South) Bishopthorpe Roa'!$A$12:$A$130,"&lt;"&amp;Diagram!$P48)))</f>
        <v>2</v>
      </c>
      <c r="AV48" s="42">
        <f ca="1">IF(OR($I$10="",$O48="",$P48="",$J$36&lt;&gt;"Yes"),0,IF($K$10=0,SUMIFS(INDIRECT(ADDRESS(12,3+18*0+(1),,,"J1 D - South Bank Avenue")&amp;":"&amp;ADDRESS(130,3+18*0+(1))),'J1 D - South Bank Avenue'!$A$12:$A$130,"&gt;="&amp;Diagram!$O48,'J1 D - South Bank Avenue'!$A$12:$A$130,"&lt;"&amp;Diagram!$P48),SUMIFS(INDIRECT(ADDRESS(12,3+18*0+(9),,,"J1 D - South Bank Avenue")&amp;":"&amp;ADDRESS(130,3+18*0+(9))),'J1 D - South Bank Avenue'!$A$12:$A$130,"&gt;="&amp;Diagram!$O48,'J1 D - South Bank Avenue'!$A$12:$A$130,"&lt;"&amp;Diagram!$P48)))</f>
        <v>6</v>
      </c>
      <c r="AW48" s="42">
        <f ca="1">IF(OR($I$10="",$O48="",$P48="",$J$36&lt;&gt;"Yes"),0,IF($K$10=0,SUMIFS(INDIRECT(ADDRESS(12,3+18*1+(1),,,"J1 D - South Bank Avenue")&amp;":"&amp;ADDRESS(130,3+18*1+(1))),'J1 D - South Bank Avenue'!$A$12:$A$130,"&gt;="&amp;Diagram!$O48,'J1 D - South Bank Avenue'!$A$12:$A$130,"&lt;"&amp;Diagram!$P48),SUMIFS(INDIRECT(ADDRESS(12,3+18*1+(9),,,"J1 D - South Bank Avenue")&amp;":"&amp;ADDRESS(130,3+18*1+(9))),'J1 D - South Bank Avenue'!$A$12:$A$130,"&gt;="&amp;Diagram!$O48,'J1 D - South Bank Avenue'!$A$12:$A$130,"&lt;"&amp;Diagram!$P48)))</f>
        <v>1</v>
      </c>
      <c r="AX48" s="42">
        <f ca="1">IF(OR($I$10="",$O48="",$P48="",$J$36&lt;&gt;"Yes"),0,IF($K$10=0,SUMIFS(INDIRECT(ADDRESS(12,3+18*2+(1),,,"J1 D - South Bank Avenue")&amp;":"&amp;ADDRESS(130,3+18*2+(1))),'J1 D - South Bank Avenue'!$A$12:$A$130,"&gt;="&amp;Diagram!$O48,'J1 D - South Bank Avenue'!$A$12:$A$130,"&lt;"&amp;Diagram!$P48),SUMIFS(INDIRECT(ADDRESS(12,3+18*2+(9),,,"J1 D - South Bank Avenue")&amp;":"&amp;ADDRESS(130,3+18*2+(9))),'J1 D - South Bank Avenue'!$A$12:$A$130,"&gt;="&amp;Diagram!$O48,'J1 D - South Bank Avenue'!$A$12:$A$130,"&lt;"&amp;Diagram!$P48)))</f>
        <v>0</v>
      </c>
      <c r="AY48" s="42">
        <f ca="1">IF(OR($I$10="",$O48="",$P48="",$J$36&lt;&gt;"Yes"),0,IF($K$10=0,SUMIFS(INDIRECT(ADDRESS(12,3+18*3+(1),,,"J1 D - South Bank Avenue")&amp;":"&amp;ADDRESS(130,3+18*3+(1))),'J1 D - South Bank Avenue'!$A$12:$A$130,"&gt;="&amp;Diagram!$O48,'J1 D - South Bank Avenue'!$A$12:$A$130,"&lt;"&amp;Diagram!$P48),SUMIFS(INDIRECT(ADDRESS(12,3+18*3+(9),,,"J1 D - South Bank Avenue")&amp;":"&amp;ADDRESS(130,3+18*3+(9))),'J1 D - South Bank Avenue'!$A$12:$A$130,"&gt;="&amp;Diagram!$O48,'J1 D - South Bank Avenue'!$A$12:$A$130,"&lt;"&amp;Diagram!$P48)))</f>
        <v>0</v>
      </c>
      <c r="AZ48" s="42">
        <f t="shared" ca="1" si="3"/>
        <v>6</v>
      </c>
      <c r="BA48" s="42">
        <f ca="1">IF(OR($I$10="",$O48="",$P48="",$J$37&lt;&gt;"Yes"),0,IF($K$10=0,SUMIFS(INDIRECT(ADDRESS(12,3+18*3+(2),,,"J1 A - (North) Bishopthorpe Roa")&amp;":"&amp;ADDRESS(130,3+18*3+(2))),'J1 A - (North) Bishopthorpe Roa'!$A$12:$A$130,"&gt;="&amp;Diagram!$O48,'J1 A - (North) Bishopthorpe Roa'!$A$12:$A$130,"&lt;"&amp;Diagram!$P48),SUMIFS(INDIRECT(ADDRESS(12,3+18*3+(10),,,"J1 A - (North) Bishopthorpe Roa")&amp;":"&amp;ADDRESS(130,3+18*3+(10))),'J1 A - (North) Bishopthorpe Roa'!$A$12:$A$130,"&gt;="&amp;Diagram!$O48,'J1 A - (North) Bishopthorpe Roa'!$A$12:$A$130,"&lt;"&amp;Diagram!$P48)))</f>
        <v>0</v>
      </c>
      <c r="BB48" s="42">
        <f ca="1">IF(OR($I$10="",$O48="",$P48="",$J$37&lt;&gt;"Yes"),0,IF($K$10=0,SUMIFS(INDIRECT(ADDRESS(12,3+18*0+(2),,,"J1 A - (North) Bishopthorpe Roa")&amp;":"&amp;ADDRESS(130,3+18*0+(2))),'J1 A - (North) Bishopthorpe Roa'!$A$12:$A$130,"&gt;="&amp;Diagram!$O48,'J1 A - (North) Bishopthorpe Roa'!$A$12:$A$130,"&lt;"&amp;Diagram!$P48),SUMIFS(INDIRECT(ADDRESS(12,3+18*0+(10),,,"J1 A - (North) Bishopthorpe Roa")&amp;":"&amp;ADDRESS(130,3+18*0+(10))),'J1 A - (North) Bishopthorpe Roa'!$A$12:$A$130,"&gt;="&amp;Diagram!$O48,'J1 A - (North) Bishopthorpe Roa'!$A$12:$A$130,"&lt;"&amp;Diagram!$P48)))</f>
        <v>1</v>
      </c>
      <c r="BC48" s="42">
        <f ca="1">IF(OR($I$10="",$O48="",$P48="",$J$37&lt;&gt;"Yes"),0,IF($K$10=0,SUMIFS(INDIRECT(ADDRESS(12,3+18*1+(2),,,"J1 A - (North) Bishopthorpe Roa")&amp;":"&amp;ADDRESS(130,3+18*1+(2))),'J1 A - (North) Bishopthorpe Roa'!$A$12:$A$130,"&gt;="&amp;Diagram!$O48,'J1 A - (North) Bishopthorpe Roa'!$A$12:$A$130,"&lt;"&amp;Diagram!$P48),SUMIFS(INDIRECT(ADDRESS(12,3+18*1+(10),,,"J1 A - (North) Bishopthorpe Roa")&amp;":"&amp;ADDRESS(130,3+18*1+(10))),'J1 A - (North) Bishopthorpe Roa'!$A$12:$A$130,"&gt;="&amp;Diagram!$O48,'J1 A - (North) Bishopthorpe Roa'!$A$12:$A$130,"&lt;"&amp;Diagram!$P48)))</f>
        <v>1</v>
      </c>
      <c r="BD48" s="42">
        <f ca="1">IF(OR($I$10="",$O48="",$P48="",$J$37&lt;&gt;"Yes"),0,IF($K$10=0,SUMIFS(INDIRECT(ADDRESS(12,3+18*2+(2),,,"J1 A - (North) Bishopthorpe Roa")&amp;":"&amp;ADDRESS(130,3+18*2+(2))),'J1 A - (North) Bishopthorpe Roa'!$A$12:$A$130,"&gt;="&amp;Diagram!$O48,'J1 A - (North) Bishopthorpe Roa'!$A$12:$A$130,"&lt;"&amp;Diagram!$P48),SUMIFS(INDIRECT(ADDRESS(12,3+18*2+(10),,,"J1 A - (North) Bishopthorpe Roa")&amp;":"&amp;ADDRESS(130,3+18*2+(10))),'J1 A - (North) Bishopthorpe Roa'!$A$12:$A$130,"&gt;="&amp;Diagram!$O48,'J1 A - (North) Bishopthorpe Roa'!$A$12:$A$130,"&lt;"&amp;Diagram!$P48)))</f>
        <v>0</v>
      </c>
      <c r="BE48" s="42">
        <f ca="1">IF(OR($I$10="",$O48="",$P48="",$J$37&lt;&gt;"Yes"),0,IF($K$10=0,SUMIFS(INDIRECT(ADDRESS(12,3+18*2+(2),,,"J1 B - Butcher Terrace")&amp;":"&amp;ADDRESS(130,3+18*2+(2))),'J1 B - Butcher Terrace'!$A$12:$A$130,"&gt;="&amp;Diagram!$O48,'J1 B - Butcher Terrace'!$A$12:$A$130,"&lt;"&amp;Diagram!$P48),SUMIFS(INDIRECT(ADDRESS(12,3+18*2+(10),,,"J1 B - Butcher Terrace")&amp;":"&amp;ADDRESS(130,3+18*2+(10))),'J1 B - Butcher Terrace'!$A$12:$A$130,"&gt;="&amp;Diagram!$O48,'J1 B - Butcher Terrace'!$A$12:$A$130,"&lt;"&amp;Diagram!$P48)))</f>
        <v>1</v>
      </c>
      <c r="BF48" s="42">
        <f ca="1">IF(OR($I$10="",$O48="",$P48="",$J$37&lt;&gt;"Yes"),0,IF($K$10=0,SUMIFS(INDIRECT(ADDRESS(12,3+18*3+(2),,,"J1 B - Butcher Terrace")&amp;":"&amp;ADDRESS(130,3+18*3+(2))),'J1 B - Butcher Terrace'!$A$12:$A$130,"&gt;="&amp;Diagram!$O48,'J1 B - Butcher Terrace'!$A$12:$A$130,"&lt;"&amp;Diagram!$P48),SUMIFS(INDIRECT(ADDRESS(12,3+18*3+(10),,,"J1 B - Butcher Terrace")&amp;":"&amp;ADDRESS(130,3+18*3+(10))),'J1 B - Butcher Terrace'!$A$12:$A$130,"&gt;="&amp;Diagram!$O48,'J1 B - Butcher Terrace'!$A$12:$A$130,"&lt;"&amp;Diagram!$P48)))</f>
        <v>0</v>
      </c>
      <c r="BG48" s="42">
        <f ca="1">IF(OR($I$10="",$O48="",$P48="",$J$37&lt;&gt;"Yes"),0,IF($K$10=0,SUMIFS(INDIRECT(ADDRESS(12,3+18*0+(2),,,"J1 B - Butcher Terrace")&amp;":"&amp;ADDRESS(130,3+18*0+(2))),'J1 B - Butcher Terrace'!$A$12:$A$130,"&gt;="&amp;Diagram!$O48,'J1 B - Butcher Terrace'!$A$12:$A$130,"&lt;"&amp;Diagram!$P48),SUMIFS(INDIRECT(ADDRESS(12,3+18*0+(10),,,"J1 B - Butcher Terrace")&amp;":"&amp;ADDRESS(130,3+18*0+(10))),'J1 B - Butcher Terrace'!$A$12:$A$130,"&gt;="&amp;Diagram!$O48,'J1 B - Butcher Terrace'!$A$12:$A$130,"&lt;"&amp;Diagram!$P48)))</f>
        <v>0</v>
      </c>
      <c r="BH48" s="42">
        <f ca="1">IF(OR($I$10="",$O48="",$P48="",$J$37&lt;&gt;"Yes"),0,IF($K$10=0,SUMIFS(INDIRECT(ADDRESS(12,3+18*1+(2),,,"J1 B - Butcher Terrace")&amp;":"&amp;ADDRESS(130,3+18*1+(2))),'J1 B - Butcher Terrace'!$A$12:$A$130,"&gt;="&amp;Diagram!$O48,'J1 B - Butcher Terrace'!$A$12:$A$130,"&lt;"&amp;Diagram!$P48),SUMIFS(INDIRECT(ADDRESS(12,3+18*1+(10),,,"J1 B - Butcher Terrace")&amp;":"&amp;ADDRESS(130,3+18*1+(10))),'J1 B - Butcher Terrace'!$A$12:$A$130,"&gt;="&amp;Diagram!$O48,'J1 B - Butcher Terrace'!$A$12:$A$130,"&lt;"&amp;Diagram!$P48)))</f>
        <v>0</v>
      </c>
      <c r="BI48" s="42">
        <f ca="1">IF(OR($I$10="",$O48="",$P48="",$J$37&lt;&gt;"Yes"),0,IF($K$10=0,SUMIFS(INDIRECT(ADDRESS(12,3+18*1+(2),,,"J1 C - (South) Bishopthorpe Roa")&amp;":"&amp;ADDRESS(130,3+18*1+(2))),'J1 C - (South) Bishopthorpe Roa'!$A$12:$A$130,"&gt;="&amp;Diagram!$O48,'J1 C - (South) Bishopthorpe Roa'!$A$12:$A$130,"&lt;"&amp;Diagram!$P48),SUMIFS(INDIRECT(ADDRESS(12,3+18*1+(10),,,"J1 C - (South) Bishopthorpe Roa")&amp;":"&amp;ADDRESS(130,3+18*1+(10))),'J1 C - (South) Bishopthorpe Roa'!$A$12:$A$130,"&gt;="&amp;Diagram!$O48,'J1 C - (South) Bishopthorpe Roa'!$A$12:$A$130,"&lt;"&amp;Diagram!$P48)))</f>
        <v>3</v>
      </c>
      <c r="BJ48" s="42">
        <f ca="1">IF(OR($I$10="",$O48="",$P48="",$J$37&lt;&gt;"Yes"),0,IF($K$10=0,SUMIFS(INDIRECT(ADDRESS(12,3+18*2+(2),,,"J1 C - (South) Bishopthorpe Roa")&amp;":"&amp;ADDRESS(130,3+18*2+(2))),'J1 C - (South) Bishopthorpe Roa'!$A$12:$A$130,"&gt;="&amp;Diagram!$O48,'J1 C - (South) Bishopthorpe Roa'!$A$12:$A$130,"&lt;"&amp;Diagram!$P48),SUMIFS(INDIRECT(ADDRESS(12,3+18*2+(10),,,"J1 C - (South) Bishopthorpe Roa")&amp;":"&amp;ADDRESS(130,3+18*2+(10))),'J1 C - (South) Bishopthorpe Roa'!$A$12:$A$130,"&gt;="&amp;Diagram!$O48,'J1 C - (South) Bishopthorpe Roa'!$A$12:$A$130,"&lt;"&amp;Diagram!$P48)))</f>
        <v>0</v>
      </c>
      <c r="BK48" s="42">
        <f ca="1">IF(OR($I$10="",$O48="",$P48="",$J$37&lt;&gt;"Yes"),0,IF($K$10=0,SUMIFS(INDIRECT(ADDRESS(12,3+18*3+(2),,,"J1 C - (South) Bishopthorpe Roa")&amp;":"&amp;ADDRESS(130,3+18*3+(2))),'J1 C - (South) Bishopthorpe Roa'!$A$12:$A$130,"&gt;="&amp;Diagram!$O48,'J1 C - (South) Bishopthorpe Roa'!$A$12:$A$130,"&lt;"&amp;Diagram!$P48),SUMIFS(INDIRECT(ADDRESS(12,3+18*3+(10),,,"J1 C - (South) Bishopthorpe Roa")&amp;":"&amp;ADDRESS(130,3+18*3+(10))),'J1 C - (South) Bishopthorpe Roa'!$A$12:$A$130,"&gt;="&amp;Diagram!$O48,'J1 C - (South) Bishopthorpe Roa'!$A$12:$A$130,"&lt;"&amp;Diagram!$P48)))</f>
        <v>0</v>
      </c>
      <c r="BL48" s="42">
        <f ca="1">IF(OR($I$10="",$O48="",$P48="",$J$37&lt;&gt;"Yes"),0,IF($K$10=0,SUMIFS(INDIRECT(ADDRESS(12,3+18*0+(2),,,"J1 C - (South) Bishopthorpe Roa")&amp;":"&amp;ADDRESS(130,3+18*0+(2))),'J1 C - (South) Bishopthorpe Roa'!$A$12:$A$130,"&gt;="&amp;Diagram!$O48,'J1 C - (South) Bishopthorpe Roa'!$A$12:$A$130,"&lt;"&amp;Diagram!$P48),SUMIFS(INDIRECT(ADDRESS(12,3+18*0+(10),,,"J1 C - (South) Bishopthorpe Roa")&amp;":"&amp;ADDRESS(130,3+18*0+(10))),'J1 C - (South) Bishopthorpe Roa'!$A$12:$A$130,"&gt;="&amp;Diagram!$O48,'J1 C - (South) Bishopthorpe Roa'!$A$12:$A$130,"&lt;"&amp;Diagram!$P48)))</f>
        <v>0</v>
      </c>
      <c r="BM48" s="42">
        <f ca="1">IF(OR($I$10="",$O48="",$P48="",$J$37&lt;&gt;"Yes"),0,IF($K$10=0,SUMIFS(INDIRECT(ADDRESS(12,3+18*0+(2),,,"J1 D - South Bank Avenue")&amp;":"&amp;ADDRESS(130,3+18*0+(2))),'J1 D - South Bank Avenue'!$A$12:$A$130,"&gt;="&amp;Diagram!$O48,'J1 D - South Bank Avenue'!$A$12:$A$130,"&lt;"&amp;Diagram!$P48),SUMIFS(INDIRECT(ADDRESS(12,3+18*0+(10),,,"J1 D - South Bank Avenue")&amp;":"&amp;ADDRESS(130,3+18*0+(10))),'J1 D - South Bank Avenue'!$A$12:$A$130,"&gt;="&amp;Diagram!$O48,'J1 D - South Bank Avenue'!$A$12:$A$130,"&lt;"&amp;Diagram!$P48)))</f>
        <v>0</v>
      </c>
      <c r="BN48" s="42">
        <f ca="1">IF(OR($I$10="",$O48="",$P48="",$J$37&lt;&gt;"Yes"),0,IF($K$10=0,SUMIFS(INDIRECT(ADDRESS(12,3+18*1+(2),,,"J1 D - South Bank Avenue")&amp;":"&amp;ADDRESS(130,3+18*1+(2))),'J1 D - South Bank Avenue'!$A$12:$A$130,"&gt;="&amp;Diagram!$O48,'J1 D - South Bank Avenue'!$A$12:$A$130,"&lt;"&amp;Diagram!$P48),SUMIFS(INDIRECT(ADDRESS(12,3+18*1+(10),,,"J1 D - South Bank Avenue")&amp;":"&amp;ADDRESS(130,3+18*1+(10))),'J1 D - South Bank Avenue'!$A$12:$A$130,"&gt;="&amp;Diagram!$O48,'J1 D - South Bank Avenue'!$A$12:$A$130,"&lt;"&amp;Diagram!$P48)))</f>
        <v>0</v>
      </c>
      <c r="BO48" s="42">
        <f ca="1">IF(OR($I$10="",$O48="",$P48="",$J$37&lt;&gt;"Yes"),0,IF($K$10=0,SUMIFS(INDIRECT(ADDRESS(12,3+18*2+(2),,,"J1 D - South Bank Avenue")&amp;":"&amp;ADDRESS(130,3+18*2+(2))),'J1 D - South Bank Avenue'!$A$12:$A$130,"&gt;="&amp;Diagram!$O48,'J1 D - South Bank Avenue'!$A$12:$A$130,"&lt;"&amp;Diagram!$P48),SUMIFS(INDIRECT(ADDRESS(12,3+18*2+(10),,,"J1 D - South Bank Avenue")&amp;":"&amp;ADDRESS(130,3+18*2+(10))),'J1 D - South Bank Avenue'!$A$12:$A$130,"&gt;="&amp;Diagram!$O48,'J1 D - South Bank Avenue'!$A$12:$A$130,"&lt;"&amp;Diagram!$P48)))</f>
        <v>0</v>
      </c>
      <c r="BP48" s="42">
        <f ca="1">IF(OR($I$10="",$O48="",$P48="",$J$37&lt;&gt;"Yes"),0,IF($K$10=0,SUMIFS(INDIRECT(ADDRESS(12,3+18*3+(2),,,"J1 D - South Bank Avenue")&amp;":"&amp;ADDRESS(130,3+18*3+(2))),'J1 D - South Bank Avenue'!$A$12:$A$130,"&gt;="&amp;Diagram!$O48,'J1 D - South Bank Avenue'!$A$12:$A$130,"&lt;"&amp;Diagram!$P48),SUMIFS(INDIRECT(ADDRESS(12,3+18*3+(10),,,"J1 D - South Bank Avenue")&amp;":"&amp;ADDRESS(130,3+18*3+(10))),'J1 D - South Bank Avenue'!$A$12:$A$130,"&gt;="&amp;Diagram!$O48,'J1 D - South Bank Avenue'!$A$12:$A$130,"&lt;"&amp;Diagram!$P48)))</f>
        <v>0</v>
      </c>
      <c r="BQ48" s="42">
        <f t="shared" ca="1" si="4"/>
        <v>0</v>
      </c>
      <c r="BR48" s="42">
        <f ca="1">IF(OR($I$10="",$O48="",$P48="",$J$38&lt;&gt;"Yes"),0,IF($K$10=0,SUMIFS(INDIRECT(ADDRESS(12,3+18*3+(3),,,"J1 A - (North) Bishopthorpe Roa")&amp;":"&amp;ADDRESS(130,3+18*3+(3))),'J1 A - (North) Bishopthorpe Roa'!$A$12:$A$130,"&gt;="&amp;Diagram!$O48,'J1 A - (North) Bishopthorpe Roa'!$A$12:$A$130,"&lt;"&amp;Diagram!$P48),SUMIFS(INDIRECT(ADDRESS(12,3+18*3+(11),,,"J1 A - (North) Bishopthorpe Roa")&amp;":"&amp;ADDRESS(130,3+18*3+(11))),'J1 A - (North) Bishopthorpe Roa'!$A$12:$A$130,"&gt;="&amp;Diagram!$O48,'J1 A - (North) Bishopthorpe Roa'!$A$12:$A$130,"&lt;"&amp;Diagram!$P48)))</f>
        <v>0</v>
      </c>
      <c r="BS48" s="42">
        <f ca="1">IF(OR($I$10="",$O48="",$P48="",$J$38&lt;&gt;"Yes"),0,IF($K$10=0,SUMIFS(INDIRECT(ADDRESS(12,3+18*0+(3),,,"J1 A - (North) Bishopthorpe Roa")&amp;":"&amp;ADDRESS(130,3+18*0+(3))),'J1 A - (North) Bishopthorpe Roa'!$A$12:$A$130,"&gt;="&amp;Diagram!$O48,'J1 A - (North) Bishopthorpe Roa'!$A$12:$A$130,"&lt;"&amp;Diagram!$P48),SUMIFS(INDIRECT(ADDRESS(12,3+18*0+(11),,,"J1 A - (North) Bishopthorpe Roa")&amp;":"&amp;ADDRESS(130,3+18*0+(11))),'J1 A - (North) Bishopthorpe Roa'!$A$12:$A$130,"&gt;="&amp;Diagram!$O48,'J1 A - (North) Bishopthorpe Roa'!$A$12:$A$130,"&lt;"&amp;Diagram!$P48)))</f>
        <v>0</v>
      </c>
      <c r="BT48" s="42">
        <f ca="1">IF(OR($I$10="",$O48="",$P48="",$J$38&lt;&gt;"Yes"),0,IF($K$10=0,SUMIFS(INDIRECT(ADDRESS(12,3+18*1+(3),,,"J1 A - (North) Bishopthorpe Roa")&amp;":"&amp;ADDRESS(130,3+18*1+(3))),'J1 A - (North) Bishopthorpe Roa'!$A$12:$A$130,"&gt;="&amp;Diagram!$O48,'J1 A - (North) Bishopthorpe Roa'!$A$12:$A$130,"&lt;"&amp;Diagram!$P48),SUMIFS(INDIRECT(ADDRESS(12,3+18*1+(11),,,"J1 A - (North) Bishopthorpe Roa")&amp;":"&amp;ADDRESS(130,3+18*1+(11))),'J1 A - (North) Bishopthorpe Roa'!$A$12:$A$130,"&gt;="&amp;Diagram!$O48,'J1 A - (North) Bishopthorpe Roa'!$A$12:$A$130,"&lt;"&amp;Diagram!$P48)))</f>
        <v>0</v>
      </c>
      <c r="BU48" s="42">
        <f ca="1">IF(OR($I$10="",$O48="",$P48="",$J$38&lt;&gt;"Yes"),0,IF($K$10=0,SUMIFS(INDIRECT(ADDRESS(12,3+18*2+(3),,,"J1 A - (North) Bishopthorpe Roa")&amp;":"&amp;ADDRESS(130,3+18*2+(3))),'J1 A - (North) Bishopthorpe Roa'!$A$12:$A$130,"&gt;="&amp;Diagram!$O48,'J1 A - (North) Bishopthorpe Roa'!$A$12:$A$130,"&lt;"&amp;Diagram!$P48),SUMIFS(INDIRECT(ADDRESS(12,3+18*2+(11),,,"J1 A - (North) Bishopthorpe Roa")&amp;":"&amp;ADDRESS(130,3+18*2+(11))),'J1 A - (North) Bishopthorpe Roa'!$A$12:$A$130,"&gt;="&amp;Diagram!$O48,'J1 A - (North) Bishopthorpe Roa'!$A$12:$A$130,"&lt;"&amp;Diagram!$P48)))</f>
        <v>0</v>
      </c>
      <c r="BV48" s="42">
        <f ca="1">IF(OR($I$10="",$O48="",$P48="",$J$38&lt;&gt;"Yes"),0,IF($K$10=0,SUMIFS(INDIRECT(ADDRESS(12,3+18*2+(3),,,"J1 B - Butcher Terrace")&amp;":"&amp;ADDRESS(130,3+18*2+(3))),'J1 B - Butcher Terrace'!$A$12:$A$130,"&gt;="&amp;Diagram!$O48,'J1 B - Butcher Terrace'!$A$12:$A$130,"&lt;"&amp;Diagram!$P48),SUMIFS(INDIRECT(ADDRESS(12,3+18*2+(11),,,"J1 B - Butcher Terrace")&amp;":"&amp;ADDRESS(130,3+18*2+(11))),'J1 B - Butcher Terrace'!$A$12:$A$130,"&gt;="&amp;Diagram!$O48,'J1 B - Butcher Terrace'!$A$12:$A$130,"&lt;"&amp;Diagram!$P48)))</f>
        <v>0</v>
      </c>
      <c r="BW48" s="42">
        <f ca="1">IF(OR($I$10="",$O48="",$P48="",$J$38&lt;&gt;"Yes"),0,IF($K$10=0,SUMIFS(INDIRECT(ADDRESS(12,3+18*3+(3),,,"J1 B - Butcher Terrace")&amp;":"&amp;ADDRESS(130,3+18*3+(3))),'J1 B - Butcher Terrace'!$A$12:$A$130,"&gt;="&amp;Diagram!$O48,'J1 B - Butcher Terrace'!$A$12:$A$130,"&lt;"&amp;Diagram!$P48),SUMIFS(INDIRECT(ADDRESS(12,3+18*3+(11),,,"J1 B - Butcher Terrace")&amp;":"&amp;ADDRESS(130,3+18*3+(11))),'J1 B - Butcher Terrace'!$A$12:$A$130,"&gt;="&amp;Diagram!$O48,'J1 B - Butcher Terrace'!$A$12:$A$130,"&lt;"&amp;Diagram!$P48)))</f>
        <v>0</v>
      </c>
      <c r="BX48" s="42">
        <f ca="1">IF(OR($I$10="",$O48="",$P48="",$J$38&lt;&gt;"Yes"),0,IF($K$10=0,SUMIFS(INDIRECT(ADDRESS(12,3+18*0+(3),,,"J1 B - Butcher Terrace")&amp;":"&amp;ADDRESS(130,3+18*0+(3))),'J1 B - Butcher Terrace'!$A$12:$A$130,"&gt;="&amp;Diagram!$O48,'J1 B - Butcher Terrace'!$A$12:$A$130,"&lt;"&amp;Diagram!$P48),SUMIFS(INDIRECT(ADDRESS(12,3+18*0+(11),,,"J1 B - Butcher Terrace")&amp;":"&amp;ADDRESS(130,3+18*0+(11))),'J1 B - Butcher Terrace'!$A$12:$A$130,"&gt;="&amp;Diagram!$O48,'J1 B - Butcher Terrace'!$A$12:$A$130,"&lt;"&amp;Diagram!$P48)))</f>
        <v>0</v>
      </c>
      <c r="BY48" s="42">
        <f ca="1">IF(OR($I$10="",$O48="",$P48="",$J$38&lt;&gt;"Yes"),0,IF($K$10=0,SUMIFS(INDIRECT(ADDRESS(12,3+18*1+(3),,,"J1 B - Butcher Terrace")&amp;":"&amp;ADDRESS(130,3+18*1+(3))),'J1 B - Butcher Terrace'!$A$12:$A$130,"&gt;="&amp;Diagram!$O48,'J1 B - Butcher Terrace'!$A$12:$A$130,"&lt;"&amp;Diagram!$P48),SUMIFS(INDIRECT(ADDRESS(12,3+18*1+(11),,,"J1 B - Butcher Terrace")&amp;":"&amp;ADDRESS(130,3+18*1+(11))),'J1 B - Butcher Terrace'!$A$12:$A$130,"&gt;="&amp;Diagram!$O48,'J1 B - Butcher Terrace'!$A$12:$A$130,"&lt;"&amp;Diagram!$P48)))</f>
        <v>0</v>
      </c>
      <c r="BZ48" s="42">
        <f ca="1">IF(OR($I$10="",$O48="",$P48="",$J$38&lt;&gt;"Yes"),0,IF($K$10=0,SUMIFS(INDIRECT(ADDRESS(12,3+18*1+(3),,,"J1 C - (South) Bishopthorpe Roa")&amp;":"&amp;ADDRESS(130,3+18*1+(3))),'J1 C - (South) Bishopthorpe Roa'!$A$12:$A$130,"&gt;="&amp;Diagram!$O48,'J1 C - (South) Bishopthorpe Roa'!$A$12:$A$130,"&lt;"&amp;Diagram!$P48),SUMIFS(INDIRECT(ADDRESS(12,3+18*1+(11),,,"J1 C - (South) Bishopthorpe Roa")&amp;":"&amp;ADDRESS(130,3+18*1+(11))),'J1 C - (South) Bishopthorpe Roa'!$A$12:$A$130,"&gt;="&amp;Diagram!$O48,'J1 C - (South) Bishopthorpe Roa'!$A$12:$A$130,"&lt;"&amp;Diagram!$P48)))</f>
        <v>0</v>
      </c>
      <c r="CA48" s="42">
        <f ca="1">IF(OR($I$10="",$O48="",$P48="",$J$38&lt;&gt;"Yes"),0,IF($K$10=0,SUMIFS(INDIRECT(ADDRESS(12,3+18*2+(3),,,"J1 C - (South) Bishopthorpe Roa")&amp;":"&amp;ADDRESS(130,3+18*2+(3))),'J1 C - (South) Bishopthorpe Roa'!$A$12:$A$130,"&gt;="&amp;Diagram!$O48,'J1 C - (South) Bishopthorpe Roa'!$A$12:$A$130,"&lt;"&amp;Diagram!$P48),SUMIFS(INDIRECT(ADDRESS(12,3+18*2+(11),,,"J1 C - (South) Bishopthorpe Roa")&amp;":"&amp;ADDRESS(130,3+18*2+(11))),'J1 C - (South) Bishopthorpe Roa'!$A$12:$A$130,"&gt;="&amp;Diagram!$O48,'J1 C - (South) Bishopthorpe Roa'!$A$12:$A$130,"&lt;"&amp;Diagram!$P48)))</f>
        <v>0</v>
      </c>
      <c r="CB48" s="42">
        <f ca="1">IF(OR($I$10="",$O48="",$P48="",$J$38&lt;&gt;"Yes"),0,IF($K$10=0,SUMIFS(INDIRECT(ADDRESS(12,3+18*3+(3),,,"J1 C - (South) Bishopthorpe Roa")&amp;":"&amp;ADDRESS(130,3+18*3+(3))),'J1 C - (South) Bishopthorpe Roa'!$A$12:$A$130,"&gt;="&amp;Diagram!$O48,'J1 C - (South) Bishopthorpe Roa'!$A$12:$A$130,"&lt;"&amp;Diagram!$P48),SUMIFS(INDIRECT(ADDRESS(12,3+18*3+(11),,,"J1 C - (South) Bishopthorpe Roa")&amp;":"&amp;ADDRESS(130,3+18*3+(11))),'J1 C - (South) Bishopthorpe Roa'!$A$12:$A$130,"&gt;="&amp;Diagram!$O48,'J1 C - (South) Bishopthorpe Roa'!$A$12:$A$130,"&lt;"&amp;Diagram!$P48)))</f>
        <v>0</v>
      </c>
      <c r="CC48" s="42">
        <f ca="1">IF(OR($I$10="",$O48="",$P48="",$J$38&lt;&gt;"Yes"),0,IF($K$10=0,SUMIFS(INDIRECT(ADDRESS(12,3+18*0+(3),,,"J1 C - (South) Bishopthorpe Roa")&amp;":"&amp;ADDRESS(130,3+18*0+(3))),'J1 C - (South) Bishopthorpe Roa'!$A$12:$A$130,"&gt;="&amp;Diagram!$O48,'J1 C - (South) Bishopthorpe Roa'!$A$12:$A$130,"&lt;"&amp;Diagram!$P48),SUMIFS(INDIRECT(ADDRESS(12,3+18*0+(11),,,"J1 C - (South) Bishopthorpe Roa")&amp;":"&amp;ADDRESS(130,3+18*0+(11))),'J1 C - (South) Bishopthorpe Roa'!$A$12:$A$130,"&gt;="&amp;Diagram!$O48,'J1 C - (South) Bishopthorpe Roa'!$A$12:$A$130,"&lt;"&amp;Diagram!$P48)))</f>
        <v>0</v>
      </c>
      <c r="CD48" s="42">
        <f ca="1">IF(OR($I$10="",$O48="",$P48="",$J$38&lt;&gt;"Yes"),0,IF($K$10=0,SUMIFS(INDIRECT(ADDRESS(12,3+18*0+(3),,,"J1 D - South Bank Avenue")&amp;":"&amp;ADDRESS(130,3+18*0+(3))),'J1 D - South Bank Avenue'!$A$12:$A$130,"&gt;="&amp;Diagram!$O48,'J1 D - South Bank Avenue'!$A$12:$A$130,"&lt;"&amp;Diagram!$P48),SUMIFS(INDIRECT(ADDRESS(12,3+18*0+(11),,,"J1 D - South Bank Avenue")&amp;":"&amp;ADDRESS(130,3+18*0+(11))),'J1 D - South Bank Avenue'!$A$12:$A$130,"&gt;="&amp;Diagram!$O48,'J1 D - South Bank Avenue'!$A$12:$A$130,"&lt;"&amp;Diagram!$P48)))</f>
        <v>0</v>
      </c>
      <c r="CE48" s="42">
        <f ca="1">IF(OR($I$10="",$O48="",$P48="",$J$38&lt;&gt;"Yes"),0,IF($K$10=0,SUMIFS(INDIRECT(ADDRESS(12,3+18*1+(3),,,"J1 D - South Bank Avenue")&amp;":"&amp;ADDRESS(130,3+18*1+(3))),'J1 D - South Bank Avenue'!$A$12:$A$130,"&gt;="&amp;Diagram!$O48,'J1 D - South Bank Avenue'!$A$12:$A$130,"&lt;"&amp;Diagram!$P48),SUMIFS(INDIRECT(ADDRESS(12,3+18*1+(11),,,"J1 D - South Bank Avenue")&amp;":"&amp;ADDRESS(130,3+18*1+(11))),'J1 D - South Bank Avenue'!$A$12:$A$130,"&gt;="&amp;Diagram!$O48,'J1 D - South Bank Avenue'!$A$12:$A$130,"&lt;"&amp;Diagram!$P48)))</f>
        <v>0</v>
      </c>
      <c r="CF48" s="42">
        <f ca="1">IF(OR($I$10="",$O48="",$P48="",$J$38&lt;&gt;"Yes"),0,IF($K$10=0,SUMIFS(INDIRECT(ADDRESS(12,3+18*2+(3),,,"J1 D - South Bank Avenue")&amp;":"&amp;ADDRESS(130,3+18*2+(3))),'J1 D - South Bank Avenue'!$A$12:$A$130,"&gt;="&amp;Diagram!$O48,'J1 D - South Bank Avenue'!$A$12:$A$130,"&lt;"&amp;Diagram!$P48),SUMIFS(INDIRECT(ADDRESS(12,3+18*2+(11),,,"J1 D - South Bank Avenue")&amp;":"&amp;ADDRESS(130,3+18*2+(11))),'J1 D - South Bank Avenue'!$A$12:$A$130,"&gt;="&amp;Diagram!$O48,'J1 D - South Bank Avenue'!$A$12:$A$130,"&lt;"&amp;Diagram!$P48)))</f>
        <v>0</v>
      </c>
      <c r="CG48" s="42">
        <f ca="1">IF(OR($I$10="",$O48="",$P48="",$J$38&lt;&gt;"Yes"),0,IF($K$10=0,SUMIFS(INDIRECT(ADDRESS(12,3+18*3+(3),,,"J1 D - South Bank Avenue")&amp;":"&amp;ADDRESS(130,3+18*3+(3))),'J1 D - South Bank Avenue'!$A$12:$A$130,"&gt;="&amp;Diagram!$O48,'J1 D - South Bank Avenue'!$A$12:$A$130,"&lt;"&amp;Diagram!$P48),SUMIFS(INDIRECT(ADDRESS(12,3+18*3+(11),,,"J1 D - South Bank Avenue")&amp;":"&amp;ADDRESS(130,3+18*3+(11))),'J1 D - South Bank Avenue'!$A$12:$A$130,"&gt;="&amp;Diagram!$O48,'J1 D - South Bank Avenue'!$A$12:$A$130,"&lt;"&amp;Diagram!$P48)))</f>
        <v>0</v>
      </c>
      <c r="CH48" s="42">
        <f t="shared" ca="1" si="5"/>
        <v>7</v>
      </c>
      <c r="CI48" s="42">
        <f ca="1">IF(OR($I$10="",$O48="",$P48="",$J$39&lt;&gt;"Yes"),0,IF($K$10=0,SUMIFS(INDIRECT(ADDRESS(12,3+18*3+(4),,,"J1 A - (North) Bishopthorpe Roa")&amp;":"&amp;ADDRESS(130,3+18*3+(4))),'J1 A - (North) Bishopthorpe Roa'!$A$12:$A$130,"&gt;="&amp;Diagram!$O48,'J1 A - (North) Bishopthorpe Roa'!$A$12:$A$130,"&lt;"&amp;Diagram!$P48),SUMIFS(INDIRECT(ADDRESS(12,3+18*3+(12),,,"J1 A - (North) Bishopthorpe Roa")&amp;":"&amp;ADDRESS(130,3+18*3+(12))),'J1 A - (North) Bishopthorpe Roa'!$A$12:$A$130,"&gt;="&amp;Diagram!$O48,'J1 A - (North) Bishopthorpe Roa'!$A$12:$A$130,"&lt;"&amp;Diagram!$P48)))</f>
        <v>0</v>
      </c>
      <c r="CJ48" s="42">
        <f ca="1">IF(OR($I$10="",$O48="",$P48="",$J$39&lt;&gt;"Yes"),0,IF($K$10=0,SUMIFS(INDIRECT(ADDRESS(12,3+18*0+(4),,,"J1 A - (North) Bishopthorpe Roa")&amp;":"&amp;ADDRESS(130,3+18*0+(4))),'J1 A - (North) Bishopthorpe Roa'!$A$12:$A$130,"&gt;="&amp;Diagram!$O48,'J1 A - (North) Bishopthorpe Roa'!$A$12:$A$130,"&lt;"&amp;Diagram!$P48),SUMIFS(INDIRECT(ADDRESS(12,3+18*0+(12),,,"J1 A - (North) Bishopthorpe Roa")&amp;":"&amp;ADDRESS(130,3+18*0+(12))),'J1 A - (North) Bishopthorpe Roa'!$A$12:$A$130,"&gt;="&amp;Diagram!$O48,'J1 A - (North) Bishopthorpe Roa'!$A$12:$A$130,"&lt;"&amp;Diagram!$P48)))</f>
        <v>0</v>
      </c>
      <c r="CK48" s="42">
        <f ca="1">IF(OR($I$10="",$O48="",$P48="",$J$39&lt;&gt;"Yes"),0,IF($K$10=0,SUMIFS(INDIRECT(ADDRESS(12,3+18*1+(4),,,"J1 A - (North) Bishopthorpe Roa")&amp;":"&amp;ADDRESS(130,3+18*1+(4))),'J1 A - (North) Bishopthorpe Roa'!$A$12:$A$130,"&gt;="&amp;Diagram!$O48,'J1 A - (North) Bishopthorpe Roa'!$A$12:$A$130,"&lt;"&amp;Diagram!$P48),SUMIFS(INDIRECT(ADDRESS(12,3+18*1+(12),,,"J1 A - (North) Bishopthorpe Roa")&amp;":"&amp;ADDRESS(130,3+18*1+(12))),'J1 A - (North) Bishopthorpe Roa'!$A$12:$A$130,"&gt;="&amp;Diagram!$O48,'J1 A - (North) Bishopthorpe Roa'!$A$12:$A$130,"&lt;"&amp;Diagram!$P48)))</f>
        <v>3</v>
      </c>
      <c r="CL48" s="42">
        <f ca="1">IF(OR($I$10="",$O48="",$P48="",$J$39&lt;&gt;"Yes"),0,IF($K$10=0,SUMIFS(INDIRECT(ADDRESS(12,3+18*2+(4),,,"J1 A - (North) Bishopthorpe Roa")&amp;":"&amp;ADDRESS(130,3+18*2+(4))),'J1 A - (North) Bishopthorpe Roa'!$A$12:$A$130,"&gt;="&amp;Diagram!$O48,'J1 A - (North) Bishopthorpe Roa'!$A$12:$A$130,"&lt;"&amp;Diagram!$P48),SUMIFS(INDIRECT(ADDRESS(12,3+18*2+(12),,,"J1 A - (North) Bishopthorpe Roa")&amp;":"&amp;ADDRESS(130,3+18*2+(12))),'J1 A - (North) Bishopthorpe Roa'!$A$12:$A$130,"&gt;="&amp;Diagram!$O48,'J1 A - (North) Bishopthorpe Roa'!$A$12:$A$130,"&lt;"&amp;Diagram!$P48)))</f>
        <v>0</v>
      </c>
      <c r="CM48" s="42">
        <f ca="1">IF(OR($I$10="",$O48="",$P48="",$J$39&lt;&gt;"Yes"),0,IF($K$10=0,SUMIFS(INDIRECT(ADDRESS(12,3+18*2+(4),,,"J1 B - Butcher Terrace")&amp;":"&amp;ADDRESS(130,3+18*2+(4))),'J1 B - Butcher Terrace'!$A$12:$A$130,"&gt;="&amp;Diagram!$O48,'J1 B - Butcher Terrace'!$A$12:$A$130,"&lt;"&amp;Diagram!$P48),SUMIFS(INDIRECT(ADDRESS(12,3+18*2+(12),,,"J1 B - Butcher Terrace")&amp;":"&amp;ADDRESS(130,3+18*2+(12))),'J1 B - Butcher Terrace'!$A$12:$A$130,"&gt;="&amp;Diagram!$O48,'J1 B - Butcher Terrace'!$A$12:$A$130,"&lt;"&amp;Diagram!$P48)))</f>
        <v>0</v>
      </c>
      <c r="CN48" s="42">
        <f ca="1">IF(OR($I$10="",$O48="",$P48="",$J$39&lt;&gt;"Yes"),0,IF($K$10=0,SUMIFS(INDIRECT(ADDRESS(12,3+18*3+(4),,,"J1 B - Butcher Terrace")&amp;":"&amp;ADDRESS(130,3+18*3+(4))),'J1 B - Butcher Terrace'!$A$12:$A$130,"&gt;="&amp;Diagram!$O48,'J1 B - Butcher Terrace'!$A$12:$A$130,"&lt;"&amp;Diagram!$P48),SUMIFS(INDIRECT(ADDRESS(12,3+18*3+(12),,,"J1 B - Butcher Terrace")&amp;":"&amp;ADDRESS(130,3+18*3+(12))),'J1 B - Butcher Terrace'!$A$12:$A$130,"&gt;="&amp;Diagram!$O48,'J1 B - Butcher Terrace'!$A$12:$A$130,"&lt;"&amp;Diagram!$P48)))</f>
        <v>0</v>
      </c>
      <c r="CO48" s="42">
        <f ca="1">IF(OR($I$10="",$O48="",$P48="",$J$39&lt;&gt;"Yes"),0,IF($K$10=0,SUMIFS(INDIRECT(ADDRESS(12,3+18*0+(4),,,"J1 B - Butcher Terrace")&amp;":"&amp;ADDRESS(130,3+18*0+(4))),'J1 B - Butcher Terrace'!$A$12:$A$130,"&gt;="&amp;Diagram!$O48,'J1 B - Butcher Terrace'!$A$12:$A$130,"&lt;"&amp;Diagram!$P48),SUMIFS(INDIRECT(ADDRESS(12,3+18*0+(12),,,"J1 B - Butcher Terrace")&amp;":"&amp;ADDRESS(130,3+18*0+(12))),'J1 B - Butcher Terrace'!$A$12:$A$130,"&gt;="&amp;Diagram!$O48,'J1 B - Butcher Terrace'!$A$12:$A$130,"&lt;"&amp;Diagram!$P48)))</f>
        <v>0</v>
      </c>
      <c r="CP48" s="42">
        <f ca="1">IF(OR($I$10="",$O48="",$P48="",$J$39&lt;&gt;"Yes"),0,IF($K$10=0,SUMIFS(INDIRECT(ADDRESS(12,3+18*1+(4),,,"J1 B - Butcher Terrace")&amp;":"&amp;ADDRESS(130,3+18*1+(4))),'J1 B - Butcher Terrace'!$A$12:$A$130,"&gt;="&amp;Diagram!$O48,'J1 B - Butcher Terrace'!$A$12:$A$130,"&lt;"&amp;Diagram!$P48),SUMIFS(INDIRECT(ADDRESS(12,3+18*1+(12),,,"J1 B - Butcher Terrace")&amp;":"&amp;ADDRESS(130,3+18*1+(12))),'J1 B - Butcher Terrace'!$A$12:$A$130,"&gt;="&amp;Diagram!$O48,'J1 B - Butcher Terrace'!$A$12:$A$130,"&lt;"&amp;Diagram!$P48)))</f>
        <v>0</v>
      </c>
      <c r="CQ48" s="42">
        <f ca="1">IF(OR($I$10="",$O48="",$P48="",$J$39&lt;&gt;"Yes"),0,IF($K$10=0,SUMIFS(INDIRECT(ADDRESS(12,3+18*1+(4),,,"J1 C - (South) Bishopthorpe Roa")&amp;":"&amp;ADDRESS(130,3+18*1+(4))),'J1 C - (South) Bishopthorpe Roa'!$A$12:$A$130,"&gt;="&amp;Diagram!$O48,'J1 C - (South) Bishopthorpe Roa'!$A$12:$A$130,"&lt;"&amp;Diagram!$P48),SUMIFS(INDIRECT(ADDRESS(12,3+18*1+(12),,,"J1 C - (South) Bishopthorpe Roa")&amp;":"&amp;ADDRESS(130,3+18*1+(12))),'J1 C - (South) Bishopthorpe Roa'!$A$12:$A$130,"&gt;="&amp;Diagram!$O48,'J1 C - (South) Bishopthorpe Roa'!$A$12:$A$130,"&lt;"&amp;Diagram!$P48)))</f>
        <v>4</v>
      </c>
      <c r="CR48" s="42">
        <f ca="1">IF(OR($I$10="",$O48="",$P48="",$J$39&lt;&gt;"Yes"),0,IF($K$10=0,SUMIFS(INDIRECT(ADDRESS(12,3+18*2+(4),,,"J1 C - (South) Bishopthorpe Roa")&amp;":"&amp;ADDRESS(130,3+18*2+(4))),'J1 C - (South) Bishopthorpe Roa'!$A$12:$A$130,"&gt;="&amp;Diagram!$O48,'J1 C - (South) Bishopthorpe Roa'!$A$12:$A$130,"&lt;"&amp;Diagram!$P48),SUMIFS(INDIRECT(ADDRESS(12,3+18*2+(12),,,"J1 C - (South) Bishopthorpe Roa")&amp;":"&amp;ADDRESS(130,3+18*2+(12))),'J1 C - (South) Bishopthorpe Roa'!$A$12:$A$130,"&gt;="&amp;Diagram!$O48,'J1 C - (South) Bishopthorpe Roa'!$A$12:$A$130,"&lt;"&amp;Diagram!$P48)))</f>
        <v>0</v>
      </c>
      <c r="CS48" s="42">
        <f ca="1">IF(OR($I$10="",$O48="",$P48="",$J$39&lt;&gt;"Yes"),0,IF($K$10=0,SUMIFS(INDIRECT(ADDRESS(12,3+18*3+(4),,,"J1 C - (South) Bishopthorpe Roa")&amp;":"&amp;ADDRESS(130,3+18*3+(4))),'J1 C - (South) Bishopthorpe Roa'!$A$12:$A$130,"&gt;="&amp;Diagram!$O48,'J1 C - (South) Bishopthorpe Roa'!$A$12:$A$130,"&lt;"&amp;Diagram!$P48),SUMIFS(INDIRECT(ADDRESS(12,3+18*3+(12),,,"J1 C - (South) Bishopthorpe Roa")&amp;":"&amp;ADDRESS(130,3+18*3+(12))),'J1 C - (South) Bishopthorpe Roa'!$A$12:$A$130,"&gt;="&amp;Diagram!$O48,'J1 C - (South) Bishopthorpe Roa'!$A$12:$A$130,"&lt;"&amp;Diagram!$P48)))</f>
        <v>0</v>
      </c>
      <c r="CT48" s="42">
        <f ca="1">IF(OR($I$10="",$O48="",$P48="",$J$39&lt;&gt;"Yes"),0,IF($K$10=0,SUMIFS(INDIRECT(ADDRESS(12,3+18*0+(4),,,"J1 C - (South) Bishopthorpe Roa")&amp;":"&amp;ADDRESS(130,3+18*0+(4))),'J1 C - (South) Bishopthorpe Roa'!$A$12:$A$130,"&gt;="&amp;Diagram!$O48,'J1 C - (South) Bishopthorpe Roa'!$A$12:$A$130,"&lt;"&amp;Diagram!$P48),SUMIFS(INDIRECT(ADDRESS(12,3+18*0+(12),,,"J1 C - (South) Bishopthorpe Roa")&amp;":"&amp;ADDRESS(130,3+18*0+(12))),'J1 C - (South) Bishopthorpe Roa'!$A$12:$A$130,"&gt;="&amp;Diagram!$O48,'J1 C - (South) Bishopthorpe Roa'!$A$12:$A$130,"&lt;"&amp;Diagram!$P48)))</f>
        <v>0</v>
      </c>
      <c r="CU48" s="42">
        <f ca="1">IF(OR($I$10="",$O48="",$P48="",$J$39&lt;&gt;"Yes"),0,IF($K$10=0,SUMIFS(INDIRECT(ADDRESS(12,3+18*0+(4),,,"J1 D - South Bank Avenue")&amp;":"&amp;ADDRESS(130,3+18*0+(4))),'J1 D - South Bank Avenue'!$A$12:$A$130,"&gt;="&amp;Diagram!$O48,'J1 D - South Bank Avenue'!$A$12:$A$130,"&lt;"&amp;Diagram!$P48),SUMIFS(INDIRECT(ADDRESS(12,3+18*0+(12),,,"J1 D - South Bank Avenue")&amp;":"&amp;ADDRESS(130,3+18*0+(12))),'J1 D - South Bank Avenue'!$A$12:$A$130,"&gt;="&amp;Diagram!$O48,'J1 D - South Bank Avenue'!$A$12:$A$130,"&lt;"&amp;Diagram!$P48)))</f>
        <v>0</v>
      </c>
      <c r="CV48" s="42">
        <f ca="1">IF(OR($I$10="",$O48="",$P48="",$J$39&lt;&gt;"Yes"),0,IF($K$10=0,SUMIFS(INDIRECT(ADDRESS(12,3+18*1+(4),,,"J1 D - South Bank Avenue")&amp;":"&amp;ADDRESS(130,3+18*1+(4))),'J1 D - South Bank Avenue'!$A$12:$A$130,"&gt;="&amp;Diagram!$O48,'J1 D - South Bank Avenue'!$A$12:$A$130,"&lt;"&amp;Diagram!$P48),SUMIFS(INDIRECT(ADDRESS(12,3+18*1+(12),,,"J1 D - South Bank Avenue")&amp;":"&amp;ADDRESS(130,3+18*1+(12))),'J1 D - South Bank Avenue'!$A$12:$A$130,"&gt;="&amp;Diagram!$O48,'J1 D - South Bank Avenue'!$A$12:$A$130,"&lt;"&amp;Diagram!$P48)))</f>
        <v>0</v>
      </c>
      <c r="CW48" s="42">
        <f ca="1">IF(OR($I$10="",$O48="",$P48="",$J$39&lt;&gt;"Yes"),0,IF($K$10=0,SUMIFS(INDIRECT(ADDRESS(12,3+18*2+(4),,,"J1 D - South Bank Avenue")&amp;":"&amp;ADDRESS(130,3+18*2+(4))),'J1 D - South Bank Avenue'!$A$12:$A$130,"&gt;="&amp;Diagram!$O48,'J1 D - South Bank Avenue'!$A$12:$A$130,"&lt;"&amp;Diagram!$P48),SUMIFS(INDIRECT(ADDRESS(12,3+18*2+(12),,,"J1 D - South Bank Avenue")&amp;":"&amp;ADDRESS(130,3+18*2+(12))),'J1 D - South Bank Avenue'!$A$12:$A$130,"&gt;="&amp;Diagram!$O48,'J1 D - South Bank Avenue'!$A$12:$A$130,"&lt;"&amp;Diagram!$P48)))</f>
        <v>0</v>
      </c>
      <c r="CX48" s="42">
        <f ca="1">IF(OR($I$10="",$O48="",$P48="",$J$39&lt;&gt;"Yes"),0,IF($K$10=0,SUMIFS(INDIRECT(ADDRESS(12,3+18*3+(4),,,"J1 D - South Bank Avenue")&amp;":"&amp;ADDRESS(130,3+18*3+(4))),'J1 D - South Bank Avenue'!$A$12:$A$130,"&gt;="&amp;Diagram!$O48,'J1 D - South Bank Avenue'!$A$12:$A$130,"&lt;"&amp;Diagram!$P48),SUMIFS(INDIRECT(ADDRESS(12,3+18*3+(12),,,"J1 D - South Bank Avenue")&amp;":"&amp;ADDRESS(130,3+18*3+(12))),'J1 D - South Bank Avenue'!$A$12:$A$130,"&gt;="&amp;Diagram!$O48,'J1 D - South Bank Avenue'!$A$12:$A$130,"&lt;"&amp;Diagram!$P48)))</f>
        <v>0</v>
      </c>
      <c r="CY48" s="42">
        <f t="shared" ca="1" si="6"/>
        <v>101</v>
      </c>
      <c r="CZ48" s="42">
        <f ca="1">IF(OR($I$10="",$O48="",$P48="",$J$40&lt;&gt;"Yes"),0,IF($K$10=0,SUMIFS(INDIRECT(ADDRESS(12,3+18*3+(5),,,"J1 A - (North) Bishopthorpe Roa")&amp;":"&amp;ADDRESS(130,3+18*3+(5))),'J1 A - (North) Bishopthorpe Roa'!$A$12:$A$130,"&gt;="&amp;Diagram!$O48,'J1 A - (North) Bishopthorpe Roa'!$A$12:$A$130,"&lt;"&amp;Diagram!$P48),SUMIFS(INDIRECT(ADDRESS(12,3+18*3+(13),,,"J1 A - (North) Bishopthorpe Roa")&amp;":"&amp;ADDRESS(130,3+18*3+(13))),'J1 A - (North) Bishopthorpe Roa'!$A$12:$A$130,"&gt;="&amp;Diagram!$O48,'J1 A - (North) Bishopthorpe Roa'!$A$12:$A$130,"&lt;"&amp;Diagram!$P48)))</f>
        <v>0</v>
      </c>
      <c r="DA48" s="42">
        <f ca="1">IF(OR($I$10="",$O48="",$P48="",$J$40&lt;&gt;"Yes"),0,IF($K$10=0,SUMIFS(INDIRECT(ADDRESS(12,3+18*0+(5),,,"J1 A - (North) Bishopthorpe Roa")&amp;":"&amp;ADDRESS(130,3+18*0+(5))),'J1 A - (North) Bishopthorpe Roa'!$A$12:$A$130,"&gt;="&amp;Diagram!$O48,'J1 A - (North) Bishopthorpe Roa'!$A$12:$A$130,"&lt;"&amp;Diagram!$P48),SUMIFS(INDIRECT(ADDRESS(12,3+18*0+(13),,,"J1 A - (North) Bishopthorpe Roa")&amp;":"&amp;ADDRESS(130,3+18*0+(13))),'J1 A - (North) Bishopthorpe Roa'!$A$12:$A$130,"&gt;="&amp;Diagram!$O48,'J1 A - (North) Bishopthorpe Roa'!$A$12:$A$130,"&lt;"&amp;Diagram!$P48)))</f>
        <v>11</v>
      </c>
      <c r="DB48" s="42">
        <f ca="1">IF(OR($I$10="",$O48="",$P48="",$J$40&lt;&gt;"Yes"),0,IF($K$10=0,SUMIFS(INDIRECT(ADDRESS(12,3+18*1+(5),,,"J1 A - (North) Bishopthorpe Roa")&amp;":"&amp;ADDRESS(130,3+18*1+(5))),'J1 A - (North) Bishopthorpe Roa'!$A$12:$A$130,"&gt;="&amp;Diagram!$O48,'J1 A - (North) Bishopthorpe Roa'!$A$12:$A$130,"&lt;"&amp;Diagram!$P48),SUMIFS(INDIRECT(ADDRESS(12,3+18*1+(13),,,"J1 A - (North) Bishopthorpe Roa")&amp;":"&amp;ADDRESS(130,3+18*1+(13))),'J1 A - (North) Bishopthorpe Roa'!$A$12:$A$130,"&gt;="&amp;Diagram!$O48,'J1 A - (North) Bishopthorpe Roa'!$A$12:$A$130,"&lt;"&amp;Diagram!$P48)))</f>
        <v>13</v>
      </c>
      <c r="DC48" s="42">
        <f ca="1">IF(OR($I$10="",$O48="",$P48="",$J$40&lt;&gt;"Yes"),0,IF($K$10=0,SUMIFS(INDIRECT(ADDRESS(12,3+18*2+(5),,,"J1 A - (North) Bishopthorpe Roa")&amp;":"&amp;ADDRESS(130,3+18*2+(5))),'J1 A - (North) Bishopthorpe Roa'!$A$12:$A$130,"&gt;="&amp;Diagram!$O48,'J1 A - (North) Bishopthorpe Roa'!$A$12:$A$130,"&lt;"&amp;Diagram!$P48),SUMIFS(INDIRECT(ADDRESS(12,3+18*2+(13),,,"J1 A - (North) Bishopthorpe Roa")&amp;":"&amp;ADDRESS(130,3+18*2+(13))),'J1 A - (North) Bishopthorpe Roa'!$A$12:$A$130,"&gt;="&amp;Diagram!$O48,'J1 A - (North) Bishopthorpe Roa'!$A$12:$A$130,"&lt;"&amp;Diagram!$P48)))</f>
        <v>4</v>
      </c>
      <c r="DD48" s="42">
        <f ca="1">IF(OR($I$10="",$O48="",$P48="",$J$40&lt;&gt;"Yes"),0,IF($K$10=0,SUMIFS(INDIRECT(ADDRESS(12,3+18*2+(5),,,"J1 B - Butcher Terrace")&amp;":"&amp;ADDRESS(130,3+18*2+(5))),'J1 B - Butcher Terrace'!$A$12:$A$130,"&gt;="&amp;Diagram!$O48,'J1 B - Butcher Terrace'!$A$12:$A$130,"&lt;"&amp;Diagram!$P48),SUMIFS(INDIRECT(ADDRESS(12,3+18*2+(13),,,"J1 B - Butcher Terrace")&amp;":"&amp;ADDRESS(130,3+18*2+(13))),'J1 B - Butcher Terrace'!$A$12:$A$130,"&gt;="&amp;Diagram!$O48,'J1 B - Butcher Terrace'!$A$12:$A$130,"&lt;"&amp;Diagram!$P48)))</f>
        <v>7</v>
      </c>
      <c r="DE48" s="42">
        <f ca="1">IF(OR($I$10="",$O48="",$P48="",$J$40&lt;&gt;"Yes"),0,IF($K$10=0,SUMIFS(INDIRECT(ADDRESS(12,3+18*3+(5),,,"J1 B - Butcher Terrace")&amp;":"&amp;ADDRESS(130,3+18*3+(5))),'J1 B - Butcher Terrace'!$A$12:$A$130,"&gt;="&amp;Diagram!$O48,'J1 B - Butcher Terrace'!$A$12:$A$130,"&lt;"&amp;Diagram!$P48),SUMIFS(INDIRECT(ADDRESS(12,3+18*3+(13),,,"J1 B - Butcher Terrace")&amp;":"&amp;ADDRESS(130,3+18*3+(13))),'J1 B - Butcher Terrace'!$A$12:$A$130,"&gt;="&amp;Diagram!$O48,'J1 B - Butcher Terrace'!$A$12:$A$130,"&lt;"&amp;Diagram!$P48)))</f>
        <v>0</v>
      </c>
      <c r="DF48" s="42">
        <f ca="1">IF(OR($I$10="",$O48="",$P48="",$J$40&lt;&gt;"Yes"),0,IF($K$10=0,SUMIFS(INDIRECT(ADDRESS(12,3+18*0+(5),,,"J1 B - Butcher Terrace")&amp;":"&amp;ADDRESS(130,3+18*0+(5))),'J1 B - Butcher Terrace'!$A$12:$A$130,"&gt;="&amp;Diagram!$O48,'J1 B - Butcher Terrace'!$A$12:$A$130,"&lt;"&amp;Diagram!$P48),SUMIFS(INDIRECT(ADDRESS(12,3+18*0+(13),,,"J1 B - Butcher Terrace")&amp;":"&amp;ADDRESS(130,3+18*0+(13))),'J1 B - Butcher Terrace'!$A$12:$A$130,"&gt;="&amp;Diagram!$O48,'J1 B - Butcher Terrace'!$A$12:$A$130,"&lt;"&amp;Diagram!$P48)))</f>
        <v>7</v>
      </c>
      <c r="DG48" s="42">
        <f ca="1">IF(OR($I$10="",$O48="",$P48="",$J$40&lt;&gt;"Yes"),0,IF($K$10=0,SUMIFS(INDIRECT(ADDRESS(12,3+18*1+(5),,,"J1 B - Butcher Terrace")&amp;":"&amp;ADDRESS(130,3+18*1+(5))),'J1 B - Butcher Terrace'!$A$12:$A$130,"&gt;="&amp;Diagram!$O48,'J1 B - Butcher Terrace'!$A$12:$A$130,"&lt;"&amp;Diagram!$P48),SUMIFS(INDIRECT(ADDRESS(12,3+18*1+(13),,,"J1 B - Butcher Terrace")&amp;":"&amp;ADDRESS(130,3+18*1+(13))),'J1 B - Butcher Terrace'!$A$12:$A$130,"&gt;="&amp;Diagram!$O48,'J1 B - Butcher Terrace'!$A$12:$A$130,"&lt;"&amp;Diagram!$P48)))</f>
        <v>19</v>
      </c>
      <c r="DH48" s="42">
        <f ca="1">IF(OR($I$10="",$O48="",$P48="",$J$40&lt;&gt;"Yes"),0,IF($K$10=0,SUMIFS(INDIRECT(ADDRESS(12,3+18*1+(5),,,"J1 C - (South) Bishopthorpe Roa")&amp;":"&amp;ADDRESS(130,3+18*1+(5))),'J1 C - (South) Bishopthorpe Roa'!$A$12:$A$130,"&gt;="&amp;Diagram!$O48,'J1 C - (South) Bishopthorpe Roa'!$A$12:$A$130,"&lt;"&amp;Diagram!$P48),SUMIFS(INDIRECT(ADDRESS(12,3+18*1+(13),,,"J1 C - (South) Bishopthorpe Roa")&amp;":"&amp;ADDRESS(130,3+18*1+(13))),'J1 C - (South) Bishopthorpe Roa'!$A$12:$A$130,"&gt;="&amp;Diagram!$O48,'J1 C - (South) Bishopthorpe Roa'!$A$12:$A$130,"&lt;"&amp;Diagram!$P48)))</f>
        <v>10</v>
      </c>
      <c r="DI48" s="42">
        <f ca="1">IF(OR($I$10="",$O48="",$P48="",$J$40&lt;&gt;"Yes"),0,IF($K$10=0,SUMIFS(INDIRECT(ADDRESS(12,3+18*2+(5),,,"J1 C - (South) Bishopthorpe Roa")&amp;":"&amp;ADDRESS(130,3+18*2+(5))),'J1 C - (South) Bishopthorpe Roa'!$A$12:$A$130,"&gt;="&amp;Diagram!$O48,'J1 C - (South) Bishopthorpe Roa'!$A$12:$A$130,"&lt;"&amp;Diagram!$P48),SUMIFS(INDIRECT(ADDRESS(12,3+18*2+(13),,,"J1 C - (South) Bishopthorpe Roa")&amp;":"&amp;ADDRESS(130,3+18*2+(13))),'J1 C - (South) Bishopthorpe Roa'!$A$12:$A$130,"&gt;="&amp;Diagram!$O48,'J1 C - (South) Bishopthorpe Roa'!$A$12:$A$130,"&lt;"&amp;Diagram!$P48)))</f>
        <v>8</v>
      </c>
      <c r="DJ48" s="42">
        <f ca="1">IF(OR($I$10="",$O48="",$P48="",$J$40&lt;&gt;"Yes"),0,IF($K$10=0,SUMIFS(INDIRECT(ADDRESS(12,3+18*3+(5),,,"J1 C - (South) Bishopthorpe Roa")&amp;":"&amp;ADDRESS(130,3+18*3+(5))),'J1 C - (South) Bishopthorpe Roa'!$A$12:$A$130,"&gt;="&amp;Diagram!$O48,'J1 C - (South) Bishopthorpe Roa'!$A$12:$A$130,"&lt;"&amp;Diagram!$P48),SUMIFS(INDIRECT(ADDRESS(12,3+18*3+(13),,,"J1 C - (South) Bishopthorpe Roa")&amp;":"&amp;ADDRESS(130,3+18*3+(13))),'J1 C - (South) Bishopthorpe Roa'!$A$12:$A$130,"&gt;="&amp;Diagram!$O48,'J1 C - (South) Bishopthorpe Roa'!$A$12:$A$130,"&lt;"&amp;Diagram!$P48)))</f>
        <v>0</v>
      </c>
      <c r="DK48" s="42">
        <f ca="1">IF(OR($I$10="",$O48="",$P48="",$J$40&lt;&gt;"Yes"),0,IF($K$10=0,SUMIFS(INDIRECT(ADDRESS(12,3+18*0+(5),,,"J1 C - (South) Bishopthorpe Roa")&amp;":"&amp;ADDRESS(130,3+18*0+(5))),'J1 C - (South) Bishopthorpe Roa'!$A$12:$A$130,"&gt;="&amp;Diagram!$O48,'J1 C - (South) Bishopthorpe Roa'!$A$12:$A$130,"&lt;"&amp;Diagram!$P48),SUMIFS(INDIRECT(ADDRESS(12,3+18*0+(13),,,"J1 C - (South) Bishopthorpe Roa")&amp;":"&amp;ADDRESS(130,3+18*0+(13))),'J1 C - (South) Bishopthorpe Roa'!$A$12:$A$130,"&gt;="&amp;Diagram!$O48,'J1 C - (South) Bishopthorpe Roa'!$A$12:$A$130,"&lt;"&amp;Diagram!$P48)))</f>
        <v>2</v>
      </c>
      <c r="DL48" s="42">
        <f ca="1">IF(OR($I$10="",$O48="",$P48="",$J$40&lt;&gt;"Yes"),0,IF($K$10=0,SUMIFS(INDIRECT(ADDRESS(12,3+18*0+(5),,,"J1 D - South Bank Avenue")&amp;":"&amp;ADDRESS(130,3+18*0+(5))),'J1 D - South Bank Avenue'!$A$12:$A$130,"&gt;="&amp;Diagram!$O48,'J1 D - South Bank Avenue'!$A$12:$A$130,"&lt;"&amp;Diagram!$P48),SUMIFS(INDIRECT(ADDRESS(12,3+18*0+(13),,,"J1 D - South Bank Avenue")&amp;":"&amp;ADDRESS(130,3+18*0+(13))),'J1 D - South Bank Avenue'!$A$12:$A$130,"&gt;="&amp;Diagram!$O48,'J1 D - South Bank Avenue'!$A$12:$A$130,"&lt;"&amp;Diagram!$P48)))</f>
        <v>6</v>
      </c>
      <c r="DM48" s="42">
        <f ca="1">IF(OR($I$10="",$O48="",$P48="",$J$40&lt;&gt;"Yes"),0,IF($K$10=0,SUMIFS(INDIRECT(ADDRESS(12,3+18*1+(5),,,"J1 D - South Bank Avenue")&amp;":"&amp;ADDRESS(130,3+18*1+(5))),'J1 D - South Bank Avenue'!$A$12:$A$130,"&gt;="&amp;Diagram!$O48,'J1 D - South Bank Avenue'!$A$12:$A$130,"&lt;"&amp;Diagram!$P48),SUMIFS(INDIRECT(ADDRESS(12,3+18*1+(13),,,"J1 D - South Bank Avenue")&amp;":"&amp;ADDRESS(130,3+18*1+(13))),'J1 D - South Bank Avenue'!$A$12:$A$130,"&gt;="&amp;Diagram!$O48,'J1 D - South Bank Avenue'!$A$12:$A$130,"&lt;"&amp;Diagram!$P48)))</f>
        <v>14</v>
      </c>
      <c r="DN48" s="42">
        <f ca="1">IF(OR($I$10="",$O48="",$P48="",$J$40&lt;&gt;"Yes"),0,IF($K$10=0,SUMIFS(INDIRECT(ADDRESS(12,3+18*2+(5),,,"J1 D - South Bank Avenue")&amp;":"&amp;ADDRESS(130,3+18*2+(5))),'J1 D - South Bank Avenue'!$A$12:$A$130,"&gt;="&amp;Diagram!$O48,'J1 D - South Bank Avenue'!$A$12:$A$130,"&lt;"&amp;Diagram!$P48),SUMIFS(INDIRECT(ADDRESS(12,3+18*2+(13),,,"J1 D - South Bank Avenue")&amp;":"&amp;ADDRESS(130,3+18*2+(13))),'J1 D - South Bank Avenue'!$A$12:$A$130,"&gt;="&amp;Diagram!$O48,'J1 D - South Bank Avenue'!$A$12:$A$130,"&lt;"&amp;Diagram!$P48)))</f>
        <v>0</v>
      </c>
      <c r="DO48" s="42">
        <f ca="1">IF(OR($I$10="",$O48="",$P48="",$J$40&lt;&gt;"Yes"),0,IF($K$10=0,SUMIFS(INDIRECT(ADDRESS(12,3+18*3+(5),,,"J1 D - South Bank Avenue")&amp;":"&amp;ADDRESS(130,3+18*3+(5))),'J1 D - South Bank Avenue'!$A$12:$A$130,"&gt;="&amp;Diagram!$O48,'J1 D - South Bank Avenue'!$A$12:$A$130,"&lt;"&amp;Diagram!$P48),SUMIFS(INDIRECT(ADDRESS(12,3+18*3+(13),,,"J1 D - South Bank Avenue")&amp;":"&amp;ADDRESS(130,3+18*3+(13))),'J1 D - South Bank Avenue'!$A$12:$A$130,"&gt;="&amp;Diagram!$O48,'J1 D - South Bank Avenue'!$A$12:$A$130,"&lt;"&amp;Diagram!$P48)))</f>
        <v>0</v>
      </c>
      <c r="DP48" s="42">
        <f t="shared" ca="1" si="7"/>
        <v>3</v>
      </c>
      <c r="DQ48" s="42">
        <f ca="1">IF(OR($I$10="",$O48="",$P48="",$J$41&lt;&gt;"Yes"),0,IF($K$10=0,SUMIFS(INDIRECT(ADDRESS(12,3+18*3+(6),,,"J1 A - (North) Bishopthorpe Roa")&amp;":"&amp;ADDRESS(130,3+18*3+(6))),'J1 A - (North) Bishopthorpe Roa'!$A$12:$A$130,"&gt;="&amp;Diagram!$O48,'J1 A - (North) Bishopthorpe Roa'!$A$12:$A$130,"&lt;"&amp;Diagram!$P48),SUMIFS(INDIRECT(ADDRESS(12,3+18*3+(14),,,"J1 A - (North) Bishopthorpe Roa")&amp;":"&amp;ADDRESS(130,3+18*3+(14))),'J1 A - (North) Bishopthorpe Roa'!$A$12:$A$130,"&gt;="&amp;Diagram!$O48,'J1 A - (North) Bishopthorpe Roa'!$A$12:$A$130,"&lt;"&amp;Diagram!$P48)))</f>
        <v>0</v>
      </c>
      <c r="DR48" s="42">
        <f ca="1">IF(OR($I$10="",$O48="",$P48="",$J$41&lt;&gt;"Yes"),0,IF($K$10=0,SUMIFS(INDIRECT(ADDRESS(12,3+18*0+(6),,,"J1 A - (North) Bishopthorpe Roa")&amp;":"&amp;ADDRESS(130,3+18*0+(6))),'J1 A - (North) Bishopthorpe Roa'!$A$12:$A$130,"&gt;="&amp;Diagram!$O48,'J1 A - (North) Bishopthorpe Roa'!$A$12:$A$130,"&lt;"&amp;Diagram!$P48),SUMIFS(INDIRECT(ADDRESS(12,3+18*0+(14),,,"J1 A - (North) Bishopthorpe Roa")&amp;":"&amp;ADDRESS(130,3+18*0+(14))),'J1 A - (North) Bishopthorpe Roa'!$A$12:$A$130,"&gt;="&amp;Diagram!$O48,'J1 A - (North) Bishopthorpe Roa'!$A$12:$A$130,"&lt;"&amp;Diagram!$P48)))</f>
        <v>0</v>
      </c>
      <c r="DS48" s="42">
        <f ca="1">IF(OR($I$10="",$O48="",$P48="",$J$41&lt;&gt;"Yes"),0,IF($K$10=0,SUMIFS(INDIRECT(ADDRESS(12,3+18*1+(6),,,"J1 A - (North) Bishopthorpe Roa")&amp;":"&amp;ADDRESS(130,3+18*1+(6))),'J1 A - (North) Bishopthorpe Roa'!$A$12:$A$130,"&gt;="&amp;Diagram!$O48,'J1 A - (North) Bishopthorpe Roa'!$A$12:$A$130,"&lt;"&amp;Diagram!$P48),SUMIFS(INDIRECT(ADDRESS(12,3+18*1+(14),,,"J1 A - (North) Bishopthorpe Roa")&amp;":"&amp;ADDRESS(130,3+18*1+(14))),'J1 A - (North) Bishopthorpe Roa'!$A$12:$A$130,"&gt;="&amp;Diagram!$O48,'J1 A - (North) Bishopthorpe Roa'!$A$12:$A$130,"&lt;"&amp;Diagram!$P48)))</f>
        <v>3</v>
      </c>
      <c r="DT48" s="42">
        <f ca="1">IF(OR($I$10="",$O48="",$P48="",$J$41&lt;&gt;"Yes"),0,IF($K$10=0,SUMIFS(INDIRECT(ADDRESS(12,3+18*2+(6),,,"J1 A - (North) Bishopthorpe Roa")&amp;":"&amp;ADDRESS(130,3+18*2+(6))),'J1 A - (North) Bishopthorpe Roa'!$A$12:$A$130,"&gt;="&amp;Diagram!$O48,'J1 A - (North) Bishopthorpe Roa'!$A$12:$A$130,"&lt;"&amp;Diagram!$P48),SUMIFS(INDIRECT(ADDRESS(12,3+18*2+(14),,,"J1 A - (North) Bishopthorpe Roa")&amp;":"&amp;ADDRESS(130,3+18*2+(14))),'J1 A - (North) Bishopthorpe Roa'!$A$12:$A$130,"&gt;="&amp;Diagram!$O48,'J1 A - (North) Bishopthorpe Roa'!$A$12:$A$130,"&lt;"&amp;Diagram!$P48)))</f>
        <v>0</v>
      </c>
      <c r="DU48" s="42">
        <f ca="1">IF(OR($I$10="",$O48="",$P48="",$J$41&lt;&gt;"Yes"),0,IF($K$10=0,SUMIFS(INDIRECT(ADDRESS(12,3+18*2+(6),,,"J1 B - Butcher Terrace")&amp;":"&amp;ADDRESS(130,3+18*2+(6))),'J1 B - Butcher Terrace'!$A$12:$A$130,"&gt;="&amp;Diagram!$O48,'J1 B - Butcher Terrace'!$A$12:$A$130,"&lt;"&amp;Diagram!$P48),SUMIFS(INDIRECT(ADDRESS(12,3+18*2+(14),,,"J1 B - Butcher Terrace")&amp;":"&amp;ADDRESS(130,3+18*2+(14))),'J1 B - Butcher Terrace'!$A$12:$A$130,"&gt;="&amp;Diagram!$O48,'J1 B - Butcher Terrace'!$A$12:$A$130,"&lt;"&amp;Diagram!$P48)))</f>
        <v>0</v>
      </c>
      <c r="DV48" s="42">
        <f ca="1">IF(OR($I$10="",$O48="",$P48="",$J$41&lt;&gt;"Yes"),0,IF($K$10=0,SUMIFS(INDIRECT(ADDRESS(12,3+18*3+(6),,,"J1 B - Butcher Terrace")&amp;":"&amp;ADDRESS(130,3+18*3+(6))),'J1 B - Butcher Terrace'!$A$12:$A$130,"&gt;="&amp;Diagram!$O48,'J1 B - Butcher Terrace'!$A$12:$A$130,"&lt;"&amp;Diagram!$P48),SUMIFS(INDIRECT(ADDRESS(12,3+18*3+(14),,,"J1 B - Butcher Terrace")&amp;":"&amp;ADDRESS(130,3+18*3+(14))),'J1 B - Butcher Terrace'!$A$12:$A$130,"&gt;="&amp;Diagram!$O48,'J1 B - Butcher Terrace'!$A$12:$A$130,"&lt;"&amp;Diagram!$P48)))</f>
        <v>0</v>
      </c>
      <c r="DW48" s="42">
        <f ca="1">IF(OR($I$10="",$O48="",$P48="",$J$41&lt;&gt;"Yes"),0,IF($K$10=0,SUMIFS(INDIRECT(ADDRESS(12,3+18*0+(6),,,"J1 B - Butcher Terrace")&amp;":"&amp;ADDRESS(130,3+18*0+(6))),'J1 B - Butcher Terrace'!$A$12:$A$130,"&gt;="&amp;Diagram!$O48,'J1 B - Butcher Terrace'!$A$12:$A$130,"&lt;"&amp;Diagram!$P48),SUMIFS(INDIRECT(ADDRESS(12,3+18*0+(14),,,"J1 B - Butcher Terrace")&amp;":"&amp;ADDRESS(130,3+18*0+(14))),'J1 B - Butcher Terrace'!$A$12:$A$130,"&gt;="&amp;Diagram!$O48,'J1 B - Butcher Terrace'!$A$12:$A$130,"&lt;"&amp;Diagram!$P48)))</f>
        <v>0</v>
      </c>
      <c r="DX48" s="42">
        <f ca="1">IF(OR($I$10="",$O48="",$P48="",$J$41&lt;&gt;"Yes"),0,IF($K$10=0,SUMIFS(INDIRECT(ADDRESS(12,3+18*1+(6),,,"J1 B - Butcher Terrace")&amp;":"&amp;ADDRESS(130,3+18*1+(6))),'J1 B - Butcher Terrace'!$A$12:$A$130,"&gt;="&amp;Diagram!$O48,'J1 B - Butcher Terrace'!$A$12:$A$130,"&lt;"&amp;Diagram!$P48),SUMIFS(INDIRECT(ADDRESS(12,3+18*1+(14),,,"J1 B - Butcher Terrace")&amp;":"&amp;ADDRESS(130,3+18*1+(14))),'J1 B - Butcher Terrace'!$A$12:$A$130,"&gt;="&amp;Diagram!$O48,'J1 B - Butcher Terrace'!$A$12:$A$130,"&lt;"&amp;Diagram!$P48)))</f>
        <v>0</v>
      </c>
      <c r="DY48" s="42">
        <f ca="1">IF(OR($I$10="",$O48="",$P48="",$J$41&lt;&gt;"Yes"),0,IF($K$10=0,SUMIFS(INDIRECT(ADDRESS(12,3+18*1+(6),,,"J1 C - (South) Bishopthorpe Roa")&amp;":"&amp;ADDRESS(130,3+18*1+(6))),'J1 C - (South) Bishopthorpe Roa'!$A$12:$A$130,"&gt;="&amp;Diagram!$O48,'J1 C - (South) Bishopthorpe Roa'!$A$12:$A$130,"&lt;"&amp;Diagram!$P48),SUMIFS(INDIRECT(ADDRESS(12,3+18*1+(14),,,"J1 C - (South) Bishopthorpe Roa")&amp;":"&amp;ADDRESS(130,3+18*1+(14))),'J1 C - (South) Bishopthorpe Roa'!$A$12:$A$130,"&gt;="&amp;Diagram!$O48,'J1 C - (South) Bishopthorpe Roa'!$A$12:$A$130,"&lt;"&amp;Diagram!$P48)))</f>
        <v>0</v>
      </c>
      <c r="DZ48" s="42">
        <f ca="1">IF(OR($I$10="",$O48="",$P48="",$J$41&lt;&gt;"Yes"),0,IF($K$10=0,SUMIFS(INDIRECT(ADDRESS(12,3+18*2+(6),,,"J1 C - (South) Bishopthorpe Roa")&amp;":"&amp;ADDRESS(130,3+18*2+(6))),'J1 C - (South) Bishopthorpe Roa'!$A$12:$A$130,"&gt;="&amp;Diagram!$O48,'J1 C - (South) Bishopthorpe Roa'!$A$12:$A$130,"&lt;"&amp;Diagram!$P48),SUMIFS(INDIRECT(ADDRESS(12,3+18*2+(14),,,"J1 C - (South) Bishopthorpe Roa")&amp;":"&amp;ADDRESS(130,3+18*2+(14))),'J1 C - (South) Bishopthorpe Roa'!$A$12:$A$130,"&gt;="&amp;Diagram!$O48,'J1 C - (South) Bishopthorpe Roa'!$A$12:$A$130,"&lt;"&amp;Diagram!$P48)))</f>
        <v>0</v>
      </c>
      <c r="EA48" s="42">
        <f ca="1">IF(OR($I$10="",$O48="",$P48="",$J$41&lt;&gt;"Yes"),0,IF($K$10=0,SUMIFS(INDIRECT(ADDRESS(12,3+18*3+(6),,,"J1 C - (South) Bishopthorpe Roa")&amp;":"&amp;ADDRESS(130,3+18*3+(6))),'J1 C - (South) Bishopthorpe Roa'!$A$12:$A$130,"&gt;="&amp;Diagram!$O48,'J1 C - (South) Bishopthorpe Roa'!$A$12:$A$130,"&lt;"&amp;Diagram!$P48),SUMIFS(INDIRECT(ADDRESS(12,3+18*3+(14),,,"J1 C - (South) Bishopthorpe Roa")&amp;":"&amp;ADDRESS(130,3+18*3+(14))),'J1 C - (South) Bishopthorpe Roa'!$A$12:$A$130,"&gt;="&amp;Diagram!$O48,'J1 C - (South) Bishopthorpe Roa'!$A$12:$A$130,"&lt;"&amp;Diagram!$P48)))</f>
        <v>0</v>
      </c>
      <c r="EB48" s="42">
        <f ca="1">IF(OR($I$10="",$O48="",$P48="",$J$41&lt;&gt;"Yes"),0,IF($K$10=0,SUMIFS(INDIRECT(ADDRESS(12,3+18*0+(6),,,"J1 C - (South) Bishopthorpe Roa")&amp;":"&amp;ADDRESS(130,3+18*0+(6))),'J1 C - (South) Bishopthorpe Roa'!$A$12:$A$130,"&gt;="&amp;Diagram!$O48,'J1 C - (South) Bishopthorpe Roa'!$A$12:$A$130,"&lt;"&amp;Diagram!$P48),SUMIFS(INDIRECT(ADDRESS(12,3+18*0+(14),,,"J1 C - (South) Bishopthorpe Roa")&amp;":"&amp;ADDRESS(130,3+18*0+(14))),'J1 C - (South) Bishopthorpe Roa'!$A$12:$A$130,"&gt;="&amp;Diagram!$O48,'J1 C - (South) Bishopthorpe Roa'!$A$12:$A$130,"&lt;"&amp;Diagram!$P48)))</f>
        <v>0</v>
      </c>
      <c r="EC48" s="42">
        <f ca="1">IF(OR($I$10="",$O48="",$P48="",$J$41&lt;&gt;"Yes"),0,IF($K$10=0,SUMIFS(INDIRECT(ADDRESS(12,3+18*0+(6),,,"J1 D - South Bank Avenue")&amp;":"&amp;ADDRESS(130,3+18*0+(6))),'J1 D - South Bank Avenue'!$A$12:$A$130,"&gt;="&amp;Diagram!$O48,'J1 D - South Bank Avenue'!$A$12:$A$130,"&lt;"&amp;Diagram!$P48),SUMIFS(INDIRECT(ADDRESS(12,3+18*0+(14),,,"J1 D - South Bank Avenue")&amp;":"&amp;ADDRESS(130,3+18*0+(14))),'J1 D - South Bank Avenue'!$A$12:$A$130,"&gt;="&amp;Diagram!$O48,'J1 D - South Bank Avenue'!$A$12:$A$130,"&lt;"&amp;Diagram!$P48)))</f>
        <v>0</v>
      </c>
      <c r="ED48" s="42">
        <f ca="1">IF(OR($I$10="",$O48="",$P48="",$J$41&lt;&gt;"Yes"),0,IF($K$10=0,SUMIFS(INDIRECT(ADDRESS(12,3+18*1+(6),,,"J1 D - South Bank Avenue")&amp;":"&amp;ADDRESS(130,3+18*1+(6))),'J1 D - South Bank Avenue'!$A$12:$A$130,"&gt;="&amp;Diagram!$O48,'J1 D - South Bank Avenue'!$A$12:$A$130,"&lt;"&amp;Diagram!$P48),SUMIFS(INDIRECT(ADDRESS(12,3+18*1+(14),,,"J1 D - South Bank Avenue")&amp;":"&amp;ADDRESS(130,3+18*1+(14))),'J1 D - South Bank Avenue'!$A$12:$A$130,"&gt;="&amp;Diagram!$O48,'J1 D - South Bank Avenue'!$A$12:$A$130,"&lt;"&amp;Diagram!$P48)))</f>
        <v>0</v>
      </c>
      <c r="EE48" s="42">
        <f ca="1">IF(OR($I$10="",$O48="",$P48="",$J$41&lt;&gt;"Yes"),0,IF($K$10=0,SUMIFS(INDIRECT(ADDRESS(12,3+18*2+(6),,,"J1 D - South Bank Avenue")&amp;":"&amp;ADDRESS(130,3+18*2+(6))),'J1 D - South Bank Avenue'!$A$12:$A$130,"&gt;="&amp;Diagram!$O48,'J1 D - South Bank Avenue'!$A$12:$A$130,"&lt;"&amp;Diagram!$P48),SUMIFS(INDIRECT(ADDRESS(12,3+18*2+(14),,,"J1 D - South Bank Avenue")&amp;":"&amp;ADDRESS(130,3+18*2+(14))),'J1 D - South Bank Avenue'!$A$12:$A$130,"&gt;="&amp;Diagram!$O48,'J1 D - South Bank Avenue'!$A$12:$A$130,"&lt;"&amp;Diagram!$P48)))</f>
        <v>0</v>
      </c>
      <c r="EF48" s="42">
        <f ca="1">IF(OR($I$10="",$O48="",$P48="",$J$41&lt;&gt;"Yes"),0,IF($K$10=0,SUMIFS(INDIRECT(ADDRESS(12,3+18*3+(6),,,"J1 D - South Bank Avenue")&amp;":"&amp;ADDRESS(130,3+18*3+(6))),'J1 D - South Bank Avenue'!$A$12:$A$130,"&gt;="&amp;Diagram!$O48,'J1 D - South Bank Avenue'!$A$12:$A$130,"&lt;"&amp;Diagram!$P48),SUMIFS(INDIRECT(ADDRESS(12,3+18*3+(14),,,"J1 D - South Bank Avenue")&amp;":"&amp;ADDRESS(130,3+18*3+(14))),'J1 D - South Bank Avenue'!$A$12:$A$130,"&gt;="&amp;Diagram!$O48,'J1 D - South Bank Avenue'!$A$12:$A$130,"&lt;"&amp;Diagram!$P48)))</f>
        <v>0</v>
      </c>
      <c r="EG48" s="42">
        <f t="shared" ca="1" si="8"/>
        <v>4</v>
      </c>
      <c r="EH48" s="42">
        <f ca="1">IF(OR($I$10="",$O48="",$P48="",$J$42&lt;&gt;"Yes"),0,IF($K$10=0,SUMIFS(INDIRECT(ADDRESS(12,3+18*3+(7),,,"J1 A - (North) Bishopthorpe Roa")&amp;":"&amp;ADDRESS(130,3+18*3+(7))),'J1 A - (North) Bishopthorpe Roa'!$A$12:$A$130,"&gt;="&amp;Diagram!$O48,'J1 A - (North) Bishopthorpe Roa'!$A$12:$A$130,"&lt;"&amp;Diagram!$P48),SUMIFS(INDIRECT(ADDRESS(12,3+18*3+(15),,,"J1 A - (North) Bishopthorpe Roa")&amp;":"&amp;ADDRESS(130,3+18*3+(15))),'J1 A - (North) Bishopthorpe Roa'!$A$12:$A$130,"&gt;="&amp;Diagram!$O48,'J1 A - (North) Bishopthorpe Roa'!$A$12:$A$130,"&lt;"&amp;Diagram!$P48)))</f>
        <v>0</v>
      </c>
      <c r="EI48" s="42">
        <f ca="1">IF(OR($I$10="",$O48="",$P48="",$J$42&lt;&gt;"Yes"),0,IF($K$10=0,SUMIFS(INDIRECT(ADDRESS(12,3+18*0+(7),,,"J1 A - (North) Bishopthorpe Roa")&amp;":"&amp;ADDRESS(130,3+18*0+(7))),'J1 A - (North) Bishopthorpe Roa'!$A$12:$A$130,"&gt;="&amp;Diagram!$O48,'J1 A - (North) Bishopthorpe Roa'!$A$12:$A$130,"&lt;"&amp;Diagram!$P48),SUMIFS(INDIRECT(ADDRESS(12,3+18*0+(15),,,"J1 A - (North) Bishopthorpe Roa")&amp;":"&amp;ADDRESS(130,3+18*0+(15))),'J1 A - (North) Bishopthorpe Roa'!$A$12:$A$130,"&gt;="&amp;Diagram!$O48,'J1 A - (North) Bishopthorpe Roa'!$A$12:$A$130,"&lt;"&amp;Diagram!$P48)))</f>
        <v>4</v>
      </c>
      <c r="EJ48" s="42">
        <f ca="1">IF(OR($I$10="",$O48="",$P48="",$J$42&lt;&gt;"Yes"),0,IF($K$10=0,SUMIFS(INDIRECT(ADDRESS(12,3+18*1+(7),,,"J1 A - (North) Bishopthorpe Roa")&amp;":"&amp;ADDRESS(130,3+18*1+(7))),'J1 A - (North) Bishopthorpe Roa'!$A$12:$A$130,"&gt;="&amp;Diagram!$O48,'J1 A - (North) Bishopthorpe Roa'!$A$12:$A$130,"&lt;"&amp;Diagram!$P48),SUMIFS(INDIRECT(ADDRESS(12,3+18*1+(15),,,"J1 A - (North) Bishopthorpe Roa")&amp;":"&amp;ADDRESS(130,3+18*1+(15))),'J1 A - (North) Bishopthorpe Roa'!$A$12:$A$130,"&gt;="&amp;Diagram!$O48,'J1 A - (North) Bishopthorpe Roa'!$A$12:$A$130,"&lt;"&amp;Diagram!$P48)))</f>
        <v>0</v>
      </c>
      <c r="EK48" s="42">
        <f ca="1">IF(OR($I$10="",$O48="",$P48="",$J$42&lt;&gt;"Yes"),0,IF($K$10=0,SUMIFS(INDIRECT(ADDRESS(12,3+18*2+(7),,,"J1 A - (North) Bishopthorpe Roa")&amp;":"&amp;ADDRESS(130,3+18*2+(7))),'J1 A - (North) Bishopthorpe Roa'!$A$12:$A$130,"&gt;="&amp;Diagram!$O48,'J1 A - (North) Bishopthorpe Roa'!$A$12:$A$130,"&lt;"&amp;Diagram!$P48),SUMIFS(INDIRECT(ADDRESS(12,3+18*2+(15),,,"J1 A - (North) Bishopthorpe Roa")&amp;":"&amp;ADDRESS(130,3+18*2+(15))),'J1 A - (North) Bishopthorpe Roa'!$A$12:$A$130,"&gt;="&amp;Diagram!$O48,'J1 A - (North) Bishopthorpe Roa'!$A$12:$A$130,"&lt;"&amp;Diagram!$P48)))</f>
        <v>0</v>
      </c>
      <c r="EL48" s="42">
        <f ca="1">IF(OR($I$10="",$O48="",$P48="",$J$42&lt;&gt;"Yes"),0,IF($K$10=0,SUMIFS(INDIRECT(ADDRESS(12,3+18*2+(7),,,"J1 B - Butcher Terrace")&amp;":"&amp;ADDRESS(130,3+18*2+(7))),'J1 B - Butcher Terrace'!$A$12:$A$130,"&gt;="&amp;Diagram!$O48,'J1 B - Butcher Terrace'!$A$12:$A$130,"&lt;"&amp;Diagram!$P48),SUMIFS(INDIRECT(ADDRESS(12,3+18*2+(15),,,"J1 B - Butcher Terrace")&amp;":"&amp;ADDRESS(130,3+18*2+(15))),'J1 B - Butcher Terrace'!$A$12:$A$130,"&gt;="&amp;Diagram!$O48,'J1 B - Butcher Terrace'!$A$12:$A$130,"&lt;"&amp;Diagram!$P48)))</f>
        <v>0</v>
      </c>
      <c r="EM48" s="42">
        <f ca="1">IF(OR($I$10="",$O48="",$P48="",$J$42&lt;&gt;"Yes"),0,IF($K$10=0,SUMIFS(INDIRECT(ADDRESS(12,3+18*3+(7),,,"J1 B - Butcher Terrace")&amp;":"&amp;ADDRESS(130,3+18*3+(7))),'J1 B - Butcher Terrace'!$A$12:$A$130,"&gt;="&amp;Diagram!$O48,'J1 B - Butcher Terrace'!$A$12:$A$130,"&lt;"&amp;Diagram!$P48),SUMIFS(INDIRECT(ADDRESS(12,3+18*3+(15),,,"J1 B - Butcher Terrace")&amp;":"&amp;ADDRESS(130,3+18*3+(15))),'J1 B - Butcher Terrace'!$A$12:$A$130,"&gt;="&amp;Diagram!$O48,'J1 B - Butcher Terrace'!$A$12:$A$130,"&lt;"&amp;Diagram!$P48)))</f>
        <v>0</v>
      </c>
      <c r="EN48" s="42">
        <f ca="1">IF(OR($I$10="",$O48="",$P48="",$J$42&lt;&gt;"Yes"),0,IF($K$10=0,SUMIFS(INDIRECT(ADDRESS(12,3+18*0+(7),,,"J1 B - Butcher Terrace")&amp;":"&amp;ADDRESS(130,3+18*0+(7))),'J1 B - Butcher Terrace'!$A$12:$A$130,"&gt;="&amp;Diagram!$O48,'J1 B - Butcher Terrace'!$A$12:$A$130,"&lt;"&amp;Diagram!$P48),SUMIFS(INDIRECT(ADDRESS(12,3+18*0+(15),,,"J1 B - Butcher Terrace")&amp;":"&amp;ADDRESS(130,3+18*0+(15))),'J1 B - Butcher Terrace'!$A$12:$A$130,"&gt;="&amp;Diagram!$O48,'J1 B - Butcher Terrace'!$A$12:$A$130,"&lt;"&amp;Diagram!$P48)))</f>
        <v>0</v>
      </c>
      <c r="EO48" s="42">
        <f ca="1">IF(OR($I$10="",$O48="",$P48="",$J$42&lt;&gt;"Yes"),0,IF($K$10=0,SUMIFS(INDIRECT(ADDRESS(12,3+18*1+(7),,,"J1 B - Butcher Terrace")&amp;":"&amp;ADDRESS(130,3+18*1+(7))),'J1 B - Butcher Terrace'!$A$12:$A$130,"&gt;="&amp;Diagram!$O48,'J1 B - Butcher Terrace'!$A$12:$A$130,"&lt;"&amp;Diagram!$P48),SUMIFS(INDIRECT(ADDRESS(12,3+18*1+(15),,,"J1 B - Butcher Terrace")&amp;":"&amp;ADDRESS(130,3+18*1+(15))),'J1 B - Butcher Terrace'!$A$12:$A$130,"&gt;="&amp;Diagram!$O48,'J1 B - Butcher Terrace'!$A$12:$A$130,"&lt;"&amp;Diagram!$P48)))</f>
        <v>0</v>
      </c>
      <c r="EP48" s="42">
        <f ca="1">IF(OR($I$10="",$O48="",$P48="",$J$42&lt;&gt;"Yes"),0,IF($K$10=0,SUMIFS(INDIRECT(ADDRESS(12,3+18*1+(7),,,"J1 C - (South) Bishopthorpe Roa")&amp;":"&amp;ADDRESS(130,3+18*1+(7))),'J1 C - (South) Bishopthorpe Roa'!$A$12:$A$130,"&gt;="&amp;Diagram!$O48,'J1 C - (South) Bishopthorpe Roa'!$A$12:$A$130,"&lt;"&amp;Diagram!$P48),SUMIFS(INDIRECT(ADDRESS(12,3+18*1+(15),,,"J1 C - (South) Bishopthorpe Roa")&amp;":"&amp;ADDRESS(130,3+18*1+(15))),'J1 C - (South) Bishopthorpe Roa'!$A$12:$A$130,"&gt;="&amp;Diagram!$O48,'J1 C - (South) Bishopthorpe Roa'!$A$12:$A$130,"&lt;"&amp;Diagram!$P48)))</f>
        <v>0</v>
      </c>
      <c r="EQ48" s="42">
        <f ca="1">IF(OR($I$10="",$O48="",$P48="",$J$42&lt;&gt;"Yes"),0,IF($K$10=0,SUMIFS(INDIRECT(ADDRESS(12,3+18*2+(7),,,"J1 C - (South) Bishopthorpe Roa")&amp;":"&amp;ADDRESS(130,3+18*2+(7))),'J1 C - (South) Bishopthorpe Roa'!$A$12:$A$130,"&gt;="&amp;Diagram!$O48,'J1 C - (South) Bishopthorpe Roa'!$A$12:$A$130,"&lt;"&amp;Diagram!$P48),SUMIFS(INDIRECT(ADDRESS(12,3+18*2+(15),,,"J1 C - (South) Bishopthorpe Roa")&amp;":"&amp;ADDRESS(130,3+18*2+(15))),'J1 C - (South) Bishopthorpe Roa'!$A$12:$A$130,"&gt;="&amp;Diagram!$O48,'J1 C - (South) Bishopthorpe Roa'!$A$12:$A$130,"&lt;"&amp;Diagram!$P48)))</f>
        <v>0</v>
      </c>
      <c r="ER48" s="42">
        <f ca="1">IF(OR($I$10="",$O48="",$P48="",$J$42&lt;&gt;"Yes"),0,IF($K$10=0,SUMIFS(INDIRECT(ADDRESS(12,3+18*3+(7),,,"J1 C - (South) Bishopthorpe Roa")&amp;":"&amp;ADDRESS(130,3+18*3+(7))),'J1 C - (South) Bishopthorpe Roa'!$A$12:$A$130,"&gt;="&amp;Diagram!$O48,'J1 C - (South) Bishopthorpe Roa'!$A$12:$A$130,"&lt;"&amp;Diagram!$P48),SUMIFS(INDIRECT(ADDRESS(12,3+18*3+(15),,,"J1 C - (South) Bishopthorpe Roa")&amp;":"&amp;ADDRESS(130,3+18*3+(15))),'J1 C - (South) Bishopthorpe Roa'!$A$12:$A$130,"&gt;="&amp;Diagram!$O48,'J1 C - (South) Bishopthorpe Roa'!$A$12:$A$130,"&lt;"&amp;Diagram!$P48)))</f>
        <v>0</v>
      </c>
      <c r="ES48" s="42">
        <f ca="1">IF(OR($I$10="",$O48="",$P48="",$J$42&lt;&gt;"Yes"),0,IF($K$10=0,SUMIFS(INDIRECT(ADDRESS(12,3+18*0+(7),,,"J1 C - (South) Bishopthorpe Roa")&amp;":"&amp;ADDRESS(130,3+18*0+(7))),'J1 C - (South) Bishopthorpe Roa'!$A$12:$A$130,"&gt;="&amp;Diagram!$O48,'J1 C - (South) Bishopthorpe Roa'!$A$12:$A$130,"&lt;"&amp;Diagram!$P48),SUMIFS(INDIRECT(ADDRESS(12,3+18*0+(15),,,"J1 C - (South) Bishopthorpe Roa")&amp;":"&amp;ADDRESS(130,3+18*0+(15))),'J1 C - (South) Bishopthorpe Roa'!$A$12:$A$130,"&gt;="&amp;Diagram!$O48,'J1 C - (South) Bishopthorpe Roa'!$A$12:$A$130,"&lt;"&amp;Diagram!$P48)))</f>
        <v>0</v>
      </c>
      <c r="ET48" s="42">
        <f ca="1">IF(OR($I$10="",$O48="",$P48="",$J$42&lt;&gt;"Yes"),0,IF($K$10=0,SUMIFS(INDIRECT(ADDRESS(12,3+18*0+(7),,,"J1 D - South Bank Avenue")&amp;":"&amp;ADDRESS(130,3+18*0+(7))),'J1 D - South Bank Avenue'!$A$12:$A$130,"&gt;="&amp;Diagram!$O48,'J1 D - South Bank Avenue'!$A$12:$A$130,"&lt;"&amp;Diagram!$P48),SUMIFS(INDIRECT(ADDRESS(12,3+18*0+(15),,,"J1 D - South Bank Avenue")&amp;":"&amp;ADDRESS(130,3+18*0+(15))),'J1 D - South Bank Avenue'!$A$12:$A$130,"&gt;="&amp;Diagram!$O48,'J1 D - South Bank Avenue'!$A$12:$A$130,"&lt;"&amp;Diagram!$P48)))</f>
        <v>0</v>
      </c>
      <c r="EU48" s="42">
        <f ca="1">IF(OR($I$10="",$O48="",$P48="",$J$42&lt;&gt;"Yes"),0,IF($K$10=0,SUMIFS(INDIRECT(ADDRESS(12,3+18*1+(7),,,"J1 D - South Bank Avenue")&amp;":"&amp;ADDRESS(130,3+18*1+(7))),'J1 D - South Bank Avenue'!$A$12:$A$130,"&gt;="&amp;Diagram!$O48,'J1 D - South Bank Avenue'!$A$12:$A$130,"&lt;"&amp;Diagram!$P48),SUMIFS(INDIRECT(ADDRESS(12,3+18*1+(15),,,"J1 D - South Bank Avenue")&amp;":"&amp;ADDRESS(130,3+18*1+(15))),'J1 D - South Bank Avenue'!$A$12:$A$130,"&gt;="&amp;Diagram!$O48,'J1 D - South Bank Avenue'!$A$12:$A$130,"&lt;"&amp;Diagram!$P48)))</f>
        <v>0</v>
      </c>
      <c r="EV48" s="42">
        <f ca="1">IF(OR($I$10="",$O48="",$P48="",$J$42&lt;&gt;"Yes"),0,IF($K$10=0,SUMIFS(INDIRECT(ADDRESS(12,3+18*2+(7),,,"J1 D - South Bank Avenue")&amp;":"&amp;ADDRESS(130,3+18*2+(7))),'J1 D - South Bank Avenue'!$A$12:$A$130,"&gt;="&amp;Diagram!$O48,'J1 D - South Bank Avenue'!$A$12:$A$130,"&lt;"&amp;Diagram!$P48),SUMIFS(INDIRECT(ADDRESS(12,3+18*2+(15),,,"J1 D - South Bank Avenue")&amp;":"&amp;ADDRESS(130,3+18*2+(15))),'J1 D - South Bank Avenue'!$A$12:$A$130,"&gt;="&amp;Diagram!$O48,'J1 D - South Bank Avenue'!$A$12:$A$130,"&lt;"&amp;Diagram!$P48)))</f>
        <v>0</v>
      </c>
      <c r="EW48" s="42">
        <f ca="1">IF(OR($I$10="",$O48="",$P48="",$J$42&lt;&gt;"Yes"),0,IF($K$10=0,SUMIFS(INDIRECT(ADDRESS(12,3+18*3+(7),,,"J1 D - South Bank Avenue")&amp;":"&amp;ADDRESS(130,3+18*3+(7))),'J1 D - South Bank Avenue'!$A$12:$A$130,"&gt;="&amp;Diagram!$O48,'J1 D - South Bank Avenue'!$A$12:$A$130,"&lt;"&amp;Diagram!$P48),SUMIFS(INDIRECT(ADDRESS(12,3+18*3+(15),,,"J1 D - South Bank Avenue")&amp;":"&amp;ADDRESS(130,3+18*3+(15))),'J1 D - South Bank Avenue'!$A$12:$A$130,"&gt;="&amp;Diagram!$O48,'J1 D - South Bank Avenue'!$A$12:$A$130,"&lt;"&amp;Diagram!$P48)))</f>
        <v>0</v>
      </c>
    </row>
    <row r="49" spans="1:153">
      <c r="A49" s="1">
        <v>44395.5</v>
      </c>
      <c r="B49" s="1">
        <v>44395.510416666701</v>
      </c>
      <c r="O49" s="3">
        <v>44395.5</v>
      </c>
      <c r="P49" s="3">
        <v>44395.541666666701</v>
      </c>
      <c r="Q49" s="42">
        <f t="shared" ca="1" si="0"/>
        <v>739</v>
      </c>
      <c r="R49" s="42">
        <f t="shared" ca="1" si="1"/>
        <v>522</v>
      </c>
      <c r="S49" s="42">
        <f ca="1">IF(OR($I$10="",$O49="",$P49="",$J$35&lt;&gt;"Yes"),0,IF($K$10=0,SUMIFS(INDIRECT(ADDRESS(12,3+18*3+(0),,,"J1 A - (North) Bishopthorpe Roa")&amp;":"&amp;ADDRESS(130,3+18*3+(0))),'J1 A - (North) Bishopthorpe Roa'!$A$12:$A$130,"&gt;="&amp;Diagram!$O49,'J1 A - (North) Bishopthorpe Roa'!$A$12:$A$130,"&lt;"&amp;Diagram!$P49),SUMIFS(INDIRECT(ADDRESS(12,3+18*3+(8),,,"J1 A - (North) Bishopthorpe Roa")&amp;":"&amp;ADDRESS(130,3+18*3+(8))),'J1 A - (North) Bishopthorpe Roa'!$A$12:$A$130,"&gt;="&amp;Diagram!$O49,'J1 A - (North) Bishopthorpe Roa'!$A$12:$A$130,"&lt;"&amp;Diagram!$P49)))</f>
        <v>2</v>
      </c>
      <c r="T49" s="42">
        <f ca="1">IF(OR($I$10="",$O49="",$P49="",$J$35&lt;&gt;"Yes"),0,IF($K$10=0,SUMIFS(INDIRECT(ADDRESS(12,3+18*0+(0),,,"J1 A - (North) Bishopthorpe Roa")&amp;":"&amp;ADDRESS(130,3+18*0+(0))),'J1 A - (North) Bishopthorpe Roa'!$A$12:$A$130,"&gt;="&amp;Diagram!$O49,'J1 A - (North) Bishopthorpe Roa'!$A$12:$A$130,"&lt;"&amp;Diagram!$P49),SUMIFS(INDIRECT(ADDRESS(12,3+18*0+(8),,,"J1 A - (North) Bishopthorpe Roa")&amp;":"&amp;ADDRESS(130,3+18*0+(8))),'J1 A - (North) Bishopthorpe Roa'!$A$12:$A$130,"&gt;="&amp;Diagram!$O49,'J1 A - (North) Bishopthorpe Roa'!$A$12:$A$130,"&lt;"&amp;Diagram!$P49)))</f>
        <v>16</v>
      </c>
      <c r="U49" s="42">
        <f ca="1">IF(OR($I$10="",$O49="",$P49="",$J$35&lt;&gt;"Yes"),0,IF($K$10=0,SUMIFS(INDIRECT(ADDRESS(12,3+18*1+(0),,,"J1 A - (North) Bishopthorpe Roa")&amp;":"&amp;ADDRESS(130,3+18*1+(0))),'J1 A - (North) Bishopthorpe Roa'!$A$12:$A$130,"&gt;="&amp;Diagram!$O49,'J1 A - (North) Bishopthorpe Roa'!$A$12:$A$130,"&lt;"&amp;Diagram!$P49),SUMIFS(INDIRECT(ADDRESS(12,3+18*1+(8),,,"J1 A - (North) Bishopthorpe Roa")&amp;":"&amp;ADDRESS(130,3+18*1+(8))),'J1 A - (North) Bishopthorpe Roa'!$A$12:$A$130,"&gt;="&amp;Diagram!$O49,'J1 A - (North) Bishopthorpe Roa'!$A$12:$A$130,"&lt;"&amp;Diagram!$P49)))</f>
        <v>210</v>
      </c>
      <c r="V49" s="42">
        <f ca="1">IF(OR($I$10="",$O49="",$P49="",$J$35&lt;&gt;"Yes"),0,IF($K$10=0,SUMIFS(INDIRECT(ADDRESS(12,3+18*2+(0),,,"J1 A - (North) Bishopthorpe Roa")&amp;":"&amp;ADDRESS(130,3+18*2+(0))),'J1 A - (North) Bishopthorpe Roa'!$A$12:$A$130,"&gt;="&amp;Diagram!$O49,'J1 A - (North) Bishopthorpe Roa'!$A$12:$A$130,"&lt;"&amp;Diagram!$P49),SUMIFS(INDIRECT(ADDRESS(12,3+18*2+(8),,,"J1 A - (North) Bishopthorpe Roa")&amp;":"&amp;ADDRESS(130,3+18*2+(8))),'J1 A - (North) Bishopthorpe Roa'!$A$12:$A$130,"&gt;="&amp;Diagram!$O49,'J1 A - (North) Bishopthorpe Roa'!$A$12:$A$130,"&lt;"&amp;Diagram!$P49)))</f>
        <v>23</v>
      </c>
      <c r="W49" s="42">
        <f ca="1">IF(OR($I$10="",$O49="",$P49="",$J$35&lt;&gt;"Yes"),0,IF($K$10=0,SUMIFS(INDIRECT(ADDRESS(12,3+18*2+(0),,,"J1 B - Butcher Terrace")&amp;":"&amp;ADDRESS(130,3+18*2+(0))),'J1 B - Butcher Terrace'!$A$12:$A$130,"&gt;="&amp;Diagram!$O49,'J1 B - Butcher Terrace'!$A$12:$A$130,"&lt;"&amp;Diagram!$P49),SUMIFS(INDIRECT(ADDRESS(12,3+18*2+(8),,,"J1 B - Butcher Terrace")&amp;":"&amp;ADDRESS(130,3+18*2+(8))),'J1 B - Butcher Terrace'!$A$12:$A$130,"&gt;="&amp;Diagram!$O49,'J1 B - Butcher Terrace'!$A$12:$A$130,"&lt;"&amp;Diagram!$P49)))</f>
        <v>15</v>
      </c>
      <c r="X49" s="42">
        <f ca="1">IF(OR($I$10="",$O49="",$P49="",$J$35&lt;&gt;"Yes"),0,IF($K$10=0,SUMIFS(INDIRECT(ADDRESS(12,3+18*3+(0),,,"J1 B - Butcher Terrace")&amp;":"&amp;ADDRESS(130,3+18*3+(0))),'J1 B - Butcher Terrace'!$A$12:$A$130,"&gt;="&amp;Diagram!$O49,'J1 B - Butcher Terrace'!$A$12:$A$130,"&lt;"&amp;Diagram!$P49),SUMIFS(INDIRECT(ADDRESS(12,3+18*3+(8),,,"J1 B - Butcher Terrace")&amp;":"&amp;ADDRESS(130,3+18*3+(8))),'J1 B - Butcher Terrace'!$A$12:$A$130,"&gt;="&amp;Diagram!$O49,'J1 B - Butcher Terrace'!$A$12:$A$130,"&lt;"&amp;Diagram!$P49)))</f>
        <v>0</v>
      </c>
      <c r="Y49" s="42">
        <f ca="1">IF(OR($I$10="",$O49="",$P49="",$J$35&lt;&gt;"Yes"),0,IF($K$10=0,SUMIFS(INDIRECT(ADDRESS(12,3+18*0+(0),,,"J1 B - Butcher Terrace")&amp;":"&amp;ADDRESS(130,3+18*0+(0))),'J1 B - Butcher Terrace'!$A$12:$A$130,"&gt;="&amp;Diagram!$O49,'J1 B - Butcher Terrace'!$A$12:$A$130,"&lt;"&amp;Diagram!$P49),SUMIFS(INDIRECT(ADDRESS(12,3+18*0+(8),,,"J1 B - Butcher Terrace")&amp;":"&amp;ADDRESS(130,3+18*0+(8))),'J1 B - Butcher Terrace'!$A$12:$A$130,"&gt;="&amp;Diagram!$O49,'J1 B - Butcher Terrace'!$A$12:$A$130,"&lt;"&amp;Diagram!$P49)))</f>
        <v>2</v>
      </c>
      <c r="Z49" s="42">
        <f ca="1">IF(OR($I$10="",$O49="",$P49="",$J$35&lt;&gt;"Yes"),0,IF($K$10=0,SUMIFS(INDIRECT(ADDRESS(12,3+18*1+(0),,,"J1 B - Butcher Terrace")&amp;":"&amp;ADDRESS(130,3+18*1+(0))),'J1 B - Butcher Terrace'!$A$12:$A$130,"&gt;="&amp;Diagram!$O49,'J1 B - Butcher Terrace'!$A$12:$A$130,"&lt;"&amp;Diagram!$P49),SUMIFS(INDIRECT(ADDRESS(12,3+18*1+(8),,,"J1 B - Butcher Terrace")&amp;":"&amp;ADDRESS(130,3+18*1+(8))),'J1 B - Butcher Terrace'!$A$12:$A$130,"&gt;="&amp;Diagram!$O49,'J1 B - Butcher Terrace'!$A$12:$A$130,"&lt;"&amp;Diagram!$P49)))</f>
        <v>0</v>
      </c>
      <c r="AA49" s="42">
        <f ca="1">IF(OR($I$10="",$O49="",$P49="",$J$35&lt;&gt;"Yes"),0,IF($K$10=0,SUMIFS(INDIRECT(ADDRESS(12,3+18*1+(0),,,"J1 C - (South) Bishopthorpe Roa")&amp;":"&amp;ADDRESS(130,3+18*1+(0))),'J1 C - (South) Bishopthorpe Roa'!$A$12:$A$130,"&gt;="&amp;Diagram!$O49,'J1 C - (South) Bishopthorpe Roa'!$A$12:$A$130,"&lt;"&amp;Diagram!$P49),SUMIFS(INDIRECT(ADDRESS(12,3+18*1+(8),,,"J1 C - (South) Bishopthorpe Roa")&amp;":"&amp;ADDRESS(130,3+18*1+(8))),'J1 C - (South) Bishopthorpe Roa'!$A$12:$A$130,"&gt;="&amp;Diagram!$O49,'J1 C - (South) Bishopthorpe Roa'!$A$12:$A$130,"&lt;"&amp;Diagram!$P49)))</f>
        <v>216</v>
      </c>
      <c r="AB49" s="42">
        <f ca="1">IF(OR($I$10="",$O49="",$P49="",$J$35&lt;&gt;"Yes"),0,IF($K$10=0,SUMIFS(INDIRECT(ADDRESS(12,3+18*2+(0),,,"J1 C - (South) Bishopthorpe Roa")&amp;":"&amp;ADDRESS(130,3+18*2+(0))),'J1 C - (South) Bishopthorpe Roa'!$A$12:$A$130,"&gt;="&amp;Diagram!$O49,'J1 C - (South) Bishopthorpe Roa'!$A$12:$A$130,"&lt;"&amp;Diagram!$P49),SUMIFS(INDIRECT(ADDRESS(12,3+18*2+(8),,,"J1 C - (South) Bishopthorpe Roa")&amp;":"&amp;ADDRESS(130,3+18*2+(8))),'J1 C - (South) Bishopthorpe Roa'!$A$12:$A$130,"&gt;="&amp;Diagram!$O49,'J1 C - (South) Bishopthorpe Roa'!$A$12:$A$130,"&lt;"&amp;Diagram!$P49)))</f>
        <v>2</v>
      </c>
      <c r="AC49" s="42">
        <f ca="1">IF(OR($I$10="",$O49="",$P49="",$J$35&lt;&gt;"Yes"),0,IF($K$10=0,SUMIFS(INDIRECT(ADDRESS(12,3+18*3+(0),,,"J1 C - (South) Bishopthorpe Roa")&amp;":"&amp;ADDRESS(130,3+18*3+(0))),'J1 C - (South) Bishopthorpe Roa'!$A$12:$A$130,"&gt;="&amp;Diagram!$O49,'J1 C - (South) Bishopthorpe Roa'!$A$12:$A$130,"&lt;"&amp;Diagram!$P49),SUMIFS(INDIRECT(ADDRESS(12,3+18*3+(8),,,"J1 C - (South) Bishopthorpe Roa")&amp;":"&amp;ADDRESS(130,3+18*3+(8))),'J1 C - (South) Bishopthorpe Roa'!$A$12:$A$130,"&gt;="&amp;Diagram!$O49,'J1 C - (South) Bishopthorpe Roa'!$A$12:$A$130,"&lt;"&amp;Diagram!$P49)))</f>
        <v>1</v>
      </c>
      <c r="AD49" s="42">
        <f ca="1">IF(OR($I$10="",$O49="",$P49="",$J$35&lt;&gt;"Yes"),0,IF($K$10=0,SUMIFS(INDIRECT(ADDRESS(12,3+18*0+(0),,,"J1 C - (South) Bishopthorpe Roa")&amp;":"&amp;ADDRESS(130,3+18*0+(0))),'J1 C - (South) Bishopthorpe Roa'!$A$12:$A$130,"&gt;="&amp;Diagram!$O49,'J1 C - (South) Bishopthorpe Roa'!$A$12:$A$130,"&lt;"&amp;Diagram!$P49),SUMIFS(INDIRECT(ADDRESS(12,3+18*0+(8),,,"J1 C - (South) Bishopthorpe Roa")&amp;":"&amp;ADDRESS(130,3+18*0+(8))),'J1 C - (South) Bishopthorpe Roa'!$A$12:$A$130,"&gt;="&amp;Diagram!$O49,'J1 C - (South) Bishopthorpe Roa'!$A$12:$A$130,"&lt;"&amp;Diagram!$P49)))</f>
        <v>7</v>
      </c>
      <c r="AE49" s="42">
        <f ca="1">IF(OR($I$10="",$O49="",$P49="",$J$35&lt;&gt;"Yes"),0,IF($K$10=0,SUMIFS(INDIRECT(ADDRESS(12,3+18*0+(0),,,"J1 D - South Bank Avenue")&amp;":"&amp;ADDRESS(130,3+18*0+(0))),'J1 D - South Bank Avenue'!$A$12:$A$130,"&gt;="&amp;Diagram!$O49,'J1 D - South Bank Avenue'!$A$12:$A$130,"&lt;"&amp;Diagram!$P49),SUMIFS(INDIRECT(ADDRESS(12,3+18*0+(8),,,"J1 D - South Bank Avenue")&amp;":"&amp;ADDRESS(130,3+18*0+(8))),'J1 D - South Bank Avenue'!$A$12:$A$130,"&gt;="&amp;Diagram!$O49,'J1 D - South Bank Avenue'!$A$12:$A$130,"&lt;"&amp;Diagram!$P49)))</f>
        <v>17</v>
      </c>
      <c r="AF49" s="42">
        <f ca="1">IF(OR($I$10="",$O49="",$P49="",$J$35&lt;&gt;"Yes"),0,IF($K$10=0,SUMIFS(INDIRECT(ADDRESS(12,3+18*1+(0),,,"J1 D - South Bank Avenue")&amp;":"&amp;ADDRESS(130,3+18*1+(0))),'J1 D - South Bank Avenue'!$A$12:$A$130,"&gt;="&amp;Diagram!$O49,'J1 D - South Bank Avenue'!$A$12:$A$130,"&lt;"&amp;Diagram!$P49),SUMIFS(INDIRECT(ADDRESS(12,3+18*1+(8),,,"J1 D - South Bank Avenue")&amp;":"&amp;ADDRESS(130,3+18*1+(8))),'J1 D - South Bank Avenue'!$A$12:$A$130,"&gt;="&amp;Diagram!$O49,'J1 D - South Bank Avenue'!$A$12:$A$130,"&lt;"&amp;Diagram!$P49)))</f>
        <v>3</v>
      </c>
      <c r="AG49" s="42">
        <f ca="1">IF(OR($I$10="",$O49="",$P49="",$J$35&lt;&gt;"Yes"),0,IF($K$10=0,SUMIFS(INDIRECT(ADDRESS(12,3+18*2+(0),,,"J1 D - South Bank Avenue")&amp;":"&amp;ADDRESS(130,3+18*2+(0))),'J1 D - South Bank Avenue'!$A$12:$A$130,"&gt;="&amp;Diagram!$O49,'J1 D - South Bank Avenue'!$A$12:$A$130,"&lt;"&amp;Diagram!$P49),SUMIFS(INDIRECT(ADDRESS(12,3+18*2+(8),,,"J1 D - South Bank Avenue")&amp;":"&amp;ADDRESS(130,3+18*2+(8))),'J1 D - South Bank Avenue'!$A$12:$A$130,"&gt;="&amp;Diagram!$O49,'J1 D - South Bank Avenue'!$A$12:$A$130,"&lt;"&amp;Diagram!$P49)))</f>
        <v>8</v>
      </c>
      <c r="AH49" s="42">
        <f ca="1">IF(OR($I$10="",$O49="",$P49="",$J$35&lt;&gt;"Yes"),0,IF($K$10=0,SUMIFS(INDIRECT(ADDRESS(12,3+18*3+(0),,,"J1 D - South Bank Avenue")&amp;":"&amp;ADDRESS(130,3+18*3+(0))),'J1 D - South Bank Avenue'!$A$12:$A$130,"&gt;="&amp;Diagram!$O49,'J1 D - South Bank Avenue'!$A$12:$A$130,"&lt;"&amp;Diagram!$P49),SUMIFS(INDIRECT(ADDRESS(12,3+18*3+(8),,,"J1 D - South Bank Avenue")&amp;":"&amp;ADDRESS(130,3+18*3+(8))),'J1 D - South Bank Avenue'!$A$12:$A$130,"&gt;="&amp;Diagram!$O49,'J1 D - South Bank Avenue'!$A$12:$A$130,"&lt;"&amp;Diagram!$P49)))</f>
        <v>0</v>
      </c>
      <c r="AI49" s="42">
        <f t="shared" ca="1" si="2"/>
        <v>88</v>
      </c>
      <c r="AJ49" s="42">
        <f ca="1">IF(OR($I$10="",$O49="",$P49="",$J$36&lt;&gt;"Yes"),0,IF($K$10=0,SUMIFS(INDIRECT(ADDRESS(12,3+18*3+(1),,,"J1 A - (North) Bishopthorpe Roa")&amp;":"&amp;ADDRESS(130,3+18*3+(1))),'J1 A - (North) Bishopthorpe Roa'!$A$12:$A$130,"&gt;="&amp;Diagram!$O49,'J1 A - (North) Bishopthorpe Roa'!$A$12:$A$130,"&lt;"&amp;Diagram!$P49),SUMIFS(INDIRECT(ADDRESS(12,3+18*3+(9),,,"J1 A - (North) Bishopthorpe Roa")&amp;":"&amp;ADDRESS(130,3+18*3+(9))),'J1 A - (North) Bishopthorpe Roa'!$A$12:$A$130,"&gt;="&amp;Diagram!$O49,'J1 A - (North) Bishopthorpe Roa'!$A$12:$A$130,"&lt;"&amp;Diagram!$P49)))</f>
        <v>1</v>
      </c>
      <c r="AK49" s="42">
        <f ca="1">IF(OR($I$10="",$O49="",$P49="",$J$36&lt;&gt;"Yes"),0,IF($K$10=0,SUMIFS(INDIRECT(ADDRESS(12,3+18*0+(1),,,"J1 A - (North) Bishopthorpe Roa")&amp;":"&amp;ADDRESS(130,3+18*0+(1))),'J1 A - (North) Bishopthorpe Roa'!$A$12:$A$130,"&gt;="&amp;Diagram!$O49,'J1 A - (North) Bishopthorpe Roa'!$A$12:$A$130,"&lt;"&amp;Diagram!$P49),SUMIFS(INDIRECT(ADDRESS(12,3+18*0+(9),,,"J1 A - (North) Bishopthorpe Roa")&amp;":"&amp;ADDRESS(130,3+18*0+(9))),'J1 A - (North) Bishopthorpe Roa'!$A$12:$A$130,"&gt;="&amp;Diagram!$O49,'J1 A - (North) Bishopthorpe Roa'!$A$12:$A$130,"&lt;"&amp;Diagram!$P49)))</f>
        <v>6</v>
      </c>
      <c r="AL49" s="42">
        <f ca="1">IF(OR($I$10="",$O49="",$P49="",$J$36&lt;&gt;"Yes"),0,IF($K$10=0,SUMIFS(INDIRECT(ADDRESS(12,3+18*1+(1),,,"J1 A - (North) Bishopthorpe Roa")&amp;":"&amp;ADDRESS(130,3+18*1+(1))),'J1 A - (North) Bishopthorpe Roa'!$A$12:$A$130,"&gt;="&amp;Diagram!$O49,'J1 A - (North) Bishopthorpe Roa'!$A$12:$A$130,"&lt;"&amp;Diagram!$P49),SUMIFS(INDIRECT(ADDRESS(12,3+18*1+(9),,,"J1 A - (North) Bishopthorpe Roa")&amp;":"&amp;ADDRESS(130,3+18*1+(9))),'J1 A - (North) Bishopthorpe Roa'!$A$12:$A$130,"&gt;="&amp;Diagram!$O49,'J1 A - (North) Bishopthorpe Roa'!$A$12:$A$130,"&lt;"&amp;Diagram!$P49)))</f>
        <v>30</v>
      </c>
      <c r="AM49" s="42">
        <f ca="1">IF(OR($I$10="",$O49="",$P49="",$J$36&lt;&gt;"Yes"),0,IF($K$10=0,SUMIFS(INDIRECT(ADDRESS(12,3+18*2+(1),,,"J1 A - (North) Bishopthorpe Roa")&amp;":"&amp;ADDRESS(130,3+18*2+(1))),'J1 A - (North) Bishopthorpe Roa'!$A$12:$A$130,"&gt;="&amp;Diagram!$O49,'J1 A - (North) Bishopthorpe Roa'!$A$12:$A$130,"&lt;"&amp;Diagram!$P49),SUMIFS(INDIRECT(ADDRESS(12,3+18*2+(9),,,"J1 A - (North) Bishopthorpe Roa")&amp;":"&amp;ADDRESS(130,3+18*2+(9))),'J1 A - (North) Bishopthorpe Roa'!$A$12:$A$130,"&gt;="&amp;Diagram!$O49,'J1 A - (North) Bishopthorpe Roa'!$A$12:$A$130,"&lt;"&amp;Diagram!$P49)))</f>
        <v>3</v>
      </c>
      <c r="AN49" s="42">
        <f ca="1">IF(OR($I$10="",$O49="",$P49="",$J$36&lt;&gt;"Yes"),0,IF($K$10=0,SUMIFS(INDIRECT(ADDRESS(12,3+18*2+(1),,,"J1 B - Butcher Terrace")&amp;":"&amp;ADDRESS(130,3+18*2+(1))),'J1 B - Butcher Terrace'!$A$12:$A$130,"&gt;="&amp;Diagram!$O49,'J1 B - Butcher Terrace'!$A$12:$A$130,"&lt;"&amp;Diagram!$P49),SUMIFS(INDIRECT(ADDRESS(12,3+18*2+(9),,,"J1 B - Butcher Terrace")&amp;":"&amp;ADDRESS(130,3+18*2+(9))),'J1 B - Butcher Terrace'!$A$12:$A$130,"&gt;="&amp;Diagram!$O49,'J1 B - Butcher Terrace'!$A$12:$A$130,"&lt;"&amp;Diagram!$P49)))</f>
        <v>2</v>
      </c>
      <c r="AO49" s="42">
        <f ca="1">IF(OR($I$10="",$O49="",$P49="",$J$36&lt;&gt;"Yes"),0,IF($K$10=0,SUMIFS(INDIRECT(ADDRESS(12,3+18*3+(1),,,"J1 B - Butcher Terrace")&amp;":"&amp;ADDRESS(130,3+18*3+(1))),'J1 B - Butcher Terrace'!$A$12:$A$130,"&gt;="&amp;Diagram!$O49,'J1 B - Butcher Terrace'!$A$12:$A$130,"&lt;"&amp;Diagram!$P49),SUMIFS(INDIRECT(ADDRESS(12,3+18*3+(9),,,"J1 B - Butcher Terrace")&amp;":"&amp;ADDRESS(130,3+18*3+(9))),'J1 B - Butcher Terrace'!$A$12:$A$130,"&gt;="&amp;Diagram!$O49,'J1 B - Butcher Terrace'!$A$12:$A$130,"&lt;"&amp;Diagram!$P49)))</f>
        <v>0</v>
      </c>
      <c r="AP49" s="42">
        <f ca="1">IF(OR($I$10="",$O49="",$P49="",$J$36&lt;&gt;"Yes"),0,IF($K$10=0,SUMIFS(INDIRECT(ADDRESS(12,3+18*0+(1),,,"J1 B - Butcher Terrace")&amp;":"&amp;ADDRESS(130,3+18*0+(1))),'J1 B - Butcher Terrace'!$A$12:$A$130,"&gt;="&amp;Diagram!$O49,'J1 B - Butcher Terrace'!$A$12:$A$130,"&lt;"&amp;Diagram!$P49),SUMIFS(INDIRECT(ADDRESS(12,3+18*0+(9),,,"J1 B - Butcher Terrace")&amp;":"&amp;ADDRESS(130,3+18*0+(9))),'J1 B - Butcher Terrace'!$A$12:$A$130,"&gt;="&amp;Diagram!$O49,'J1 B - Butcher Terrace'!$A$12:$A$130,"&lt;"&amp;Diagram!$P49)))</f>
        <v>1</v>
      </c>
      <c r="AQ49" s="42">
        <f ca="1">IF(OR($I$10="",$O49="",$P49="",$J$36&lt;&gt;"Yes"),0,IF($K$10=0,SUMIFS(INDIRECT(ADDRESS(12,3+18*1+(1),,,"J1 B - Butcher Terrace")&amp;":"&amp;ADDRESS(130,3+18*1+(1))),'J1 B - Butcher Terrace'!$A$12:$A$130,"&gt;="&amp;Diagram!$O49,'J1 B - Butcher Terrace'!$A$12:$A$130,"&lt;"&amp;Diagram!$P49),SUMIFS(INDIRECT(ADDRESS(12,3+18*1+(9),,,"J1 B - Butcher Terrace")&amp;":"&amp;ADDRESS(130,3+18*1+(9))),'J1 B - Butcher Terrace'!$A$12:$A$130,"&gt;="&amp;Diagram!$O49,'J1 B - Butcher Terrace'!$A$12:$A$130,"&lt;"&amp;Diagram!$P49)))</f>
        <v>1</v>
      </c>
      <c r="AR49" s="42">
        <f ca="1">IF(OR($I$10="",$O49="",$P49="",$J$36&lt;&gt;"Yes"),0,IF($K$10=0,SUMIFS(INDIRECT(ADDRESS(12,3+18*1+(1),,,"J1 C - (South) Bishopthorpe Roa")&amp;":"&amp;ADDRESS(130,3+18*1+(1))),'J1 C - (South) Bishopthorpe Roa'!$A$12:$A$130,"&gt;="&amp;Diagram!$O49,'J1 C - (South) Bishopthorpe Roa'!$A$12:$A$130,"&lt;"&amp;Diagram!$P49),SUMIFS(INDIRECT(ADDRESS(12,3+18*1+(9),,,"J1 C - (South) Bishopthorpe Roa")&amp;":"&amp;ADDRESS(130,3+18*1+(9))),'J1 C - (South) Bishopthorpe Roa'!$A$12:$A$130,"&gt;="&amp;Diagram!$O49,'J1 C - (South) Bishopthorpe Roa'!$A$12:$A$130,"&lt;"&amp;Diagram!$P49)))</f>
        <v>31</v>
      </c>
      <c r="AS49" s="42">
        <f ca="1">IF(OR($I$10="",$O49="",$P49="",$J$36&lt;&gt;"Yes"),0,IF($K$10=0,SUMIFS(INDIRECT(ADDRESS(12,3+18*2+(1),,,"J1 C - (South) Bishopthorpe Roa")&amp;":"&amp;ADDRESS(130,3+18*2+(1))),'J1 C - (South) Bishopthorpe Roa'!$A$12:$A$130,"&gt;="&amp;Diagram!$O49,'J1 C - (South) Bishopthorpe Roa'!$A$12:$A$130,"&lt;"&amp;Diagram!$P49),SUMIFS(INDIRECT(ADDRESS(12,3+18*2+(9),,,"J1 C - (South) Bishopthorpe Roa")&amp;":"&amp;ADDRESS(130,3+18*2+(9))),'J1 C - (South) Bishopthorpe Roa'!$A$12:$A$130,"&gt;="&amp;Diagram!$O49,'J1 C - (South) Bishopthorpe Roa'!$A$12:$A$130,"&lt;"&amp;Diagram!$P49)))</f>
        <v>3</v>
      </c>
      <c r="AT49" s="42">
        <f ca="1">IF(OR($I$10="",$O49="",$P49="",$J$36&lt;&gt;"Yes"),0,IF($K$10=0,SUMIFS(INDIRECT(ADDRESS(12,3+18*3+(1),,,"J1 C - (South) Bishopthorpe Roa")&amp;":"&amp;ADDRESS(130,3+18*3+(1))),'J1 C - (South) Bishopthorpe Roa'!$A$12:$A$130,"&gt;="&amp;Diagram!$O49,'J1 C - (South) Bishopthorpe Roa'!$A$12:$A$130,"&lt;"&amp;Diagram!$P49),SUMIFS(INDIRECT(ADDRESS(12,3+18*3+(9),,,"J1 C - (South) Bishopthorpe Roa")&amp;":"&amp;ADDRESS(130,3+18*3+(9))),'J1 C - (South) Bishopthorpe Roa'!$A$12:$A$130,"&gt;="&amp;Diagram!$O49,'J1 C - (South) Bishopthorpe Roa'!$A$12:$A$130,"&lt;"&amp;Diagram!$P49)))</f>
        <v>0</v>
      </c>
      <c r="AU49" s="42">
        <f ca="1">IF(OR($I$10="",$O49="",$P49="",$J$36&lt;&gt;"Yes"),0,IF($K$10=0,SUMIFS(INDIRECT(ADDRESS(12,3+18*0+(1),,,"J1 C - (South) Bishopthorpe Roa")&amp;":"&amp;ADDRESS(130,3+18*0+(1))),'J1 C - (South) Bishopthorpe Roa'!$A$12:$A$130,"&gt;="&amp;Diagram!$O49,'J1 C - (South) Bishopthorpe Roa'!$A$12:$A$130,"&lt;"&amp;Diagram!$P49),SUMIFS(INDIRECT(ADDRESS(12,3+18*0+(9),,,"J1 C - (South) Bishopthorpe Roa")&amp;":"&amp;ADDRESS(130,3+18*0+(9))),'J1 C - (South) Bishopthorpe Roa'!$A$12:$A$130,"&gt;="&amp;Diagram!$O49,'J1 C - (South) Bishopthorpe Roa'!$A$12:$A$130,"&lt;"&amp;Diagram!$P49)))</f>
        <v>2</v>
      </c>
      <c r="AV49" s="42">
        <f ca="1">IF(OR($I$10="",$O49="",$P49="",$J$36&lt;&gt;"Yes"),0,IF($K$10=0,SUMIFS(INDIRECT(ADDRESS(12,3+18*0+(1),,,"J1 D - South Bank Avenue")&amp;":"&amp;ADDRESS(130,3+18*0+(1))),'J1 D - South Bank Avenue'!$A$12:$A$130,"&gt;="&amp;Diagram!$O49,'J1 D - South Bank Avenue'!$A$12:$A$130,"&lt;"&amp;Diagram!$P49),SUMIFS(INDIRECT(ADDRESS(12,3+18*0+(9),,,"J1 D - South Bank Avenue")&amp;":"&amp;ADDRESS(130,3+18*0+(9))),'J1 D - South Bank Avenue'!$A$12:$A$130,"&gt;="&amp;Diagram!$O49,'J1 D - South Bank Avenue'!$A$12:$A$130,"&lt;"&amp;Diagram!$P49)))</f>
        <v>6</v>
      </c>
      <c r="AW49" s="42">
        <f ca="1">IF(OR($I$10="",$O49="",$P49="",$J$36&lt;&gt;"Yes"),0,IF($K$10=0,SUMIFS(INDIRECT(ADDRESS(12,3+18*1+(1),,,"J1 D - South Bank Avenue")&amp;":"&amp;ADDRESS(130,3+18*1+(1))),'J1 D - South Bank Avenue'!$A$12:$A$130,"&gt;="&amp;Diagram!$O49,'J1 D - South Bank Avenue'!$A$12:$A$130,"&lt;"&amp;Diagram!$P49),SUMIFS(INDIRECT(ADDRESS(12,3+18*1+(9),,,"J1 D - South Bank Avenue")&amp;":"&amp;ADDRESS(130,3+18*1+(9))),'J1 D - South Bank Avenue'!$A$12:$A$130,"&gt;="&amp;Diagram!$O49,'J1 D - South Bank Avenue'!$A$12:$A$130,"&lt;"&amp;Diagram!$P49)))</f>
        <v>1</v>
      </c>
      <c r="AX49" s="42">
        <f ca="1">IF(OR($I$10="",$O49="",$P49="",$J$36&lt;&gt;"Yes"),0,IF($K$10=0,SUMIFS(INDIRECT(ADDRESS(12,3+18*2+(1),,,"J1 D - South Bank Avenue")&amp;":"&amp;ADDRESS(130,3+18*2+(1))),'J1 D - South Bank Avenue'!$A$12:$A$130,"&gt;="&amp;Diagram!$O49,'J1 D - South Bank Avenue'!$A$12:$A$130,"&lt;"&amp;Diagram!$P49),SUMIFS(INDIRECT(ADDRESS(12,3+18*2+(9),,,"J1 D - South Bank Avenue")&amp;":"&amp;ADDRESS(130,3+18*2+(9))),'J1 D - South Bank Avenue'!$A$12:$A$130,"&gt;="&amp;Diagram!$O49,'J1 D - South Bank Avenue'!$A$12:$A$130,"&lt;"&amp;Diagram!$P49)))</f>
        <v>1</v>
      </c>
      <c r="AY49" s="42">
        <f ca="1">IF(OR($I$10="",$O49="",$P49="",$J$36&lt;&gt;"Yes"),0,IF($K$10=0,SUMIFS(INDIRECT(ADDRESS(12,3+18*3+(1),,,"J1 D - South Bank Avenue")&amp;":"&amp;ADDRESS(130,3+18*3+(1))),'J1 D - South Bank Avenue'!$A$12:$A$130,"&gt;="&amp;Diagram!$O49,'J1 D - South Bank Avenue'!$A$12:$A$130,"&lt;"&amp;Diagram!$P49),SUMIFS(INDIRECT(ADDRESS(12,3+18*3+(9),,,"J1 D - South Bank Avenue")&amp;":"&amp;ADDRESS(130,3+18*3+(9))),'J1 D - South Bank Avenue'!$A$12:$A$130,"&gt;="&amp;Diagram!$O49,'J1 D - South Bank Avenue'!$A$12:$A$130,"&lt;"&amp;Diagram!$P49)))</f>
        <v>0</v>
      </c>
      <c r="AZ49" s="42">
        <f t="shared" ca="1" si="3"/>
        <v>4</v>
      </c>
      <c r="BA49" s="42">
        <f ca="1">IF(OR($I$10="",$O49="",$P49="",$J$37&lt;&gt;"Yes"),0,IF($K$10=0,SUMIFS(INDIRECT(ADDRESS(12,3+18*3+(2),,,"J1 A - (North) Bishopthorpe Roa")&amp;":"&amp;ADDRESS(130,3+18*3+(2))),'J1 A - (North) Bishopthorpe Roa'!$A$12:$A$130,"&gt;="&amp;Diagram!$O49,'J1 A - (North) Bishopthorpe Roa'!$A$12:$A$130,"&lt;"&amp;Diagram!$P49),SUMIFS(INDIRECT(ADDRESS(12,3+18*3+(10),,,"J1 A - (North) Bishopthorpe Roa")&amp;":"&amp;ADDRESS(130,3+18*3+(10))),'J1 A - (North) Bishopthorpe Roa'!$A$12:$A$130,"&gt;="&amp;Diagram!$O49,'J1 A - (North) Bishopthorpe Roa'!$A$12:$A$130,"&lt;"&amp;Diagram!$P49)))</f>
        <v>0</v>
      </c>
      <c r="BB49" s="42">
        <f ca="1">IF(OR($I$10="",$O49="",$P49="",$J$37&lt;&gt;"Yes"),0,IF($K$10=0,SUMIFS(INDIRECT(ADDRESS(12,3+18*0+(2),,,"J1 A - (North) Bishopthorpe Roa")&amp;":"&amp;ADDRESS(130,3+18*0+(2))),'J1 A - (North) Bishopthorpe Roa'!$A$12:$A$130,"&gt;="&amp;Diagram!$O49,'J1 A - (North) Bishopthorpe Roa'!$A$12:$A$130,"&lt;"&amp;Diagram!$P49),SUMIFS(INDIRECT(ADDRESS(12,3+18*0+(10),,,"J1 A - (North) Bishopthorpe Roa")&amp;":"&amp;ADDRESS(130,3+18*0+(10))),'J1 A - (North) Bishopthorpe Roa'!$A$12:$A$130,"&gt;="&amp;Diagram!$O49,'J1 A - (North) Bishopthorpe Roa'!$A$12:$A$130,"&lt;"&amp;Diagram!$P49)))</f>
        <v>1</v>
      </c>
      <c r="BC49" s="42">
        <f ca="1">IF(OR($I$10="",$O49="",$P49="",$J$37&lt;&gt;"Yes"),0,IF($K$10=0,SUMIFS(INDIRECT(ADDRESS(12,3+18*1+(2),,,"J1 A - (North) Bishopthorpe Roa")&amp;":"&amp;ADDRESS(130,3+18*1+(2))),'J1 A - (North) Bishopthorpe Roa'!$A$12:$A$130,"&gt;="&amp;Diagram!$O49,'J1 A - (North) Bishopthorpe Roa'!$A$12:$A$130,"&lt;"&amp;Diagram!$P49),SUMIFS(INDIRECT(ADDRESS(12,3+18*1+(10),,,"J1 A - (North) Bishopthorpe Roa")&amp;":"&amp;ADDRESS(130,3+18*1+(10))),'J1 A - (North) Bishopthorpe Roa'!$A$12:$A$130,"&gt;="&amp;Diagram!$O49,'J1 A - (North) Bishopthorpe Roa'!$A$12:$A$130,"&lt;"&amp;Diagram!$P49)))</f>
        <v>1</v>
      </c>
      <c r="BD49" s="42">
        <f ca="1">IF(OR($I$10="",$O49="",$P49="",$J$37&lt;&gt;"Yes"),0,IF($K$10=0,SUMIFS(INDIRECT(ADDRESS(12,3+18*2+(2),,,"J1 A - (North) Bishopthorpe Roa")&amp;":"&amp;ADDRESS(130,3+18*2+(2))),'J1 A - (North) Bishopthorpe Roa'!$A$12:$A$130,"&gt;="&amp;Diagram!$O49,'J1 A - (North) Bishopthorpe Roa'!$A$12:$A$130,"&lt;"&amp;Diagram!$P49),SUMIFS(INDIRECT(ADDRESS(12,3+18*2+(10),,,"J1 A - (North) Bishopthorpe Roa")&amp;":"&amp;ADDRESS(130,3+18*2+(10))),'J1 A - (North) Bishopthorpe Roa'!$A$12:$A$130,"&gt;="&amp;Diagram!$O49,'J1 A - (North) Bishopthorpe Roa'!$A$12:$A$130,"&lt;"&amp;Diagram!$P49)))</f>
        <v>0</v>
      </c>
      <c r="BE49" s="42">
        <f ca="1">IF(OR($I$10="",$O49="",$P49="",$J$37&lt;&gt;"Yes"),0,IF($K$10=0,SUMIFS(INDIRECT(ADDRESS(12,3+18*2+(2),,,"J1 B - Butcher Terrace")&amp;":"&amp;ADDRESS(130,3+18*2+(2))),'J1 B - Butcher Terrace'!$A$12:$A$130,"&gt;="&amp;Diagram!$O49,'J1 B - Butcher Terrace'!$A$12:$A$130,"&lt;"&amp;Diagram!$P49),SUMIFS(INDIRECT(ADDRESS(12,3+18*2+(10),,,"J1 B - Butcher Terrace")&amp;":"&amp;ADDRESS(130,3+18*2+(10))),'J1 B - Butcher Terrace'!$A$12:$A$130,"&gt;="&amp;Diagram!$O49,'J1 B - Butcher Terrace'!$A$12:$A$130,"&lt;"&amp;Diagram!$P49)))</f>
        <v>0</v>
      </c>
      <c r="BF49" s="42">
        <f ca="1">IF(OR($I$10="",$O49="",$P49="",$J$37&lt;&gt;"Yes"),0,IF($K$10=0,SUMIFS(INDIRECT(ADDRESS(12,3+18*3+(2),,,"J1 B - Butcher Terrace")&amp;":"&amp;ADDRESS(130,3+18*3+(2))),'J1 B - Butcher Terrace'!$A$12:$A$130,"&gt;="&amp;Diagram!$O49,'J1 B - Butcher Terrace'!$A$12:$A$130,"&lt;"&amp;Diagram!$P49),SUMIFS(INDIRECT(ADDRESS(12,3+18*3+(10),,,"J1 B - Butcher Terrace")&amp;":"&amp;ADDRESS(130,3+18*3+(10))),'J1 B - Butcher Terrace'!$A$12:$A$130,"&gt;="&amp;Diagram!$O49,'J1 B - Butcher Terrace'!$A$12:$A$130,"&lt;"&amp;Diagram!$P49)))</f>
        <v>0</v>
      </c>
      <c r="BG49" s="42">
        <f ca="1">IF(OR($I$10="",$O49="",$P49="",$J$37&lt;&gt;"Yes"),0,IF($K$10=0,SUMIFS(INDIRECT(ADDRESS(12,3+18*0+(2),,,"J1 B - Butcher Terrace")&amp;":"&amp;ADDRESS(130,3+18*0+(2))),'J1 B - Butcher Terrace'!$A$12:$A$130,"&gt;="&amp;Diagram!$O49,'J1 B - Butcher Terrace'!$A$12:$A$130,"&lt;"&amp;Diagram!$P49),SUMIFS(INDIRECT(ADDRESS(12,3+18*0+(10),,,"J1 B - Butcher Terrace")&amp;":"&amp;ADDRESS(130,3+18*0+(10))),'J1 B - Butcher Terrace'!$A$12:$A$130,"&gt;="&amp;Diagram!$O49,'J1 B - Butcher Terrace'!$A$12:$A$130,"&lt;"&amp;Diagram!$P49)))</f>
        <v>0</v>
      </c>
      <c r="BH49" s="42">
        <f ca="1">IF(OR($I$10="",$O49="",$P49="",$J$37&lt;&gt;"Yes"),0,IF($K$10=0,SUMIFS(INDIRECT(ADDRESS(12,3+18*1+(2),,,"J1 B - Butcher Terrace")&amp;":"&amp;ADDRESS(130,3+18*1+(2))),'J1 B - Butcher Terrace'!$A$12:$A$130,"&gt;="&amp;Diagram!$O49,'J1 B - Butcher Terrace'!$A$12:$A$130,"&lt;"&amp;Diagram!$P49),SUMIFS(INDIRECT(ADDRESS(12,3+18*1+(10),,,"J1 B - Butcher Terrace")&amp;":"&amp;ADDRESS(130,3+18*1+(10))),'J1 B - Butcher Terrace'!$A$12:$A$130,"&gt;="&amp;Diagram!$O49,'J1 B - Butcher Terrace'!$A$12:$A$130,"&lt;"&amp;Diagram!$P49)))</f>
        <v>0</v>
      </c>
      <c r="BI49" s="42">
        <f ca="1">IF(OR($I$10="",$O49="",$P49="",$J$37&lt;&gt;"Yes"),0,IF($K$10=0,SUMIFS(INDIRECT(ADDRESS(12,3+18*1+(2),,,"J1 C - (South) Bishopthorpe Roa")&amp;":"&amp;ADDRESS(130,3+18*1+(2))),'J1 C - (South) Bishopthorpe Roa'!$A$12:$A$130,"&gt;="&amp;Diagram!$O49,'J1 C - (South) Bishopthorpe Roa'!$A$12:$A$130,"&lt;"&amp;Diagram!$P49),SUMIFS(INDIRECT(ADDRESS(12,3+18*1+(10),,,"J1 C - (South) Bishopthorpe Roa")&amp;":"&amp;ADDRESS(130,3+18*1+(10))),'J1 C - (South) Bishopthorpe Roa'!$A$12:$A$130,"&gt;="&amp;Diagram!$O49,'J1 C - (South) Bishopthorpe Roa'!$A$12:$A$130,"&lt;"&amp;Diagram!$P49)))</f>
        <v>2</v>
      </c>
      <c r="BJ49" s="42">
        <f ca="1">IF(OR($I$10="",$O49="",$P49="",$J$37&lt;&gt;"Yes"),0,IF($K$10=0,SUMIFS(INDIRECT(ADDRESS(12,3+18*2+(2),,,"J1 C - (South) Bishopthorpe Roa")&amp;":"&amp;ADDRESS(130,3+18*2+(2))),'J1 C - (South) Bishopthorpe Roa'!$A$12:$A$130,"&gt;="&amp;Diagram!$O49,'J1 C - (South) Bishopthorpe Roa'!$A$12:$A$130,"&lt;"&amp;Diagram!$P49),SUMIFS(INDIRECT(ADDRESS(12,3+18*2+(10),,,"J1 C - (South) Bishopthorpe Roa")&amp;":"&amp;ADDRESS(130,3+18*2+(10))),'J1 C - (South) Bishopthorpe Roa'!$A$12:$A$130,"&gt;="&amp;Diagram!$O49,'J1 C - (South) Bishopthorpe Roa'!$A$12:$A$130,"&lt;"&amp;Diagram!$P49)))</f>
        <v>0</v>
      </c>
      <c r="BK49" s="42">
        <f ca="1">IF(OR($I$10="",$O49="",$P49="",$J$37&lt;&gt;"Yes"),0,IF($K$10=0,SUMIFS(INDIRECT(ADDRESS(12,3+18*3+(2),,,"J1 C - (South) Bishopthorpe Roa")&amp;":"&amp;ADDRESS(130,3+18*3+(2))),'J1 C - (South) Bishopthorpe Roa'!$A$12:$A$130,"&gt;="&amp;Diagram!$O49,'J1 C - (South) Bishopthorpe Roa'!$A$12:$A$130,"&lt;"&amp;Diagram!$P49),SUMIFS(INDIRECT(ADDRESS(12,3+18*3+(10),,,"J1 C - (South) Bishopthorpe Roa")&amp;":"&amp;ADDRESS(130,3+18*3+(10))),'J1 C - (South) Bishopthorpe Roa'!$A$12:$A$130,"&gt;="&amp;Diagram!$O49,'J1 C - (South) Bishopthorpe Roa'!$A$12:$A$130,"&lt;"&amp;Diagram!$P49)))</f>
        <v>0</v>
      </c>
      <c r="BL49" s="42">
        <f ca="1">IF(OR($I$10="",$O49="",$P49="",$J$37&lt;&gt;"Yes"),0,IF($K$10=0,SUMIFS(INDIRECT(ADDRESS(12,3+18*0+(2),,,"J1 C - (South) Bishopthorpe Roa")&amp;":"&amp;ADDRESS(130,3+18*0+(2))),'J1 C - (South) Bishopthorpe Roa'!$A$12:$A$130,"&gt;="&amp;Diagram!$O49,'J1 C - (South) Bishopthorpe Roa'!$A$12:$A$130,"&lt;"&amp;Diagram!$P49),SUMIFS(INDIRECT(ADDRESS(12,3+18*0+(10),,,"J1 C - (South) Bishopthorpe Roa")&amp;":"&amp;ADDRESS(130,3+18*0+(10))),'J1 C - (South) Bishopthorpe Roa'!$A$12:$A$130,"&gt;="&amp;Diagram!$O49,'J1 C - (South) Bishopthorpe Roa'!$A$12:$A$130,"&lt;"&amp;Diagram!$P49)))</f>
        <v>0</v>
      </c>
      <c r="BM49" s="42">
        <f ca="1">IF(OR($I$10="",$O49="",$P49="",$J$37&lt;&gt;"Yes"),0,IF($K$10=0,SUMIFS(INDIRECT(ADDRESS(12,3+18*0+(2),,,"J1 D - South Bank Avenue")&amp;":"&amp;ADDRESS(130,3+18*0+(2))),'J1 D - South Bank Avenue'!$A$12:$A$130,"&gt;="&amp;Diagram!$O49,'J1 D - South Bank Avenue'!$A$12:$A$130,"&lt;"&amp;Diagram!$P49),SUMIFS(INDIRECT(ADDRESS(12,3+18*0+(10),,,"J1 D - South Bank Avenue")&amp;":"&amp;ADDRESS(130,3+18*0+(10))),'J1 D - South Bank Avenue'!$A$12:$A$130,"&gt;="&amp;Diagram!$O49,'J1 D - South Bank Avenue'!$A$12:$A$130,"&lt;"&amp;Diagram!$P49)))</f>
        <v>0</v>
      </c>
      <c r="BN49" s="42">
        <f ca="1">IF(OR($I$10="",$O49="",$P49="",$J$37&lt;&gt;"Yes"),0,IF($K$10=0,SUMIFS(INDIRECT(ADDRESS(12,3+18*1+(2),,,"J1 D - South Bank Avenue")&amp;":"&amp;ADDRESS(130,3+18*1+(2))),'J1 D - South Bank Avenue'!$A$12:$A$130,"&gt;="&amp;Diagram!$O49,'J1 D - South Bank Avenue'!$A$12:$A$130,"&lt;"&amp;Diagram!$P49),SUMIFS(INDIRECT(ADDRESS(12,3+18*1+(10),,,"J1 D - South Bank Avenue")&amp;":"&amp;ADDRESS(130,3+18*1+(10))),'J1 D - South Bank Avenue'!$A$12:$A$130,"&gt;="&amp;Diagram!$O49,'J1 D - South Bank Avenue'!$A$12:$A$130,"&lt;"&amp;Diagram!$P49)))</f>
        <v>0</v>
      </c>
      <c r="BO49" s="42">
        <f ca="1">IF(OR($I$10="",$O49="",$P49="",$J$37&lt;&gt;"Yes"),0,IF($K$10=0,SUMIFS(INDIRECT(ADDRESS(12,3+18*2+(2),,,"J1 D - South Bank Avenue")&amp;":"&amp;ADDRESS(130,3+18*2+(2))),'J1 D - South Bank Avenue'!$A$12:$A$130,"&gt;="&amp;Diagram!$O49,'J1 D - South Bank Avenue'!$A$12:$A$130,"&lt;"&amp;Diagram!$P49),SUMIFS(INDIRECT(ADDRESS(12,3+18*2+(10),,,"J1 D - South Bank Avenue")&amp;":"&amp;ADDRESS(130,3+18*2+(10))),'J1 D - South Bank Avenue'!$A$12:$A$130,"&gt;="&amp;Diagram!$O49,'J1 D - South Bank Avenue'!$A$12:$A$130,"&lt;"&amp;Diagram!$P49)))</f>
        <v>0</v>
      </c>
      <c r="BP49" s="42">
        <f ca="1">IF(OR($I$10="",$O49="",$P49="",$J$37&lt;&gt;"Yes"),0,IF($K$10=0,SUMIFS(INDIRECT(ADDRESS(12,3+18*3+(2),,,"J1 D - South Bank Avenue")&amp;":"&amp;ADDRESS(130,3+18*3+(2))),'J1 D - South Bank Avenue'!$A$12:$A$130,"&gt;="&amp;Diagram!$O49,'J1 D - South Bank Avenue'!$A$12:$A$130,"&lt;"&amp;Diagram!$P49),SUMIFS(INDIRECT(ADDRESS(12,3+18*3+(10),,,"J1 D - South Bank Avenue")&amp;":"&amp;ADDRESS(130,3+18*3+(10))),'J1 D - South Bank Avenue'!$A$12:$A$130,"&gt;="&amp;Diagram!$O49,'J1 D - South Bank Avenue'!$A$12:$A$130,"&lt;"&amp;Diagram!$P49)))</f>
        <v>0</v>
      </c>
      <c r="BQ49" s="42">
        <f t="shared" ca="1" si="4"/>
        <v>0</v>
      </c>
      <c r="BR49" s="42">
        <f ca="1">IF(OR($I$10="",$O49="",$P49="",$J$38&lt;&gt;"Yes"),0,IF($K$10=0,SUMIFS(INDIRECT(ADDRESS(12,3+18*3+(3),,,"J1 A - (North) Bishopthorpe Roa")&amp;":"&amp;ADDRESS(130,3+18*3+(3))),'J1 A - (North) Bishopthorpe Roa'!$A$12:$A$130,"&gt;="&amp;Diagram!$O49,'J1 A - (North) Bishopthorpe Roa'!$A$12:$A$130,"&lt;"&amp;Diagram!$P49),SUMIFS(INDIRECT(ADDRESS(12,3+18*3+(11),,,"J1 A - (North) Bishopthorpe Roa")&amp;":"&amp;ADDRESS(130,3+18*3+(11))),'J1 A - (North) Bishopthorpe Roa'!$A$12:$A$130,"&gt;="&amp;Diagram!$O49,'J1 A - (North) Bishopthorpe Roa'!$A$12:$A$130,"&lt;"&amp;Diagram!$P49)))</f>
        <v>0</v>
      </c>
      <c r="BS49" s="42">
        <f ca="1">IF(OR($I$10="",$O49="",$P49="",$J$38&lt;&gt;"Yes"),0,IF($K$10=0,SUMIFS(INDIRECT(ADDRESS(12,3+18*0+(3),,,"J1 A - (North) Bishopthorpe Roa")&amp;":"&amp;ADDRESS(130,3+18*0+(3))),'J1 A - (North) Bishopthorpe Roa'!$A$12:$A$130,"&gt;="&amp;Diagram!$O49,'J1 A - (North) Bishopthorpe Roa'!$A$12:$A$130,"&lt;"&amp;Diagram!$P49),SUMIFS(INDIRECT(ADDRESS(12,3+18*0+(11),,,"J1 A - (North) Bishopthorpe Roa")&amp;":"&amp;ADDRESS(130,3+18*0+(11))),'J1 A - (North) Bishopthorpe Roa'!$A$12:$A$130,"&gt;="&amp;Diagram!$O49,'J1 A - (North) Bishopthorpe Roa'!$A$12:$A$130,"&lt;"&amp;Diagram!$P49)))</f>
        <v>0</v>
      </c>
      <c r="BT49" s="42">
        <f ca="1">IF(OR($I$10="",$O49="",$P49="",$J$38&lt;&gt;"Yes"),0,IF($K$10=0,SUMIFS(INDIRECT(ADDRESS(12,3+18*1+(3),,,"J1 A - (North) Bishopthorpe Roa")&amp;":"&amp;ADDRESS(130,3+18*1+(3))),'J1 A - (North) Bishopthorpe Roa'!$A$12:$A$130,"&gt;="&amp;Diagram!$O49,'J1 A - (North) Bishopthorpe Roa'!$A$12:$A$130,"&lt;"&amp;Diagram!$P49),SUMIFS(INDIRECT(ADDRESS(12,3+18*1+(11),,,"J1 A - (North) Bishopthorpe Roa")&amp;":"&amp;ADDRESS(130,3+18*1+(11))),'J1 A - (North) Bishopthorpe Roa'!$A$12:$A$130,"&gt;="&amp;Diagram!$O49,'J1 A - (North) Bishopthorpe Roa'!$A$12:$A$130,"&lt;"&amp;Diagram!$P49)))</f>
        <v>0</v>
      </c>
      <c r="BU49" s="42">
        <f ca="1">IF(OR($I$10="",$O49="",$P49="",$J$38&lt;&gt;"Yes"),0,IF($K$10=0,SUMIFS(INDIRECT(ADDRESS(12,3+18*2+(3),,,"J1 A - (North) Bishopthorpe Roa")&amp;":"&amp;ADDRESS(130,3+18*2+(3))),'J1 A - (North) Bishopthorpe Roa'!$A$12:$A$130,"&gt;="&amp;Diagram!$O49,'J1 A - (North) Bishopthorpe Roa'!$A$12:$A$130,"&lt;"&amp;Diagram!$P49),SUMIFS(INDIRECT(ADDRESS(12,3+18*2+(11),,,"J1 A - (North) Bishopthorpe Roa")&amp;":"&amp;ADDRESS(130,3+18*2+(11))),'J1 A - (North) Bishopthorpe Roa'!$A$12:$A$130,"&gt;="&amp;Diagram!$O49,'J1 A - (North) Bishopthorpe Roa'!$A$12:$A$130,"&lt;"&amp;Diagram!$P49)))</f>
        <v>0</v>
      </c>
      <c r="BV49" s="42">
        <f ca="1">IF(OR($I$10="",$O49="",$P49="",$J$38&lt;&gt;"Yes"),0,IF($K$10=0,SUMIFS(INDIRECT(ADDRESS(12,3+18*2+(3),,,"J1 B - Butcher Terrace")&amp;":"&amp;ADDRESS(130,3+18*2+(3))),'J1 B - Butcher Terrace'!$A$12:$A$130,"&gt;="&amp;Diagram!$O49,'J1 B - Butcher Terrace'!$A$12:$A$130,"&lt;"&amp;Diagram!$P49),SUMIFS(INDIRECT(ADDRESS(12,3+18*2+(11),,,"J1 B - Butcher Terrace")&amp;":"&amp;ADDRESS(130,3+18*2+(11))),'J1 B - Butcher Terrace'!$A$12:$A$130,"&gt;="&amp;Diagram!$O49,'J1 B - Butcher Terrace'!$A$12:$A$130,"&lt;"&amp;Diagram!$P49)))</f>
        <v>0</v>
      </c>
      <c r="BW49" s="42">
        <f ca="1">IF(OR($I$10="",$O49="",$P49="",$J$38&lt;&gt;"Yes"),0,IF($K$10=0,SUMIFS(INDIRECT(ADDRESS(12,3+18*3+(3),,,"J1 B - Butcher Terrace")&amp;":"&amp;ADDRESS(130,3+18*3+(3))),'J1 B - Butcher Terrace'!$A$12:$A$130,"&gt;="&amp;Diagram!$O49,'J1 B - Butcher Terrace'!$A$12:$A$130,"&lt;"&amp;Diagram!$P49),SUMIFS(INDIRECT(ADDRESS(12,3+18*3+(11),,,"J1 B - Butcher Terrace")&amp;":"&amp;ADDRESS(130,3+18*3+(11))),'J1 B - Butcher Terrace'!$A$12:$A$130,"&gt;="&amp;Diagram!$O49,'J1 B - Butcher Terrace'!$A$12:$A$130,"&lt;"&amp;Diagram!$P49)))</f>
        <v>0</v>
      </c>
      <c r="BX49" s="42">
        <f ca="1">IF(OR($I$10="",$O49="",$P49="",$J$38&lt;&gt;"Yes"),0,IF($K$10=0,SUMIFS(INDIRECT(ADDRESS(12,3+18*0+(3),,,"J1 B - Butcher Terrace")&amp;":"&amp;ADDRESS(130,3+18*0+(3))),'J1 B - Butcher Terrace'!$A$12:$A$130,"&gt;="&amp;Diagram!$O49,'J1 B - Butcher Terrace'!$A$12:$A$130,"&lt;"&amp;Diagram!$P49),SUMIFS(INDIRECT(ADDRESS(12,3+18*0+(11),,,"J1 B - Butcher Terrace")&amp;":"&amp;ADDRESS(130,3+18*0+(11))),'J1 B - Butcher Terrace'!$A$12:$A$130,"&gt;="&amp;Diagram!$O49,'J1 B - Butcher Terrace'!$A$12:$A$130,"&lt;"&amp;Diagram!$P49)))</f>
        <v>0</v>
      </c>
      <c r="BY49" s="42">
        <f ca="1">IF(OR($I$10="",$O49="",$P49="",$J$38&lt;&gt;"Yes"),0,IF($K$10=0,SUMIFS(INDIRECT(ADDRESS(12,3+18*1+(3),,,"J1 B - Butcher Terrace")&amp;":"&amp;ADDRESS(130,3+18*1+(3))),'J1 B - Butcher Terrace'!$A$12:$A$130,"&gt;="&amp;Diagram!$O49,'J1 B - Butcher Terrace'!$A$12:$A$130,"&lt;"&amp;Diagram!$P49),SUMIFS(INDIRECT(ADDRESS(12,3+18*1+(11),,,"J1 B - Butcher Terrace")&amp;":"&amp;ADDRESS(130,3+18*1+(11))),'J1 B - Butcher Terrace'!$A$12:$A$130,"&gt;="&amp;Diagram!$O49,'J1 B - Butcher Terrace'!$A$12:$A$130,"&lt;"&amp;Diagram!$P49)))</f>
        <v>0</v>
      </c>
      <c r="BZ49" s="42">
        <f ca="1">IF(OR($I$10="",$O49="",$P49="",$J$38&lt;&gt;"Yes"),0,IF($K$10=0,SUMIFS(INDIRECT(ADDRESS(12,3+18*1+(3),,,"J1 C - (South) Bishopthorpe Roa")&amp;":"&amp;ADDRESS(130,3+18*1+(3))),'J1 C - (South) Bishopthorpe Roa'!$A$12:$A$130,"&gt;="&amp;Diagram!$O49,'J1 C - (South) Bishopthorpe Roa'!$A$12:$A$130,"&lt;"&amp;Diagram!$P49),SUMIFS(INDIRECT(ADDRESS(12,3+18*1+(11),,,"J1 C - (South) Bishopthorpe Roa")&amp;":"&amp;ADDRESS(130,3+18*1+(11))),'J1 C - (South) Bishopthorpe Roa'!$A$12:$A$130,"&gt;="&amp;Diagram!$O49,'J1 C - (South) Bishopthorpe Roa'!$A$12:$A$130,"&lt;"&amp;Diagram!$P49)))</f>
        <v>0</v>
      </c>
      <c r="CA49" s="42">
        <f ca="1">IF(OR($I$10="",$O49="",$P49="",$J$38&lt;&gt;"Yes"),0,IF($K$10=0,SUMIFS(INDIRECT(ADDRESS(12,3+18*2+(3),,,"J1 C - (South) Bishopthorpe Roa")&amp;":"&amp;ADDRESS(130,3+18*2+(3))),'J1 C - (South) Bishopthorpe Roa'!$A$12:$A$130,"&gt;="&amp;Diagram!$O49,'J1 C - (South) Bishopthorpe Roa'!$A$12:$A$130,"&lt;"&amp;Diagram!$P49),SUMIFS(INDIRECT(ADDRESS(12,3+18*2+(11),,,"J1 C - (South) Bishopthorpe Roa")&amp;":"&amp;ADDRESS(130,3+18*2+(11))),'J1 C - (South) Bishopthorpe Roa'!$A$12:$A$130,"&gt;="&amp;Diagram!$O49,'J1 C - (South) Bishopthorpe Roa'!$A$12:$A$130,"&lt;"&amp;Diagram!$P49)))</f>
        <v>0</v>
      </c>
      <c r="CB49" s="42">
        <f ca="1">IF(OR($I$10="",$O49="",$P49="",$J$38&lt;&gt;"Yes"),0,IF($K$10=0,SUMIFS(INDIRECT(ADDRESS(12,3+18*3+(3),,,"J1 C - (South) Bishopthorpe Roa")&amp;":"&amp;ADDRESS(130,3+18*3+(3))),'J1 C - (South) Bishopthorpe Roa'!$A$12:$A$130,"&gt;="&amp;Diagram!$O49,'J1 C - (South) Bishopthorpe Roa'!$A$12:$A$130,"&lt;"&amp;Diagram!$P49),SUMIFS(INDIRECT(ADDRESS(12,3+18*3+(11),,,"J1 C - (South) Bishopthorpe Roa")&amp;":"&amp;ADDRESS(130,3+18*3+(11))),'J1 C - (South) Bishopthorpe Roa'!$A$12:$A$130,"&gt;="&amp;Diagram!$O49,'J1 C - (South) Bishopthorpe Roa'!$A$12:$A$130,"&lt;"&amp;Diagram!$P49)))</f>
        <v>0</v>
      </c>
      <c r="CC49" s="42">
        <f ca="1">IF(OR($I$10="",$O49="",$P49="",$J$38&lt;&gt;"Yes"),0,IF($K$10=0,SUMIFS(INDIRECT(ADDRESS(12,3+18*0+(3),,,"J1 C - (South) Bishopthorpe Roa")&amp;":"&amp;ADDRESS(130,3+18*0+(3))),'J1 C - (South) Bishopthorpe Roa'!$A$12:$A$130,"&gt;="&amp;Diagram!$O49,'J1 C - (South) Bishopthorpe Roa'!$A$12:$A$130,"&lt;"&amp;Diagram!$P49),SUMIFS(INDIRECT(ADDRESS(12,3+18*0+(11),,,"J1 C - (South) Bishopthorpe Roa")&amp;":"&amp;ADDRESS(130,3+18*0+(11))),'J1 C - (South) Bishopthorpe Roa'!$A$12:$A$130,"&gt;="&amp;Diagram!$O49,'J1 C - (South) Bishopthorpe Roa'!$A$12:$A$130,"&lt;"&amp;Diagram!$P49)))</f>
        <v>0</v>
      </c>
      <c r="CD49" s="42">
        <f ca="1">IF(OR($I$10="",$O49="",$P49="",$J$38&lt;&gt;"Yes"),0,IF($K$10=0,SUMIFS(INDIRECT(ADDRESS(12,3+18*0+(3),,,"J1 D - South Bank Avenue")&amp;":"&amp;ADDRESS(130,3+18*0+(3))),'J1 D - South Bank Avenue'!$A$12:$A$130,"&gt;="&amp;Diagram!$O49,'J1 D - South Bank Avenue'!$A$12:$A$130,"&lt;"&amp;Diagram!$P49),SUMIFS(INDIRECT(ADDRESS(12,3+18*0+(11),,,"J1 D - South Bank Avenue")&amp;":"&amp;ADDRESS(130,3+18*0+(11))),'J1 D - South Bank Avenue'!$A$12:$A$130,"&gt;="&amp;Diagram!$O49,'J1 D - South Bank Avenue'!$A$12:$A$130,"&lt;"&amp;Diagram!$P49)))</f>
        <v>0</v>
      </c>
      <c r="CE49" s="42">
        <f ca="1">IF(OR($I$10="",$O49="",$P49="",$J$38&lt;&gt;"Yes"),0,IF($K$10=0,SUMIFS(INDIRECT(ADDRESS(12,3+18*1+(3),,,"J1 D - South Bank Avenue")&amp;":"&amp;ADDRESS(130,3+18*1+(3))),'J1 D - South Bank Avenue'!$A$12:$A$130,"&gt;="&amp;Diagram!$O49,'J1 D - South Bank Avenue'!$A$12:$A$130,"&lt;"&amp;Diagram!$P49),SUMIFS(INDIRECT(ADDRESS(12,3+18*1+(11),,,"J1 D - South Bank Avenue")&amp;":"&amp;ADDRESS(130,3+18*1+(11))),'J1 D - South Bank Avenue'!$A$12:$A$130,"&gt;="&amp;Diagram!$O49,'J1 D - South Bank Avenue'!$A$12:$A$130,"&lt;"&amp;Diagram!$P49)))</f>
        <v>0</v>
      </c>
      <c r="CF49" s="42">
        <f ca="1">IF(OR($I$10="",$O49="",$P49="",$J$38&lt;&gt;"Yes"),0,IF($K$10=0,SUMIFS(INDIRECT(ADDRESS(12,3+18*2+(3),,,"J1 D - South Bank Avenue")&amp;":"&amp;ADDRESS(130,3+18*2+(3))),'J1 D - South Bank Avenue'!$A$12:$A$130,"&gt;="&amp;Diagram!$O49,'J1 D - South Bank Avenue'!$A$12:$A$130,"&lt;"&amp;Diagram!$P49),SUMIFS(INDIRECT(ADDRESS(12,3+18*2+(11),,,"J1 D - South Bank Avenue")&amp;":"&amp;ADDRESS(130,3+18*2+(11))),'J1 D - South Bank Avenue'!$A$12:$A$130,"&gt;="&amp;Diagram!$O49,'J1 D - South Bank Avenue'!$A$12:$A$130,"&lt;"&amp;Diagram!$P49)))</f>
        <v>0</v>
      </c>
      <c r="CG49" s="42">
        <f ca="1">IF(OR($I$10="",$O49="",$P49="",$J$38&lt;&gt;"Yes"),0,IF($K$10=0,SUMIFS(INDIRECT(ADDRESS(12,3+18*3+(3),,,"J1 D - South Bank Avenue")&amp;":"&amp;ADDRESS(130,3+18*3+(3))),'J1 D - South Bank Avenue'!$A$12:$A$130,"&gt;="&amp;Diagram!$O49,'J1 D - South Bank Avenue'!$A$12:$A$130,"&lt;"&amp;Diagram!$P49),SUMIFS(INDIRECT(ADDRESS(12,3+18*3+(11),,,"J1 D - South Bank Avenue")&amp;":"&amp;ADDRESS(130,3+18*3+(11))),'J1 D - South Bank Avenue'!$A$12:$A$130,"&gt;="&amp;Diagram!$O49,'J1 D - South Bank Avenue'!$A$12:$A$130,"&lt;"&amp;Diagram!$P49)))</f>
        <v>0</v>
      </c>
      <c r="CH49" s="42">
        <f t="shared" ca="1" si="5"/>
        <v>8</v>
      </c>
      <c r="CI49" s="42">
        <f ca="1">IF(OR($I$10="",$O49="",$P49="",$J$39&lt;&gt;"Yes"),0,IF($K$10=0,SUMIFS(INDIRECT(ADDRESS(12,3+18*3+(4),,,"J1 A - (North) Bishopthorpe Roa")&amp;":"&amp;ADDRESS(130,3+18*3+(4))),'J1 A - (North) Bishopthorpe Roa'!$A$12:$A$130,"&gt;="&amp;Diagram!$O49,'J1 A - (North) Bishopthorpe Roa'!$A$12:$A$130,"&lt;"&amp;Diagram!$P49),SUMIFS(INDIRECT(ADDRESS(12,3+18*3+(12),,,"J1 A - (North) Bishopthorpe Roa")&amp;":"&amp;ADDRESS(130,3+18*3+(12))),'J1 A - (North) Bishopthorpe Roa'!$A$12:$A$130,"&gt;="&amp;Diagram!$O49,'J1 A - (North) Bishopthorpe Roa'!$A$12:$A$130,"&lt;"&amp;Diagram!$P49)))</f>
        <v>0</v>
      </c>
      <c r="CJ49" s="42">
        <f ca="1">IF(OR($I$10="",$O49="",$P49="",$J$39&lt;&gt;"Yes"),0,IF($K$10=0,SUMIFS(INDIRECT(ADDRESS(12,3+18*0+(4),,,"J1 A - (North) Bishopthorpe Roa")&amp;":"&amp;ADDRESS(130,3+18*0+(4))),'J1 A - (North) Bishopthorpe Roa'!$A$12:$A$130,"&gt;="&amp;Diagram!$O49,'J1 A - (North) Bishopthorpe Roa'!$A$12:$A$130,"&lt;"&amp;Diagram!$P49),SUMIFS(INDIRECT(ADDRESS(12,3+18*0+(12),,,"J1 A - (North) Bishopthorpe Roa")&amp;":"&amp;ADDRESS(130,3+18*0+(12))),'J1 A - (North) Bishopthorpe Roa'!$A$12:$A$130,"&gt;="&amp;Diagram!$O49,'J1 A - (North) Bishopthorpe Roa'!$A$12:$A$130,"&lt;"&amp;Diagram!$P49)))</f>
        <v>0</v>
      </c>
      <c r="CK49" s="42">
        <f ca="1">IF(OR($I$10="",$O49="",$P49="",$J$39&lt;&gt;"Yes"),0,IF($K$10=0,SUMIFS(INDIRECT(ADDRESS(12,3+18*1+(4),,,"J1 A - (North) Bishopthorpe Roa")&amp;":"&amp;ADDRESS(130,3+18*1+(4))),'J1 A - (North) Bishopthorpe Roa'!$A$12:$A$130,"&gt;="&amp;Diagram!$O49,'J1 A - (North) Bishopthorpe Roa'!$A$12:$A$130,"&lt;"&amp;Diagram!$P49),SUMIFS(INDIRECT(ADDRESS(12,3+18*1+(12),,,"J1 A - (North) Bishopthorpe Roa")&amp;":"&amp;ADDRESS(130,3+18*1+(12))),'J1 A - (North) Bishopthorpe Roa'!$A$12:$A$130,"&gt;="&amp;Diagram!$O49,'J1 A - (North) Bishopthorpe Roa'!$A$12:$A$130,"&lt;"&amp;Diagram!$P49)))</f>
        <v>3</v>
      </c>
      <c r="CL49" s="42">
        <f ca="1">IF(OR($I$10="",$O49="",$P49="",$J$39&lt;&gt;"Yes"),0,IF($K$10=0,SUMIFS(INDIRECT(ADDRESS(12,3+18*2+(4),,,"J1 A - (North) Bishopthorpe Roa")&amp;":"&amp;ADDRESS(130,3+18*2+(4))),'J1 A - (North) Bishopthorpe Roa'!$A$12:$A$130,"&gt;="&amp;Diagram!$O49,'J1 A - (North) Bishopthorpe Roa'!$A$12:$A$130,"&lt;"&amp;Diagram!$P49),SUMIFS(INDIRECT(ADDRESS(12,3+18*2+(12),,,"J1 A - (North) Bishopthorpe Roa")&amp;":"&amp;ADDRESS(130,3+18*2+(12))),'J1 A - (North) Bishopthorpe Roa'!$A$12:$A$130,"&gt;="&amp;Diagram!$O49,'J1 A - (North) Bishopthorpe Roa'!$A$12:$A$130,"&lt;"&amp;Diagram!$P49)))</f>
        <v>0</v>
      </c>
      <c r="CM49" s="42">
        <f ca="1">IF(OR($I$10="",$O49="",$P49="",$J$39&lt;&gt;"Yes"),0,IF($K$10=0,SUMIFS(INDIRECT(ADDRESS(12,3+18*2+(4),,,"J1 B - Butcher Terrace")&amp;":"&amp;ADDRESS(130,3+18*2+(4))),'J1 B - Butcher Terrace'!$A$12:$A$130,"&gt;="&amp;Diagram!$O49,'J1 B - Butcher Terrace'!$A$12:$A$130,"&lt;"&amp;Diagram!$P49),SUMIFS(INDIRECT(ADDRESS(12,3+18*2+(12),,,"J1 B - Butcher Terrace")&amp;":"&amp;ADDRESS(130,3+18*2+(12))),'J1 B - Butcher Terrace'!$A$12:$A$130,"&gt;="&amp;Diagram!$O49,'J1 B - Butcher Terrace'!$A$12:$A$130,"&lt;"&amp;Diagram!$P49)))</f>
        <v>0</v>
      </c>
      <c r="CN49" s="42">
        <f ca="1">IF(OR($I$10="",$O49="",$P49="",$J$39&lt;&gt;"Yes"),0,IF($K$10=0,SUMIFS(INDIRECT(ADDRESS(12,3+18*3+(4),,,"J1 B - Butcher Terrace")&amp;":"&amp;ADDRESS(130,3+18*3+(4))),'J1 B - Butcher Terrace'!$A$12:$A$130,"&gt;="&amp;Diagram!$O49,'J1 B - Butcher Terrace'!$A$12:$A$130,"&lt;"&amp;Diagram!$P49),SUMIFS(INDIRECT(ADDRESS(12,3+18*3+(12),,,"J1 B - Butcher Terrace")&amp;":"&amp;ADDRESS(130,3+18*3+(12))),'J1 B - Butcher Terrace'!$A$12:$A$130,"&gt;="&amp;Diagram!$O49,'J1 B - Butcher Terrace'!$A$12:$A$130,"&lt;"&amp;Diagram!$P49)))</f>
        <v>0</v>
      </c>
      <c r="CO49" s="42">
        <f ca="1">IF(OR($I$10="",$O49="",$P49="",$J$39&lt;&gt;"Yes"),0,IF($K$10=0,SUMIFS(INDIRECT(ADDRESS(12,3+18*0+(4),,,"J1 B - Butcher Terrace")&amp;":"&amp;ADDRESS(130,3+18*0+(4))),'J1 B - Butcher Terrace'!$A$12:$A$130,"&gt;="&amp;Diagram!$O49,'J1 B - Butcher Terrace'!$A$12:$A$130,"&lt;"&amp;Diagram!$P49),SUMIFS(INDIRECT(ADDRESS(12,3+18*0+(12),,,"J1 B - Butcher Terrace")&amp;":"&amp;ADDRESS(130,3+18*0+(12))),'J1 B - Butcher Terrace'!$A$12:$A$130,"&gt;="&amp;Diagram!$O49,'J1 B - Butcher Terrace'!$A$12:$A$130,"&lt;"&amp;Diagram!$P49)))</f>
        <v>0</v>
      </c>
      <c r="CP49" s="42">
        <f ca="1">IF(OR($I$10="",$O49="",$P49="",$J$39&lt;&gt;"Yes"),0,IF($K$10=0,SUMIFS(INDIRECT(ADDRESS(12,3+18*1+(4),,,"J1 B - Butcher Terrace")&amp;":"&amp;ADDRESS(130,3+18*1+(4))),'J1 B - Butcher Terrace'!$A$12:$A$130,"&gt;="&amp;Diagram!$O49,'J1 B - Butcher Terrace'!$A$12:$A$130,"&lt;"&amp;Diagram!$P49),SUMIFS(INDIRECT(ADDRESS(12,3+18*1+(12),,,"J1 B - Butcher Terrace")&amp;":"&amp;ADDRESS(130,3+18*1+(12))),'J1 B - Butcher Terrace'!$A$12:$A$130,"&gt;="&amp;Diagram!$O49,'J1 B - Butcher Terrace'!$A$12:$A$130,"&lt;"&amp;Diagram!$P49)))</f>
        <v>0</v>
      </c>
      <c r="CQ49" s="42">
        <f ca="1">IF(OR($I$10="",$O49="",$P49="",$J$39&lt;&gt;"Yes"),0,IF($K$10=0,SUMIFS(INDIRECT(ADDRESS(12,3+18*1+(4),,,"J1 C - (South) Bishopthorpe Roa")&amp;":"&amp;ADDRESS(130,3+18*1+(4))),'J1 C - (South) Bishopthorpe Roa'!$A$12:$A$130,"&gt;="&amp;Diagram!$O49,'J1 C - (South) Bishopthorpe Roa'!$A$12:$A$130,"&lt;"&amp;Diagram!$P49),SUMIFS(INDIRECT(ADDRESS(12,3+18*1+(12),,,"J1 C - (South) Bishopthorpe Roa")&amp;":"&amp;ADDRESS(130,3+18*1+(12))),'J1 C - (South) Bishopthorpe Roa'!$A$12:$A$130,"&gt;="&amp;Diagram!$O49,'J1 C - (South) Bishopthorpe Roa'!$A$12:$A$130,"&lt;"&amp;Diagram!$P49)))</f>
        <v>5</v>
      </c>
      <c r="CR49" s="42">
        <f ca="1">IF(OR($I$10="",$O49="",$P49="",$J$39&lt;&gt;"Yes"),0,IF($K$10=0,SUMIFS(INDIRECT(ADDRESS(12,3+18*2+(4),,,"J1 C - (South) Bishopthorpe Roa")&amp;":"&amp;ADDRESS(130,3+18*2+(4))),'J1 C - (South) Bishopthorpe Roa'!$A$12:$A$130,"&gt;="&amp;Diagram!$O49,'J1 C - (South) Bishopthorpe Roa'!$A$12:$A$130,"&lt;"&amp;Diagram!$P49),SUMIFS(INDIRECT(ADDRESS(12,3+18*2+(12),,,"J1 C - (South) Bishopthorpe Roa")&amp;":"&amp;ADDRESS(130,3+18*2+(12))),'J1 C - (South) Bishopthorpe Roa'!$A$12:$A$130,"&gt;="&amp;Diagram!$O49,'J1 C - (South) Bishopthorpe Roa'!$A$12:$A$130,"&lt;"&amp;Diagram!$P49)))</f>
        <v>0</v>
      </c>
      <c r="CS49" s="42">
        <f ca="1">IF(OR($I$10="",$O49="",$P49="",$J$39&lt;&gt;"Yes"),0,IF($K$10=0,SUMIFS(INDIRECT(ADDRESS(12,3+18*3+(4),,,"J1 C - (South) Bishopthorpe Roa")&amp;":"&amp;ADDRESS(130,3+18*3+(4))),'J1 C - (South) Bishopthorpe Roa'!$A$12:$A$130,"&gt;="&amp;Diagram!$O49,'J1 C - (South) Bishopthorpe Roa'!$A$12:$A$130,"&lt;"&amp;Diagram!$P49),SUMIFS(INDIRECT(ADDRESS(12,3+18*3+(12),,,"J1 C - (South) Bishopthorpe Roa")&amp;":"&amp;ADDRESS(130,3+18*3+(12))),'J1 C - (South) Bishopthorpe Roa'!$A$12:$A$130,"&gt;="&amp;Diagram!$O49,'J1 C - (South) Bishopthorpe Roa'!$A$12:$A$130,"&lt;"&amp;Diagram!$P49)))</f>
        <v>0</v>
      </c>
      <c r="CT49" s="42">
        <f ca="1">IF(OR($I$10="",$O49="",$P49="",$J$39&lt;&gt;"Yes"),0,IF($K$10=0,SUMIFS(INDIRECT(ADDRESS(12,3+18*0+(4),,,"J1 C - (South) Bishopthorpe Roa")&amp;":"&amp;ADDRESS(130,3+18*0+(4))),'J1 C - (South) Bishopthorpe Roa'!$A$12:$A$130,"&gt;="&amp;Diagram!$O49,'J1 C - (South) Bishopthorpe Roa'!$A$12:$A$130,"&lt;"&amp;Diagram!$P49),SUMIFS(INDIRECT(ADDRESS(12,3+18*0+(12),,,"J1 C - (South) Bishopthorpe Roa")&amp;":"&amp;ADDRESS(130,3+18*0+(12))),'J1 C - (South) Bishopthorpe Roa'!$A$12:$A$130,"&gt;="&amp;Diagram!$O49,'J1 C - (South) Bishopthorpe Roa'!$A$12:$A$130,"&lt;"&amp;Diagram!$P49)))</f>
        <v>0</v>
      </c>
      <c r="CU49" s="42">
        <f ca="1">IF(OR($I$10="",$O49="",$P49="",$J$39&lt;&gt;"Yes"),0,IF($K$10=0,SUMIFS(INDIRECT(ADDRESS(12,3+18*0+(4),,,"J1 D - South Bank Avenue")&amp;":"&amp;ADDRESS(130,3+18*0+(4))),'J1 D - South Bank Avenue'!$A$12:$A$130,"&gt;="&amp;Diagram!$O49,'J1 D - South Bank Avenue'!$A$12:$A$130,"&lt;"&amp;Diagram!$P49),SUMIFS(INDIRECT(ADDRESS(12,3+18*0+(12),,,"J1 D - South Bank Avenue")&amp;":"&amp;ADDRESS(130,3+18*0+(12))),'J1 D - South Bank Avenue'!$A$12:$A$130,"&gt;="&amp;Diagram!$O49,'J1 D - South Bank Avenue'!$A$12:$A$130,"&lt;"&amp;Diagram!$P49)))</f>
        <v>0</v>
      </c>
      <c r="CV49" s="42">
        <f ca="1">IF(OR($I$10="",$O49="",$P49="",$J$39&lt;&gt;"Yes"),0,IF($K$10=0,SUMIFS(INDIRECT(ADDRESS(12,3+18*1+(4),,,"J1 D - South Bank Avenue")&amp;":"&amp;ADDRESS(130,3+18*1+(4))),'J1 D - South Bank Avenue'!$A$12:$A$130,"&gt;="&amp;Diagram!$O49,'J1 D - South Bank Avenue'!$A$12:$A$130,"&lt;"&amp;Diagram!$P49),SUMIFS(INDIRECT(ADDRESS(12,3+18*1+(12),,,"J1 D - South Bank Avenue")&amp;":"&amp;ADDRESS(130,3+18*1+(12))),'J1 D - South Bank Avenue'!$A$12:$A$130,"&gt;="&amp;Diagram!$O49,'J1 D - South Bank Avenue'!$A$12:$A$130,"&lt;"&amp;Diagram!$P49)))</f>
        <v>0</v>
      </c>
      <c r="CW49" s="42">
        <f ca="1">IF(OR($I$10="",$O49="",$P49="",$J$39&lt;&gt;"Yes"),0,IF($K$10=0,SUMIFS(INDIRECT(ADDRESS(12,3+18*2+(4),,,"J1 D - South Bank Avenue")&amp;":"&amp;ADDRESS(130,3+18*2+(4))),'J1 D - South Bank Avenue'!$A$12:$A$130,"&gt;="&amp;Diagram!$O49,'J1 D - South Bank Avenue'!$A$12:$A$130,"&lt;"&amp;Diagram!$P49),SUMIFS(INDIRECT(ADDRESS(12,3+18*2+(12),,,"J1 D - South Bank Avenue")&amp;":"&amp;ADDRESS(130,3+18*2+(12))),'J1 D - South Bank Avenue'!$A$12:$A$130,"&gt;="&amp;Diagram!$O49,'J1 D - South Bank Avenue'!$A$12:$A$130,"&lt;"&amp;Diagram!$P49)))</f>
        <v>0</v>
      </c>
      <c r="CX49" s="42">
        <f ca="1">IF(OR($I$10="",$O49="",$P49="",$J$39&lt;&gt;"Yes"),0,IF($K$10=0,SUMIFS(INDIRECT(ADDRESS(12,3+18*3+(4),,,"J1 D - South Bank Avenue")&amp;":"&amp;ADDRESS(130,3+18*3+(4))),'J1 D - South Bank Avenue'!$A$12:$A$130,"&gt;="&amp;Diagram!$O49,'J1 D - South Bank Avenue'!$A$12:$A$130,"&lt;"&amp;Diagram!$P49),SUMIFS(INDIRECT(ADDRESS(12,3+18*3+(12),,,"J1 D - South Bank Avenue")&amp;":"&amp;ADDRESS(130,3+18*3+(12))),'J1 D - South Bank Avenue'!$A$12:$A$130,"&gt;="&amp;Diagram!$O49,'J1 D - South Bank Avenue'!$A$12:$A$130,"&lt;"&amp;Diagram!$P49)))</f>
        <v>0</v>
      </c>
      <c r="CY49" s="42">
        <f t="shared" ca="1" si="6"/>
        <v>108</v>
      </c>
      <c r="CZ49" s="42">
        <f ca="1">IF(OR($I$10="",$O49="",$P49="",$J$40&lt;&gt;"Yes"),0,IF($K$10=0,SUMIFS(INDIRECT(ADDRESS(12,3+18*3+(5),,,"J1 A - (North) Bishopthorpe Roa")&amp;":"&amp;ADDRESS(130,3+18*3+(5))),'J1 A - (North) Bishopthorpe Roa'!$A$12:$A$130,"&gt;="&amp;Diagram!$O49,'J1 A - (North) Bishopthorpe Roa'!$A$12:$A$130,"&lt;"&amp;Diagram!$P49),SUMIFS(INDIRECT(ADDRESS(12,3+18*3+(13),,,"J1 A - (North) Bishopthorpe Roa")&amp;":"&amp;ADDRESS(130,3+18*3+(13))),'J1 A - (North) Bishopthorpe Roa'!$A$12:$A$130,"&gt;="&amp;Diagram!$O49,'J1 A - (North) Bishopthorpe Roa'!$A$12:$A$130,"&lt;"&amp;Diagram!$P49)))</f>
        <v>0</v>
      </c>
      <c r="DA49" s="42">
        <f ca="1">IF(OR($I$10="",$O49="",$P49="",$J$40&lt;&gt;"Yes"),0,IF($K$10=0,SUMIFS(INDIRECT(ADDRESS(12,3+18*0+(5),,,"J1 A - (North) Bishopthorpe Roa")&amp;":"&amp;ADDRESS(130,3+18*0+(5))),'J1 A - (North) Bishopthorpe Roa'!$A$12:$A$130,"&gt;="&amp;Diagram!$O49,'J1 A - (North) Bishopthorpe Roa'!$A$12:$A$130,"&lt;"&amp;Diagram!$P49),SUMIFS(INDIRECT(ADDRESS(12,3+18*0+(13),,,"J1 A - (North) Bishopthorpe Roa")&amp;":"&amp;ADDRESS(130,3+18*0+(13))),'J1 A - (North) Bishopthorpe Roa'!$A$12:$A$130,"&gt;="&amp;Diagram!$O49,'J1 A - (North) Bishopthorpe Roa'!$A$12:$A$130,"&lt;"&amp;Diagram!$P49)))</f>
        <v>11</v>
      </c>
      <c r="DB49" s="42">
        <f ca="1">IF(OR($I$10="",$O49="",$P49="",$J$40&lt;&gt;"Yes"),0,IF($K$10=0,SUMIFS(INDIRECT(ADDRESS(12,3+18*1+(5),,,"J1 A - (North) Bishopthorpe Roa")&amp;":"&amp;ADDRESS(130,3+18*1+(5))),'J1 A - (North) Bishopthorpe Roa'!$A$12:$A$130,"&gt;="&amp;Diagram!$O49,'J1 A - (North) Bishopthorpe Roa'!$A$12:$A$130,"&lt;"&amp;Diagram!$P49),SUMIFS(INDIRECT(ADDRESS(12,3+18*1+(13),,,"J1 A - (North) Bishopthorpe Roa")&amp;":"&amp;ADDRESS(130,3+18*1+(13))),'J1 A - (North) Bishopthorpe Roa'!$A$12:$A$130,"&gt;="&amp;Diagram!$O49,'J1 A - (North) Bishopthorpe Roa'!$A$12:$A$130,"&lt;"&amp;Diagram!$P49)))</f>
        <v>17</v>
      </c>
      <c r="DC49" s="42">
        <f ca="1">IF(OR($I$10="",$O49="",$P49="",$J$40&lt;&gt;"Yes"),0,IF($K$10=0,SUMIFS(INDIRECT(ADDRESS(12,3+18*2+(5),,,"J1 A - (North) Bishopthorpe Roa")&amp;":"&amp;ADDRESS(130,3+18*2+(5))),'J1 A - (North) Bishopthorpe Roa'!$A$12:$A$130,"&gt;="&amp;Diagram!$O49,'J1 A - (North) Bishopthorpe Roa'!$A$12:$A$130,"&lt;"&amp;Diagram!$P49),SUMIFS(INDIRECT(ADDRESS(12,3+18*2+(13),,,"J1 A - (North) Bishopthorpe Roa")&amp;":"&amp;ADDRESS(130,3+18*2+(13))),'J1 A - (North) Bishopthorpe Roa'!$A$12:$A$130,"&gt;="&amp;Diagram!$O49,'J1 A - (North) Bishopthorpe Roa'!$A$12:$A$130,"&lt;"&amp;Diagram!$P49)))</f>
        <v>2</v>
      </c>
      <c r="DD49" s="42">
        <f ca="1">IF(OR($I$10="",$O49="",$P49="",$J$40&lt;&gt;"Yes"),0,IF($K$10=0,SUMIFS(INDIRECT(ADDRESS(12,3+18*2+(5),,,"J1 B - Butcher Terrace")&amp;":"&amp;ADDRESS(130,3+18*2+(5))),'J1 B - Butcher Terrace'!$A$12:$A$130,"&gt;="&amp;Diagram!$O49,'J1 B - Butcher Terrace'!$A$12:$A$130,"&lt;"&amp;Diagram!$P49),SUMIFS(INDIRECT(ADDRESS(12,3+18*2+(13),,,"J1 B - Butcher Terrace")&amp;":"&amp;ADDRESS(130,3+18*2+(13))),'J1 B - Butcher Terrace'!$A$12:$A$130,"&gt;="&amp;Diagram!$O49,'J1 B - Butcher Terrace'!$A$12:$A$130,"&lt;"&amp;Diagram!$P49)))</f>
        <v>9</v>
      </c>
      <c r="DE49" s="42">
        <f ca="1">IF(OR($I$10="",$O49="",$P49="",$J$40&lt;&gt;"Yes"),0,IF($K$10=0,SUMIFS(INDIRECT(ADDRESS(12,3+18*3+(5),,,"J1 B - Butcher Terrace")&amp;":"&amp;ADDRESS(130,3+18*3+(5))),'J1 B - Butcher Terrace'!$A$12:$A$130,"&gt;="&amp;Diagram!$O49,'J1 B - Butcher Terrace'!$A$12:$A$130,"&lt;"&amp;Diagram!$P49),SUMIFS(INDIRECT(ADDRESS(12,3+18*3+(13),,,"J1 B - Butcher Terrace")&amp;":"&amp;ADDRESS(130,3+18*3+(13))),'J1 B - Butcher Terrace'!$A$12:$A$130,"&gt;="&amp;Diagram!$O49,'J1 B - Butcher Terrace'!$A$12:$A$130,"&lt;"&amp;Diagram!$P49)))</f>
        <v>0</v>
      </c>
      <c r="DF49" s="42">
        <f ca="1">IF(OR($I$10="",$O49="",$P49="",$J$40&lt;&gt;"Yes"),0,IF($K$10=0,SUMIFS(INDIRECT(ADDRESS(12,3+18*0+(5),,,"J1 B - Butcher Terrace")&amp;":"&amp;ADDRESS(130,3+18*0+(5))),'J1 B - Butcher Terrace'!$A$12:$A$130,"&gt;="&amp;Diagram!$O49,'J1 B - Butcher Terrace'!$A$12:$A$130,"&lt;"&amp;Diagram!$P49),SUMIFS(INDIRECT(ADDRESS(12,3+18*0+(13),,,"J1 B - Butcher Terrace")&amp;":"&amp;ADDRESS(130,3+18*0+(13))),'J1 B - Butcher Terrace'!$A$12:$A$130,"&gt;="&amp;Diagram!$O49,'J1 B - Butcher Terrace'!$A$12:$A$130,"&lt;"&amp;Diagram!$P49)))</f>
        <v>7</v>
      </c>
      <c r="DG49" s="42">
        <f ca="1">IF(OR($I$10="",$O49="",$P49="",$J$40&lt;&gt;"Yes"),0,IF($K$10=0,SUMIFS(INDIRECT(ADDRESS(12,3+18*1+(5),,,"J1 B - Butcher Terrace")&amp;":"&amp;ADDRESS(130,3+18*1+(5))),'J1 B - Butcher Terrace'!$A$12:$A$130,"&gt;="&amp;Diagram!$O49,'J1 B - Butcher Terrace'!$A$12:$A$130,"&lt;"&amp;Diagram!$P49),SUMIFS(INDIRECT(ADDRESS(12,3+18*1+(13),,,"J1 B - Butcher Terrace")&amp;":"&amp;ADDRESS(130,3+18*1+(13))),'J1 B - Butcher Terrace'!$A$12:$A$130,"&gt;="&amp;Diagram!$O49,'J1 B - Butcher Terrace'!$A$12:$A$130,"&lt;"&amp;Diagram!$P49)))</f>
        <v>18</v>
      </c>
      <c r="DH49" s="42">
        <f ca="1">IF(OR($I$10="",$O49="",$P49="",$J$40&lt;&gt;"Yes"),0,IF($K$10=0,SUMIFS(INDIRECT(ADDRESS(12,3+18*1+(5),,,"J1 C - (South) Bishopthorpe Roa")&amp;":"&amp;ADDRESS(130,3+18*1+(5))),'J1 C - (South) Bishopthorpe Roa'!$A$12:$A$130,"&gt;="&amp;Diagram!$O49,'J1 C - (South) Bishopthorpe Roa'!$A$12:$A$130,"&lt;"&amp;Diagram!$P49),SUMIFS(INDIRECT(ADDRESS(12,3+18*1+(13),,,"J1 C - (South) Bishopthorpe Roa")&amp;":"&amp;ADDRESS(130,3+18*1+(13))),'J1 C - (South) Bishopthorpe Roa'!$A$12:$A$130,"&gt;="&amp;Diagram!$O49,'J1 C - (South) Bishopthorpe Roa'!$A$12:$A$130,"&lt;"&amp;Diagram!$P49)))</f>
        <v>10</v>
      </c>
      <c r="DI49" s="42">
        <f ca="1">IF(OR($I$10="",$O49="",$P49="",$J$40&lt;&gt;"Yes"),0,IF($K$10=0,SUMIFS(INDIRECT(ADDRESS(12,3+18*2+(5),,,"J1 C - (South) Bishopthorpe Roa")&amp;":"&amp;ADDRESS(130,3+18*2+(5))),'J1 C - (South) Bishopthorpe Roa'!$A$12:$A$130,"&gt;="&amp;Diagram!$O49,'J1 C - (South) Bishopthorpe Roa'!$A$12:$A$130,"&lt;"&amp;Diagram!$P49),SUMIFS(INDIRECT(ADDRESS(12,3+18*2+(13),,,"J1 C - (South) Bishopthorpe Roa")&amp;":"&amp;ADDRESS(130,3+18*2+(13))),'J1 C - (South) Bishopthorpe Roa'!$A$12:$A$130,"&gt;="&amp;Diagram!$O49,'J1 C - (South) Bishopthorpe Roa'!$A$12:$A$130,"&lt;"&amp;Diagram!$P49)))</f>
        <v>9</v>
      </c>
      <c r="DJ49" s="42">
        <f ca="1">IF(OR($I$10="",$O49="",$P49="",$J$40&lt;&gt;"Yes"),0,IF($K$10=0,SUMIFS(INDIRECT(ADDRESS(12,3+18*3+(5),,,"J1 C - (South) Bishopthorpe Roa")&amp;":"&amp;ADDRESS(130,3+18*3+(5))),'J1 C - (South) Bishopthorpe Roa'!$A$12:$A$130,"&gt;="&amp;Diagram!$O49,'J1 C - (South) Bishopthorpe Roa'!$A$12:$A$130,"&lt;"&amp;Diagram!$P49),SUMIFS(INDIRECT(ADDRESS(12,3+18*3+(13),,,"J1 C - (South) Bishopthorpe Roa")&amp;":"&amp;ADDRESS(130,3+18*3+(13))),'J1 C - (South) Bishopthorpe Roa'!$A$12:$A$130,"&gt;="&amp;Diagram!$O49,'J1 C - (South) Bishopthorpe Roa'!$A$12:$A$130,"&lt;"&amp;Diagram!$P49)))</f>
        <v>0</v>
      </c>
      <c r="DK49" s="42">
        <f ca="1">IF(OR($I$10="",$O49="",$P49="",$J$40&lt;&gt;"Yes"),0,IF($K$10=0,SUMIFS(INDIRECT(ADDRESS(12,3+18*0+(5),,,"J1 C - (South) Bishopthorpe Roa")&amp;":"&amp;ADDRESS(130,3+18*0+(5))),'J1 C - (South) Bishopthorpe Roa'!$A$12:$A$130,"&gt;="&amp;Diagram!$O49,'J1 C - (South) Bishopthorpe Roa'!$A$12:$A$130,"&lt;"&amp;Diagram!$P49),SUMIFS(INDIRECT(ADDRESS(12,3+18*0+(13),,,"J1 C - (South) Bishopthorpe Roa")&amp;":"&amp;ADDRESS(130,3+18*0+(13))),'J1 C - (South) Bishopthorpe Roa'!$A$12:$A$130,"&gt;="&amp;Diagram!$O49,'J1 C - (South) Bishopthorpe Roa'!$A$12:$A$130,"&lt;"&amp;Diagram!$P49)))</f>
        <v>2</v>
      </c>
      <c r="DL49" s="42">
        <f ca="1">IF(OR($I$10="",$O49="",$P49="",$J$40&lt;&gt;"Yes"),0,IF($K$10=0,SUMIFS(INDIRECT(ADDRESS(12,3+18*0+(5),,,"J1 D - South Bank Avenue")&amp;":"&amp;ADDRESS(130,3+18*0+(5))),'J1 D - South Bank Avenue'!$A$12:$A$130,"&gt;="&amp;Diagram!$O49,'J1 D - South Bank Avenue'!$A$12:$A$130,"&lt;"&amp;Diagram!$P49),SUMIFS(INDIRECT(ADDRESS(12,3+18*0+(13),,,"J1 D - South Bank Avenue")&amp;":"&amp;ADDRESS(130,3+18*0+(13))),'J1 D - South Bank Avenue'!$A$12:$A$130,"&gt;="&amp;Diagram!$O49,'J1 D - South Bank Avenue'!$A$12:$A$130,"&lt;"&amp;Diagram!$P49)))</f>
        <v>5</v>
      </c>
      <c r="DM49" s="42">
        <f ca="1">IF(OR($I$10="",$O49="",$P49="",$J$40&lt;&gt;"Yes"),0,IF($K$10=0,SUMIFS(INDIRECT(ADDRESS(12,3+18*1+(5),,,"J1 D - South Bank Avenue")&amp;":"&amp;ADDRESS(130,3+18*1+(5))),'J1 D - South Bank Avenue'!$A$12:$A$130,"&gt;="&amp;Diagram!$O49,'J1 D - South Bank Avenue'!$A$12:$A$130,"&lt;"&amp;Diagram!$P49),SUMIFS(INDIRECT(ADDRESS(12,3+18*1+(13),,,"J1 D - South Bank Avenue")&amp;":"&amp;ADDRESS(130,3+18*1+(13))),'J1 D - South Bank Avenue'!$A$12:$A$130,"&gt;="&amp;Diagram!$O49,'J1 D - South Bank Avenue'!$A$12:$A$130,"&lt;"&amp;Diagram!$P49)))</f>
        <v>18</v>
      </c>
      <c r="DN49" s="42">
        <f ca="1">IF(OR($I$10="",$O49="",$P49="",$J$40&lt;&gt;"Yes"),0,IF($K$10=0,SUMIFS(INDIRECT(ADDRESS(12,3+18*2+(5),,,"J1 D - South Bank Avenue")&amp;":"&amp;ADDRESS(130,3+18*2+(5))),'J1 D - South Bank Avenue'!$A$12:$A$130,"&gt;="&amp;Diagram!$O49,'J1 D - South Bank Avenue'!$A$12:$A$130,"&lt;"&amp;Diagram!$P49),SUMIFS(INDIRECT(ADDRESS(12,3+18*2+(13),,,"J1 D - South Bank Avenue")&amp;":"&amp;ADDRESS(130,3+18*2+(13))),'J1 D - South Bank Avenue'!$A$12:$A$130,"&gt;="&amp;Diagram!$O49,'J1 D - South Bank Avenue'!$A$12:$A$130,"&lt;"&amp;Diagram!$P49)))</f>
        <v>0</v>
      </c>
      <c r="DO49" s="42">
        <f ca="1">IF(OR($I$10="",$O49="",$P49="",$J$40&lt;&gt;"Yes"),0,IF($K$10=0,SUMIFS(INDIRECT(ADDRESS(12,3+18*3+(5),,,"J1 D - South Bank Avenue")&amp;":"&amp;ADDRESS(130,3+18*3+(5))),'J1 D - South Bank Avenue'!$A$12:$A$130,"&gt;="&amp;Diagram!$O49,'J1 D - South Bank Avenue'!$A$12:$A$130,"&lt;"&amp;Diagram!$P49),SUMIFS(INDIRECT(ADDRESS(12,3+18*3+(13),,,"J1 D - South Bank Avenue")&amp;":"&amp;ADDRESS(130,3+18*3+(13))),'J1 D - South Bank Avenue'!$A$12:$A$130,"&gt;="&amp;Diagram!$O49,'J1 D - South Bank Avenue'!$A$12:$A$130,"&lt;"&amp;Diagram!$P49)))</f>
        <v>0</v>
      </c>
      <c r="DP49" s="42">
        <f t="shared" ca="1" si="7"/>
        <v>4</v>
      </c>
      <c r="DQ49" s="42">
        <f ca="1">IF(OR($I$10="",$O49="",$P49="",$J$41&lt;&gt;"Yes"),0,IF($K$10=0,SUMIFS(INDIRECT(ADDRESS(12,3+18*3+(6),,,"J1 A - (North) Bishopthorpe Roa")&amp;":"&amp;ADDRESS(130,3+18*3+(6))),'J1 A - (North) Bishopthorpe Roa'!$A$12:$A$130,"&gt;="&amp;Diagram!$O49,'J1 A - (North) Bishopthorpe Roa'!$A$12:$A$130,"&lt;"&amp;Diagram!$P49),SUMIFS(INDIRECT(ADDRESS(12,3+18*3+(14),,,"J1 A - (North) Bishopthorpe Roa")&amp;":"&amp;ADDRESS(130,3+18*3+(14))),'J1 A - (North) Bishopthorpe Roa'!$A$12:$A$130,"&gt;="&amp;Diagram!$O49,'J1 A - (North) Bishopthorpe Roa'!$A$12:$A$130,"&lt;"&amp;Diagram!$P49)))</f>
        <v>0</v>
      </c>
      <c r="DR49" s="42">
        <f ca="1">IF(OR($I$10="",$O49="",$P49="",$J$41&lt;&gt;"Yes"),0,IF($K$10=0,SUMIFS(INDIRECT(ADDRESS(12,3+18*0+(6),,,"J1 A - (North) Bishopthorpe Roa")&amp;":"&amp;ADDRESS(130,3+18*0+(6))),'J1 A - (North) Bishopthorpe Roa'!$A$12:$A$130,"&gt;="&amp;Diagram!$O49,'J1 A - (North) Bishopthorpe Roa'!$A$12:$A$130,"&lt;"&amp;Diagram!$P49),SUMIFS(INDIRECT(ADDRESS(12,3+18*0+(14),,,"J1 A - (North) Bishopthorpe Roa")&amp;":"&amp;ADDRESS(130,3+18*0+(14))),'J1 A - (North) Bishopthorpe Roa'!$A$12:$A$130,"&gt;="&amp;Diagram!$O49,'J1 A - (North) Bishopthorpe Roa'!$A$12:$A$130,"&lt;"&amp;Diagram!$P49)))</f>
        <v>0</v>
      </c>
      <c r="DS49" s="42">
        <f ca="1">IF(OR($I$10="",$O49="",$P49="",$J$41&lt;&gt;"Yes"),0,IF($K$10=0,SUMIFS(INDIRECT(ADDRESS(12,3+18*1+(6),,,"J1 A - (North) Bishopthorpe Roa")&amp;":"&amp;ADDRESS(130,3+18*1+(6))),'J1 A - (North) Bishopthorpe Roa'!$A$12:$A$130,"&gt;="&amp;Diagram!$O49,'J1 A - (North) Bishopthorpe Roa'!$A$12:$A$130,"&lt;"&amp;Diagram!$P49),SUMIFS(INDIRECT(ADDRESS(12,3+18*1+(14),,,"J1 A - (North) Bishopthorpe Roa")&amp;":"&amp;ADDRESS(130,3+18*1+(14))),'J1 A - (North) Bishopthorpe Roa'!$A$12:$A$130,"&gt;="&amp;Diagram!$O49,'J1 A - (North) Bishopthorpe Roa'!$A$12:$A$130,"&lt;"&amp;Diagram!$P49)))</f>
        <v>3</v>
      </c>
      <c r="DT49" s="42">
        <f ca="1">IF(OR($I$10="",$O49="",$P49="",$J$41&lt;&gt;"Yes"),0,IF($K$10=0,SUMIFS(INDIRECT(ADDRESS(12,3+18*2+(6),,,"J1 A - (North) Bishopthorpe Roa")&amp;":"&amp;ADDRESS(130,3+18*2+(6))),'J1 A - (North) Bishopthorpe Roa'!$A$12:$A$130,"&gt;="&amp;Diagram!$O49,'J1 A - (North) Bishopthorpe Roa'!$A$12:$A$130,"&lt;"&amp;Diagram!$P49),SUMIFS(INDIRECT(ADDRESS(12,3+18*2+(14),,,"J1 A - (North) Bishopthorpe Roa")&amp;":"&amp;ADDRESS(130,3+18*2+(14))),'J1 A - (North) Bishopthorpe Roa'!$A$12:$A$130,"&gt;="&amp;Diagram!$O49,'J1 A - (North) Bishopthorpe Roa'!$A$12:$A$130,"&lt;"&amp;Diagram!$P49)))</f>
        <v>0</v>
      </c>
      <c r="DU49" s="42">
        <f ca="1">IF(OR($I$10="",$O49="",$P49="",$J$41&lt;&gt;"Yes"),0,IF($K$10=0,SUMIFS(INDIRECT(ADDRESS(12,3+18*2+(6),,,"J1 B - Butcher Terrace")&amp;":"&amp;ADDRESS(130,3+18*2+(6))),'J1 B - Butcher Terrace'!$A$12:$A$130,"&gt;="&amp;Diagram!$O49,'J1 B - Butcher Terrace'!$A$12:$A$130,"&lt;"&amp;Diagram!$P49),SUMIFS(INDIRECT(ADDRESS(12,3+18*2+(14),,,"J1 B - Butcher Terrace")&amp;":"&amp;ADDRESS(130,3+18*2+(14))),'J1 B - Butcher Terrace'!$A$12:$A$130,"&gt;="&amp;Diagram!$O49,'J1 B - Butcher Terrace'!$A$12:$A$130,"&lt;"&amp;Diagram!$P49)))</f>
        <v>0</v>
      </c>
      <c r="DV49" s="42">
        <f ca="1">IF(OR($I$10="",$O49="",$P49="",$J$41&lt;&gt;"Yes"),0,IF($K$10=0,SUMIFS(INDIRECT(ADDRESS(12,3+18*3+(6),,,"J1 B - Butcher Terrace")&amp;":"&amp;ADDRESS(130,3+18*3+(6))),'J1 B - Butcher Terrace'!$A$12:$A$130,"&gt;="&amp;Diagram!$O49,'J1 B - Butcher Terrace'!$A$12:$A$130,"&lt;"&amp;Diagram!$P49),SUMIFS(INDIRECT(ADDRESS(12,3+18*3+(14),,,"J1 B - Butcher Terrace")&amp;":"&amp;ADDRESS(130,3+18*3+(14))),'J1 B - Butcher Terrace'!$A$12:$A$130,"&gt;="&amp;Diagram!$O49,'J1 B - Butcher Terrace'!$A$12:$A$130,"&lt;"&amp;Diagram!$P49)))</f>
        <v>0</v>
      </c>
      <c r="DW49" s="42">
        <f ca="1">IF(OR($I$10="",$O49="",$P49="",$J$41&lt;&gt;"Yes"),0,IF($K$10=0,SUMIFS(INDIRECT(ADDRESS(12,3+18*0+(6),,,"J1 B - Butcher Terrace")&amp;":"&amp;ADDRESS(130,3+18*0+(6))),'J1 B - Butcher Terrace'!$A$12:$A$130,"&gt;="&amp;Diagram!$O49,'J1 B - Butcher Terrace'!$A$12:$A$130,"&lt;"&amp;Diagram!$P49),SUMIFS(INDIRECT(ADDRESS(12,3+18*0+(14),,,"J1 B - Butcher Terrace")&amp;":"&amp;ADDRESS(130,3+18*0+(14))),'J1 B - Butcher Terrace'!$A$12:$A$130,"&gt;="&amp;Diagram!$O49,'J1 B - Butcher Terrace'!$A$12:$A$130,"&lt;"&amp;Diagram!$P49)))</f>
        <v>0</v>
      </c>
      <c r="DX49" s="42">
        <f ca="1">IF(OR($I$10="",$O49="",$P49="",$J$41&lt;&gt;"Yes"),0,IF($K$10=0,SUMIFS(INDIRECT(ADDRESS(12,3+18*1+(6),,,"J1 B - Butcher Terrace")&amp;":"&amp;ADDRESS(130,3+18*1+(6))),'J1 B - Butcher Terrace'!$A$12:$A$130,"&gt;="&amp;Diagram!$O49,'J1 B - Butcher Terrace'!$A$12:$A$130,"&lt;"&amp;Diagram!$P49),SUMIFS(INDIRECT(ADDRESS(12,3+18*1+(14),,,"J1 B - Butcher Terrace")&amp;":"&amp;ADDRESS(130,3+18*1+(14))),'J1 B - Butcher Terrace'!$A$12:$A$130,"&gt;="&amp;Diagram!$O49,'J1 B - Butcher Terrace'!$A$12:$A$130,"&lt;"&amp;Diagram!$P49)))</f>
        <v>0</v>
      </c>
      <c r="DY49" s="42">
        <f ca="1">IF(OR($I$10="",$O49="",$P49="",$J$41&lt;&gt;"Yes"),0,IF($K$10=0,SUMIFS(INDIRECT(ADDRESS(12,3+18*1+(6),,,"J1 C - (South) Bishopthorpe Roa")&amp;":"&amp;ADDRESS(130,3+18*1+(6))),'J1 C - (South) Bishopthorpe Roa'!$A$12:$A$130,"&gt;="&amp;Diagram!$O49,'J1 C - (South) Bishopthorpe Roa'!$A$12:$A$130,"&lt;"&amp;Diagram!$P49),SUMIFS(INDIRECT(ADDRESS(12,3+18*1+(14),,,"J1 C - (South) Bishopthorpe Roa")&amp;":"&amp;ADDRESS(130,3+18*1+(14))),'J1 C - (South) Bishopthorpe Roa'!$A$12:$A$130,"&gt;="&amp;Diagram!$O49,'J1 C - (South) Bishopthorpe Roa'!$A$12:$A$130,"&lt;"&amp;Diagram!$P49)))</f>
        <v>1</v>
      </c>
      <c r="DZ49" s="42">
        <f ca="1">IF(OR($I$10="",$O49="",$P49="",$J$41&lt;&gt;"Yes"),0,IF($K$10=0,SUMIFS(INDIRECT(ADDRESS(12,3+18*2+(6),,,"J1 C - (South) Bishopthorpe Roa")&amp;":"&amp;ADDRESS(130,3+18*2+(6))),'J1 C - (South) Bishopthorpe Roa'!$A$12:$A$130,"&gt;="&amp;Diagram!$O49,'J1 C - (South) Bishopthorpe Roa'!$A$12:$A$130,"&lt;"&amp;Diagram!$P49),SUMIFS(INDIRECT(ADDRESS(12,3+18*2+(14),,,"J1 C - (South) Bishopthorpe Roa")&amp;":"&amp;ADDRESS(130,3+18*2+(14))),'J1 C - (South) Bishopthorpe Roa'!$A$12:$A$130,"&gt;="&amp;Diagram!$O49,'J1 C - (South) Bishopthorpe Roa'!$A$12:$A$130,"&lt;"&amp;Diagram!$P49)))</f>
        <v>0</v>
      </c>
      <c r="EA49" s="42">
        <f ca="1">IF(OR($I$10="",$O49="",$P49="",$J$41&lt;&gt;"Yes"),0,IF($K$10=0,SUMIFS(INDIRECT(ADDRESS(12,3+18*3+(6),,,"J1 C - (South) Bishopthorpe Roa")&amp;":"&amp;ADDRESS(130,3+18*3+(6))),'J1 C - (South) Bishopthorpe Roa'!$A$12:$A$130,"&gt;="&amp;Diagram!$O49,'J1 C - (South) Bishopthorpe Roa'!$A$12:$A$130,"&lt;"&amp;Diagram!$P49),SUMIFS(INDIRECT(ADDRESS(12,3+18*3+(14),,,"J1 C - (South) Bishopthorpe Roa")&amp;":"&amp;ADDRESS(130,3+18*3+(14))),'J1 C - (South) Bishopthorpe Roa'!$A$12:$A$130,"&gt;="&amp;Diagram!$O49,'J1 C - (South) Bishopthorpe Roa'!$A$12:$A$130,"&lt;"&amp;Diagram!$P49)))</f>
        <v>0</v>
      </c>
      <c r="EB49" s="42">
        <f ca="1">IF(OR($I$10="",$O49="",$P49="",$J$41&lt;&gt;"Yes"),0,IF($K$10=0,SUMIFS(INDIRECT(ADDRESS(12,3+18*0+(6),,,"J1 C - (South) Bishopthorpe Roa")&amp;":"&amp;ADDRESS(130,3+18*0+(6))),'J1 C - (South) Bishopthorpe Roa'!$A$12:$A$130,"&gt;="&amp;Diagram!$O49,'J1 C - (South) Bishopthorpe Roa'!$A$12:$A$130,"&lt;"&amp;Diagram!$P49),SUMIFS(INDIRECT(ADDRESS(12,3+18*0+(14),,,"J1 C - (South) Bishopthorpe Roa")&amp;":"&amp;ADDRESS(130,3+18*0+(14))),'J1 C - (South) Bishopthorpe Roa'!$A$12:$A$130,"&gt;="&amp;Diagram!$O49,'J1 C - (South) Bishopthorpe Roa'!$A$12:$A$130,"&lt;"&amp;Diagram!$P49)))</f>
        <v>0</v>
      </c>
      <c r="EC49" s="42">
        <f ca="1">IF(OR($I$10="",$O49="",$P49="",$J$41&lt;&gt;"Yes"),0,IF($K$10=0,SUMIFS(INDIRECT(ADDRESS(12,3+18*0+(6),,,"J1 D - South Bank Avenue")&amp;":"&amp;ADDRESS(130,3+18*0+(6))),'J1 D - South Bank Avenue'!$A$12:$A$130,"&gt;="&amp;Diagram!$O49,'J1 D - South Bank Avenue'!$A$12:$A$130,"&lt;"&amp;Diagram!$P49),SUMIFS(INDIRECT(ADDRESS(12,3+18*0+(14),,,"J1 D - South Bank Avenue")&amp;":"&amp;ADDRESS(130,3+18*0+(14))),'J1 D - South Bank Avenue'!$A$12:$A$130,"&gt;="&amp;Diagram!$O49,'J1 D - South Bank Avenue'!$A$12:$A$130,"&lt;"&amp;Diagram!$P49)))</f>
        <v>0</v>
      </c>
      <c r="ED49" s="42">
        <f ca="1">IF(OR($I$10="",$O49="",$P49="",$J$41&lt;&gt;"Yes"),0,IF($K$10=0,SUMIFS(INDIRECT(ADDRESS(12,3+18*1+(6),,,"J1 D - South Bank Avenue")&amp;":"&amp;ADDRESS(130,3+18*1+(6))),'J1 D - South Bank Avenue'!$A$12:$A$130,"&gt;="&amp;Diagram!$O49,'J1 D - South Bank Avenue'!$A$12:$A$130,"&lt;"&amp;Diagram!$P49),SUMIFS(INDIRECT(ADDRESS(12,3+18*1+(14),,,"J1 D - South Bank Avenue")&amp;":"&amp;ADDRESS(130,3+18*1+(14))),'J1 D - South Bank Avenue'!$A$12:$A$130,"&gt;="&amp;Diagram!$O49,'J1 D - South Bank Avenue'!$A$12:$A$130,"&lt;"&amp;Diagram!$P49)))</f>
        <v>0</v>
      </c>
      <c r="EE49" s="42">
        <f ca="1">IF(OR($I$10="",$O49="",$P49="",$J$41&lt;&gt;"Yes"),0,IF($K$10=0,SUMIFS(INDIRECT(ADDRESS(12,3+18*2+(6),,,"J1 D - South Bank Avenue")&amp;":"&amp;ADDRESS(130,3+18*2+(6))),'J1 D - South Bank Avenue'!$A$12:$A$130,"&gt;="&amp;Diagram!$O49,'J1 D - South Bank Avenue'!$A$12:$A$130,"&lt;"&amp;Diagram!$P49),SUMIFS(INDIRECT(ADDRESS(12,3+18*2+(14),,,"J1 D - South Bank Avenue")&amp;":"&amp;ADDRESS(130,3+18*2+(14))),'J1 D - South Bank Avenue'!$A$12:$A$130,"&gt;="&amp;Diagram!$O49,'J1 D - South Bank Avenue'!$A$12:$A$130,"&lt;"&amp;Diagram!$P49)))</f>
        <v>0</v>
      </c>
      <c r="EF49" s="42">
        <f ca="1">IF(OR($I$10="",$O49="",$P49="",$J$41&lt;&gt;"Yes"),0,IF($K$10=0,SUMIFS(INDIRECT(ADDRESS(12,3+18*3+(6),,,"J1 D - South Bank Avenue")&amp;":"&amp;ADDRESS(130,3+18*3+(6))),'J1 D - South Bank Avenue'!$A$12:$A$130,"&gt;="&amp;Diagram!$O49,'J1 D - South Bank Avenue'!$A$12:$A$130,"&lt;"&amp;Diagram!$P49),SUMIFS(INDIRECT(ADDRESS(12,3+18*3+(14),,,"J1 D - South Bank Avenue")&amp;":"&amp;ADDRESS(130,3+18*3+(14))),'J1 D - South Bank Avenue'!$A$12:$A$130,"&gt;="&amp;Diagram!$O49,'J1 D - South Bank Avenue'!$A$12:$A$130,"&lt;"&amp;Diagram!$P49)))</f>
        <v>0</v>
      </c>
      <c r="EG49" s="42">
        <f t="shared" ca="1" si="8"/>
        <v>5</v>
      </c>
      <c r="EH49" s="42">
        <f ca="1">IF(OR($I$10="",$O49="",$P49="",$J$42&lt;&gt;"Yes"),0,IF($K$10=0,SUMIFS(INDIRECT(ADDRESS(12,3+18*3+(7),,,"J1 A - (North) Bishopthorpe Roa")&amp;":"&amp;ADDRESS(130,3+18*3+(7))),'J1 A - (North) Bishopthorpe Roa'!$A$12:$A$130,"&gt;="&amp;Diagram!$O49,'J1 A - (North) Bishopthorpe Roa'!$A$12:$A$130,"&lt;"&amp;Diagram!$P49),SUMIFS(INDIRECT(ADDRESS(12,3+18*3+(15),,,"J1 A - (North) Bishopthorpe Roa")&amp;":"&amp;ADDRESS(130,3+18*3+(15))),'J1 A - (North) Bishopthorpe Roa'!$A$12:$A$130,"&gt;="&amp;Diagram!$O49,'J1 A - (North) Bishopthorpe Roa'!$A$12:$A$130,"&lt;"&amp;Diagram!$P49)))</f>
        <v>0</v>
      </c>
      <c r="EI49" s="42">
        <f ca="1">IF(OR($I$10="",$O49="",$P49="",$J$42&lt;&gt;"Yes"),0,IF($K$10=0,SUMIFS(INDIRECT(ADDRESS(12,3+18*0+(7),,,"J1 A - (North) Bishopthorpe Roa")&amp;":"&amp;ADDRESS(130,3+18*0+(7))),'J1 A - (North) Bishopthorpe Roa'!$A$12:$A$130,"&gt;="&amp;Diagram!$O49,'J1 A - (North) Bishopthorpe Roa'!$A$12:$A$130,"&lt;"&amp;Diagram!$P49),SUMIFS(INDIRECT(ADDRESS(12,3+18*0+(15),,,"J1 A - (North) Bishopthorpe Roa")&amp;":"&amp;ADDRESS(130,3+18*0+(15))),'J1 A - (North) Bishopthorpe Roa'!$A$12:$A$130,"&gt;="&amp;Diagram!$O49,'J1 A - (North) Bishopthorpe Roa'!$A$12:$A$130,"&lt;"&amp;Diagram!$P49)))</f>
        <v>5</v>
      </c>
      <c r="EJ49" s="42">
        <f ca="1">IF(OR($I$10="",$O49="",$P49="",$J$42&lt;&gt;"Yes"),0,IF($K$10=0,SUMIFS(INDIRECT(ADDRESS(12,3+18*1+(7),,,"J1 A - (North) Bishopthorpe Roa")&amp;":"&amp;ADDRESS(130,3+18*1+(7))),'J1 A - (North) Bishopthorpe Roa'!$A$12:$A$130,"&gt;="&amp;Diagram!$O49,'J1 A - (North) Bishopthorpe Roa'!$A$12:$A$130,"&lt;"&amp;Diagram!$P49),SUMIFS(INDIRECT(ADDRESS(12,3+18*1+(15),,,"J1 A - (North) Bishopthorpe Roa")&amp;":"&amp;ADDRESS(130,3+18*1+(15))),'J1 A - (North) Bishopthorpe Roa'!$A$12:$A$130,"&gt;="&amp;Diagram!$O49,'J1 A - (North) Bishopthorpe Roa'!$A$12:$A$130,"&lt;"&amp;Diagram!$P49)))</f>
        <v>0</v>
      </c>
      <c r="EK49" s="42">
        <f ca="1">IF(OR($I$10="",$O49="",$P49="",$J$42&lt;&gt;"Yes"),0,IF($K$10=0,SUMIFS(INDIRECT(ADDRESS(12,3+18*2+(7),,,"J1 A - (North) Bishopthorpe Roa")&amp;":"&amp;ADDRESS(130,3+18*2+(7))),'J1 A - (North) Bishopthorpe Roa'!$A$12:$A$130,"&gt;="&amp;Diagram!$O49,'J1 A - (North) Bishopthorpe Roa'!$A$12:$A$130,"&lt;"&amp;Diagram!$P49),SUMIFS(INDIRECT(ADDRESS(12,3+18*2+(15),,,"J1 A - (North) Bishopthorpe Roa")&amp;":"&amp;ADDRESS(130,3+18*2+(15))),'J1 A - (North) Bishopthorpe Roa'!$A$12:$A$130,"&gt;="&amp;Diagram!$O49,'J1 A - (North) Bishopthorpe Roa'!$A$12:$A$130,"&lt;"&amp;Diagram!$P49)))</f>
        <v>0</v>
      </c>
      <c r="EL49" s="42">
        <f ca="1">IF(OR($I$10="",$O49="",$P49="",$J$42&lt;&gt;"Yes"),0,IF($K$10=0,SUMIFS(INDIRECT(ADDRESS(12,3+18*2+(7),,,"J1 B - Butcher Terrace")&amp;":"&amp;ADDRESS(130,3+18*2+(7))),'J1 B - Butcher Terrace'!$A$12:$A$130,"&gt;="&amp;Diagram!$O49,'J1 B - Butcher Terrace'!$A$12:$A$130,"&lt;"&amp;Diagram!$P49),SUMIFS(INDIRECT(ADDRESS(12,3+18*2+(15),,,"J1 B - Butcher Terrace")&amp;":"&amp;ADDRESS(130,3+18*2+(15))),'J1 B - Butcher Terrace'!$A$12:$A$130,"&gt;="&amp;Diagram!$O49,'J1 B - Butcher Terrace'!$A$12:$A$130,"&lt;"&amp;Diagram!$P49)))</f>
        <v>0</v>
      </c>
      <c r="EM49" s="42">
        <f ca="1">IF(OR($I$10="",$O49="",$P49="",$J$42&lt;&gt;"Yes"),0,IF($K$10=0,SUMIFS(INDIRECT(ADDRESS(12,3+18*3+(7),,,"J1 B - Butcher Terrace")&amp;":"&amp;ADDRESS(130,3+18*3+(7))),'J1 B - Butcher Terrace'!$A$12:$A$130,"&gt;="&amp;Diagram!$O49,'J1 B - Butcher Terrace'!$A$12:$A$130,"&lt;"&amp;Diagram!$P49),SUMIFS(INDIRECT(ADDRESS(12,3+18*3+(15),,,"J1 B - Butcher Terrace")&amp;":"&amp;ADDRESS(130,3+18*3+(15))),'J1 B - Butcher Terrace'!$A$12:$A$130,"&gt;="&amp;Diagram!$O49,'J1 B - Butcher Terrace'!$A$12:$A$130,"&lt;"&amp;Diagram!$P49)))</f>
        <v>0</v>
      </c>
      <c r="EN49" s="42">
        <f ca="1">IF(OR($I$10="",$O49="",$P49="",$J$42&lt;&gt;"Yes"),0,IF($K$10=0,SUMIFS(INDIRECT(ADDRESS(12,3+18*0+(7),,,"J1 B - Butcher Terrace")&amp;":"&amp;ADDRESS(130,3+18*0+(7))),'J1 B - Butcher Terrace'!$A$12:$A$130,"&gt;="&amp;Diagram!$O49,'J1 B - Butcher Terrace'!$A$12:$A$130,"&lt;"&amp;Diagram!$P49),SUMIFS(INDIRECT(ADDRESS(12,3+18*0+(15),,,"J1 B - Butcher Terrace")&amp;":"&amp;ADDRESS(130,3+18*0+(15))),'J1 B - Butcher Terrace'!$A$12:$A$130,"&gt;="&amp;Diagram!$O49,'J1 B - Butcher Terrace'!$A$12:$A$130,"&lt;"&amp;Diagram!$P49)))</f>
        <v>0</v>
      </c>
      <c r="EO49" s="42">
        <f ca="1">IF(OR($I$10="",$O49="",$P49="",$J$42&lt;&gt;"Yes"),0,IF($K$10=0,SUMIFS(INDIRECT(ADDRESS(12,3+18*1+(7),,,"J1 B - Butcher Terrace")&amp;":"&amp;ADDRESS(130,3+18*1+(7))),'J1 B - Butcher Terrace'!$A$12:$A$130,"&gt;="&amp;Diagram!$O49,'J1 B - Butcher Terrace'!$A$12:$A$130,"&lt;"&amp;Diagram!$P49),SUMIFS(INDIRECT(ADDRESS(12,3+18*1+(15),,,"J1 B - Butcher Terrace")&amp;":"&amp;ADDRESS(130,3+18*1+(15))),'J1 B - Butcher Terrace'!$A$12:$A$130,"&gt;="&amp;Diagram!$O49,'J1 B - Butcher Terrace'!$A$12:$A$130,"&lt;"&amp;Diagram!$P49)))</f>
        <v>0</v>
      </c>
      <c r="EP49" s="42">
        <f ca="1">IF(OR($I$10="",$O49="",$P49="",$J$42&lt;&gt;"Yes"),0,IF($K$10=0,SUMIFS(INDIRECT(ADDRESS(12,3+18*1+(7),,,"J1 C - (South) Bishopthorpe Roa")&amp;":"&amp;ADDRESS(130,3+18*1+(7))),'J1 C - (South) Bishopthorpe Roa'!$A$12:$A$130,"&gt;="&amp;Diagram!$O49,'J1 C - (South) Bishopthorpe Roa'!$A$12:$A$130,"&lt;"&amp;Diagram!$P49),SUMIFS(INDIRECT(ADDRESS(12,3+18*1+(15),,,"J1 C - (South) Bishopthorpe Roa")&amp;":"&amp;ADDRESS(130,3+18*1+(15))),'J1 C - (South) Bishopthorpe Roa'!$A$12:$A$130,"&gt;="&amp;Diagram!$O49,'J1 C - (South) Bishopthorpe Roa'!$A$12:$A$130,"&lt;"&amp;Diagram!$P49)))</f>
        <v>0</v>
      </c>
      <c r="EQ49" s="42">
        <f ca="1">IF(OR($I$10="",$O49="",$P49="",$J$42&lt;&gt;"Yes"),0,IF($K$10=0,SUMIFS(INDIRECT(ADDRESS(12,3+18*2+(7),,,"J1 C - (South) Bishopthorpe Roa")&amp;":"&amp;ADDRESS(130,3+18*2+(7))),'J1 C - (South) Bishopthorpe Roa'!$A$12:$A$130,"&gt;="&amp;Diagram!$O49,'J1 C - (South) Bishopthorpe Roa'!$A$12:$A$130,"&lt;"&amp;Diagram!$P49),SUMIFS(INDIRECT(ADDRESS(12,3+18*2+(15),,,"J1 C - (South) Bishopthorpe Roa")&amp;":"&amp;ADDRESS(130,3+18*2+(15))),'J1 C - (South) Bishopthorpe Roa'!$A$12:$A$130,"&gt;="&amp;Diagram!$O49,'J1 C - (South) Bishopthorpe Roa'!$A$12:$A$130,"&lt;"&amp;Diagram!$P49)))</f>
        <v>0</v>
      </c>
      <c r="ER49" s="42">
        <f ca="1">IF(OR($I$10="",$O49="",$P49="",$J$42&lt;&gt;"Yes"),0,IF($K$10=0,SUMIFS(INDIRECT(ADDRESS(12,3+18*3+(7),,,"J1 C - (South) Bishopthorpe Roa")&amp;":"&amp;ADDRESS(130,3+18*3+(7))),'J1 C - (South) Bishopthorpe Roa'!$A$12:$A$130,"&gt;="&amp;Diagram!$O49,'J1 C - (South) Bishopthorpe Roa'!$A$12:$A$130,"&lt;"&amp;Diagram!$P49),SUMIFS(INDIRECT(ADDRESS(12,3+18*3+(15),,,"J1 C - (South) Bishopthorpe Roa")&amp;":"&amp;ADDRESS(130,3+18*3+(15))),'J1 C - (South) Bishopthorpe Roa'!$A$12:$A$130,"&gt;="&amp;Diagram!$O49,'J1 C - (South) Bishopthorpe Roa'!$A$12:$A$130,"&lt;"&amp;Diagram!$P49)))</f>
        <v>0</v>
      </c>
      <c r="ES49" s="42">
        <f ca="1">IF(OR($I$10="",$O49="",$P49="",$J$42&lt;&gt;"Yes"),0,IF($K$10=0,SUMIFS(INDIRECT(ADDRESS(12,3+18*0+(7),,,"J1 C - (South) Bishopthorpe Roa")&amp;":"&amp;ADDRESS(130,3+18*0+(7))),'J1 C - (South) Bishopthorpe Roa'!$A$12:$A$130,"&gt;="&amp;Diagram!$O49,'J1 C - (South) Bishopthorpe Roa'!$A$12:$A$130,"&lt;"&amp;Diagram!$P49),SUMIFS(INDIRECT(ADDRESS(12,3+18*0+(15),,,"J1 C - (South) Bishopthorpe Roa")&amp;":"&amp;ADDRESS(130,3+18*0+(15))),'J1 C - (South) Bishopthorpe Roa'!$A$12:$A$130,"&gt;="&amp;Diagram!$O49,'J1 C - (South) Bishopthorpe Roa'!$A$12:$A$130,"&lt;"&amp;Diagram!$P49)))</f>
        <v>0</v>
      </c>
      <c r="ET49" s="42">
        <f ca="1">IF(OR($I$10="",$O49="",$P49="",$J$42&lt;&gt;"Yes"),0,IF($K$10=0,SUMIFS(INDIRECT(ADDRESS(12,3+18*0+(7),,,"J1 D - South Bank Avenue")&amp;":"&amp;ADDRESS(130,3+18*0+(7))),'J1 D - South Bank Avenue'!$A$12:$A$130,"&gt;="&amp;Diagram!$O49,'J1 D - South Bank Avenue'!$A$12:$A$130,"&lt;"&amp;Diagram!$P49),SUMIFS(INDIRECT(ADDRESS(12,3+18*0+(15),,,"J1 D - South Bank Avenue")&amp;":"&amp;ADDRESS(130,3+18*0+(15))),'J1 D - South Bank Avenue'!$A$12:$A$130,"&gt;="&amp;Diagram!$O49,'J1 D - South Bank Avenue'!$A$12:$A$130,"&lt;"&amp;Diagram!$P49)))</f>
        <v>0</v>
      </c>
      <c r="EU49" s="42">
        <f ca="1">IF(OR($I$10="",$O49="",$P49="",$J$42&lt;&gt;"Yes"),0,IF($K$10=0,SUMIFS(INDIRECT(ADDRESS(12,3+18*1+(7),,,"J1 D - South Bank Avenue")&amp;":"&amp;ADDRESS(130,3+18*1+(7))),'J1 D - South Bank Avenue'!$A$12:$A$130,"&gt;="&amp;Diagram!$O49,'J1 D - South Bank Avenue'!$A$12:$A$130,"&lt;"&amp;Diagram!$P49),SUMIFS(INDIRECT(ADDRESS(12,3+18*1+(15),,,"J1 D - South Bank Avenue")&amp;":"&amp;ADDRESS(130,3+18*1+(15))),'J1 D - South Bank Avenue'!$A$12:$A$130,"&gt;="&amp;Diagram!$O49,'J1 D - South Bank Avenue'!$A$12:$A$130,"&lt;"&amp;Diagram!$P49)))</f>
        <v>0</v>
      </c>
      <c r="EV49" s="42">
        <f ca="1">IF(OR($I$10="",$O49="",$P49="",$J$42&lt;&gt;"Yes"),0,IF($K$10=0,SUMIFS(INDIRECT(ADDRESS(12,3+18*2+(7),,,"J1 D - South Bank Avenue")&amp;":"&amp;ADDRESS(130,3+18*2+(7))),'J1 D - South Bank Avenue'!$A$12:$A$130,"&gt;="&amp;Diagram!$O49,'J1 D - South Bank Avenue'!$A$12:$A$130,"&lt;"&amp;Diagram!$P49),SUMIFS(INDIRECT(ADDRESS(12,3+18*2+(15),,,"J1 D - South Bank Avenue")&amp;":"&amp;ADDRESS(130,3+18*2+(15))),'J1 D - South Bank Avenue'!$A$12:$A$130,"&gt;="&amp;Diagram!$O49,'J1 D - South Bank Avenue'!$A$12:$A$130,"&lt;"&amp;Diagram!$P49)))</f>
        <v>0</v>
      </c>
      <c r="EW49" s="42">
        <f ca="1">IF(OR($I$10="",$O49="",$P49="",$J$42&lt;&gt;"Yes"),0,IF($K$10=0,SUMIFS(INDIRECT(ADDRESS(12,3+18*3+(7),,,"J1 D - South Bank Avenue")&amp;":"&amp;ADDRESS(130,3+18*3+(7))),'J1 D - South Bank Avenue'!$A$12:$A$130,"&gt;="&amp;Diagram!$O49,'J1 D - South Bank Avenue'!$A$12:$A$130,"&lt;"&amp;Diagram!$P49),SUMIFS(INDIRECT(ADDRESS(12,3+18*3+(15),,,"J1 D - South Bank Avenue")&amp;":"&amp;ADDRESS(130,3+18*3+(15))),'J1 D - South Bank Avenue'!$A$12:$A$130,"&gt;="&amp;Diagram!$O49,'J1 D - South Bank Avenue'!$A$12:$A$130,"&lt;"&amp;Diagram!$P49)))</f>
        <v>0</v>
      </c>
    </row>
    <row r="50" spans="1:153">
      <c r="A50" s="1">
        <v>44395.510416666701</v>
      </c>
      <c r="B50" s="1">
        <v>44395.520833333299</v>
      </c>
      <c r="O50" s="3">
        <v>44395.510416666701</v>
      </c>
      <c r="P50" s="3">
        <v>44395.552083333299</v>
      </c>
      <c r="Q50" s="42">
        <f t="shared" ca="1" si="0"/>
        <v>748</v>
      </c>
      <c r="R50" s="42">
        <f t="shared" ca="1" si="1"/>
        <v>523</v>
      </c>
      <c r="S50" s="42">
        <f ca="1">IF(OR($I$10="",$O50="",$P50="",$J$35&lt;&gt;"Yes"),0,IF($K$10=0,SUMIFS(INDIRECT(ADDRESS(12,3+18*3+(0),,,"J1 A - (North) Bishopthorpe Roa")&amp;":"&amp;ADDRESS(130,3+18*3+(0))),'J1 A - (North) Bishopthorpe Roa'!$A$12:$A$130,"&gt;="&amp;Diagram!$O50,'J1 A - (North) Bishopthorpe Roa'!$A$12:$A$130,"&lt;"&amp;Diagram!$P50),SUMIFS(INDIRECT(ADDRESS(12,3+18*3+(8),,,"J1 A - (North) Bishopthorpe Roa")&amp;":"&amp;ADDRESS(130,3+18*3+(8))),'J1 A - (North) Bishopthorpe Roa'!$A$12:$A$130,"&gt;="&amp;Diagram!$O50,'J1 A - (North) Bishopthorpe Roa'!$A$12:$A$130,"&lt;"&amp;Diagram!$P50)))</f>
        <v>2</v>
      </c>
      <c r="T50" s="42">
        <f ca="1">IF(OR($I$10="",$O50="",$P50="",$J$35&lt;&gt;"Yes"),0,IF($K$10=0,SUMIFS(INDIRECT(ADDRESS(12,3+18*0+(0),,,"J1 A - (North) Bishopthorpe Roa")&amp;":"&amp;ADDRESS(130,3+18*0+(0))),'J1 A - (North) Bishopthorpe Roa'!$A$12:$A$130,"&gt;="&amp;Diagram!$O50,'J1 A - (North) Bishopthorpe Roa'!$A$12:$A$130,"&lt;"&amp;Diagram!$P50),SUMIFS(INDIRECT(ADDRESS(12,3+18*0+(8),,,"J1 A - (North) Bishopthorpe Roa")&amp;":"&amp;ADDRESS(130,3+18*0+(8))),'J1 A - (North) Bishopthorpe Roa'!$A$12:$A$130,"&gt;="&amp;Diagram!$O50,'J1 A - (North) Bishopthorpe Roa'!$A$12:$A$130,"&lt;"&amp;Diagram!$P50)))</f>
        <v>17</v>
      </c>
      <c r="U50" s="42">
        <f ca="1">IF(OR($I$10="",$O50="",$P50="",$J$35&lt;&gt;"Yes"),0,IF($K$10=0,SUMIFS(INDIRECT(ADDRESS(12,3+18*1+(0),,,"J1 A - (North) Bishopthorpe Roa")&amp;":"&amp;ADDRESS(130,3+18*1+(0))),'J1 A - (North) Bishopthorpe Roa'!$A$12:$A$130,"&gt;="&amp;Diagram!$O50,'J1 A - (North) Bishopthorpe Roa'!$A$12:$A$130,"&lt;"&amp;Diagram!$P50),SUMIFS(INDIRECT(ADDRESS(12,3+18*1+(8),,,"J1 A - (North) Bishopthorpe Roa")&amp;":"&amp;ADDRESS(130,3+18*1+(8))),'J1 A - (North) Bishopthorpe Roa'!$A$12:$A$130,"&gt;="&amp;Diagram!$O50,'J1 A - (North) Bishopthorpe Roa'!$A$12:$A$130,"&lt;"&amp;Diagram!$P50)))</f>
        <v>209</v>
      </c>
      <c r="V50" s="42">
        <f ca="1">IF(OR($I$10="",$O50="",$P50="",$J$35&lt;&gt;"Yes"),0,IF($K$10=0,SUMIFS(INDIRECT(ADDRESS(12,3+18*2+(0),,,"J1 A - (North) Bishopthorpe Roa")&amp;":"&amp;ADDRESS(130,3+18*2+(0))),'J1 A - (North) Bishopthorpe Roa'!$A$12:$A$130,"&gt;="&amp;Diagram!$O50,'J1 A - (North) Bishopthorpe Roa'!$A$12:$A$130,"&lt;"&amp;Diagram!$P50),SUMIFS(INDIRECT(ADDRESS(12,3+18*2+(8),,,"J1 A - (North) Bishopthorpe Roa")&amp;":"&amp;ADDRESS(130,3+18*2+(8))),'J1 A - (North) Bishopthorpe Roa'!$A$12:$A$130,"&gt;="&amp;Diagram!$O50,'J1 A - (North) Bishopthorpe Roa'!$A$12:$A$130,"&lt;"&amp;Diagram!$P50)))</f>
        <v>23</v>
      </c>
      <c r="W50" s="42">
        <f ca="1">IF(OR($I$10="",$O50="",$P50="",$J$35&lt;&gt;"Yes"),0,IF($K$10=0,SUMIFS(INDIRECT(ADDRESS(12,3+18*2+(0),,,"J1 B - Butcher Terrace")&amp;":"&amp;ADDRESS(130,3+18*2+(0))),'J1 B - Butcher Terrace'!$A$12:$A$130,"&gt;="&amp;Diagram!$O50,'J1 B - Butcher Terrace'!$A$12:$A$130,"&lt;"&amp;Diagram!$P50),SUMIFS(INDIRECT(ADDRESS(12,3+18*2+(8),,,"J1 B - Butcher Terrace")&amp;":"&amp;ADDRESS(130,3+18*2+(8))),'J1 B - Butcher Terrace'!$A$12:$A$130,"&gt;="&amp;Diagram!$O50,'J1 B - Butcher Terrace'!$A$12:$A$130,"&lt;"&amp;Diagram!$P50)))</f>
        <v>18</v>
      </c>
      <c r="X50" s="42">
        <f ca="1">IF(OR($I$10="",$O50="",$P50="",$J$35&lt;&gt;"Yes"),0,IF($K$10=0,SUMIFS(INDIRECT(ADDRESS(12,3+18*3+(0),,,"J1 B - Butcher Terrace")&amp;":"&amp;ADDRESS(130,3+18*3+(0))),'J1 B - Butcher Terrace'!$A$12:$A$130,"&gt;="&amp;Diagram!$O50,'J1 B - Butcher Terrace'!$A$12:$A$130,"&lt;"&amp;Diagram!$P50),SUMIFS(INDIRECT(ADDRESS(12,3+18*3+(8),,,"J1 B - Butcher Terrace")&amp;":"&amp;ADDRESS(130,3+18*3+(8))),'J1 B - Butcher Terrace'!$A$12:$A$130,"&gt;="&amp;Diagram!$O50,'J1 B - Butcher Terrace'!$A$12:$A$130,"&lt;"&amp;Diagram!$P50)))</f>
        <v>0</v>
      </c>
      <c r="Y50" s="42">
        <f ca="1">IF(OR($I$10="",$O50="",$P50="",$J$35&lt;&gt;"Yes"),0,IF($K$10=0,SUMIFS(INDIRECT(ADDRESS(12,3+18*0+(0),,,"J1 B - Butcher Terrace")&amp;":"&amp;ADDRESS(130,3+18*0+(0))),'J1 B - Butcher Terrace'!$A$12:$A$130,"&gt;="&amp;Diagram!$O50,'J1 B - Butcher Terrace'!$A$12:$A$130,"&lt;"&amp;Diagram!$P50),SUMIFS(INDIRECT(ADDRESS(12,3+18*0+(8),,,"J1 B - Butcher Terrace")&amp;":"&amp;ADDRESS(130,3+18*0+(8))),'J1 B - Butcher Terrace'!$A$12:$A$130,"&gt;="&amp;Diagram!$O50,'J1 B - Butcher Terrace'!$A$12:$A$130,"&lt;"&amp;Diagram!$P50)))</f>
        <v>5</v>
      </c>
      <c r="Z50" s="42">
        <f ca="1">IF(OR($I$10="",$O50="",$P50="",$J$35&lt;&gt;"Yes"),0,IF($K$10=0,SUMIFS(INDIRECT(ADDRESS(12,3+18*1+(0),,,"J1 B - Butcher Terrace")&amp;":"&amp;ADDRESS(130,3+18*1+(0))),'J1 B - Butcher Terrace'!$A$12:$A$130,"&gt;="&amp;Diagram!$O50,'J1 B - Butcher Terrace'!$A$12:$A$130,"&lt;"&amp;Diagram!$P50),SUMIFS(INDIRECT(ADDRESS(12,3+18*1+(8),,,"J1 B - Butcher Terrace")&amp;":"&amp;ADDRESS(130,3+18*1+(8))),'J1 B - Butcher Terrace'!$A$12:$A$130,"&gt;="&amp;Diagram!$O50,'J1 B - Butcher Terrace'!$A$12:$A$130,"&lt;"&amp;Diagram!$P50)))</f>
        <v>0</v>
      </c>
      <c r="AA50" s="42">
        <f ca="1">IF(OR($I$10="",$O50="",$P50="",$J$35&lt;&gt;"Yes"),0,IF($K$10=0,SUMIFS(INDIRECT(ADDRESS(12,3+18*1+(0),,,"J1 C - (South) Bishopthorpe Roa")&amp;":"&amp;ADDRESS(130,3+18*1+(0))),'J1 C - (South) Bishopthorpe Roa'!$A$12:$A$130,"&gt;="&amp;Diagram!$O50,'J1 C - (South) Bishopthorpe Roa'!$A$12:$A$130,"&lt;"&amp;Diagram!$P50),SUMIFS(INDIRECT(ADDRESS(12,3+18*1+(8),,,"J1 C - (South) Bishopthorpe Roa")&amp;":"&amp;ADDRESS(130,3+18*1+(8))),'J1 C - (South) Bishopthorpe Roa'!$A$12:$A$130,"&gt;="&amp;Diagram!$O50,'J1 C - (South) Bishopthorpe Roa'!$A$12:$A$130,"&lt;"&amp;Diagram!$P50)))</f>
        <v>208</v>
      </c>
      <c r="AB50" s="42">
        <f ca="1">IF(OR($I$10="",$O50="",$P50="",$J$35&lt;&gt;"Yes"),0,IF($K$10=0,SUMIFS(INDIRECT(ADDRESS(12,3+18*2+(0),,,"J1 C - (South) Bishopthorpe Roa")&amp;":"&amp;ADDRESS(130,3+18*2+(0))),'J1 C - (South) Bishopthorpe Roa'!$A$12:$A$130,"&gt;="&amp;Diagram!$O50,'J1 C - (South) Bishopthorpe Roa'!$A$12:$A$130,"&lt;"&amp;Diagram!$P50),SUMIFS(INDIRECT(ADDRESS(12,3+18*2+(8),,,"J1 C - (South) Bishopthorpe Roa")&amp;":"&amp;ADDRESS(130,3+18*2+(8))),'J1 C - (South) Bishopthorpe Roa'!$A$12:$A$130,"&gt;="&amp;Diagram!$O50,'J1 C - (South) Bishopthorpe Roa'!$A$12:$A$130,"&lt;"&amp;Diagram!$P50)))</f>
        <v>1</v>
      </c>
      <c r="AC50" s="42">
        <f ca="1">IF(OR($I$10="",$O50="",$P50="",$J$35&lt;&gt;"Yes"),0,IF($K$10=0,SUMIFS(INDIRECT(ADDRESS(12,3+18*3+(0),,,"J1 C - (South) Bishopthorpe Roa")&amp;":"&amp;ADDRESS(130,3+18*3+(0))),'J1 C - (South) Bishopthorpe Roa'!$A$12:$A$130,"&gt;="&amp;Diagram!$O50,'J1 C - (South) Bishopthorpe Roa'!$A$12:$A$130,"&lt;"&amp;Diagram!$P50),SUMIFS(INDIRECT(ADDRESS(12,3+18*3+(8),,,"J1 C - (South) Bishopthorpe Roa")&amp;":"&amp;ADDRESS(130,3+18*3+(8))),'J1 C - (South) Bishopthorpe Roa'!$A$12:$A$130,"&gt;="&amp;Diagram!$O50,'J1 C - (South) Bishopthorpe Roa'!$A$12:$A$130,"&lt;"&amp;Diagram!$P50)))</f>
        <v>1</v>
      </c>
      <c r="AD50" s="42">
        <f ca="1">IF(OR($I$10="",$O50="",$P50="",$J$35&lt;&gt;"Yes"),0,IF($K$10=0,SUMIFS(INDIRECT(ADDRESS(12,3+18*0+(0),,,"J1 C - (South) Bishopthorpe Roa")&amp;":"&amp;ADDRESS(130,3+18*0+(0))),'J1 C - (South) Bishopthorpe Roa'!$A$12:$A$130,"&gt;="&amp;Diagram!$O50,'J1 C - (South) Bishopthorpe Roa'!$A$12:$A$130,"&lt;"&amp;Diagram!$P50),SUMIFS(INDIRECT(ADDRESS(12,3+18*0+(8),,,"J1 C - (South) Bishopthorpe Roa")&amp;":"&amp;ADDRESS(130,3+18*0+(8))),'J1 C - (South) Bishopthorpe Roa'!$A$12:$A$130,"&gt;="&amp;Diagram!$O50,'J1 C - (South) Bishopthorpe Roa'!$A$12:$A$130,"&lt;"&amp;Diagram!$P50)))</f>
        <v>5</v>
      </c>
      <c r="AE50" s="42">
        <f ca="1">IF(OR($I$10="",$O50="",$P50="",$J$35&lt;&gt;"Yes"),0,IF($K$10=0,SUMIFS(INDIRECT(ADDRESS(12,3+18*0+(0),,,"J1 D - South Bank Avenue")&amp;":"&amp;ADDRESS(130,3+18*0+(0))),'J1 D - South Bank Avenue'!$A$12:$A$130,"&gt;="&amp;Diagram!$O50,'J1 D - South Bank Avenue'!$A$12:$A$130,"&lt;"&amp;Diagram!$P50),SUMIFS(INDIRECT(ADDRESS(12,3+18*0+(8),,,"J1 D - South Bank Avenue")&amp;":"&amp;ADDRESS(130,3+18*0+(8))),'J1 D - South Bank Avenue'!$A$12:$A$130,"&gt;="&amp;Diagram!$O50,'J1 D - South Bank Avenue'!$A$12:$A$130,"&lt;"&amp;Diagram!$P50)))</f>
        <v>20</v>
      </c>
      <c r="AF50" s="42">
        <f ca="1">IF(OR($I$10="",$O50="",$P50="",$J$35&lt;&gt;"Yes"),0,IF($K$10=0,SUMIFS(INDIRECT(ADDRESS(12,3+18*1+(0),,,"J1 D - South Bank Avenue")&amp;":"&amp;ADDRESS(130,3+18*1+(0))),'J1 D - South Bank Avenue'!$A$12:$A$130,"&gt;="&amp;Diagram!$O50,'J1 D - South Bank Avenue'!$A$12:$A$130,"&lt;"&amp;Diagram!$P50),SUMIFS(INDIRECT(ADDRESS(12,3+18*1+(8),,,"J1 D - South Bank Avenue")&amp;":"&amp;ADDRESS(130,3+18*1+(8))),'J1 D - South Bank Avenue'!$A$12:$A$130,"&gt;="&amp;Diagram!$O50,'J1 D - South Bank Avenue'!$A$12:$A$130,"&lt;"&amp;Diagram!$P50)))</f>
        <v>4</v>
      </c>
      <c r="AG50" s="42">
        <f ca="1">IF(OR($I$10="",$O50="",$P50="",$J$35&lt;&gt;"Yes"),0,IF($K$10=0,SUMIFS(INDIRECT(ADDRESS(12,3+18*2+(0),,,"J1 D - South Bank Avenue")&amp;":"&amp;ADDRESS(130,3+18*2+(0))),'J1 D - South Bank Avenue'!$A$12:$A$130,"&gt;="&amp;Diagram!$O50,'J1 D - South Bank Avenue'!$A$12:$A$130,"&lt;"&amp;Diagram!$P50),SUMIFS(INDIRECT(ADDRESS(12,3+18*2+(8),,,"J1 D - South Bank Avenue")&amp;":"&amp;ADDRESS(130,3+18*2+(8))),'J1 D - South Bank Avenue'!$A$12:$A$130,"&gt;="&amp;Diagram!$O50,'J1 D - South Bank Avenue'!$A$12:$A$130,"&lt;"&amp;Diagram!$P50)))</f>
        <v>10</v>
      </c>
      <c r="AH50" s="42">
        <f ca="1">IF(OR($I$10="",$O50="",$P50="",$J$35&lt;&gt;"Yes"),0,IF($K$10=0,SUMIFS(INDIRECT(ADDRESS(12,3+18*3+(0),,,"J1 D - South Bank Avenue")&amp;":"&amp;ADDRESS(130,3+18*3+(0))),'J1 D - South Bank Avenue'!$A$12:$A$130,"&gt;="&amp;Diagram!$O50,'J1 D - South Bank Avenue'!$A$12:$A$130,"&lt;"&amp;Diagram!$P50),SUMIFS(INDIRECT(ADDRESS(12,3+18*3+(8),,,"J1 D - South Bank Avenue")&amp;":"&amp;ADDRESS(130,3+18*3+(8))),'J1 D - South Bank Avenue'!$A$12:$A$130,"&gt;="&amp;Diagram!$O50,'J1 D - South Bank Avenue'!$A$12:$A$130,"&lt;"&amp;Diagram!$P50)))</f>
        <v>0</v>
      </c>
      <c r="AI50" s="42">
        <f t="shared" ca="1" si="2"/>
        <v>85</v>
      </c>
      <c r="AJ50" s="42">
        <f ca="1">IF(OR($I$10="",$O50="",$P50="",$J$36&lt;&gt;"Yes"),0,IF($K$10=0,SUMIFS(INDIRECT(ADDRESS(12,3+18*3+(1),,,"J1 A - (North) Bishopthorpe Roa")&amp;":"&amp;ADDRESS(130,3+18*3+(1))),'J1 A - (North) Bishopthorpe Roa'!$A$12:$A$130,"&gt;="&amp;Diagram!$O50,'J1 A - (North) Bishopthorpe Roa'!$A$12:$A$130,"&lt;"&amp;Diagram!$P50),SUMIFS(INDIRECT(ADDRESS(12,3+18*3+(9),,,"J1 A - (North) Bishopthorpe Roa")&amp;":"&amp;ADDRESS(130,3+18*3+(9))),'J1 A - (North) Bishopthorpe Roa'!$A$12:$A$130,"&gt;="&amp;Diagram!$O50,'J1 A - (North) Bishopthorpe Roa'!$A$12:$A$130,"&lt;"&amp;Diagram!$P50)))</f>
        <v>1</v>
      </c>
      <c r="AK50" s="42">
        <f ca="1">IF(OR($I$10="",$O50="",$P50="",$J$36&lt;&gt;"Yes"),0,IF($K$10=0,SUMIFS(INDIRECT(ADDRESS(12,3+18*0+(1),,,"J1 A - (North) Bishopthorpe Roa")&amp;":"&amp;ADDRESS(130,3+18*0+(1))),'J1 A - (North) Bishopthorpe Roa'!$A$12:$A$130,"&gt;="&amp;Diagram!$O50,'J1 A - (North) Bishopthorpe Roa'!$A$12:$A$130,"&lt;"&amp;Diagram!$P50),SUMIFS(INDIRECT(ADDRESS(12,3+18*0+(9),,,"J1 A - (North) Bishopthorpe Roa")&amp;":"&amp;ADDRESS(130,3+18*0+(9))),'J1 A - (North) Bishopthorpe Roa'!$A$12:$A$130,"&gt;="&amp;Diagram!$O50,'J1 A - (North) Bishopthorpe Roa'!$A$12:$A$130,"&lt;"&amp;Diagram!$P50)))</f>
        <v>7</v>
      </c>
      <c r="AL50" s="42">
        <f ca="1">IF(OR($I$10="",$O50="",$P50="",$J$36&lt;&gt;"Yes"),0,IF($K$10=0,SUMIFS(INDIRECT(ADDRESS(12,3+18*1+(1),,,"J1 A - (North) Bishopthorpe Roa")&amp;":"&amp;ADDRESS(130,3+18*1+(1))),'J1 A - (North) Bishopthorpe Roa'!$A$12:$A$130,"&gt;="&amp;Diagram!$O50,'J1 A - (North) Bishopthorpe Roa'!$A$12:$A$130,"&lt;"&amp;Diagram!$P50),SUMIFS(INDIRECT(ADDRESS(12,3+18*1+(9),,,"J1 A - (North) Bishopthorpe Roa")&amp;":"&amp;ADDRESS(130,3+18*1+(9))),'J1 A - (North) Bishopthorpe Roa'!$A$12:$A$130,"&gt;="&amp;Diagram!$O50,'J1 A - (North) Bishopthorpe Roa'!$A$12:$A$130,"&lt;"&amp;Diagram!$P50)))</f>
        <v>26</v>
      </c>
      <c r="AM50" s="42">
        <f ca="1">IF(OR($I$10="",$O50="",$P50="",$J$36&lt;&gt;"Yes"),0,IF($K$10=0,SUMIFS(INDIRECT(ADDRESS(12,3+18*2+(1),,,"J1 A - (North) Bishopthorpe Roa")&amp;":"&amp;ADDRESS(130,3+18*2+(1))),'J1 A - (North) Bishopthorpe Roa'!$A$12:$A$130,"&gt;="&amp;Diagram!$O50,'J1 A - (North) Bishopthorpe Roa'!$A$12:$A$130,"&lt;"&amp;Diagram!$P50),SUMIFS(INDIRECT(ADDRESS(12,3+18*2+(9),,,"J1 A - (North) Bishopthorpe Roa")&amp;":"&amp;ADDRESS(130,3+18*2+(9))),'J1 A - (North) Bishopthorpe Roa'!$A$12:$A$130,"&gt;="&amp;Diagram!$O50,'J1 A - (North) Bishopthorpe Roa'!$A$12:$A$130,"&lt;"&amp;Diagram!$P50)))</f>
        <v>6</v>
      </c>
      <c r="AN50" s="42">
        <f ca="1">IF(OR($I$10="",$O50="",$P50="",$J$36&lt;&gt;"Yes"),0,IF($K$10=0,SUMIFS(INDIRECT(ADDRESS(12,3+18*2+(1),,,"J1 B - Butcher Terrace")&amp;":"&amp;ADDRESS(130,3+18*2+(1))),'J1 B - Butcher Terrace'!$A$12:$A$130,"&gt;="&amp;Diagram!$O50,'J1 B - Butcher Terrace'!$A$12:$A$130,"&lt;"&amp;Diagram!$P50),SUMIFS(INDIRECT(ADDRESS(12,3+18*2+(9),,,"J1 B - Butcher Terrace")&amp;":"&amp;ADDRESS(130,3+18*2+(9))),'J1 B - Butcher Terrace'!$A$12:$A$130,"&gt;="&amp;Diagram!$O50,'J1 B - Butcher Terrace'!$A$12:$A$130,"&lt;"&amp;Diagram!$P50)))</f>
        <v>2</v>
      </c>
      <c r="AO50" s="42">
        <f ca="1">IF(OR($I$10="",$O50="",$P50="",$J$36&lt;&gt;"Yes"),0,IF($K$10=0,SUMIFS(INDIRECT(ADDRESS(12,3+18*3+(1),,,"J1 B - Butcher Terrace")&amp;":"&amp;ADDRESS(130,3+18*3+(1))),'J1 B - Butcher Terrace'!$A$12:$A$130,"&gt;="&amp;Diagram!$O50,'J1 B - Butcher Terrace'!$A$12:$A$130,"&lt;"&amp;Diagram!$P50),SUMIFS(INDIRECT(ADDRESS(12,3+18*3+(9),,,"J1 B - Butcher Terrace")&amp;":"&amp;ADDRESS(130,3+18*3+(9))),'J1 B - Butcher Terrace'!$A$12:$A$130,"&gt;="&amp;Diagram!$O50,'J1 B - Butcher Terrace'!$A$12:$A$130,"&lt;"&amp;Diagram!$P50)))</f>
        <v>0</v>
      </c>
      <c r="AP50" s="42">
        <f ca="1">IF(OR($I$10="",$O50="",$P50="",$J$36&lt;&gt;"Yes"),0,IF($K$10=0,SUMIFS(INDIRECT(ADDRESS(12,3+18*0+(1),,,"J1 B - Butcher Terrace")&amp;":"&amp;ADDRESS(130,3+18*0+(1))),'J1 B - Butcher Terrace'!$A$12:$A$130,"&gt;="&amp;Diagram!$O50,'J1 B - Butcher Terrace'!$A$12:$A$130,"&lt;"&amp;Diagram!$P50),SUMIFS(INDIRECT(ADDRESS(12,3+18*0+(9),,,"J1 B - Butcher Terrace")&amp;":"&amp;ADDRESS(130,3+18*0+(9))),'J1 B - Butcher Terrace'!$A$12:$A$130,"&gt;="&amp;Diagram!$O50,'J1 B - Butcher Terrace'!$A$12:$A$130,"&lt;"&amp;Diagram!$P50)))</f>
        <v>1</v>
      </c>
      <c r="AQ50" s="42">
        <f ca="1">IF(OR($I$10="",$O50="",$P50="",$J$36&lt;&gt;"Yes"),0,IF($K$10=0,SUMIFS(INDIRECT(ADDRESS(12,3+18*1+(1),,,"J1 B - Butcher Terrace")&amp;":"&amp;ADDRESS(130,3+18*1+(1))),'J1 B - Butcher Terrace'!$A$12:$A$130,"&gt;="&amp;Diagram!$O50,'J1 B - Butcher Terrace'!$A$12:$A$130,"&lt;"&amp;Diagram!$P50),SUMIFS(INDIRECT(ADDRESS(12,3+18*1+(9),,,"J1 B - Butcher Terrace")&amp;":"&amp;ADDRESS(130,3+18*1+(9))),'J1 B - Butcher Terrace'!$A$12:$A$130,"&gt;="&amp;Diagram!$O50,'J1 B - Butcher Terrace'!$A$12:$A$130,"&lt;"&amp;Diagram!$P50)))</f>
        <v>1</v>
      </c>
      <c r="AR50" s="42">
        <f ca="1">IF(OR($I$10="",$O50="",$P50="",$J$36&lt;&gt;"Yes"),0,IF($K$10=0,SUMIFS(INDIRECT(ADDRESS(12,3+18*1+(1),,,"J1 C - (South) Bishopthorpe Roa")&amp;":"&amp;ADDRESS(130,3+18*1+(1))),'J1 C - (South) Bishopthorpe Roa'!$A$12:$A$130,"&gt;="&amp;Diagram!$O50,'J1 C - (South) Bishopthorpe Roa'!$A$12:$A$130,"&lt;"&amp;Diagram!$P50),SUMIFS(INDIRECT(ADDRESS(12,3+18*1+(9),,,"J1 C - (South) Bishopthorpe Roa")&amp;":"&amp;ADDRESS(130,3+18*1+(9))),'J1 C - (South) Bishopthorpe Roa'!$A$12:$A$130,"&gt;="&amp;Diagram!$O50,'J1 C - (South) Bishopthorpe Roa'!$A$12:$A$130,"&lt;"&amp;Diagram!$P50)))</f>
        <v>30</v>
      </c>
      <c r="AS50" s="42">
        <f ca="1">IF(OR($I$10="",$O50="",$P50="",$J$36&lt;&gt;"Yes"),0,IF($K$10=0,SUMIFS(INDIRECT(ADDRESS(12,3+18*2+(1),,,"J1 C - (South) Bishopthorpe Roa")&amp;":"&amp;ADDRESS(130,3+18*2+(1))),'J1 C - (South) Bishopthorpe Roa'!$A$12:$A$130,"&gt;="&amp;Diagram!$O50,'J1 C - (South) Bishopthorpe Roa'!$A$12:$A$130,"&lt;"&amp;Diagram!$P50),SUMIFS(INDIRECT(ADDRESS(12,3+18*2+(9),,,"J1 C - (South) Bishopthorpe Roa")&amp;":"&amp;ADDRESS(130,3+18*2+(9))),'J1 C - (South) Bishopthorpe Roa'!$A$12:$A$130,"&gt;="&amp;Diagram!$O50,'J1 C - (South) Bishopthorpe Roa'!$A$12:$A$130,"&lt;"&amp;Diagram!$P50)))</f>
        <v>2</v>
      </c>
      <c r="AT50" s="42">
        <f ca="1">IF(OR($I$10="",$O50="",$P50="",$J$36&lt;&gt;"Yes"),0,IF($K$10=0,SUMIFS(INDIRECT(ADDRESS(12,3+18*3+(1),,,"J1 C - (South) Bishopthorpe Roa")&amp;":"&amp;ADDRESS(130,3+18*3+(1))),'J1 C - (South) Bishopthorpe Roa'!$A$12:$A$130,"&gt;="&amp;Diagram!$O50,'J1 C - (South) Bishopthorpe Roa'!$A$12:$A$130,"&lt;"&amp;Diagram!$P50),SUMIFS(INDIRECT(ADDRESS(12,3+18*3+(9),,,"J1 C - (South) Bishopthorpe Roa")&amp;":"&amp;ADDRESS(130,3+18*3+(9))),'J1 C - (South) Bishopthorpe Roa'!$A$12:$A$130,"&gt;="&amp;Diagram!$O50,'J1 C - (South) Bishopthorpe Roa'!$A$12:$A$130,"&lt;"&amp;Diagram!$P50)))</f>
        <v>0</v>
      </c>
      <c r="AU50" s="42">
        <f ca="1">IF(OR($I$10="",$O50="",$P50="",$J$36&lt;&gt;"Yes"),0,IF($K$10=0,SUMIFS(INDIRECT(ADDRESS(12,3+18*0+(1),,,"J1 C - (South) Bishopthorpe Roa")&amp;":"&amp;ADDRESS(130,3+18*0+(1))),'J1 C - (South) Bishopthorpe Roa'!$A$12:$A$130,"&gt;="&amp;Diagram!$O50,'J1 C - (South) Bishopthorpe Roa'!$A$12:$A$130,"&lt;"&amp;Diagram!$P50),SUMIFS(INDIRECT(ADDRESS(12,3+18*0+(9),,,"J1 C - (South) Bishopthorpe Roa")&amp;":"&amp;ADDRESS(130,3+18*0+(9))),'J1 C - (South) Bishopthorpe Roa'!$A$12:$A$130,"&gt;="&amp;Diagram!$O50,'J1 C - (South) Bishopthorpe Roa'!$A$12:$A$130,"&lt;"&amp;Diagram!$P50)))</f>
        <v>1</v>
      </c>
      <c r="AV50" s="42">
        <f ca="1">IF(OR($I$10="",$O50="",$P50="",$J$36&lt;&gt;"Yes"),0,IF($K$10=0,SUMIFS(INDIRECT(ADDRESS(12,3+18*0+(1),,,"J1 D - South Bank Avenue")&amp;":"&amp;ADDRESS(130,3+18*0+(1))),'J1 D - South Bank Avenue'!$A$12:$A$130,"&gt;="&amp;Diagram!$O50,'J1 D - South Bank Avenue'!$A$12:$A$130,"&lt;"&amp;Diagram!$P50),SUMIFS(INDIRECT(ADDRESS(12,3+18*0+(9),,,"J1 D - South Bank Avenue")&amp;":"&amp;ADDRESS(130,3+18*0+(9))),'J1 D - South Bank Avenue'!$A$12:$A$130,"&gt;="&amp;Diagram!$O50,'J1 D - South Bank Avenue'!$A$12:$A$130,"&lt;"&amp;Diagram!$P50)))</f>
        <v>4</v>
      </c>
      <c r="AW50" s="42">
        <f ca="1">IF(OR($I$10="",$O50="",$P50="",$J$36&lt;&gt;"Yes"),0,IF($K$10=0,SUMIFS(INDIRECT(ADDRESS(12,3+18*1+(1),,,"J1 D - South Bank Avenue")&amp;":"&amp;ADDRESS(130,3+18*1+(1))),'J1 D - South Bank Avenue'!$A$12:$A$130,"&gt;="&amp;Diagram!$O50,'J1 D - South Bank Avenue'!$A$12:$A$130,"&lt;"&amp;Diagram!$P50),SUMIFS(INDIRECT(ADDRESS(12,3+18*1+(9),,,"J1 D - South Bank Avenue")&amp;":"&amp;ADDRESS(130,3+18*1+(9))),'J1 D - South Bank Avenue'!$A$12:$A$130,"&gt;="&amp;Diagram!$O50,'J1 D - South Bank Avenue'!$A$12:$A$130,"&lt;"&amp;Diagram!$P50)))</f>
        <v>1</v>
      </c>
      <c r="AX50" s="42">
        <f ca="1">IF(OR($I$10="",$O50="",$P50="",$J$36&lt;&gt;"Yes"),0,IF($K$10=0,SUMIFS(INDIRECT(ADDRESS(12,3+18*2+(1),,,"J1 D - South Bank Avenue")&amp;":"&amp;ADDRESS(130,3+18*2+(1))),'J1 D - South Bank Avenue'!$A$12:$A$130,"&gt;="&amp;Diagram!$O50,'J1 D - South Bank Avenue'!$A$12:$A$130,"&lt;"&amp;Diagram!$P50),SUMIFS(INDIRECT(ADDRESS(12,3+18*2+(9),,,"J1 D - South Bank Avenue")&amp;":"&amp;ADDRESS(130,3+18*2+(9))),'J1 D - South Bank Avenue'!$A$12:$A$130,"&gt;="&amp;Diagram!$O50,'J1 D - South Bank Avenue'!$A$12:$A$130,"&lt;"&amp;Diagram!$P50)))</f>
        <v>3</v>
      </c>
      <c r="AY50" s="42">
        <f ca="1">IF(OR($I$10="",$O50="",$P50="",$J$36&lt;&gt;"Yes"),0,IF($K$10=0,SUMIFS(INDIRECT(ADDRESS(12,3+18*3+(1),,,"J1 D - South Bank Avenue")&amp;":"&amp;ADDRESS(130,3+18*3+(1))),'J1 D - South Bank Avenue'!$A$12:$A$130,"&gt;="&amp;Diagram!$O50,'J1 D - South Bank Avenue'!$A$12:$A$130,"&lt;"&amp;Diagram!$P50),SUMIFS(INDIRECT(ADDRESS(12,3+18*3+(9),,,"J1 D - South Bank Avenue")&amp;":"&amp;ADDRESS(130,3+18*3+(9))),'J1 D - South Bank Avenue'!$A$12:$A$130,"&gt;="&amp;Diagram!$O50,'J1 D - South Bank Avenue'!$A$12:$A$130,"&lt;"&amp;Diagram!$P50)))</f>
        <v>0</v>
      </c>
      <c r="AZ50" s="42">
        <f t="shared" ca="1" si="3"/>
        <v>6</v>
      </c>
      <c r="BA50" s="42">
        <f ca="1">IF(OR($I$10="",$O50="",$P50="",$J$37&lt;&gt;"Yes"),0,IF($K$10=0,SUMIFS(INDIRECT(ADDRESS(12,3+18*3+(2),,,"J1 A - (North) Bishopthorpe Roa")&amp;":"&amp;ADDRESS(130,3+18*3+(2))),'J1 A - (North) Bishopthorpe Roa'!$A$12:$A$130,"&gt;="&amp;Diagram!$O50,'J1 A - (North) Bishopthorpe Roa'!$A$12:$A$130,"&lt;"&amp;Diagram!$P50),SUMIFS(INDIRECT(ADDRESS(12,3+18*3+(10),,,"J1 A - (North) Bishopthorpe Roa")&amp;":"&amp;ADDRESS(130,3+18*3+(10))),'J1 A - (North) Bishopthorpe Roa'!$A$12:$A$130,"&gt;="&amp;Diagram!$O50,'J1 A - (North) Bishopthorpe Roa'!$A$12:$A$130,"&lt;"&amp;Diagram!$P50)))</f>
        <v>0</v>
      </c>
      <c r="BB50" s="42">
        <f ca="1">IF(OR($I$10="",$O50="",$P50="",$J$37&lt;&gt;"Yes"),0,IF($K$10=0,SUMIFS(INDIRECT(ADDRESS(12,3+18*0+(2),,,"J1 A - (North) Bishopthorpe Roa")&amp;":"&amp;ADDRESS(130,3+18*0+(2))),'J1 A - (North) Bishopthorpe Roa'!$A$12:$A$130,"&gt;="&amp;Diagram!$O50,'J1 A - (North) Bishopthorpe Roa'!$A$12:$A$130,"&lt;"&amp;Diagram!$P50),SUMIFS(INDIRECT(ADDRESS(12,3+18*0+(10),,,"J1 A - (North) Bishopthorpe Roa")&amp;":"&amp;ADDRESS(130,3+18*0+(10))),'J1 A - (North) Bishopthorpe Roa'!$A$12:$A$130,"&gt;="&amp;Diagram!$O50,'J1 A - (North) Bishopthorpe Roa'!$A$12:$A$130,"&lt;"&amp;Diagram!$P50)))</f>
        <v>0</v>
      </c>
      <c r="BC50" s="42">
        <f ca="1">IF(OR($I$10="",$O50="",$P50="",$J$37&lt;&gt;"Yes"),0,IF($K$10=0,SUMIFS(INDIRECT(ADDRESS(12,3+18*1+(2),,,"J1 A - (North) Bishopthorpe Roa")&amp;":"&amp;ADDRESS(130,3+18*1+(2))),'J1 A - (North) Bishopthorpe Roa'!$A$12:$A$130,"&gt;="&amp;Diagram!$O50,'J1 A - (North) Bishopthorpe Roa'!$A$12:$A$130,"&lt;"&amp;Diagram!$P50),SUMIFS(INDIRECT(ADDRESS(12,3+18*1+(10),,,"J1 A - (North) Bishopthorpe Roa")&amp;":"&amp;ADDRESS(130,3+18*1+(10))),'J1 A - (North) Bishopthorpe Roa'!$A$12:$A$130,"&gt;="&amp;Diagram!$O50,'J1 A - (North) Bishopthorpe Roa'!$A$12:$A$130,"&lt;"&amp;Diagram!$P50)))</f>
        <v>2</v>
      </c>
      <c r="BD50" s="42">
        <f ca="1">IF(OR($I$10="",$O50="",$P50="",$J$37&lt;&gt;"Yes"),0,IF($K$10=0,SUMIFS(INDIRECT(ADDRESS(12,3+18*2+(2),,,"J1 A - (North) Bishopthorpe Roa")&amp;":"&amp;ADDRESS(130,3+18*2+(2))),'J1 A - (North) Bishopthorpe Roa'!$A$12:$A$130,"&gt;="&amp;Diagram!$O50,'J1 A - (North) Bishopthorpe Roa'!$A$12:$A$130,"&lt;"&amp;Diagram!$P50),SUMIFS(INDIRECT(ADDRESS(12,3+18*2+(10),,,"J1 A - (North) Bishopthorpe Roa")&amp;":"&amp;ADDRESS(130,3+18*2+(10))),'J1 A - (North) Bishopthorpe Roa'!$A$12:$A$130,"&gt;="&amp;Diagram!$O50,'J1 A - (North) Bishopthorpe Roa'!$A$12:$A$130,"&lt;"&amp;Diagram!$P50)))</f>
        <v>0</v>
      </c>
      <c r="BE50" s="42">
        <f ca="1">IF(OR($I$10="",$O50="",$P50="",$J$37&lt;&gt;"Yes"),0,IF($K$10=0,SUMIFS(INDIRECT(ADDRESS(12,3+18*2+(2),,,"J1 B - Butcher Terrace")&amp;":"&amp;ADDRESS(130,3+18*2+(2))),'J1 B - Butcher Terrace'!$A$12:$A$130,"&gt;="&amp;Diagram!$O50,'J1 B - Butcher Terrace'!$A$12:$A$130,"&lt;"&amp;Diagram!$P50),SUMIFS(INDIRECT(ADDRESS(12,3+18*2+(10),,,"J1 B - Butcher Terrace")&amp;":"&amp;ADDRESS(130,3+18*2+(10))),'J1 B - Butcher Terrace'!$A$12:$A$130,"&gt;="&amp;Diagram!$O50,'J1 B - Butcher Terrace'!$A$12:$A$130,"&lt;"&amp;Diagram!$P50)))</f>
        <v>0</v>
      </c>
      <c r="BF50" s="42">
        <f ca="1">IF(OR($I$10="",$O50="",$P50="",$J$37&lt;&gt;"Yes"),0,IF($K$10=0,SUMIFS(INDIRECT(ADDRESS(12,3+18*3+(2),,,"J1 B - Butcher Terrace")&amp;":"&amp;ADDRESS(130,3+18*3+(2))),'J1 B - Butcher Terrace'!$A$12:$A$130,"&gt;="&amp;Diagram!$O50,'J1 B - Butcher Terrace'!$A$12:$A$130,"&lt;"&amp;Diagram!$P50),SUMIFS(INDIRECT(ADDRESS(12,3+18*3+(10),,,"J1 B - Butcher Terrace")&amp;":"&amp;ADDRESS(130,3+18*3+(10))),'J1 B - Butcher Terrace'!$A$12:$A$130,"&gt;="&amp;Diagram!$O50,'J1 B - Butcher Terrace'!$A$12:$A$130,"&lt;"&amp;Diagram!$P50)))</f>
        <v>0</v>
      </c>
      <c r="BG50" s="42">
        <f ca="1">IF(OR($I$10="",$O50="",$P50="",$J$37&lt;&gt;"Yes"),0,IF($K$10=0,SUMIFS(INDIRECT(ADDRESS(12,3+18*0+(2),,,"J1 B - Butcher Terrace")&amp;":"&amp;ADDRESS(130,3+18*0+(2))),'J1 B - Butcher Terrace'!$A$12:$A$130,"&gt;="&amp;Diagram!$O50,'J1 B - Butcher Terrace'!$A$12:$A$130,"&lt;"&amp;Diagram!$P50),SUMIFS(INDIRECT(ADDRESS(12,3+18*0+(10),,,"J1 B - Butcher Terrace")&amp;":"&amp;ADDRESS(130,3+18*0+(10))),'J1 B - Butcher Terrace'!$A$12:$A$130,"&gt;="&amp;Diagram!$O50,'J1 B - Butcher Terrace'!$A$12:$A$130,"&lt;"&amp;Diagram!$P50)))</f>
        <v>0</v>
      </c>
      <c r="BH50" s="42">
        <f ca="1">IF(OR($I$10="",$O50="",$P50="",$J$37&lt;&gt;"Yes"),0,IF($K$10=0,SUMIFS(INDIRECT(ADDRESS(12,3+18*1+(2),,,"J1 B - Butcher Terrace")&amp;":"&amp;ADDRESS(130,3+18*1+(2))),'J1 B - Butcher Terrace'!$A$12:$A$130,"&gt;="&amp;Diagram!$O50,'J1 B - Butcher Terrace'!$A$12:$A$130,"&lt;"&amp;Diagram!$P50),SUMIFS(INDIRECT(ADDRESS(12,3+18*1+(10),,,"J1 B - Butcher Terrace")&amp;":"&amp;ADDRESS(130,3+18*1+(10))),'J1 B - Butcher Terrace'!$A$12:$A$130,"&gt;="&amp;Diagram!$O50,'J1 B - Butcher Terrace'!$A$12:$A$130,"&lt;"&amp;Diagram!$P50)))</f>
        <v>0</v>
      </c>
      <c r="BI50" s="42">
        <f ca="1">IF(OR($I$10="",$O50="",$P50="",$J$37&lt;&gt;"Yes"),0,IF($K$10=0,SUMIFS(INDIRECT(ADDRESS(12,3+18*1+(2),,,"J1 C - (South) Bishopthorpe Roa")&amp;":"&amp;ADDRESS(130,3+18*1+(2))),'J1 C - (South) Bishopthorpe Roa'!$A$12:$A$130,"&gt;="&amp;Diagram!$O50,'J1 C - (South) Bishopthorpe Roa'!$A$12:$A$130,"&lt;"&amp;Diagram!$P50),SUMIFS(INDIRECT(ADDRESS(12,3+18*1+(10),,,"J1 C - (South) Bishopthorpe Roa")&amp;":"&amp;ADDRESS(130,3+18*1+(10))),'J1 C - (South) Bishopthorpe Roa'!$A$12:$A$130,"&gt;="&amp;Diagram!$O50,'J1 C - (South) Bishopthorpe Roa'!$A$12:$A$130,"&lt;"&amp;Diagram!$P50)))</f>
        <v>3</v>
      </c>
      <c r="BJ50" s="42">
        <f ca="1">IF(OR($I$10="",$O50="",$P50="",$J$37&lt;&gt;"Yes"),0,IF($K$10=0,SUMIFS(INDIRECT(ADDRESS(12,3+18*2+(2),,,"J1 C - (South) Bishopthorpe Roa")&amp;":"&amp;ADDRESS(130,3+18*2+(2))),'J1 C - (South) Bishopthorpe Roa'!$A$12:$A$130,"&gt;="&amp;Diagram!$O50,'J1 C - (South) Bishopthorpe Roa'!$A$12:$A$130,"&lt;"&amp;Diagram!$P50),SUMIFS(INDIRECT(ADDRESS(12,3+18*2+(10),,,"J1 C - (South) Bishopthorpe Roa")&amp;":"&amp;ADDRESS(130,3+18*2+(10))),'J1 C - (South) Bishopthorpe Roa'!$A$12:$A$130,"&gt;="&amp;Diagram!$O50,'J1 C - (South) Bishopthorpe Roa'!$A$12:$A$130,"&lt;"&amp;Diagram!$P50)))</f>
        <v>0</v>
      </c>
      <c r="BK50" s="42">
        <f ca="1">IF(OR($I$10="",$O50="",$P50="",$J$37&lt;&gt;"Yes"),0,IF($K$10=0,SUMIFS(INDIRECT(ADDRESS(12,3+18*3+(2),,,"J1 C - (South) Bishopthorpe Roa")&amp;":"&amp;ADDRESS(130,3+18*3+(2))),'J1 C - (South) Bishopthorpe Roa'!$A$12:$A$130,"&gt;="&amp;Diagram!$O50,'J1 C - (South) Bishopthorpe Roa'!$A$12:$A$130,"&lt;"&amp;Diagram!$P50),SUMIFS(INDIRECT(ADDRESS(12,3+18*3+(10),,,"J1 C - (South) Bishopthorpe Roa")&amp;":"&amp;ADDRESS(130,3+18*3+(10))),'J1 C - (South) Bishopthorpe Roa'!$A$12:$A$130,"&gt;="&amp;Diagram!$O50,'J1 C - (South) Bishopthorpe Roa'!$A$12:$A$130,"&lt;"&amp;Diagram!$P50)))</f>
        <v>0</v>
      </c>
      <c r="BL50" s="42">
        <f ca="1">IF(OR($I$10="",$O50="",$P50="",$J$37&lt;&gt;"Yes"),0,IF($K$10=0,SUMIFS(INDIRECT(ADDRESS(12,3+18*0+(2),,,"J1 C - (South) Bishopthorpe Roa")&amp;":"&amp;ADDRESS(130,3+18*0+(2))),'J1 C - (South) Bishopthorpe Roa'!$A$12:$A$130,"&gt;="&amp;Diagram!$O50,'J1 C - (South) Bishopthorpe Roa'!$A$12:$A$130,"&lt;"&amp;Diagram!$P50),SUMIFS(INDIRECT(ADDRESS(12,3+18*0+(10),,,"J1 C - (South) Bishopthorpe Roa")&amp;":"&amp;ADDRESS(130,3+18*0+(10))),'J1 C - (South) Bishopthorpe Roa'!$A$12:$A$130,"&gt;="&amp;Diagram!$O50,'J1 C - (South) Bishopthorpe Roa'!$A$12:$A$130,"&lt;"&amp;Diagram!$P50)))</f>
        <v>0</v>
      </c>
      <c r="BM50" s="42">
        <f ca="1">IF(OR($I$10="",$O50="",$P50="",$J$37&lt;&gt;"Yes"),0,IF($K$10=0,SUMIFS(INDIRECT(ADDRESS(12,3+18*0+(2),,,"J1 D - South Bank Avenue")&amp;":"&amp;ADDRESS(130,3+18*0+(2))),'J1 D - South Bank Avenue'!$A$12:$A$130,"&gt;="&amp;Diagram!$O50,'J1 D - South Bank Avenue'!$A$12:$A$130,"&lt;"&amp;Diagram!$P50),SUMIFS(INDIRECT(ADDRESS(12,3+18*0+(10),,,"J1 D - South Bank Avenue")&amp;":"&amp;ADDRESS(130,3+18*0+(10))),'J1 D - South Bank Avenue'!$A$12:$A$130,"&gt;="&amp;Diagram!$O50,'J1 D - South Bank Avenue'!$A$12:$A$130,"&lt;"&amp;Diagram!$P50)))</f>
        <v>1</v>
      </c>
      <c r="BN50" s="42">
        <f ca="1">IF(OR($I$10="",$O50="",$P50="",$J$37&lt;&gt;"Yes"),0,IF($K$10=0,SUMIFS(INDIRECT(ADDRESS(12,3+18*1+(2),,,"J1 D - South Bank Avenue")&amp;":"&amp;ADDRESS(130,3+18*1+(2))),'J1 D - South Bank Avenue'!$A$12:$A$130,"&gt;="&amp;Diagram!$O50,'J1 D - South Bank Avenue'!$A$12:$A$130,"&lt;"&amp;Diagram!$P50),SUMIFS(INDIRECT(ADDRESS(12,3+18*1+(10),,,"J1 D - South Bank Avenue")&amp;":"&amp;ADDRESS(130,3+18*1+(10))),'J1 D - South Bank Avenue'!$A$12:$A$130,"&gt;="&amp;Diagram!$O50,'J1 D - South Bank Avenue'!$A$12:$A$130,"&lt;"&amp;Diagram!$P50)))</f>
        <v>0</v>
      </c>
      <c r="BO50" s="42">
        <f ca="1">IF(OR($I$10="",$O50="",$P50="",$J$37&lt;&gt;"Yes"),0,IF($K$10=0,SUMIFS(INDIRECT(ADDRESS(12,3+18*2+(2),,,"J1 D - South Bank Avenue")&amp;":"&amp;ADDRESS(130,3+18*2+(2))),'J1 D - South Bank Avenue'!$A$12:$A$130,"&gt;="&amp;Diagram!$O50,'J1 D - South Bank Avenue'!$A$12:$A$130,"&lt;"&amp;Diagram!$P50),SUMIFS(INDIRECT(ADDRESS(12,3+18*2+(10),,,"J1 D - South Bank Avenue")&amp;":"&amp;ADDRESS(130,3+18*2+(10))),'J1 D - South Bank Avenue'!$A$12:$A$130,"&gt;="&amp;Diagram!$O50,'J1 D - South Bank Avenue'!$A$12:$A$130,"&lt;"&amp;Diagram!$P50)))</f>
        <v>0</v>
      </c>
      <c r="BP50" s="42">
        <f ca="1">IF(OR($I$10="",$O50="",$P50="",$J$37&lt;&gt;"Yes"),0,IF($K$10=0,SUMIFS(INDIRECT(ADDRESS(12,3+18*3+(2),,,"J1 D - South Bank Avenue")&amp;":"&amp;ADDRESS(130,3+18*3+(2))),'J1 D - South Bank Avenue'!$A$12:$A$130,"&gt;="&amp;Diagram!$O50,'J1 D - South Bank Avenue'!$A$12:$A$130,"&lt;"&amp;Diagram!$P50),SUMIFS(INDIRECT(ADDRESS(12,3+18*3+(10),,,"J1 D - South Bank Avenue")&amp;":"&amp;ADDRESS(130,3+18*3+(10))),'J1 D - South Bank Avenue'!$A$12:$A$130,"&gt;="&amp;Diagram!$O50,'J1 D - South Bank Avenue'!$A$12:$A$130,"&lt;"&amp;Diagram!$P50)))</f>
        <v>0</v>
      </c>
      <c r="BQ50" s="42">
        <f t="shared" ca="1" si="4"/>
        <v>1</v>
      </c>
      <c r="BR50" s="42">
        <f ca="1">IF(OR($I$10="",$O50="",$P50="",$J$38&lt;&gt;"Yes"),0,IF($K$10=0,SUMIFS(INDIRECT(ADDRESS(12,3+18*3+(3),,,"J1 A - (North) Bishopthorpe Roa")&amp;":"&amp;ADDRESS(130,3+18*3+(3))),'J1 A - (North) Bishopthorpe Roa'!$A$12:$A$130,"&gt;="&amp;Diagram!$O50,'J1 A - (North) Bishopthorpe Roa'!$A$12:$A$130,"&lt;"&amp;Diagram!$P50),SUMIFS(INDIRECT(ADDRESS(12,3+18*3+(11),,,"J1 A - (North) Bishopthorpe Roa")&amp;":"&amp;ADDRESS(130,3+18*3+(11))),'J1 A - (North) Bishopthorpe Roa'!$A$12:$A$130,"&gt;="&amp;Diagram!$O50,'J1 A - (North) Bishopthorpe Roa'!$A$12:$A$130,"&lt;"&amp;Diagram!$P50)))</f>
        <v>0</v>
      </c>
      <c r="BS50" s="42">
        <f ca="1">IF(OR($I$10="",$O50="",$P50="",$J$38&lt;&gt;"Yes"),0,IF($K$10=0,SUMIFS(INDIRECT(ADDRESS(12,3+18*0+(3),,,"J1 A - (North) Bishopthorpe Roa")&amp;":"&amp;ADDRESS(130,3+18*0+(3))),'J1 A - (North) Bishopthorpe Roa'!$A$12:$A$130,"&gt;="&amp;Diagram!$O50,'J1 A - (North) Bishopthorpe Roa'!$A$12:$A$130,"&lt;"&amp;Diagram!$P50),SUMIFS(INDIRECT(ADDRESS(12,3+18*0+(11),,,"J1 A - (North) Bishopthorpe Roa")&amp;":"&amp;ADDRESS(130,3+18*0+(11))),'J1 A - (North) Bishopthorpe Roa'!$A$12:$A$130,"&gt;="&amp;Diagram!$O50,'J1 A - (North) Bishopthorpe Roa'!$A$12:$A$130,"&lt;"&amp;Diagram!$P50)))</f>
        <v>0</v>
      </c>
      <c r="BT50" s="42">
        <f ca="1">IF(OR($I$10="",$O50="",$P50="",$J$38&lt;&gt;"Yes"),0,IF($K$10=0,SUMIFS(INDIRECT(ADDRESS(12,3+18*1+(3),,,"J1 A - (North) Bishopthorpe Roa")&amp;":"&amp;ADDRESS(130,3+18*1+(3))),'J1 A - (North) Bishopthorpe Roa'!$A$12:$A$130,"&gt;="&amp;Diagram!$O50,'J1 A - (North) Bishopthorpe Roa'!$A$12:$A$130,"&lt;"&amp;Diagram!$P50),SUMIFS(INDIRECT(ADDRESS(12,3+18*1+(11),,,"J1 A - (North) Bishopthorpe Roa")&amp;":"&amp;ADDRESS(130,3+18*1+(11))),'J1 A - (North) Bishopthorpe Roa'!$A$12:$A$130,"&gt;="&amp;Diagram!$O50,'J1 A - (North) Bishopthorpe Roa'!$A$12:$A$130,"&lt;"&amp;Diagram!$P50)))</f>
        <v>0</v>
      </c>
      <c r="BU50" s="42">
        <f ca="1">IF(OR($I$10="",$O50="",$P50="",$J$38&lt;&gt;"Yes"),0,IF($K$10=0,SUMIFS(INDIRECT(ADDRESS(12,3+18*2+(3),,,"J1 A - (North) Bishopthorpe Roa")&amp;":"&amp;ADDRESS(130,3+18*2+(3))),'J1 A - (North) Bishopthorpe Roa'!$A$12:$A$130,"&gt;="&amp;Diagram!$O50,'J1 A - (North) Bishopthorpe Roa'!$A$12:$A$130,"&lt;"&amp;Diagram!$P50),SUMIFS(INDIRECT(ADDRESS(12,3+18*2+(11),,,"J1 A - (North) Bishopthorpe Roa")&amp;":"&amp;ADDRESS(130,3+18*2+(11))),'J1 A - (North) Bishopthorpe Roa'!$A$12:$A$130,"&gt;="&amp;Diagram!$O50,'J1 A - (North) Bishopthorpe Roa'!$A$12:$A$130,"&lt;"&amp;Diagram!$P50)))</f>
        <v>0</v>
      </c>
      <c r="BV50" s="42">
        <f ca="1">IF(OR($I$10="",$O50="",$P50="",$J$38&lt;&gt;"Yes"),0,IF($K$10=0,SUMIFS(INDIRECT(ADDRESS(12,3+18*2+(3),,,"J1 B - Butcher Terrace")&amp;":"&amp;ADDRESS(130,3+18*2+(3))),'J1 B - Butcher Terrace'!$A$12:$A$130,"&gt;="&amp;Diagram!$O50,'J1 B - Butcher Terrace'!$A$12:$A$130,"&lt;"&amp;Diagram!$P50),SUMIFS(INDIRECT(ADDRESS(12,3+18*2+(11),,,"J1 B - Butcher Terrace")&amp;":"&amp;ADDRESS(130,3+18*2+(11))),'J1 B - Butcher Terrace'!$A$12:$A$130,"&gt;="&amp;Diagram!$O50,'J1 B - Butcher Terrace'!$A$12:$A$130,"&lt;"&amp;Diagram!$P50)))</f>
        <v>0</v>
      </c>
      <c r="BW50" s="42">
        <f ca="1">IF(OR($I$10="",$O50="",$P50="",$J$38&lt;&gt;"Yes"),0,IF($K$10=0,SUMIFS(INDIRECT(ADDRESS(12,3+18*3+(3),,,"J1 B - Butcher Terrace")&amp;":"&amp;ADDRESS(130,3+18*3+(3))),'J1 B - Butcher Terrace'!$A$12:$A$130,"&gt;="&amp;Diagram!$O50,'J1 B - Butcher Terrace'!$A$12:$A$130,"&lt;"&amp;Diagram!$P50),SUMIFS(INDIRECT(ADDRESS(12,3+18*3+(11),,,"J1 B - Butcher Terrace")&amp;":"&amp;ADDRESS(130,3+18*3+(11))),'J1 B - Butcher Terrace'!$A$12:$A$130,"&gt;="&amp;Diagram!$O50,'J1 B - Butcher Terrace'!$A$12:$A$130,"&lt;"&amp;Diagram!$P50)))</f>
        <v>0</v>
      </c>
      <c r="BX50" s="42">
        <f ca="1">IF(OR($I$10="",$O50="",$P50="",$J$38&lt;&gt;"Yes"),0,IF($K$10=0,SUMIFS(INDIRECT(ADDRESS(12,3+18*0+(3),,,"J1 B - Butcher Terrace")&amp;":"&amp;ADDRESS(130,3+18*0+(3))),'J1 B - Butcher Terrace'!$A$12:$A$130,"&gt;="&amp;Diagram!$O50,'J1 B - Butcher Terrace'!$A$12:$A$130,"&lt;"&amp;Diagram!$P50),SUMIFS(INDIRECT(ADDRESS(12,3+18*0+(11),,,"J1 B - Butcher Terrace")&amp;":"&amp;ADDRESS(130,3+18*0+(11))),'J1 B - Butcher Terrace'!$A$12:$A$130,"&gt;="&amp;Diagram!$O50,'J1 B - Butcher Terrace'!$A$12:$A$130,"&lt;"&amp;Diagram!$P50)))</f>
        <v>0</v>
      </c>
      <c r="BY50" s="42">
        <f ca="1">IF(OR($I$10="",$O50="",$P50="",$J$38&lt;&gt;"Yes"),0,IF($K$10=0,SUMIFS(INDIRECT(ADDRESS(12,3+18*1+(3),,,"J1 B - Butcher Terrace")&amp;":"&amp;ADDRESS(130,3+18*1+(3))),'J1 B - Butcher Terrace'!$A$12:$A$130,"&gt;="&amp;Diagram!$O50,'J1 B - Butcher Terrace'!$A$12:$A$130,"&lt;"&amp;Diagram!$P50),SUMIFS(INDIRECT(ADDRESS(12,3+18*1+(11),,,"J1 B - Butcher Terrace")&amp;":"&amp;ADDRESS(130,3+18*1+(11))),'J1 B - Butcher Terrace'!$A$12:$A$130,"&gt;="&amp;Diagram!$O50,'J1 B - Butcher Terrace'!$A$12:$A$130,"&lt;"&amp;Diagram!$P50)))</f>
        <v>0</v>
      </c>
      <c r="BZ50" s="42">
        <f ca="1">IF(OR($I$10="",$O50="",$P50="",$J$38&lt;&gt;"Yes"),0,IF($K$10=0,SUMIFS(INDIRECT(ADDRESS(12,3+18*1+(3),,,"J1 C - (South) Bishopthorpe Roa")&amp;":"&amp;ADDRESS(130,3+18*1+(3))),'J1 C - (South) Bishopthorpe Roa'!$A$12:$A$130,"&gt;="&amp;Diagram!$O50,'J1 C - (South) Bishopthorpe Roa'!$A$12:$A$130,"&lt;"&amp;Diagram!$P50),SUMIFS(INDIRECT(ADDRESS(12,3+18*1+(11),,,"J1 C - (South) Bishopthorpe Roa")&amp;":"&amp;ADDRESS(130,3+18*1+(11))),'J1 C - (South) Bishopthorpe Roa'!$A$12:$A$130,"&gt;="&amp;Diagram!$O50,'J1 C - (South) Bishopthorpe Roa'!$A$12:$A$130,"&lt;"&amp;Diagram!$P50)))</f>
        <v>1</v>
      </c>
      <c r="CA50" s="42">
        <f ca="1">IF(OR($I$10="",$O50="",$P50="",$J$38&lt;&gt;"Yes"),0,IF($K$10=0,SUMIFS(INDIRECT(ADDRESS(12,3+18*2+(3),,,"J1 C - (South) Bishopthorpe Roa")&amp;":"&amp;ADDRESS(130,3+18*2+(3))),'J1 C - (South) Bishopthorpe Roa'!$A$12:$A$130,"&gt;="&amp;Diagram!$O50,'J1 C - (South) Bishopthorpe Roa'!$A$12:$A$130,"&lt;"&amp;Diagram!$P50),SUMIFS(INDIRECT(ADDRESS(12,3+18*2+(11),,,"J1 C - (South) Bishopthorpe Roa")&amp;":"&amp;ADDRESS(130,3+18*2+(11))),'J1 C - (South) Bishopthorpe Roa'!$A$12:$A$130,"&gt;="&amp;Diagram!$O50,'J1 C - (South) Bishopthorpe Roa'!$A$12:$A$130,"&lt;"&amp;Diagram!$P50)))</f>
        <v>0</v>
      </c>
      <c r="CB50" s="42">
        <f ca="1">IF(OR($I$10="",$O50="",$P50="",$J$38&lt;&gt;"Yes"),0,IF($K$10=0,SUMIFS(INDIRECT(ADDRESS(12,3+18*3+(3),,,"J1 C - (South) Bishopthorpe Roa")&amp;":"&amp;ADDRESS(130,3+18*3+(3))),'J1 C - (South) Bishopthorpe Roa'!$A$12:$A$130,"&gt;="&amp;Diagram!$O50,'J1 C - (South) Bishopthorpe Roa'!$A$12:$A$130,"&lt;"&amp;Diagram!$P50),SUMIFS(INDIRECT(ADDRESS(12,3+18*3+(11),,,"J1 C - (South) Bishopthorpe Roa")&amp;":"&amp;ADDRESS(130,3+18*3+(11))),'J1 C - (South) Bishopthorpe Roa'!$A$12:$A$130,"&gt;="&amp;Diagram!$O50,'J1 C - (South) Bishopthorpe Roa'!$A$12:$A$130,"&lt;"&amp;Diagram!$P50)))</f>
        <v>0</v>
      </c>
      <c r="CC50" s="42">
        <f ca="1">IF(OR($I$10="",$O50="",$P50="",$J$38&lt;&gt;"Yes"),0,IF($K$10=0,SUMIFS(INDIRECT(ADDRESS(12,3+18*0+(3),,,"J1 C - (South) Bishopthorpe Roa")&amp;":"&amp;ADDRESS(130,3+18*0+(3))),'J1 C - (South) Bishopthorpe Roa'!$A$12:$A$130,"&gt;="&amp;Diagram!$O50,'J1 C - (South) Bishopthorpe Roa'!$A$12:$A$130,"&lt;"&amp;Diagram!$P50),SUMIFS(INDIRECT(ADDRESS(12,3+18*0+(11),,,"J1 C - (South) Bishopthorpe Roa")&amp;":"&amp;ADDRESS(130,3+18*0+(11))),'J1 C - (South) Bishopthorpe Roa'!$A$12:$A$130,"&gt;="&amp;Diagram!$O50,'J1 C - (South) Bishopthorpe Roa'!$A$12:$A$130,"&lt;"&amp;Diagram!$P50)))</f>
        <v>0</v>
      </c>
      <c r="CD50" s="42">
        <f ca="1">IF(OR($I$10="",$O50="",$P50="",$J$38&lt;&gt;"Yes"),0,IF($K$10=0,SUMIFS(INDIRECT(ADDRESS(12,3+18*0+(3),,,"J1 D - South Bank Avenue")&amp;":"&amp;ADDRESS(130,3+18*0+(3))),'J1 D - South Bank Avenue'!$A$12:$A$130,"&gt;="&amp;Diagram!$O50,'J1 D - South Bank Avenue'!$A$12:$A$130,"&lt;"&amp;Diagram!$P50),SUMIFS(INDIRECT(ADDRESS(12,3+18*0+(11),,,"J1 D - South Bank Avenue")&amp;":"&amp;ADDRESS(130,3+18*0+(11))),'J1 D - South Bank Avenue'!$A$12:$A$130,"&gt;="&amp;Diagram!$O50,'J1 D - South Bank Avenue'!$A$12:$A$130,"&lt;"&amp;Diagram!$P50)))</f>
        <v>0</v>
      </c>
      <c r="CE50" s="42">
        <f ca="1">IF(OR($I$10="",$O50="",$P50="",$J$38&lt;&gt;"Yes"),0,IF($K$10=0,SUMIFS(INDIRECT(ADDRESS(12,3+18*1+(3),,,"J1 D - South Bank Avenue")&amp;":"&amp;ADDRESS(130,3+18*1+(3))),'J1 D - South Bank Avenue'!$A$12:$A$130,"&gt;="&amp;Diagram!$O50,'J1 D - South Bank Avenue'!$A$12:$A$130,"&lt;"&amp;Diagram!$P50),SUMIFS(INDIRECT(ADDRESS(12,3+18*1+(11),,,"J1 D - South Bank Avenue")&amp;":"&amp;ADDRESS(130,3+18*1+(11))),'J1 D - South Bank Avenue'!$A$12:$A$130,"&gt;="&amp;Diagram!$O50,'J1 D - South Bank Avenue'!$A$12:$A$130,"&lt;"&amp;Diagram!$P50)))</f>
        <v>0</v>
      </c>
      <c r="CF50" s="42">
        <f ca="1">IF(OR($I$10="",$O50="",$P50="",$J$38&lt;&gt;"Yes"),0,IF($K$10=0,SUMIFS(INDIRECT(ADDRESS(12,3+18*2+(3),,,"J1 D - South Bank Avenue")&amp;":"&amp;ADDRESS(130,3+18*2+(3))),'J1 D - South Bank Avenue'!$A$12:$A$130,"&gt;="&amp;Diagram!$O50,'J1 D - South Bank Avenue'!$A$12:$A$130,"&lt;"&amp;Diagram!$P50),SUMIFS(INDIRECT(ADDRESS(12,3+18*2+(11),,,"J1 D - South Bank Avenue")&amp;":"&amp;ADDRESS(130,3+18*2+(11))),'J1 D - South Bank Avenue'!$A$12:$A$130,"&gt;="&amp;Diagram!$O50,'J1 D - South Bank Avenue'!$A$12:$A$130,"&lt;"&amp;Diagram!$P50)))</f>
        <v>0</v>
      </c>
      <c r="CG50" s="42">
        <f ca="1">IF(OR($I$10="",$O50="",$P50="",$J$38&lt;&gt;"Yes"),0,IF($K$10=0,SUMIFS(INDIRECT(ADDRESS(12,3+18*3+(3),,,"J1 D - South Bank Avenue")&amp;":"&amp;ADDRESS(130,3+18*3+(3))),'J1 D - South Bank Avenue'!$A$12:$A$130,"&gt;="&amp;Diagram!$O50,'J1 D - South Bank Avenue'!$A$12:$A$130,"&lt;"&amp;Diagram!$P50),SUMIFS(INDIRECT(ADDRESS(12,3+18*3+(11),,,"J1 D - South Bank Avenue")&amp;":"&amp;ADDRESS(130,3+18*3+(11))),'J1 D - South Bank Avenue'!$A$12:$A$130,"&gt;="&amp;Diagram!$O50,'J1 D - South Bank Avenue'!$A$12:$A$130,"&lt;"&amp;Diagram!$P50)))</f>
        <v>0</v>
      </c>
      <c r="CH50" s="42">
        <f t="shared" ca="1" si="5"/>
        <v>7</v>
      </c>
      <c r="CI50" s="42">
        <f ca="1">IF(OR($I$10="",$O50="",$P50="",$J$39&lt;&gt;"Yes"),0,IF($K$10=0,SUMIFS(INDIRECT(ADDRESS(12,3+18*3+(4),,,"J1 A - (North) Bishopthorpe Roa")&amp;":"&amp;ADDRESS(130,3+18*3+(4))),'J1 A - (North) Bishopthorpe Roa'!$A$12:$A$130,"&gt;="&amp;Diagram!$O50,'J1 A - (North) Bishopthorpe Roa'!$A$12:$A$130,"&lt;"&amp;Diagram!$P50),SUMIFS(INDIRECT(ADDRESS(12,3+18*3+(12),,,"J1 A - (North) Bishopthorpe Roa")&amp;":"&amp;ADDRESS(130,3+18*3+(12))),'J1 A - (North) Bishopthorpe Roa'!$A$12:$A$130,"&gt;="&amp;Diagram!$O50,'J1 A - (North) Bishopthorpe Roa'!$A$12:$A$130,"&lt;"&amp;Diagram!$P50)))</f>
        <v>0</v>
      </c>
      <c r="CJ50" s="42">
        <f ca="1">IF(OR($I$10="",$O50="",$P50="",$J$39&lt;&gt;"Yes"),0,IF($K$10=0,SUMIFS(INDIRECT(ADDRESS(12,3+18*0+(4),,,"J1 A - (North) Bishopthorpe Roa")&amp;":"&amp;ADDRESS(130,3+18*0+(4))),'J1 A - (North) Bishopthorpe Roa'!$A$12:$A$130,"&gt;="&amp;Diagram!$O50,'J1 A - (North) Bishopthorpe Roa'!$A$12:$A$130,"&lt;"&amp;Diagram!$P50),SUMIFS(INDIRECT(ADDRESS(12,3+18*0+(12),,,"J1 A - (North) Bishopthorpe Roa")&amp;":"&amp;ADDRESS(130,3+18*0+(12))),'J1 A - (North) Bishopthorpe Roa'!$A$12:$A$130,"&gt;="&amp;Diagram!$O50,'J1 A - (North) Bishopthorpe Roa'!$A$12:$A$130,"&lt;"&amp;Diagram!$P50)))</f>
        <v>0</v>
      </c>
      <c r="CK50" s="42">
        <f ca="1">IF(OR($I$10="",$O50="",$P50="",$J$39&lt;&gt;"Yes"),0,IF($K$10=0,SUMIFS(INDIRECT(ADDRESS(12,3+18*1+(4),,,"J1 A - (North) Bishopthorpe Roa")&amp;":"&amp;ADDRESS(130,3+18*1+(4))),'J1 A - (North) Bishopthorpe Roa'!$A$12:$A$130,"&gt;="&amp;Diagram!$O50,'J1 A - (North) Bishopthorpe Roa'!$A$12:$A$130,"&lt;"&amp;Diagram!$P50),SUMIFS(INDIRECT(ADDRESS(12,3+18*1+(12),,,"J1 A - (North) Bishopthorpe Roa")&amp;":"&amp;ADDRESS(130,3+18*1+(12))),'J1 A - (North) Bishopthorpe Roa'!$A$12:$A$130,"&gt;="&amp;Diagram!$O50,'J1 A - (North) Bishopthorpe Roa'!$A$12:$A$130,"&lt;"&amp;Diagram!$P50)))</f>
        <v>3</v>
      </c>
      <c r="CL50" s="42">
        <f ca="1">IF(OR($I$10="",$O50="",$P50="",$J$39&lt;&gt;"Yes"),0,IF($K$10=0,SUMIFS(INDIRECT(ADDRESS(12,3+18*2+(4),,,"J1 A - (North) Bishopthorpe Roa")&amp;":"&amp;ADDRESS(130,3+18*2+(4))),'J1 A - (North) Bishopthorpe Roa'!$A$12:$A$130,"&gt;="&amp;Diagram!$O50,'J1 A - (North) Bishopthorpe Roa'!$A$12:$A$130,"&lt;"&amp;Diagram!$P50),SUMIFS(INDIRECT(ADDRESS(12,3+18*2+(12),,,"J1 A - (North) Bishopthorpe Roa")&amp;":"&amp;ADDRESS(130,3+18*2+(12))),'J1 A - (North) Bishopthorpe Roa'!$A$12:$A$130,"&gt;="&amp;Diagram!$O50,'J1 A - (North) Bishopthorpe Roa'!$A$12:$A$130,"&lt;"&amp;Diagram!$P50)))</f>
        <v>0</v>
      </c>
      <c r="CM50" s="42">
        <f ca="1">IF(OR($I$10="",$O50="",$P50="",$J$39&lt;&gt;"Yes"),0,IF($K$10=0,SUMIFS(INDIRECT(ADDRESS(12,3+18*2+(4),,,"J1 B - Butcher Terrace")&amp;":"&amp;ADDRESS(130,3+18*2+(4))),'J1 B - Butcher Terrace'!$A$12:$A$130,"&gt;="&amp;Diagram!$O50,'J1 B - Butcher Terrace'!$A$12:$A$130,"&lt;"&amp;Diagram!$P50),SUMIFS(INDIRECT(ADDRESS(12,3+18*2+(12),,,"J1 B - Butcher Terrace")&amp;":"&amp;ADDRESS(130,3+18*2+(12))),'J1 B - Butcher Terrace'!$A$12:$A$130,"&gt;="&amp;Diagram!$O50,'J1 B - Butcher Terrace'!$A$12:$A$130,"&lt;"&amp;Diagram!$P50)))</f>
        <v>0</v>
      </c>
      <c r="CN50" s="42">
        <f ca="1">IF(OR($I$10="",$O50="",$P50="",$J$39&lt;&gt;"Yes"),0,IF($K$10=0,SUMIFS(INDIRECT(ADDRESS(12,3+18*3+(4),,,"J1 B - Butcher Terrace")&amp;":"&amp;ADDRESS(130,3+18*3+(4))),'J1 B - Butcher Terrace'!$A$12:$A$130,"&gt;="&amp;Diagram!$O50,'J1 B - Butcher Terrace'!$A$12:$A$130,"&lt;"&amp;Diagram!$P50),SUMIFS(INDIRECT(ADDRESS(12,3+18*3+(12),,,"J1 B - Butcher Terrace")&amp;":"&amp;ADDRESS(130,3+18*3+(12))),'J1 B - Butcher Terrace'!$A$12:$A$130,"&gt;="&amp;Diagram!$O50,'J1 B - Butcher Terrace'!$A$12:$A$130,"&lt;"&amp;Diagram!$P50)))</f>
        <v>0</v>
      </c>
      <c r="CO50" s="42">
        <f ca="1">IF(OR($I$10="",$O50="",$P50="",$J$39&lt;&gt;"Yes"),0,IF($K$10=0,SUMIFS(INDIRECT(ADDRESS(12,3+18*0+(4),,,"J1 B - Butcher Terrace")&amp;":"&amp;ADDRESS(130,3+18*0+(4))),'J1 B - Butcher Terrace'!$A$12:$A$130,"&gt;="&amp;Diagram!$O50,'J1 B - Butcher Terrace'!$A$12:$A$130,"&lt;"&amp;Diagram!$P50),SUMIFS(INDIRECT(ADDRESS(12,3+18*0+(12),,,"J1 B - Butcher Terrace")&amp;":"&amp;ADDRESS(130,3+18*0+(12))),'J1 B - Butcher Terrace'!$A$12:$A$130,"&gt;="&amp;Diagram!$O50,'J1 B - Butcher Terrace'!$A$12:$A$130,"&lt;"&amp;Diagram!$P50)))</f>
        <v>0</v>
      </c>
      <c r="CP50" s="42">
        <f ca="1">IF(OR($I$10="",$O50="",$P50="",$J$39&lt;&gt;"Yes"),0,IF($K$10=0,SUMIFS(INDIRECT(ADDRESS(12,3+18*1+(4),,,"J1 B - Butcher Terrace")&amp;":"&amp;ADDRESS(130,3+18*1+(4))),'J1 B - Butcher Terrace'!$A$12:$A$130,"&gt;="&amp;Diagram!$O50,'J1 B - Butcher Terrace'!$A$12:$A$130,"&lt;"&amp;Diagram!$P50),SUMIFS(INDIRECT(ADDRESS(12,3+18*1+(12),,,"J1 B - Butcher Terrace")&amp;":"&amp;ADDRESS(130,3+18*1+(12))),'J1 B - Butcher Terrace'!$A$12:$A$130,"&gt;="&amp;Diagram!$O50,'J1 B - Butcher Terrace'!$A$12:$A$130,"&lt;"&amp;Diagram!$P50)))</f>
        <v>0</v>
      </c>
      <c r="CQ50" s="42">
        <f ca="1">IF(OR($I$10="",$O50="",$P50="",$J$39&lt;&gt;"Yes"),0,IF($K$10=0,SUMIFS(INDIRECT(ADDRESS(12,3+18*1+(4),,,"J1 C - (South) Bishopthorpe Roa")&amp;":"&amp;ADDRESS(130,3+18*1+(4))),'J1 C - (South) Bishopthorpe Roa'!$A$12:$A$130,"&gt;="&amp;Diagram!$O50,'J1 C - (South) Bishopthorpe Roa'!$A$12:$A$130,"&lt;"&amp;Diagram!$P50),SUMIFS(INDIRECT(ADDRESS(12,3+18*1+(12),,,"J1 C - (South) Bishopthorpe Roa")&amp;":"&amp;ADDRESS(130,3+18*1+(12))),'J1 C - (South) Bishopthorpe Roa'!$A$12:$A$130,"&gt;="&amp;Diagram!$O50,'J1 C - (South) Bishopthorpe Roa'!$A$12:$A$130,"&lt;"&amp;Diagram!$P50)))</f>
        <v>4</v>
      </c>
      <c r="CR50" s="42">
        <f ca="1">IF(OR($I$10="",$O50="",$P50="",$J$39&lt;&gt;"Yes"),0,IF($K$10=0,SUMIFS(INDIRECT(ADDRESS(12,3+18*2+(4),,,"J1 C - (South) Bishopthorpe Roa")&amp;":"&amp;ADDRESS(130,3+18*2+(4))),'J1 C - (South) Bishopthorpe Roa'!$A$12:$A$130,"&gt;="&amp;Diagram!$O50,'J1 C - (South) Bishopthorpe Roa'!$A$12:$A$130,"&lt;"&amp;Diagram!$P50),SUMIFS(INDIRECT(ADDRESS(12,3+18*2+(12),,,"J1 C - (South) Bishopthorpe Roa")&amp;":"&amp;ADDRESS(130,3+18*2+(12))),'J1 C - (South) Bishopthorpe Roa'!$A$12:$A$130,"&gt;="&amp;Diagram!$O50,'J1 C - (South) Bishopthorpe Roa'!$A$12:$A$130,"&lt;"&amp;Diagram!$P50)))</f>
        <v>0</v>
      </c>
      <c r="CS50" s="42">
        <f ca="1">IF(OR($I$10="",$O50="",$P50="",$J$39&lt;&gt;"Yes"),0,IF($K$10=0,SUMIFS(INDIRECT(ADDRESS(12,3+18*3+(4),,,"J1 C - (South) Bishopthorpe Roa")&amp;":"&amp;ADDRESS(130,3+18*3+(4))),'J1 C - (South) Bishopthorpe Roa'!$A$12:$A$130,"&gt;="&amp;Diagram!$O50,'J1 C - (South) Bishopthorpe Roa'!$A$12:$A$130,"&lt;"&amp;Diagram!$P50),SUMIFS(INDIRECT(ADDRESS(12,3+18*3+(12),,,"J1 C - (South) Bishopthorpe Roa")&amp;":"&amp;ADDRESS(130,3+18*3+(12))),'J1 C - (South) Bishopthorpe Roa'!$A$12:$A$130,"&gt;="&amp;Diagram!$O50,'J1 C - (South) Bishopthorpe Roa'!$A$12:$A$130,"&lt;"&amp;Diagram!$P50)))</f>
        <v>0</v>
      </c>
      <c r="CT50" s="42">
        <f ca="1">IF(OR($I$10="",$O50="",$P50="",$J$39&lt;&gt;"Yes"),0,IF($K$10=0,SUMIFS(INDIRECT(ADDRESS(12,3+18*0+(4),,,"J1 C - (South) Bishopthorpe Roa")&amp;":"&amp;ADDRESS(130,3+18*0+(4))),'J1 C - (South) Bishopthorpe Roa'!$A$12:$A$130,"&gt;="&amp;Diagram!$O50,'J1 C - (South) Bishopthorpe Roa'!$A$12:$A$130,"&lt;"&amp;Diagram!$P50),SUMIFS(INDIRECT(ADDRESS(12,3+18*0+(12),,,"J1 C - (South) Bishopthorpe Roa")&amp;":"&amp;ADDRESS(130,3+18*0+(12))),'J1 C - (South) Bishopthorpe Roa'!$A$12:$A$130,"&gt;="&amp;Diagram!$O50,'J1 C - (South) Bishopthorpe Roa'!$A$12:$A$130,"&lt;"&amp;Diagram!$P50)))</f>
        <v>0</v>
      </c>
      <c r="CU50" s="42">
        <f ca="1">IF(OR($I$10="",$O50="",$P50="",$J$39&lt;&gt;"Yes"),0,IF($K$10=0,SUMIFS(INDIRECT(ADDRESS(12,3+18*0+(4),,,"J1 D - South Bank Avenue")&amp;":"&amp;ADDRESS(130,3+18*0+(4))),'J1 D - South Bank Avenue'!$A$12:$A$130,"&gt;="&amp;Diagram!$O50,'J1 D - South Bank Avenue'!$A$12:$A$130,"&lt;"&amp;Diagram!$P50),SUMIFS(INDIRECT(ADDRESS(12,3+18*0+(12),,,"J1 D - South Bank Avenue")&amp;":"&amp;ADDRESS(130,3+18*0+(12))),'J1 D - South Bank Avenue'!$A$12:$A$130,"&gt;="&amp;Diagram!$O50,'J1 D - South Bank Avenue'!$A$12:$A$130,"&lt;"&amp;Diagram!$P50)))</f>
        <v>0</v>
      </c>
      <c r="CV50" s="42">
        <f ca="1">IF(OR($I$10="",$O50="",$P50="",$J$39&lt;&gt;"Yes"),0,IF($K$10=0,SUMIFS(INDIRECT(ADDRESS(12,3+18*1+(4),,,"J1 D - South Bank Avenue")&amp;":"&amp;ADDRESS(130,3+18*1+(4))),'J1 D - South Bank Avenue'!$A$12:$A$130,"&gt;="&amp;Diagram!$O50,'J1 D - South Bank Avenue'!$A$12:$A$130,"&lt;"&amp;Diagram!$P50),SUMIFS(INDIRECT(ADDRESS(12,3+18*1+(12),,,"J1 D - South Bank Avenue")&amp;":"&amp;ADDRESS(130,3+18*1+(12))),'J1 D - South Bank Avenue'!$A$12:$A$130,"&gt;="&amp;Diagram!$O50,'J1 D - South Bank Avenue'!$A$12:$A$130,"&lt;"&amp;Diagram!$P50)))</f>
        <v>0</v>
      </c>
      <c r="CW50" s="42">
        <f ca="1">IF(OR($I$10="",$O50="",$P50="",$J$39&lt;&gt;"Yes"),0,IF($K$10=0,SUMIFS(INDIRECT(ADDRESS(12,3+18*2+(4),,,"J1 D - South Bank Avenue")&amp;":"&amp;ADDRESS(130,3+18*2+(4))),'J1 D - South Bank Avenue'!$A$12:$A$130,"&gt;="&amp;Diagram!$O50,'J1 D - South Bank Avenue'!$A$12:$A$130,"&lt;"&amp;Diagram!$P50),SUMIFS(INDIRECT(ADDRESS(12,3+18*2+(12),,,"J1 D - South Bank Avenue")&amp;":"&amp;ADDRESS(130,3+18*2+(12))),'J1 D - South Bank Avenue'!$A$12:$A$130,"&gt;="&amp;Diagram!$O50,'J1 D - South Bank Avenue'!$A$12:$A$130,"&lt;"&amp;Diagram!$P50)))</f>
        <v>0</v>
      </c>
      <c r="CX50" s="42">
        <f ca="1">IF(OR($I$10="",$O50="",$P50="",$J$39&lt;&gt;"Yes"),0,IF($K$10=0,SUMIFS(INDIRECT(ADDRESS(12,3+18*3+(4),,,"J1 D - South Bank Avenue")&amp;":"&amp;ADDRESS(130,3+18*3+(4))),'J1 D - South Bank Avenue'!$A$12:$A$130,"&gt;="&amp;Diagram!$O50,'J1 D - South Bank Avenue'!$A$12:$A$130,"&lt;"&amp;Diagram!$P50),SUMIFS(INDIRECT(ADDRESS(12,3+18*3+(12),,,"J1 D - South Bank Avenue")&amp;":"&amp;ADDRESS(130,3+18*3+(12))),'J1 D - South Bank Avenue'!$A$12:$A$130,"&gt;="&amp;Diagram!$O50,'J1 D - South Bank Avenue'!$A$12:$A$130,"&lt;"&amp;Diagram!$P50)))</f>
        <v>0</v>
      </c>
      <c r="CY50" s="42">
        <f t="shared" ca="1" si="6"/>
        <v>110</v>
      </c>
      <c r="CZ50" s="42">
        <f ca="1">IF(OR($I$10="",$O50="",$P50="",$J$40&lt;&gt;"Yes"),0,IF($K$10=0,SUMIFS(INDIRECT(ADDRESS(12,3+18*3+(5),,,"J1 A - (North) Bishopthorpe Roa")&amp;":"&amp;ADDRESS(130,3+18*3+(5))),'J1 A - (North) Bishopthorpe Roa'!$A$12:$A$130,"&gt;="&amp;Diagram!$O50,'J1 A - (North) Bishopthorpe Roa'!$A$12:$A$130,"&lt;"&amp;Diagram!$P50),SUMIFS(INDIRECT(ADDRESS(12,3+18*3+(13),,,"J1 A - (North) Bishopthorpe Roa")&amp;":"&amp;ADDRESS(130,3+18*3+(13))),'J1 A - (North) Bishopthorpe Roa'!$A$12:$A$130,"&gt;="&amp;Diagram!$O50,'J1 A - (North) Bishopthorpe Roa'!$A$12:$A$130,"&lt;"&amp;Diagram!$P50)))</f>
        <v>0</v>
      </c>
      <c r="DA50" s="42">
        <f ca="1">IF(OR($I$10="",$O50="",$P50="",$J$40&lt;&gt;"Yes"),0,IF($K$10=0,SUMIFS(INDIRECT(ADDRESS(12,3+18*0+(5),,,"J1 A - (North) Bishopthorpe Roa")&amp;":"&amp;ADDRESS(130,3+18*0+(5))),'J1 A - (North) Bishopthorpe Roa'!$A$12:$A$130,"&gt;="&amp;Diagram!$O50,'J1 A - (North) Bishopthorpe Roa'!$A$12:$A$130,"&lt;"&amp;Diagram!$P50),SUMIFS(INDIRECT(ADDRESS(12,3+18*0+(13),,,"J1 A - (North) Bishopthorpe Roa")&amp;":"&amp;ADDRESS(130,3+18*0+(13))),'J1 A - (North) Bishopthorpe Roa'!$A$12:$A$130,"&gt;="&amp;Diagram!$O50,'J1 A - (North) Bishopthorpe Roa'!$A$12:$A$130,"&lt;"&amp;Diagram!$P50)))</f>
        <v>11</v>
      </c>
      <c r="DB50" s="42">
        <f ca="1">IF(OR($I$10="",$O50="",$P50="",$J$40&lt;&gt;"Yes"),0,IF($K$10=0,SUMIFS(INDIRECT(ADDRESS(12,3+18*1+(5),,,"J1 A - (North) Bishopthorpe Roa")&amp;":"&amp;ADDRESS(130,3+18*1+(5))),'J1 A - (North) Bishopthorpe Roa'!$A$12:$A$130,"&gt;="&amp;Diagram!$O50,'J1 A - (North) Bishopthorpe Roa'!$A$12:$A$130,"&lt;"&amp;Diagram!$P50),SUMIFS(INDIRECT(ADDRESS(12,3+18*1+(13),,,"J1 A - (North) Bishopthorpe Roa")&amp;":"&amp;ADDRESS(130,3+18*1+(13))),'J1 A - (North) Bishopthorpe Roa'!$A$12:$A$130,"&gt;="&amp;Diagram!$O50,'J1 A - (North) Bishopthorpe Roa'!$A$12:$A$130,"&lt;"&amp;Diagram!$P50)))</f>
        <v>16</v>
      </c>
      <c r="DC50" s="42">
        <f ca="1">IF(OR($I$10="",$O50="",$P50="",$J$40&lt;&gt;"Yes"),0,IF($K$10=0,SUMIFS(INDIRECT(ADDRESS(12,3+18*2+(5),,,"J1 A - (North) Bishopthorpe Roa")&amp;":"&amp;ADDRESS(130,3+18*2+(5))),'J1 A - (North) Bishopthorpe Roa'!$A$12:$A$130,"&gt;="&amp;Diagram!$O50,'J1 A - (North) Bishopthorpe Roa'!$A$12:$A$130,"&lt;"&amp;Diagram!$P50),SUMIFS(INDIRECT(ADDRESS(12,3+18*2+(13),,,"J1 A - (North) Bishopthorpe Roa")&amp;":"&amp;ADDRESS(130,3+18*2+(13))),'J1 A - (North) Bishopthorpe Roa'!$A$12:$A$130,"&gt;="&amp;Diagram!$O50,'J1 A - (North) Bishopthorpe Roa'!$A$12:$A$130,"&lt;"&amp;Diagram!$P50)))</f>
        <v>1</v>
      </c>
      <c r="DD50" s="42">
        <f ca="1">IF(OR($I$10="",$O50="",$P50="",$J$40&lt;&gt;"Yes"),0,IF($K$10=0,SUMIFS(INDIRECT(ADDRESS(12,3+18*2+(5),,,"J1 B - Butcher Terrace")&amp;":"&amp;ADDRESS(130,3+18*2+(5))),'J1 B - Butcher Terrace'!$A$12:$A$130,"&gt;="&amp;Diagram!$O50,'J1 B - Butcher Terrace'!$A$12:$A$130,"&lt;"&amp;Diagram!$P50),SUMIFS(INDIRECT(ADDRESS(12,3+18*2+(13),,,"J1 B - Butcher Terrace")&amp;":"&amp;ADDRESS(130,3+18*2+(13))),'J1 B - Butcher Terrace'!$A$12:$A$130,"&gt;="&amp;Diagram!$O50,'J1 B - Butcher Terrace'!$A$12:$A$130,"&lt;"&amp;Diagram!$P50)))</f>
        <v>7</v>
      </c>
      <c r="DE50" s="42">
        <f ca="1">IF(OR($I$10="",$O50="",$P50="",$J$40&lt;&gt;"Yes"),0,IF($K$10=0,SUMIFS(INDIRECT(ADDRESS(12,3+18*3+(5),,,"J1 B - Butcher Terrace")&amp;":"&amp;ADDRESS(130,3+18*3+(5))),'J1 B - Butcher Terrace'!$A$12:$A$130,"&gt;="&amp;Diagram!$O50,'J1 B - Butcher Terrace'!$A$12:$A$130,"&lt;"&amp;Diagram!$P50),SUMIFS(INDIRECT(ADDRESS(12,3+18*3+(13),,,"J1 B - Butcher Terrace")&amp;":"&amp;ADDRESS(130,3+18*3+(13))),'J1 B - Butcher Terrace'!$A$12:$A$130,"&gt;="&amp;Diagram!$O50,'J1 B - Butcher Terrace'!$A$12:$A$130,"&lt;"&amp;Diagram!$P50)))</f>
        <v>0</v>
      </c>
      <c r="DF50" s="42">
        <f ca="1">IF(OR($I$10="",$O50="",$P50="",$J$40&lt;&gt;"Yes"),0,IF($K$10=0,SUMIFS(INDIRECT(ADDRESS(12,3+18*0+(5),,,"J1 B - Butcher Terrace")&amp;":"&amp;ADDRESS(130,3+18*0+(5))),'J1 B - Butcher Terrace'!$A$12:$A$130,"&gt;="&amp;Diagram!$O50,'J1 B - Butcher Terrace'!$A$12:$A$130,"&lt;"&amp;Diagram!$P50),SUMIFS(INDIRECT(ADDRESS(12,3+18*0+(13),,,"J1 B - Butcher Terrace")&amp;":"&amp;ADDRESS(130,3+18*0+(13))),'J1 B - Butcher Terrace'!$A$12:$A$130,"&gt;="&amp;Diagram!$O50,'J1 B - Butcher Terrace'!$A$12:$A$130,"&lt;"&amp;Diagram!$P50)))</f>
        <v>10</v>
      </c>
      <c r="DG50" s="42">
        <f ca="1">IF(OR($I$10="",$O50="",$P50="",$J$40&lt;&gt;"Yes"),0,IF($K$10=0,SUMIFS(INDIRECT(ADDRESS(12,3+18*1+(5),,,"J1 B - Butcher Terrace")&amp;":"&amp;ADDRESS(130,3+18*1+(5))),'J1 B - Butcher Terrace'!$A$12:$A$130,"&gt;="&amp;Diagram!$O50,'J1 B - Butcher Terrace'!$A$12:$A$130,"&lt;"&amp;Diagram!$P50),SUMIFS(INDIRECT(ADDRESS(12,3+18*1+(13),,,"J1 B - Butcher Terrace")&amp;":"&amp;ADDRESS(130,3+18*1+(13))),'J1 B - Butcher Terrace'!$A$12:$A$130,"&gt;="&amp;Diagram!$O50,'J1 B - Butcher Terrace'!$A$12:$A$130,"&lt;"&amp;Diagram!$P50)))</f>
        <v>18</v>
      </c>
      <c r="DH50" s="42">
        <f ca="1">IF(OR($I$10="",$O50="",$P50="",$J$40&lt;&gt;"Yes"),0,IF($K$10=0,SUMIFS(INDIRECT(ADDRESS(12,3+18*1+(5),,,"J1 C - (South) Bishopthorpe Roa")&amp;":"&amp;ADDRESS(130,3+18*1+(5))),'J1 C - (South) Bishopthorpe Roa'!$A$12:$A$130,"&gt;="&amp;Diagram!$O50,'J1 C - (South) Bishopthorpe Roa'!$A$12:$A$130,"&lt;"&amp;Diagram!$P50),SUMIFS(INDIRECT(ADDRESS(12,3+18*1+(13),,,"J1 C - (South) Bishopthorpe Roa")&amp;":"&amp;ADDRESS(130,3+18*1+(13))),'J1 C - (South) Bishopthorpe Roa'!$A$12:$A$130,"&gt;="&amp;Diagram!$O50,'J1 C - (South) Bishopthorpe Roa'!$A$12:$A$130,"&lt;"&amp;Diagram!$P50)))</f>
        <v>11</v>
      </c>
      <c r="DI50" s="42">
        <f ca="1">IF(OR($I$10="",$O50="",$P50="",$J$40&lt;&gt;"Yes"),0,IF($K$10=0,SUMIFS(INDIRECT(ADDRESS(12,3+18*2+(5),,,"J1 C - (South) Bishopthorpe Roa")&amp;":"&amp;ADDRESS(130,3+18*2+(5))),'J1 C - (South) Bishopthorpe Roa'!$A$12:$A$130,"&gt;="&amp;Diagram!$O50,'J1 C - (South) Bishopthorpe Roa'!$A$12:$A$130,"&lt;"&amp;Diagram!$P50),SUMIFS(INDIRECT(ADDRESS(12,3+18*2+(13),,,"J1 C - (South) Bishopthorpe Roa")&amp;":"&amp;ADDRESS(130,3+18*2+(13))),'J1 C - (South) Bishopthorpe Roa'!$A$12:$A$130,"&gt;="&amp;Diagram!$O50,'J1 C - (South) Bishopthorpe Roa'!$A$12:$A$130,"&lt;"&amp;Diagram!$P50)))</f>
        <v>9</v>
      </c>
      <c r="DJ50" s="42">
        <f ca="1">IF(OR($I$10="",$O50="",$P50="",$J$40&lt;&gt;"Yes"),0,IF($K$10=0,SUMIFS(INDIRECT(ADDRESS(12,3+18*3+(5),,,"J1 C - (South) Bishopthorpe Roa")&amp;":"&amp;ADDRESS(130,3+18*3+(5))),'J1 C - (South) Bishopthorpe Roa'!$A$12:$A$130,"&gt;="&amp;Diagram!$O50,'J1 C - (South) Bishopthorpe Roa'!$A$12:$A$130,"&lt;"&amp;Diagram!$P50),SUMIFS(INDIRECT(ADDRESS(12,3+18*3+(13),,,"J1 C - (South) Bishopthorpe Roa")&amp;":"&amp;ADDRESS(130,3+18*3+(13))),'J1 C - (South) Bishopthorpe Roa'!$A$12:$A$130,"&gt;="&amp;Diagram!$O50,'J1 C - (South) Bishopthorpe Roa'!$A$12:$A$130,"&lt;"&amp;Diagram!$P50)))</f>
        <v>0</v>
      </c>
      <c r="DK50" s="42">
        <f ca="1">IF(OR($I$10="",$O50="",$P50="",$J$40&lt;&gt;"Yes"),0,IF($K$10=0,SUMIFS(INDIRECT(ADDRESS(12,3+18*0+(5),,,"J1 C - (South) Bishopthorpe Roa")&amp;":"&amp;ADDRESS(130,3+18*0+(5))),'J1 C - (South) Bishopthorpe Roa'!$A$12:$A$130,"&gt;="&amp;Diagram!$O50,'J1 C - (South) Bishopthorpe Roa'!$A$12:$A$130,"&lt;"&amp;Diagram!$P50),SUMIFS(INDIRECT(ADDRESS(12,3+18*0+(13),,,"J1 C - (South) Bishopthorpe Roa")&amp;":"&amp;ADDRESS(130,3+18*0+(13))),'J1 C - (South) Bishopthorpe Roa'!$A$12:$A$130,"&gt;="&amp;Diagram!$O50,'J1 C - (South) Bishopthorpe Roa'!$A$12:$A$130,"&lt;"&amp;Diagram!$P50)))</f>
        <v>2</v>
      </c>
      <c r="DL50" s="42">
        <f ca="1">IF(OR($I$10="",$O50="",$P50="",$J$40&lt;&gt;"Yes"),0,IF($K$10=0,SUMIFS(INDIRECT(ADDRESS(12,3+18*0+(5),,,"J1 D - South Bank Avenue")&amp;":"&amp;ADDRESS(130,3+18*0+(5))),'J1 D - South Bank Avenue'!$A$12:$A$130,"&gt;="&amp;Diagram!$O50,'J1 D - South Bank Avenue'!$A$12:$A$130,"&lt;"&amp;Diagram!$P50),SUMIFS(INDIRECT(ADDRESS(12,3+18*0+(13),,,"J1 D - South Bank Avenue")&amp;":"&amp;ADDRESS(130,3+18*0+(13))),'J1 D - South Bank Avenue'!$A$12:$A$130,"&gt;="&amp;Diagram!$O50,'J1 D - South Bank Avenue'!$A$12:$A$130,"&lt;"&amp;Diagram!$P50)))</f>
        <v>4</v>
      </c>
      <c r="DM50" s="42">
        <f ca="1">IF(OR($I$10="",$O50="",$P50="",$J$40&lt;&gt;"Yes"),0,IF($K$10=0,SUMIFS(INDIRECT(ADDRESS(12,3+18*1+(5),,,"J1 D - South Bank Avenue")&amp;":"&amp;ADDRESS(130,3+18*1+(5))),'J1 D - South Bank Avenue'!$A$12:$A$130,"&gt;="&amp;Diagram!$O50,'J1 D - South Bank Avenue'!$A$12:$A$130,"&lt;"&amp;Diagram!$P50),SUMIFS(INDIRECT(ADDRESS(12,3+18*1+(13),,,"J1 D - South Bank Avenue")&amp;":"&amp;ADDRESS(130,3+18*1+(13))),'J1 D - South Bank Avenue'!$A$12:$A$130,"&gt;="&amp;Diagram!$O50,'J1 D - South Bank Avenue'!$A$12:$A$130,"&lt;"&amp;Diagram!$P50)))</f>
        <v>21</v>
      </c>
      <c r="DN50" s="42">
        <f ca="1">IF(OR($I$10="",$O50="",$P50="",$J$40&lt;&gt;"Yes"),0,IF($K$10=0,SUMIFS(INDIRECT(ADDRESS(12,3+18*2+(5),,,"J1 D - South Bank Avenue")&amp;":"&amp;ADDRESS(130,3+18*2+(5))),'J1 D - South Bank Avenue'!$A$12:$A$130,"&gt;="&amp;Diagram!$O50,'J1 D - South Bank Avenue'!$A$12:$A$130,"&lt;"&amp;Diagram!$P50),SUMIFS(INDIRECT(ADDRESS(12,3+18*2+(13),,,"J1 D - South Bank Avenue")&amp;":"&amp;ADDRESS(130,3+18*2+(13))),'J1 D - South Bank Avenue'!$A$12:$A$130,"&gt;="&amp;Diagram!$O50,'J1 D - South Bank Avenue'!$A$12:$A$130,"&lt;"&amp;Diagram!$P50)))</f>
        <v>0</v>
      </c>
      <c r="DO50" s="42">
        <f ca="1">IF(OR($I$10="",$O50="",$P50="",$J$40&lt;&gt;"Yes"),0,IF($K$10=0,SUMIFS(INDIRECT(ADDRESS(12,3+18*3+(5),,,"J1 D - South Bank Avenue")&amp;":"&amp;ADDRESS(130,3+18*3+(5))),'J1 D - South Bank Avenue'!$A$12:$A$130,"&gt;="&amp;Diagram!$O50,'J1 D - South Bank Avenue'!$A$12:$A$130,"&lt;"&amp;Diagram!$P50),SUMIFS(INDIRECT(ADDRESS(12,3+18*3+(13),,,"J1 D - South Bank Avenue")&amp;":"&amp;ADDRESS(130,3+18*3+(13))),'J1 D - South Bank Avenue'!$A$12:$A$130,"&gt;="&amp;Diagram!$O50,'J1 D - South Bank Avenue'!$A$12:$A$130,"&lt;"&amp;Diagram!$P50)))</f>
        <v>0</v>
      </c>
      <c r="DP50" s="42">
        <f t="shared" ca="1" si="7"/>
        <v>10</v>
      </c>
      <c r="DQ50" s="42">
        <f ca="1">IF(OR($I$10="",$O50="",$P50="",$J$41&lt;&gt;"Yes"),0,IF($K$10=0,SUMIFS(INDIRECT(ADDRESS(12,3+18*3+(6),,,"J1 A - (North) Bishopthorpe Roa")&amp;":"&amp;ADDRESS(130,3+18*3+(6))),'J1 A - (North) Bishopthorpe Roa'!$A$12:$A$130,"&gt;="&amp;Diagram!$O50,'J1 A - (North) Bishopthorpe Roa'!$A$12:$A$130,"&lt;"&amp;Diagram!$P50),SUMIFS(INDIRECT(ADDRESS(12,3+18*3+(14),,,"J1 A - (North) Bishopthorpe Roa")&amp;":"&amp;ADDRESS(130,3+18*3+(14))),'J1 A - (North) Bishopthorpe Roa'!$A$12:$A$130,"&gt;="&amp;Diagram!$O50,'J1 A - (North) Bishopthorpe Roa'!$A$12:$A$130,"&lt;"&amp;Diagram!$P50)))</f>
        <v>0</v>
      </c>
      <c r="DR50" s="42">
        <f ca="1">IF(OR($I$10="",$O50="",$P50="",$J$41&lt;&gt;"Yes"),0,IF($K$10=0,SUMIFS(INDIRECT(ADDRESS(12,3+18*0+(6),,,"J1 A - (North) Bishopthorpe Roa")&amp;":"&amp;ADDRESS(130,3+18*0+(6))),'J1 A - (North) Bishopthorpe Roa'!$A$12:$A$130,"&gt;="&amp;Diagram!$O50,'J1 A - (North) Bishopthorpe Roa'!$A$12:$A$130,"&lt;"&amp;Diagram!$P50),SUMIFS(INDIRECT(ADDRESS(12,3+18*0+(14),,,"J1 A - (North) Bishopthorpe Roa")&amp;":"&amp;ADDRESS(130,3+18*0+(14))),'J1 A - (North) Bishopthorpe Roa'!$A$12:$A$130,"&gt;="&amp;Diagram!$O50,'J1 A - (North) Bishopthorpe Roa'!$A$12:$A$130,"&lt;"&amp;Diagram!$P50)))</f>
        <v>0</v>
      </c>
      <c r="DS50" s="42">
        <f ca="1">IF(OR($I$10="",$O50="",$P50="",$J$41&lt;&gt;"Yes"),0,IF($K$10=0,SUMIFS(INDIRECT(ADDRESS(12,3+18*1+(6),,,"J1 A - (North) Bishopthorpe Roa")&amp;":"&amp;ADDRESS(130,3+18*1+(6))),'J1 A - (North) Bishopthorpe Roa'!$A$12:$A$130,"&gt;="&amp;Diagram!$O50,'J1 A - (North) Bishopthorpe Roa'!$A$12:$A$130,"&lt;"&amp;Diagram!$P50),SUMIFS(INDIRECT(ADDRESS(12,3+18*1+(14),,,"J1 A - (North) Bishopthorpe Roa")&amp;":"&amp;ADDRESS(130,3+18*1+(14))),'J1 A - (North) Bishopthorpe Roa'!$A$12:$A$130,"&gt;="&amp;Diagram!$O50,'J1 A - (North) Bishopthorpe Roa'!$A$12:$A$130,"&lt;"&amp;Diagram!$P50)))</f>
        <v>5</v>
      </c>
      <c r="DT50" s="42">
        <f ca="1">IF(OR($I$10="",$O50="",$P50="",$J$41&lt;&gt;"Yes"),0,IF($K$10=0,SUMIFS(INDIRECT(ADDRESS(12,3+18*2+(6),,,"J1 A - (North) Bishopthorpe Roa")&amp;":"&amp;ADDRESS(130,3+18*2+(6))),'J1 A - (North) Bishopthorpe Roa'!$A$12:$A$130,"&gt;="&amp;Diagram!$O50,'J1 A - (North) Bishopthorpe Roa'!$A$12:$A$130,"&lt;"&amp;Diagram!$P50),SUMIFS(INDIRECT(ADDRESS(12,3+18*2+(14),,,"J1 A - (North) Bishopthorpe Roa")&amp;":"&amp;ADDRESS(130,3+18*2+(14))),'J1 A - (North) Bishopthorpe Roa'!$A$12:$A$130,"&gt;="&amp;Diagram!$O50,'J1 A - (North) Bishopthorpe Roa'!$A$12:$A$130,"&lt;"&amp;Diagram!$P50)))</f>
        <v>1</v>
      </c>
      <c r="DU50" s="42">
        <f ca="1">IF(OR($I$10="",$O50="",$P50="",$J$41&lt;&gt;"Yes"),0,IF($K$10=0,SUMIFS(INDIRECT(ADDRESS(12,3+18*2+(6),,,"J1 B - Butcher Terrace")&amp;":"&amp;ADDRESS(130,3+18*2+(6))),'J1 B - Butcher Terrace'!$A$12:$A$130,"&gt;="&amp;Diagram!$O50,'J1 B - Butcher Terrace'!$A$12:$A$130,"&lt;"&amp;Diagram!$P50),SUMIFS(INDIRECT(ADDRESS(12,3+18*2+(14),,,"J1 B - Butcher Terrace")&amp;":"&amp;ADDRESS(130,3+18*2+(14))),'J1 B - Butcher Terrace'!$A$12:$A$130,"&gt;="&amp;Diagram!$O50,'J1 B - Butcher Terrace'!$A$12:$A$130,"&lt;"&amp;Diagram!$P50)))</f>
        <v>0</v>
      </c>
      <c r="DV50" s="42">
        <f ca="1">IF(OR($I$10="",$O50="",$P50="",$J$41&lt;&gt;"Yes"),0,IF($K$10=0,SUMIFS(INDIRECT(ADDRESS(12,3+18*3+(6),,,"J1 B - Butcher Terrace")&amp;":"&amp;ADDRESS(130,3+18*3+(6))),'J1 B - Butcher Terrace'!$A$12:$A$130,"&gt;="&amp;Diagram!$O50,'J1 B - Butcher Terrace'!$A$12:$A$130,"&lt;"&amp;Diagram!$P50),SUMIFS(INDIRECT(ADDRESS(12,3+18*3+(14),,,"J1 B - Butcher Terrace")&amp;":"&amp;ADDRESS(130,3+18*3+(14))),'J1 B - Butcher Terrace'!$A$12:$A$130,"&gt;="&amp;Diagram!$O50,'J1 B - Butcher Terrace'!$A$12:$A$130,"&lt;"&amp;Diagram!$P50)))</f>
        <v>0</v>
      </c>
      <c r="DW50" s="42">
        <f ca="1">IF(OR($I$10="",$O50="",$P50="",$J$41&lt;&gt;"Yes"),0,IF($K$10=0,SUMIFS(INDIRECT(ADDRESS(12,3+18*0+(6),,,"J1 B - Butcher Terrace")&amp;":"&amp;ADDRESS(130,3+18*0+(6))),'J1 B - Butcher Terrace'!$A$12:$A$130,"&gt;="&amp;Diagram!$O50,'J1 B - Butcher Terrace'!$A$12:$A$130,"&lt;"&amp;Diagram!$P50),SUMIFS(INDIRECT(ADDRESS(12,3+18*0+(14),,,"J1 B - Butcher Terrace")&amp;":"&amp;ADDRESS(130,3+18*0+(14))),'J1 B - Butcher Terrace'!$A$12:$A$130,"&gt;="&amp;Diagram!$O50,'J1 B - Butcher Terrace'!$A$12:$A$130,"&lt;"&amp;Diagram!$P50)))</f>
        <v>1</v>
      </c>
      <c r="DX50" s="42">
        <f ca="1">IF(OR($I$10="",$O50="",$P50="",$J$41&lt;&gt;"Yes"),0,IF($K$10=0,SUMIFS(INDIRECT(ADDRESS(12,3+18*1+(6),,,"J1 B - Butcher Terrace")&amp;":"&amp;ADDRESS(130,3+18*1+(6))),'J1 B - Butcher Terrace'!$A$12:$A$130,"&gt;="&amp;Diagram!$O50,'J1 B - Butcher Terrace'!$A$12:$A$130,"&lt;"&amp;Diagram!$P50),SUMIFS(INDIRECT(ADDRESS(12,3+18*1+(14),,,"J1 B - Butcher Terrace")&amp;":"&amp;ADDRESS(130,3+18*1+(14))),'J1 B - Butcher Terrace'!$A$12:$A$130,"&gt;="&amp;Diagram!$O50,'J1 B - Butcher Terrace'!$A$12:$A$130,"&lt;"&amp;Diagram!$P50)))</f>
        <v>0</v>
      </c>
      <c r="DY50" s="42">
        <f ca="1">IF(OR($I$10="",$O50="",$P50="",$J$41&lt;&gt;"Yes"),0,IF($K$10=0,SUMIFS(INDIRECT(ADDRESS(12,3+18*1+(6),,,"J1 C - (South) Bishopthorpe Roa")&amp;":"&amp;ADDRESS(130,3+18*1+(6))),'J1 C - (South) Bishopthorpe Roa'!$A$12:$A$130,"&gt;="&amp;Diagram!$O50,'J1 C - (South) Bishopthorpe Roa'!$A$12:$A$130,"&lt;"&amp;Diagram!$P50),SUMIFS(INDIRECT(ADDRESS(12,3+18*1+(14),,,"J1 C - (South) Bishopthorpe Roa")&amp;":"&amp;ADDRESS(130,3+18*1+(14))),'J1 C - (South) Bishopthorpe Roa'!$A$12:$A$130,"&gt;="&amp;Diagram!$O50,'J1 C - (South) Bishopthorpe Roa'!$A$12:$A$130,"&lt;"&amp;Diagram!$P50)))</f>
        <v>2</v>
      </c>
      <c r="DZ50" s="42">
        <f ca="1">IF(OR($I$10="",$O50="",$P50="",$J$41&lt;&gt;"Yes"),0,IF($K$10=0,SUMIFS(INDIRECT(ADDRESS(12,3+18*2+(6),,,"J1 C - (South) Bishopthorpe Roa")&amp;":"&amp;ADDRESS(130,3+18*2+(6))),'J1 C - (South) Bishopthorpe Roa'!$A$12:$A$130,"&gt;="&amp;Diagram!$O50,'J1 C - (South) Bishopthorpe Roa'!$A$12:$A$130,"&lt;"&amp;Diagram!$P50),SUMIFS(INDIRECT(ADDRESS(12,3+18*2+(14),,,"J1 C - (South) Bishopthorpe Roa")&amp;":"&amp;ADDRESS(130,3+18*2+(14))),'J1 C - (South) Bishopthorpe Roa'!$A$12:$A$130,"&gt;="&amp;Diagram!$O50,'J1 C - (South) Bishopthorpe Roa'!$A$12:$A$130,"&lt;"&amp;Diagram!$P50)))</f>
        <v>0</v>
      </c>
      <c r="EA50" s="42">
        <f ca="1">IF(OR($I$10="",$O50="",$P50="",$J$41&lt;&gt;"Yes"),0,IF($K$10=0,SUMIFS(INDIRECT(ADDRESS(12,3+18*3+(6),,,"J1 C - (South) Bishopthorpe Roa")&amp;":"&amp;ADDRESS(130,3+18*3+(6))),'J1 C - (South) Bishopthorpe Roa'!$A$12:$A$130,"&gt;="&amp;Diagram!$O50,'J1 C - (South) Bishopthorpe Roa'!$A$12:$A$130,"&lt;"&amp;Diagram!$P50),SUMIFS(INDIRECT(ADDRESS(12,3+18*3+(14),,,"J1 C - (South) Bishopthorpe Roa")&amp;":"&amp;ADDRESS(130,3+18*3+(14))),'J1 C - (South) Bishopthorpe Roa'!$A$12:$A$130,"&gt;="&amp;Diagram!$O50,'J1 C - (South) Bishopthorpe Roa'!$A$12:$A$130,"&lt;"&amp;Diagram!$P50)))</f>
        <v>0</v>
      </c>
      <c r="EB50" s="42">
        <f ca="1">IF(OR($I$10="",$O50="",$P50="",$J$41&lt;&gt;"Yes"),0,IF($K$10=0,SUMIFS(INDIRECT(ADDRESS(12,3+18*0+(6),,,"J1 C - (South) Bishopthorpe Roa")&amp;":"&amp;ADDRESS(130,3+18*0+(6))),'J1 C - (South) Bishopthorpe Roa'!$A$12:$A$130,"&gt;="&amp;Diagram!$O50,'J1 C - (South) Bishopthorpe Roa'!$A$12:$A$130,"&lt;"&amp;Diagram!$P50),SUMIFS(INDIRECT(ADDRESS(12,3+18*0+(14),,,"J1 C - (South) Bishopthorpe Roa")&amp;":"&amp;ADDRESS(130,3+18*0+(14))),'J1 C - (South) Bishopthorpe Roa'!$A$12:$A$130,"&gt;="&amp;Diagram!$O50,'J1 C - (South) Bishopthorpe Roa'!$A$12:$A$130,"&lt;"&amp;Diagram!$P50)))</f>
        <v>0</v>
      </c>
      <c r="EC50" s="42">
        <f ca="1">IF(OR($I$10="",$O50="",$P50="",$J$41&lt;&gt;"Yes"),0,IF($K$10=0,SUMIFS(INDIRECT(ADDRESS(12,3+18*0+(6),,,"J1 D - South Bank Avenue")&amp;":"&amp;ADDRESS(130,3+18*0+(6))),'J1 D - South Bank Avenue'!$A$12:$A$130,"&gt;="&amp;Diagram!$O50,'J1 D - South Bank Avenue'!$A$12:$A$130,"&lt;"&amp;Diagram!$P50),SUMIFS(INDIRECT(ADDRESS(12,3+18*0+(14),,,"J1 D - South Bank Avenue")&amp;":"&amp;ADDRESS(130,3+18*0+(14))),'J1 D - South Bank Avenue'!$A$12:$A$130,"&gt;="&amp;Diagram!$O50,'J1 D - South Bank Avenue'!$A$12:$A$130,"&lt;"&amp;Diagram!$P50)))</f>
        <v>1</v>
      </c>
      <c r="ED50" s="42">
        <f ca="1">IF(OR($I$10="",$O50="",$P50="",$J$41&lt;&gt;"Yes"),0,IF($K$10=0,SUMIFS(INDIRECT(ADDRESS(12,3+18*1+(6),,,"J1 D - South Bank Avenue")&amp;":"&amp;ADDRESS(130,3+18*1+(6))),'J1 D - South Bank Avenue'!$A$12:$A$130,"&gt;="&amp;Diagram!$O50,'J1 D - South Bank Avenue'!$A$12:$A$130,"&lt;"&amp;Diagram!$P50),SUMIFS(INDIRECT(ADDRESS(12,3+18*1+(14),,,"J1 D - South Bank Avenue")&amp;":"&amp;ADDRESS(130,3+18*1+(14))),'J1 D - South Bank Avenue'!$A$12:$A$130,"&gt;="&amp;Diagram!$O50,'J1 D - South Bank Avenue'!$A$12:$A$130,"&lt;"&amp;Diagram!$P50)))</f>
        <v>0</v>
      </c>
      <c r="EE50" s="42">
        <f ca="1">IF(OR($I$10="",$O50="",$P50="",$J$41&lt;&gt;"Yes"),0,IF($K$10=0,SUMIFS(INDIRECT(ADDRESS(12,3+18*2+(6),,,"J1 D - South Bank Avenue")&amp;":"&amp;ADDRESS(130,3+18*2+(6))),'J1 D - South Bank Avenue'!$A$12:$A$130,"&gt;="&amp;Diagram!$O50,'J1 D - South Bank Avenue'!$A$12:$A$130,"&lt;"&amp;Diagram!$P50),SUMIFS(INDIRECT(ADDRESS(12,3+18*2+(14),,,"J1 D - South Bank Avenue")&amp;":"&amp;ADDRESS(130,3+18*2+(14))),'J1 D - South Bank Avenue'!$A$12:$A$130,"&gt;="&amp;Diagram!$O50,'J1 D - South Bank Avenue'!$A$12:$A$130,"&lt;"&amp;Diagram!$P50)))</f>
        <v>0</v>
      </c>
      <c r="EF50" s="42">
        <f ca="1">IF(OR($I$10="",$O50="",$P50="",$J$41&lt;&gt;"Yes"),0,IF($K$10=0,SUMIFS(INDIRECT(ADDRESS(12,3+18*3+(6),,,"J1 D - South Bank Avenue")&amp;":"&amp;ADDRESS(130,3+18*3+(6))),'J1 D - South Bank Avenue'!$A$12:$A$130,"&gt;="&amp;Diagram!$O50,'J1 D - South Bank Avenue'!$A$12:$A$130,"&lt;"&amp;Diagram!$P50),SUMIFS(INDIRECT(ADDRESS(12,3+18*3+(14),,,"J1 D - South Bank Avenue")&amp;":"&amp;ADDRESS(130,3+18*3+(14))),'J1 D - South Bank Avenue'!$A$12:$A$130,"&gt;="&amp;Diagram!$O50,'J1 D - South Bank Avenue'!$A$12:$A$130,"&lt;"&amp;Diagram!$P50)))</f>
        <v>0</v>
      </c>
      <c r="EG50" s="42">
        <f t="shared" ca="1" si="8"/>
        <v>6</v>
      </c>
      <c r="EH50" s="42">
        <f ca="1">IF(OR($I$10="",$O50="",$P50="",$J$42&lt;&gt;"Yes"),0,IF($K$10=0,SUMIFS(INDIRECT(ADDRESS(12,3+18*3+(7),,,"J1 A - (North) Bishopthorpe Roa")&amp;":"&amp;ADDRESS(130,3+18*3+(7))),'J1 A - (North) Bishopthorpe Roa'!$A$12:$A$130,"&gt;="&amp;Diagram!$O50,'J1 A - (North) Bishopthorpe Roa'!$A$12:$A$130,"&lt;"&amp;Diagram!$P50),SUMIFS(INDIRECT(ADDRESS(12,3+18*3+(15),,,"J1 A - (North) Bishopthorpe Roa")&amp;":"&amp;ADDRESS(130,3+18*3+(15))),'J1 A - (North) Bishopthorpe Roa'!$A$12:$A$130,"&gt;="&amp;Diagram!$O50,'J1 A - (North) Bishopthorpe Roa'!$A$12:$A$130,"&lt;"&amp;Diagram!$P50)))</f>
        <v>0</v>
      </c>
      <c r="EI50" s="42">
        <f ca="1">IF(OR($I$10="",$O50="",$P50="",$J$42&lt;&gt;"Yes"),0,IF($K$10=0,SUMIFS(INDIRECT(ADDRESS(12,3+18*0+(7),,,"J1 A - (North) Bishopthorpe Roa")&amp;":"&amp;ADDRESS(130,3+18*0+(7))),'J1 A - (North) Bishopthorpe Roa'!$A$12:$A$130,"&gt;="&amp;Diagram!$O50,'J1 A - (North) Bishopthorpe Roa'!$A$12:$A$130,"&lt;"&amp;Diagram!$P50),SUMIFS(INDIRECT(ADDRESS(12,3+18*0+(15),,,"J1 A - (North) Bishopthorpe Roa")&amp;":"&amp;ADDRESS(130,3+18*0+(15))),'J1 A - (North) Bishopthorpe Roa'!$A$12:$A$130,"&gt;="&amp;Diagram!$O50,'J1 A - (North) Bishopthorpe Roa'!$A$12:$A$130,"&lt;"&amp;Diagram!$P50)))</f>
        <v>5</v>
      </c>
      <c r="EJ50" s="42">
        <f ca="1">IF(OR($I$10="",$O50="",$P50="",$J$42&lt;&gt;"Yes"),0,IF($K$10=0,SUMIFS(INDIRECT(ADDRESS(12,3+18*1+(7),,,"J1 A - (North) Bishopthorpe Roa")&amp;":"&amp;ADDRESS(130,3+18*1+(7))),'J1 A - (North) Bishopthorpe Roa'!$A$12:$A$130,"&gt;="&amp;Diagram!$O50,'J1 A - (North) Bishopthorpe Roa'!$A$12:$A$130,"&lt;"&amp;Diagram!$P50),SUMIFS(INDIRECT(ADDRESS(12,3+18*1+(15),,,"J1 A - (North) Bishopthorpe Roa")&amp;":"&amp;ADDRESS(130,3+18*1+(15))),'J1 A - (North) Bishopthorpe Roa'!$A$12:$A$130,"&gt;="&amp;Diagram!$O50,'J1 A - (North) Bishopthorpe Roa'!$A$12:$A$130,"&lt;"&amp;Diagram!$P50)))</f>
        <v>0</v>
      </c>
      <c r="EK50" s="42">
        <f ca="1">IF(OR($I$10="",$O50="",$P50="",$J$42&lt;&gt;"Yes"),0,IF($K$10=0,SUMIFS(INDIRECT(ADDRESS(12,3+18*2+(7),,,"J1 A - (North) Bishopthorpe Roa")&amp;":"&amp;ADDRESS(130,3+18*2+(7))),'J1 A - (North) Bishopthorpe Roa'!$A$12:$A$130,"&gt;="&amp;Diagram!$O50,'J1 A - (North) Bishopthorpe Roa'!$A$12:$A$130,"&lt;"&amp;Diagram!$P50),SUMIFS(INDIRECT(ADDRESS(12,3+18*2+(15),,,"J1 A - (North) Bishopthorpe Roa")&amp;":"&amp;ADDRESS(130,3+18*2+(15))),'J1 A - (North) Bishopthorpe Roa'!$A$12:$A$130,"&gt;="&amp;Diagram!$O50,'J1 A - (North) Bishopthorpe Roa'!$A$12:$A$130,"&lt;"&amp;Diagram!$P50)))</f>
        <v>0</v>
      </c>
      <c r="EL50" s="42">
        <f ca="1">IF(OR($I$10="",$O50="",$P50="",$J$42&lt;&gt;"Yes"),0,IF($K$10=0,SUMIFS(INDIRECT(ADDRESS(12,3+18*2+(7),,,"J1 B - Butcher Terrace")&amp;":"&amp;ADDRESS(130,3+18*2+(7))),'J1 B - Butcher Terrace'!$A$12:$A$130,"&gt;="&amp;Diagram!$O50,'J1 B - Butcher Terrace'!$A$12:$A$130,"&lt;"&amp;Diagram!$P50),SUMIFS(INDIRECT(ADDRESS(12,3+18*2+(15),,,"J1 B - Butcher Terrace")&amp;":"&amp;ADDRESS(130,3+18*2+(15))),'J1 B - Butcher Terrace'!$A$12:$A$130,"&gt;="&amp;Diagram!$O50,'J1 B - Butcher Terrace'!$A$12:$A$130,"&lt;"&amp;Diagram!$P50)))</f>
        <v>0</v>
      </c>
      <c r="EM50" s="42">
        <f ca="1">IF(OR($I$10="",$O50="",$P50="",$J$42&lt;&gt;"Yes"),0,IF($K$10=0,SUMIFS(INDIRECT(ADDRESS(12,3+18*3+(7),,,"J1 B - Butcher Terrace")&amp;":"&amp;ADDRESS(130,3+18*3+(7))),'J1 B - Butcher Terrace'!$A$12:$A$130,"&gt;="&amp;Diagram!$O50,'J1 B - Butcher Terrace'!$A$12:$A$130,"&lt;"&amp;Diagram!$P50),SUMIFS(INDIRECT(ADDRESS(12,3+18*3+(15),,,"J1 B - Butcher Terrace")&amp;":"&amp;ADDRESS(130,3+18*3+(15))),'J1 B - Butcher Terrace'!$A$12:$A$130,"&gt;="&amp;Diagram!$O50,'J1 B - Butcher Terrace'!$A$12:$A$130,"&lt;"&amp;Diagram!$P50)))</f>
        <v>0</v>
      </c>
      <c r="EN50" s="42">
        <f ca="1">IF(OR($I$10="",$O50="",$P50="",$J$42&lt;&gt;"Yes"),0,IF($K$10=0,SUMIFS(INDIRECT(ADDRESS(12,3+18*0+(7),,,"J1 B - Butcher Terrace")&amp;":"&amp;ADDRESS(130,3+18*0+(7))),'J1 B - Butcher Terrace'!$A$12:$A$130,"&gt;="&amp;Diagram!$O50,'J1 B - Butcher Terrace'!$A$12:$A$130,"&lt;"&amp;Diagram!$P50),SUMIFS(INDIRECT(ADDRESS(12,3+18*0+(15),,,"J1 B - Butcher Terrace")&amp;":"&amp;ADDRESS(130,3+18*0+(15))),'J1 B - Butcher Terrace'!$A$12:$A$130,"&gt;="&amp;Diagram!$O50,'J1 B - Butcher Terrace'!$A$12:$A$130,"&lt;"&amp;Diagram!$P50)))</f>
        <v>0</v>
      </c>
      <c r="EO50" s="42">
        <f ca="1">IF(OR($I$10="",$O50="",$P50="",$J$42&lt;&gt;"Yes"),0,IF($K$10=0,SUMIFS(INDIRECT(ADDRESS(12,3+18*1+(7),,,"J1 B - Butcher Terrace")&amp;":"&amp;ADDRESS(130,3+18*1+(7))),'J1 B - Butcher Terrace'!$A$12:$A$130,"&gt;="&amp;Diagram!$O50,'J1 B - Butcher Terrace'!$A$12:$A$130,"&lt;"&amp;Diagram!$P50),SUMIFS(INDIRECT(ADDRESS(12,3+18*1+(15),,,"J1 B - Butcher Terrace")&amp;":"&amp;ADDRESS(130,3+18*1+(15))),'J1 B - Butcher Terrace'!$A$12:$A$130,"&gt;="&amp;Diagram!$O50,'J1 B - Butcher Terrace'!$A$12:$A$130,"&lt;"&amp;Diagram!$P50)))</f>
        <v>0</v>
      </c>
      <c r="EP50" s="42">
        <f ca="1">IF(OR($I$10="",$O50="",$P50="",$J$42&lt;&gt;"Yes"),0,IF($K$10=0,SUMIFS(INDIRECT(ADDRESS(12,3+18*1+(7),,,"J1 C - (South) Bishopthorpe Roa")&amp;":"&amp;ADDRESS(130,3+18*1+(7))),'J1 C - (South) Bishopthorpe Roa'!$A$12:$A$130,"&gt;="&amp;Diagram!$O50,'J1 C - (South) Bishopthorpe Roa'!$A$12:$A$130,"&lt;"&amp;Diagram!$P50),SUMIFS(INDIRECT(ADDRESS(12,3+18*1+(15),,,"J1 C - (South) Bishopthorpe Roa")&amp;":"&amp;ADDRESS(130,3+18*1+(15))),'J1 C - (South) Bishopthorpe Roa'!$A$12:$A$130,"&gt;="&amp;Diagram!$O50,'J1 C - (South) Bishopthorpe Roa'!$A$12:$A$130,"&lt;"&amp;Diagram!$P50)))</f>
        <v>0</v>
      </c>
      <c r="EQ50" s="42">
        <f ca="1">IF(OR($I$10="",$O50="",$P50="",$J$42&lt;&gt;"Yes"),0,IF($K$10=0,SUMIFS(INDIRECT(ADDRESS(12,3+18*2+(7),,,"J1 C - (South) Bishopthorpe Roa")&amp;":"&amp;ADDRESS(130,3+18*2+(7))),'J1 C - (South) Bishopthorpe Roa'!$A$12:$A$130,"&gt;="&amp;Diagram!$O50,'J1 C - (South) Bishopthorpe Roa'!$A$12:$A$130,"&lt;"&amp;Diagram!$P50),SUMIFS(INDIRECT(ADDRESS(12,3+18*2+(15),,,"J1 C - (South) Bishopthorpe Roa")&amp;":"&amp;ADDRESS(130,3+18*2+(15))),'J1 C - (South) Bishopthorpe Roa'!$A$12:$A$130,"&gt;="&amp;Diagram!$O50,'J1 C - (South) Bishopthorpe Roa'!$A$12:$A$130,"&lt;"&amp;Diagram!$P50)))</f>
        <v>1</v>
      </c>
      <c r="ER50" s="42">
        <f ca="1">IF(OR($I$10="",$O50="",$P50="",$J$42&lt;&gt;"Yes"),0,IF($K$10=0,SUMIFS(INDIRECT(ADDRESS(12,3+18*3+(7),,,"J1 C - (South) Bishopthorpe Roa")&amp;":"&amp;ADDRESS(130,3+18*3+(7))),'J1 C - (South) Bishopthorpe Roa'!$A$12:$A$130,"&gt;="&amp;Diagram!$O50,'J1 C - (South) Bishopthorpe Roa'!$A$12:$A$130,"&lt;"&amp;Diagram!$P50),SUMIFS(INDIRECT(ADDRESS(12,3+18*3+(15),,,"J1 C - (South) Bishopthorpe Roa")&amp;":"&amp;ADDRESS(130,3+18*3+(15))),'J1 C - (South) Bishopthorpe Roa'!$A$12:$A$130,"&gt;="&amp;Diagram!$O50,'J1 C - (South) Bishopthorpe Roa'!$A$12:$A$130,"&lt;"&amp;Diagram!$P50)))</f>
        <v>0</v>
      </c>
      <c r="ES50" s="42">
        <f ca="1">IF(OR($I$10="",$O50="",$P50="",$J$42&lt;&gt;"Yes"),0,IF($K$10=0,SUMIFS(INDIRECT(ADDRESS(12,3+18*0+(7),,,"J1 C - (South) Bishopthorpe Roa")&amp;":"&amp;ADDRESS(130,3+18*0+(7))),'J1 C - (South) Bishopthorpe Roa'!$A$12:$A$130,"&gt;="&amp;Diagram!$O50,'J1 C - (South) Bishopthorpe Roa'!$A$12:$A$130,"&lt;"&amp;Diagram!$P50),SUMIFS(INDIRECT(ADDRESS(12,3+18*0+(15),,,"J1 C - (South) Bishopthorpe Roa")&amp;":"&amp;ADDRESS(130,3+18*0+(15))),'J1 C - (South) Bishopthorpe Roa'!$A$12:$A$130,"&gt;="&amp;Diagram!$O50,'J1 C - (South) Bishopthorpe Roa'!$A$12:$A$130,"&lt;"&amp;Diagram!$P50)))</f>
        <v>0</v>
      </c>
      <c r="ET50" s="42">
        <f ca="1">IF(OR($I$10="",$O50="",$P50="",$J$42&lt;&gt;"Yes"),0,IF($K$10=0,SUMIFS(INDIRECT(ADDRESS(12,3+18*0+(7),,,"J1 D - South Bank Avenue")&amp;":"&amp;ADDRESS(130,3+18*0+(7))),'J1 D - South Bank Avenue'!$A$12:$A$130,"&gt;="&amp;Diagram!$O50,'J1 D - South Bank Avenue'!$A$12:$A$130,"&lt;"&amp;Diagram!$P50),SUMIFS(INDIRECT(ADDRESS(12,3+18*0+(15),,,"J1 D - South Bank Avenue")&amp;":"&amp;ADDRESS(130,3+18*0+(15))),'J1 D - South Bank Avenue'!$A$12:$A$130,"&gt;="&amp;Diagram!$O50,'J1 D - South Bank Avenue'!$A$12:$A$130,"&lt;"&amp;Diagram!$P50)))</f>
        <v>0</v>
      </c>
      <c r="EU50" s="42">
        <f ca="1">IF(OR($I$10="",$O50="",$P50="",$J$42&lt;&gt;"Yes"),0,IF($K$10=0,SUMIFS(INDIRECT(ADDRESS(12,3+18*1+(7),,,"J1 D - South Bank Avenue")&amp;":"&amp;ADDRESS(130,3+18*1+(7))),'J1 D - South Bank Avenue'!$A$12:$A$130,"&gt;="&amp;Diagram!$O50,'J1 D - South Bank Avenue'!$A$12:$A$130,"&lt;"&amp;Diagram!$P50),SUMIFS(INDIRECT(ADDRESS(12,3+18*1+(15),,,"J1 D - South Bank Avenue")&amp;":"&amp;ADDRESS(130,3+18*1+(15))),'J1 D - South Bank Avenue'!$A$12:$A$130,"&gt;="&amp;Diagram!$O50,'J1 D - South Bank Avenue'!$A$12:$A$130,"&lt;"&amp;Diagram!$P50)))</f>
        <v>0</v>
      </c>
      <c r="EV50" s="42">
        <f ca="1">IF(OR($I$10="",$O50="",$P50="",$J$42&lt;&gt;"Yes"),0,IF($K$10=0,SUMIFS(INDIRECT(ADDRESS(12,3+18*2+(7),,,"J1 D - South Bank Avenue")&amp;":"&amp;ADDRESS(130,3+18*2+(7))),'J1 D - South Bank Avenue'!$A$12:$A$130,"&gt;="&amp;Diagram!$O50,'J1 D - South Bank Avenue'!$A$12:$A$130,"&lt;"&amp;Diagram!$P50),SUMIFS(INDIRECT(ADDRESS(12,3+18*2+(15),,,"J1 D - South Bank Avenue")&amp;":"&amp;ADDRESS(130,3+18*2+(15))),'J1 D - South Bank Avenue'!$A$12:$A$130,"&gt;="&amp;Diagram!$O50,'J1 D - South Bank Avenue'!$A$12:$A$130,"&lt;"&amp;Diagram!$P50)))</f>
        <v>0</v>
      </c>
      <c r="EW50" s="42">
        <f ca="1">IF(OR($I$10="",$O50="",$P50="",$J$42&lt;&gt;"Yes"),0,IF($K$10=0,SUMIFS(INDIRECT(ADDRESS(12,3+18*3+(7),,,"J1 D - South Bank Avenue")&amp;":"&amp;ADDRESS(130,3+18*3+(7))),'J1 D - South Bank Avenue'!$A$12:$A$130,"&gt;="&amp;Diagram!$O50,'J1 D - South Bank Avenue'!$A$12:$A$130,"&lt;"&amp;Diagram!$P50),SUMIFS(INDIRECT(ADDRESS(12,3+18*3+(15),,,"J1 D - South Bank Avenue")&amp;":"&amp;ADDRESS(130,3+18*3+(15))),'J1 D - South Bank Avenue'!$A$12:$A$130,"&gt;="&amp;Diagram!$O50,'J1 D - South Bank Avenue'!$A$12:$A$130,"&lt;"&amp;Diagram!$P50)))</f>
        <v>0</v>
      </c>
    </row>
    <row r="51" spans="1:153">
      <c r="A51" s="1">
        <v>44395.520833333299</v>
      </c>
      <c r="B51" s="1">
        <v>44395.53125</v>
      </c>
      <c r="O51" s="3">
        <v>44395.520833333299</v>
      </c>
      <c r="P51" s="3">
        <v>44395.5625</v>
      </c>
      <c r="Q51" s="42">
        <f t="shared" ca="1" si="0"/>
        <v>766</v>
      </c>
      <c r="R51" s="42">
        <f t="shared" ca="1" si="1"/>
        <v>534</v>
      </c>
      <c r="S51" s="42">
        <f ca="1">IF(OR($I$10="",$O51="",$P51="",$J$35&lt;&gt;"Yes"),0,IF($K$10=0,SUMIFS(INDIRECT(ADDRESS(12,3+18*3+(0),,,"J1 A - (North) Bishopthorpe Roa")&amp;":"&amp;ADDRESS(130,3+18*3+(0))),'J1 A - (North) Bishopthorpe Roa'!$A$12:$A$130,"&gt;="&amp;Diagram!$O51,'J1 A - (North) Bishopthorpe Roa'!$A$12:$A$130,"&lt;"&amp;Diagram!$P51),SUMIFS(INDIRECT(ADDRESS(12,3+18*3+(8),,,"J1 A - (North) Bishopthorpe Roa")&amp;":"&amp;ADDRESS(130,3+18*3+(8))),'J1 A - (North) Bishopthorpe Roa'!$A$12:$A$130,"&gt;="&amp;Diagram!$O51,'J1 A - (North) Bishopthorpe Roa'!$A$12:$A$130,"&lt;"&amp;Diagram!$P51)))</f>
        <v>1</v>
      </c>
      <c r="T51" s="42">
        <f ca="1">IF(OR($I$10="",$O51="",$P51="",$J$35&lt;&gt;"Yes"),0,IF($K$10=0,SUMIFS(INDIRECT(ADDRESS(12,3+18*0+(0),,,"J1 A - (North) Bishopthorpe Roa")&amp;":"&amp;ADDRESS(130,3+18*0+(0))),'J1 A - (North) Bishopthorpe Roa'!$A$12:$A$130,"&gt;="&amp;Diagram!$O51,'J1 A - (North) Bishopthorpe Roa'!$A$12:$A$130,"&lt;"&amp;Diagram!$P51),SUMIFS(INDIRECT(ADDRESS(12,3+18*0+(8),,,"J1 A - (North) Bishopthorpe Roa")&amp;":"&amp;ADDRESS(130,3+18*0+(8))),'J1 A - (North) Bishopthorpe Roa'!$A$12:$A$130,"&gt;="&amp;Diagram!$O51,'J1 A - (North) Bishopthorpe Roa'!$A$12:$A$130,"&lt;"&amp;Diagram!$P51)))</f>
        <v>17</v>
      </c>
      <c r="U51" s="42">
        <f ca="1">IF(OR($I$10="",$O51="",$P51="",$J$35&lt;&gt;"Yes"),0,IF($K$10=0,SUMIFS(INDIRECT(ADDRESS(12,3+18*1+(0),,,"J1 A - (North) Bishopthorpe Roa")&amp;":"&amp;ADDRESS(130,3+18*1+(0))),'J1 A - (North) Bishopthorpe Roa'!$A$12:$A$130,"&gt;="&amp;Diagram!$O51,'J1 A - (North) Bishopthorpe Roa'!$A$12:$A$130,"&lt;"&amp;Diagram!$P51),SUMIFS(INDIRECT(ADDRESS(12,3+18*1+(8),,,"J1 A - (North) Bishopthorpe Roa")&amp;":"&amp;ADDRESS(130,3+18*1+(8))),'J1 A - (North) Bishopthorpe Roa'!$A$12:$A$130,"&gt;="&amp;Diagram!$O51,'J1 A - (North) Bishopthorpe Roa'!$A$12:$A$130,"&lt;"&amp;Diagram!$P51)))</f>
        <v>208</v>
      </c>
      <c r="V51" s="42">
        <f ca="1">IF(OR($I$10="",$O51="",$P51="",$J$35&lt;&gt;"Yes"),0,IF($K$10=0,SUMIFS(INDIRECT(ADDRESS(12,3+18*2+(0),,,"J1 A - (North) Bishopthorpe Roa")&amp;":"&amp;ADDRESS(130,3+18*2+(0))),'J1 A - (North) Bishopthorpe Roa'!$A$12:$A$130,"&gt;="&amp;Diagram!$O51,'J1 A - (North) Bishopthorpe Roa'!$A$12:$A$130,"&lt;"&amp;Diagram!$P51),SUMIFS(INDIRECT(ADDRESS(12,3+18*2+(8),,,"J1 A - (North) Bishopthorpe Roa")&amp;":"&amp;ADDRESS(130,3+18*2+(8))),'J1 A - (North) Bishopthorpe Roa'!$A$12:$A$130,"&gt;="&amp;Diagram!$O51,'J1 A - (North) Bishopthorpe Roa'!$A$12:$A$130,"&lt;"&amp;Diagram!$P51)))</f>
        <v>19</v>
      </c>
      <c r="W51" s="42">
        <f ca="1">IF(OR($I$10="",$O51="",$P51="",$J$35&lt;&gt;"Yes"),0,IF($K$10=0,SUMIFS(INDIRECT(ADDRESS(12,3+18*2+(0),,,"J1 B - Butcher Terrace")&amp;":"&amp;ADDRESS(130,3+18*2+(0))),'J1 B - Butcher Terrace'!$A$12:$A$130,"&gt;="&amp;Diagram!$O51,'J1 B - Butcher Terrace'!$A$12:$A$130,"&lt;"&amp;Diagram!$P51),SUMIFS(INDIRECT(ADDRESS(12,3+18*2+(8),,,"J1 B - Butcher Terrace")&amp;":"&amp;ADDRESS(130,3+18*2+(8))),'J1 B - Butcher Terrace'!$A$12:$A$130,"&gt;="&amp;Diagram!$O51,'J1 B - Butcher Terrace'!$A$12:$A$130,"&lt;"&amp;Diagram!$P51)))</f>
        <v>17</v>
      </c>
      <c r="X51" s="42">
        <f ca="1">IF(OR($I$10="",$O51="",$P51="",$J$35&lt;&gt;"Yes"),0,IF($K$10=0,SUMIFS(INDIRECT(ADDRESS(12,3+18*3+(0),,,"J1 B - Butcher Terrace")&amp;":"&amp;ADDRESS(130,3+18*3+(0))),'J1 B - Butcher Terrace'!$A$12:$A$130,"&gt;="&amp;Diagram!$O51,'J1 B - Butcher Terrace'!$A$12:$A$130,"&lt;"&amp;Diagram!$P51),SUMIFS(INDIRECT(ADDRESS(12,3+18*3+(8),,,"J1 B - Butcher Terrace")&amp;":"&amp;ADDRESS(130,3+18*3+(8))),'J1 B - Butcher Terrace'!$A$12:$A$130,"&gt;="&amp;Diagram!$O51,'J1 B - Butcher Terrace'!$A$12:$A$130,"&lt;"&amp;Diagram!$P51)))</f>
        <v>0</v>
      </c>
      <c r="Y51" s="42">
        <f ca="1">IF(OR($I$10="",$O51="",$P51="",$J$35&lt;&gt;"Yes"),0,IF($K$10=0,SUMIFS(INDIRECT(ADDRESS(12,3+18*0+(0),,,"J1 B - Butcher Terrace")&amp;":"&amp;ADDRESS(130,3+18*0+(0))),'J1 B - Butcher Terrace'!$A$12:$A$130,"&gt;="&amp;Diagram!$O51,'J1 B - Butcher Terrace'!$A$12:$A$130,"&lt;"&amp;Diagram!$P51),SUMIFS(INDIRECT(ADDRESS(12,3+18*0+(8),,,"J1 B - Butcher Terrace")&amp;":"&amp;ADDRESS(130,3+18*0+(8))),'J1 B - Butcher Terrace'!$A$12:$A$130,"&gt;="&amp;Diagram!$O51,'J1 B - Butcher Terrace'!$A$12:$A$130,"&lt;"&amp;Diagram!$P51)))</f>
        <v>5</v>
      </c>
      <c r="Z51" s="42">
        <f ca="1">IF(OR($I$10="",$O51="",$P51="",$J$35&lt;&gt;"Yes"),0,IF($K$10=0,SUMIFS(INDIRECT(ADDRESS(12,3+18*1+(0),,,"J1 B - Butcher Terrace")&amp;":"&amp;ADDRESS(130,3+18*1+(0))),'J1 B - Butcher Terrace'!$A$12:$A$130,"&gt;="&amp;Diagram!$O51,'J1 B - Butcher Terrace'!$A$12:$A$130,"&lt;"&amp;Diagram!$P51),SUMIFS(INDIRECT(ADDRESS(12,3+18*1+(8),,,"J1 B - Butcher Terrace")&amp;":"&amp;ADDRESS(130,3+18*1+(8))),'J1 B - Butcher Terrace'!$A$12:$A$130,"&gt;="&amp;Diagram!$O51,'J1 B - Butcher Terrace'!$A$12:$A$130,"&lt;"&amp;Diagram!$P51)))</f>
        <v>2</v>
      </c>
      <c r="AA51" s="42">
        <f ca="1">IF(OR($I$10="",$O51="",$P51="",$J$35&lt;&gt;"Yes"),0,IF($K$10=0,SUMIFS(INDIRECT(ADDRESS(12,3+18*1+(0),,,"J1 C - (South) Bishopthorpe Roa")&amp;":"&amp;ADDRESS(130,3+18*1+(0))),'J1 C - (South) Bishopthorpe Roa'!$A$12:$A$130,"&gt;="&amp;Diagram!$O51,'J1 C - (South) Bishopthorpe Roa'!$A$12:$A$130,"&lt;"&amp;Diagram!$P51),SUMIFS(INDIRECT(ADDRESS(12,3+18*1+(8),,,"J1 C - (South) Bishopthorpe Roa")&amp;":"&amp;ADDRESS(130,3+18*1+(8))),'J1 C - (South) Bishopthorpe Roa'!$A$12:$A$130,"&gt;="&amp;Diagram!$O51,'J1 C - (South) Bishopthorpe Roa'!$A$12:$A$130,"&lt;"&amp;Diagram!$P51)))</f>
        <v>225</v>
      </c>
      <c r="AB51" s="42">
        <f ca="1">IF(OR($I$10="",$O51="",$P51="",$J$35&lt;&gt;"Yes"),0,IF($K$10=0,SUMIFS(INDIRECT(ADDRESS(12,3+18*2+(0),,,"J1 C - (South) Bishopthorpe Roa")&amp;":"&amp;ADDRESS(130,3+18*2+(0))),'J1 C - (South) Bishopthorpe Roa'!$A$12:$A$130,"&gt;="&amp;Diagram!$O51,'J1 C - (South) Bishopthorpe Roa'!$A$12:$A$130,"&lt;"&amp;Diagram!$P51),SUMIFS(INDIRECT(ADDRESS(12,3+18*2+(8),,,"J1 C - (South) Bishopthorpe Roa")&amp;":"&amp;ADDRESS(130,3+18*2+(8))),'J1 C - (South) Bishopthorpe Roa'!$A$12:$A$130,"&gt;="&amp;Diagram!$O51,'J1 C - (South) Bishopthorpe Roa'!$A$12:$A$130,"&lt;"&amp;Diagram!$P51)))</f>
        <v>1</v>
      </c>
      <c r="AC51" s="42">
        <f ca="1">IF(OR($I$10="",$O51="",$P51="",$J$35&lt;&gt;"Yes"),0,IF($K$10=0,SUMIFS(INDIRECT(ADDRESS(12,3+18*3+(0),,,"J1 C - (South) Bishopthorpe Roa")&amp;":"&amp;ADDRESS(130,3+18*3+(0))),'J1 C - (South) Bishopthorpe Roa'!$A$12:$A$130,"&gt;="&amp;Diagram!$O51,'J1 C - (South) Bishopthorpe Roa'!$A$12:$A$130,"&lt;"&amp;Diagram!$P51),SUMIFS(INDIRECT(ADDRESS(12,3+18*3+(8),,,"J1 C - (South) Bishopthorpe Roa")&amp;":"&amp;ADDRESS(130,3+18*3+(8))),'J1 C - (South) Bishopthorpe Roa'!$A$12:$A$130,"&gt;="&amp;Diagram!$O51,'J1 C - (South) Bishopthorpe Roa'!$A$12:$A$130,"&lt;"&amp;Diagram!$P51)))</f>
        <v>1</v>
      </c>
      <c r="AD51" s="42">
        <f ca="1">IF(OR($I$10="",$O51="",$P51="",$J$35&lt;&gt;"Yes"),0,IF($K$10=0,SUMIFS(INDIRECT(ADDRESS(12,3+18*0+(0),,,"J1 C - (South) Bishopthorpe Roa")&amp;":"&amp;ADDRESS(130,3+18*0+(0))),'J1 C - (South) Bishopthorpe Roa'!$A$12:$A$130,"&gt;="&amp;Diagram!$O51,'J1 C - (South) Bishopthorpe Roa'!$A$12:$A$130,"&lt;"&amp;Diagram!$P51),SUMIFS(INDIRECT(ADDRESS(12,3+18*0+(8),,,"J1 C - (South) Bishopthorpe Roa")&amp;":"&amp;ADDRESS(130,3+18*0+(8))),'J1 C - (South) Bishopthorpe Roa'!$A$12:$A$130,"&gt;="&amp;Diagram!$O51,'J1 C - (South) Bishopthorpe Roa'!$A$12:$A$130,"&lt;"&amp;Diagram!$P51)))</f>
        <v>4</v>
      </c>
      <c r="AE51" s="42">
        <f ca="1">IF(OR($I$10="",$O51="",$P51="",$J$35&lt;&gt;"Yes"),0,IF($K$10=0,SUMIFS(INDIRECT(ADDRESS(12,3+18*0+(0),,,"J1 D - South Bank Avenue")&amp;":"&amp;ADDRESS(130,3+18*0+(0))),'J1 D - South Bank Avenue'!$A$12:$A$130,"&gt;="&amp;Diagram!$O51,'J1 D - South Bank Avenue'!$A$12:$A$130,"&lt;"&amp;Diagram!$P51),SUMIFS(INDIRECT(ADDRESS(12,3+18*0+(8),,,"J1 D - South Bank Avenue")&amp;":"&amp;ADDRESS(130,3+18*0+(8))),'J1 D - South Bank Avenue'!$A$12:$A$130,"&gt;="&amp;Diagram!$O51,'J1 D - South Bank Avenue'!$A$12:$A$130,"&lt;"&amp;Diagram!$P51)))</f>
        <v>19</v>
      </c>
      <c r="AF51" s="42">
        <f ca="1">IF(OR($I$10="",$O51="",$P51="",$J$35&lt;&gt;"Yes"),0,IF($K$10=0,SUMIFS(INDIRECT(ADDRESS(12,3+18*1+(0),,,"J1 D - South Bank Avenue")&amp;":"&amp;ADDRESS(130,3+18*1+(0))),'J1 D - South Bank Avenue'!$A$12:$A$130,"&gt;="&amp;Diagram!$O51,'J1 D - South Bank Avenue'!$A$12:$A$130,"&lt;"&amp;Diagram!$P51),SUMIFS(INDIRECT(ADDRESS(12,3+18*1+(8),,,"J1 D - South Bank Avenue")&amp;":"&amp;ADDRESS(130,3+18*1+(8))),'J1 D - South Bank Avenue'!$A$12:$A$130,"&gt;="&amp;Diagram!$O51,'J1 D - South Bank Avenue'!$A$12:$A$130,"&lt;"&amp;Diagram!$P51)))</f>
        <v>5</v>
      </c>
      <c r="AG51" s="42">
        <f ca="1">IF(OR($I$10="",$O51="",$P51="",$J$35&lt;&gt;"Yes"),0,IF($K$10=0,SUMIFS(INDIRECT(ADDRESS(12,3+18*2+(0),,,"J1 D - South Bank Avenue")&amp;":"&amp;ADDRESS(130,3+18*2+(0))),'J1 D - South Bank Avenue'!$A$12:$A$130,"&gt;="&amp;Diagram!$O51,'J1 D - South Bank Avenue'!$A$12:$A$130,"&lt;"&amp;Diagram!$P51),SUMIFS(INDIRECT(ADDRESS(12,3+18*2+(8),,,"J1 D - South Bank Avenue")&amp;":"&amp;ADDRESS(130,3+18*2+(8))),'J1 D - South Bank Avenue'!$A$12:$A$130,"&gt;="&amp;Diagram!$O51,'J1 D - South Bank Avenue'!$A$12:$A$130,"&lt;"&amp;Diagram!$P51)))</f>
        <v>10</v>
      </c>
      <c r="AH51" s="42">
        <f ca="1">IF(OR($I$10="",$O51="",$P51="",$J$35&lt;&gt;"Yes"),0,IF($K$10=0,SUMIFS(INDIRECT(ADDRESS(12,3+18*3+(0),,,"J1 D - South Bank Avenue")&amp;":"&amp;ADDRESS(130,3+18*3+(0))),'J1 D - South Bank Avenue'!$A$12:$A$130,"&gt;="&amp;Diagram!$O51,'J1 D - South Bank Avenue'!$A$12:$A$130,"&lt;"&amp;Diagram!$P51),SUMIFS(INDIRECT(ADDRESS(12,3+18*3+(8),,,"J1 D - South Bank Avenue")&amp;":"&amp;ADDRESS(130,3+18*3+(8))),'J1 D - South Bank Avenue'!$A$12:$A$130,"&gt;="&amp;Diagram!$O51,'J1 D - South Bank Avenue'!$A$12:$A$130,"&lt;"&amp;Diagram!$P51)))</f>
        <v>0</v>
      </c>
      <c r="AI51" s="42">
        <f t="shared" ca="1" si="2"/>
        <v>89</v>
      </c>
      <c r="AJ51" s="42">
        <f ca="1">IF(OR($I$10="",$O51="",$P51="",$J$36&lt;&gt;"Yes"),0,IF($K$10=0,SUMIFS(INDIRECT(ADDRESS(12,3+18*3+(1),,,"J1 A - (North) Bishopthorpe Roa")&amp;":"&amp;ADDRESS(130,3+18*3+(1))),'J1 A - (North) Bishopthorpe Roa'!$A$12:$A$130,"&gt;="&amp;Diagram!$O51,'J1 A - (North) Bishopthorpe Roa'!$A$12:$A$130,"&lt;"&amp;Diagram!$P51),SUMIFS(INDIRECT(ADDRESS(12,3+18*3+(9),,,"J1 A - (North) Bishopthorpe Roa")&amp;":"&amp;ADDRESS(130,3+18*3+(9))),'J1 A - (North) Bishopthorpe Roa'!$A$12:$A$130,"&gt;="&amp;Diagram!$O51,'J1 A - (North) Bishopthorpe Roa'!$A$12:$A$130,"&lt;"&amp;Diagram!$P51)))</f>
        <v>0</v>
      </c>
      <c r="AK51" s="42">
        <f ca="1">IF(OR($I$10="",$O51="",$P51="",$J$36&lt;&gt;"Yes"),0,IF($K$10=0,SUMIFS(INDIRECT(ADDRESS(12,3+18*0+(1),,,"J1 A - (North) Bishopthorpe Roa")&amp;":"&amp;ADDRESS(130,3+18*0+(1))),'J1 A - (North) Bishopthorpe Roa'!$A$12:$A$130,"&gt;="&amp;Diagram!$O51,'J1 A - (North) Bishopthorpe Roa'!$A$12:$A$130,"&lt;"&amp;Diagram!$P51),SUMIFS(INDIRECT(ADDRESS(12,3+18*0+(9),,,"J1 A - (North) Bishopthorpe Roa")&amp;":"&amp;ADDRESS(130,3+18*0+(9))),'J1 A - (North) Bishopthorpe Roa'!$A$12:$A$130,"&gt;="&amp;Diagram!$O51,'J1 A - (North) Bishopthorpe Roa'!$A$12:$A$130,"&lt;"&amp;Diagram!$P51)))</f>
        <v>6</v>
      </c>
      <c r="AL51" s="42">
        <f ca="1">IF(OR($I$10="",$O51="",$P51="",$J$36&lt;&gt;"Yes"),0,IF($K$10=0,SUMIFS(INDIRECT(ADDRESS(12,3+18*1+(1),,,"J1 A - (North) Bishopthorpe Roa")&amp;":"&amp;ADDRESS(130,3+18*1+(1))),'J1 A - (North) Bishopthorpe Roa'!$A$12:$A$130,"&gt;="&amp;Diagram!$O51,'J1 A - (North) Bishopthorpe Roa'!$A$12:$A$130,"&lt;"&amp;Diagram!$P51),SUMIFS(INDIRECT(ADDRESS(12,3+18*1+(9),,,"J1 A - (North) Bishopthorpe Roa")&amp;":"&amp;ADDRESS(130,3+18*1+(9))),'J1 A - (North) Bishopthorpe Roa'!$A$12:$A$130,"&gt;="&amp;Diagram!$O51,'J1 A - (North) Bishopthorpe Roa'!$A$12:$A$130,"&lt;"&amp;Diagram!$P51)))</f>
        <v>24</v>
      </c>
      <c r="AM51" s="42">
        <f ca="1">IF(OR($I$10="",$O51="",$P51="",$J$36&lt;&gt;"Yes"),0,IF($K$10=0,SUMIFS(INDIRECT(ADDRESS(12,3+18*2+(1),,,"J1 A - (North) Bishopthorpe Roa")&amp;":"&amp;ADDRESS(130,3+18*2+(1))),'J1 A - (North) Bishopthorpe Roa'!$A$12:$A$130,"&gt;="&amp;Diagram!$O51,'J1 A - (North) Bishopthorpe Roa'!$A$12:$A$130,"&lt;"&amp;Diagram!$P51),SUMIFS(INDIRECT(ADDRESS(12,3+18*2+(9),,,"J1 A - (North) Bishopthorpe Roa")&amp;":"&amp;ADDRESS(130,3+18*2+(9))),'J1 A - (North) Bishopthorpe Roa'!$A$12:$A$130,"&gt;="&amp;Diagram!$O51,'J1 A - (North) Bishopthorpe Roa'!$A$12:$A$130,"&lt;"&amp;Diagram!$P51)))</f>
        <v>6</v>
      </c>
      <c r="AN51" s="42">
        <f ca="1">IF(OR($I$10="",$O51="",$P51="",$J$36&lt;&gt;"Yes"),0,IF($K$10=0,SUMIFS(INDIRECT(ADDRESS(12,3+18*2+(1),,,"J1 B - Butcher Terrace")&amp;":"&amp;ADDRESS(130,3+18*2+(1))),'J1 B - Butcher Terrace'!$A$12:$A$130,"&gt;="&amp;Diagram!$O51,'J1 B - Butcher Terrace'!$A$12:$A$130,"&lt;"&amp;Diagram!$P51),SUMIFS(INDIRECT(ADDRESS(12,3+18*2+(9),,,"J1 B - Butcher Terrace")&amp;":"&amp;ADDRESS(130,3+18*2+(9))),'J1 B - Butcher Terrace'!$A$12:$A$130,"&gt;="&amp;Diagram!$O51,'J1 B - Butcher Terrace'!$A$12:$A$130,"&lt;"&amp;Diagram!$P51)))</f>
        <v>4</v>
      </c>
      <c r="AO51" s="42">
        <f ca="1">IF(OR($I$10="",$O51="",$P51="",$J$36&lt;&gt;"Yes"),0,IF($K$10=0,SUMIFS(INDIRECT(ADDRESS(12,3+18*3+(1),,,"J1 B - Butcher Terrace")&amp;":"&amp;ADDRESS(130,3+18*3+(1))),'J1 B - Butcher Terrace'!$A$12:$A$130,"&gt;="&amp;Diagram!$O51,'J1 B - Butcher Terrace'!$A$12:$A$130,"&lt;"&amp;Diagram!$P51),SUMIFS(INDIRECT(ADDRESS(12,3+18*3+(9),,,"J1 B - Butcher Terrace")&amp;":"&amp;ADDRESS(130,3+18*3+(9))),'J1 B - Butcher Terrace'!$A$12:$A$130,"&gt;="&amp;Diagram!$O51,'J1 B - Butcher Terrace'!$A$12:$A$130,"&lt;"&amp;Diagram!$P51)))</f>
        <v>0</v>
      </c>
      <c r="AP51" s="42">
        <f ca="1">IF(OR($I$10="",$O51="",$P51="",$J$36&lt;&gt;"Yes"),0,IF($K$10=0,SUMIFS(INDIRECT(ADDRESS(12,3+18*0+(1),,,"J1 B - Butcher Terrace")&amp;":"&amp;ADDRESS(130,3+18*0+(1))),'J1 B - Butcher Terrace'!$A$12:$A$130,"&gt;="&amp;Diagram!$O51,'J1 B - Butcher Terrace'!$A$12:$A$130,"&lt;"&amp;Diagram!$P51),SUMIFS(INDIRECT(ADDRESS(12,3+18*0+(9),,,"J1 B - Butcher Terrace")&amp;":"&amp;ADDRESS(130,3+18*0+(9))),'J1 B - Butcher Terrace'!$A$12:$A$130,"&gt;="&amp;Diagram!$O51,'J1 B - Butcher Terrace'!$A$12:$A$130,"&lt;"&amp;Diagram!$P51)))</f>
        <v>1</v>
      </c>
      <c r="AQ51" s="42">
        <f ca="1">IF(OR($I$10="",$O51="",$P51="",$J$36&lt;&gt;"Yes"),0,IF($K$10=0,SUMIFS(INDIRECT(ADDRESS(12,3+18*1+(1),,,"J1 B - Butcher Terrace")&amp;":"&amp;ADDRESS(130,3+18*1+(1))),'J1 B - Butcher Terrace'!$A$12:$A$130,"&gt;="&amp;Diagram!$O51,'J1 B - Butcher Terrace'!$A$12:$A$130,"&lt;"&amp;Diagram!$P51),SUMIFS(INDIRECT(ADDRESS(12,3+18*1+(9),,,"J1 B - Butcher Terrace")&amp;":"&amp;ADDRESS(130,3+18*1+(9))),'J1 B - Butcher Terrace'!$A$12:$A$130,"&gt;="&amp;Diagram!$O51,'J1 B - Butcher Terrace'!$A$12:$A$130,"&lt;"&amp;Diagram!$P51)))</f>
        <v>1</v>
      </c>
      <c r="AR51" s="42">
        <f ca="1">IF(OR($I$10="",$O51="",$P51="",$J$36&lt;&gt;"Yes"),0,IF($K$10=0,SUMIFS(INDIRECT(ADDRESS(12,3+18*1+(1),,,"J1 C - (South) Bishopthorpe Roa")&amp;":"&amp;ADDRESS(130,3+18*1+(1))),'J1 C - (South) Bishopthorpe Roa'!$A$12:$A$130,"&gt;="&amp;Diagram!$O51,'J1 C - (South) Bishopthorpe Roa'!$A$12:$A$130,"&lt;"&amp;Diagram!$P51),SUMIFS(INDIRECT(ADDRESS(12,3+18*1+(9),,,"J1 C - (South) Bishopthorpe Roa")&amp;":"&amp;ADDRESS(130,3+18*1+(9))),'J1 C - (South) Bishopthorpe Roa'!$A$12:$A$130,"&gt;="&amp;Diagram!$O51,'J1 C - (South) Bishopthorpe Roa'!$A$12:$A$130,"&lt;"&amp;Diagram!$P51)))</f>
        <v>34</v>
      </c>
      <c r="AS51" s="42">
        <f ca="1">IF(OR($I$10="",$O51="",$P51="",$J$36&lt;&gt;"Yes"),0,IF($K$10=0,SUMIFS(INDIRECT(ADDRESS(12,3+18*2+(1),,,"J1 C - (South) Bishopthorpe Roa")&amp;":"&amp;ADDRESS(130,3+18*2+(1))),'J1 C - (South) Bishopthorpe Roa'!$A$12:$A$130,"&gt;="&amp;Diagram!$O51,'J1 C - (South) Bishopthorpe Roa'!$A$12:$A$130,"&lt;"&amp;Diagram!$P51),SUMIFS(INDIRECT(ADDRESS(12,3+18*2+(9),,,"J1 C - (South) Bishopthorpe Roa")&amp;":"&amp;ADDRESS(130,3+18*2+(9))),'J1 C - (South) Bishopthorpe Roa'!$A$12:$A$130,"&gt;="&amp;Diagram!$O51,'J1 C - (South) Bishopthorpe Roa'!$A$12:$A$130,"&lt;"&amp;Diagram!$P51)))</f>
        <v>4</v>
      </c>
      <c r="AT51" s="42">
        <f ca="1">IF(OR($I$10="",$O51="",$P51="",$J$36&lt;&gt;"Yes"),0,IF($K$10=0,SUMIFS(INDIRECT(ADDRESS(12,3+18*3+(1),,,"J1 C - (South) Bishopthorpe Roa")&amp;":"&amp;ADDRESS(130,3+18*3+(1))),'J1 C - (South) Bishopthorpe Roa'!$A$12:$A$130,"&gt;="&amp;Diagram!$O51,'J1 C - (South) Bishopthorpe Roa'!$A$12:$A$130,"&lt;"&amp;Diagram!$P51),SUMIFS(INDIRECT(ADDRESS(12,3+18*3+(9),,,"J1 C - (South) Bishopthorpe Roa")&amp;":"&amp;ADDRESS(130,3+18*3+(9))),'J1 C - (South) Bishopthorpe Roa'!$A$12:$A$130,"&gt;="&amp;Diagram!$O51,'J1 C - (South) Bishopthorpe Roa'!$A$12:$A$130,"&lt;"&amp;Diagram!$P51)))</f>
        <v>0</v>
      </c>
      <c r="AU51" s="42">
        <f ca="1">IF(OR($I$10="",$O51="",$P51="",$J$36&lt;&gt;"Yes"),0,IF($K$10=0,SUMIFS(INDIRECT(ADDRESS(12,3+18*0+(1),,,"J1 C - (South) Bishopthorpe Roa")&amp;":"&amp;ADDRESS(130,3+18*0+(1))),'J1 C - (South) Bishopthorpe Roa'!$A$12:$A$130,"&gt;="&amp;Diagram!$O51,'J1 C - (South) Bishopthorpe Roa'!$A$12:$A$130,"&lt;"&amp;Diagram!$P51),SUMIFS(INDIRECT(ADDRESS(12,3+18*0+(9),,,"J1 C - (South) Bishopthorpe Roa")&amp;":"&amp;ADDRESS(130,3+18*0+(9))),'J1 C - (South) Bishopthorpe Roa'!$A$12:$A$130,"&gt;="&amp;Diagram!$O51,'J1 C - (South) Bishopthorpe Roa'!$A$12:$A$130,"&lt;"&amp;Diagram!$P51)))</f>
        <v>2</v>
      </c>
      <c r="AV51" s="42">
        <f ca="1">IF(OR($I$10="",$O51="",$P51="",$J$36&lt;&gt;"Yes"),0,IF($K$10=0,SUMIFS(INDIRECT(ADDRESS(12,3+18*0+(1),,,"J1 D - South Bank Avenue")&amp;":"&amp;ADDRESS(130,3+18*0+(1))),'J1 D - South Bank Avenue'!$A$12:$A$130,"&gt;="&amp;Diagram!$O51,'J1 D - South Bank Avenue'!$A$12:$A$130,"&lt;"&amp;Diagram!$P51),SUMIFS(INDIRECT(ADDRESS(12,3+18*0+(9),,,"J1 D - South Bank Avenue")&amp;":"&amp;ADDRESS(130,3+18*0+(9))),'J1 D - South Bank Avenue'!$A$12:$A$130,"&gt;="&amp;Diagram!$O51,'J1 D - South Bank Avenue'!$A$12:$A$130,"&lt;"&amp;Diagram!$P51)))</f>
        <v>2</v>
      </c>
      <c r="AW51" s="42">
        <f ca="1">IF(OR($I$10="",$O51="",$P51="",$J$36&lt;&gt;"Yes"),0,IF($K$10=0,SUMIFS(INDIRECT(ADDRESS(12,3+18*1+(1),,,"J1 D - South Bank Avenue")&amp;":"&amp;ADDRESS(130,3+18*1+(1))),'J1 D - South Bank Avenue'!$A$12:$A$130,"&gt;="&amp;Diagram!$O51,'J1 D - South Bank Avenue'!$A$12:$A$130,"&lt;"&amp;Diagram!$P51),SUMIFS(INDIRECT(ADDRESS(12,3+18*1+(9),,,"J1 D - South Bank Avenue")&amp;":"&amp;ADDRESS(130,3+18*1+(9))),'J1 D - South Bank Avenue'!$A$12:$A$130,"&gt;="&amp;Diagram!$O51,'J1 D - South Bank Avenue'!$A$12:$A$130,"&lt;"&amp;Diagram!$P51)))</f>
        <v>1</v>
      </c>
      <c r="AX51" s="42">
        <f ca="1">IF(OR($I$10="",$O51="",$P51="",$J$36&lt;&gt;"Yes"),0,IF($K$10=0,SUMIFS(INDIRECT(ADDRESS(12,3+18*2+(1),,,"J1 D - South Bank Avenue")&amp;":"&amp;ADDRESS(130,3+18*2+(1))),'J1 D - South Bank Avenue'!$A$12:$A$130,"&gt;="&amp;Diagram!$O51,'J1 D - South Bank Avenue'!$A$12:$A$130,"&lt;"&amp;Diagram!$P51),SUMIFS(INDIRECT(ADDRESS(12,3+18*2+(9),,,"J1 D - South Bank Avenue")&amp;":"&amp;ADDRESS(130,3+18*2+(9))),'J1 D - South Bank Avenue'!$A$12:$A$130,"&gt;="&amp;Diagram!$O51,'J1 D - South Bank Avenue'!$A$12:$A$130,"&lt;"&amp;Diagram!$P51)))</f>
        <v>4</v>
      </c>
      <c r="AY51" s="42">
        <f ca="1">IF(OR($I$10="",$O51="",$P51="",$J$36&lt;&gt;"Yes"),0,IF($K$10=0,SUMIFS(INDIRECT(ADDRESS(12,3+18*3+(1),,,"J1 D - South Bank Avenue")&amp;":"&amp;ADDRESS(130,3+18*3+(1))),'J1 D - South Bank Avenue'!$A$12:$A$130,"&gt;="&amp;Diagram!$O51,'J1 D - South Bank Avenue'!$A$12:$A$130,"&lt;"&amp;Diagram!$P51),SUMIFS(INDIRECT(ADDRESS(12,3+18*3+(9),,,"J1 D - South Bank Avenue")&amp;":"&amp;ADDRESS(130,3+18*3+(9))),'J1 D - South Bank Avenue'!$A$12:$A$130,"&gt;="&amp;Diagram!$O51,'J1 D - South Bank Avenue'!$A$12:$A$130,"&lt;"&amp;Diagram!$P51)))</f>
        <v>0</v>
      </c>
      <c r="AZ51" s="42">
        <f t="shared" ca="1" si="3"/>
        <v>7</v>
      </c>
      <c r="BA51" s="42">
        <f ca="1">IF(OR($I$10="",$O51="",$P51="",$J$37&lt;&gt;"Yes"),0,IF($K$10=0,SUMIFS(INDIRECT(ADDRESS(12,3+18*3+(2),,,"J1 A - (North) Bishopthorpe Roa")&amp;":"&amp;ADDRESS(130,3+18*3+(2))),'J1 A - (North) Bishopthorpe Roa'!$A$12:$A$130,"&gt;="&amp;Diagram!$O51,'J1 A - (North) Bishopthorpe Roa'!$A$12:$A$130,"&lt;"&amp;Diagram!$P51),SUMIFS(INDIRECT(ADDRESS(12,3+18*3+(10),,,"J1 A - (North) Bishopthorpe Roa")&amp;":"&amp;ADDRESS(130,3+18*3+(10))),'J1 A - (North) Bishopthorpe Roa'!$A$12:$A$130,"&gt;="&amp;Diagram!$O51,'J1 A - (North) Bishopthorpe Roa'!$A$12:$A$130,"&lt;"&amp;Diagram!$P51)))</f>
        <v>0</v>
      </c>
      <c r="BB51" s="42">
        <f ca="1">IF(OR($I$10="",$O51="",$P51="",$J$37&lt;&gt;"Yes"),0,IF($K$10=0,SUMIFS(INDIRECT(ADDRESS(12,3+18*0+(2),,,"J1 A - (North) Bishopthorpe Roa")&amp;":"&amp;ADDRESS(130,3+18*0+(2))),'J1 A - (North) Bishopthorpe Roa'!$A$12:$A$130,"&gt;="&amp;Diagram!$O51,'J1 A - (North) Bishopthorpe Roa'!$A$12:$A$130,"&lt;"&amp;Diagram!$P51),SUMIFS(INDIRECT(ADDRESS(12,3+18*0+(10),,,"J1 A - (North) Bishopthorpe Roa")&amp;":"&amp;ADDRESS(130,3+18*0+(10))),'J1 A - (North) Bishopthorpe Roa'!$A$12:$A$130,"&gt;="&amp;Diagram!$O51,'J1 A - (North) Bishopthorpe Roa'!$A$12:$A$130,"&lt;"&amp;Diagram!$P51)))</f>
        <v>0</v>
      </c>
      <c r="BC51" s="42">
        <f ca="1">IF(OR($I$10="",$O51="",$P51="",$J$37&lt;&gt;"Yes"),0,IF($K$10=0,SUMIFS(INDIRECT(ADDRESS(12,3+18*1+(2),,,"J1 A - (North) Bishopthorpe Roa")&amp;":"&amp;ADDRESS(130,3+18*1+(2))),'J1 A - (North) Bishopthorpe Roa'!$A$12:$A$130,"&gt;="&amp;Diagram!$O51,'J1 A - (North) Bishopthorpe Roa'!$A$12:$A$130,"&lt;"&amp;Diagram!$P51),SUMIFS(INDIRECT(ADDRESS(12,3+18*1+(10),,,"J1 A - (North) Bishopthorpe Roa")&amp;":"&amp;ADDRESS(130,3+18*1+(10))),'J1 A - (North) Bishopthorpe Roa'!$A$12:$A$130,"&gt;="&amp;Diagram!$O51,'J1 A - (North) Bishopthorpe Roa'!$A$12:$A$130,"&lt;"&amp;Diagram!$P51)))</f>
        <v>2</v>
      </c>
      <c r="BD51" s="42">
        <f ca="1">IF(OR($I$10="",$O51="",$P51="",$J$37&lt;&gt;"Yes"),0,IF($K$10=0,SUMIFS(INDIRECT(ADDRESS(12,3+18*2+(2),,,"J1 A - (North) Bishopthorpe Roa")&amp;":"&amp;ADDRESS(130,3+18*2+(2))),'J1 A - (North) Bishopthorpe Roa'!$A$12:$A$130,"&gt;="&amp;Diagram!$O51,'J1 A - (North) Bishopthorpe Roa'!$A$12:$A$130,"&lt;"&amp;Diagram!$P51),SUMIFS(INDIRECT(ADDRESS(12,3+18*2+(10),,,"J1 A - (North) Bishopthorpe Roa")&amp;":"&amp;ADDRESS(130,3+18*2+(10))),'J1 A - (North) Bishopthorpe Roa'!$A$12:$A$130,"&gt;="&amp;Diagram!$O51,'J1 A - (North) Bishopthorpe Roa'!$A$12:$A$130,"&lt;"&amp;Diagram!$P51)))</f>
        <v>0</v>
      </c>
      <c r="BE51" s="42">
        <f ca="1">IF(OR($I$10="",$O51="",$P51="",$J$37&lt;&gt;"Yes"),0,IF($K$10=0,SUMIFS(INDIRECT(ADDRESS(12,3+18*2+(2),,,"J1 B - Butcher Terrace")&amp;":"&amp;ADDRESS(130,3+18*2+(2))),'J1 B - Butcher Terrace'!$A$12:$A$130,"&gt;="&amp;Diagram!$O51,'J1 B - Butcher Terrace'!$A$12:$A$130,"&lt;"&amp;Diagram!$P51),SUMIFS(INDIRECT(ADDRESS(12,3+18*2+(10),,,"J1 B - Butcher Terrace")&amp;":"&amp;ADDRESS(130,3+18*2+(10))),'J1 B - Butcher Terrace'!$A$12:$A$130,"&gt;="&amp;Diagram!$O51,'J1 B - Butcher Terrace'!$A$12:$A$130,"&lt;"&amp;Diagram!$P51)))</f>
        <v>0</v>
      </c>
      <c r="BF51" s="42">
        <f ca="1">IF(OR($I$10="",$O51="",$P51="",$J$37&lt;&gt;"Yes"),0,IF($K$10=0,SUMIFS(INDIRECT(ADDRESS(12,3+18*3+(2),,,"J1 B - Butcher Terrace")&amp;":"&amp;ADDRESS(130,3+18*3+(2))),'J1 B - Butcher Terrace'!$A$12:$A$130,"&gt;="&amp;Diagram!$O51,'J1 B - Butcher Terrace'!$A$12:$A$130,"&lt;"&amp;Diagram!$P51),SUMIFS(INDIRECT(ADDRESS(12,3+18*3+(10),,,"J1 B - Butcher Terrace")&amp;":"&amp;ADDRESS(130,3+18*3+(10))),'J1 B - Butcher Terrace'!$A$12:$A$130,"&gt;="&amp;Diagram!$O51,'J1 B - Butcher Terrace'!$A$12:$A$130,"&lt;"&amp;Diagram!$P51)))</f>
        <v>0</v>
      </c>
      <c r="BG51" s="42">
        <f ca="1">IF(OR($I$10="",$O51="",$P51="",$J$37&lt;&gt;"Yes"),0,IF($K$10=0,SUMIFS(INDIRECT(ADDRESS(12,3+18*0+(2),,,"J1 B - Butcher Terrace")&amp;":"&amp;ADDRESS(130,3+18*0+(2))),'J1 B - Butcher Terrace'!$A$12:$A$130,"&gt;="&amp;Diagram!$O51,'J1 B - Butcher Terrace'!$A$12:$A$130,"&lt;"&amp;Diagram!$P51),SUMIFS(INDIRECT(ADDRESS(12,3+18*0+(10),,,"J1 B - Butcher Terrace")&amp;":"&amp;ADDRESS(130,3+18*0+(10))),'J1 B - Butcher Terrace'!$A$12:$A$130,"&gt;="&amp;Diagram!$O51,'J1 B - Butcher Terrace'!$A$12:$A$130,"&lt;"&amp;Diagram!$P51)))</f>
        <v>0</v>
      </c>
      <c r="BH51" s="42">
        <f ca="1">IF(OR($I$10="",$O51="",$P51="",$J$37&lt;&gt;"Yes"),0,IF($K$10=0,SUMIFS(INDIRECT(ADDRESS(12,3+18*1+(2),,,"J1 B - Butcher Terrace")&amp;":"&amp;ADDRESS(130,3+18*1+(2))),'J1 B - Butcher Terrace'!$A$12:$A$130,"&gt;="&amp;Diagram!$O51,'J1 B - Butcher Terrace'!$A$12:$A$130,"&lt;"&amp;Diagram!$P51),SUMIFS(INDIRECT(ADDRESS(12,3+18*1+(10),,,"J1 B - Butcher Terrace")&amp;":"&amp;ADDRESS(130,3+18*1+(10))),'J1 B - Butcher Terrace'!$A$12:$A$130,"&gt;="&amp;Diagram!$O51,'J1 B - Butcher Terrace'!$A$12:$A$130,"&lt;"&amp;Diagram!$P51)))</f>
        <v>0</v>
      </c>
      <c r="BI51" s="42">
        <f ca="1">IF(OR($I$10="",$O51="",$P51="",$J$37&lt;&gt;"Yes"),0,IF($K$10=0,SUMIFS(INDIRECT(ADDRESS(12,3+18*1+(2),,,"J1 C - (South) Bishopthorpe Roa")&amp;":"&amp;ADDRESS(130,3+18*1+(2))),'J1 C - (South) Bishopthorpe Roa'!$A$12:$A$130,"&gt;="&amp;Diagram!$O51,'J1 C - (South) Bishopthorpe Roa'!$A$12:$A$130,"&lt;"&amp;Diagram!$P51),SUMIFS(INDIRECT(ADDRESS(12,3+18*1+(10),,,"J1 C - (South) Bishopthorpe Roa")&amp;":"&amp;ADDRESS(130,3+18*1+(10))),'J1 C - (South) Bishopthorpe Roa'!$A$12:$A$130,"&gt;="&amp;Diagram!$O51,'J1 C - (South) Bishopthorpe Roa'!$A$12:$A$130,"&lt;"&amp;Diagram!$P51)))</f>
        <v>2</v>
      </c>
      <c r="BJ51" s="42">
        <f ca="1">IF(OR($I$10="",$O51="",$P51="",$J$37&lt;&gt;"Yes"),0,IF($K$10=0,SUMIFS(INDIRECT(ADDRESS(12,3+18*2+(2),,,"J1 C - (South) Bishopthorpe Roa")&amp;":"&amp;ADDRESS(130,3+18*2+(2))),'J1 C - (South) Bishopthorpe Roa'!$A$12:$A$130,"&gt;="&amp;Diagram!$O51,'J1 C - (South) Bishopthorpe Roa'!$A$12:$A$130,"&lt;"&amp;Diagram!$P51),SUMIFS(INDIRECT(ADDRESS(12,3+18*2+(10),,,"J1 C - (South) Bishopthorpe Roa")&amp;":"&amp;ADDRESS(130,3+18*2+(10))),'J1 C - (South) Bishopthorpe Roa'!$A$12:$A$130,"&gt;="&amp;Diagram!$O51,'J1 C - (South) Bishopthorpe Roa'!$A$12:$A$130,"&lt;"&amp;Diagram!$P51)))</f>
        <v>0</v>
      </c>
      <c r="BK51" s="42">
        <f ca="1">IF(OR($I$10="",$O51="",$P51="",$J$37&lt;&gt;"Yes"),0,IF($K$10=0,SUMIFS(INDIRECT(ADDRESS(12,3+18*3+(2),,,"J1 C - (South) Bishopthorpe Roa")&amp;":"&amp;ADDRESS(130,3+18*3+(2))),'J1 C - (South) Bishopthorpe Roa'!$A$12:$A$130,"&gt;="&amp;Diagram!$O51,'J1 C - (South) Bishopthorpe Roa'!$A$12:$A$130,"&lt;"&amp;Diagram!$P51),SUMIFS(INDIRECT(ADDRESS(12,3+18*3+(10),,,"J1 C - (South) Bishopthorpe Roa")&amp;":"&amp;ADDRESS(130,3+18*3+(10))),'J1 C - (South) Bishopthorpe Roa'!$A$12:$A$130,"&gt;="&amp;Diagram!$O51,'J1 C - (South) Bishopthorpe Roa'!$A$12:$A$130,"&lt;"&amp;Diagram!$P51)))</f>
        <v>0</v>
      </c>
      <c r="BL51" s="42">
        <f ca="1">IF(OR($I$10="",$O51="",$P51="",$J$37&lt;&gt;"Yes"),0,IF($K$10=0,SUMIFS(INDIRECT(ADDRESS(12,3+18*0+(2),,,"J1 C - (South) Bishopthorpe Roa")&amp;":"&amp;ADDRESS(130,3+18*0+(2))),'J1 C - (South) Bishopthorpe Roa'!$A$12:$A$130,"&gt;="&amp;Diagram!$O51,'J1 C - (South) Bishopthorpe Roa'!$A$12:$A$130,"&lt;"&amp;Diagram!$P51),SUMIFS(INDIRECT(ADDRESS(12,3+18*0+(10),,,"J1 C - (South) Bishopthorpe Roa")&amp;":"&amp;ADDRESS(130,3+18*0+(10))),'J1 C - (South) Bishopthorpe Roa'!$A$12:$A$130,"&gt;="&amp;Diagram!$O51,'J1 C - (South) Bishopthorpe Roa'!$A$12:$A$130,"&lt;"&amp;Diagram!$P51)))</f>
        <v>0</v>
      </c>
      <c r="BM51" s="42">
        <f ca="1">IF(OR($I$10="",$O51="",$P51="",$J$37&lt;&gt;"Yes"),0,IF($K$10=0,SUMIFS(INDIRECT(ADDRESS(12,3+18*0+(2),,,"J1 D - South Bank Avenue")&amp;":"&amp;ADDRESS(130,3+18*0+(2))),'J1 D - South Bank Avenue'!$A$12:$A$130,"&gt;="&amp;Diagram!$O51,'J1 D - South Bank Avenue'!$A$12:$A$130,"&lt;"&amp;Diagram!$P51),SUMIFS(INDIRECT(ADDRESS(12,3+18*0+(10),,,"J1 D - South Bank Avenue")&amp;":"&amp;ADDRESS(130,3+18*0+(10))),'J1 D - South Bank Avenue'!$A$12:$A$130,"&gt;="&amp;Diagram!$O51,'J1 D - South Bank Avenue'!$A$12:$A$130,"&lt;"&amp;Diagram!$P51)))</f>
        <v>2</v>
      </c>
      <c r="BN51" s="42">
        <f ca="1">IF(OR($I$10="",$O51="",$P51="",$J$37&lt;&gt;"Yes"),0,IF($K$10=0,SUMIFS(INDIRECT(ADDRESS(12,3+18*1+(2),,,"J1 D - South Bank Avenue")&amp;":"&amp;ADDRESS(130,3+18*1+(2))),'J1 D - South Bank Avenue'!$A$12:$A$130,"&gt;="&amp;Diagram!$O51,'J1 D - South Bank Avenue'!$A$12:$A$130,"&lt;"&amp;Diagram!$P51),SUMIFS(INDIRECT(ADDRESS(12,3+18*1+(10),,,"J1 D - South Bank Avenue")&amp;":"&amp;ADDRESS(130,3+18*1+(10))),'J1 D - South Bank Avenue'!$A$12:$A$130,"&gt;="&amp;Diagram!$O51,'J1 D - South Bank Avenue'!$A$12:$A$130,"&lt;"&amp;Diagram!$P51)))</f>
        <v>0</v>
      </c>
      <c r="BO51" s="42">
        <f ca="1">IF(OR($I$10="",$O51="",$P51="",$J$37&lt;&gt;"Yes"),0,IF($K$10=0,SUMIFS(INDIRECT(ADDRESS(12,3+18*2+(2),,,"J1 D - South Bank Avenue")&amp;":"&amp;ADDRESS(130,3+18*2+(2))),'J1 D - South Bank Avenue'!$A$12:$A$130,"&gt;="&amp;Diagram!$O51,'J1 D - South Bank Avenue'!$A$12:$A$130,"&lt;"&amp;Diagram!$P51),SUMIFS(INDIRECT(ADDRESS(12,3+18*2+(10),,,"J1 D - South Bank Avenue")&amp;":"&amp;ADDRESS(130,3+18*2+(10))),'J1 D - South Bank Avenue'!$A$12:$A$130,"&gt;="&amp;Diagram!$O51,'J1 D - South Bank Avenue'!$A$12:$A$130,"&lt;"&amp;Diagram!$P51)))</f>
        <v>1</v>
      </c>
      <c r="BP51" s="42">
        <f ca="1">IF(OR($I$10="",$O51="",$P51="",$J$37&lt;&gt;"Yes"),0,IF($K$10=0,SUMIFS(INDIRECT(ADDRESS(12,3+18*3+(2),,,"J1 D - South Bank Avenue")&amp;":"&amp;ADDRESS(130,3+18*3+(2))),'J1 D - South Bank Avenue'!$A$12:$A$130,"&gt;="&amp;Diagram!$O51,'J1 D - South Bank Avenue'!$A$12:$A$130,"&lt;"&amp;Diagram!$P51),SUMIFS(INDIRECT(ADDRESS(12,3+18*3+(10),,,"J1 D - South Bank Avenue")&amp;":"&amp;ADDRESS(130,3+18*3+(10))),'J1 D - South Bank Avenue'!$A$12:$A$130,"&gt;="&amp;Diagram!$O51,'J1 D - South Bank Avenue'!$A$12:$A$130,"&lt;"&amp;Diagram!$P51)))</f>
        <v>0</v>
      </c>
      <c r="BQ51" s="42">
        <f t="shared" ca="1" si="4"/>
        <v>1</v>
      </c>
      <c r="BR51" s="42">
        <f ca="1">IF(OR($I$10="",$O51="",$P51="",$J$38&lt;&gt;"Yes"),0,IF($K$10=0,SUMIFS(INDIRECT(ADDRESS(12,3+18*3+(3),,,"J1 A - (North) Bishopthorpe Roa")&amp;":"&amp;ADDRESS(130,3+18*3+(3))),'J1 A - (North) Bishopthorpe Roa'!$A$12:$A$130,"&gt;="&amp;Diagram!$O51,'J1 A - (North) Bishopthorpe Roa'!$A$12:$A$130,"&lt;"&amp;Diagram!$P51),SUMIFS(INDIRECT(ADDRESS(12,3+18*3+(11),,,"J1 A - (North) Bishopthorpe Roa")&amp;":"&amp;ADDRESS(130,3+18*3+(11))),'J1 A - (North) Bishopthorpe Roa'!$A$12:$A$130,"&gt;="&amp;Diagram!$O51,'J1 A - (North) Bishopthorpe Roa'!$A$12:$A$130,"&lt;"&amp;Diagram!$P51)))</f>
        <v>0</v>
      </c>
      <c r="BS51" s="42">
        <f ca="1">IF(OR($I$10="",$O51="",$P51="",$J$38&lt;&gt;"Yes"),0,IF($K$10=0,SUMIFS(INDIRECT(ADDRESS(12,3+18*0+(3),,,"J1 A - (North) Bishopthorpe Roa")&amp;":"&amp;ADDRESS(130,3+18*0+(3))),'J1 A - (North) Bishopthorpe Roa'!$A$12:$A$130,"&gt;="&amp;Diagram!$O51,'J1 A - (North) Bishopthorpe Roa'!$A$12:$A$130,"&lt;"&amp;Diagram!$P51),SUMIFS(INDIRECT(ADDRESS(12,3+18*0+(11),,,"J1 A - (North) Bishopthorpe Roa")&amp;":"&amp;ADDRESS(130,3+18*0+(11))),'J1 A - (North) Bishopthorpe Roa'!$A$12:$A$130,"&gt;="&amp;Diagram!$O51,'J1 A - (North) Bishopthorpe Roa'!$A$12:$A$130,"&lt;"&amp;Diagram!$P51)))</f>
        <v>0</v>
      </c>
      <c r="BT51" s="42">
        <f ca="1">IF(OR($I$10="",$O51="",$P51="",$J$38&lt;&gt;"Yes"),0,IF($K$10=0,SUMIFS(INDIRECT(ADDRESS(12,3+18*1+(3),,,"J1 A - (North) Bishopthorpe Roa")&amp;":"&amp;ADDRESS(130,3+18*1+(3))),'J1 A - (North) Bishopthorpe Roa'!$A$12:$A$130,"&gt;="&amp;Diagram!$O51,'J1 A - (North) Bishopthorpe Roa'!$A$12:$A$130,"&lt;"&amp;Diagram!$P51),SUMIFS(INDIRECT(ADDRESS(12,3+18*1+(11),,,"J1 A - (North) Bishopthorpe Roa")&amp;":"&amp;ADDRESS(130,3+18*1+(11))),'J1 A - (North) Bishopthorpe Roa'!$A$12:$A$130,"&gt;="&amp;Diagram!$O51,'J1 A - (North) Bishopthorpe Roa'!$A$12:$A$130,"&lt;"&amp;Diagram!$P51)))</f>
        <v>0</v>
      </c>
      <c r="BU51" s="42">
        <f ca="1">IF(OR($I$10="",$O51="",$P51="",$J$38&lt;&gt;"Yes"),0,IF($K$10=0,SUMIFS(INDIRECT(ADDRESS(12,3+18*2+(3),,,"J1 A - (North) Bishopthorpe Roa")&amp;":"&amp;ADDRESS(130,3+18*2+(3))),'J1 A - (North) Bishopthorpe Roa'!$A$12:$A$130,"&gt;="&amp;Diagram!$O51,'J1 A - (North) Bishopthorpe Roa'!$A$12:$A$130,"&lt;"&amp;Diagram!$P51),SUMIFS(INDIRECT(ADDRESS(12,3+18*2+(11),,,"J1 A - (North) Bishopthorpe Roa")&amp;":"&amp;ADDRESS(130,3+18*2+(11))),'J1 A - (North) Bishopthorpe Roa'!$A$12:$A$130,"&gt;="&amp;Diagram!$O51,'J1 A - (North) Bishopthorpe Roa'!$A$12:$A$130,"&lt;"&amp;Diagram!$P51)))</f>
        <v>0</v>
      </c>
      <c r="BV51" s="42">
        <f ca="1">IF(OR($I$10="",$O51="",$P51="",$J$38&lt;&gt;"Yes"),0,IF($K$10=0,SUMIFS(INDIRECT(ADDRESS(12,3+18*2+(3),,,"J1 B - Butcher Terrace")&amp;":"&amp;ADDRESS(130,3+18*2+(3))),'J1 B - Butcher Terrace'!$A$12:$A$130,"&gt;="&amp;Diagram!$O51,'J1 B - Butcher Terrace'!$A$12:$A$130,"&lt;"&amp;Diagram!$P51),SUMIFS(INDIRECT(ADDRESS(12,3+18*2+(11),,,"J1 B - Butcher Terrace")&amp;":"&amp;ADDRESS(130,3+18*2+(11))),'J1 B - Butcher Terrace'!$A$12:$A$130,"&gt;="&amp;Diagram!$O51,'J1 B - Butcher Terrace'!$A$12:$A$130,"&lt;"&amp;Diagram!$P51)))</f>
        <v>0</v>
      </c>
      <c r="BW51" s="42">
        <f ca="1">IF(OR($I$10="",$O51="",$P51="",$J$38&lt;&gt;"Yes"),0,IF($K$10=0,SUMIFS(INDIRECT(ADDRESS(12,3+18*3+(3),,,"J1 B - Butcher Terrace")&amp;":"&amp;ADDRESS(130,3+18*3+(3))),'J1 B - Butcher Terrace'!$A$12:$A$130,"&gt;="&amp;Diagram!$O51,'J1 B - Butcher Terrace'!$A$12:$A$130,"&lt;"&amp;Diagram!$P51),SUMIFS(INDIRECT(ADDRESS(12,3+18*3+(11),,,"J1 B - Butcher Terrace")&amp;":"&amp;ADDRESS(130,3+18*3+(11))),'J1 B - Butcher Terrace'!$A$12:$A$130,"&gt;="&amp;Diagram!$O51,'J1 B - Butcher Terrace'!$A$12:$A$130,"&lt;"&amp;Diagram!$P51)))</f>
        <v>0</v>
      </c>
      <c r="BX51" s="42">
        <f ca="1">IF(OR($I$10="",$O51="",$P51="",$J$38&lt;&gt;"Yes"),0,IF($K$10=0,SUMIFS(INDIRECT(ADDRESS(12,3+18*0+(3),,,"J1 B - Butcher Terrace")&amp;":"&amp;ADDRESS(130,3+18*0+(3))),'J1 B - Butcher Terrace'!$A$12:$A$130,"&gt;="&amp;Diagram!$O51,'J1 B - Butcher Terrace'!$A$12:$A$130,"&lt;"&amp;Diagram!$P51),SUMIFS(INDIRECT(ADDRESS(12,3+18*0+(11),,,"J1 B - Butcher Terrace")&amp;":"&amp;ADDRESS(130,3+18*0+(11))),'J1 B - Butcher Terrace'!$A$12:$A$130,"&gt;="&amp;Diagram!$O51,'J1 B - Butcher Terrace'!$A$12:$A$130,"&lt;"&amp;Diagram!$P51)))</f>
        <v>0</v>
      </c>
      <c r="BY51" s="42">
        <f ca="1">IF(OR($I$10="",$O51="",$P51="",$J$38&lt;&gt;"Yes"),0,IF($K$10=0,SUMIFS(INDIRECT(ADDRESS(12,3+18*1+(3),,,"J1 B - Butcher Terrace")&amp;":"&amp;ADDRESS(130,3+18*1+(3))),'J1 B - Butcher Terrace'!$A$12:$A$130,"&gt;="&amp;Diagram!$O51,'J1 B - Butcher Terrace'!$A$12:$A$130,"&lt;"&amp;Diagram!$P51),SUMIFS(INDIRECT(ADDRESS(12,3+18*1+(11),,,"J1 B - Butcher Terrace")&amp;":"&amp;ADDRESS(130,3+18*1+(11))),'J1 B - Butcher Terrace'!$A$12:$A$130,"&gt;="&amp;Diagram!$O51,'J1 B - Butcher Terrace'!$A$12:$A$130,"&lt;"&amp;Diagram!$P51)))</f>
        <v>0</v>
      </c>
      <c r="BZ51" s="42">
        <f ca="1">IF(OR($I$10="",$O51="",$P51="",$J$38&lt;&gt;"Yes"),0,IF($K$10=0,SUMIFS(INDIRECT(ADDRESS(12,3+18*1+(3),,,"J1 C - (South) Bishopthorpe Roa")&amp;":"&amp;ADDRESS(130,3+18*1+(3))),'J1 C - (South) Bishopthorpe Roa'!$A$12:$A$130,"&gt;="&amp;Diagram!$O51,'J1 C - (South) Bishopthorpe Roa'!$A$12:$A$130,"&lt;"&amp;Diagram!$P51),SUMIFS(INDIRECT(ADDRESS(12,3+18*1+(11),,,"J1 C - (South) Bishopthorpe Roa")&amp;":"&amp;ADDRESS(130,3+18*1+(11))),'J1 C - (South) Bishopthorpe Roa'!$A$12:$A$130,"&gt;="&amp;Diagram!$O51,'J1 C - (South) Bishopthorpe Roa'!$A$12:$A$130,"&lt;"&amp;Diagram!$P51)))</f>
        <v>1</v>
      </c>
      <c r="CA51" s="42">
        <f ca="1">IF(OR($I$10="",$O51="",$P51="",$J$38&lt;&gt;"Yes"),0,IF($K$10=0,SUMIFS(INDIRECT(ADDRESS(12,3+18*2+(3),,,"J1 C - (South) Bishopthorpe Roa")&amp;":"&amp;ADDRESS(130,3+18*2+(3))),'J1 C - (South) Bishopthorpe Roa'!$A$12:$A$130,"&gt;="&amp;Diagram!$O51,'J1 C - (South) Bishopthorpe Roa'!$A$12:$A$130,"&lt;"&amp;Diagram!$P51),SUMIFS(INDIRECT(ADDRESS(12,3+18*2+(11),,,"J1 C - (South) Bishopthorpe Roa")&amp;":"&amp;ADDRESS(130,3+18*2+(11))),'J1 C - (South) Bishopthorpe Roa'!$A$12:$A$130,"&gt;="&amp;Diagram!$O51,'J1 C - (South) Bishopthorpe Roa'!$A$12:$A$130,"&lt;"&amp;Diagram!$P51)))</f>
        <v>0</v>
      </c>
      <c r="CB51" s="42">
        <f ca="1">IF(OR($I$10="",$O51="",$P51="",$J$38&lt;&gt;"Yes"),0,IF($K$10=0,SUMIFS(INDIRECT(ADDRESS(12,3+18*3+(3),,,"J1 C - (South) Bishopthorpe Roa")&amp;":"&amp;ADDRESS(130,3+18*3+(3))),'J1 C - (South) Bishopthorpe Roa'!$A$12:$A$130,"&gt;="&amp;Diagram!$O51,'J1 C - (South) Bishopthorpe Roa'!$A$12:$A$130,"&lt;"&amp;Diagram!$P51),SUMIFS(INDIRECT(ADDRESS(12,3+18*3+(11),,,"J1 C - (South) Bishopthorpe Roa")&amp;":"&amp;ADDRESS(130,3+18*3+(11))),'J1 C - (South) Bishopthorpe Roa'!$A$12:$A$130,"&gt;="&amp;Diagram!$O51,'J1 C - (South) Bishopthorpe Roa'!$A$12:$A$130,"&lt;"&amp;Diagram!$P51)))</f>
        <v>0</v>
      </c>
      <c r="CC51" s="42">
        <f ca="1">IF(OR($I$10="",$O51="",$P51="",$J$38&lt;&gt;"Yes"),0,IF($K$10=0,SUMIFS(INDIRECT(ADDRESS(12,3+18*0+(3),,,"J1 C - (South) Bishopthorpe Roa")&amp;":"&amp;ADDRESS(130,3+18*0+(3))),'J1 C - (South) Bishopthorpe Roa'!$A$12:$A$130,"&gt;="&amp;Diagram!$O51,'J1 C - (South) Bishopthorpe Roa'!$A$12:$A$130,"&lt;"&amp;Diagram!$P51),SUMIFS(INDIRECT(ADDRESS(12,3+18*0+(11),,,"J1 C - (South) Bishopthorpe Roa")&amp;":"&amp;ADDRESS(130,3+18*0+(11))),'J1 C - (South) Bishopthorpe Roa'!$A$12:$A$130,"&gt;="&amp;Diagram!$O51,'J1 C - (South) Bishopthorpe Roa'!$A$12:$A$130,"&lt;"&amp;Diagram!$P51)))</f>
        <v>0</v>
      </c>
      <c r="CD51" s="42">
        <f ca="1">IF(OR($I$10="",$O51="",$P51="",$J$38&lt;&gt;"Yes"),0,IF($K$10=0,SUMIFS(INDIRECT(ADDRESS(12,3+18*0+(3),,,"J1 D - South Bank Avenue")&amp;":"&amp;ADDRESS(130,3+18*0+(3))),'J1 D - South Bank Avenue'!$A$12:$A$130,"&gt;="&amp;Diagram!$O51,'J1 D - South Bank Avenue'!$A$12:$A$130,"&lt;"&amp;Diagram!$P51),SUMIFS(INDIRECT(ADDRESS(12,3+18*0+(11),,,"J1 D - South Bank Avenue")&amp;":"&amp;ADDRESS(130,3+18*0+(11))),'J1 D - South Bank Avenue'!$A$12:$A$130,"&gt;="&amp;Diagram!$O51,'J1 D - South Bank Avenue'!$A$12:$A$130,"&lt;"&amp;Diagram!$P51)))</f>
        <v>0</v>
      </c>
      <c r="CE51" s="42">
        <f ca="1">IF(OR($I$10="",$O51="",$P51="",$J$38&lt;&gt;"Yes"),0,IF($K$10=0,SUMIFS(INDIRECT(ADDRESS(12,3+18*1+(3),,,"J1 D - South Bank Avenue")&amp;":"&amp;ADDRESS(130,3+18*1+(3))),'J1 D - South Bank Avenue'!$A$12:$A$130,"&gt;="&amp;Diagram!$O51,'J1 D - South Bank Avenue'!$A$12:$A$130,"&lt;"&amp;Diagram!$P51),SUMIFS(INDIRECT(ADDRESS(12,3+18*1+(11),,,"J1 D - South Bank Avenue")&amp;":"&amp;ADDRESS(130,3+18*1+(11))),'J1 D - South Bank Avenue'!$A$12:$A$130,"&gt;="&amp;Diagram!$O51,'J1 D - South Bank Avenue'!$A$12:$A$130,"&lt;"&amp;Diagram!$P51)))</f>
        <v>0</v>
      </c>
      <c r="CF51" s="42">
        <f ca="1">IF(OR($I$10="",$O51="",$P51="",$J$38&lt;&gt;"Yes"),0,IF($K$10=0,SUMIFS(INDIRECT(ADDRESS(12,3+18*2+(3),,,"J1 D - South Bank Avenue")&amp;":"&amp;ADDRESS(130,3+18*2+(3))),'J1 D - South Bank Avenue'!$A$12:$A$130,"&gt;="&amp;Diagram!$O51,'J1 D - South Bank Avenue'!$A$12:$A$130,"&lt;"&amp;Diagram!$P51),SUMIFS(INDIRECT(ADDRESS(12,3+18*2+(11),,,"J1 D - South Bank Avenue")&amp;":"&amp;ADDRESS(130,3+18*2+(11))),'J1 D - South Bank Avenue'!$A$12:$A$130,"&gt;="&amp;Diagram!$O51,'J1 D - South Bank Avenue'!$A$12:$A$130,"&lt;"&amp;Diagram!$P51)))</f>
        <v>0</v>
      </c>
      <c r="CG51" s="42">
        <f ca="1">IF(OR($I$10="",$O51="",$P51="",$J$38&lt;&gt;"Yes"),0,IF($K$10=0,SUMIFS(INDIRECT(ADDRESS(12,3+18*3+(3),,,"J1 D - South Bank Avenue")&amp;":"&amp;ADDRESS(130,3+18*3+(3))),'J1 D - South Bank Avenue'!$A$12:$A$130,"&gt;="&amp;Diagram!$O51,'J1 D - South Bank Avenue'!$A$12:$A$130,"&lt;"&amp;Diagram!$P51),SUMIFS(INDIRECT(ADDRESS(12,3+18*3+(11),,,"J1 D - South Bank Avenue")&amp;":"&amp;ADDRESS(130,3+18*3+(11))),'J1 D - South Bank Avenue'!$A$12:$A$130,"&gt;="&amp;Diagram!$O51,'J1 D - South Bank Avenue'!$A$12:$A$130,"&lt;"&amp;Diagram!$P51)))</f>
        <v>0</v>
      </c>
      <c r="CH51" s="42">
        <f t="shared" ca="1" si="5"/>
        <v>8</v>
      </c>
      <c r="CI51" s="42">
        <f ca="1">IF(OR($I$10="",$O51="",$P51="",$J$39&lt;&gt;"Yes"),0,IF($K$10=0,SUMIFS(INDIRECT(ADDRESS(12,3+18*3+(4),,,"J1 A - (North) Bishopthorpe Roa")&amp;":"&amp;ADDRESS(130,3+18*3+(4))),'J1 A - (North) Bishopthorpe Roa'!$A$12:$A$130,"&gt;="&amp;Diagram!$O51,'J1 A - (North) Bishopthorpe Roa'!$A$12:$A$130,"&lt;"&amp;Diagram!$P51),SUMIFS(INDIRECT(ADDRESS(12,3+18*3+(12),,,"J1 A - (North) Bishopthorpe Roa")&amp;":"&amp;ADDRESS(130,3+18*3+(12))),'J1 A - (North) Bishopthorpe Roa'!$A$12:$A$130,"&gt;="&amp;Diagram!$O51,'J1 A - (North) Bishopthorpe Roa'!$A$12:$A$130,"&lt;"&amp;Diagram!$P51)))</f>
        <v>0</v>
      </c>
      <c r="CJ51" s="42">
        <f ca="1">IF(OR($I$10="",$O51="",$P51="",$J$39&lt;&gt;"Yes"),0,IF($K$10=0,SUMIFS(INDIRECT(ADDRESS(12,3+18*0+(4),,,"J1 A - (North) Bishopthorpe Roa")&amp;":"&amp;ADDRESS(130,3+18*0+(4))),'J1 A - (North) Bishopthorpe Roa'!$A$12:$A$130,"&gt;="&amp;Diagram!$O51,'J1 A - (North) Bishopthorpe Roa'!$A$12:$A$130,"&lt;"&amp;Diagram!$P51),SUMIFS(INDIRECT(ADDRESS(12,3+18*0+(12),,,"J1 A - (North) Bishopthorpe Roa")&amp;":"&amp;ADDRESS(130,3+18*0+(12))),'J1 A - (North) Bishopthorpe Roa'!$A$12:$A$130,"&gt;="&amp;Diagram!$O51,'J1 A - (North) Bishopthorpe Roa'!$A$12:$A$130,"&lt;"&amp;Diagram!$P51)))</f>
        <v>0</v>
      </c>
      <c r="CK51" s="42">
        <f ca="1">IF(OR($I$10="",$O51="",$P51="",$J$39&lt;&gt;"Yes"),0,IF($K$10=0,SUMIFS(INDIRECT(ADDRESS(12,3+18*1+(4),,,"J1 A - (North) Bishopthorpe Roa")&amp;":"&amp;ADDRESS(130,3+18*1+(4))),'J1 A - (North) Bishopthorpe Roa'!$A$12:$A$130,"&gt;="&amp;Diagram!$O51,'J1 A - (North) Bishopthorpe Roa'!$A$12:$A$130,"&lt;"&amp;Diagram!$P51),SUMIFS(INDIRECT(ADDRESS(12,3+18*1+(12),,,"J1 A - (North) Bishopthorpe Roa")&amp;":"&amp;ADDRESS(130,3+18*1+(12))),'J1 A - (North) Bishopthorpe Roa'!$A$12:$A$130,"&gt;="&amp;Diagram!$O51,'J1 A - (North) Bishopthorpe Roa'!$A$12:$A$130,"&lt;"&amp;Diagram!$P51)))</f>
        <v>4</v>
      </c>
      <c r="CL51" s="42">
        <f ca="1">IF(OR($I$10="",$O51="",$P51="",$J$39&lt;&gt;"Yes"),0,IF($K$10=0,SUMIFS(INDIRECT(ADDRESS(12,3+18*2+(4),,,"J1 A - (North) Bishopthorpe Roa")&amp;":"&amp;ADDRESS(130,3+18*2+(4))),'J1 A - (North) Bishopthorpe Roa'!$A$12:$A$130,"&gt;="&amp;Diagram!$O51,'J1 A - (North) Bishopthorpe Roa'!$A$12:$A$130,"&lt;"&amp;Diagram!$P51),SUMIFS(INDIRECT(ADDRESS(12,3+18*2+(12),,,"J1 A - (North) Bishopthorpe Roa")&amp;":"&amp;ADDRESS(130,3+18*2+(12))),'J1 A - (North) Bishopthorpe Roa'!$A$12:$A$130,"&gt;="&amp;Diagram!$O51,'J1 A - (North) Bishopthorpe Roa'!$A$12:$A$130,"&lt;"&amp;Diagram!$P51)))</f>
        <v>0</v>
      </c>
      <c r="CM51" s="42">
        <f ca="1">IF(OR($I$10="",$O51="",$P51="",$J$39&lt;&gt;"Yes"),0,IF($K$10=0,SUMIFS(INDIRECT(ADDRESS(12,3+18*2+(4),,,"J1 B - Butcher Terrace")&amp;":"&amp;ADDRESS(130,3+18*2+(4))),'J1 B - Butcher Terrace'!$A$12:$A$130,"&gt;="&amp;Diagram!$O51,'J1 B - Butcher Terrace'!$A$12:$A$130,"&lt;"&amp;Diagram!$P51),SUMIFS(INDIRECT(ADDRESS(12,3+18*2+(12),,,"J1 B - Butcher Terrace")&amp;":"&amp;ADDRESS(130,3+18*2+(12))),'J1 B - Butcher Terrace'!$A$12:$A$130,"&gt;="&amp;Diagram!$O51,'J1 B - Butcher Terrace'!$A$12:$A$130,"&lt;"&amp;Diagram!$P51)))</f>
        <v>0</v>
      </c>
      <c r="CN51" s="42">
        <f ca="1">IF(OR($I$10="",$O51="",$P51="",$J$39&lt;&gt;"Yes"),0,IF($K$10=0,SUMIFS(INDIRECT(ADDRESS(12,3+18*3+(4),,,"J1 B - Butcher Terrace")&amp;":"&amp;ADDRESS(130,3+18*3+(4))),'J1 B - Butcher Terrace'!$A$12:$A$130,"&gt;="&amp;Diagram!$O51,'J1 B - Butcher Terrace'!$A$12:$A$130,"&lt;"&amp;Diagram!$P51),SUMIFS(INDIRECT(ADDRESS(12,3+18*3+(12),,,"J1 B - Butcher Terrace")&amp;":"&amp;ADDRESS(130,3+18*3+(12))),'J1 B - Butcher Terrace'!$A$12:$A$130,"&gt;="&amp;Diagram!$O51,'J1 B - Butcher Terrace'!$A$12:$A$130,"&lt;"&amp;Diagram!$P51)))</f>
        <v>0</v>
      </c>
      <c r="CO51" s="42">
        <f ca="1">IF(OR($I$10="",$O51="",$P51="",$J$39&lt;&gt;"Yes"),0,IF($K$10=0,SUMIFS(INDIRECT(ADDRESS(12,3+18*0+(4),,,"J1 B - Butcher Terrace")&amp;":"&amp;ADDRESS(130,3+18*0+(4))),'J1 B - Butcher Terrace'!$A$12:$A$130,"&gt;="&amp;Diagram!$O51,'J1 B - Butcher Terrace'!$A$12:$A$130,"&lt;"&amp;Diagram!$P51),SUMIFS(INDIRECT(ADDRESS(12,3+18*0+(12),,,"J1 B - Butcher Terrace")&amp;":"&amp;ADDRESS(130,3+18*0+(12))),'J1 B - Butcher Terrace'!$A$12:$A$130,"&gt;="&amp;Diagram!$O51,'J1 B - Butcher Terrace'!$A$12:$A$130,"&lt;"&amp;Diagram!$P51)))</f>
        <v>0</v>
      </c>
      <c r="CP51" s="42">
        <f ca="1">IF(OR($I$10="",$O51="",$P51="",$J$39&lt;&gt;"Yes"),0,IF($K$10=0,SUMIFS(INDIRECT(ADDRESS(12,3+18*1+(4),,,"J1 B - Butcher Terrace")&amp;":"&amp;ADDRESS(130,3+18*1+(4))),'J1 B - Butcher Terrace'!$A$12:$A$130,"&gt;="&amp;Diagram!$O51,'J1 B - Butcher Terrace'!$A$12:$A$130,"&lt;"&amp;Diagram!$P51),SUMIFS(INDIRECT(ADDRESS(12,3+18*1+(12),,,"J1 B - Butcher Terrace")&amp;":"&amp;ADDRESS(130,3+18*1+(12))),'J1 B - Butcher Terrace'!$A$12:$A$130,"&gt;="&amp;Diagram!$O51,'J1 B - Butcher Terrace'!$A$12:$A$130,"&lt;"&amp;Diagram!$P51)))</f>
        <v>0</v>
      </c>
      <c r="CQ51" s="42">
        <f ca="1">IF(OR($I$10="",$O51="",$P51="",$J$39&lt;&gt;"Yes"),0,IF($K$10=0,SUMIFS(INDIRECT(ADDRESS(12,3+18*1+(4),,,"J1 C - (South) Bishopthorpe Roa")&amp;":"&amp;ADDRESS(130,3+18*1+(4))),'J1 C - (South) Bishopthorpe Roa'!$A$12:$A$130,"&gt;="&amp;Diagram!$O51,'J1 C - (South) Bishopthorpe Roa'!$A$12:$A$130,"&lt;"&amp;Diagram!$P51),SUMIFS(INDIRECT(ADDRESS(12,3+18*1+(12),,,"J1 C - (South) Bishopthorpe Roa")&amp;":"&amp;ADDRESS(130,3+18*1+(12))),'J1 C - (South) Bishopthorpe Roa'!$A$12:$A$130,"&gt;="&amp;Diagram!$O51,'J1 C - (South) Bishopthorpe Roa'!$A$12:$A$130,"&lt;"&amp;Diagram!$P51)))</f>
        <v>4</v>
      </c>
      <c r="CR51" s="42">
        <f ca="1">IF(OR($I$10="",$O51="",$P51="",$J$39&lt;&gt;"Yes"),0,IF($K$10=0,SUMIFS(INDIRECT(ADDRESS(12,3+18*2+(4),,,"J1 C - (South) Bishopthorpe Roa")&amp;":"&amp;ADDRESS(130,3+18*2+(4))),'J1 C - (South) Bishopthorpe Roa'!$A$12:$A$130,"&gt;="&amp;Diagram!$O51,'J1 C - (South) Bishopthorpe Roa'!$A$12:$A$130,"&lt;"&amp;Diagram!$P51),SUMIFS(INDIRECT(ADDRESS(12,3+18*2+(12),,,"J1 C - (South) Bishopthorpe Roa")&amp;":"&amp;ADDRESS(130,3+18*2+(12))),'J1 C - (South) Bishopthorpe Roa'!$A$12:$A$130,"&gt;="&amp;Diagram!$O51,'J1 C - (South) Bishopthorpe Roa'!$A$12:$A$130,"&lt;"&amp;Diagram!$P51)))</f>
        <v>0</v>
      </c>
      <c r="CS51" s="42">
        <f ca="1">IF(OR($I$10="",$O51="",$P51="",$J$39&lt;&gt;"Yes"),0,IF($K$10=0,SUMIFS(INDIRECT(ADDRESS(12,3+18*3+(4),,,"J1 C - (South) Bishopthorpe Roa")&amp;":"&amp;ADDRESS(130,3+18*3+(4))),'J1 C - (South) Bishopthorpe Roa'!$A$12:$A$130,"&gt;="&amp;Diagram!$O51,'J1 C - (South) Bishopthorpe Roa'!$A$12:$A$130,"&lt;"&amp;Diagram!$P51),SUMIFS(INDIRECT(ADDRESS(12,3+18*3+(12),,,"J1 C - (South) Bishopthorpe Roa")&amp;":"&amp;ADDRESS(130,3+18*3+(12))),'J1 C - (South) Bishopthorpe Roa'!$A$12:$A$130,"&gt;="&amp;Diagram!$O51,'J1 C - (South) Bishopthorpe Roa'!$A$12:$A$130,"&lt;"&amp;Diagram!$P51)))</f>
        <v>0</v>
      </c>
      <c r="CT51" s="42">
        <f ca="1">IF(OR($I$10="",$O51="",$P51="",$J$39&lt;&gt;"Yes"),0,IF($K$10=0,SUMIFS(INDIRECT(ADDRESS(12,3+18*0+(4),,,"J1 C - (South) Bishopthorpe Roa")&amp;":"&amp;ADDRESS(130,3+18*0+(4))),'J1 C - (South) Bishopthorpe Roa'!$A$12:$A$130,"&gt;="&amp;Diagram!$O51,'J1 C - (South) Bishopthorpe Roa'!$A$12:$A$130,"&lt;"&amp;Diagram!$P51),SUMIFS(INDIRECT(ADDRESS(12,3+18*0+(12),,,"J1 C - (South) Bishopthorpe Roa")&amp;":"&amp;ADDRESS(130,3+18*0+(12))),'J1 C - (South) Bishopthorpe Roa'!$A$12:$A$130,"&gt;="&amp;Diagram!$O51,'J1 C - (South) Bishopthorpe Roa'!$A$12:$A$130,"&lt;"&amp;Diagram!$P51)))</f>
        <v>0</v>
      </c>
      <c r="CU51" s="42">
        <f ca="1">IF(OR($I$10="",$O51="",$P51="",$J$39&lt;&gt;"Yes"),0,IF($K$10=0,SUMIFS(INDIRECT(ADDRESS(12,3+18*0+(4),,,"J1 D - South Bank Avenue")&amp;":"&amp;ADDRESS(130,3+18*0+(4))),'J1 D - South Bank Avenue'!$A$12:$A$130,"&gt;="&amp;Diagram!$O51,'J1 D - South Bank Avenue'!$A$12:$A$130,"&lt;"&amp;Diagram!$P51),SUMIFS(INDIRECT(ADDRESS(12,3+18*0+(12),,,"J1 D - South Bank Avenue")&amp;":"&amp;ADDRESS(130,3+18*0+(12))),'J1 D - South Bank Avenue'!$A$12:$A$130,"&gt;="&amp;Diagram!$O51,'J1 D - South Bank Avenue'!$A$12:$A$130,"&lt;"&amp;Diagram!$P51)))</f>
        <v>0</v>
      </c>
      <c r="CV51" s="42">
        <f ca="1">IF(OR($I$10="",$O51="",$P51="",$J$39&lt;&gt;"Yes"),0,IF($K$10=0,SUMIFS(INDIRECT(ADDRESS(12,3+18*1+(4),,,"J1 D - South Bank Avenue")&amp;":"&amp;ADDRESS(130,3+18*1+(4))),'J1 D - South Bank Avenue'!$A$12:$A$130,"&gt;="&amp;Diagram!$O51,'J1 D - South Bank Avenue'!$A$12:$A$130,"&lt;"&amp;Diagram!$P51),SUMIFS(INDIRECT(ADDRESS(12,3+18*1+(12),,,"J1 D - South Bank Avenue")&amp;":"&amp;ADDRESS(130,3+18*1+(12))),'J1 D - South Bank Avenue'!$A$12:$A$130,"&gt;="&amp;Diagram!$O51,'J1 D - South Bank Avenue'!$A$12:$A$130,"&lt;"&amp;Diagram!$P51)))</f>
        <v>0</v>
      </c>
      <c r="CW51" s="42">
        <f ca="1">IF(OR($I$10="",$O51="",$P51="",$J$39&lt;&gt;"Yes"),0,IF($K$10=0,SUMIFS(INDIRECT(ADDRESS(12,3+18*2+(4),,,"J1 D - South Bank Avenue")&amp;":"&amp;ADDRESS(130,3+18*2+(4))),'J1 D - South Bank Avenue'!$A$12:$A$130,"&gt;="&amp;Diagram!$O51,'J1 D - South Bank Avenue'!$A$12:$A$130,"&lt;"&amp;Diagram!$P51),SUMIFS(INDIRECT(ADDRESS(12,3+18*2+(12),,,"J1 D - South Bank Avenue")&amp;":"&amp;ADDRESS(130,3+18*2+(12))),'J1 D - South Bank Avenue'!$A$12:$A$130,"&gt;="&amp;Diagram!$O51,'J1 D - South Bank Avenue'!$A$12:$A$130,"&lt;"&amp;Diagram!$P51)))</f>
        <v>0</v>
      </c>
      <c r="CX51" s="42">
        <f ca="1">IF(OR($I$10="",$O51="",$P51="",$J$39&lt;&gt;"Yes"),0,IF($K$10=0,SUMIFS(INDIRECT(ADDRESS(12,3+18*3+(4),,,"J1 D - South Bank Avenue")&amp;":"&amp;ADDRESS(130,3+18*3+(4))),'J1 D - South Bank Avenue'!$A$12:$A$130,"&gt;="&amp;Diagram!$O51,'J1 D - South Bank Avenue'!$A$12:$A$130,"&lt;"&amp;Diagram!$P51),SUMIFS(INDIRECT(ADDRESS(12,3+18*3+(12),,,"J1 D - South Bank Avenue")&amp;":"&amp;ADDRESS(130,3+18*3+(12))),'J1 D - South Bank Avenue'!$A$12:$A$130,"&gt;="&amp;Diagram!$O51,'J1 D - South Bank Avenue'!$A$12:$A$130,"&lt;"&amp;Diagram!$P51)))</f>
        <v>0</v>
      </c>
      <c r="CY51" s="42">
        <f t="shared" ca="1" si="6"/>
        <v>113</v>
      </c>
      <c r="CZ51" s="42">
        <f ca="1">IF(OR($I$10="",$O51="",$P51="",$J$40&lt;&gt;"Yes"),0,IF($K$10=0,SUMIFS(INDIRECT(ADDRESS(12,3+18*3+(5),,,"J1 A - (North) Bishopthorpe Roa")&amp;":"&amp;ADDRESS(130,3+18*3+(5))),'J1 A - (North) Bishopthorpe Roa'!$A$12:$A$130,"&gt;="&amp;Diagram!$O51,'J1 A - (North) Bishopthorpe Roa'!$A$12:$A$130,"&lt;"&amp;Diagram!$P51),SUMIFS(INDIRECT(ADDRESS(12,3+18*3+(13),,,"J1 A - (North) Bishopthorpe Roa")&amp;":"&amp;ADDRESS(130,3+18*3+(13))),'J1 A - (North) Bishopthorpe Roa'!$A$12:$A$130,"&gt;="&amp;Diagram!$O51,'J1 A - (North) Bishopthorpe Roa'!$A$12:$A$130,"&lt;"&amp;Diagram!$P51)))</f>
        <v>0</v>
      </c>
      <c r="DA51" s="42">
        <f ca="1">IF(OR($I$10="",$O51="",$P51="",$J$40&lt;&gt;"Yes"),0,IF($K$10=0,SUMIFS(INDIRECT(ADDRESS(12,3+18*0+(5),,,"J1 A - (North) Bishopthorpe Roa")&amp;":"&amp;ADDRESS(130,3+18*0+(5))),'J1 A - (North) Bishopthorpe Roa'!$A$12:$A$130,"&gt;="&amp;Diagram!$O51,'J1 A - (North) Bishopthorpe Roa'!$A$12:$A$130,"&lt;"&amp;Diagram!$P51),SUMIFS(INDIRECT(ADDRESS(12,3+18*0+(13),,,"J1 A - (North) Bishopthorpe Roa")&amp;":"&amp;ADDRESS(130,3+18*0+(13))),'J1 A - (North) Bishopthorpe Roa'!$A$12:$A$130,"&gt;="&amp;Diagram!$O51,'J1 A - (North) Bishopthorpe Roa'!$A$12:$A$130,"&lt;"&amp;Diagram!$P51)))</f>
        <v>16</v>
      </c>
      <c r="DB51" s="42">
        <f ca="1">IF(OR($I$10="",$O51="",$P51="",$J$40&lt;&gt;"Yes"),0,IF($K$10=0,SUMIFS(INDIRECT(ADDRESS(12,3+18*1+(5),,,"J1 A - (North) Bishopthorpe Roa")&amp;":"&amp;ADDRESS(130,3+18*1+(5))),'J1 A - (North) Bishopthorpe Roa'!$A$12:$A$130,"&gt;="&amp;Diagram!$O51,'J1 A - (North) Bishopthorpe Roa'!$A$12:$A$130,"&lt;"&amp;Diagram!$P51),SUMIFS(INDIRECT(ADDRESS(12,3+18*1+(13),,,"J1 A - (North) Bishopthorpe Roa")&amp;":"&amp;ADDRESS(130,3+18*1+(13))),'J1 A - (North) Bishopthorpe Roa'!$A$12:$A$130,"&gt;="&amp;Diagram!$O51,'J1 A - (North) Bishopthorpe Roa'!$A$12:$A$130,"&lt;"&amp;Diagram!$P51)))</f>
        <v>9</v>
      </c>
      <c r="DC51" s="42">
        <f ca="1">IF(OR($I$10="",$O51="",$P51="",$J$40&lt;&gt;"Yes"),0,IF($K$10=0,SUMIFS(INDIRECT(ADDRESS(12,3+18*2+(5),,,"J1 A - (North) Bishopthorpe Roa")&amp;":"&amp;ADDRESS(130,3+18*2+(5))),'J1 A - (North) Bishopthorpe Roa'!$A$12:$A$130,"&gt;="&amp;Diagram!$O51,'J1 A - (North) Bishopthorpe Roa'!$A$12:$A$130,"&lt;"&amp;Diagram!$P51),SUMIFS(INDIRECT(ADDRESS(12,3+18*2+(13),,,"J1 A - (North) Bishopthorpe Roa")&amp;":"&amp;ADDRESS(130,3+18*2+(13))),'J1 A - (North) Bishopthorpe Roa'!$A$12:$A$130,"&gt;="&amp;Diagram!$O51,'J1 A - (North) Bishopthorpe Roa'!$A$12:$A$130,"&lt;"&amp;Diagram!$P51)))</f>
        <v>0</v>
      </c>
      <c r="DD51" s="42">
        <f ca="1">IF(OR($I$10="",$O51="",$P51="",$J$40&lt;&gt;"Yes"),0,IF($K$10=0,SUMIFS(INDIRECT(ADDRESS(12,3+18*2+(5),,,"J1 B - Butcher Terrace")&amp;":"&amp;ADDRESS(130,3+18*2+(5))),'J1 B - Butcher Terrace'!$A$12:$A$130,"&gt;="&amp;Diagram!$O51,'J1 B - Butcher Terrace'!$A$12:$A$130,"&lt;"&amp;Diagram!$P51),SUMIFS(INDIRECT(ADDRESS(12,3+18*2+(13),,,"J1 B - Butcher Terrace")&amp;":"&amp;ADDRESS(130,3+18*2+(13))),'J1 B - Butcher Terrace'!$A$12:$A$130,"&gt;="&amp;Diagram!$O51,'J1 B - Butcher Terrace'!$A$12:$A$130,"&lt;"&amp;Diagram!$P51)))</f>
        <v>9</v>
      </c>
      <c r="DE51" s="42">
        <f ca="1">IF(OR($I$10="",$O51="",$P51="",$J$40&lt;&gt;"Yes"),0,IF($K$10=0,SUMIFS(INDIRECT(ADDRESS(12,3+18*3+(5),,,"J1 B - Butcher Terrace")&amp;":"&amp;ADDRESS(130,3+18*3+(5))),'J1 B - Butcher Terrace'!$A$12:$A$130,"&gt;="&amp;Diagram!$O51,'J1 B - Butcher Terrace'!$A$12:$A$130,"&lt;"&amp;Diagram!$P51),SUMIFS(INDIRECT(ADDRESS(12,3+18*3+(13),,,"J1 B - Butcher Terrace")&amp;":"&amp;ADDRESS(130,3+18*3+(13))),'J1 B - Butcher Terrace'!$A$12:$A$130,"&gt;="&amp;Diagram!$O51,'J1 B - Butcher Terrace'!$A$12:$A$130,"&lt;"&amp;Diagram!$P51)))</f>
        <v>0</v>
      </c>
      <c r="DF51" s="42">
        <f ca="1">IF(OR($I$10="",$O51="",$P51="",$J$40&lt;&gt;"Yes"),0,IF($K$10=0,SUMIFS(INDIRECT(ADDRESS(12,3+18*0+(5),,,"J1 B - Butcher Terrace")&amp;":"&amp;ADDRESS(130,3+18*0+(5))),'J1 B - Butcher Terrace'!$A$12:$A$130,"&gt;="&amp;Diagram!$O51,'J1 B - Butcher Terrace'!$A$12:$A$130,"&lt;"&amp;Diagram!$P51),SUMIFS(INDIRECT(ADDRESS(12,3+18*0+(13),,,"J1 B - Butcher Terrace")&amp;":"&amp;ADDRESS(130,3+18*0+(13))),'J1 B - Butcher Terrace'!$A$12:$A$130,"&gt;="&amp;Diagram!$O51,'J1 B - Butcher Terrace'!$A$12:$A$130,"&lt;"&amp;Diagram!$P51)))</f>
        <v>11</v>
      </c>
      <c r="DG51" s="42">
        <f ca="1">IF(OR($I$10="",$O51="",$P51="",$J$40&lt;&gt;"Yes"),0,IF($K$10=0,SUMIFS(INDIRECT(ADDRESS(12,3+18*1+(5),,,"J1 B - Butcher Terrace")&amp;":"&amp;ADDRESS(130,3+18*1+(5))),'J1 B - Butcher Terrace'!$A$12:$A$130,"&gt;="&amp;Diagram!$O51,'J1 B - Butcher Terrace'!$A$12:$A$130,"&lt;"&amp;Diagram!$P51),SUMIFS(INDIRECT(ADDRESS(12,3+18*1+(13),,,"J1 B - Butcher Terrace")&amp;":"&amp;ADDRESS(130,3+18*1+(13))),'J1 B - Butcher Terrace'!$A$12:$A$130,"&gt;="&amp;Diagram!$O51,'J1 B - Butcher Terrace'!$A$12:$A$130,"&lt;"&amp;Diagram!$P51)))</f>
        <v>26</v>
      </c>
      <c r="DH51" s="42">
        <f ca="1">IF(OR($I$10="",$O51="",$P51="",$J$40&lt;&gt;"Yes"),0,IF($K$10=0,SUMIFS(INDIRECT(ADDRESS(12,3+18*1+(5),,,"J1 C - (South) Bishopthorpe Roa")&amp;":"&amp;ADDRESS(130,3+18*1+(5))),'J1 C - (South) Bishopthorpe Roa'!$A$12:$A$130,"&gt;="&amp;Diagram!$O51,'J1 C - (South) Bishopthorpe Roa'!$A$12:$A$130,"&lt;"&amp;Diagram!$P51),SUMIFS(INDIRECT(ADDRESS(12,3+18*1+(13),,,"J1 C - (South) Bishopthorpe Roa")&amp;":"&amp;ADDRESS(130,3+18*1+(13))),'J1 C - (South) Bishopthorpe Roa'!$A$12:$A$130,"&gt;="&amp;Diagram!$O51,'J1 C - (South) Bishopthorpe Roa'!$A$12:$A$130,"&lt;"&amp;Diagram!$P51)))</f>
        <v>12</v>
      </c>
      <c r="DI51" s="42">
        <f ca="1">IF(OR($I$10="",$O51="",$P51="",$J$40&lt;&gt;"Yes"),0,IF($K$10=0,SUMIFS(INDIRECT(ADDRESS(12,3+18*2+(5),,,"J1 C - (South) Bishopthorpe Roa")&amp;":"&amp;ADDRESS(130,3+18*2+(5))),'J1 C - (South) Bishopthorpe Roa'!$A$12:$A$130,"&gt;="&amp;Diagram!$O51,'J1 C - (South) Bishopthorpe Roa'!$A$12:$A$130,"&lt;"&amp;Diagram!$P51),SUMIFS(INDIRECT(ADDRESS(12,3+18*2+(13),,,"J1 C - (South) Bishopthorpe Roa")&amp;":"&amp;ADDRESS(130,3+18*2+(13))),'J1 C - (South) Bishopthorpe Roa'!$A$12:$A$130,"&gt;="&amp;Diagram!$O51,'J1 C - (South) Bishopthorpe Roa'!$A$12:$A$130,"&lt;"&amp;Diagram!$P51)))</f>
        <v>6</v>
      </c>
      <c r="DJ51" s="42">
        <f ca="1">IF(OR($I$10="",$O51="",$P51="",$J$40&lt;&gt;"Yes"),0,IF($K$10=0,SUMIFS(INDIRECT(ADDRESS(12,3+18*3+(5),,,"J1 C - (South) Bishopthorpe Roa")&amp;":"&amp;ADDRESS(130,3+18*3+(5))),'J1 C - (South) Bishopthorpe Roa'!$A$12:$A$130,"&gt;="&amp;Diagram!$O51,'J1 C - (South) Bishopthorpe Roa'!$A$12:$A$130,"&lt;"&amp;Diagram!$P51),SUMIFS(INDIRECT(ADDRESS(12,3+18*3+(13),,,"J1 C - (South) Bishopthorpe Roa")&amp;":"&amp;ADDRESS(130,3+18*3+(13))),'J1 C - (South) Bishopthorpe Roa'!$A$12:$A$130,"&gt;="&amp;Diagram!$O51,'J1 C - (South) Bishopthorpe Roa'!$A$12:$A$130,"&lt;"&amp;Diagram!$P51)))</f>
        <v>0</v>
      </c>
      <c r="DK51" s="42">
        <f ca="1">IF(OR($I$10="",$O51="",$P51="",$J$40&lt;&gt;"Yes"),0,IF($K$10=0,SUMIFS(INDIRECT(ADDRESS(12,3+18*0+(5),,,"J1 C - (South) Bishopthorpe Roa")&amp;":"&amp;ADDRESS(130,3+18*0+(5))),'J1 C - (South) Bishopthorpe Roa'!$A$12:$A$130,"&gt;="&amp;Diagram!$O51,'J1 C - (South) Bishopthorpe Roa'!$A$12:$A$130,"&lt;"&amp;Diagram!$P51),SUMIFS(INDIRECT(ADDRESS(12,3+18*0+(13),,,"J1 C - (South) Bishopthorpe Roa")&amp;":"&amp;ADDRESS(130,3+18*0+(13))),'J1 C - (South) Bishopthorpe Roa'!$A$12:$A$130,"&gt;="&amp;Diagram!$O51,'J1 C - (South) Bishopthorpe Roa'!$A$12:$A$130,"&lt;"&amp;Diagram!$P51)))</f>
        <v>2</v>
      </c>
      <c r="DL51" s="42">
        <f ca="1">IF(OR($I$10="",$O51="",$P51="",$J$40&lt;&gt;"Yes"),0,IF($K$10=0,SUMIFS(INDIRECT(ADDRESS(12,3+18*0+(5),,,"J1 D - South Bank Avenue")&amp;":"&amp;ADDRESS(130,3+18*0+(5))),'J1 D - South Bank Avenue'!$A$12:$A$130,"&gt;="&amp;Diagram!$O51,'J1 D - South Bank Avenue'!$A$12:$A$130,"&lt;"&amp;Diagram!$P51),SUMIFS(INDIRECT(ADDRESS(12,3+18*0+(13),,,"J1 D - South Bank Avenue")&amp;":"&amp;ADDRESS(130,3+18*0+(13))),'J1 D - South Bank Avenue'!$A$12:$A$130,"&gt;="&amp;Diagram!$O51,'J1 D - South Bank Avenue'!$A$12:$A$130,"&lt;"&amp;Diagram!$P51)))</f>
        <v>4</v>
      </c>
      <c r="DM51" s="42">
        <f ca="1">IF(OR($I$10="",$O51="",$P51="",$J$40&lt;&gt;"Yes"),0,IF($K$10=0,SUMIFS(INDIRECT(ADDRESS(12,3+18*1+(5),,,"J1 D - South Bank Avenue")&amp;":"&amp;ADDRESS(130,3+18*1+(5))),'J1 D - South Bank Avenue'!$A$12:$A$130,"&gt;="&amp;Diagram!$O51,'J1 D - South Bank Avenue'!$A$12:$A$130,"&lt;"&amp;Diagram!$P51),SUMIFS(INDIRECT(ADDRESS(12,3+18*1+(13),,,"J1 D - South Bank Avenue")&amp;":"&amp;ADDRESS(130,3+18*1+(13))),'J1 D - South Bank Avenue'!$A$12:$A$130,"&gt;="&amp;Diagram!$O51,'J1 D - South Bank Avenue'!$A$12:$A$130,"&lt;"&amp;Diagram!$P51)))</f>
        <v>18</v>
      </c>
      <c r="DN51" s="42">
        <f ca="1">IF(OR($I$10="",$O51="",$P51="",$J$40&lt;&gt;"Yes"),0,IF($K$10=0,SUMIFS(INDIRECT(ADDRESS(12,3+18*2+(5),,,"J1 D - South Bank Avenue")&amp;":"&amp;ADDRESS(130,3+18*2+(5))),'J1 D - South Bank Avenue'!$A$12:$A$130,"&gt;="&amp;Diagram!$O51,'J1 D - South Bank Avenue'!$A$12:$A$130,"&lt;"&amp;Diagram!$P51),SUMIFS(INDIRECT(ADDRESS(12,3+18*2+(13),,,"J1 D - South Bank Avenue")&amp;":"&amp;ADDRESS(130,3+18*2+(13))),'J1 D - South Bank Avenue'!$A$12:$A$130,"&gt;="&amp;Diagram!$O51,'J1 D - South Bank Avenue'!$A$12:$A$130,"&lt;"&amp;Diagram!$P51)))</f>
        <v>0</v>
      </c>
      <c r="DO51" s="42">
        <f ca="1">IF(OR($I$10="",$O51="",$P51="",$J$40&lt;&gt;"Yes"),0,IF($K$10=0,SUMIFS(INDIRECT(ADDRESS(12,3+18*3+(5),,,"J1 D - South Bank Avenue")&amp;":"&amp;ADDRESS(130,3+18*3+(5))),'J1 D - South Bank Avenue'!$A$12:$A$130,"&gt;="&amp;Diagram!$O51,'J1 D - South Bank Avenue'!$A$12:$A$130,"&lt;"&amp;Diagram!$P51),SUMIFS(INDIRECT(ADDRESS(12,3+18*3+(13),,,"J1 D - South Bank Avenue")&amp;":"&amp;ADDRESS(130,3+18*3+(13))),'J1 D - South Bank Avenue'!$A$12:$A$130,"&gt;="&amp;Diagram!$O51,'J1 D - South Bank Avenue'!$A$12:$A$130,"&lt;"&amp;Diagram!$P51)))</f>
        <v>0</v>
      </c>
      <c r="DP51" s="42">
        <f t="shared" ca="1" si="7"/>
        <v>8</v>
      </c>
      <c r="DQ51" s="42">
        <f ca="1">IF(OR($I$10="",$O51="",$P51="",$J$41&lt;&gt;"Yes"),0,IF($K$10=0,SUMIFS(INDIRECT(ADDRESS(12,3+18*3+(6),,,"J1 A - (North) Bishopthorpe Roa")&amp;":"&amp;ADDRESS(130,3+18*3+(6))),'J1 A - (North) Bishopthorpe Roa'!$A$12:$A$130,"&gt;="&amp;Diagram!$O51,'J1 A - (North) Bishopthorpe Roa'!$A$12:$A$130,"&lt;"&amp;Diagram!$P51),SUMIFS(INDIRECT(ADDRESS(12,3+18*3+(14),,,"J1 A - (North) Bishopthorpe Roa")&amp;":"&amp;ADDRESS(130,3+18*3+(14))),'J1 A - (North) Bishopthorpe Roa'!$A$12:$A$130,"&gt;="&amp;Diagram!$O51,'J1 A - (North) Bishopthorpe Roa'!$A$12:$A$130,"&lt;"&amp;Diagram!$P51)))</f>
        <v>0</v>
      </c>
      <c r="DR51" s="42">
        <f ca="1">IF(OR($I$10="",$O51="",$P51="",$J$41&lt;&gt;"Yes"),0,IF($K$10=0,SUMIFS(INDIRECT(ADDRESS(12,3+18*0+(6),,,"J1 A - (North) Bishopthorpe Roa")&amp;":"&amp;ADDRESS(130,3+18*0+(6))),'J1 A - (North) Bishopthorpe Roa'!$A$12:$A$130,"&gt;="&amp;Diagram!$O51,'J1 A - (North) Bishopthorpe Roa'!$A$12:$A$130,"&lt;"&amp;Diagram!$P51),SUMIFS(INDIRECT(ADDRESS(12,3+18*0+(14),,,"J1 A - (North) Bishopthorpe Roa")&amp;":"&amp;ADDRESS(130,3+18*0+(14))),'J1 A - (North) Bishopthorpe Roa'!$A$12:$A$130,"&gt;="&amp;Diagram!$O51,'J1 A - (North) Bishopthorpe Roa'!$A$12:$A$130,"&lt;"&amp;Diagram!$P51)))</f>
        <v>0</v>
      </c>
      <c r="DS51" s="42">
        <f ca="1">IF(OR($I$10="",$O51="",$P51="",$J$41&lt;&gt;"Yes"),0,IF($K$10=0,SUMIFS(INDIRECT(ADDRESS(12,3+18*1+(6),,,"J1 A - (North) Bishopthorpe Roa")&amp;":"&amp;ADDRESS(130,3+18*1+(6))),'J1 A - (North) Bishopthorpe Roa'!$A$12:$A$130,"&gt;="&amp;Diagram!$O51,'J1 A - (North) Bishopthorpe Roa'!$A$12:$A$130,"&lt;"&amp;Diagram!$P51),SUMIFS(INDIRECT(ADDRESS(12,3+18*1+(14),,,"J1 A - (North) Bishopthorpe Roa")&amp;":"&amp;ADDRESS(130,3+18*1+(14))),'J1 A - (North) Bishopthorpe Roa'!$A$12:$A$130,"&gt;="&amp;Diagram!$O51,'J1 A - (North) Bishopthorpe Roa'!$A$12:$A$130,"&lt;"&amp;Diagram!$P51)))</f>
        <v>3</v>
      </c>
      <c r="DT51" s="42">
        <f ca="1">IF(OR($I$10="",$O51="",$P51="",$J$41&lt;&gt;"Yes"),0,IF($K$10=0,SUMIFS(INDIRECT(ADDRESS(12,3+18*2+(6),,,"J1 A - (North) Bishopthorpe Roa")&amp;":"&amp;ADDRESS(130,3+18*2+(6))),'J1 A - (North) Bishopthorpe Roa'!$A$12:$A$130,"&gt;="&amp;Diagram!$O51,'J1 A - (North) Bishopthorpe Roa'!$A$12:$A$130,"&lt;"&amp;Diagram!$P51),SUMIFS(INDIRECT(ADDRESS(12,3+18*2+(14),,,"J1 A - (North) Bishopthorpe Roa")&amp;":"&amp;ADDRESS(130,3+18*2+(14))),'J1 A - (North) Bishopthorpe Roa'!$A$12:$A$130,"&gt;="&amp;Diagram!$O51,'J1 A - (North) Bishopthorpe Roa'!$A$12:$A$130,"&lt;"&amp;Diagram!$P51)))</f>
        <v>1</v>
      </c>
      <c r="DU51" s="42">
        <f ca="1">IF(OR($I$10="",$O51="",$P51="",$J$41&lt;&gt;"Yes"),0,IF($K$10=0,SUMIFS(INDIRECT(ADDRESS(12,3+18*2+(6),,,"J1 B - Butcher Terrace")&amp;":"&amp;ADDRESS(130,3+18*2+(6))),'J1 B - Butcher Terrace'!$A$12:$A$130,"&gt;="&amp;Diagram!$O51,'J1 B - Butcher Terrace'!$A$12:$A$130,"&lt;"&amp;Diagram!$P51),SUMIFS(INDIRECT(ADDRESS(12,3+18*2+(14),,,"J1 B - Butcher Terrace")&amp;":"&amp;ADDRESS(130,3+18*2+(14))),'J1 B - Butcher Terrace'!$A$12:$A$130,"&gt;="&amp;Diagram!$O51,'J1 B - Butcher Terrace'!$A$12:$A$130,"&lt;"&amp;Diagram!$P51)))</f>
        <v>0</v>
      </c>
      <c r="DV51" s="42">
        <f ca="1">IF(OR($I$10="",$O51="",$P51="",$J$41&lt;&gt;"Yes"),0,IF($K$10=0,SUMIFS(INDIRECT(ADDRESS(12,3+18*3+(6),,,"J1 B - Butcher Terrace")&amp;":"&amp;ADDRESS(130,3+18*3+(6))),'J1 B - Butcher Terrace'!$A$12:$A$130,"&gt;="&amp;Diagram!$O51,'J1 B - Butcher Terrace'!$A$12:$A$130,"&lt;"&amp;Diagram!$P51),SUMIFS(INDIRECT(ADDRESS(12,3+18*3+(14),,,"J1 B - Butcher Terrace")&amp;":"&amp;ADDRESS(130,3+18*3+(14))),'J1 B - Butcher Terrace'!$A$12:$A$130,"&gt;="&amp;Diagram!$O51,'J1 B - Butcher Terrace'!$A$12:$A$130,"&lt;"&amp;Diagram!$P51)))</f>
        <v>0</v>
      </c>
      <c r="DW51" s="42">
        <f ca="1">IF(OR($I$10="",$O51="",$P51="",$J$41&lt;&gt;"Yes"),0,IF($K$10=0,SUMIFS(INDIRECT(ADDRESS(12,3+18*0+(6),,,"J1 B - Butcher Terrace")&amp;":"&amp;ADDRESS(130,3+18*0+(6))),'J1 B - Butcher Terrace'!$A$12:$A$130,"&gt;="&amp;Diagram!$O51,'J1 B - Butcher Terrace'!$A$12:$A$130,"&lt;"&amp;Diagram!$P51),SUMIFS(INDIRECT(ADDRESS(12,3+18*0+(14),,,"J1 B - Butcher Terrace")&amp;":"&amp;ADDRESS(130,3+18*0+(14))),'J1 B - Butcher Terrace'!$A$12:$A$130,"&gt;="&amp;Diagram!$O51,'J1 B - Butcher Terrace'!$A$12:$A$130,"&lt;"&amp;Diagram!$P51)))</f>
        <v>1</v>
      </c>
      <c r="DX51" s="42">
        <f ca="1">IF(OR($I$10="",$O51="",$P51="",$J$41&lt;&gt;"Yes"),0,IF($K$10=0,SUMIFS(INDIRECT(ADDRESS(12,3+18*1+(6),,,"J1 B - Butcher Terrace")&amp;":"&amp;ADDRESS(130,3+18*1+(6))),'J1 B - Butcher Terrace'!$A$12:$A$130,"&gt;="&amp;Diagram!$O51,'J1 B - Butcher Terrace'!$A$12:$A$130,"&lt;"&amp;Diagram!$P51),SUMIFS(INDIRECT(ADDRESS(12,3+18*1+(14),,,"J1 B - Butcher Terrace")&amp;":"&amp;ADDRESS(130,3+18*1+(14))),'J1 B - Butcher Terrace'!$A$12:$A$130,"&gt;="&amp;Diagram!$O51,'J1 B - Butcher Terrace'!$A$12:$A$130,"&lt;"&amp;Diagram!$P51)))</f>
        <v>0</v>
      </c>
      <c r="DY51" s="42">
        <f ca="1">IF(OR($I$10="",$O51="",$P51="",$J$41&lt;&gt;"Yes"),0,IF($K$10=0,SUMIFS(INDIRECT(ADDRESS(12,3+18*1+(6),,,"J1 C - (South) Bishopthorpe Roa")&amp;":"&amp;ADDRESS(130,3+18*1+(6))),'J1 C - (South) Bishopthorpe Roa'!$A$12:$A$130,"&gt;="&amp;Diagram!$O51,'J1 C - (South) Bishopthorpe Roa'!$A$12:$A$130,"&lt;"&amp;Diagram!$P51),SUMIFS(INDIRECT(ADDRESS(12,3+18*1+(14),,,"J1 C - (South) Bishopthorpe Roa")&amp;":"&amp;ADDRESS(130,3+18*1+(14))),'J1 C - (South) Bishopthorpe Roa'!$A$12:$A$130,"&gt;="&amp;Diagram!$O51,'J1 C - (South) Bishopthorpe Roa'!$A$12:$A$130,"&lt;"&amp;Diagram!$P51)))</f>
        <v>2</v>
      </c>
      <c r="DZ51" s="42">
        <f ca="1">IF(OR($I$10="",$O51="",$P51="",$J$41&lt;&gt;"Yes"),0,IF($K$10=0,SUMIFS(INDIRECT(ADDRESS(12,3+18*2+(6),,,"J1 C - (South) Bishopthorpe Roa")&amp;":"&amp;ADDRESS(130,3+18*2+(6))),'J1 C - (South) Bishopthorpe Roa'!$A$12:$A$130,"&gt;="&amp;Diagram!$O51,'J1 C - (South) Bishopthorpe Roa'!$A$12:$A$130,"&lt;"&amp;Diagram!$P51),SUMIFS(INDIRECT(ADDRESS(12,3+18*2+(14),,,"J1 C - (South) Bishopthorpe Roa")&amp;":"&amp;ADDRESS(130,3+18*2+(14))),'J1 C - (South) Bishopthorpe Roa'!$A$12:$A$130,"&gt;="&amp;Diagram!$O51,'J1 C - (South) Bishopthorpe Roa'!$A$12:$A$130,"&lt;"&amp;Diagram!$P51)))</f>
        <v>0</v>
      </c>
      <c r="EA51" s="42">
        <f ca="1">IF(OR($I$10="",$O51="",$P51="",$J$41&lt;&gt;"Yes"),0,IF($K$10=0,SUMIFS(INDIRECT(ADDRESS(12,3+18*3+(6),,,"J1 C - (South) Bishopthorpe Roa")&amp;":"&amp;ADDRESS(130,3+18*3+(6))),'J1 C - (South) Bishopthorpe Roa'!$A$12:$A$130,"&gt;="&amp;Diagram!$O51,'J1 C - (South) Bishopthorpe Roa'!$A$12:$A$130,"&lt;"&amp;Diagram!$P51),SUMIFS(INDIRECT(ADDRESS(12,3+18*3+(14),,,"J1 C - (South) Bishopthorpe Roa")&amp;":"&amp;ADDRESS(130,3+18*3+(14))),'J1 C - (South) Bishopthorpe Roa'!$A$12:$A$130,"&gt;="&amp;Diagram!$O51,'J1 C - (South) Bishopthorpe Roa'!$A$12:$A$130,"&lt;"&amp;Diagram!$P51)))</f>
        <v>0</v>
      </c>
      <c r="EB51" s="42">
        <f ca="1">IF(OR($I$10="",$O51="",$P51="",$J$41&lt;&gt;"Yes"),0,IF($K$10=0,SUMIFS(INDIRECT(ADDRESS(12,3+18*0+(6),,,"J1 C - (South) Bishopthorpe Roa")&amp;":"&amp;ADDRESS(130,3+18*0+(6))),'J1 C - (South) Bishopthorpe Roa'!$A$12:$A$130,"&gt;="&amp;Diagram!$O51,'J1 C - (South) Bishopthorpe Roa'!$A$12:$A$130,"&lt;"&amp;Diagram!$P51),SUMIFS(INDIRECT(ADDRESS(12,3+18*0+(14),,,"J1 C - (South) Bishopthorpe Roa")&amp;":"&amp;ADDRESS(130,3+18*0+(14))),'J1 C - (South) Bishopthorpe Roa'!$A$12:$A$130,"&gt;="&amp;Diagram!$O51,'J1 C - (South) Bishopthorpe Roa'!$A$12:$A$130,"&lt;"&amp;Diagram!$P51)))</f>
        <v>0</v>
      </c>
      <c r="EC51" s="42">
        <f ca="1">IF(OR($I$10="",$O51="",$P51="",$J$41&lt;&gt;"Yes"),0,IF($K$10=0,SUMIFS(INDIRECT(ADDRESS(12,3+18*0+(6),,,"J1 D - South Bank Avenue")&amp;":"&amp;ADDRESS(130,3+18*0+(6))),'J1 D - South Bank Avenue'!$A$12:$A$130,"&gt;="&amp;Diagram!$O51,'J1 D - South Bank Avenue'!$A$12:$A$130,"&lt;"&amp;Diagram!$P51),SUMIFS(INDIRECT(ADDRESS(12,3+18*0+(14),,,"J1 D - South Bank Avenue")&amp;":"&amp;ADDRESS(130,3+18*0+(14))),'J1 D - South Bank Avenue'!$A$12:$A$130,"&gt;="&amp;Diagram!$O51,'J1 D - South Bank Avenue'!$A$12:$A$130,"&lt;"&amp;Diagram!$P51)))</f>
        <v>1</v>
      </c>
      <c r="ED51" s="42">
        <f ca="1">IF(OR($I$10="",$O51="",$P51="",$J$41&lt;&gt;"Yes"),0,IF($K$10=0,SUMIFS(INDIRECT(ADDRESS(12,3+18*1+(6),,,"J1 D - South Bank Avenue")&amp;":"&amp;ADDRESS(130,3+18*1+(6))),'J1 D - South Bank Avenue'!$A$12:$A$130,"&gt;="&amp;Diagram!$O51,'J1 D - South Bank Avenue'!$A$12:$A$130,"&lt;"&amp;Diagram!$P51),SUMIFS(INDIRECT(ADDRESS(12,3+18*1+(14),,,"J1 D - South Bank Avenue")&amp;":"&amp;ADDRESS(130,3+18*1+(14))),'J1 D - South Bank Avenue'!$A$12:$A$130,"&gt;="&amp;Diagram!$O51,'J1 D - South Bank Avenue'!$A$12:$A$130,"&lt;"&amp;Diagram!$P51)))</f>
        <v>0</v>
      </c>
      <c r="EE51" s="42">
        <f ca="1">IF(OR($I$10="",$O51="",$P51="",$J$41&lt;&gt;"Yes"),0,IF($K$10=0,SUMIFS(INDIRECT(ADDRESS(12,3+18*2+(6),,,"J1 D - South Bank Avenue")&amp;":"&amp;ADDRESS(130,3+18*2+(6))),'J1 D - South Bank Avenue'!$A$12:$A$130,"&gt;="&amp;Diagram!$O51,'J1 D - South Bank Avenue'!$A$12:$A$130,"&lt;"&amp;Diagram!$P51),SUMIFS(INDIRECT(ADDRESS(12,3+18*2+(14),,,"J1 D - South Bank Avenue")&amp;":"&amp;ADDRESS(130,3+18*2+(14))),'J1 D - South Bank Avenue'!$A$12:$A$130,"&gt;="&amp;Diagram!$O51,'J1 D - South Bank Avenue'!$A$12:$A$130,"&lt;"&amp;Diagram!$P51)))</f>
        <v>0</v>
      </c>
      <c r="EF51" s="42">
        <f ca="1">IF(OR($I$10="",$O51="",$P51="",$J$41&lt;&gt;"Yes"),0,IF($K$10=0,SUMIFS(INDIRECT(ADDRESS(12,3+18*3+(6),,,"J1 D - South Bank Avenue")&amp;":"&amp;ADDRESS(130,3+18*3+(6))),'J1 D - South Bank Avenue'!$A$12:$A$130,"&gt;="&amp;Diagram!$O51,'J1 D - South Bank Avenue'!$A$12:$A$130,"&lt;"&amp;Diagram!$P51),SUMIFS(INDIRECT(ADDRESS(12,3+18*3+(14),,,"J1 D - South Bank Avenue")&amp;":"&amp;ADDRESS(130,3+18*3+(14))),'J1 D - South Bank Avenue'!$A$12:$A$130,"&gt;="&amp;Diagram!$O51,'J1 D - South Bank Avenue'!$A$12:$A$130,"&lt;"&amp;Diagram!$P51)))</f>
        <v>0</v>
      </c>
      <c r="EG51" s="42">
        <f t="shared" ca="1" si="8"/>
        <v>6</v>
      </c>
      <c r="EH51" s="42">
        <f ca="1">IF(OR($I$10="",$O51="",$P51="",$J$42&lt;&gt;"Yes"),0,IF($K$10=0,SUMIFS(INDIRECT(ADDRESS(12,3+18*3+(7),,,"J1 A - (North) Bishopthorpe Roa")&amp;":"&amp;ADDRESS(130,3+18*3+(7))),'J1 A - (North) Bishopthorpe Roa'!$A$12:$A$130,"&gt;="&amp;Diagram!$O51,'J1 A - (North) Bishopthorpe Roa'!$A$12:$A$130,"&lt;"&amp;Diagram!$P51),SUMIFS(INDIRECT(ADDRESS(12,3+18*3+(15),,,"J1 A - (North) Bishopthorpe Roa")&amp;":"&amp;ADDRESS(130,3+18*3+(15))),'J1 A - (North) Bishopthorpe Roa'!$A$12:$A$130,"&gt;="&amp;Diagram!$O51,'J1 A - (North) Bishopthorpe Roa'!$A$12:$A$130,"&lt;"&amp;Diagram!$P51)))</f>
        <v>0</v>
      </c>
      <c r="EI51" s="42">
        <f ca="1">IF(OR($I$10="",$O51="",$P51="",$J$42&lt;&gt;"Yes"),0,IF($K$10=0,SUMIFS(INDIRECT(ADDRESS(12,3+18*0+(7),,,"J1 A - (North) Bishopthorpe Roa")&amp;":"&amp;ADDRESS(130,3+18*0+(7))),'J1 A - (North) Bishopthorpe Roa'!$A$12:$A$130,"&gt;="&amp;Diagram!$O51,'J1 A - (North) Bishopthorpe Roa'!$A$12:$A$130,"&lt;"&amp;Diagram!$P51),SUMIFS(INDIRECT(ADDRESS(12,3+18*0+(15),,,"J1 A - (North) Bishopthorpe Roa")&amp;":"&amp;ADDRESS(130,3+18*0+(15))),'J1 A - (North) Bishopthorpe Roa'!$A$12:$A$130,"&gt;="&amp;Diagram!$O51,'J1 A - (North) Bishopthorpe Roa'!$A$12:$A$130,"&lt;"&amp;Diagram!$P51)))</f>
        <v>5</v>
      </c>
      <c r="EJ51" s="42">
        <f ca="1">IF(OR($I$10="",$O51="",$P51="",$J$42&lt;&gt;"Yes"),0,IF($K$10=0,SUMIFS(INDIRECT(ADDRESS(12,3+18*1+(7),,,"J1 A - (North) Bishopthorpe Roa")&amp;":"&amp;ADDRESS(130,3+18*1+(7))),'J1 A - (North) Bishopthorpe Roa'!$A$12:$A$130,"&gt;="&amp;Diagram!$O51,'J1 A - (North) Bishopthorpe Roa'!$A$12:$A$130,"&lt;"&amp;Diagram!$P51),SUMIFS(INDIRECT(ADDRESS(12,3+18*1+(15),,,"J1 A - (North) Bishopthorpe Roa")&amp;":"&amp;ADDRESS(130,3+18*1+(15))),'J1 A - (North) Bishopthorpe Roa'!$A$12:$A$130,"&gt;="&amp;Diagram!$O51,'J1 A - (North) Bishopthorpe Roa'!$A$12:$A$130,"&lt;"&amp;Diagram!$P51)))</f>
        <v>0</v>
      </c>
      <c r="EK51" s="42">
        <f ca="1">IF(OR($I$10="",$O51="",$P51="",$J$42&lt;&gt;"Yes"),0,IF($K$10=0,SUMIFS(INDIRECT(ADDRESS(12,3+18*2+(7),,,"J1 A - (North) Bishopthorpe Roa")&amp;":"&amp;ADDRESS(130,3+18*2+(7))),'J1 A - (North) Bishopthorpe Roa'!$A$12:$A$130,"&gt;="&amp;Diagram!$O51,'J1 A - (North) Bishopthorpe Roa'!$A$12:$A$130,"&lt;"&amp;Diagram!$P51),SUMIFS(INDIRECT(ADDRESS(12,3+18*2+(15),,,"J1 A - (North) Bishopthorpe Roa")&amp;":"&amp;ADDRESS(130,3+18*2+(15))),'J1 A - (North) Bishopthorpe Roa'!$A$12:$A$130,"&gt;="&amp;Diagram!$O51,'J1 A - (North) Bishopthorpe Roa'!$A$12:$A$130,"&lt;"&amp;Diagram!$P51)))</f>
        <v>0</v>
      </c>
      <c r="EL51" s="42">
        <f ca="1">IF(OR($I$10="",$O51="",$P51="",$J$42&lt;&gt;"Yes"),0,IF($K$10=0,SUMIFS(INDIRECT(ADDRESS(12,3+18*2+(7),,,"J1 B - Butcher Terrace")&amp;":"&amp;ADDRESS(130,3+18*2+(7))),'J1 B - Butcher Terrace'!$A$12:$A$130,"&gt;="&amp;Diagram!$O51,'J1 B - Butcher Terrace'!$A$12:$A$130,"&lt;"&amp;Diagram!$P51),SUMIFS(INDIRECT(ADDRESS(12,3+18*2+(15),,,"J1 B - Butcher Terrace")&amp;":"&amp;ADDRESS(130,3+18*2+(15))),'J1 B - Butcher Terrace'!$A$12:$A$130,"&gt;="&amp;Diagram!$O51,'J1 B - Butcher Terrace'!$A$12:$A$130,"&lt;"&amp;Diagram!$P51)))</f>
        <v>0</v>
      </c>
      <c r="EM51" s="42">
        <f ca="1">IF(OR($I$10="",$O51="",$P51="",$J$42&lt;&gt;"Yes"),0,IF($K$10=0,SUMIFS(INDIRECT(ADDRESS(12,3+18*3+(7),,,"J1 B - Butcher Terrace")&amp;":"&amp;ADDRESS(130,3+18*3+(7))),'J1 B - Butcher Terrace'!$A$12:$A$130,"&gt;="&amp;Diagram!$O51,'J1 B - Butcher Terrace'!$A$12:$A$130,"&lt;"&amp;Diagram!$P51),SUMIFS(INDIRECT(ADDRESS(12,3+18*3+(15),,,"J1 B - Butcher Terrace")&amp;":"&amp;ADDRESS(130,3+18*3+(15))),'J1 B - Butcher Terrace'!$A$12:$A$130,"&gt;="&amp;Diagram!$O51,'J1 B - Butcher Terrace'!$A$12:$A$130,"&lt;"&amp;Diagram!$P51)))</f>
        <v>0</v>
      </c>
      <c r="EN51" s="42">
        <f ca="1">IF(OR($I$10="",$O51="",$P51="",$J$42&lt;&gt;"Yes"),0,IF($K$10=0,SUMIFS(INDIRECT(ADDRESS(12,3+18*0+(7),,,"J1 B - Butcher Terrace")&amp;":"&amp;ADDRESS(130,3+18*0+(7))),'J1 B - Butcher Terrace'!$A$12:$A$130,"&gt;="&amp;Diagram!$O51,'J1 B - Butcher Terrace'!$A$12:$A$130,"&lt;"&amp;Diagram!$P51),SUMIFS(INDIRECT(ADDRESS(12,3+18*0+(15),,,"J1 B - Butcher Terrace")&amp;":"&amp;ADDRESS(130,3+18*0+(15))),'J1 B - Butcher Terrace'!$A$12:$A$130,"&gt;="&amp;Diagram!$O51,'J1 B - Butcher Terrace'!$A$12:$A$130,"&lt;"&amp;Diagram!$P51)))</f>
        <v>0</v>
      </c>
      <c r="EO51" s="42">
        <f ca="1">IF(OR($I$10="",$O51="",$P51="",$J$42&lt;&gt;"Yes"),0,IF($K$10=0,SUMIFS(INDIRECT(ADDRESS(12,3+18*1+(7),,,"J1 B - Butcher Terrace")&amp;":"&amp;ADDRESS(130,3+18*1+(7))),'J1 B - Butcher Terrace'!$A$12:$A$130,"&gt;="&amp;Diagram!$O51,'J1 B - Butcher Terrace'!$A$12:$A$130,"&lt;"&amp;Diagram!$P51),SUMIFS(INDIRECT(ADDRESS(12,3+18*1+(15),,,"J1 B - Butcher Terrace")&amp;":"&amp;ADDRESS(130,3+18*1+(15))),'J1 B - Butcher Terrace'!$A$12:$A$130,"&gt;="&amp;Diagram!$O51,'J1 B - Butcher Terrace'!$A$12:$A$130,"&lt;"&amp;Diagram!$P51)))</f>
        <v>0</v>
      </c>
      <c r="EP51" s="42">
        <f ca="1">IF(OR($I$10="",$O51="",$P51="",$J$42&lt;&gt;"Yes"),0,IF($K$10=0,SUMIFS(INDIRECT(ADDRESS(12,3+18*1+(7),,,"J1 C - (South) Bishopthorpe Roa")&amp;":"&amp;ADDRESS(130,3+18*1+(7))),'J1 C - (South) Bishopthorpe Roa'!$A$12:$A$130,"&gt;="&amp;Diagram!$O51,'J1 C - (South) Bishopthorpe Roa'!$A$12:$A$130,"&lt;"&amp;Diagram!$P51),SUMIFS(INDIRECT(ADDRESS(12,3+18*1+(15),,,"J1 C - (South) Bishopthorpe Roa")&amp;":"&amp;ADDRESS(130,3+18*1+(15))),'J1 C - (South) Bishopthorpe Roa'!$A$12:$A$130,"&gt;="&amp;Diagram!$O51,'J1 C - (South) Bishopthorpe Roa'!$A$12:$A$130,"&lt;"&amp;Diagram!$P51)))</f>
        <v>0</v>
      </c>
      <c r="EQ51" s="42">
        <f ca="1">IF(OR($I$10="",$O51="",$P51="",$J$42&lt;&gt;"Yes"),0,IF($K$10=0,SUMIFS(INDIRECT(ADDRESS(12,3+18*2+(7),,,"J1 C - (South) Bishopthorpe Roa")&amp;":"&amp;ADDRESS(130,3+18*2+(7))),'J1 C - (South) Bishopthorpe Roa'!$A$12:$A$130,"&gt;="&amp;Diagram!$O51,'J1 C - (South) Bishopthorpe Roa'!$A$12:$A$130,"&lt;"&amp;Diagram!$P51),SUMIFS(INDIRECT(ADDRESS(12,3+18*2+(15),,,"J1 C - (South) Bishopthorpe Roa")&amp;":"&amp;ADDRESS(130,3+18*2+(15))),'J1 C - (South) Bishopthorpe Roa'!$A$12:$A$130,"&gt;="&amp;Diagram!$O51,'J1 C - (South) Bishopthorpe Roa'!$A$12:$A$130,"&lt;"&amp;Diagram!$P51)))</f>
        <v>1</v>
      </c>
      <c r="ER51" s="42">
        <f ca="1">IF(OR($I$10="",$O51="",$P51="",$J$42&lt;&gt;"Yes"),0,IF($K$10=0,SUMIFS(INDIRECT(ADDRESS(12,3+18*3+(7),,,"J1 C - (South) Bishopthorpe Roa")&amp;":"&amp;ADDRESS(130,3+18*3+(7))),'J1 C - (South) Bishopthorpe Roa'!$A$12:$A$130,"&gt;="&amp;Diagram!$O51,'J1 C - (South) Bishopthorpe Roa'!$A$12:$A$130,"&lt;"&amp;Diagram!$P51),SUMIFS(INDIRECT(ADDRESS(12,3+18*3+(15),,,"J1 C - (South) Bishopthorpe Roa")&amp;":"&amp;ADDRESS(130,3+18*3+(15))),'J1 C - (South) Bishopthorpe Roa'!$A$12:$A$130,"&gt;="&amp;Diagram!$O51,'J1 C - (South) Bishopthorpe Roa'!$A$12:$A$130,"&lt;"&amp;Diagram!$P51)))</f>
        <v>0</v>
      </c>
      <c r="ES51" s="42">
        <f ca="1">IF(OR($I$10="",$O51="",$P51="",$J$42&lt;&gt;"Yes"),0,IF($K$10=0,SUMIFS(INDIRECT(ADDRESS(12,3+18*0+(7),,,"J1 C - (South) Bishopthorpe Roa")&amp;":"&amp;ADDRESS(130,3+18*0+(7))),'J1 C - (South) Bishopthorpe Roa'!$A$12:$A$130,"&gt;="&amp;Diagram!$O51,'J1 C - (South) Bishopthorpe Roa'!$A$12:$A$130,"&lt;"&amp;Diagram!$P51),SUMIFS(INDIRECT(ADDRESS(12,3+18*0+(15),,,"J1 C - (South) Bishopthorpe Roa")&amp;":"&amp;ADDRESS(130,3+18*0+(15))),'J1 C - (South) Bishopthorpe Roa'!$A$12:$A$130,"&gt;="&amp;Diagram!$O51,'J1 C - (South) Bishopthorpe Roa'!$A$12:$A$130,"&lt;"&amp;Diagram!$P51)))</f>
        <v>0</v>
      </c>
      <c r="ET51" s="42">
        <f ca="1">IF(OR($I$10="",$O51="",$P51="",$J$42&lt;&gt;"Yes"),0,IF($K$10=0,SUMIFS(INDIRECT(ADDRESS(12,3+18*0+(7),,,"J1 D - South Bank Avenue")&amp;":"&amp;ADDRESS(130,3+18*0+(7))),'J1 D - South Bank Avenue'!$A$12:$A$130,"&gt;="&amp;Diagram!$O51,'J1 D - South Bank Avenue'!$A$12:$A$130,"&lt;"&amp;Diagram!$P51),SUMIFS(INDIRECT(ADDRESS(12,3+18*0+(15),,,"J1 D - South Bank Avenue")&amp;":"&amp;ADDRESS(130,3+18*0+(15))),'J1 D - South Bank Avenue'!$A$12:$A$130,"&gt;="&amp;Diagram!$O51,'J1 D - South Bank Avenue'!$A$12:$A$130,"&lt;"&amp;Diagram!$P51)))</f>
        <v>0</v>
      </c>
      <c r="EU51" s="42">
        <f ca="1">IF(OR($I$10="",$O51="",$P51="",$J$42&lt;&gt;"Yes"),0,IF($K$10=0,SUMIFS(INDIRECT(ADDRESS(12,3+18*1+(7),,,"J1 D - South Bank Avenue")&amp;":"&amp;ADDRESS(130,3+18*1+(7))),'J1 D - South Bank Avenue'!$A$12:$A$130,"&gt;="&amp;Diagram!$O51,'J1 D - South Bank Avenue'!$A$12:$A$130,"&lt;"&amp;Diagram!$P51),SUMIFS(INDIRECT(ADDRESS(12,3+18*1+(15),,,"J1 D - South Bank Avenue")&amp;":"&amp;ADDRESS(130,3+18*1+(15))),'J1 D - South Bank Avenue'!$A$12:$A$130,"&gt;="&amp;Diagram!$O51,'J1 D - South Bank Avenue'!$A$12:$A$130,"&lt;"&amp;Diagram!$P51)))</f>
        <v>0</v>
      </c>
      <c r="EV51" s="42">
        <f ca="1">IF(OR($I$10="",$O51="",$P51="",$J$42&lt;&gt;"Yes"),0,IF($K$10=0,SUMIFS(INDIRECT(ADDRESS(12,3+18*2+(7),,,"J1 D - South Bank Avenue")&amp;":"&amp;ADDRESS(130,3+18*2+(7))),'J1 D - South Bank Avenue'!$A$12:$A$130,"&gt;="&amp;Diagram!$O51,'J1 D - South Bank Avenue'!$A$12:$A$130,"&lt;"&amp;Diagram!$P51),SUMIFS(INDIRECT(ADDRESS(12,3+18*2+(15),,,"J1 D - South Bank Avenue")&amp;":"&amp;ADDRESS(130,3+18*2+(15))),'J1 D - South Bank Avenue'!$A$12:$A$130,"&gt;="&amp;Diagram!$O51,'J1 D - South Bank Avenue'!$A$12:$A$130,"&lt;"&amp;Diagram!$P51)))</f>
        <v>0</v>
      </c>
      <c r="EW51" s="42">
        <f ca="1">IF(OR($I$10="",$O51="",$P51="",$J$42&lt;&gt;"Yes"),0,IF($K$10=0,SUMIFS(INDIRECT(ADDRESS(12,3+18*3+(7),,,"J1 D - South Bank Avenue")&amp;":"&amp;ADDRESS(130,3+18*3+(7))),'J1 D - South Bank Avenue'!$A$12:$A$130,"&gt;="&amp;Diagram!$O51,'J1 D - South Bank Avenue'!$A$12:$A$130,"&lt;"&amp;Diagram!$P51),SUMIFS(INDIRECT(ADDRESS(12,3+18*3+(15),,,"J1 D - South Bank Avenue")&amp;":"&amp;ADDRESS(130,3+18*3+(15))),'J1 D - South Bank Avenue'!$A$12:$A$130,"&gt;="&amp;Diagram!$O51,'J1 D - South Bank Avenue'!$A$12:$A$130,"&lt;"&amp;Diagram!$P51)))</f>
        <v>0</v>
      </c>
    </row>
    <row r="52" spans="1:153">
      <c r="A52" s="1">
        <v>44395.53125</v>
      </c>
      <c r="B52" s="1">
        <v>44395.541666666701</v>
      </c>
      <c r="O52" s="3">
        <v>44395.53125</v>
      </c>
      <c r="P52" s="3">
        <v>44395.572916666701</v>
      </c>
      <c r="Q52" s="42">
        <f t="shared" ca="1" si="0"/>
        <v>739</v>
      </c>
      <c r="R52" s="42">
        <f t="shared" ca="1" si="1"/>
        <v>508</v>
      </c>
      <c r="S52" s="42">
        <f ca="1">IF(OR($I$10="",$O52="",$P52="",$J$35&lt;&gt;"Yes"),0,IF($K$10=0,SUMIFS(INDIRECT(ADDRESS(12,3+18*3+(0),,,"J1 A - (North) Bishopthorpe Roa")&amp;":"&amp;ADDRESS(130,3+18*3+(0))),'J1 A - (North) Bishopthorpe Roa'!$A$12:$A$130,"&gt;="&amp;Diagram!$O52,'J1 A - (North) Bishopthorpe Roa'!$A$12:$A$130,"&lt;"&amp;Diagram!$P52),SUMIFS(INDIRECT(ADDRESS(12,3+18*3+(8),,,"J1 A - (North) Bishopthorpe Roa")&amp;":"&amp;ADDRESS(130,3+18*3+(8))),'J1 A - (North) Bishopthorpe Roa'!$A$12:$A$130,"&gt;="&amp;Diagram!$O52,'J1 A - (North) Bishopthorpe Roa'!$A$12:$A$130,"&lt;"&amp;Diagram!$P52)))</f>
        <v>1</v>
      </c>
      <c r="T52" s="42">
        <f ca="1">IF(OR($I$10="",$O52="",$P52="",$J$35&lt;&gt;"Yes"),0,IF($K$10=0,SUMIFS(INDIRECT(ADDRESS(12,3+18*0+(0),,,"J1 A - (North) Bishopthorpe Roa")&amp;":"&amp;ADDRESS(130,3+18*0+(0))),'J1 A - (North) Bishopthorpe Roa'!$A$12:$A$130,"&gt;="&amp;Diagram!$O52,'J1 A - (North) Bishopthorpe Roa'!$A$12:$A$130,"&lt;"&amp;Diagram!$P52),SUMIFS(INDIRECT(ADDRESS(12,3+18*0+(8),,,"J1 A - (North) Bishopthorpe Roa")&amp;":"&amp;ADDRESS(130,3+18*0+(8))),'J1 A - (North) Bishopthorpe Roa'!$A$12:$A$130,"&gt;="&amp;Diagram!$O52,'J1 A - (North) Bishopthorpe Roa'!$A$12:$A$130,"&lt;"&amp;Diagram!$P52)))</f>
        <v>17</v>
      </c>
      <c r="U52" s="42">
        <f ca="1">IF(OR($I$10="",$O52="",$P52="",$J$35&lt;&gt;"Yes"),0,IF($K$10=0,SUMIFS(INDIRECT(ADDRESS(12,3+18*1+(0),,,"J1 A - (North) Bishopthorpe Roa")&amp;":"&amp;ADDRESS(130,3+18*1+(0))),'J1 A - (North) Bishopthorpe Roa'!$A$12:$A$130,"&gt;="&amp;Diagram!$O52,'J1 A - (North) Bishopthorpe Roa'!$A$12:$A$130,"&lt;"&amp;Diagram!$P52),SUMIFS(INDIRECT(ADDRESS(12,3+18*1+(8),,,"J1 A - (North) Bishopthorpe Roa")&amp;":"&amp;ADDRESS(130,3+18*1+(8))),'J1 A - (North) Bishopthorpe Roa'!$A$12:$A$130,"&gt;="&amp;Diagram!$O52,'J1 A - (North) Bishopthorpe Roa'!$A$12:$A$130,"&lt;"&amp;Diagram!$P52)))</f>
        <v>182</v>
      </c>
      <c r="V52" s="42">
        <f ca="1">IF(OR($I$10="",$O52="",$P52="",$J$35&lt;&gt;"Yes"),0,IF($K$10=0,SUMIFS(INDIRECT(ADDRESS(12,3+18*2+(0),,,"J1 A - (North) Bishopthorpe Roa")&amp;":"&amp;ADDRESS(130,3+18*2+(0))),'J1 A - (North) Bishopthorpe Roa'!$A$12:$A$130,"&gt;="&amp;Diagram!$O52,'J1 A - (North) Bishopthorpe Roa'!$A$12:$A$130,"&lt;"&amp;Diagram!$P52),SUMIFS(INDIRECT(ADDRESS(12,3+18*2+(8),,,"J1 A - (North) Bishopthorpe Roa")&amp;":"&amp;ADDRESS(130,3+18*2+(8))),'J1 A - (North) Bishopthorpe Roa'!$A$12:$A$130,"&gt;="&amp;Diagram!$O52,'J1 A - (North) Bishopthorpe Roa'!$A$12:$A$130,"&lt;"&amp;Diagram!$P52)))</f>
        <v>16</v>
      </c>
      <c r="W52" s="42">
        <f ca="1">IF(OR($I$10="",$O52="",$P52="",$J$35&lt;&gt;"Yes"),0,IF($K$10=0,SUMIFS(INDIRECT(ADDRESS(12,3+18*2+(0),,,"J1 B - Butcher Terrace")&amp;":"&amp;ADDRESS(130,3+18*2+(0))),'J1 B - Butcher Terrace'!$A$12:$A$130,"&gt;="&amp;Diagram!$O52,'J1 B - Butcher Terrace'!$A$12:$A$130,"&lt;"&amp;Diagram!$P52),SUMIFS(INDIRECT(ADDRESS(12,3+18*2+(8),,,"J1 B - Butcher Terrace")&amp;":"&amp;ADDRESS(130,3+18*2+(8))),'J1 B - Butcher Terrace'!$A$12:$A$130,"&gt;="&amp;Diagram!$O52,'J1 B - Butcher Terrace'!$A$12:$A$130,"&lt;"&amp;Diagram!$P52)))</f>
        <v>15</v>
      </c>
      <c r="X52" s="42">
        <f ca="1">IF(OR($I$10="",$O52="",$P52="",$J$35&lt;&gt;"Yes"),0,IF($K$10=0,SUMIFS(INDIRECT(ADDRESS(12,3+18*3+(0),,,"J1 B - Butcher Terrace")&amp;":"&amp;ADDRESS(130,3+18*3+(0))),'J1 B - Butcher Terrace'!$A$12:$A$130,"&gt;="&amp;Diagram!$O52,'J1 B - Butcher Terrace'!$A$12:$A$130,"&lt;"&amp;Diagram!$P52),SUMIFS(INDIRECT(ADDRESS(12,3+18*3+(8),,,"J1 B - Butcher Terrace")&amp;":"&amp;ADDRESS(130,3+18*3+(8))),'J1 B - Butcher Terrace'!$A$12:$A$130,"&gt;="&amp;Diagram!$O52,'J1 B - Butcher Terrace'!$A$12:$A$130,"&lt;"&amp;Diagram!$P52)))</f>
        <v>0</v>
      </c>
      <c r="Y52" s="42">
        <f ca="1">IF(OR($I$10="",$O52="",$P52="",$J$35&lt;&gt;"Yes"),0,IF($K$10=0,SUMIFS(INDIRECT(ADDRESS(12,3+18*0+(0),,,"J1 B - Butcher Terrace")&amp;":"&amp;ADDRESS(130,3+18*0+(0))),'J1 B - Butcher Terrace'!$A$12:$A$130,"&gt;="&amp;Diagram!$O52,'J1 B - Butcher Terrace'!$A$12:$A$130,"&lt;"&amp;Diagram!$P52),SUMIFS(INDIRECT(ADDRESS(12,3+18*0+(8),,,"J1 B - Butcher Terrace")&amp;":"&amp;ADDRESS(130,3+18*0+(8))),'J1 B - Butcher Terrace'!$A$12:$A$130,"&gt;="&amp;Diagram!$O52,'J1 B - Butcher Terrace'!$A$12:$A$130,"&lt;"&amp;Diagram!$P52)))</f>
        <v>6</v>
      </c>
      <c r="Z52" s="42">
        <f ca="1">IF(OR($I$10="",$O52="",$P52="",$J$35&lt;&gt;"Yes"),0,IF($K$10=0,SUMIFS(INDIRECT(ADDRESS(12,3+18*1+(0),,,"J1 B - Butcher Terrace")&amp;":"&amp;ADDRESS(130,3+18*1+(0))),'J1 B - Butcher Terrace'!$A$12:$A$130,"&gt;="&amp;Diagram!$O52,'J1 B - Butcher Terrace'!$A$12:$A$130,"&lt;"&amp;Diagram!$P52),SUMIFS(INDIRECT(ADDRESS(12,3+18*1+(8),,,"J1 B - Butcher Terrace")&amp;":"&amp;ADDRESS(130,3+18*1+(8))),'J1 B - Butcher Terrace'!$A$12:$A$130,"&gt;="&amp;Diagram!$O52,'J1 B - Butcher Terrace'!$A$12:$A$130,"&lt;"&amp;Diagram!$P52)))</f>
        <v>2</v>
      </c>
      <c r="AA52" s="42">
        <f ca="1">IF(OR($I$10="",$O52="",$P52="",$J$35&lt;&gt;"Yes"),0,IF($K$10=0,SUMIFS(INDIRECT(ADDRESS(12,3+18*1+(0),,,"J1 C - (South) Bishopthorpe Roa")&amp;":"&amp;ADDRESS(130,3+18*1+(0))),'J1 C - (South) Bishopthorpe Roa'!$A$12:$A$130,"&gt;="&amp;Diagram!$O52,'J1 C - (South) Bishopthorpe Roa'!$A$12:$A$130,"&lt;"&amp;Diagram!$P52),SUMIFS(INDIRECT(ADDRESS(12,3+18*1+(8),,,"J1 C - (South) Bishopthorpe Roa")&amp;":"&amp;ADDRESS(130,3+18*1+(8))),'J1 C - (South) Bishopthorpe Roa'!$A$12:$A$130,"&gt;="&amp;Diagram!$O52,'J1 C - (South) Bishopthorpe Roa'!$A$12:$A$130,"&lt;"&amp;Diagram!$P52)))</f>
        <v>224</v>
      </c>
      <c r="AB52" s="42">
        <f ca="1">IF(OR($I$10="",$O52="",$P52="",$J$35&lt;&gt;"Yes"),0,IF($K$10=0,SUMIFS(INDIRECT(ADDRESS(12,3+18*2+(0),,,"J1 C - (South) Bishopthorpe Roa")&amp;":"&amp;ADDRESS(130,3+18*2+(0))),'J1 C - (South) Bishopthorpe Roa'!$A$12:$A$130,"&gt;="&amp;Diagram!$O52,'J1 C - (South) Bishopthorpe Roa'!$A$12:$A$130,"&lt;"&amp;Diagram!$P52),SUMIFS(INDIRECT(ADDRESS(12,3+18*2+(8),,,"J1 C - (South) Bishopthorpe Roa")&amp;":"&amp;ADDRESS(130,3+18*2+(8))),'J1 C - (South) Bishopthorpe Roa'!$A$12:$A$130,"&gt;="&amp;Diagram!$O52,'J1 C - (South) Bishopthorpe Roa'!$A$12:$A$130,"&lt;"&amp;Diagram!$P52)))</f>
        <v>2</v>
      </c>
      <c r="AC52" s="42">
        <f ca="1">IF(OR($I$10="",$O52="",$P52="",$J$35&lt;&gt;"Yes"),0,IF($K$10=0,SUMIFS(INDIRECT(ADDRESS(12,3+18*3+(0),,,"J1 C - (South) Bishopthorpe Roa")&amp;":"&amp;ADDRESS(130,3+18*3+(0))),'J1 C - (South) Bishopthorpe Roa'!$A$12:$A$130,"&gt;="&amp;Diagram!$O52,'J1 C - (South) Bishopthorpe Roa'!$A$12:$A$130,"&lt;"&amp;Diagram!$P52),SUMIFS(INDIRECT(ADDRESS(12,3+18*3+(8),,,"J1 C - (South) Bishopthorpe Roa")&amp;":"&amp;ADDRESS(130,3+18*3+(8))),'J1 C - (South) Bishopthorpe Roa'!$A$12:$A$130,"&gt;="&amp;Diagram!$O52,'J1 C - (South) Bishopthorpe Roa'!$A$12:$A$130,"&lt;"&amp;Diagram!$P52)))</f>
        <v>1</v>
      </c>
      <c r="AD52" s="42">
        <f ca="1">IF(OR($I$10="",$O52="",$P52="",$J$35&lt;&gt;"Yes"),0,IF($K$10=0,SUMIFS(INDIRECT(ADDRESS(12,3+18*0+(0),,,"J1 C - (South) Bishopthorpe Roa")&amp;":"&amp;ADDRESS(130,3+18*0+(0))),'J1 C - (South) Bishopthorpe Roa'!$A$12:$A$130,"&gt;="&amp;Diagram!$O52,'J1 C - (South) Bishopthorpe Roa'!$A$12:$A$130,"&lt;"&amp;Diagram!$P52),SUMIFS(INDIRECT(ADDRESS(12,3+18*0+(8),,,"J1 C - (South) Bishopthorpe Roa")&amp;":"&amp;ADDRESS(130,3+18*0+(8))),'J1 C - (South) Bishopthorpe Roa'!$A$12:$A$130,"&gt;="&amp;Diagram!$O52,'J1 C - (South) Bishopthorpe Roa'!$A$12:$A$130,"&lt;"&amp;Diagram!$P52)))</f>
        <v>5</v>
      </c>
      <c r="AE52" s="42">
        <f ca="1">IF(OR($I$10="",$O52="",$P52="",$J$35&lt;&gt;"Yes"),0,IF($K$10=0,SUMIFS(INDIRECT(ADDRESS(12,3+18*0+(0),,,"J1 D - South Bank Avenue")&amp;":"&amp;ADDRESS(130,3+18*0+(0))),'J1 D - South Bank Avenue'!$A$12:$A$130,"&gt;="&amp;Diagram!$O52,'J1 D - South Bank Avenue'!$A$12:$A$130,"&lt;"&amp;Diagram!$P52),SUMIFS(INDIRECT(ADDRESS(12,3+18*0+(8),,,"J1 D - South Bank Avenue")&amp;":"&amp;ADDRESS(130,3+18*0+(8))),'J1 D - South Bank Avenue'!$A$12:$A$130,"&gt;="&amp;Diagram!$O52,'J1 D - South Bank Avenue'!$A$12:$A$130,"&lt;"&amp;Diagram!$P52)))</f>
        <v>21</v>
      </c>
      <c r="AF52" s="42">
        <f ca="1">IF(OR($I$10="",$O52="",$P52="",$J$35&lt;&gt;"Yes"),0,IF($K$10=0,SUMIFS(INDIRECT(ADDRESS(12,3+18*1+(0),,,"J1 D - South Bank Avenue")&amp;":"&amp;ADDRESS(130,3+18*1+(0))),'J1 D - South Bank Avenue'!$A$12:$A$130,"&gt;="&amp;Diagram!$O52,'J1 D - South Bank Avenue'!$A$12:$A$130,"&lt;"&amp;Diagram!$P52),SUMIFS(INDIRECT(ADDRESS(12,3+18*1+(8),,,"J1 D - South Bank Avenue")&amp;":"&amp;ADDRESS(130,3+18*1+(8))),'J1 D - South Bank Avenue'!$A$12:$A$130,"&gt;="&amp;Diagram!$O52,'J1 D - South Bank Avenue'!$A$12:$A$130,"&lt;"&amp;Diagram!$P52)))</f>
        <v>4</v>
      </c>
      <c r="AG52" s="42">
        <f ca="1">IF(OR($I$10="",$O52="",$P52="",$J$35&lt;&gt;"Yes"),0,IF($K$10=0,SUMIFS(INDIRECT(ADDRESS(12,3+18*2+(0),,,"J1 D - South Bank Avenue")&amp;":"&amp;ADDRESS(130,3+18*2+(0))),'J1 D - South Bank Avenue'!$A$12:$A$130,"&gt;="&amp;Diagram!$O52,'J1 D - South Bank Avenue'!$A$12:$A$130,"&lt;"&amp;Diagram!$P52),SUMIFS(INDIRECT(ADDRESS(12,3+18*2+(8),,,"J1 D - South Bank Avenue")&amp;":"&amp;ADDRESS(130,3+18*2+(8))),'J1 D - South Bank Avenue'!$A$12:$A$130,"&gt;="&amp;Diagram!$O52,'J1 D - South Bank Avenue'!$A$12:$A$130,"&lt;"&amp;Diagram!$P52)))</f>
        <v>12</v>
      </c>
      <c r="AH52" s="42">
        <f ca="1">IF(OR($I$10="",$O52="",$P52="",$J$35&lt;&gt;"Yes"),0,IF($K$10=0,SUMIFS(INDIRECT(ADDRESS(12,3+18*3+(0),,,"J1 D - South Bank Avenue")&amp;":"&amp;ADDRESS(130,3+18*3+(0))),'J1 D - South Bank Avenue'!$A$12:$A$130,"&gt;="&amp;Diagram!$O52,'J1 D - South Bank Avenue'!$A$12:$A$130,"&lt;"&amp;Diagram!$P52),SUMIFS(INDIRECT(ADDRESS(12,3+18*3+(8),,,"J1 D - South Bank Avenue")&amp;":"&amp;ADDRESS(130,3+18*3+(8))),'J1 D - South Bank Avenue'!$A$12:$A$130,"&gt;="&amp;Diagram!$O52,'J1 D - South Bank Avenue'!$A$12:$A$130,"&lt;"&amp;Diagram!$P52)))</f>
        <v>0</v>
      </c>
      <c r="AI52" s="42">
        <f t="shared" ca="1" si="2"/>
        <v>80</v>
      </c>
      <c r="AJ52" s="42">
        <f ca="1">IF(OR($I$10="",$O52="",$P52="",$J$36&lt;&gt;"Yes"),0,IF($K$10=0,SUMIFS(INDIRECT(ADDRESS(12,3+18*3+(1),,,"J1 A - (North) Bishopthorpe Roa")&amp;":"&amp;ADDRESS(130,3+18*3+(1))),'J1 A - (North) Bishopthorpe Roa'!$A$12:$A$130,"&gt;="&amp;Diagram!$O52,'J1 A - (North) Bishopthorpe Roa'!$A$12:$A$130,"&lt;"&amp;Diagram!$P52),SUMIFS(INDIRECT(ADDRESS(12,3+18*3+(9),,,"J1 A - (North) Bishopthorpe Roa")&amp;":"&amp;ADDRESS(130,3+18*3+(9))),'J1 A - (North) Bishopthorpe Roa'!$A$12:$A$130,"&gt;="&amp;Diagram!$O52,'J1 A - (North) Bishopthorpe Roa'!$A$12:$A$130,"&lt;"&amp;Diagram!$P52)))</f>
        <v>0</v>
      </c>
      <c r="AK52" s="42">
        <f ca="1">IF(OR($I$10="",$O52="",$P52="",$J$36&lt;&gt;"Yes"),0,IF($K$10=0,SUMIFS(INDIRECT(ADDRESS(12,3+18*0+(1),,,"J1 A - (North) Bishopthorpe Roa")&amp;":"&amp;ADDRESS(130,3+18*0+(1))),'J1 A - (North) Bishopthorpe Roa'!$A$12:$A$130,"&gt;="&amp;Diagram!$O52,'J1 A - (North) Bishopthorpe Roa'!$A$12:$A$130,"&lt;"&amp;Diagram!$P52),SUMIFS(INDIRECT(ADDRESS(12,3+18*0+(9),,,"J1 A - (North) Bishopthorpe Roa")&amp;":"&amp;ADDRESS(130,3+18*0+(9))),'J1 A - (North) Bishopthorpe Roa'!$A$12:$A$130,"&gt;="&amp;Diagram!$O52,'J1 A - (North) Bishopthorpe Roa'!$A$12:$A$130,"&lt;"&amp;Diagram!$P52)))</f>
        <v>6</v>
      </c>
      <c r="AL52" s="42">
        <f ca="1">IF(OR($I$10="",$O52="",$P52="",$J$36&lt;&gt;"Yes"),0,IF($K$10=0,SUMIFS(INDIRECT(ADDRESS(12,3+18*1+(1),,,"J1 A - (North) Bishopthorpe Roa")&amp;":"&amp;ADDRESS(130,3+18*1+(1))),'J1 A - (North) Bishopthorpe Roa'!$A$12:$A$130,"&gt;="&amp;Diagram!$O52,'J1 A - (North) Bishopthorpe Roa'!$A$12:$A$130,"&lt;"&amp;Diagram!$P52),SUMIFS(INDIRECT(ADDRESS(12,3+18*1+(9),,,"J1 A - (North) Bishopthorpe Roa")&amp;":"&amp;ADDRESS(130,3+18*1+(9))),'J1 A - (North) Bishopthorpe Roa'!$A$12:$A$130,"&gt;="&amp;Diagram!$O52,'J1 A - (North) Bishopthorpe Roa'!$A$12:$A$130,"&lt;"&amp;Diagram!$P52)))</f>
        <v>18</v>
      </c>
      <c r="AM52" s="42">
        <f ca="1">IF(OR($I$10="",$O52="",$P52="",$J$36&lt;&gt;"Yes"),0,IF($K$10=0,SUMIFS(INDIRECT(ADDRESS(12,3+18*2+(1),,,"J1 A - (North) Bishopthorpe Roa")&amp;":"&amp;ADDRESS(130,3+18*2+(1))),'J1 A - (North) Bishopthorpe Roa'!$A$12:$A$130,"&gt;="&amp;Diagram!$O52,'J1 A - (North) Bishopthorpe Roa'!$A$12:$A$130,"&lt;"&amp;Diagram!$P52),SUMIFS(INDIRECT(ADDRESS(12,3+18*2+(9),,,"J1 A - (North) Bishopthorpe Roa")&amp;":"&amp;ADDRESS(130,3+18*2+(9))),'J1 A - (North) Bishopthorpe Roa'!$A$12:$A$130,"&gt;="&amp;Diagram!$O52,'J1 A - (North) Bishopthorpe Roa'!$A$12:$A$130,"&lt;"&amp;Diagram!$P52)))</f>
        <v>5</v>
      </c>
      <c r="AN52" s="42">
        <f ca="1">IF(OR($I$10="",$O52="",$P52="",$J$36&lt;&gt;"Yes"),0,IF($K$10=0,SUMIFS(INDIRECT(ADDRESS(12,3+18*2+(1),,,"J1 B - Butcher Terrace")&amp;":"&amp;ADDRESS(130,3+18*2+(1))),'J1 B - Butcher Terrace'!$A$12:$A$130,"&gt;="&amp;Diagram!$O52,'J1 B - Butcher Terrace'!$A$12:$A$130,"&lt;"&amp;Diagram!$P52),SUMIFS(INDIRECT(ADDRESS(12,3+18*2+(9),,,"J1 B - Butcher Terrace")&amp;":"&amp;ADDRESS(130,3+18*2+(9))),'J1 B - Butcher Terrace'!$A$12:$A$130,"&gt;="&amp;Diagram!$O52,'J1 B - Butcher Terrace'!$A$12:$A$130,"&lt;"&amp;Diagram!$P52)))</f>
        <v>4</v>
      </c>
      <c r="AO52" s="42">
        <f ca="1">IF(OR($I$10="",$O52="",$P52="",$J$36&lt;&gt;"Yes"),0,IF($K$10=0,SUMIFS(INDIRECT(ADDRESS(12,3+18*3+(1),,,"J1 B - Butcher Terrace")&amp;":"&amp;ADDRESS(130,3+18*3+(1))),'J1 B - Butcher Terrace'!$A$12:$A$130,"&gt;="&amp;Diagram!$O52,'J1 B - Butcher Terrace'!$A$12:$A$130,"&lt;"&amp;Diagram!$P52),SUMIFS(INDIRECT(ADDRESS(12,3+18*3+(9),,,"J1 B - Butcher Terrace")&amp;":"&amp;ADDRESS(130,3+18*3+(9))),'J1 B - Butcher Terrace'!$A$12:$A$130,"&gt;="&amp;Diagram!$O52,'J1 B - Butcher Terrace'!$A$12:$A$130,"&lt;"&amp;Diagram!$P52)))</f>
        <v>0</v>
      </c>
      <c r="AP52" s="42">
        <f ca="1">IF(OR($I$10="",$O52="",$P52="",$J$36&lt;&gt;"Yes"),0,IF($K$10=0,SUMIFS(INDIRECT(ADDRESS(12,3+18*0+(1),,,"J1 B - Butcher Terrace")&amp;":"&amp;ADDRESS(130,3+18*0+(1))),'J1 B - Butcher Terrace'!$A$12:$A$130,"&gt;="&amp;Diagram!$O52,'J1 B - Butcher Terrace'!$A$12:$A$130,"&lt;"&amp;Diagram!$P52),SUMIFS(INDIRECT(ADDRESS(12,3+18*0+(9),,,"J1 B - Butcher Terrace")&amp;":"&amp;ADDRESS(130,3+18*0+(9))),'J1 B - Butcher Terrace'!$A$12:$A$130,"&gt;="&amp;Diagram!$O52,'J1 B - Butcher Terrace'!$A$12:$A$130,"&lt;"&amp;Diagram!$P52)))</f>
        <v>2</v>
      </c>
      <c r="AQ52" s="42">
        <f ca="1">IF(OR($I$10="",$O52="",$P52="",$J$36&lt;&gt;"Yes"),0,IF($K$10=0,SUMIFS(INDIRECT(ADDRESS(12,3+18*1+(1),,,"J1 B - Butcher Terrace")&amp;":"&amp;ADDRESS(130,3+18*1+(1))),'J1 B - Butcher Terrace'!$A$12:$A$130,"&gt;="&amp;Diagram!$O52,'J1 B - Butcher Terrace'!$A$12:$A$130,"&lt;"&amp;Diagram!$P52),SUMIFS(INDIRECT(ADDRESS(12,3+18*1+(9),,,"J1 B - Butcher Terrace")&amp;":"&amp;ADDRESS(130,3+18*1+(9))),'J1 B - Butcher Terrace'!$A$12:$A$130,"&gt;="&amp;Diagram!$O52,'J1 B - Butcher Terrace'!$A$12:$A$130,"&lt;"&amp;Diagram!$P52)))</f>
        <v>0</v>
      </c>
      <c r="AR52" s="42">
        <f ca="1">IF(OR($I$10="",$O52="",$P52="",$J$36&lt;&gt;"Yes"),0,IF($K$10=0,SUMIFS(INDIRECT(ADDRESS(12,3+18*1+(1),,,"J1 C - (South) Bishopthorpe Roa")&amp;":"&amp;ADDRESS(130,3+18*1+(1))),'J1 C - (South) Bishopthorpe Roa'!$A$12:$A$130,"&gt;="&amp;Diagram!$O52,'J1 C - (South) Bishopthorpe Roa'!$A$12:$A$130,"&lt;"&amp;Diagram!$P52),SUMIFS(INDIRECT(ADDRESS(12,3+18*1+(9),,,"J1 C - (South) Bishopthorpe Roa")&amp;":"&amp;ADDRESS(130,3+18*1+(9))),'J1 C - (South) Bishopthorpe Roa'!$A$12:$A$130,"&gt;="&amp;Diagram!$O52,'J1 C - (South) Bishopthorpe Roa'!$A$12:$A$130,"&lt;"&amp;Diagram!$P52)))</f>
        <v>34</v>
      </c>
      <c r="AS52" s="42">
        <f ca="1">IF(OR($I$10="",$O52="",$P52="",$J$36&lt;&gt;"Yes"),0,IF($K$10=0,SUMIFS(INDIRECT(ADDRESS(12,3+18*2+(1),,,"J1 C - (South) Bishopthorpe Roa")&amp;":"&amp;ADDRESS(130,3+18*2+(1))),'J1 C - (South) Bishopthorpe Roa'!$A$12:$A$130,"&gt;="&amp;Diagram!$O52,'J1 C - (South) Bishopthorpe Roa'!$A$12:$A$130,"&lt;"&amp;Diagram!$P52),SUMIFS(INDIRECT(ADDRESS(12,3+18*2+(9),,,"J1 C - (South) Bishopthorpe Roa")&amp;":"&amp;ADDRESS(130,3+18*2+(9))),'J1 C - (South) Bishopthorpe Roa'!$A$12:$A$130,"&gt;="&amp;Diagram!$O52,'J1 C - (South) Bishopthorpe Roa'!$A$12:$A$130,"&lt;"&amp;Diagram!$P52)))</f>
        <v>4</v>
      </c>
      <c r="AT52" s="42">
        <f ca="1">IF(OR($I$10="",$O52="",$P52="",$J$36&lt;&gt;"Yes"),0,IF($K$10=0,SUMIFS(INDIRECT(ADDRESS(12,3+18*3+(1),,,"J1 C - (South) Bishopthorpe Roa")&amp;":"&amp;ADDRESS(130,3+18*3+(1))),'J1 C - (South) Bishopthorpe Roa'!$A$12:$A$130,"&gt;="&amp;Diagram!$O52,'J1 C - (South) Bishopthorpe Roa'!$A$12:$A$130,"&lt;"&amp;Diagram!$P52),SUMIFS(INDIRECT(ADDRESS(12,3+18*3+(9),,,"J1 C - (South) Bishopthorpe Roa")&amp;":"&amp;ADDRESS(130,3+18*3+(9))),'J1 C - (South) Bishopthorpe Roa'!$A$12:$A$130,"&gt;="&amp;Diagram!$O52,'J1 C - (South) Bishopthorpe Roa'!$A$12:$A$130,"&lt;"&amp;Diagram!$P52)))</f>
        <v>0</v>
      </c>
      <c r="AU52" s="42">
        <f ca="1">IF(OR($I$10="",$O52="",$P52="",$J$36&lt;&gt;"Yes"),0,IF($K$10=0,SUMIFS(INDIRECT(ADDRESS(12,3+18*0+(1),,,"J1 C - (South) Bishopthorpe Roa")&amp;":"&amp;ADDRESS(130,3+18*0+(1))),'J1 C - (South) Bishopthorpe Roa'!$A$12:$A$130,"&gt;="&amp;Diagram!$O52,'J1 C - (South) Bishopthorpe Roa'!$A$12:$A$130,"&lt;"&amp;Diagram!$P52),SUMIFS(INDIRECT(ADDRESS(12,3+18*0+(9),,,"J1 C - (South) Bishopthorpe Roa")&amp;":"&amp;ADDRESS(130,3+18*0+(9))),'J1 C - (South) Bishopthorpe Roa'!$A$12:$A$130,"&gt;="&amp;Diagram!$O52,'J1 C - (South) Bishopthorpe Roa'!$A$12:$A$130,"&lt;"&amp;Diagram!$P52)))</f>
        <v>3</v>
      </c>
      <c r="AV52" s="42">
        <f ca="1">IF(OR($I$10="",$O52="",$P52="",$J$36&lt;&gt;"Yes"),0,IF($K$10=0,SUMIFS(INDIRECT(ADDRESS(12,3+18*0+(1),,,"J1 D - South Bank Avenue")&amp;":"&amp;ADDRESS(130,3+18*0+(1))),'J1 D - South Bank Avenue'!$A$12:$A$130,"&gt;="&amp;Diagram!$O52,'J1 D - South Bank Avenue'!$A$12:$A$130,"&lt;"&amp;Diagram!$P52),SUMIFS(INDIRECT(ADDRESS(12,3+18*0+(9),,,"J1 D - South Bank Avenue")&amp;":"&amp;ADDRESS(130,3+18*0+(9))),'J1 D - South Bank Avenue'!$A$12:$A$130,"&gt;="&amp;Diagram!$O52,'J1 D - South Bank Avenue'!$A$12:$A$130,"&lt;"&amp;Diagram!$P52)))</f>
        <v>0</v>
      </c>
      <c r="AW52" s="42">
        <f ca="1">IF(OR($I$10="",$O52="",$P52="",$J$36&lt;&gt;"Yes"),0,IF($K$10=0,SUMIFS(INDIRECT(ADDRESS(12,3+18*1+(1),,,"J1 D - South Bank Avenue")&amp;":"&amp;ADDRESS(130,3+18*1+(1))),'J1 D - South Bank Avenue'!$A$12:$A$130,"&gt;="&amp;Diagram!$O52,'J1 D - South Bank Avenue'!$A$12:$A$130,"&lt;"&amp;Diagram!$P52),SUMIFS(INDIRECT(ADDRESS(12,3+18*1+(9),,,"J1 D - South Bank Avenue")&amp;":"&amp;ADDRESS(130,3+18*1+(9))),'J1 D - South Bank Avenue'!$A$12:$A$130,"&gt;="&amp;Diagram!$O52,'J1 D - South Bank Avenue'!$A$12:$A$130,"&lt;"&amp;Diagram!$P52)))</f>
        <v>0</v>
      </c>
      <c r="AX52" s="42">
        <f ca="1">IF(OR($I$10="",$O52="",$P52="",$J$36&lt;&gt;"Yes"),0,IF($K$10=0,SUMIFS(INDIRECT(ADDRESS(12,3+18*2+(1),,,"J1 D - South Bank Avenue")&amp;":"&amp;ADDRESS(130,3+18*2+(1))),'J1 D - South Bank Avenue'!$A$12:$A$130,"&gt;="&amp;Diagram!$O52,'J1 D - South Bank Avenue'!$A$12:$A$130,"&lt;"&amp;Diagram!$P52),SUMIFS(INDIRECT(ADDRESS(12,3+18*2+(9),,,"J1 D - South Bank Avenue")&amp;":"&amp;ADDRESS(130,3+18*2+(9))),'J1 D - South Bank Avenue'!$A$12:$A$130,"&gt;="&amp;Diagram!$O52,'J1 D - South Bank Avenue'!$A$12:$A$130,"&lt;"&amp;Diagram!$P52)))</f>
        <v>4</v>
      </c>
      <c r="AY52" s="42">
        <f ca="1">IF(OR($I$10="",$O52="",$P52="",$J$36&lt;&gt;"Yes"),0,IF($K$10=0,SUMIFS(INDIRECT(ADDRESS(12,3+18*3+(1),,,"J1 D - South Bank Avenue")&amp;":"&amp;ADDRESS(130,3+18*3+(1))),'J1 D - South Bank Avenue'!$A$12:$A$130,"&gt;="&amp;Diagram!$O52,'J1 D - South Bank Avenue'!$A$12:$A$130,"&lt;"&amp;Diagram!$P52),SUMIFS(INDIRECT(ADDRESS(12,3+18*3+(9),,,"J1 D - South Bank Avenue")&amp;":"&amp;ADDRESS(130,3+18*3+(9))),'J1 D - South Bank Avenue'!$A$12:$A$130,"&gt;="&amp;Diagram!$O52,'J1 D - South Bank Avenue'!$A$12:$A$130,"&lt;"&amp;Diagram!$P52)))</f>
        <v>0</v>
      </c>
      <c r="AZ52" s="42">
        <f t="shared" ca="1" si="3"/>
        <v>9</v>
      </c>
      <c r="BA52" s="42">
        <f ca="1">IF(OR($I$10="",$O52="",$P52="",$J$37&lt;&gt;"Yes"),0,IF($K$10=0,SUMIFS(INDIRECT(ADDRESS(12,3+18*3+(2),,,"J1 A - (North) Bishopthorpe Roa")&amp;":"&amp;ADDRESS(130,3+18*3+(2))),'J1 A - (North) Bishopthorpe Roa'!$A$12:$A$130,"&gt;="&amp;Diagram!$O52,'J1 A - (North) Bishopthorpe Roa'!$A$12:$A$130,"&lt;"&amp;Diagram!$P52),SUMIFS(INDIRECT(ADDRESS(12,3+18*3+(10),,,"J1 A - (North) Bishopthorpe Roa")&amp;":"&amp;ADDRESS(130,3+18*3+(10))),'J1 A - (North) Bishopthorpe Roa'!$A$12:$A$130,"&gt;="&amp;Diagram!$O52,'J1 A - (North) Bishopthorpe Roa'!$A$12:$A$130,"&lt;"&amp;Diagram!$P52)))</f>
        <v>0</v>
      </c>
      <c r="BB52" s="42">
        <f ca="1">IF(OR($I$10="",$O52="",$P52="",$J$37&lt;&gt;"Yes"),0,IF($K$10=0,SUMIFS(INDIRECT(ADDRESS(12,3+18*0+(2),,,"J1 A - (North) Bishopthorpe Roa")&amp;":"&amp;ADDRESS(130,3+18*0+(2))),'J1 A - (North) Bishopthorpe Roa'!$A$12:$A$130,"&gt;="&amp;Diagram!$O52,'J1 A - (North) Bishopthorpe Roa'!$A$12:$A$130,"&lt;"&amp;Diagram!$P52),SUMIFS(INDIRECT(ADDRESS(12,3+18*0+(10),,,"J1 A - (North) Bishopthorpe Roa")&amp;":"&amp;ADDRESS(130,3+18*0+(10))),'J1 A - (North) Bishopthorpe Roa'!$A$12:$A$130,"&gt;="&amp;Diagram!$O52,'J1 A - (North) Bishopthorpe Roa'!$A$12:$A$130,"&lt;"&amp;Diagram!$P52)))</f>
        <v>0</v>
      </c>
      <c r="BC52" s="42">
        <f ca="1">IF(OR($I$10="",$O52="",$P52="",$J$37&lt;&gt;"Yes"),0,IF($K$10=0,SUMIFS(INDIRECT(ADDRESS(12,3+18*1+(2),,,"J1 A - (North) Bishopthorpe Roa")&amp;":"&amp;ADDRESS(130,3+18*1+(2))),'J1 A - (North) Bishopthorpe Roa'!$A$12:$A$130,"&gt;="&amp;Diagram!$O52,'J1 A - (North) Bishopthorpe Roa'!$A$12:$A$130,"&lt;"&amp;Diagram!$P52),SUMIFS(INDIRECT(ADDRESS(12,3+18*1+(10),,,"J1 A - (North) Bishopthorpe Roa")&amp;":"&amp;ADDRESS(130,3+18*1+(10))),'J1 A - (North) Bishopthorpe Roa'!$A$12:$A$130,"&gt;="&amp;Diagram!$O52,'J1 A - (North) Bishopthorpe Roa'!$A$12:$A$130,"&lt;"&amp;Diagram!$P52)))</f>
        <v>2</v>
      </c>
      <c r="BD52" s="42">
        <f ca="1">IF(OR($I$10="",$O52="",$P52="",$J$37&lt;&gt;"Yes"),0,IF($K$10=0,SUMIFS(INDIRECT(ADDRESS(12,3+18*2+(2),,,"J1 A - (North) Bishopthorpe Roa")&amp;":"&amp;ADDRESS(130,3+18*2+(2))),'J1 A - (North) Bishopthorpe Roa'!$A$12:$A$130,"&gt;="&amp;Diagram!$O52,'J1 A - (North) Bishopthorpe Roa'!$A$12:$A$130,"&lt;"&amp;Diagram!$P52),SUMIFS(INDIRECT(ADDRESS(12,3+18*2+(10),,,"J1 A - (North) Bishopthorpe Roa")&amp;":"&amp;ADDRESS(130,3+18*2+(10))),'J1 A - (North) Bishopthorpe Roa'!$A$12:$A$130,"&gt;="&amp;Diagram!$O52,'J1 A - (North) Bishopthorpe Roa'!$A$12:$A$130,"&lt;"&amp;Diagram!$P52)))</f>
        <v>1</v>
      </c>
      <c r="BE52" s="42">
        <f ca="1">IF(OR($I$10="",$O52="",$P52="",$J$37&lt;&gt;"Yes"),0,IF($K$10=0,SUMIFS(INDIRECT(ADDRESS(12,3+18*2+(2),,,"J1 B - Butcher Terrace")&amp;":"&amp;ADDRESS(130,3+18*2+(2))),'J1 B - Butcher Terrace'!$A$12:$A$130,"&gt;="&amp;Diagram!$O52,'J1 B - Butcher Terrace'!$A$12:$A$130,"&lt;"&amp;Diagram!$P52),SUMIFS(INDIRECT(ADDRESS(12,3+18*2+(10),,,"J1 B - Butcher Terrace")&amp;":"&amp;ADDRESS(130,3+18*2+(10))),'J1 B - Butcher Terrace'!$A$12:$A$130,"&gt;="&amp;Diagram!$O52,'J1 B - Butcher Terrace'!$A$12:$A$130,"&lt;"&amp;Diagram!$P52)))</f>
        <v>0</v>
      </c>
      <c r="BF52" s="42">
        <f ca="1">IF(OR($I$10="",$O52="",$P52="",$J$37&lt;&gt;"Yes"),0,IF($K$10=0,SUMIFS(INDIRECT(ADDRESS(12,3+18*3+(2),,,"J1 B - Butcher Terrace")&amp;":"&amp;ADDRESS(130,3+18*3+(2))),'J1 B - Butcher Terrace'!$A$12:$A$130,"&gt;="&amp;Diagram!$O52,'J1 B - Butcher Terrace'!$A$12:$A$130,"&lt;"&amp;Diagram!$P52),SUMIFS(INDIRECT(ADDRESS(12,3+18*3+(10),,,"J1 B - Butcher Terrace")&amp;":"&amp;ADDRESS(130,3+18*3+(10))),'J1 B - Butcher Terrace'!$A$12:$A$130,"&gt;="&amp;Diagram!$O52,'J1 B - Butcher Terrace'!$A$12:$A$130,"&lt;"&amp;Diagram!$P52)))</f>
        <v>0</v>
      </c>
      <c r="BG52" s="42">
        <f ca="1">IF(OR($I$10="",$O52="",$P52="",$J$37&lt;&gt;"Yes"),0,IF($K$10=0,SUMIFS(INDIRECT(ADDRESS(12,3+18*0+(2),,,"J1 B - Butcher Terrace")&amp;":"&amp;ADDRESS(130,3+18*0+(2))),'J1 B - Butcher Terrace'!$A$12:$A$130,"&gt;="&amp;Diagram!$O52,'J1 B - Butcher Terrace'!$A$12:$A$130,"&lt;"&amp;Diagram!$P52),SUMIFS(INDIRECT(ADDRESS(12,3+18*0+(10),,,"J1 B - Butcher Terrace")&amp;":"&amp;ADDRESS(130,3+18*0+(10))),'J1 B - Butcher Terrace'!$A$12:$A$130,"&gt;="&amp;Diagram!$O52,'J1 B - Butcher Terrace'!$A$12:$A$130,"&lt;"&amp;Diagram!$P52)))</f>
        <v>0</v>
      </c>
      <c r="BH52" s="42">
        <f ca="1">IF(OR($I$10="",$O52="",$P52="",$J$37&lt;&gt;"Yes"),0,IF($K$10=0,SUMIFS(INDIRECT(ADDRESS(12,3+18*1+(2),,,"J1 B - Butcher Terrace")&amp;":"&amp;ADDRESS(130,3+18*1+(2))),'J1 B - Butcher Terrace'!$A$12:$A$130,"&gt;="&amp;Diagram!$O52,'J1 B - Butcher Terrace'!$A$12:$A$130,"&lt;"&amp;Diagram!$P52),SUMIFS(INDIRECT(ADDRESS(12,3+18*1+(10),,,"J1 B - Butcher Terrace")&amp;":"&amp;ADDRESS(130,3+18*1+(10))),'J1 B - Butcher Terrace'!$A$12:$A$130,"&gt;="&amp;Diagram!$O52,'J1 B - Butcher Terrace'!$A$12:$A$130,"&lt;"&amp;Diagram!$P52)))</f>
        <v>0</v>
      </c>
      <c r="BI52" s="42">
        <f ca="1">IF(OR($I$10="",$O52="",$P52="",$J$37&lt;&gt;"Yes"),0,IF($K$10=0,SUMIFS(INDIRECT(ADDRESS(12,3+18*1+(2),,,"J1 C - (South) Bishopthorpe Roa")&amp;":"&amp;ADDRESS(130,3+18*1+(2))),'J1 C - (South) Bishopthorpe Roa'!$A$12:$A$130,"&gt;="&amp;Diagram!$O52,'J1 C - (South) Bishopthorpe Roa'!$A$12:$A$130,"&lt;"&amp;Diagram!$P52),SUMIFS(INDIRECT(ADDRESS(12,3+18*1+(10),,,"J1 C - (South) Bishopthorpe Roa")&amp;":"&amp;ADDRESS(130,3+18*1+(10))),'J1 C - (South) Bishopthorpe Roa'!$A$12:$A$130,"&gt;="&amp;Diagram!$O52,'J1 C - (South) Bishopthorpe Roa'!$A$12:$A$130,"&lt;"&amp;Diagram!$P52)))</f>
        <v>2</v>
      </c>
      <c r="BJ52" s="42">
        <f ca="1">IF(OR($I$10="",$O52="",$P52="",$J$37&lt;&gt;"Yes"),0,IF($K$10=0,SUMIFS(INDIRECT(ADDRESS(12,3+18*2+(2),,,"J1 C - (South) Bishopthorpe Roa")&amp;":"&amp;ADDRESS(130,3+18*2+(2))),'J1 C - (South) Bishopthorpe Roa'!$A$12:$A$130,"&gt;="&amp;Diagram!$O52,'J1 C - (South) Bishopthorpe Roa'!$A$12:$A$130,"&lt;"&amp;Diagram!$P52),SUMIFS(INDIRECT(ADDRESS(12,3+18*2+(10),,,"J1 C - (South) Bishopthorpe Roa")&amp;":"&amp;ADDRESS(130,3+18*2+(10))),'J1 C - (South) Bishopthorpe Roa'!$A$12:$A$130,"&gt;="&amp;Diagram!$O52,'J1 C - (South) Bishopthorpe Roa'!$A$12:$A$130,"&lt;"&amp;Diagram!$P52)))</f>
        <v>0</v>
      </c>
      <c r="BK52" s="42">
        <f ca="1">IF(OR($I$10="",$O52="",$P52="",$J$37&lt;&gt;"Yes"),0,IF($K$10=0,SUMIFS(INDIRECT(ADDRESS(12,3+18*3+(2),,,"J1 C - (South) Bishopthorpe Roa")&amp;":"&amp;ADDRESS(130,3+18*3+(2))),'J1 C - (South) Bishopthorpe Roa'!$A$12:$A$130,"&gt;="&amp;Diagram!$O52,'J1 C - (South) Bishopthorpe Roa'!$A$12:$A$130,"&lt;"&amp;Diagram!$P52),SUMIFS(INDIRECT(ADDRESS(12,3+18*3+(10),,,"J1 C - (South) Bishopthorpe Roa")&amp;":"&amp;ADDRESS(130,3+18*3+(10))),'J1 C - (South) Bishopthorpe Roa'!$A$12:$A$130,"&gt;="&amp;Diagram!$O52,'J1 C - (South) Bishopthorpe Roa'!$A$12:$A$130,"&lt;"&amp;Diagram!$P52)))</f>
        <v>0</v>
      </c>
      <c r="BL52" s="42">
        <f ca="1">IF(OR($I$10="",$O52="",$P52="",$J$37&lt;&gt;"Yes"),0,IF($K$10=0,SUMIFS(INDIRECT(ADDRESS(12,3+18*0+(2),,,"J1 C - (South) Bishopthorpe Roa")&amp;":"&amp;ADDRESS(130,3+18*0+(2))),'J1 C - (South) Bishopthorpe Roa'!$A$12:$A$130,"&gt;="&amp;Diagram!$O52,'J1 C - (South) Bishopthorpe Roa'!$A$12:$A$130,"&lt;"&amp;Diagram!$P52),SUMIFS(INDIRECT(ADDRESS(12,3+18*0+(10),,,"J1 C - (South) Bishopthorpe Roa")&amp;":"&amp;ADDRESS(130,3+18*0+(10))),'J1 C - (South) Bishopthorpe Roa'!$A$12:$A$130,"&gt;="&amp;Diagram!$O52,'J1 C - (South) Bishopthorpe Roa'!$A$12:$A$130,"&lt;"&amp;Diagram!$P52)))</f>
        <v>0</v>
      </c>
      <c r="BM52" s="42">
        <f ca="1">IF(OR($I$10="",$O52="",$P52="",$J$37&lt;&gt;"Yes"),0,IF($K$10=0,SUMIFS(INDIRECT(ADDRESS(12,3+18*0+(2),,,"J1 D - South Bank Avenue")&amp;":"&amp;ADDRESS(130,3+18*0+(2))),'J1 D - South Bank Avenue'!$A$12:$A$130,"&gt;="&amp;Diagram!$O52,'J1 D - South Bank Avenue'!$A$12:$A$130,"&lt;"&amp;Diagram!$P52),SUMIFS(INDIRECT(ADDRESS(12,3+18*0+(10),,,"J1 D - South Bank Avenue")&amp;":"&amp;ADDRESS(130,3+18*0+(10))),'J1 D - South Bank Avenue'!$A$12:$A$130,"&gt;="&amp;Diagram!$O52,'J1 D - South Bank Avenue'!$A$12:$A$130,"&lt;"&amp;Diagram!$P52)))</f>
        <v>3</v>
      </c>
      <c r="BN52" s="42">
        <f ca="1">IF(OR($I$10="",$O52="",$P52="",$J$37&lt;&gt;"Yes"),0,IF($K$10=0,SUMIFS(INDIRECT(ADDRESS(12,3+18*1+(2),,,"J1 D - South Bank Avenue")&amp;":"&amp;ADDRESS(130,3+18*1+(2))),'J1 D - South Bank Avenue'!$A$12:$A$130,"&gt;="&amp;Diagram!$O52,'J1 D - South Bank Avenue'!$A$12:$A$130,"&lt;"&amp;Diagram!$P52),SUMIFS(INDIRECT(ADDRESS(12,3+18*1+(10),,,"J1 D - South Bank Avenue")&amp;":"&amp;ADDRESS(130,3+18*1+(10))),'J1 D - South Bank Avenue'!$A$12:$A$130,"&gt;="&amp;Diagram!$O52,'J1 D - South Bank Avenue'!$A$12:$A$130,"&lt;"&amp;Diagram!$P52)))</f>
        <v>0</v>
      </c>
      <c r="BO52" s="42">
        <f ca="1">IF(OR($I$10="",$O52="",$P52="",$J$37&lt;&gt;"Yes"),0,IF($K$10=0,SUMIFS(INDIRECT(ADDRESS(12,3+18*2+(2),,,"J1 D - South Bank Avenue")&amp;":"&amp;ADDRESS(130,3+18*2+(2))),'J1 D - South Bank Avenue'!$A$12:$A$130,"&gt;="&amp;Diagram!$O52,'J1 D - South Bank Avenue'!$A$12:$A$130,"&lt;"&amp;Diagram!$P52),SUMIFS(INDIRECT(ADDRESS(12,3+18*2+(10),,,"J1 D - South Bank Avenue")&amp;":"&amp;ADDRESS(130,3+18*2+(10))),'J1 D - South Bank Avenue'!$A$12:$A$130,"&gt;="&amp;Diagram!$O52,'J1 D - South Bank Avenue'!$A$12:$A$130,"&lt;"&amp;Diagram!$P52)))</f>
        <v>1</v>
      </c>
      <c r="BP52" s="42">
        <f ca="1">IF(OR($I$10="",$O52="",$P52="",$J$37&lt;&gt;"Yes"),0,IF($K$10=0,SUMIFS(INDIRECT(ADDRESS(12,3+18*3+(2),,,"J1 D - South Bank Avenue")&amp;":"&amp;ADDRESS(130,3+18*3+(2))),'J1 D - South Bank Avenue'!$A$12:$A$130,"&gt;="&amp;Diagram!$O52,'J1 D - South Bank Avenue'!$A$12:$A$130,"&lt;"&amp;Diagram!$P52),SUMIFS(INDIRECT(ADDRESS(12,3+18*3+(10),,,"J1 D - South Bank Avenue")&amp;":"&amp;ADDRESS(130,3+18*3+(10))),'J1 D - South Bank Avenue'!$A$12:$A$130,"&gt;="&amp;Diagram!$O52,'J1 D - South Bank Avenue'!$A$12:$A$130,"&lt;"&amp;Diagram!$P52)))</f>
        <v>0</v>
      </c>
      <c r="BQ52" s="42">
        <f t="shared" ca="1" si="4"/>
        <v>1</v>
      </c>
      <c r="BR52" s="42">
        <f ca="1">IF(OR($I$10="",$O52="",$P52="",$J$38&lt;&gt;"Yes"),0,IF($K$10=0,SUMIFS(INDIRECT(ADDRESS(12,3+18*3+(3),,,"J1 A - (North) Bishopthorpe Roa")&amp;":"&amp;ADDRESS(130,3+18*3+(3))),'J1 A - (North) Bishopthorpe Roa'!$A$12:$A$130,"&gt;="&amp;Diagram!$O52,'J1 A - (North) Bishopthorpe Roa'!$A$12:$A$130,"&lt;"&amp;Diagram!$P52),SUMIFS(INDIRECT(ADDRESS(12,3+18*3+(11),,,"J1 A - (North) Bishopthorpe Roa")&amp;":"&amp;ADDRESS(130,3+18*3+(11))),'J1 A - (North) Bishopthorpe Roa'!$A$12:$A$130,"&gt;="&amp;Diagram!$O52,'J1 A - (North) Bishopthorpe Roa'!$A$12:$A$130,"&lt;"&amp;Diagram!$P52)))</f>
        <v>0</v>
      </c>
      <c r="BS52" s="42">
        <f ca="1">IF(OR($I$10="",$O52="",$P52="",$J$38&lt;&gt;"Yes"),0,IF($K$10=0,SUMIFS(INDIRECT(ADDRESS(12,3+18*0+(3),,,"J1 A - (North) Bishopthorpe Roa")&amp;":"&amp;ADDRESS(130,3+18*0+(3))),'J1 A - (North) Bishopthorpe Roa'!$A$12:$A$130,"&gt;="&amp;Diagram!$O52,'J1 A - (North) Bishopthorpe Roa'!$A$12:$A$130,"&lt;"&amp;Diagram!$P52),SUMIFS(INDIRECT(ADDRESS(12,3+18*0+(11),,,"J1 A - (North) Bishopthorpe Roa")&amp;":"&amp;ADDRESS(130,3+18*0+(11))),'J1 A - (North) Bishopthorpe Roa'!$A$12:$A$130,"&gt;="&amp;Diagram!$O52,'J1 A - (North) Bishopthorpe Roa'!$A$12:$A$130,"&lt;"&amp;Diagram!$P52)))</f>
        <v>0</v>
      </c>
      <c r="BT52" s="42">
        <f ca="1">IF(OR($I$10="",$O52="",$P52="",$J$38&lt;&gt;"Yes"),0,IF($K$10=0,SUMIFS(INDIRECT(ADDRESS(12,3+18*1+(3),,,"J1 A - (North) Bishopthorpe Roa")&amp;":"&amp;ADDRESS(130,3+18*1+(3))),'J1 A - (North) Bishopthorpe Roa'!$A$12:$A$130,"&gt;="&amp;Diagram!$O52,'J1 A - (North) Bishopthorpe Roa'!$A$12:$A$130,"&lt;"&amp;Diagram!$P52),SUMIFS(INDIRECT(ADDRESS(12,3+18*1+(11),,,"J1 A - (North) Bishopthorpe Roa")&amp;":"&amp;ADDRESS(130,3+18*1+(11))),'J1 A - (North) Bishopthorpe Roa'!$A$12:$A$130,"&gt;="&amp;Diagram!$O52,'J1 A - (North) Bishopthorpe Roa'!$A$12:$A$130,"&lt;"&amp;Diagram!$P52)))</f>
        <v>0</v>
      </c>
      <c r="BU52" s="42">
        <f ca="1">IF(OR($I$10="",$O52="",$P52="",$J$38&lt;&gt;"Yes"),0,IF($K$10=0,SUMIFS(INDIRECT(ADDRESS(12,3+18*2+(3),,,"J1 A - (North) Bishopthorpe Roa")&amp;":"&amp;ADDRESS(130,3+18*2+(3))),'J1 A - (North) Bishopthorpe Roa'!$A$12:$A$130,"&gt;="&amp;Diagram!$O52,'J1 A - (North) Bishopthorpe Roa'!$A$12:$A$130,"&lt;"&amp;Diagram!$P52),SUMIFS(INDIRECT(ADDRESS(12,3+18*2+(11),,,"J1 A - (North) Bishopthorpe Roa")&amp;":"&amp;ADDRESS(130,3+18*2+(11))),'J1 A - (North) Bishopthorpe Roa'!$A$12:$A$130,"&gt;="&amp;Diagram!$O52,'J1 A - (North) Bishopthorpe Roa'!$A$12:$A$130,"&lt;"&amp;Diagram!$P52)))</f>
        <v>0</v>
      </c>
      <c r="BV52" s="42">
        <f ca="1">IF(OR($I$10="",$O52="",$P52="",$J$38&lt;&gt;"Yes"),0,IF($K$10=0,SUMIFS(INDIRECT(ADDRESS(12,3+18*2+(3),,,"J1 B - Butcher Terrace")&amp;":"&amp;ADDRESS(130,3+18*2+(3))),'J1 B - Butcher Terrace'!$A$12:$A$130,"&gt;="&amp;Diagram!$O52,'J1 B - Butcher Terrace'!$A$12:$A$130,"&lt;"&amp;Diagram!$P52),SUMIFS(INDIRECT(ADDRESS(12,3+18*2+(11),,,"J1 B - Butcher Terrace")&amp;":"&amp;ADDRESS(130,3+18*2+(11))),'J1 B - Butcher Terrace'!$A$12:$A$130,"&gt;="&amp;Diagram!$O52,'J1 B - Butcher Terrace'!$A$12:$A$130,"&lt;"&amp;Diagram!$P52)))</f>
        <v>0</v>
      </c>
      <c r="BW52" s="42">
        <f ca="1">IF(OR($I$10="",$O52="",$P52="",$J$38&lt;&gt;"Yes"),0,IF($K$10=0,SUMIFS(INDIRECT(ADDRESS(12,3+18*3+(3),,,"J1 B - Butcher Terrace")&amp;":"&amp;ADDRESS(130,3+18*3+(3))),'J1 B - Butcher Terrace'!$A$12:$A$130,"&gt;="&amp;Diagram!$O52,'J1 B - Butcher Terrace'!$A$12:$A$130,"&lt;"&amp;Diagram!$P52),SUMIFS(INDIRECT(ADDRESS(12,3+18*3+(11),,,"J1 B - Butcher Terrace")&amp;":"&amp;ADDRESS(130,3+18*3+(11))),'J1 B - Butcher Terrace'!$A$12:$A$130,"&gt;="&amp;Diagram!$O52,'J1 B - Butcher Terrace'!$A$12:$A$130,"&lt;"&amp;Diagram!$P52)))</f>
        <v>0</v>
      </c>
      <c r="BX52" s="42">
        <f ca="1">IF(OR($I$10="",$O52="",$P52="",$J$38&lt;&gt;"Yes"),0,IF($K$10=0,SUMIFS(INDIRECT(ADDRESS(12,3+18*0+(3),,,"J1 B - Butcher Terrace")&amp;":"&amp;ADDRESS(130,3+18*0+(3))),'J1 B - Butcher Terrace'!$A$12:$A$130,"&gt;="&amp;Diagram!$O52,'J1 B - Butcher Terrace'!$A$12:$A$130,"&lt;"&amp;Diagram!$P52),SUMIFS(INDIRECT(ADDRESS(12,3+18*0+(11),,,"J1 B - Butcher Terrace")&amp;":"&amp;ADDRESS(130,3+18*0+(11))),'J1 B - Butcher Terrace'!$A$12:$A$130,"&gt;="&amp;Diagram!$O52,'J1 B - Butcher Terrace'!$A$12:$A$130,"&lt;"&amp;Diagram!$P52)))</f>
        <v>0</v>
      </c>
      <c r="BY52" s="42">
        <f ca="1">IF(OR($I$10="",$O52="",$P52="",$J$38&lt;&gt;"Yes"),0,IF($K$10=0,SUMIFS(INDIRECT(ADDRESS(12,3+18*1+(3),,,"J1 B - Butcher Terrace")&amp;":"&amp;ADDRESS(130,3+18*1+(3))),'J1 B - Butcher Terrace'!$A$12:$A$130,"&gt;="&amp;Diagram!$O52,'J1 B - Butcher Terrace'!$A$12:$A$130,"&lt;"&amp;Diagram!$P52),SUMIFS(INDIRECT(ADDRESS(12,3+18*1+(11),,,"J1 B - Butcher Terrace")&amp;":"&amp;ADDRESS(130,3+18*1+(11))),'J1 B - Butcher Terrace'!$A$12:$A$130,"&gt;="&amp;Diagram!$O52,'J1 B - Butcher Terrace'!$A$12:$A$130,"&lt;"&amp;Diagram!$P52)))</f>
        <v>0</v>
      </c>
      <c r="BZ52" s="42">
        <f ca="1">IF(OR($I$10="",$O52="",$P52="",$J$38&lt;&gt;"Yes"),0,IF($K$10=0,SUMIFS(INDIRECT(ADDRESS(12,3+18*1+(3),,,"J1 C - (South) Bishopthorpe Roa")&amp;":"&amp;ADDRESS(130,3+18*1+(3))),'J1 C - (South) Bishopthorpe Roa'!$A$12:$A$130,"&gt;="&amp;Diagram!$O52,'J1 C - (South) Bishopthorpe Roa'!$A$12:$A$130,"&lt;"&amp;Diagram!$P52),SUMIFS(INDIRECT(ADDRESS(12,3+18*1+(11),,,"J1 C - (South) Bishopthorpe Roa")&amp;":"&amp;ADDRESS(130,3+18*1+(11))),'J1 C - (South) Bishopthorpe Roa'!$A$12:$A$130,"&gt;="&amp;Diagram!$O52,'J1 C - (South) Bishopthorpe Roa'!$A$12:$A$130,"&lt;"&amp;Diagram!$P52)))</f>
        <v>1</v>
      </c>
      <c r="CA52" s="42">
        <f ca="1">IF(OR($I$10="",$O52="",$P52="",$J$38&lt;&gt;"Yes"),0,IF($K$10=0,SUMIFS(INDIRECT(ADDRESS(12,3+18*2+(3),,,"J1 C - (South) Bishopthorpe Roa")&amp;":"&amp;ADDRESS(130,3+18*2+(3))),'J1 C - (South) Bishopthorpe Roa'!$A$12:$A$130,"&gt;="&amp;Diagram!$O52,'J1 C - (South) Bishopthorpe Roa'!$A$12:$A$130,"&lt;"&amp;Diagram!$P52),SUMIFS(INDIRECT(ADDRESS(12,3+18*2+(11),,,"J1 C - (South) Bishopthorpe Roa")&amp;":"&amp;ADDRESS(130,3+18*2+(11))),'J1 C - (South) Bishopthorpe Roa'!$A$12:$A$130,"&gt;="&amp;Diagram!$O52,'J1 C - (South) Bishopthorpe Roa'!$A$12:$A$130,"&lt;"&amp;Diagram!$P52)))</f>
        <v>0</v>
      </c>
      <c r="CB52" s="42">
        <f ca="1">IF(OR($I$10="",$O52="",$P52="",$J$38&lt;&gt;"Yes"),0,IF($K$10=0,SUMIFS(INDIRECT(ADDRESS(12,3+18*3+(3),,,"J1 C - (South) Bishopthorpe Roa")&amp;":"&amp;ADDRESS(130,3+18*3+(3))),'J1 C - (South) Bishopthorpe Roa'!$A$12:$A$130,"&gt;="&amp;Diagram!$O52,'J1 C - (South) Bishopthorpe Roa'!$A$12:$A$130,"&lt;"&amp;Diagram!$P52),SUMIFS(INDIRECT(ADDRESS(12,3+18*3+(11),,,"J1 C - (South) Bishopthorpe Roa")&amp;":"&amp;ADDRESS(130,3+18*3+(11))),'J1 C - (South) Bishopthorpe Roa'!$A$12:$A$130,"&gt;="&amp;Diagram!$O52,'J1 C - (South) Bishopthorpe Roa'!$A$12:$A$130,"&lt;"&amp;Diagram!$P52)))</f>
        <v>0</v>
      </c>
      <c r="CC52" s="42">
        <f ca="1">IF(OR($I$10="",$O52="",$P52="",$J$38&lt;&gt;"Yes"),0,IF($K$10=0,SUMIFS(INDIRECT(ADDRESS(12,3+18*0+(3),,,"J1 C - (South) Bishopthorpe Roa")&amp;":"&amp;ADDRESS(130,3+18*0+(3))),'J1 C - (South) Bishopthorpe Roa'!$A$12:$A$130,"&gt;="&amp;Diagram!$O52,'J1 C - (South) Bishopthorpe Roa'!$A$12:$A$130,"&lt;"&amp;Diagram!$P52),SUMIFS(INDIRECT(ADDRESS(12,3+18*0+(11),,,"J1 C - (South) Bishopthorpe Roa")&amp;":"&amp;ADDRESS(130,3+18*0+(11))),'J1 C - (South) Bishopthorpe Roa'!$A$12:$A$130,"&gt;="&amp;Diagram!$O52,'J1 C - (South) Bishopthorpe Roa'!$A$12:$A$130,"&lt;"&amp;Diagram!$P52)))</f>
        <v>0</v>
      </c>
      <c r="CD52" s="42">
        <f ca="1">IF(OR($I$10="",$O52="",$P52="",$J$38&lt;&gt;"Yes"),0,IF($K$10=0,SUMIFS(INDIRECT(ADDRESS(12,3+18*0+(3),,,"J1 D - South Bank Avenue")&amp;":"&amp;ADDRESS(130,3+18*0+(3))),'J1 D - South Bank Avenue'!$A$12:$A$130,"&gt;="&amp;Diagram!$O52,'J1 D - South Bank Avenue'!$A$12:$A$130,"&lt;"&amp;Diagram!$P52),SUMIFS(INDIRECT(ADDRESS(12,3+18*0+(11),,,"J1 D - South Bank Avenue")&amp;":"&amp;ADDRESS(130,3+18*0+(11))),'J1 D - South Bank Avenue'!$A$12:$A$130,"&gt;="&amp;Diagram!$O52,'J1 D - South Bank Avenue'!$A$12:$A$130,"&lt;"&amp;Diagram!$P52)))</f>
        <v>0</v>
      </c>
      <c r="CE52" s="42">
        <f ca="1">IF(OR($I$10="",$O52="",$P52="",$J$38&lt;&gt;"Yes"),0,IF($K$10=0,SUMIFS(INDIRECT(ADDRESS(12,3+18*1+(3),,,"J1 D - South Bank Avenue")&amp;":"&amp;ADDRESS(130,3+18*1+(3))),'J1 D - South Bank Avenue'!$A$12:$A$130,"&gt;="&amp;Diagram!$O52,'J1 D - South Bank Avenue'!$A$12:$A$130,"&lt;"&amp;Diagram!$P52),SUMIFS(INDIRECT(ADDRESS(12,3+18*1+(11),,,"J1 D - South Bank Avenue")&amp;":"&amp;ADDRESS(130,3+18*1+(11))),'J1 D - South Bank Avenue'!$A$12:$A$130,"&gt;="&amp;Diagram!$O52,'J1 D - South Bank Avenue'!$A$12:$A$130,"&lt;"&amp;Diagram!$P52)))</f>
        <v>0</v>
      </c>
      <c r="CF52" s="42">
        <f ca="1">IF(OR($I$10="",$O52="",$P52="",$J$38&lt;&gt;"Yes"),0,IF($K$10=0,SUMIFS(INDIRECT(ADDRESS(12,3+18*2+(3),,,"J1 D - South Bank Avenue")&amp;":"&amp;ADDRESS(130,3+18*2+(3))),'J1 D - South Bank Avenue'!$A$12:$A$130,"&gt;="&amp;Diagram!$O52,'J1 D - South Bank Avenue'!$A$12:$A$130,"&lt;"&amp;Diagram!$P52),SUMIFS(INDIRECT(ADDRESS(12,3+18*2+(11),,,"J1 D - South Bank Avenue")&amp;":"&amp;ADDRESS(130,3+18*2+(11))),'J1 D - South Bank Avenue'!$A$12:$A$130,"&gt;="&amp;Diagram!$O52,'J1 D - South Bank Avenue'!$A$12:$A$130,"&lt;"&amp;Diagram!$P52)))</f>
        <v>0</v>
      </c>
      <c r="CG52" s="42">
        <f ca="1">IF(OR($I$10="",$O52="",$P52="",$J$38&lt;&gt;"Yes"),0,IF($K$10=0,SUMIFS(INDIRECT(ADDRESS(12,3+18*3+(3),,,"J1 D - South Bank Avenue")&amp;":"&amp;ADDRESS(130,3+18*3+(3))),'J1 D - South Bank Avenue'!$A$12:$A$130,"&gt;="&amp;Diagram!$O52,'J1 D - South Bank Avenue'!$A$12:$A$130,"&lt;"&amp;Diagram!$P52),SUMIFS(INDIRECT(ADDRESS(12,3+18*3+(11),,,"J1 D - South Bank Avenue")&amp;":"&amp;ADDRESS(130,3+18*3+(11))),'J1 D - South Bank Avenue'!$A$12:$A$130,"&gt;="&amp;Diagram!$O52,'J1 D - South Bank Avenue'!$A$12:$A$130,"&lt;"&amp;Diagram!$P52)))</f>
        <v>0</v>
      </c>
      <c r="CH52" s="42">
        <f t="shared" ca="1" si="5"/>
        <v>9</v>
      </c>
      <c r="CI52" s="42">
        <f ca="1">IF(OR($I$10="",$O52="",$P52="",$J$39&lt;&gt;"Yes"),0,IF($K$10=0,SUMIFS(INDIRECT(ADDRESS(12,3+18*3+(4),,,"J1 A - (North) Bishopthorpe Roa")&amp;":"&amp;ADDRESS(130,3+18*3+(4))),'J1 A - (North) Bishopthorpe Roa'!$A$12:$A$130,"&gt;="&amp;Diagram!$O52,'J1 A - (North) Bishopthorpe Roa'!$A$12:$A$130,"&lt;"&amp;Diagram!$P52),SUMIFS(INDIRECT(ADDRESS(12,3+18*3+(12),,,"J1 A - (North) Bishopthorpe Roa")&amp;":"&amp;ADDRESS(130,3+18*3+(12))),'J1 A - (North) Bishopthorpe Roa'!$A$12:$A$130,"&gt;="&amp;Diagram!$O52,'J1 A - (North) Bishopthorpe Roa'!$A$12:$A$130,"&lt;"&amp;Diagram!$P52)))</f>
        <v>0</v>
      </c>
      <c r="CJ52" s="42">
        <f ca="1">IF(OR($I$10="",$O52="",$P52="",$J$39&lt;&gt;"Yes"),0,IF($K$10=0,SUMIFS(INDIRECT(ADDRESS(12,3+18*0+(4),,,"J1 A - (North) Bishopthorpe Roa")&amp;":"&amp;ADDRESS(130,3+18*0+(4))),'J1 A - (North) Bishopthorpe Roa'!$A$12:$A$130,"&gt;="&amp;Diagram!$O52,'J1 A - (North) Bishopthorpe Roa'!$A$12:$A$130,"&lt;"&amp;Diagram!$P52),SUMIFS(INDIRECT(ADDRESS(12,3+18*0+(12),,,"J1 A - (North) Bishopthorpe Roa")&amp;":"&amp;ADDRESS(130,3+18*0+(12))),'J1 A - (North) Bishopthorpe Roa'!$A$12:$A$130,"&gt;="&amp;Diagram!$O52,'J1 A - (North) Bishopthorpe Roa'!$A$12:$A$130,"&lt;"&amp;Diagram!$P52)))</f>
        <v>0</v>
      </c>
      <c r="CK52" s="42">
        <f ca="1">IF(OR($I$10="",$O52="",$P52="",$J$39&lt;&gt;"Yes"),0,IF($K$10=0,SUMIFS(INDIRECT(ADDRESS(12,3+18*1+(4),,,"J1 A - (North) Bishopthorpe Roa")&amp;":"&amp;ADDRESS(130,3+18*1+(4))),'J1 A - (North) Bishopthorpe Roa'!$A$12:$A$130,"&gt;="&amp;Diagram!$O52,'J1 A - (North) Bishopthorpe Roa'!$A$12:$A$130,"&lt;"&amp;Diagram!$P52),SUMIFS(INDIRECT(ADDRESS(12,3+18*1+(12),,,"J1 A - (North) Bishopthorpe Roa")&amp;":"&amp;ADDRESS(130,3+18*1+(12))),'J1 A - (North) Bishopthorpe Roa'!$A$12:$A$130,"&gt;="&amp;Diagram!$O52,'J1 A - (North) Bishopthorpe Roa'!$A$12:$A$130,"&lt;"&amp;Diagram!$P52)))</f>
        <v>4</v>
      </c>
      <c r="CL52" s="42">
        <f ca="1">IF(OR($I$10="",$O52="",$P52="",$J$39&lt;&gt;"Yes"),0,IF($K$10=0,SUMIFS(INDIRECT(ADDRESS(12,3+18*2+(4),,,"J1 A - (North) Bishopthorpe Roa")&amp;":"&amp;ADDRESS(130,3+18*2+(4))),'J1 A - (North) Bishopthorpe Roa'!$A$12:$A$130,"&gt;="&amp;Diagram!$O52,'J1 A - (North) Bishopthorpe Roa'!$A$12:$A$130,"&lt;"&amp;Diagram!$P52),SUMIFS(INDIRECT(ADDRESS(12,3+18*2+(12),,,"J1 A - (North) Bishopthorpe Roa")&amp;":"&amp;ADDRESS(130,3+18*2+(12))),'J1 A - (North) Bishopthorpe Roa'!$A$12:$A$130,"&gt;="&amp;Diagram!$O52,'J1 A - (North) Bishopthorpe Roa'!$A$12:$A$130,"&lt;"&amp;Diagram!$P52)))</f>
        <v>0</v>
      </c>
      <c r="CM52" s="42">
        <f ca="1">IF(OR($I$10="",$O52="",$P52="",$J$39&lt;&gt;"Yes"),0,IF($K$10=0,SUMIFS(INDIRECT(ADDRESS(12,3+18*2+(4),,,"J1 B - Butcher Terrace")&amp;":"&amp;ADDRESS(130,3+18*2+(4))),'J1 B - Butcher Terrace'!$A$12:$A$130,"&gt;="&amp;Diagram!$O52,'J1 B - Butcher Terrace'!$A$12:$A$130,"&lt;"&amp;Diagram!$P52),SUMIFS(INDIRECT(ADDRESS(12,3+18*2+(12),,,"J1 B - Butcher Terrace")&amp;":"&amp;ADDRESS(130,3+18*2+(12))),'J1 B - Butcher Terrace'!$A$12:$A$130,"&gt;="&amp;Diagram!$O52,'J1 B - Butcher Terrace'!$A$12:$A$130,"&lt;"&amp;Diagram!$P52)))</f>
        <v>0</v>
      </c>
      <c r="CN52" s="42">
        <f ca="1">IF(OR($I$10="",$O52="",$P52="",$J$39&lt;&gt;"Yes"),0,IF($K$10=0,SUMIFS(INDIRECT(ADDRESS(12,3+18*3+(4),,,"J1 B - Butcher Terrace")&amp;":"&amp;ADDRESS(130,3+18*3+(4))),'J1 B - Butcher Terrace'!$A$12:$A$130,"&gt;="&amp;Diagram!$O52,'J1 B - Butcher Terrace'!$A$12:$A$130,"&lt;"&amp;Diagram!$P52),SUMIFS(INDIRECT(ADDRESS(12,3+18*3+(12),,,"J1 B - Butcher Terrace")&amp;":"&amp;ADDRESS(130,3+18*3+(12))),'J1 B - Butcher Terrace'!$A$12:$A$130,"&gt;="&amp;Diagram!$O52,'J1 B - Butcher Terrace'!$A$12:$A$130,"&lt;"&amp;Diagram!$P52)))</f>
        <v>0</v>
      </c>
      <c r="CO52" s="42">
        <f ca="1">IF(OR($I$10="",$O52="",$P52="",$J$39&lt;&gt;"Yes"),0,IF($K$10=0,SUMIFS(INDIRECT(ADDRESS(12,3+18*0+(4),,,"J1 B - Butcher Terrace")&amp;":"&amp;ADDRESS(130,3+18*0+(4))),'J1 B - Butcher Terrace'!$A$12:$A$130,"&gt;="&amp;Diagram!$O52,'J1 B - Butcher Terrace'!$A$12:$A$130,"&lt;"&amp;Diagram!$P52),SUMIFS(INDIRECT(ADDRESS(12,3+18*0+(12),,,"J1 B - Butcher Terrace")&amp;":"&amp;ADDRESS(130,3+18*0+(12))),'J1 B - Butcher Terrace'!$A$12:$A$130,"&gt;="&amp;Diagram!$O52,'J1 B - Butcher Terrace'!$A$12:$A$130,"&lt;"&amp;Diagram!$P52)))</f>
        <v>0</v>
      </c>
      <c r="CP52" s="42">
        <f ca="1">IF(OR($I$10="",$O52="",$P52="",$J$39&lt;&gt;"Yes"),0,IF($K$10=0,SUMIFS(INDIRECT(ADDRESS(12,3+18*1+(4),,,"J1 B - Butcher Terrace")&amp;":"&amp;ADDRESS(130,3+18*1+(4))),'J1 B - Butcher Terrace'!$A$12:$A$130,"&gt;="&amp;Diagram!$O52,'J1 B - Butcher Terrace'!$A$12:$A$130,"&lt;"&amp;Diagram!$P52),SUMIFS(INDIRECT(ADDRESS(12,3+18*1+(12),,,"J1 B - Butcher Terrace")&amp;":"&amp;ADDRESS(130,3+18*1+(12))),'J1 B - Butcher Terrace'!$A$12:$A$130,"&gt;="&amp;Diagram!$O52,'J1 B - Butcher Terrace'!$A$12:$A$130,"&lt;"&amp;Diagram!$P52)))</f>
        <v>0</v>
      </c>
      <c r="CQ52" s="42">
        <f ca="1">IF(OR($I$10="",$O52="",$P52="",$J$39&lt;&gt;"Yes"),0,IF($K$10=0,SUMIFS(INDIRECT(ADDRESS(12,3+18*1+(4),,,"J1 C - (South) Bishopthorpe Roa")&amp;":"&amp;ADDRESS(130,3+18*1+(4))),'J1 C - (South) Bishopthorpe Roa'!$A$12:$A$130,"&gt;="&amp;Diagram!$O52,'J1 C - (South) Bishopthorpe Roa'!$A$12:$A$130,"&lt;"&amp;Diagram!$P52),SUMIFS(INDIRECT(ADDRESS(12,3+18*1+(12),,,"J1 C - (South) Bishopthorpe Roa")&amp;":"&amp;ADDRESS(130,3+18*1+(12))),'J1 C - (South) Bishopthorpe Roa'!$A$12:$A$130,"&gt;="&amp;Diagram!$O52,'J1 C - (South) Bishopthorpe Roa'!$A$12:$A$130,"&lt;"&amp;Diagram!$P52)))</f>
        <v>5</v>
      </c>
      <c r="CR52" s="42">
        <f ca="1">IF(OR($I$10="",$O52="",$P52="",$J$39&lt;&gt;"Yes"),0,IF($K$10=0,SUMIFS(INDIRECT(ADDRESS(12,3+18*2+(4),,,"J1 C - (South) Bishopthorpe Roa")&amp;":"&amp;ADDRESS(130,3+18*2+(4))),'J1 C - (South) Bishopthorpe Roa'!$A$12:$A$130,"&gt;="&amp;Diagram!$O52,'J1 C - (South) Bishopthorpe Roa'!$A$12:$A$130,"&lt;"&amp;Diagram!$P52),SUMIFS(INDIRECT(ADDRESS(12,3+18*2+(12),,,"J1 C - (South) Bishopthorpe Roa")&amp;":"&amp;ADDRESS(130,3+18*2+(12))),'J1 C - (South) Bishopthorpe Roa'!$A$12:$A$130,"&gt;="&amp;Diagram!$O52,'J1 C - (South) Bishopthorpe Roa'!$A$12:$A$130,"&lt;"&amp;Diagram!$P52)))</f>
        <v>0</v>
      </c>
      <c r="CS52" s="42">
        <f ca="1">IF(OR($I$10="",$O52="",$P52="",$J$39&lt;&gt;"Yes"),0,IF($K$10=0,SUMIFS(INDIRECT(ADDRESS(12,3+18*3+(4),,,"J1 C - (South) Bishopthorpe Roa")&amp;":"&amp;ADDRESS(130,3+18*3+(4))),'J1 C - (South) Bishopthorpe Roa'!$A$12:$A$130,"&gt;="&amp;Diagram!$O52,'J1 C - (South) Bishopthorpe Roa'!$A$12:$A$130,"&lt;"&amp;Diagram!$P52),SUMIFS(INDIRECT(ADDRESS(12,3+18*3+(12),,,"J1 C - (South) Bishopthorpe Roa")&amp;":"&amp;ADDRESS(130,3+18*3+(12))),'J1 C - (South) Bishopthorpe Roa'!$A$12:$A$130,"&gt;="&amp;Diagram!$O52,'J1 C - (South) Bishopthorpe Roa'!$A$12:$A$130,"&lt;"&amp;Diagram!$P52)))</f>
        <v>0</v>
      </c>
      <c r="CT52" s="42">
        <f ca="1">IF(OR($I$10="",$O52="",$P52="",$J$39&lt;&gt;"Yes"),0,IF($K$10=0,SUMIFS(INDIRECT(ADDRESS(12,3+18*0+(4),,,"J1 C - (South) Bishopthorpe Roa")&amp;":"&amp;ADDRESS(130,3+18*0+(4))),'J1 C - (South) Bishopthorpe Roa'!$A$12:$A$130,"&gt;="&amp;Diagram!$O52,'J1 C - (South) Bishopthorpe Roa'!$A$12:$A$130,"&lt;"&amp;Diagram!$P52),SUMIFS(INDIRECT(ADDRESS(12,3+18*0+(12),,,"J1 C - (South) Bishopthorpe Roa")&amp;":"&amp;ADDRESS(130,3+18*0+(12))),'J1 C - (South) Bishopthorpe Roa'!$A$12:$A$130,"&gt;="&amp;Diagram!$O52,'J1 C - (South) Bishopthorpe Roa'!$A$12:$A$130,"&lt;"&amp;Diagram!$P52)))</f>
        <v>0</v>
      </c>
      <c r="CU52" s="42">
        <f ca="1">IF(OR($I$10="",$O52="",$P52="",$J$39&lt;&gt;"Yes"),0,IF($K$10=0,SUMIFS(INDIRECT(ADDRESS(12,3+18*0+(4),,,"J1 D - South Bank Avenue")&amp;":"&amp;ADDRESS(130,3+18*0+(4))),'J1 D - South Bank Avenue'!$A$12:$A$130,"&gt;="&amp;Diagram!$O52,'J1 D - South Bank Avenue'!$A$12:$A$130,"&lt;"&amp;Diagram!$P52),SUMIFS(INDIRECT(ADDRESS(12,3+18*0+(12),,,"J1 D - South Bank Avenue")&amp;":"&amp;ADDRESS(130,3+18*0+(12))),'J1 D - South Bank Avenue'!$A$12:$A$130,"&gt;="&amp;Diagram!$O52,'J1 D - South Bank Avenue'!$A$12:$A$130,"&lt;"&amp;Diagram!$P52)))</f>
        <v>0</v>
      </c>
      <c r="CV52" s="42">
        <f ca="1">IF(OR($I$10="",$O52="",$P52="",$J$39&lt;&gt;"Yes"),0,IF($K$10=0,SUMIFS(INDIRECT(ADDRESS(12,3+18*1+(4),,,"J1 D - South Bank Avenue")&amp;":"&amp;ADDRESS(130,3+18*1+(4))),'J1 D - South Bank Avenue'!$A$12:$A$130,"&gt;="&amp;Diagram!$O52,'J1 D - South Bank Avenue'!$A$12:$A$130,"&lt;"&amp;Diagram!$P52),SUMIFS(INDIRECT(ADDRESS(12,3+18*1+(12),,,"J1 D - South Bank Avenue")&amp;":"&amp;ADDRESS(130,3+18*1+(12))),'J1 D - South Bank Avenue'!$A$12:$A$130,"&gt;="&amp;Diagram!$O52,'J1 D - South Bank Avenue'!$A$12:$A$130,"&lt;"&amp;Diagram!$P52)))</f>
        <v>0</v>
      </c>
      <c r="CW52" s="42">
        <f ca="1">IF(OR($I$10="",$O52="",$P52="",$J$39&lt;&gt;"Yes"),0,IF($K$10=0,SUMIFS(INDIRECT(ADDRESS(12,3+18*2+(4),,,"J1 D - South Bank Avenue")&amp;":"&amp;ADDRESS(130,3+18*2+(4))),'J1 D - South Bank Avenue'!$A$12:$A$130,"&gt;="&amp;Diagram!$O52,'J1 D - South Bank Avenue'!$A$12:$A$130,"&lt;"&amp;Diagram!$P52),SUMIFS(INDIRECT(ADDRESS(12,3+18*2+(12),,,"J1 D - South Bank Avenue")&amp;":"&amp;ADDRESS(130,3+18*2+(12))),'J1 D - South Bank Avenue'!$A$12:$A$130,"&gt;="&amp;Diagram!$O52,'J1 D - South Bank Avenue'!$A$12:$A$130,"&lt;"&amp;Diagram!$P52)))</f>
        <v>0</v>
      </c>
      <c r="CX52" s="42">
        <f ca="1">IF(OR($I$10="",$O52="",$P52="",$J$39&lt;&gt;"Yes"),0,IF($K$10=0,SUMIFS(INDIRECT(ADDRESS(12,3+18*3+(4),,,"J1 D - South Bank Avenue")&amp;":"&amp;ADDRESS(130,3+18*3+(4))),'J1 D - South Bank Avenue'!$A$12:$A$130,"&gt;="&amp;Diagram!$O52,'J1 D - South Bank Avenue'!$A$12:$A$130,"&lt;"&amp;Diagram!$P52),SUMIFS(INDIRECT(ADDRESS(12,3+18*3+(12),,,"J1 D - South Bank Avenue")&amp;":"&amp;ADDRESS(130,3+18*3+(12))),'J1 D - South Bank Avenue'!$A$12:$A$130,"&gt;="&amp;Diagram!$O52,'J1 D - South Bank Avenue'!$A$12:$A$130,"&lt;"&amp;Diagram!$P52)))</f>
        <v>0</v>
      </c>
      <c r="CY52" s="42">
        <f t="shared" ca="1" si="6"/>
        <v>120</v>
      </c>
      <c r="CZ52" s="42">
        <f ca="1">IF(OR($I$10="",$O52="",$P52="",$J$40&lt;&gt;"Yes"),0,IF($K$10=0,SUMIFS(INDIRECT(ADDRESS(12,3+18*3+(5),,,"J1 A - (North) Bishopthorpe Roa")&amp;":"&amp;ADDRESS(130,3+18*3+(5))),'J1 A - (North) Bishopthorpe Roa'!$A$12:$A$130,"&gt;="&amp;Diagram!$O52,'J1 A - (North) Bishopthorpe Roa'!$A$12:$A$130,"&lt;"&amp;Diagram!$P52),SUMIFS(INDIRECT(ADDRESS(12,3+18*3+(13),,,"J1 A - (North) Bishopthorpe Roa")&amp;":"&amp;ADDRESS(130,3+18*3+(13))),'J1 A - (North) Bishopthorpe Roa'!$A$12:$A$130,"&gt;="&amp;Diagram!$O52,'J1 A - (North) Bishopthorpe Roa'!$A$12:$A$130,"&lt;"&amp;Diagram!$P52)))</f>
        <v>0</v>
      </c>
      <c r="DA52" s="42">
        <f ca="1">IF(OR($I$10="",$O52="",$P52="",$J$40&lt;&gt;"Yes"),0,IF($K$10=0,SUMIFS(INDIRECT(ADDRESS(12,3+18*0+(5),,,"J1 A - (North) Bishopthorpe Roa")&amp;":"&amp;ADDRESS(130,3+18*0+(5))),'J1 A - (North) Bishopthorpe Roa'!$A$12:$A$130,"&gt;="&amp;Diagram!$O52,'J1 A - (North) Bishopthorpe Roa'!$A$12:$A$130,"&lt;"&amp;Diagram!$P52),SUMIFS(INDIRECT(ADDRESS(12,3+18*0+(13),,,"J1 A - (North) Bishopthorpe Roa")&amp;":"&amp;ADDRESS(130,3+18*0+(13))),'J1 A - (North) Bishopthorpe Roa'!$A$12:$A$130,"&gt;="&amp;Diagram!$O52,'J1 A - (North) Bishopthorpe Roa'!$A$12:$A$130,"&lt;"&amp;Diagram!$P52)))</f>
        <v>20</v>
      </c>
      <c r="DB52" s="42">
        <f ca="1">IF(OR($I$10="",$O52="",$P52="",$J$40&lt;&gt;"Yes"),0,IF($K$10=0,SUMIFS(INDIRECT(ADDRESS(12,3+18*1+(5),,,"J1 A - (North) Bishopthorpe Roa")&amp;":"&amp;ADDRESS(130,3+18*1+(5))),'J1 A - (North) Bishopthorpe Roa'!$A$12:$A$130,"&gt;="&amp;Diagram!$O52,'J1 A - (North) Bishopthorpe Roa'!$A$12:$A$130,"&lt;"&amp;Diagram!$P52),SUMIFS(INDIRECT(ADDRESS(12,3+18*1+(13),,,"J1 A - (North) Bishopthorpe Roa")&amp;":"&amp;ADDRESS(130,3+18*1+(13))),'J1 A - (North) Bishopthorpe Roa'!$A$12:$A$130,"&gt;="&amp;Diagram!$O52,'J1 A - (North) Bishopthorpe Roa'!$A$12:$A$130,"&lt;"&amp;Diagram!$P52)))</f>
        <v>11</v>
      </c>
      <c r="DC52" s="42">
        <f ca="1">IF(OR($I$10="",$O52="",$P52="",$J$40&lt;&gt;"Yes"),0,IF($K$10=0,SUMIFS(INDIRECT(ADDRESS(12,3+18*2+(5),,,"J1 A - (North) Bishopthorpe Roa")&amp;":"&amp;ADDRESS(130,3+18*2+(5))),'J1 A - (North) Bishopthorpe Roa'!$A$12:$A$130,"&gt;="&amp;Diagram!$O52,'J1 A - (North) Bishopthorpe Roa'!$A$12:$A$130,"&lt;"&amp;Diagram!$P52),SUMIFS(INDIRECT(ADDRESS(12,3+18*2+(13),,,"J1 A - (North) Bishopthorpe Roa")&amp;":"&amp;ADDRESS(130,3+18*2+(13))),'J1 A - (North) Bishopthorpe Roa'!$A$12:$A$130,"&gt;="&amp;Diagram!$O52,'J1 A - (North) Bishopthorpe Roa'!$A$12:$A$130,"&lt;"&amp;Diagram!$P52)))</f>
        <v>1</v>
      </c>
      <c r="DD52" s="42">
        <f ca="1">IF(OR($I$10="",$O52="",$P52="",$J$40&lt;&gt;"Yes"),0,IF($K$10=0,SUMIFS(INDIRECT(ADDRESS(12,3+18*2+(5),,,"J1 B - Butcher Terrace")&amp;":"&amp;ADDRESS(130,3+18*2+(5))),'J1 B - Butcher Terrace'!$A$12:$A$130,"&gt;="&amp;Diagram!$O52,'J1 B - Butcher Terrace'!$A$12:$A$130,"&lt;"&amp;Diagram!$P52),SUMIFS(INDIRECT(ADDRESS(12,3+18*2+(13),,,"J1 B - Butcher Terrace")&amp;":"&amp;ADDRESS(130,3+18*2+(13))),'J1 B - Butcher Terrace'!$A$12:$A$130,"&gt;="&amp;Diagram!$O52,'J1 B - Butcher Terrace'!$A$12:$A$130,"&lt;"&amp;Diagram!$P52)))</f>
        <v>8</v>
      </c>
      <c r="DE52" s="42">
        <f ca="1">IF(OR($I$10="",$O52="",$P52="",$J$40&lt;&gt;"Yes"),0,IF($K$10=0,SUMIFS(INDIRECT(ADDRESS(12,3+18*3+(5),,,"J1 B - Butcher Terrace")&amp;":"&amp;ADDRESS(130,3+18*3+(5))),'J1 B - Butcher Terrace'!$A$12:$A$130,"&gt;="&amp;Diagram!$O52,'J1 B - Butcher Terrace'!$A$12:$A$130,"&lt;"&amp;Diagram!$P52),SUMIFS(INDIRECT(ADDRESS(12,3+18*3+(13),,,"J1 B - Butcher Terrace")&amp;":"&amp;ADDRESS(130,3+18*3+(13))),'J1 B - Butcher Terrace'!$A$12:$A$130,"&gt;="&amp;Diagram!$O52,'J1 B - Butcher Terrace'!$A$12:$A$130,"&lt;"&amp;Diagram!$P52)))</f>
        <v>0</v>
      </c>
      <c r="DF52" s="42">
        <f ca="1">IF(OR($I$10="",$O52="",$P52="",$J$40&lt;&gt;"Yes"),0,IF($K$10=0,SUMIFS(INDIRECT(ADDRESS(12,3+18*0+(5),,,"J1 B - Butcher Terrace")&amp;":"&amp;ADDRESS(130,3+18*0+(5))),'J1 B - Butcher Terrace'!$A$12:$A$130,"&gt;="&amp;Diagram!$O52,'J1 B - Butcher Terrace'!$A$12:$A$130,"&lt;"&amp;Diagram!$P52),SUMIFS(INDIRECT(ADDRESS(12,3+18*0+(13),,,"J1 B - Butcher Terrace")&amp;":"&amp;ADDRESS(130,3+18*0+(13))),'J1 B - Butcher Terrace'!$A$12:$A$130,"&gt;="&amp;Diagram!$O52,'J1 B - Butcher Terrace'!$A$12:$A$130,"&lt;"&amp;Diagram!$P52)))</f>
        <v>10</v>
      </c>
      <c r="DG52" s="42">
        <f ca="1">IF(OR($I$10="",$O52="",$P52="",$J$40&lt;&gt;"Yes"),0,IF($K$10=0,SUMIFS(INDIRECT(ADDRESS(12,3+18*1+(5),,,"J1 B - Butcher Terrace")&amp;":"&amp;ADDRESS(130,3+18*1+(5))),'J1 B - Butcher Terrace'!$A$12:$A$130,"&gt;="&amp;Diagram!$O52,'J1 B - Butcher Terrace'!$A$12:$A$130,"&lt;"&amp;Diagram!$P52),SUMIFS(INDIRECT(ADDRESS(12,3+18*1+(13),,,"J1 B - Butcher Terrace")&amp;":"&amp;ADDRESS(130,3+18*1+(13))),'J1 B - Butcher Terrace'!$A$12:$A$130,"&gt;="&amp;Diagram!$O52,'J1 B - Butcher Terrace'!$A$12:$A$130,"&lt;"&amp;Diagram!$P52)))</f>
        <v>28</v>
      </c>
      <c r="DH52" s="42">
        <f ca="1">IF(OR($I$10="",$O52="",$P52="",$J$40&lt;&gt;"Yes"),0,IF($K$10=0,SUMIFS(INDIRECT(ADDRESS(12,3+18*1+(5),,,"J1 C - (South) Bishopthorpe Roa")&amp;":"&amp;ADDRESS(130,3+18*1+(5))),'J1 C - (South) Bishopthorpe Roa'!$A$12:$A$130,"&gt;="&amp;Diagram!$O52,'J1 C - (South) Bishopthorpe Roa'!$A$12:$A$130,"&lt;"&amp;Diagram!$P52),SUMIFS(INDIRECT(ADDRESS(12,3+18*1+(13),,,"J1 C - (South) Bishopthorpe Roa")&amp;":"&amp;ADDRESS(130,3+18*1+(13))),'J1 C - (South) Bishopthorpe Roa'!$A$12:$A$130,"&gt;="&amp;Diagram!$O52,'J1 C - (South) Bishopthorpe Roa'!$A$12:$A$130,"&lt;"&amp;Diagram!$P52)))</f>
        <v>13</v>
      </c>
      <c r="DI52" s="42">
        <f ca="1">IF(OR($I$10="",$O52="",$P52="",$J$40&lt;&gt;"Yes"),0,IF($K$10=0,SUMIFS(INDIRECT(ADDRESS(12,3+18*2+(5),,,"J1 C - (South) Bishopthorpe Roa")&amp;":"&amp;ADDRESS(130,3+18*2+(5))),'J1 C - (South) Bishopthorpe Roa'!$A$12:$A$130,"&gt;="&amp;Diagram!$O52,'J1 C - (South) Bishopthorpe Roa'!$A$12:$A$130,"&lt;"&amp;Diagram!$P52),SUMIFS(INDIRECT(ADDRESS(12,3+18*2+(13),,,"J1 C - (South) Bishopthorpe Roa")&amp;":"&amp;ADDRESS(130,3+18*2+(13))),'J1 C - (South) Bishopthorpe Roa'!$A$12:$A$130,"&gt;="&amp;Diagram!$O52,'J1 C - (South) Bishopthorpe Roa'!$A$12:$A$130,"&lt;"&amp;Diagram!$P52)))</f>
        <v>6</v>
      </c>
      <c r="DJ52" s="42">
        <f ca="1">IF(OR($I$10="",$O52="",$P52="",$J$40&lt;&gt;"Yes"),0,IF($K$10=0,SUMIFS(INDIRECT(ADDRESS(12,3+18*3+(5),,,"J1 C - (South) Bishopthorpe Roa")&amp;":"&amp;ADDRESS(130,3+18*3+(5))),'J1 C - (South) Bishopthorpe Roa'!$A$12:$A$130,"&gt;="&amp;Diagram!$O52,'J1 C - (South) Bishopthorpe Roa'!$A$12:$A$130,"&lt;"&amp;Diagram!$P52),SUMIFS(INDIRECT(ADDRESS(12,3+18*3+(13),,,"J1 C - (South) Bishopthorpe Roa")&amp;":"&amp;ADDRESS(130,3+18*3+(13))),'J1 C - (South) Bishopthorpe Roa'!$A$12:$A$130,"&gt;="&amp;Diagram!$O52,'J1 C - (South) Bishopthorpe Roa'!$A$12:$A$130,"&lt;"&amp;Diagram!$P52)))</f>
        <v>0</v>
      </c>
      <c r="DK52" s="42">
        <f ca="1">IF(OR($I$10="",$O52="",$P52="",$J$40&lt;&gt;"Yes"),0,IF($K$10=0,SUMIFS(INDIRECT(ADDRESS(12,3+18*0+(5),,,"J1 C - (South) Bishopthorpe Roa")&amp;":"&amp;ADDRESS(130,3+18*0+(5))),'J1 C - (South) Bishopthorpe Roa'!$A$12:$A$130,"&gt;="&amp;Diagram!$O52,'J1 C - (South) Bishopthorpe Roa'!$A$12:$A$130,"&lt;"&amp;Diagram!$P52),SUMIFS(INDIRECT(ADDRESS(12,3+18*0+(13),,,"J1 C - (South) Bishopthorpe Roa")&amp;":"&amp;ADDRESS(130,3+18*0+(13))),'J1 C - (South) Bishopthorpe Roa'!$A$12:$A$130,"&gt;="&amp;Diagram!$O52,'J1 C - (South) Bishopthorpe Roa'!$A$12:$A$130,"&lt;"&amp;Diagram!$P52)))</f>
        <v>2</v>
      </c>
      <c r="DL52" s="42">
        <f ca="1">IF(OR($I$10="",$O52="",$P52="",$J$40&lt;&gt;"Yes"),0,IF($K$10=0,SUMIFS(INDIRECT(ADDRESS(12,3+18*0+(5),,,"J1 D - South Bank Avenue")&amp;":"&amp;ADDRESS(130,3+18*0+(5))),'J1 D - South Bank Avenue'!$A$12:$A$130,"&gt;="&amp;Diagram!$O52,'J1 D - South Bank Avenue'!$A$12:$A$130,"&lt;"&amp;Diagram!$P52),SUMIFS(INDIRECT(ADDRESS(12,3+18*0+(13),,,"J1 D - South Bank Avenue")&amp;":"&amp;ADDRESS(130,3+18*0+(13))),'J1 D - South Bank Avenue'!$A$12:$A$130,"&gt;="&amp;Diagram!$O52,'J1 D - South Bank Avenue'!$A$12:$A$130,"&lt;"&amp;Diagram!$P52)))</f>
        <v>4</v>
      </c>
      <c r="DM52" s="42">
        <f ca="1">IF(OR($I$10="",$O52="",$P52="",$J$40&lt;&gt;"Yes"),0,IF($K$10=0,SUMIFS(INDIRECT(ADDRESS(12,3+18*1+(5),,,"J1 D - South Bank Avenue")&amp;":"&amp;ADDRESS(130,3+18*1+(5))),'J1 D - South Bank Avenue'!$A$12:$A$130,"&gt;="&amp;Diagram!$O52,'J1 D - South Bank Avenue'!$A$12:$A$130,"&lt;"&amp;Diagram!$P52),SUMIFS(INDIRECT(ADDRESS(12,3+18*1+(13),,,"J1 D - South Bank Avenue")&amp;":"&amp;ADDRESS(130,3+18*1+(13))),'J1 D - South Bank Avenue'!$A$12:$A$130,"&gt;="&amp;Diagram!$O52,'J1 D - South Bank Avenue'!$A$12:$A$130,"&lt;"&amp;Diagram!$P52)))</f>
        <v>17</v>
      </c>
      <c r="DN52" s="42">
        <f ca="1">IF(OR($I$10="",$O52="",$P52="",$J$40&lt;&gt;"Yes"),0,IF($K$10=0,SUMIFS(INDIRECT(ADDRESS(12,3+18*2+(5),,,"J1 D - South Bank Avenue")&amp;":"&amp;ADDRESS(130,3+18*2+(5))),'J1 D - South Bank Avenue'!$A$12:$A$130,"&gt;="&amp;Diagram!$O52,'J1 D - South Bank Avenue'!$A$12:$A$130,"&lt;"&amp;Diagram!$P52),SUMIFS(INDIRECT(ADDRESS(12,3+18*2+(13),,,"J1 D - South Bank Avenue")&amp;":"&amp;ADDRESS(130,3+18*2+(13))),'J1 D - South Bank Avenue'!$A$12:$A$130,"&gt;="&amp;Diagram!$O52,'J1 D - South Bank Avenue'!$A$12:$A$130,"&lt;"&amp;Diagram!$P52)))</f>
        <v>0</v>
      </c>
      <c r="DO52" s="42">
        <f ca="1">IF(OR($I$10="",$O52="",$P52="",$J$40&lt;&gt;"Yes"),0,IF($K$10=0,SUMIFS(INDIRECT(ADDRESS(12,3+18*3+(5),,,"J1 D - South Bank Avenue")&amp;":"&amp;ADDRESS(130,3+18*3+(5))),'J1 D - South Bank Avenue'!$A$12:$A$130,"&gt;="&amp;Diagram!$O52,'J1 D - South Bank Avenue'!$A$12:$A$130,"&lt;"&amp;Diagram!$P52),SUMIFS(INDIRECT(ADDRESS(12,3+18*3+(13),,,"J1 D - South Bank Avenue")&amp;":"&amp;ADDRESS(130,3+18*3+(13))),'J1 D - South Bank Avenue'!$A$12:$A$130,"&gt;="&amp;Diagram!$O52,'J1 D - South Bank Avenue'!$A$12:$A$130,"&lt;"&amp;Diagram!$P52)))</f>
        <v>0</v>
      </c>
      <c r="DP52" s="42">
        <f t="shared" ca="1" si="7"/>
        <v>9</v>
      </c>
      <c r="DQ52" s="42">
        <f ca="1">IF(OR($I$10="",$O52="",$P52="",$J$41&lt;&gt;"Yes"),0,IF($K$10=0,SUMIFS(INDIRECT(ADDRESS(12,3+18*3+(6),,,"J1 A - (North) Bishopthorpe Roa")&amp;":"&amp;ADDRESS(130,3+18*3+(6))),'J1 A - (North) Bishopthorpe Roa'!$A$12:$A$130,"&gt;="&amp;Diagram!$O52,'J1 A - (North) Bishopthorpe Roa'!$A$12:$A$130,"&lt;"&amp;Diagram!$P52),SUMIFS(INDIRECT(ADDRESS(12,3+18*3+(14),,,"J1 A - (North) Bishopthorpe Roa")&amp;":"&amp;ADDRESS(130,3+18*3+(14))),'J1 A - (North) Bishopthorpe Roa'!$A$12:$A$130,"&gt;="&amp;Diagram!$O52,'J1 A - (North) Bishopthorpe Roa'!$A$12:$A$130,"&lt;"&amp;Diagram!$P52)))</f>
        <v>0</v>
      </c>
      <c r="DR52" s="42">
        <f ca="1">IF(OR($I$10="",$O52="",$P52="",$J$41&lt;&gt;"Yes"),0,IF($K$10=0,SUMIFS(INDIRECT(ADDRESS(12,3+18*0+(6),,,"J1 A - (North) Bishopthorpe Roa")&amp;":"&amp;ADDRESS(130,3+18*0+(6))),'J1 A - (North) Bishopthorpe Roa'!$A$12:$A$130,"&gt;="&amp;Diagram!$O52,'J1 A - (North) Bishopthorpe Roa'!$A$12:$A$130,"&lt;"&amp;Diagram!$P52),SUMIFS(INDIRECT(ADDRESS(12,3+18*0+(14),,,"J1 A - (North) Bishopthorpe Roa")&amp;":"&amp;ADDRESS(130,3+18*0+(14))),'J1 A - (North) Bishopthorpe Roa'!$A$12:$A$130,"&gt;="&amp;Diagram!$O52,'J1 A - (North) Bishopthorpe Roa'!$A$12:$A$130,"&lt;"&amp;Diagram!$P52)))</f>
        <v>1</v>
      </c>
      <c r="DS52" s="42">
        <f ca="1">IF(OR($I$10="",$O52="",$P52="",$J$41&lt;&gt;"Yes"),0,IF($K$10=0,SUMIFS(INDIRECT(ADDRESS(12,3+18*1+(6),,,"J1 A - (North) Bishopthorpe Roa")&amp;":"&amp;ADDRESS(130,3+18*1+(6))),'J1 A - (North) Bishopthorpe Roa'!$A$12:$A$130,"&gt;="&amp;Diagram!$O52,'J1 A - (North) Bishopthorpe Roa'!$A$12:$A$130,"&lt;"&amp;Diagram!$P52),SUMIFS(INDIRECT(ADDRESS(12,3+18*1+(14),,,"J1 A - (North) Bishopthorpe Roa")&amp;":"&amp;ADDRESS(130,3+18*1+(14))),'J1 A - (North) Bishopthorpe Roa'!$A$12:$A$130,"&gt;="&amp;Diagram!$O52,'J1 A - (North) Bishopthorpe Roa'!$A$12:$A$130,"&lt;"&amp;Diagram!$P52)))</f>
        <v>2</v>
      </c>
      <c r="DT52" s="42">
        <f ca="1">IF(OR($I$10="",$O52="",$P52="",$J$41&lt;&gt;"Yes"),0,IF($K$10=0,SUMIFS(INDIRECT(ADDRESS(12,3+18*2+(6),,,"J1 A - (North) Bishopthorpe Roa")&amp;":"&amp;ADDRESS(130,3+18*2+(6))),'J1 A - (North) Bishopthorpe Roa'!$A$12:$A$130,"&gt;="&amp;Diagram!$O52,'J1 A - (North) Bishopthorpe Roa'!$A$12:$A$130,"&lt;"&amp;Diagram!$P52),SUMIFS(INDIRECT(ADDRESS(12,3+18*2+(14),,,"J1 A - (North) Bishopthorpe Roa")&amp;":"&amp;ADDRESS(130,3+18*2+(14))),'J1 A - (North) Bishopthorpe Roa'!$A$12:$A$130,"&gt;="&amp;Diagram!$O52,'J1 A - (North) Bishopthorpe Roa'!$A$12:$A$130,"&lt;"&amp;Diagram!$P52)))</f>
        <v>1</v>
      </c>
      <c r="DU52" s="42">
        <f ca="1">IF(OR($I$10="",$O52="",$P52="",$J$41&lt;&gt;"Yes"),0,IF($K$10=0,SUMIFS(INDIRECT(ADDRESS(12,3+18*2+(6),,,"J1 B - Butcher Terrace")&amp;":"&amp;ADDRESS(130,3+18*2+(6))),'J1 B - Butcher Terrace'!$A$12:$A$130,"&gt;="&amp;Diagram!$O52,'J1 B - Butcher Terrace'!$A$12:$A$130,"&lt;"&amp;Diagram!$P52),SUMIFS(INDIRECT(ADDRESS(12,3+18*2+(14),,,"J1 B - Butcher Terrace")&amp;":"&amp;ADDRESS(130,3+18*2+(14))),'J1 B - Butcher Terrace'!$A$12:$A$130,"&gt;="&amp;Diagram!$O52,'J1 B - Butcher Terrace'!$A$12:$A$130,"&lt;"&amp;Diagram!$P52)))</f>
        <v>0</v>
      </c>
      <c r="DV52" s="42">
        <f ca="1">IF(OR($I$10="",$O52="",$P52="",$J$41&lt;&gt;"Yes"),0,IF($K$10=0,SUMIFS(INDIRECT(ADDRESS(12,3+18*3+(6),,,"J1 B - Butcher Terrace")&amp;":"&amp;ADDRESS(130,3+18*3+(6))),'J1 B - Butcher Terrace'!$A$12:$A$130,"&gt;="&amp;Diagram!$O52,'J1 B - Butcher Terrace'!$A$12:$A$130,"&lt;"&amp;Diagram!$P52),SUMIFS(INDIRECT(ADDRESS(12,3+18*3+(14),,,"J1 B - Butcher Terrace")&amp;":"&amp;ADDRESS(130,3+18*3+(14))),'J1 B - Butcher Terrace'!$A$12:$A$130,"&gt;="&amp;Diagram!$O52,'J1 B - Butcher Terrace'!$A$12:$A$130,"&lt;"&amp;Diagram!$P52)))</f>
        <v>0</v>
      </c>
      <c r="DW52" s="42">
        <f ca="1">IF(OR($I$10="",$O52="",$P52="",$J$41&lt;&gt;"Yes"),0,IF($K$10=0,SUMIFS(INDIRECT(ADDRESS(12,3+18*0+(6),,,"J1 B - Butcher Terrace")&amp;":"&amp;ADDRESS(130,3+18*0+(6))),'J1 B - Butcher Terrace'!$A$12:$A$130,"&gt;="&amp;Diagram!$O52,'J1 B - Butcher Terrace'!$A$12:$A$130,"&lt;"&amp;Diagram!$P52),SUMIFS(INDIRECT(ADDRESS(12,3+18*0+(14),,,"J1 B - Butcher Terrace")&amp;":"&amp;ADDRESS(130,3+18*0+(14))),'J1 B - Butcher Terrace'!$A$12:$A$130,"&gt;="&amp;Diagram!$O52,'J1 B - Butcher Terrace'!$A$12:$A$130,"&lt;"&amp;Diagram!$P52)))</f>
        <v>1</v>
      </c>
      <c r="DX52" s="42">
        <f ca="1">IF(OR($I$10="",$O52="",$P52="",$J$41&lt;&gt;"Yes"),0,IF($K$10=0,SUMIFS(INDIRECT(ADDRESS(12,3+18*1+(6),,,"J1 B - Butcher Terrace")&amp;":"&amp;ADDRESS(130,3+18*1+(6))),'J1 B - Butcher Terrace'!$A$12:$A$130,"&gt;="&amp;Diagram!$O52,'J1 B - Butcher Terrace'!$A$12:$A$130,"&lt;"&amp;Diagram!$P52),SUMIFS(INDIRECT(ADDRESS(12,3+18*1+(14),,,"J1 B - Butcher Terrace")&amp;":"&amp;ADDRESS(130,3+18*1+(14))),'J1 B - Butcher Terrace'!$A$12:$A$130,"&gt;="&amp;Diagram!$O52,'J1 B - Butcher Terrace'!$A$12:$A$130,"&lt;"&amp;Diagram!$P52)))</f>
        <v>0</v>
      </c>
      <c r="DY52" s="42">
        <f ca="1">IF(OR($I$10="",$O52="",$P52="",$J$41&lt;&gt;"Yes"),0,IF($K$10=0,SUMIFS(INDIRECT(ADDRESS(12,3+18*1+(6),,,"J1 C - (South) Bishopthorpe Roa")&amp;":"&amp;ADDRESS(130,3+18*1+(6))),'J1 C - (South) Bishopthorpe Roa'!$A$12:$A$130,"&gt;="&amp;Diagram!$O52,'J1 C - (South) Bishopthorpe Roa'!$A$12:$A$130,"&lt;"&amp;Diagram!$P52),SUMIFS(INDIRECT(ADDRESS(12,3+18*1+(14),,,"J1 C - (South) Bishopthorpe Roa")&amp;":"&amp;ADDRESS(130,3+18*1+(14))),'J1 C - (South) Bishopthorpe Roa'!$A$12:$A$130,"&gt;="&amp;Diagram!$O52,'J1 C - (South) Bishopthorpe Roa'!$A$12:$A$130,"&lt;"&amp;Diagram!$P52)))</f>
        <v>3</v>
      </c>
      <c r="DZ52" s="42">
        <f ca="1">IF(OR($I$10="",$O52="",$P52="",$J$41&lt;&gt;"Yes"),0,IF($K$10=0,SUMIFS(INDIRECT(ADDRESS(12,3+18*2+(6),,,"J1 C - (South) Bishopthorpe Roa")&amp;":"&amp;ADDRESS(130,3+18*2+(6))),'J1 C - (South) Bishopthorpe Roa'!$A$12:$A$130,"&gt;="&amp;Diagram!$O52,'J1 C - (South) Bishopthorpe Roa'!$A$12:$A$130,"&lt;"&amp;Diagram!$P52),SUMIFS(INDIRECT(ADDRESS(12,3+18*2+(14),,,"J1 C - (South) Bishopthorpe Roa")&amp;":"&amp;ADDRESS(130,3+18*2+(14))),'J1 C - (South) Bishopthorpe Roa'!$A$12:$A$130,"&gt;="&amp;Diagram!$O52,'J1 C - (South) Bishopthorpe Roa'!$A$12:$A$130,"&lt;"&amp;Diagram!$P52)))</f>
        <v>0</v>
      </c>
      <c r="EA52" s="42">
        <f ca="1">IF(OR($I$10="",$O52="",$P52="",$J$41&lt;&gt;"Yes"),0,IF($K$10=0,SUMIFS(INDIRECT(ADDRESS(12,3+18*3+(6),,,"J1 C - (South) Bishopthorpe Roa")&amp;":"&amp;ADDRESS(130,3+18*3+(6))),'J1 C - (South) Bishopthorpe Roa'!$A$12:$A$130,"&gt;="&amp;Diagram!$O52,'J1 C - (South) Bishopthorpe Roa'!$A$12:$A$130,"&lt;"&amp;Diagram!$P52),SUMIFS(INDIRECT(ADDRESS(12,3+18*3+(14),,,"J1 C - (South) Bishopthorpe Roa")&amp;":"&amp;ADDRESS(130,3+18*3+(14))),'J1 C - (South) Bishopthorpe Roa'!$A$12:$A$130,"&gt;="&amp;Diagram!$O52,'J1 C - (South) Bishopthorpe Roa'!$A$12:$A$130,"&lt;"&amp;Diagram!$P52)))</f>
        <v>0</v>
      </c>
      <c r="EB52" s="42">
        <f ca="1">IF(OR($I$10="",$O52="",$P52="",$J$41&lt;&gt;"Yes"),0,IF($K$10=0,SUMIFS(INDIRECT(ADDRESS(12,3+18*0+(6),,,"J1 C - (South) Bishopthorpe Roa")&amp;":"&amp;ADDRESS(130,3+18*0+(6))),'J1 C - (South) Bishopthorpe Roa'!$A$12:$A$130,"&gt;="&amp;Diagram!$O52,'J1 C - (South) Bishopthorpe Roa'!$A$12:$A$130,"&lt;"&amp;Diagram!$P52),SUMIFS(INDIRECT(ADDRESS(12,3+18*0+(14),,,"J1 C - (South) Bishopthorpe Roa")&amp;":"&amp;ADDRESS(130,3+18*0+(14))),'J1 C - (South) Bishopthorpe Roa'!$A$12:$A$130,"&gt;="&amp;Diagram!$O52,'J1 C - (South) Bishopthorpe Roa'!$A$12:$A$130,"&lt;"&amp;Diagram!$P52)))</f>
        <v>0</v>
      </c>
      <c r="EC52" s="42">
        <f ca="1">IF(OR($I$10="",$O52="",$P52="",$J$41&lt;&gt;"Yes"),0,IF($K$10=0,SUMIFS(INDIRECT(ADDRESS(12,3+18*0+(6),,,"J1 D - South Bank Avenue")&amp;":"&amp;ADDRESS(130,3+18*0+(6))),'J1 D - South Bank Avenue'!$A$12:$A$130,"&gt;="&amp;Diagram!$O52,'J1 D - South Bank Avenue'!$A$12:$A$130,"&lt;"&amp;Diagram!$P52),SUMIFS(INDIRECT(ADDRESS(12,3+18*0+(14),,,"J1 D - South Bank Avenue")&amp;":"&amp;ADDRESS(130,3+18*0+(14))),'J1 D - South Bank Avenue'!$A$12:$A$130,"&gt;="&amp;Diagram!$O52,'J1 D - South Bank Avenue'!$A$12:$A$130,"&lt;"&amp;Diagram!$P52)))</f>
        <v>1</v>
      </c>
      <c r="ED52" s="42">
        <f ca="1">IF(OR($I$10="",$O52="",$P52="",$J$41&lt;&gt;"Yes"),0,IF($K$10=0,SUMIFS(INDIRECT(ADDRESS(12,3+18*1+(6),,,"J1 D - South Bank Avenue")&amp;":"&amp;ADDRESS(130,3+18*1+(6))),'J1 D - South Bank Avenue'!$A$12:$A$130,"&gt;="&amp;Diagram!$O52,'J1 D - South Bank Avenue'!$A$12:$A$130,"&lt;"&amp;Diagram!$P52),SUMIFS(INDIRECT(ADDRESS(12,3+18*1+(14),,,"J1 D - South Bank Avenue")&amp;":"&amp;ADDRESS(130,3+18*1+(14))),'J1 D - South Bank Avenue'!$A$12:$A$130,"&gt;="&amp;Diagram!$O52,'J1 D - South Bank Avenue'!$A$12:$A$130,"&lt;"&amp;Diagram!$P52)))</f>
        <v>0</v>
      </c>
      <c r="EE52" s="42">
        <f ca="1">IF(OR($I$10="",$O52="",$P52="",$J$41&lt;&gt;"Yes"),0,IF($K$10=0,SUMIFS(INDIRECT(ADDRESS(12,3+18*2+(6),,,"J1 D - South Bank Avenue")&amp;":"&amp;ADDRESS(130,3+18*2+(6))),'J1 D - South Bank Avenue'!$A$12:$A$130,"&gt;="&amp;Diagram!$O52,'J1 D - South Bank Avenue'!$A$12:$A$130,"&lt;"&amp;Diagram!$P52),SUMIFS(INDIRECT(ADDRESS(12,3+18*2+(14),,,"J1 D - South Bank Avenue")&amp;":"&amp;ADDRESS(130,3+18*2+(14))),'J1 D - South Bank Avenue'!$A$12:$A$130,"&gt;="&amp;Diagram!$O52,'J1 D - South Bank Avenue'!$A$12:$A$130,"&lt;"&amp;Diagram!$P52)))</f>
        <v>0</v>
      </c>
      <c r="EF52" s="42">
        <f ca="1">IF(OR($I$10="",$O52="",$P52="",$J$41&lt;&gt;"Yes"),0,IF($K$10=0,SUMIFS(INDIRECT(ADDRESS(12,3+18*3+(6),,,"J1 D - South Bank Avenue")&amp;":"&amp;ADDRESS(130,3+18*3+(6))),'J1 D - South Bank Avenue'!$A$12:$A$130,"&gt;="&amp;Diagram!$O52,'J1 D - South Bank Avenue'!$A$12:$A$130,"&lt;"&amp;Diagram!$P52),SUMIFS(INDIRECT(ADDRESS(12,3+18*3+(14),,,"J1 D - South Bank Avenue")&amp;":"&amp;ADDRESS(130,3+18*3+(14))),'J1 D - South Bank Avenue'!$A$12:$A$130,"&gt;="&amp;Diagram!$O52,'J1 D - South Bank Avenue'!$A$12:$A$130,"&lt;"&amp;Diagram!$P52)))</f>
        <v>0</v>
      </c>
      <c r="EG52" s="42">
        <f t="shared" ca="1" si="8"/>
        <v>3</v>
      </c>
      <c r="EH52" s="42">
        <f ca="1">IF(OR($I$10="",$O52="",$P52="",$J$42&lt;&gt;"Yes"),0,IF($K$10=0,SUMIFS(INDIRECT(ADDRESS(12,3+18*3+(7),,,"J1 A - (North) Bishopthorpe Roa")&amp;":"&amp;ADDRESS(130,3+18*3+(7))),'J1 A - (North) Bishopthorpe Roa'!$A$12:$A$130,"&gt;="&amp;Diagram!$O52,'J1 A - (North) Bishopthorpe Roa'!$A$12:$A$130,"&lt;"&amp;Diagram!$P52),SUMIFS(INDIRECT(ADDRESS(12,3+18*3+(15),,,"J1 A - (North) Bishopthorpe Roa")&amp;":"&amp;ADDRESS(130,3+18*3+(15))),'J1 A - (North) Bishopthorpe Roa'!$A$12:$A$130,"&gt;="&amp;Diagram!$O52,'J1 A - (North) Bishopthorpe Roa'!$A$12:$A$130,"&lt;"&amp;Diagram!$P52)))</f>
        <v>0</v>
      </c>
      <c r="EI52" s="42">
        <f ca="1">IF(OR($I$10="",$O52="",$P52="",$J$42&lt;&gt;"Yes"),0,IF($K$10=0,SUMIFS(INDIRECT(ADDRESS(12,3+18*0+(7),,,"J1 A - (North) Bishopthorpe Roa")&amp;":"&amp;ADDRESS(130,3+18*0+(7))),'J1 A - (North) Bishopthorpe Roa'!$A$12:$A$130,"&gt;="&amp;Diagram!$O52,'J1 A - (North) Bishopthorpe Roa'!$A$12:$A$130,"&lt;"&amp;Diagram!$P52),SUMIFS(INDIRECT(ADDRESS(12,3+18*0+(15),,,"J1 A - (North) Bishopthorpe Roa")&amp;":"&amp;ADDRESS(130,3+18*0+(15))),'J1 A - (North) Bishopthorpe Roa'!$A$12:$A$130,"&gt;="&amp;Diagram!$O52,'J1 A - (North) Bishopthorpe Roa'!$A$12:$A$130,"&lt;"&amp;Diagram!$P52)))</f>
        <v>2</v>
      </c>
      <c r="EJ52" s="42">
        <f ca="1">IF(OR($I$10="",$O52="",$P52="",$J$42&lt;&gt;"Yes"),0,IF($K$10=0,SUMIFS(INDIRECT(ADDRESS(12,3+18*1+(7),,,"J1 A - (North) Bishopthorpe Roa")&amp;":"&amp;ADDRESS(130,3+18*1+(7))),'J1 A - (North) Bishopthorpe Roa'!$A$12:$A$130,"&gt;="&amp;Diagram!$O52,'J1 A - (North) Bishopthorpe Roa'!$A$12:$A$130,"&lt;"&amp;Diagram!$P52),SUMIFS(INDIRECT(ADDRESS(12,3+18*1+(15),,,"J1 A - (North) Bishopthorpe Roa")&amp;":"&amp;ADDRESS(130,3+18*1+(15))),'J1 A - (North) Bishopthorpe Roa'!$A$12:$A$130,"&gt;="&amp;Diagram!$O52,'J1 A - (North) Bishopthorpe Roa'!$A$12:$A$130,"&lt;"&amp;Diagram!$P52)))</f>
        <v>0</v>
      </c>
      <c r="EK52" s="42">
        <f ca="1">IF(OR($I$10="",$O52="",$P52="",$J$42&lt;&gt;"Yes"),0,IF($K$10=0,SUMIFS(INDIRECT(ADDRESS(12,3+18*2+(7),,,"J1 A - (North) Bishopthorpe Roa")&amp;":"&amp;ADDRESS(130,3+18*2+(7))),'J1 A - (North) Bishopthorpe Roa'!$A$12:$A$130,"&gt;="&amp;Diagram!$O52,'J1 A - (North) Bishopthorpe Roa'!$A$12:$A$130,"&lt;"&amp;Diagram!$P52),SUMIFS(INDIRECT(ADDRESS(12,3+18*2+(15),,,"J1 A - (North) Bishopthorpe Roa")&amp;":"&amp;ADDRESS(130,3+18*2+(15))),'J1 A - (North) Bishopthorpe Roa'!$A$12:$A$130,"&gt;="&amp;Diagram!$O52,'J1 A - (North) Bishopthorpe Roa'!$A$12:$A$130,"&lt;"&amp;Diagram!$P52)))</f>
        <v>0</v>
      </c>
      <c r="EL52" s="42">
        <f ca="1">IF(OR($I$10="",$O52="",$P52="",$J$42&lt;&gt;"Yes"),0,IF($K$10=0,SUMIFS(INDIRECT(ADDRESS(12,3+18*2+(7),,,"J1 B - Butcher Terrace")&amp;":"&amp;ADDRESS(130,3+18*2+(7))),'J1 B - Butcher Terrace'!$A$12:$A$130,"&gt;="&amp;Diagram!$O52,'J1 B - Butcher Terrace'!$A$12:$A$130,"&lt;"&amp;Diagram!$P52),SUMIFS(INDIRECT(ADDRESS(12,3+18*2+(15),,,"J1 B - Butcher Terrace")&amp;":"&amp;ADDRESS(130,3+18*2+(15))),'J1 B - Butcher Terrace'!$A$12:$A$130,"&gt;="&amp;Diagram!$O52,'J1 B - Butcher Terrace'!$A$12:$A$130,"&lt;"&amp;Diagram!$P52)))</f>
        <v>0</v>
      </c>
      <c r="EM52" s="42">
        <f ca="1">IF(OR($I$10="",$O52="",$P52="",$J$42&lt;&gt;"Yes"),0,IF($K$10=0,SUMIFS(INDIRECT(ADDRESS(12,3+18*3+(7),,,"J1 B - Butcher Terrace")&amp;":"&amp;ADDRESS(130,3+18*3+(7))),'J1 B - Butcher Terrace'!$A$12:$A$130,"&gt;="&amp;Diagram!$O52,'J1 B - Butcher Terrace'!$A$12:$A$130,"&lt;"&amp;Diagram!$P52),SUMIFS(INDIRECT(ADDRESS(12,3+18*3+(15),,,"J1 B - Butcher Terrace")&amp;":"&amp;ADDRESS(130,3+18*3+(15))),'J1 B - Butcher Terrace'!$A$12:$A$130,"&gt;="&amp;Diagram!$O52,'J1 B - Butcher Terrace'!$A$12:$A$130,"&lt;"&amp;Diagram!$P52)))</f>
        <v>0</v>
      </c>
      <c r="EN52" s="42">
        <f ca="1">IF(OR($I$10="",$O52="",$P52="",$J$42&lt;&gt;"Yes"),0,IF($K$10=0,SUMIFS(INDIRECT(ADDRESS(12,3+18*0+(7),,,"J1 B - Butcher Terrace")&amp;":"&amp;ADDRESS(130,3+18*0+(7))),'J1 B - Butcher Terrace'!$A$12:$A$130,"&gt;="&amp;Diagram!$O52,'J1 B - Butcher Terrace'!$A$12:$A$130,"&lt;"&amp;Diagram!$P52),SUMIFS(INDIRECT(ADDRESS(12,3+18*0+(15),,,"J1 B - Butcher Terrace")&amp;":"&amp;ADDRESS(130,3+18*0+(15))),'J1 B - Butcher Terrace'!$A$12:$A$130,"&gt;="&amp;Diagram!$O52,'J1 B - Butcher Terrace'!$A$12:$A$130,"&lt;"&amp;Diagram!$P52)))</f>
        <v>0</v>
      </c>
      <c r="EO52" s="42">
        <f ca="1">IF(OR($I$10="",$O52="",$P52="",$J$42&lt;&gt;"Yes"),0,IF($K$10=0,SUMIFS(INDIRECT(ADDRESS(12,3+18*1+(7),,,"J1 B - Butcher Terrace")&amp;":"&amp;ADDRESS(130,3+18*1+(7))),'J1 B - Butcher Terrace'!$A$12:$A$130,"&gt;="&amp;Diagram!$O52,'J1 B - Butcher Terrace'!$A$12:$A$130,"&lt;"&amp;Diagram!$P52),SUMIFS(INDIRECT(ADDRESS(12,3+18*1+(15),,,"J1 B - Butcher Terrace")&amp;":"&amp;ADDRESS(130,3+18*1+(15))),'J1 B - Butcher Terrace'!$A$12:$A$130,"&gt;="&amp;Diagram!$O52,'J1 B - Butcher Terrace'!$A$12:$A$130,"&lt;"&amp;Diagram!$P52)))</f>
        <v>0</v>
      </c>
      <c r="EP52" s="42">
        <f ca="1">IF(OR($I$10="",$O52="",$P52="",$J$42&lt;&gt;"Yes"),0,IF($K$10=0,SUMIFS(INDIRECT(ADDRESS(12,3+18*1+(7),,,"J1 C - (South) Bishopthorpe Roa")&amp;":"&amp;ADDRESS(130,3+18*1+(7))),'J1 C - (South) Bishopthorpe Roa'!$A$12:$A$130,"&gt;="&amp;Diagram!$O52,'J1 C - (South) Bishopthorpe Roa'!$A$12:$A$130,"&lt;"&amp;Diagram!$P52),SUMIFS(INDIRECT(ADDRESS(12,3+18*1+(15),,,"J1 C - (South) Bishopthorpe Roa")&amp;":"&amp;ADDRESS(130,3+18*1+(15))),'J1 C - (South) Bishopthorpe Roa'!$A$12:$A$130,"&gt;="&amp;Diagram!$O52,'J1 C - (South) Bishopthorpe Roa'!$A$12:$A$130,"&lt;"&amp;Diagram!$P52)))</f>
        <v>0</v>
      </c>
      <c r="EQ52" s="42">
        <f ca="1">IF(OR($I$10="",$O52="",$P52="",$J$42&lt;&gt;"Yes"),0,IF($K$10=0,SUMIFS(INDIRECT(ADDRESS(12,3+18*2+(7),,,"J1 C - (South) Bishopthorpe Roa")&amp;":"&amp;ADDRESS(130,3+18*2+(7))),'J1 C - (South) Bishopthorpe Roa'!$A$12:$A$130,"&gt;="&amp;Diagram!$O52,'J1 C - (South) Bishopthorpe Roa'!$A$12:$A$130,"&lt;"&amp;Diagram!$P52),SUMIFS(INDIRECT(ADDRESS(12,3+18*2+(15),,,"J1 C - (South) Bishopthorpe Roa")&amp;":"&amp;ADDRESS(130,3+18*2+(15))),'J1 C - (South) Bishopthorpe Roa'!$A$12:$A$130,"&gt;="&amp;Diagram!$O52,'J1 C - (South) Bishopthorpe Roa'!$A$12:$A$130,"&lt;"&amp;Diagram!$P52)))</f>
        <v>1</v>
      </c>
      <c r="ER52" s="42">
        <f ca="1">IF(OR($I$10="",$O52="",$P52="",$J$42&lt;&gt;"Yes"),0,IF($K$10=0,SUMIFS(INDIRECT(ADDRESS(12,3+18*3+(7),,,"J1 C - (South) Bishopthorpe Roa")&amp;":"&amp;ADDRESS(130,3+18*3+(7))),'J1 C - (South) Bishopthorpe Roa'!$A$12:$A$130,"&gt;="&amp;Diagram!$O52,'J1 C - (South) Bishopthorpe Roa'!$A$12:$A$130,"&lt;"&amp;Diagram!$P52),SUMIFS(INDIRECT(ADDRESS(12,3+18*3+(15),,,"J1 C - (South) Bishopthorpe Roa")&amp;":"&amp;ADDRESS(130,3+18*3+(15))),'J1 C - (South) Bishopthorpe Roa'!$A$12:$A$130,"&gt;="&amp;Diagram!$O52,'J1 C - (South) Bishopthorpe Roa'!$A$12:$A$130,"&lt;"&amp;Diagram!$P52)))</f>
        <v>0</v>
      </c>
      <c r="ES52" s="42">
        <f ca="1">IF(OR($I$10="",$O52="",$P52="",$J$42&lt;&gt;"Yes"),0,IF($K$10=0,SUMIFS(INDIRECT(ADDRESS(12,3+18*0+(7),,,"J1 C - (South) Bishopthorpe Roa")&amp;":"&amp;ADDRESS(130,3+18*0+(7))),'J1 C - (South) Bishopthorpe Roa'!$A$12:$A$130,"&gt;="&amp;Diagram!$O52,'J1 C - (South) Bishopthorpe Roa'!$A$12:$A$130,"&lt;"&amp;Diagram!$P52),SUMIFS(INDIRECT(ADDRESS(12,3+18*0+(15),,,"J1 C - (South) Bishopthorpe Roa")&amp;":"&amp;ADDRESS(130,3+18*0+(15))),'J1 C - (South) Bishopthorpe Roa'!$A$12:$A$130,"&gt;="&amp;Diagram!$O52,'J1 C - (South) Bishopthorpe Roa'!$A$12:$A$130,"&lt;"&amp;Diagram!$P52)))</f>
        <v>0</v>
      </c>
      <c r="ET52" s="42">
        <f ca="1">IF(OR($I$10="",$O52="",$P52="",$J$42&lt;&gt;"Yes"),0,IF($K$10=0,SUMIFS(INDIRECT(ADDRESS(12,3+18*0+(7),,,"J1 D - South Bank Avenue")&amp;":"&amp;ADDRESS(130,3+18*0+(7))),'J1 D - South Bank Avenue'!$A$12:$A$130,"&gt;="&amp;Diagram!$O52,'J1 D - South Bank Avenue'!$A$12:$A$130,"&lt;"&amp;Diagram!$P52),SUMIFS(INDIRECT(ADDRESS(12,3+18*0+(15),,,"J1 D - South Bank Avenue")&amp;":"&amp;ADDRESS(130,3+18*0+(15))),'J1 D - South Bank Avenue'!$A$12:$A$130,"&gt;="&amp;Diagram!$O52,'J1 D - South Bank Avenue'!$A$12:$A$130,"&lt;"&amp;Diagram!$P52)))</f>
        <v>0</v>
      </c>
      <c r="EU52" s="42">
        <f ca="1">IF(OR($I$10="",$O52="",$P52="",$J$42&lt;&gt;"Yes"),0,IF($K$10=0,SUMIFS(INDIRECT(ADDRESS(12,3+18*1+(7),,,"J1 D - South Bank Avenue")&amp;":"&amp;ADDRESS(130,3+18*1+(7))),'J1 D - South Bank Avenue'!$A$12:$A$130,"&gt;="&amp;Diagram!$O52,'J1 D - South Bank Avenue'!$A$12:$A$130,"&lt;"&amp;Diagram!$P52),SUMIFS(INDIRECT(ADDRESS(12,3+18*1+(15),,,"J1 D - South Bank Avenue")&amp;":"&amp;ADDRESS(130,3+18*1+(15))),'J1 D - South Bank Avenue'!$A$12:$A$130,"&gt;="&amp;Diagram!$O52,'J1 D - South Bank Avenue'!$A$12:$A$130,"&lt;"&amp;Diagram!$P52)))</f>
        <v>0</v>
      </c>
      <c r="EV52" s="42">
        <f ca="1">IF(OR($I$10="",$O52="",$P52="",$J$42&lt;&gt;"Yes"),0,IF($K$10=0,SUMIFS(INDIRECT(ADDRESS(12,3+18*2+(7),,,"J1 D - South Bank Avenue")&amp;":"&amp;ADDRESS(130,3+18*2+(7))),'J1 D - South Bank Avenue'!$A$12:$A$130,"&gt;="&amp;Diagram!$O52,'J1 D - South Bank Avenue'!$A$12:$A$130,"&lt;"&amp;Diagram!$P52),SUMIFS(INDIRECT(ADDRESS(12,3+18*2+(15),,,"J1 D - South Bank Avenue")&amp;":"&amp;ADDRESS(130,3+18*2+(15))),'J1 D - South Bank Avenue'!$A$12:$A$130,"&gt;="&amp;Diagram!$O52,'J1 D - South Bank Avenue'!$A$12:$A$130,"&lt;"&amp;Diagram!$P52)))</f>
        <v>0</v>
      </c>
      <c r="EW52" s="42">
        <f ca="1">IF(OR($I$10="",$O52="",$P52="",$J$42&lt;&gt;"Yes"),0,IF($K$10=0,SUMIFS(INDIRECT(ADDRESS(12,3+18*3+(7),,,"J1 D - South Bank Avenue")&amp;":"&amp;ADDRESS(130,3+18*3+(7))),'J1 D - South Bank Avenue'!$A$12:$A$130,"&gt;="&amp;Diagram!$O52,'J1 D - South Bank Avenue'!$A$12:$A$130,"&lt;"&amp;Diagram!$P52),SUMIFS(INDIRECT(ADDRESS(12,3+18*3+(15),,,"J1 D - South Bank Avenue")&amp;":"&amp;ADDRESS(130,3+18*3+(15))),'J1 D - South Bank Avenue'!$A$12:$A$130,"&gt;="&amp;Diagram!$O52,'J1 D - South Bank Avenue'!$A$12:$A$130,"&lt;"&amp;Diagram!$P52)))</f>
        <v>0</v>
      </c>
    </row>
    <row r="53" spans="1:153">
      <c r="A53" s="1">
        <v>44395.541666666701</v>
      </c>
      <c r="B53" s="1">
        <v>44395.552083333299</v>
      </c>
      <c r="O53" s="3">
        <v>44395.541666666701</v>
      </c>
      <c r="P53" s="3">
        <v>44395.583333333299</v>
      </c>
      <c r="Q53" s="42">
        <f t="shared" ca="1" si="0"/>
        <v>747</v>
      </c>
      <c r="R53" s="42">
        <f t="shared" ca="1" si="1"/>
        <v>530</v>
      </c>
      <c r="S53" s="42">
        <f ca="1">IF(OR($I$10="",$O53="",$P53="",$J$35&lt;&gt;"Yes"),0,IF($K$10=0,SUMIFS(INDIRECT(ADDRESS(12,3+18*3+(0),,,"J1 A - (North) Bishopthorpe Roa")&amp;":"&amp;ADDRESS(130,3+18*3+(0))),'J1 A - (North) Bishopthorpe Roa'!$A$12:$A$130,"&gt;="&amp;Diagram!$O53,'J1 A - (North) Bishopthorpe Roa'!$A$12:$A$130,"&lt;"&amp;Diagram!$P53),SUMIFS(INDIRECT(ADDRESS(12,3+18*3+(8),,,"J1 A - (North) Bishopthorpe Roa")&amp;":"&amp;ADDRESS(130,3+18*3+(8))),'J1 A - (North) Bishopthorpe Roa'!$A$12:$A$130,"&gt;="&amp;Diagram!$O53,'J1 A - (North) Bishopthorpe Roa'!$A$12:$A$130,"&lt;"&amp;Diagram!$P53)))</f>
        <v>1</v>
      </c>
      <c r="T53" s="42">
        <f ca="1">IF(OR($I$10="",$O53="",$P53="",$J$35&lt;&gt;"Yes"),0,IF($K$10=0,SUMIFS(INDIRECT(ADDRESS(12,3+18*0+(0),,,"J1 A - (North) Bishopthorpe Roa")&amp;":"&amp;ADDRESS(130,3+18*0+(0))),'J1 A - (North) Bishopthorpe Roa'!$A$12:$A$130,"&gt;="&amp;Diagram!$O53,'J1 A - (North) Bishopthorpe Roa'!$A$12:$A$130,"&lt;"&amp;Diagram!$P53),SUMIFS(INDIRECT(ADDRESS(12,3+18*0+(8),,,"J1 A - (North) Bishopthorpe Roa")&amp;":"&amp;ADDRESS(130,3+18*0+(8))),'J1 A - (North) Bishopthorpe Roa'!$A$12:$A$130,"&gt;="&amp;Diagram!$O53,'J1 A - (North) Bishopthorpe Roa'!$A$12:$A$130,"&lt;"&amp;Diagram!$P53)))</f>
        <v>21</v>
      </c>
      <c r="U53" s="42">
        <f ca="1">IF(OR($I$10="",$O53="",$P53="",$J$35&lt;&gt;"Yes"),0,IF($K$10=0,SUMIFS(INDIRECT(ADDRESS(12,3+18*1+(0),,,"J1 A - (North) Bishopthorpe Roa")&amp;":"&amp;ADDRESS(130,3+18*1+(0))),'J1 A - (North) Bishopthorpe Roa'!$A$12:$A$130,"&gt;="&amp;Diagram!$O53,'J1 A - (North) Bishopthorpe Roa'!$A$12:$A$130,"&lt;"&amp;Diagram!$P53),SUMIFS(INDIRECT(ADDRESS(12,3+18*1+(8),,,"J1 A - (North) Bishopthorpe Roa")&amp;":"&amp;ADDRESS(130,3+18*1+(8))),'J1 A - (North) Bishopthorpe Roa'!$A$12:$A$130,"&gt;="&amp;Diagram!$O53,'J1 A - (North) Bishopthorpe Roa'!$A$12:$A$130,"&lt;"&amp;Diagram!$P53)))</f>
        <v>199</v>
      </c>
      <c r="V53" s="42">
        <f ca="1">IF(OR($I$10="",$O53="",$P53="",$J$35&lt;&gt;"Yes"),0,IF($K$10=0,SUMIFS(INDIRECT(ADDRESS(12,3+18*2+(0),,,"J1 A - (North) Bishopthorpe Roa")&amp;":"&amp;ADDRESS(130,3+18*2+(0))),'J1 A - (North) Bishopthorpe Roa'!$A$12:$A$130,"&gt;="&amp;Diagram!$O53,'J1 A - (North) Bishopthorpe Roa'!$A$12:$A$130,"&lt;"&amp;Diagram!$P53),SUMIFS(INDIRECT(ADDRESS(12,3+18*2+(8),,,"J1 A - (North) Bishopthorpe Roa")&amp;":"&amp;ADDRESS(130,3+18*2+(8))),'J1 A - (North) Bishopthorpe Roa'!$A$12:$A$130,"&gt;="&amp;Diagram!$O53,'J1 A - (North) Bishopthorpe Roa'!$A$12:$A$130,"&lt;"&amp;Diagram!$P53)))</f>
        <v>20</v>
      </c>
      <c r="W53" s="42">
        <f ca="1">IF(OR($I$10="",$O53="",$P53="",$J$35&lt;&gt;"Yes"),0,IF($K$10=0,SUMIFS(INDIRECT(ADDRESS(12,3+18*2+(0),,,"J1 B - Butcher Terrace")&amp;":"&amp;ADDRESS(130,3+18*2+(0))),'J1 B - Butcher Terrace'!$A$12:$A$130,"&gt;="&amp;Diagram!$O53,'J1 B - Butcher Terrace'!$A$12:$A$130,"&lt;"&amp;Diagram!$P53),SUMIFS(INDIRECT(ADDRESS(12,3+18*2+(8),,,"J1 B - Butcher Terrace")&amp;":"&amp;ADDRESS(130,3+18*2+(8))),'J1 B - Butcher Terrace'!$A$12:$A$130,"&gt;="&amp;Diagram!$O53,'J1 B - Butcher Terrace'!$A$12:$A$130,"&lt;"&amp;Diagram!$P53)))</f>
        <v>14</v>
      </c>
      <c r="X53" s="42">
        <f ca="1">IF(OR($I$10="",$O53="",$P53="",$J$35&lt;&gt;"Yes"),0,IF($K$10=0,SUMIFS(INDIRECT(ADDRESS(12,3+18*3+(0),,,"J1 B - Butcher Terrace")&amp;":"&amp;ADDRESS(130,3+18*3+(0))),'J1 B - Butcher Terrace'!$A$12:$A$130,"&gt;="&amp;Diagram!$O53,'J1 B - Butcher Terrace'!$A$12:$A$130,"&lt;"&amp;Diagram!$P53),SUMIFS(INDIRECT(ADDRESS(12,3+18*3+(8),,,"J1 B - Butcher Terrace")&amp;":"&amp;ADDRESS(130,3+18*3+(8))),'J1 B - Butcher Terrace'!$A$12:$A$130,"&gt;="&amp;Diagram!$O53,'J1 B - Butcher Terrace'!$A$12:$A$130,"&lt;"&amp;Diagram!$P53)))</f>
        <v>0</v>
      </c>
      <c r="Y53" s="42">
        <f ca="1">IF(OR($I$10="",$O53="",$P53="",$J$35&lt;&gt;"Yes"),0,IF($K$10=0,SUMIFS(INDIRECT(ADDRESS(12,3+18*0+(0),,,"J1 B - Butcher Terrace")&amp;":"&amp;ADDRESS(130,3+18*0+(0))),'J1 B - Butcher Terrace'!$A$12:$A$130,"&gt;="&amp;Diagram!$O53,'J1 B - Butcher Terrace'!$A$12:$A$130,"&lt;"&amp;Diagram!$P53),SUMIFS(INDIRECT(ADDRESS(12,3+18*0+(8),,,"J1 B - Butcher Terrace")&amp;":"&amp;ADDRESS(130,3+18*0+(8))),'J1 B - Butcher Terrace'!$A$12:$A$130,"&gt;="&amp;Diagram!$O53,'J1 B - Butcher Terrace'!$A$12:$A$130,"&lt;"&amp;Diagram!$P53)))</f>
        <v>8</v>
      </c>
      <c r="Z53" s="42">
        <f ca="1">IF(OR($I$10="",$O53="",$P53="",$J$35&lt;&gt;"Yes"),0,IF($K$10=0,SUMIFS(INDIRECT(ADDRESS(12,3+18*1+(0),,,"J1 B - Butcher Terrace")&amp;":"&amp;ADDRESS(130,3+18*1+(0))),'J1 B - Butcher Terrace'!$A$12:$A$130,"&gt;="&amp;Diagram!$O53,'J1 B - Butcher Terrace'!$A$12:$A$130,"&lt;"&amp;Diagram!$P53),SUMIFS(INDIRECT(ADDRESS(12,3+18*1+(8),,,"J1 B - Butcher Terrace")&amp;":"&amp;ADDRESS(130,3+18*1+(8))),'J1 B - Butcher Terrace'!$A$12:$A$130,"&gt;="&amp;Diagram!$O53,'J1 B - Butcher Terrace'!$A$12:$A$130,"&lt;"&amp;Diagram!$P53)))</f>
        <v>3</v>
      </c>
      <c r="AA53" s="42">
        <f ca="1">IF(OR($I$10="",$O53="",$P53="",$J$35&lt;&gt;"Yes"),0,IF($K$10=0,SUMIFS(INDIRECT(ADDRESS(12,3+18*1+(0),,,"J1 C - (South) Bishopthorpe Roa")&amp;":"&amp;ADDRESS(130,3+18*1+(0))),'J1 C - (South) Bishopthorpe Roa'!$A$12:$A$130,"&gt;="&amp;Diagram!$O53,'J1 C - (South) Bishopthorpe Roa'!$A$12:$A$130,"&lt;"&amp;Diagram!$P53),SUMIFS(INDIRECT(ADDRESS(12,3+18*1+(8),,,"J1 C - (South) Bishopthorpe Roa")&amp;":"&amp;ADDRESS(130,3+18*1+(8))),'J1 C - (South) Bishopthorpe Roa'!$A$12:$A$130,"&gt;="&amp;Diagram!$O53,'J1 C - (South) Bishopthorpe Roa'!$A$12:$A$130,"&lt;"&amp;Diagram!$P53)))</f>
        <v>221</v>
      </c>
      <c r="AB53" s="42">
        <f ca="1">IF(OR($I$10="",$O53="",$P53="",$J$35&lt;&gt;"Yes"),0,IF($K$10=0,SUMIFS(INDIRECT(ADDRESS(12,3+18*2+(0),,,"J1 C - (South) Bishopthorpe Roa")&amp;":"&amp;ADDRESS(130,3+18*2+(0))),'J1 C - (South) Bishopthorpe Roa'!$A$12:$A$130,"&gt;="&amp;Diagram!$O53,'J1 C - (South) Bishopthorpe Roa'!$A$12:$A$130,"&lt;"&amp;Diagram!$P53),SUMIFS(INDIRECT(ADDRESS(12,3+18*2+(8),,,"J1 C - (South) Bishopthorpe Roa")&amp;":"&amp;ADDRESS(130,3+18*2+(8))),'J1 C - (South) Bishopthorpe Roa'!$A$12:$A$130,"&gt;="&amp;Diagram!$O53,'J1 C - (South) Bishopthorpe Roa'!$A$12:$A$130,"&lt;"&amp;Diagram!$P53)))</f>
        <v>2</v>
      </c>
      <c r="AC53" s="42">
        <f ca="1">IF(OR($I$10="",$O53="",$P53="",$J$35&lt;&gt;"Yes"),0,IF($K$10=0,SUMIFS(INDIRECT(ADDRESS(12,3+18*3+(0),,,"J1 C - (South) Bishopthorpe Roa")&amp;":"&amp;ADDRESS(130,3+18*3+(0))),'J1 C - (South) Bishopthorpe Roa'!$A$12:$A$130,"&gt;="&amp;Diagram!$O53,'J1 C - (South) Bishopthorpe Roa'!$A$12:$A$130,"&lt;"&amp;Diagram!$P53),SUMIFS(INDIRECT(ADDRESS(12,3+18*3+(8),,,"J1 C - (South) Bishopthorpe Roa")&amp;":"&amp;ADDRESS(130,3+18*3+(8))),'J1 C - (South) Bishopthorpe Roa'!$A$12:$A$130,"&gt;="&amp;Diagram!$O53,'J1 C - (South) Bishopthorpe Roa'!$A$12:$A$130,"&lt;"&amp;Diagram!$P53)))</f>
        <v>0</v>
      </c>
      <c r="AD53" s="42">
        <f ca="1">IF(OR($I$10="",$O53="",$P53="",$J$35&lt;&gt;"Yes"),0,IF($K$10=0,SUMIFS(INDIRECT(ADDRESS(12,3+18*0+(0),,,"J1 C - (South) Bishopthorpe Roa")&amp;":"&amp;ADDRESS(130,3+18*0+(0))),'J1 C - (South) Bishopthorpe Roa'!$A$12:$A$130,"&gt;="&amp;Diagram!$O53,'J1 C - (South) Bishopthorpe Roa'!$A$12:$A$130,"&lt;"&amp;Diagram!$P53),SUMIFS(INDIRECT(ADDRESS(12,3+18*0+(8),,,"J1 C - (South) Bishopthorpe Roa")&amp;":"&amp;ADDRESS(130,3+18*0+(8))),'J1 C - (South) Bishopthorpe Roa'!$A$12:$A$130,"&gt;="&amp;Diagram!$O53,'J1 C - (South) Bishopthorpe Roa'!$A$12:$A$130,"&lt;"&amp;Diagram!$P53)))</f>
        <v>6</v>
      </c>
      <c r="AE53" s="42">
        <f ca="1">IF(OR($I$10="",$O53="",$P53="",$J$35&lt;&gt;"Yes"),0,IF($K$10=0,SUMIFS(INDIRECT(ADDRESS(12,3+18*0+(0),,,"J1 D - South Bank Avenue")&amp;":"&amp;ADDRESS(130,3+18*0+(0))),'J1 D - South Bank Avenue'!$A$12:$A$130,"&gt;="&amp;Diagram!$O53,'J1 D - South Bank Avenue'!$A$12:$A$130,"&lt;"&amp;Diagram!$P53),SUMIFS(INDIRECT(ADDRESS(12,3+18*0+(8),,,"J1 D - South Bank Avenue")&amp;":"&amp;ADDRESS(130,3+18*0+(8))),'J1 D - South Bank Avenue'!$A$12:$A$130,"&gt;="&amp;Diagram!$O53,'J1 D - South Bank Avenue'!$A$12:$A$130,"&lt;"&amp;Diagram!$P53)))</f>
        <v>21</v>
      </c>
      <c r="AF53" s="42">
        <f ca="1">IF(OR($I$10="",$O53="",$P53="",$J$35&lt;&gt;"Yes"),0,IF($K$10=0,SUMIFS(INDIRECT(ADDRESS(12,3+18*1+(0),,,"J1 D - South Bank Avenue")&amp;":"&amp;ADDRESS(130,3+18*1+(0))),'J1 D - South Bank Avenue'!$A$12:$A$130,"&gt;="&amp;Diagram!$O53,'J1 D - South Bank Avenue'!$A$12:$A$130,"&lt;"&amp;Diagram!$P53),SUMIFS(INDIRECT(ADDRESS(12,3+18*1+(8),,,"J1 D - South Bank Avenue")&amp;":"&amp;ADDRESS(130,3+18*1+(8))),'J1 D - South Bank Avenue'!$A$12:$A$130,"&gt;="&amp;Diagram!$O53,'J1 D - South Bank Avenue'!$A$12:$A$130,"&lt;"&amp;Diagram!$P53)))</f>
        <v>4</v>
      </c>
      <c r="AG53" s="42">
        <f ca="1">IF(OR($I$10="",$O53="",$P53="",$J$35&lt;&gt;"Yes"),0,IF($K$10=0,SUMIFS(INDIRECT(ADDRESS(12,3+18*2+(0),,,"J1 D - South Bank Avenue")&amp;":"&amp;ADDRESS(130,3+18*2+(0))),'J1 D - South Bank Avenue'!$A$12:$A$130,"&gt;="&amp;Diagram!$O53,'J1 D - South Bank Avenue'!$A$12:$A$130,"&lt;"&amp;Diagram!$P53),SUMIFS(INDIRECT(ADDRESS(12,3+18*2+(8),,,"J1 D - South Bank Avenue")&amp;":"&amp;ADDRESS(130,3+18*2+(8))),'J1 D - South Bank Avenue'!$A$12:$A$130,"&gt;="&amp;Diagram!$O53,'J1 D - South Bank Avenue'!$A$12:$A$130,"&lt;"&amp;Diagram!$P53)))</f>
        <v>10</v>
      </c>
      <c r="AH53" s="42">
        <f ca="1">IF(OR($I$10="",$O53="",$P53="",$J$35&lt;&gt;"Yes"),0,IF($K$10=0,SUMIFS(INDIRECT(ADDRESS(12,3+18*3+(0),,,"J1 D - South Bank Avenue")&amp;":"&amp;ADDRESS(130,3+18*3+(0))),'J1 D - South Bank Avenue'!$A$12:$A$130,"&gt;="&amp;Diagram!$O53,'J1 D - South Bank Avenue'!$A$12:$A$130,"&lt;"&amp;Diagram!$P53),SUMIFS(INDIRECT(ADDRESS(12,3+18*3+(8),,,"J1 D - South Bank Avenue")&amp;":"&amp;ADDRESS(130,3+18*3+(8))),'J1 D - South Bank Avenue'!$A$12:$A$130,"&gt;="&amp;Diagram!$O53,'J1 D - South Bank Avenue'!$A$12:$A$130,"&lt;"&amp;Diagram!$P53)))</f>
        <v>0</v>
      </c>
      <c r="AI53" s="42">
        <f t="shared" ca="1" si="2"/>
        <v>77</v>
      </c>
      <c r="AJ53" s="42">
        <f ca="1">IF(OR($I$10="",$O53="",$P53="",$J$36&lt;&gt;"Yes"),0,IF($K$10=0,SUMIFS(INDIRECT(ADDRESS(12,3+18*3+(1),,,"J1 A - (North) Bishopthorpe Roa")&amp;":"&amp;ADDRESS(130,3+18*3+(1))),'J1 A - (North) Bishopthorpe Roa'!$A$12:$A$130,"&gt;="&amp;Diagram!$O53,'J1 A - (North) Bishopthorpe Roa'!$A$12:$A$130,"&lt;"&amp;Diagram!$P53),SUMIFS(INDIRECT(ADDRESS(12,3+18*3+(9),,,"J1 A - (North) Bishopthorpe Roa")&amp;":"&amp;ADDRESS(130,3+18*3+(9))),'J1 A - (North) Bishopthorpe Roa'!$A$12:$A$130,"&gt;="&amp;Diagram!$O53,'J1 A - (North) Bishopthorpe Roa'!$A$12:$A$130,"&lt;"&amp;Diagram!$P53)))</f>
        <v>0</v>
      </c>
      <c r="AK53" s="42">
        <f ca="1">IF(OR($I$10="",$O53="",$P53="",$J$36&lt;&gt;"Yes"),0,IF($K$10=0,SUMIFS(INDIRECT(ADDRESS(12,3+18*0+(1),,,"J1 A - (North) Bishopthorpe Roa")&amp;":"&amp;ADDRESS(130,3+18*0+(1))),'J1 A - (North) Bishopthorpe Roa'!$A$12:$A$130,"&gt;="&amp;Diagram!$O53,'J1 A - (North) Bishopthorpe Roa'!$A$12:$A$130,"&lt;"&amp;Diagram!$P53),SUMIFS(INDIRECT(ADDRESS(12,3+18*0+(9),,,"J1 A - (North) Bishopthorpe Roa")&amp;":"&amp;ADDRESS(130,3+18*0+(9))),'J1 A - (North) Bishopthorpe Roa'!$A$12:$A$130,"&gt;="&amp;Diagram!$O53,'J1 A - (North) Bishopthorpe Roa'!$A$12:$A$130,"&lt;"&amp;Diagram!$P53)))</f>
        <v>5</v>
      </c>
      <c r="AL53" s="42">
        <f ca="1">IF(OR($I$10="",$O53="",$P53="",$J$36&lt;&gt;"Yes"),0,IF($K$10=0,SUMIFS(INDIRECT(ADDRESS(12,3+18*1+(1),,,"J1 A - (North) Bishopthorpe Roa")&amp;":"&amp;ADDRESS(130,3+18*1+(1))),'J1 A - (North) Bishopthorpe Roa'!$A$12:$A$130,"&gt;="&amp;Diagram!$O53,'J1 A - (North) Bishopthorpe Roa'!$A$12:$A$130,"&lt;"&amp;Diagram!$P53),SUMIFS(INDIRECT(ADDRESS(12,3+18*1+(9),,,"J1 A - (North) Bishopthorpe Roa")&amp;":"&amp;ADDRESS(130,3+18*1+(9))),'J1 A - (North) Bishopthorpe Roa'!$A$12:$A$130,"&gt;="&amp;Diagram!$O53,'J1 A - (North) Bishopthorpe Roa'!$A$12:$A$130,"&lt;"&amp;Diagram!$P53)))</f>
        <v>22</v>
      </c>
      <c r="AM53" s="42">
        <f ca="1">IF(OR($I$10="",$O53="",$P53="",$J$36&lt;&gt;"Yes"),0,IF($K$10=0,SUMIFS(INDIRECT(ADDRESS(12,3+18*2+(1),,,"J1 A - (North) Bishopthorpe Roa")&amp;":"&amp;ADDRESS(130,3+18*2+(1))),'J1 A - (North) Bishopthorpe Roa'!$A$12:$A$130,"&gt;="&amp;Diagram!$O53,'J1 A - (North) Bishopthorpe Roa'!$A$12:$A$130,"&lt;"&amp;Diagram!$P53),SUMIFS(INDIRECT(ADDRESS(12,3+18*2+(9),,,"J1 A - (North) Bishopthorpe Roa")&amp;":"&amp;ADDRESS(130,3+18*2+(9))),'J1 A - (North) Bishopthorpe Roa'!$A$12:$A$130,"&gt;="&amp;Diagram!$O53,'J1 A - (North) Bishopthorpe Roa'!$A$12:$A$130,"&lt;"&amp;Diagram!$P53)))</f>
        <v>4</v>
      </c>
      <c r="AN53" s="42">
        <f ca="1">IF(OR($I$10="",$O53="",$P53="",$J$36&lt;&gt;"Yes"),0,IF($K$10=0,SUMIFS(INDIRECT(ADDRESS(12,3+18*2+(1),,,"J1 B - Butcher Terrace")&amp;":"&amp;ADDRESS(130,3+18*2+(1))),'J1 B - Butcher Terrace'!$A$12:$A$130,"&gt;="&amp;Diagram!$O53,'J1 B - Butcher Terrace'!$A$12:$A$130,"&lt;"&amp;Diagram!$P53),SUMIFS(INDIRECT(ADDRESS(12,3+18*2+(9),,,"J1 B - Butcher Terrace")&amp;":"&amp;ADDRESS(130,3+18*2+(9))),'J1 B - Butcher Terrace'!$A$12:$A$130,"&gt;="&amp;Diagram!$O53,'J1 B - Butcher Terrace'!$A$12:$A$130,"&lt;"&amp;Diagram!$P53)))</f>
        <v>4</v>
      </c>
      <c r="AO53" s="42">
        <f ca="1">IF(OR($I$10="",$O53="",$P53="",$J$36&lt;&gt;"Yes"),0,IF($K$10=0,SUMIFS(INDIRECT(ADDRESS(12,3+18*3+(1),,,"J1 B - Butcher Terrace")&amp;":"&amp;ADDRESS(130,3+18*3+(1))),'J1 B - Butcher Terrace'!$A$12:$A$130,"&gt;="&amp;Diagram!$O53,'J1 B - Butcher Terrace'!$A$12:$A$130,"&lt;"&amp;Diagram!$P53),SUMIFS(INDIRECT(ADDRESS(12,3+18*3+(9),,,"J1 B - Butcher Terrace")&amp;":"&amp;ADDRESS(130,3+18*3+(9))),'J1 B - Butcher Terrace'!$A$12:$A$130,"&gt;="&amp;Diagram!$O53,'J1 B - Butcher Terrace'!$A$12:$A$130,"&lt;"&amp;Diagram!$P53)))</f>
        <v>0</v>
      </c>
      <c r="AP53" s="42">
        <f ca="1">IF(OR($I$10="",$O53="",$P53="",$J$36&lt;&gt;"Yes"),0,IF($K$10=0,SUMIFS(INDIRECT(ADDRESS(12,3+18*0+(1),,,"J1 B - Butcher Terrace")&amp;":"&amp;ADDRESS(130,3+18*0+(1))),'J1 B - Butcher Terrace'!$A$12:$A$130,"&gt;="&amp;Diagram!$O53,'J1 B - Butcher Terrace'!$A$12:$A$130,"&lt;"&amp;Diagram!$P53),SUMIFS(INDIRECT(ADDRESS(12,3+18*0+(9),,,"J1 B - Butcher Terrace")&amp;":"&amp;ADDRESS(130,3+18*0+(9))),'J1 B - Butcher Terrace'!$A$12:$A$130,"&gt;="&amp;Diagram!$O53,'J1 B - Butcher Terrace'!$A$12:$A$130,"&lt;"&amp;Diagram!$P53)))</f>
        <v>4</v>
      </c>
      <c r="AQ53" s="42">
        <f ca="1">IF(OR($I$10="",$O53="",$P53="",$J$36&lt;&gt;"Yes"),0,IF($K$10=0,SUMIFS(INDIRECT(ADDRESS(12,3+18*1+(1),,,"J1 B - Butcher Terrace")&amp;":"&amp;ADDRESS(130,3+18*1+(1))),'J1 B - Butcher Terrace'!$A$12:$A$130,"&gt;="&amp;Diagram!$O53,'J1 B - Butcher Terrace'!$A$12:$A$130,"&lt;"&amp;Diagram!$P53),SUMIFS(INDIRECT(ADDRESS(12,3+18*1+(9),,,"J1 B - Butcher Terrace")&amp;":"&amp;ADDRESS(130,3+18*1+(9))),'J1 B - Butcher Terrace'!$A$12:$A$130,"&gt;="&amp;Diagram!$O53,'J1 B - Butcher Terrace'!$A$12:$A$130,"&lt;"&amp;Diagram!$P53)))</f>
        <v>0</v>
      </c>
      <c r="AR53" s="42">
        <f ca="1">IF(OR($I$10="",$O53="",$P53="",$J$36&lt;&gt;"Yes"),0,IF($K$10=0,SUMIFS(INDIRECT(ADDRESS(12,3+18*1+(1),,,"J1 C - (South) Bishopthorpe Roa")&amp;":"&amp;ADDRESS(130,3+18*1+(1))),'J1 C - (South) Bishopthorpe Roa'!$A$12:$A$130,"&gt;="&amp;Diagram!$O53,'J1 C - (South) Bishopthorpe Roa'!$A$12:$A$130,"&lt;"&amp;Diagram!$P53),SUMIFS(INDIRECT(ADDRESS(12,3+18*1+(9),,,"J1 C - (South) Bishopthorpe Roa")&amp;":"&amp;ADDRESS(130,3+18*1+(9))),'J1 C - (South) Bishopthorpe Roa'!$A$12:$A$130,"&gt;="&amp;Diagram!$O53,'J1 C - (South) Bishopthorpe Roa'!$A$12:$A$130,"&lt;"&amp;Diagram!$P53)))</f>
        <v>29</v>
      </c>
      <c r="AS53" s="42">
        <f ca="1">IF(OR($I$10="",$O53="",$P53="",$J$36&lt;&gt;"Yes"),0,IF($K$10=0,SUMIFS(INDIRECT(ADDRESS(12,3+18*2+(1),,,"J1 C - (South) Bishopthorpe Roa")&amp;":"&amp;ADDRESS(130,3+18*2+(1))),'J1 C - (South) Bishopthorpe Roa'!$A$12:$A$130,"&gt;="&amp;Diagram!$O53,'J1 C - (South) Bishopthorpe Roa'!$A$12:$A$130,"&lt;"&amp;Diagram!$P53),SUMIFS(INDIRECT(ADDRESS(12,3+18*2+(9),,,"J1 C - (South) Bishopthorpe Roa")&amp;":"&amp;ADDRESS(130,3+18*2+(9))),'J1 C - (South) Bishopthorpe Roa'!$A$12:$A$130,"&gt;="&amp;Diagram!$O53,'J1 C - (South) Bishopthorpe Roa'!$A$12:$A$130,"&lt;"&amp;Diagram!$P53)))</f>
        <v>2</v>
      </c>
      <c r="AT53" s="42">
        <f ca="1">IF(OR($I$10="",$O53="",$P53="",$J$36&lt;&gt;"Yes"),0,IF($K$10=0,SUMIFS(INDIRECT(ADDRESS(12,3+18*3+(1),,,"J1 C - (South) Bishopthorpe Roa")&amp;":"&amp;ADDRESS(130,3+18*3+(1))),'J1 C - (South) Bishopthorpe Roa'!$A$12:$A$130,"&gt;="&amp;Diagram!$O53,'J1 C - (South) Bishopthorpe Roa'!$A$12:$A$130,"&lt;"&amp;Diagram!$P53),SUMIFS(INDIRECT(ADDRESS(12,3+18*3+(9),,,"J1 C - (South) Bishopthorpe Roa")&amp;":"&amp;ADDRESS(130,3+18*3+(9))),'J1 C - (South) Bishopthorpe Roa'!$A$12:$A$130,"&gt;="&amp;Diagram!$O53,'J1 C - (South) Bishopthorpe Roa'!$A$12:$A$130,"&lt;"&amp;Diagram!$P53)))</f>
        <v>0</v>
      </c>
      <c r="AU53" s="42">
        <f ca="1">IF(OR($I$10="",$O53="",$P53="",$J$36&lt;&gt;"Yes"),0,IF($K$10=0,SUMIFS(INDIRECT(ADDRESS(12,3+18*0+(1),,,"J1 C - (South) Bishopthorpe Roa")&amp;":"&amp;ADDRESS(130,3+18*0+(1))),'J1 C - (South) Bishopthorpe Roa'!$A$12:$A$130,"&gt;="&amp;Diagram!$O53,'J1 C - (South) Bishopthorpe Roa'!$A$12:$A$130,"&lt;"&amp;Diagram!$P53),SUMIFS(INDIRECT(ADDRESS(12,3+18*0+(9),,,"J1 C - (South) Bishopthorpe Roa")&amp;":"&amp;ADDRESS(130,3+18*0+(9))),'J1 C - (South) Bishopthorpe Roa'!$A$12:$A$130,"&gt;="&amp;Diagram!$O53,'J1 C - (South) Bishopthorpe Roa'!$A$12:$A$130,"&lt;"&amp;Diagram!$P53)))</f>
        <v>3</v>
      </c>
      <c r="AV53" s="42">
        <f ca="1">IF(OR($I$10="",$O53="",$P53="",$J$36&lt;&gt;"Yes"),0,IF($K$10=0,SUMIFS(INDIRECT(ADDRESS(12,3+18*0+(1),,,"J1 D - South Bank Avenue")&amp;":"&amp;ADDRESS(130,3+18*0+(1))),'J1 D - South Bank Avenue'!$A$12:$A$130,"&gt;="&amp;Diagram!$O53,'J1 D - South Bank Avenue'!$A$12:$A$130,"&lt;"&amp;Diagram!$P53),SUMIFS(INDIRECT(ADDRESS(12,3+18*0+(9),,,"J1 D - South Bank Avenue")&amp;":"&amp;ADDRESS(130,3+18*0+(9))),'J1 D - South Bank Avenue'!$A$12:$A$130,"&gt;="&amp;Diagram!$O53,'J1 D - South Bank Avenue'!$A$12:$A$130,"&lt;"&amp;Diagram!$P53)))</f>
        <v>1</v>
      </c>
      <c r="AW53" s="42">
        <f ca="1">IF(OR($I$10="",$O53="",$P53="",$J$36&lt;&gt;"Yes"),0,IF($K$10=0,SUMIFS(INDIRECT(ADDRESS(12,3+18*1+(1),,,"J1 D - South Bank Avenue")&amp;":"&amp;ADDRESS(130,3+18*1+(1))),'J1 D - South Bank Avenue'!$A$12:$A$130,"&gt;="&amp;Diagram!$O53,'J1 D - South Bank Avenue'!$A$12:$A$130,"&lt;"&amp;Diagram!$P53),SUMIFS(INDIRECT(ADDRESS(12,3+18*1+(9),,,"J1 D - South Bank Avenue")&amp;":"&amp;ADDRESS(130,3+18*1+(9))),'J1 D - South Bank Avenue'!$A$12:$A$130,"&gt;="&amp;Diagram!$O53,'J1 D - South Bank Avenue'!$A$12:$A$130,"&lt;"&amp;Diagram!$P53)))</f>
        <v>0</v>
      </c>
      <c r="AX53" s="42">
        <f ca="1">IF(OR($I$10="",$O53="",$P53="",$J$36&lt;&gt;"Yes"),0,IF($K$10=0,SUMIFS(INDIRECT(ADDRESS(12,3+18*2+(1),,,"J1 D - South Bank Avenue")&amp;":"&amp;ADDRESS(130,3+18*2+(1))),'J1 D - South Bank Avenue'!$A$12:$A$130,"&gt;="&amp;Diagram!$O53,'J1 D - South Bank Avenue'!$A$12:$A$130,"&lt;"&amp;Diagram!$P53),SUMIFS(INDIRECT(ADDRESS(12,3+18*2+(9),,,"J1 D - South Bank Avenue")&amp;":"&amp;ADDRESS(130,3+18*2+(9))),'J1 D - South Bank Avenue'!$A$12:$A$130,"&gt;="&amp;Diagram!$O53,'J1 D - South Bank Avenue'!$A$12:$A$130,"&lt;"&amp;Diagram!$P53)))</f>
        <v>3</v>
      </c>
      <c r="AY53" s="42">
        <f ca="1">IF(OR($I$10="",$O53="",$P53="",$J$36&lt;&gt;"Yes"),0,IF($K$10=0,SUMIFS(INDIRECT(ADDRESS(12,3+18*3+(1),,,"J1 D - South Bank Avenue")&amp;":"&amp;ADDRESS(130,3+18*3+(1))),'J1 D - South Bank Avenue'!$A$12:$A$130,"&gt;="&amp;Diagram!$O53,'J1 D - South Bank Avenue'!$A$12:$A$130,"&lt;"&amp;Diagram!$P53),SUMIFS(INDIRECT(ADDRESS(12,3+18*3+(9),,,"J1 D - South Bank Avenue")&amp;":"&amp;ADDRESS(130,3+18*3+(9))),'J1 D - South Bank Avenue'!$A$12:$A$130,"&gt;="&amp;Diagram!$O53,'J1 D - South Bank Avenue'!$A$12:$A$130,"&lt;"&amp;Diagram!$P53)))</f>
        <v>0</v>
      </c>
      <c r="AZ53" s="42">
        <f t="shared" ca="1" si="3"/>
        <v>8</v>
      </c>
      <c r="BA53" s="42">
        <f ca="1">IF(OR($I$10="",$O53="",$P53="",$J$37&lt;&gt;"Yes"),0,IF($K$10=0,SUMIFS(INDIRECT(ADDRESS(12,3+18*3+(2),,,"J1 A - (North) Bishopthorpe Roa")&amp;":"&amp;ADDRESS(130,3+18*3+(2))),'J1 A - (North) Bishopthorpe Roa'!$A$12:$A$130,"&gt;="&amp;Diagram!$O53,'J1 A - (North) Bishopthorpe Roa'!$A$12:$A$130,"&lt;"&amp;Diagram!$P53),SUMIFS(INDIRECT(ADDRESS(12,3+18*3+(10),,,"J1 A - (North) Bishopthorpe Roa")&amp;":"&amp;ADDRESS(130,3+18*3+(10))),'J1 A - (North) Bishopthorpe Roa'!$A$12:$A$130,"&gt;="&amp;Diagram!$O53,'J1 A - (North) Bishopthorpe Roa'!$A$12:$A$130,"&lt;"&amp;Diagram!$P53)))</f>
        <v>0</v>
      </c>
      <c r="BB53" s="42">
        <f ca="1">IF(OR($I$10="",$O53="",$P53="",$J$37&lt;&gt;"Yes"),0,IF($K$10=0,SUMIFS(INDIRECT(ADDRESS(12,3+18*0+(2),,,"J1 A - (North) Bishopthorpe Roa")&amp;":"&amp;ADDRESS(130,3+18*0+(2))),'J1 A - (North) Bishopthorpe Roa'!$A$12:$A$130,"&gt;="&amp;Diagram!$O53,'J1 A - (North) Bishopthorpe Roa'!$A$12:$A$130,"&lt;"&amp;Diagram!$P53),SUMIFS(INDIRECT(ADDRESS(12,3+18*0+(10),,,"J1 A - (North) Bishopthorpe Roa")&amp;":"&amp;ADDRESS(130,3+18*0+(10))),'J1 A - (North) Bishopthorpe Roa'!$A$12:$A$130,"&gt;="&amp;Diagram!$O53,'J1 A - (North) Bishopthorpe Roa'!$A$12:$A$130,"&lt;"&amp;Diagram!$P53)))</f>
        <v>0</v>
      </c>
      <c r="BC53" s="42">
        <f ca="1">IF(OR($I$10="",$O53="",$P53="",$J$37&lt;&gt;"Yes"),0,IF($K$10=0,SUMIFS(INDIRECT(ADDRESS(12,3+18*1+(2),,,"J1 A - (North) Bishopthorpe Roa")&amp;":"&amp;ADDRESS(130,3+18*1+(2))),'J1 A - (North) Bishopthorpe Roa'!$A$12:$A$130,"&gt;="&amp;Diagram!$O53,'J1 A - (North) Bishopthorpe Roa'!$A$12:$A$130,"&lt;"&amp;Diagram!$P53),SUMIFS(INDIRECT(ADDRESS(12,3+18*1+(10),,,"J1 A - (North) Bishopthorpe Roa")&amp;":"&amp;ADDRESS(130,3+18*1+(10))),'J1 A - (North) Bishopthorpe Roa'!$A$12:$A$130,"&gt;="&amp;Diagram!$O53,'J1 A - (North) Bishopthorpe Roa'!$A$12:$A$130,"&lt;"&amp;Diagram!$P53)))</f>
        <v>2</v>
      </c>
      <c r="BD53" s="42">
        <f ca="1">IF(OR($I$10="",$O53="",$P53="",$J$37&lt;&gt;"Yes"),0,IF($K$10=0,SUMIFS(INDIRECT(ADDRESS(12,3+18*2+(2),,,"J1 A - (North) Bishopthorpe Roa")&amp;":"&amp;ADDRESS(130,3+18*2+(2))),'J1 A - (North) Bishopthorpe Roa'!$A$12:$A$130,"&gt;="&amp;Diagram!$O53,'J1 A - (North) Bishopthorpe Roa'!$A$12:$A$130,"&lt;"&amp;Diagram!$P53),SUMIFS(INDIRECT(ADDRESS(12,3+18*2+(10),,,"J1 A - (North) Bishopthorpe Roa")&amp;":"&amp;ADDRESS(130,3+18*2+(10))),'J1 A - (North) Bishopthorpe Roa'!$A$12:$A$130,"&gt;="&amp;Diagram!$O53,'J1 A - (North) Bishopthorpe Roa'!$A$12:$A$130,"&lt;"&amp;Diagram!$P53)))</f>
        <v>1</v>
      </c>
      <c r="BE53" s="42">
        <f ca="1">IF(OR($I$10="",$O53="",$P53="",$J$37&lt;&gt;"Yes"),0,IF($K$10=0,SUMIFS(INDIRECT(ADDRESS(12,3+18*2+(2),,,"J1 B - Butcher Terrace")&amp;":"&amp;ADDRESS(130,3+18*2+(2))),'J1 B - Butcher Terrace'!$A$12:$A$130,"&gt;="&amp;Diagram!$O53,'J1 B - Butcher Terrace'!$A$12:$A$130,"&lt;"&amp;Diagram!$P53),SUMIFS(INDIRECT(ADDRESS(12,3+18*2+(10),,,"J1 B - Butcher Terrace")&amp;":"&amp;ADDRESS(130,3+18*2+(10))),'J1 B - Butcher Terrace'!$A$12:$A$130,"&gt;="&amp;Diagram!$O53,'J1 B - Butcher Terrace'!$A$12:$A$130,"&lt;"&amp;Diagram!$P53)))</f>
        <v>0</v>
      </c>
      <c r="BF53" s="42">
        <f ca="1">IF(OR($I$10="",$O53="",$P53="",$J$37&lt;&gt;"Yes"),0,IF($K$10=0,SUMIFS(INDIRECT(ADDRESS(12,3+18*3+(2),,,"J1 B - Butcher Terrace")&amp;":"&amp;ADDRESS(130,3+18*3+(2))),'J1 B - Butcher Terrace'!$A$12:$A$130,"&gt;="&amp;Diagram!$O53,'J1 B - Butcher Terrace'!$A$12:$A$130,"&lt;"&amp;Diagram!$P53),SUMIFS(INDIRECT(ADDRESS(12,3+18*3+(10),,,"J1 B - Butcher Terrace")&amp;":"&amp;ADDRESS(130,3+18*3+(10))),'J1 B - Butcher Terrace'!$A$12:$A$130,"&gt;="&amp;Diagram!$O53,'J1 B - Butcher Terrace'!$A$12:$A$130,"&lt;"&amp;Diagram!$P53)))</f>
        <v>0</v>
      </c>
      <c r="BG53" s="42">
        <f ca="1">IF(OR($I$10="",$O53="",$P53="",$J$37&lt;&gt;"Yes"),0,IF($K$10=0,SUMIFS(INDIRECT(ADDRESS(12,3+18*0+(2),,,"J1 B - Butcher Terrace")&amp;":"&amp;ADDRESS(130,3+18*0+(2))),'J1 B - Butcher Terrace'!$A$12:$A$130,"&gt;="&amp;Diagram!$O53,'J1 B - Butcher Terrace'!$A$12:$A$130,"&lt;"&amp;Diagram!$P53),SUMIFS(INDIRECT(ADDRESS(12,3+18*0+(10),,,"J1 B - Butcher Terrace")&amp;":"&amp;ADDRESS(130,3+18*0+(10))),'J1 B - Butcher Terrace'!$A$12:$A$130,"&gt;="&amp;Diagram!$O53,'J1 B - Butcher Terrace'!$A$12:$A$130,"&lt;"&amp;Diagram!$P53)))</f>
        <v>0</v>
      </c>
      <c r="BH53" s="42">
        <f ca="1">IF(OR($I$10="",$O53="",$P53="",$J$37&lt;&gt;"Yes"),0,IF($K$10=0,SUMIFS(INDIRECT(ADDRESS(12,3+18*1+(2),,,"J1 B - Butcher Terrace")&amp;":"&amp;ADDRESS(130,3+18*1+(2))),'J1 B - Butcher Terrace'!$A$12:$A$130,"&gt;="&amp;Diagram!$O53,'J1 B - Butcher Terrace'!$A$12:$A$130,"&lt;"&amp;Diagram!$P53),SUMIFS(INDIRECT(ADDRESS(12,3+18*1+(10),,,"J1 B - Butcher Terrace")&amp;":"&amp;ADDRESS(130,3+18*1+(10))),'J1 B - Butcher Terrace'!$A$12:$A$130,"&gt;="&amp;Diagram!$O53,'J1 B - Butcher Terrace'!$A$12:$A$130,"&lt;"&amp;Diagram!$P53)))</f>
        <v>0</v>
      </c>
      <c r="BI53" s="42">
        <f ca="1">IF(OR($I$10="",$O53="",$P53="",$J$37&lt;&gt;"Yes"),0,IF($K$10=0,SUMIFS(INDIRECT(ADDRESS(12,3+18*1+(2),,,"J1 C - (South) Bishopthorpe Roa")&amp;":"&amp;ADDRESS(130,3+18*1+(2))),'J1 C - (South) Bishopthorpe Roa'!$A$12:$A$130,"&gt;="&amp;Diagram!$O53,'J1 C - (South) Bishopthorpe Roa'!$A$12:$A$130,"&lt;"&amp;Diagram!$P53),SUMIFS(INDIRECT(ADDRESS(12,3+18*1+(10),,,"J1 C - (South) Bishopthorpe Roa")&amp;":"&amp;ADDRESS(130,3+18*1+(10))),'J1 C - (South) Bishopthorpe Roa'!$A$12:$A$130,"&gt;="&amp;Diagram!$O53,'J1 C - (South) Bishopthorpe Roa'!$A$12:$A$130,"&lt;"&amp;Diagram!$P53)))</f>
        <v>1</v>
      </c>
      <c r="BJ53" s="42">
        <f ca="1">IF(OR($I$10="",$O53="",$P53="",$J$37&lt;&gt;"Yes"),0,IF($K$10=0,SUMIFS(INDIRECT(ADDRESS(12,3+18*2+(2),,,"J1 C - (South) Bishopthorpe Roa")&amp;":"&amp;ADDRESS(130,3+18*2+(2))),'J1 C - (South) Bishopthorpe Roa'!$A$12:$A$130,"&gt;="&amp;Diagram!$O53,'J1 C - (South) Bishopthorpe Roa'!$A$12:$A$130,"&lt;"&amp;Diagram!$P53),SUMIFS(INDIRECT(ADDRESS(12,3+18*2+(10),,,"J1 C - (South) Bishopthorpe Roa")&amp;":"&amp;ADDRESS(130,3+18*2+(10))),'J1 C - (South) Bishopthorpe Roa'!$A$12:$A$130,"&gt;="&amp;Diagram!$O53,'J1 C - (South) Bishopthorpe Roa'!$A$12:$A$130,"&lt;"&amp;Diagram!$P53)))</f>
        <v>0</v>
      </c>
      <c r="BK53" s="42">
        <f ca="1">IF(OR($I$10="",$O53="",$P53="",$J$37&lt;&gt;"Yes"),0,IF($K$10=0,SUMIFS(INDIRECT(ADDRESS(12,3+18*3+(2),,,"J1 C - (South) Bishopthorpe Roa")&amp;":"&amp;ADDRESS(130,3+18*3+(2))),'J1 C - (South) Bishopthorpe Roa'!$A$12:$A$130,"&gt;="&amp;Diagram!$O53,'J1 C - (South) Bishopthorpe Roa'!$A$12:$A$130,"&lt;"&amp;Diagram!$P53),SUMIFS(INDIRECT(ADDRESS(12,3+18*3+(10),,,"J1 C - (South) Bishopthorpe Roa")&amp;":"&amp;ADDRESS(130,3+18*3+(10))),'J1 C - (South) Bishopthorpe Roa'!$A$12:$A$130,"&gt;="&amp;Diagram!$O53,'J1 C - (South) Bishopthorpe Roa'!$A$12:$A$130,"&lt;"&amp;Diagram!$P53)))</f>
        <v>0</v>
      </c>
      <c r="BL53" s="42">
        <f ca="1">IF(OR($I$10="",$O53="",$P53="",$J$37&lt;&gt;"Yes"),0,IF($K$10=0,SUMIFS(INDIRECT(ADDRESS(12,3+18*0+(2),,,"J1 C - (South) Bishopthorpe Roa")&amp;":"&amp;ADDRESS(130,3+18*0+(2))),'J1 C - (South) Bishopthorpe Roa'!$A$12:$A$130,"&gt;="&amp;Diagram!$O53,'J1 C - (South) Bishopthorpe Roa'!$A$12:$A$130,"&lt;"&amp;Diagram!$P53),SUMIFS(INDIRECT(ADDRESS(12,3+18*0+(10),,,"J1 C - (South) Bishopthorpe Roa")&amp;":"&amp;ADDRESS(130,3+18*0+(10))),'J1 C - (South) Bishopthorpe Roa'!$A$12:$A$130,"&gt;="&amp;Diagram!$O53,'J1 C - (South) Bishopthorpe Roa'!$A$12:$A$130,"&lt;"&amp;Diagram!$P53)))</f>
        <v>0</v>
      </c>
      <c r="BM53" s="42">
        <f ca="1">IF(OR($I$10="",$O53="",$P53="",$J$37&lt;&gt;"Yes"),0,IF($K$10=0,SUMIFS(INDIRECT(ADDRESS(12,3+18*0+(2),,,"J1 D - South Bank Avenue")&amp;":"&amp;ADDRESS(130,3+18*0+(2))),'J1 D - South Bank Avenue'!$A$12:$A$130,"&gt;="&amp;Diagram!$O53,'J1 D - South Bank Avenue'!$A$12:$A$130,"&lt;"&amp;Diagram!$P53),SUMIFS(INDIRECT(ADDRESS(12,3+18*0+(10),,,"J1 D - South Bank Avenue")&amp;":"&amp;ADDRESS(130,3+18*0+(10))),'J1 D - South Bank Avenue'!$A$12:$A$130,"&gt;="&amp;Diagram!$O53,'J1 D - South Bank Avenue'!$A$12:$A$130,"&lt;"&amp;Diagram!$P53)))</f>
        <v>3</v>
      </c>
      <c r="BN53" s="42">
        <f ca="1">IF(OR($I$10="",$O53="",$P53="",$J$37&lt;&gt;"Yes"),0,IF($K$10=0,SUMIFS(INDIRECT(ADDRESS(12,3+18*1+(2),,,"J1 D - South Bank Avenue")&amp;":"&amp;ADDRESS(130,3+18*1+(2))),'J1 D - South Bank Avenue'!$A$12:$A$130,"&gt;="&amp;Diagram!$O53,'J1 D - South Bank Avenue'!$A$12:$A$130,"&lt;"&amp;Diagram!$P53),SUMIFS(INDIRECT(ADDRESS(12,3+18*1+(10),,,"J1 D - South Bank Avenue")&amp;":"&amp;ADDRESS(130,3+18*1+(10))),'J1 D - South Bank Avenue'!$A$12:$A$130,"&gt;="&amp;Diagram!$O53,'J1 D - South Bank Avenue'!$A$12:$A$130,"&lt;"&amp;Diagram!$P53)))</f>
        <v>0</v>
      </c>
      <c r="BO53" s="42">
        <f ca="1">IF(OR($I$10="",$O53="",$P53="",$J$37&lt;&gt;"Yes"),0,IF($K$10=0,SUMIFS(INDIRECT(ADDRESS(12,3+18*2+(2),,,"J1 D - South Bank Avenue")&amp;":"&amp;ADDRESS(130,3+18*2+(2))),'J1 D - South Bank Avenue'!$A$12:$A$130,"&gt;="&amp;Diagram!$O53,'J1 D - South Bank Avenue'!$A$12:$A$130,"&lt;"&amp;Diagram!$P53),SUMIFS(INDIRECT(ADDRESS(12,3+18*2+(10),,,"J1 D - South Bank Avenue")&amp;":"&amp;ADDRESS(130,3+18*2+(10))),'J1 D - South Bank Avenue'!$A$12:$A$130,"&gt;="&amp;Diagram!$O53,'J1 D - South Bank Avenue'!$A$12:$A$130,"&lt;"&amp;Diagram!$P53)))</f>
        <v>1</v>
      </c>
      <c r="BP53" s="42">
        <f ca="1">IF(OR($I$10="",$O53="",$P53="",$J$37&lt;&gt;"Yes"),0,IF($K$10=0,SUMIFS(INDIRECT(ADDRESS(12,3+18*3+(2),,,"J1 D - South Bank Avenue")&amp;":"&amp;ADDRESS(130,3+18*3+(2))),'J1 D - South Bank Avenue'!$A$12:$A$130,"&gt;="&amp;Diagram!$O53,'J1 D - South Bank Avenue'!$A$12:$A$130,"&lt;"&amp;Diagram!$P53),SUMIFS(INDIRECT(ADDRESS(12,3+18*3+(10),,,"J1 D - South Bank Avenue")&amp;":"&amp;ADDRESS(130,3+18*3+(10))),'J1 D - South Bank Avenue'!$A$12:$A$130,"&gt;="&amp;Diagram!$O53,'J1 D - South Bank Avenue'!$A$12:$A$130,"&lt;"&amp;Diagram!$P53)))</f>
        <v>0</v>
      </c>
      <c r="BQ53" s="42">
        <f t="shared" ca="1" si="4"/>
        <v>1</v>
      </c>
      <c r="BR53" s="42">
        <f ca="1">IF(OR($I$10="",$O53="",$P53="",$J$38&lt;&gt;"Yes"),0,IF($K$10=0,SUMIFS(INDIRECT(ADDRESS(12,3+18*3+(3),,,"J1 A - (North) Bishopthorpe Roa")&amp;":"&amp;ADDRESS(130,3+18*3+(3))),'J1 A - (North) Bishopthorpe Roa'!$A$12:$A$130,"&gt;="&amp;Diagram!$O53,'J1 A - (North) Bishopthorpe Roa'!$A$12:$A$130,"&lt;"&amp;Diagram!$P53),SUMIFS(INDIRECT(ADDRESS(12,3+18*3+(11),,,"J1 A - (North) Bishopthorpe Roa")&amp;":"&amp;ADDRESS(130,3+18*3+(11))),'J1 A - (North) Bishopthorpe Roa'!$A$12:$A$130,"&gt;="&amp;Diagram!$O53,'J1 A - (North) Bishopthorpe Roa'!$A$12:$A$130,"&lt;"&amp;Diagram!$P53)))</f>
        <v>0</v>
      </c>
      <c r="BS53" s="42">
        <f ca="1">IF(OR($I$10="",$O53="",$P53="",$J$38&lt;&gt;"Yes"),0,IF($K$10=0,SUMIFS(INDIRECT(ADDRESS(12,3+18*0+(3),,,"J1 A - (North) Bishopthorpe Roa")&amp;":"&amp;ADDRESS(130,3+18*0+(3))),'J1 A - (North) Bishopthorpe Roa'!$A$12:$A$130,"&gt;="&amp;Diagram!$O53,'J1 A - (North) Bishopthorpe Roa'!$A$12:$A$130,"&lt;"&amp;Diagram!$P53),SUMIFS(INDIRECT(ADDRESS(12,3+18*0+(11),,,"J1 A - (North) Bishopthorpe Roa")&amp;":"&amp;ADDRESS(130,3+18*0+(11))),'J1 A - (North) Bishopthorpe Roa'!$A$12:$A$130,"&gt;="&amp;Diagram!$O53,'J1 A - (North) Bishopthorpe Roa'!$A$12:$A$130,"&lt;"&amp;Diagram!$P53)))</f>
        <v>0</v>
      </c>
      <c r="BT53" s="42">
        <f ca="1">IF(OR($I$10="",$O53="",$P53="",$J$38&lt;&gt;"Yes"),0,IF($K$10=0,SUMIFS(INDIRECT(ADDRESS(12,3+18*1+(3),,,"J1 A - (North) Bishopthorpe Roa")&amp;":"&amp;ADDRESS(130,3+18*1+(3))),'J1 A - (North) Bishopthorpe Roa'!$A$12:$A$130,"&gt;="&amp;Diagram!$O53,'J1 A - (North) Bishopthorpe Roa'!$A$12:$A$130,"&lt;"&amp;Diagram!$P53),SUMIFS(INDIRECT(ADDRESS(12,3+18*1+(11),,,"J1 A - (North) Bishopthorpe Roa")&amp;":"&amp;ADDRESS(130,3+18*1+(11))),'J1 A - (North) Bishopthorpe Roa'!$A$12:$A$130,"&gt;="&amp;Diagram!$O53,'J1 A - (North) Bishopthorpe Roa'!$A$12:$A$130,"&lt;"&amp;Diagram!$P53)))</f>
        <v>0</v>
      </c>
      <c r="BU53" s="42">
        <f ca="1">IF(OR($I$10="",$O53="",$P53="",$J$38&lt;&gt;"Yes"),0,IF($K$10=0,SUMIFS(INDIRECT(ADDRESS(12,3+18*2+(3),,,"J1 A - (North) Bishopthorpe Roa")&amp;":"&amp;ADDRESS(130,3+18*2+(3))),'J1 A - (North) Bishopthorpe Roa'!$A$12:$A$130,"&gt;="&amp;Diagram!$O53,'J1 A - (North) Bishopthorpe Roa'!$A$12:$A$130,"&lt;"&amp;Diagram!$P53),SUMIFS(INDIRECT(ADDRESS(12,3+18*2+(11),,,"J1 A - (North) Bishopthorpe Roa")&amp;":"&amp;ADDRESS(130,3+18*2+(11))),'J1 A - (North) Bishopthorpe Roa'!$A$12:$A$130,"&gt;="&amp;Diagram!$O53,'J1 A - (North) Bishopthorpe Roa'!$A$12:$A$130,"&lt;"&amp;Diagram!$P53)))</f>
        <v>0</v>
      </c>
      <c r="BV53" s="42">
        <f ca="1">IF(OR($I$10="",$O53="",$P53="",$J$38&lt;&gt;"Yes"),0,IF($K$10=0,SUMIFS(INDIRECT(ADDRESS(12,3+18*2+(3),,,"J1 B - Butcher Terrace")&amp;":"&amp;ADDRESS(130,3+18*2+(3))),'J1 B - Butcher Terrace'!$A$12:$A$130,"&gt;="&amp;Diagram!$O53,'J1 B - Butcher Terrace'!$A$12:$A$130,"&lt;"&amp;Diagram!$P53),SUMIFS(INDIRECT(ADDRESS(12,3+18*2+(11),,,"J1 B - Butcher Terrace")&amp;":"&amp;ADDRESS(130,3+18*2+(11))),'J1 B - Butcher Terrace'!$A$12:$A$130,"&gt;="&amp;Diagram!$O53,'J1 B - Butcher Terrace'!$A$12:$A$130,"&lt;"&amp;Diagram!$P53)))</f>
        <v>0</v>
      </c>
      <c r="BW53" s="42">
        <f ca="1">IF(OR($I$10="",$O53="",$P53="",$J$38&lt;&gt;"Yes"),0,IF($K$10=0,SUMIFS(INDIRECT(ADDRESS(12,3+18*3+(3),,,"J1 B - Butcher Terrace")&amp;":"&amp;ADDRESS(130,3+18*3+(3))),'J1 B - Butcher Terrace'!$A$12:$A$130,"&gt;="&amp;Diagram!$O53,'J1 B - Butcher Terrace'!$A$12:$A$130,"&lt;"&amp;Diagram!$P53),SUMIFS(INDIRECT(ADDRESS(12,3+18*3+(11),,,"J1 B - Butcher Terrace")&amp;":"&amp;ADDRESS(130,3+18*3+(11))),'J1 B - Butcher Terrace'!$A$12:$A$130,"&gt;="&amp;Diagram!$O53,'J1 B - Butcher Terrace'!$A$12:$A$130,"&lt;"&amp;Diagram!$P53)))</f>
        <v>0</v>
      </c>
      <c r="BX53" s="42">
        <f ca="1">IF(OR($I$10="",$O53="",$P53="",$J$38&lt;&gt;"Yes"),0,IF($K$10=0,SUMIFS(INDIRECT(ADDRESS(12,3+18*0+(3),,,"J1 B - Butcher Terrace")&amp;":"&amp;ADDRESS(130,3+18*0+(3))),'J1 B - Butcher Terrace'!$A$12:$A$130,"&gt;="&amp;Diagram!$O53,'J1 B - Butcher Terrace'!$A$12:$A$130,"&lt;"&amp;Diagram!$P53),SUMIFS(INDIRECT(ADDRESS(12,3+18*0+(11),,,"J1 B - Butcher Terrace")&amp;":"&amp;ADDRESS(130,3+18*0+(11))),'J1 B - Butcher Terrace'!$A$12:$A$130,"&gt;="&amp;Diagram!$O53,'J1 B - Butcher Terrace'!$A$12:$A$130,"&lt;"&amp;Diagram!$P53)))</f>
        <v>0</v>
      </c>
      <c r="BY53" s="42">
        <f ca="1">IF(OR($I$10="",$O53="",$P53="",$J$38&lt;&gt;"Yes"),0,IF($K$10=0,SUMIFS(INDIRECT(ADDRESS(12,3+18*1+(3),,,"J1 B - Butcher Terrace")&amp;":"&amp;ADDRESS(130,3+18*1+(3))),'J1 B - Butcher Terrace'!$A$12:$A$130,"&gt;="&amp;Diagram!$O53,'J1 B - Butcher Terrace'!$A$12:$A$130,"&lt;"&amp;Diagram!$P53),SUMIFS(INDIRECT(ADDRESS(12,3+18*1+(11),,,"J1 B - Butcher Terrace")&amp;":"&amp;ADDRESS(130,3+18*1+(11))),'J1 B - Butcher Terrace'!$A$12:$A$130,"&gt;="&amp;Diagram!$O53,'J1 B - Butcher Terrace'!$A$12:$A$130,"&lt;"&amp;Diagram!$P53)))</f>
        <v>0</v>
      </c>
      <c r="BZ53" s="42">
        <f ca="1">IF(OR($I$10="",$O53="",$P53="",$J$38&lt;&gt;"Yes"),0,IF($K$10=0,SUMIFS(INDIRECT(ADDRESS(12,3+18*1+(3),,,"J1 C - (South) Bishopthorpe Roa")&amp;":"&amp;ADDRESS(130,3+18*1+(3))),'J1 C - (South) Bishopthorpe Roa'!$A$12:$A$130,"&gt;="&amp;Diagram!$O53,'J1 C - (South) Bishopthorpe Roa'!$A$12:$A$130,"&lt;"&amp;Diagram!$P53),SUMIFS(INDIRECT(ADDRESS(12,3+18*1+(11),,,"J1 C - (South) Bishopthorpe Roa")&amp;":"&amp;ADDRESS(130,3+18*1+(11))),'J1 C - (South) Bishopthorpe Roa'!$A$12:$A$130,"&gt;="&amp;Diagram!$O53,'J1 C - (South) Bishopthorpe Roa'!$A$12:$A$130,"&lt;"&amp;Diagram!$P53)))</f>
        <v>1</v>
      </c>
      <c r="CA53" s="42">
        <f ca="1">IF(OR($I$10="",$O53="",$P53="",$J$38&lt;&gt;"Yes"),0,IF($K$10=0,SUMIFS(INDIRECT(ADDRESS(12,3+18*2+(3),,,"J1 C - (South) Bishopthorpe Roa")&amp;":"&amp;ADDRESS(130,3+18*2+(3))),'J1 C - (South) Bishopthorpe Roa'!$A$12:$A$130,"&gt;="&amp;Diagram!$O53,'J1 C - (South) Bishopthorpe Roa'!$A$12:$A$130,"&lt;"&amp;Diagram!$P53),SUMIFS(INDIRECT(ADDRESS(12,3+18*2+(11),,,"J1 C - (South) Bishopthorpe Roa")&amp;":"&amp;ADDRESS(130,3+18*2+(11))),'J1 C - (South) Bishopthorpe Roa'!$A$12:$A$130,"&gt;="&amp;Diagram!$O53,'J1 C - (South) Bishopthorpe Roa'!$A$12:$A$130,"&lt;"&amp;Diagram!$P53)))</f>
        <v>0</v>
      </c>
      <c r="CB53" s="42">
        <f ca="1">IF(OR($I$10="",$O53="",$P53="",$J$38&lt;&gt;"Yes"),0,IF($K$10=0,SUMIFS(INDIRECT(ADDRESS(12,3+18*3+(3),,,"J1 C - (South) Bishopthorpe Roa")&amp;":"&amp;ADDRESS(130,3+18*3+(3))),'J1 C - (South) Bishopthorpe Roa'!$A$12:$A$130,"&gt;="&amp;Diagram!$O53,'J1 C - (South) Bishopthorpe Roa'!$A$12:$A$130,"&lt;"&amp;Diagram!$P53),SUMIFS(INDIRECT(ADDRESS(12,3+18*3+(11),,,"J1 C - (South) Bishopthorpe Roa")&amp;":"&amp;ADDRESS(130,3+18*3+(11))),'J1 C - (South) Bishopthorpe Roa'!$A$12:$A$130,"&gt;="&amp;Diagram!$O53,'J1 C - (South) Bishopthorpe Roa'!$A$12:$A$130,"&lt;"&amp;Diagram!$P53)))</f>
        <v>0</v>
      </c>
      <c r="CC53" s="42">
        <f ca="1">IF(OR($I$10="",$O53="",$P53="",$J$38&lt;&gt;"Yes"),0,IF($K$10=0,SUMIFS(INDIRECT(ADDRESS(12,3+18*0+(3),,,"J1 C - (South) Bishopthorpe Roa")&amp;":"&amp;ADDRESS(130,3+18*0+(3))),'J1 C - (South) Bishopthorpe Roa'!$A$12:$A$130,"&gt;="&amp;Diagram!$O53,'J1 C - (South) Bishopthorpe Roa'!$A$12:$A$130,"&lt;"&amp;Diagram!$P53),SUMIFS(INDIRECT(ADDRESS(12,3+18*0+(11),,,"J1 C - (South) Bishopthorpe Roa")&amp;":"&amp;ADDRESS(130,3+18*0+(11))),'J1 C - (South) Bishopthorpe Roa'!$A$12:$A$130,"&gt;="&amp;Diagram!$O53,'J1 C - (South) Bishopthorpe Roa'!$A$12:$A$130,"&lt;"&amp;Diagram!$P53)))</f>
        <v>0</v>
      </c>
      <c r="CD53" s="42">
        <f ca="1">IF(OR($I$10="",$O53="",$P53="",$J$38&lt;&gt;"Yes"),0,IF($K$10=0,SUMIFS(INDIRECT(ADDRESS(12,3+18*0+(3),,,"J1 D - South Bank Avenue")&amp;":"&amp;ADDRESS(130,3+18*0+(3))),'J1 D - South Bank Avenue'!$A$12:$A$130,"&gt;="&amp;Diagram!$O53,'J1 D - South Bank Avenue'!$A$12:$A$130,"&lt;"&amp;Diagram!$P53),SUMIFS(INDIRECT(ADDRESS(12,3+18*0+(11),,,"J1 D - South Bank Avenue")&amp;":"&amp;ADDRESS(130,3+18*0+(11))),'J1 D - South Bank Avenue'!$A$12:$A$130,"&gt;="&amp;Diagram!$O53,'J1 D - South Bank Avenue'!$A$12:$A$130,"&lt;"&amp;Diagram!$P53)))</f>
        <v>0</v>
      </c>
      <c r="CE53" s="42">
        <f ca="1">IF(OR($I$10="",$O53="",$P53="",$J$38&lt;&gt;"Yes"),0,IF($K$10=0,SUMIFS(INDIRECT(ADDRESS(12,3+18*1+(3),,,"J1 D - South Bank Avenue")&amp;":"&amp;ADDRESS(130,3+18*1+(3))),'J1 D - South Bank Avenue'!$A$12:$A$130,"&gt;="&amp;Diagram!$O53,'J1 D - South Bank Avenue'!$A$12:$A$130,"&lt;"&amp;Diagram!$P53),SUMIFS(INDIRECT(ADDRESS(12,3+18*1+(11),,,"J1 D - South Bank Avenue")&amp;":"&amp;ADDRESS(130,3+18*1+(11))),'J1 D - South Bank Avenue'!$A$12:$A$130,"&gt;="&amp;Diagram!$O53,'J1 D - South Bank Avenue'!$A$12:$A$130,"&lt;"&amp;Diagram!$P53)))</f>
        <v>0</v>
      </c>
      <c r="CF53" s="42">
        <f ca="1">IF(OR($I$10="",$O53="",$P53="",$J$38&lt;&gt;"Yes"),0,IF($K$10=0,SUMIFS(INDIRECT(ADDRESS(12,3+18*2+(3),,,"J1 D - South Bank Avenue")&amp;":"&amp;ADDRESS(130,3+18*2+(3))),'J1 D - South Bank Avenue'!$A$12:$A$130,"&gt;="&amp;Diagram!$O53,'J1 D - South Bank Avenue'!$A$12:$A$130,"&lt;"&amp;Diagram!$P53),SUMIFS(INDIRECT(ADDRESS(12,3+18*2+(11),,,"J1 D - South Bank Avenue")&amp;":"&amp;ADDRESS(130,3+18*2+(11))),'J1 D - South Bank Avenue'!$A$12:$A$130,"&gt;="&amp;Diagram!$O53,'J1 D - South Bank Avenue'!$A$12:$A$130,"&lt;"&amp;Diagram!$P53)))</f>
        <v>0</v>
      </c>
      <c r="CG53" s="42">
        <f ca="1">IF(OR($I$10="",$O53="",$P53="",$J$38&lt;&gt;"Yes"),0,IF($K$10=0,SUMIFS(INDIRECT(ADDRESS(12,3+18*3+(3),,,"J1 D - South Bank Avenue")&amp;":"&amp;ADDRESS(130,3+18*3+(3))),'J1 D - South Bank Avenue'!$A$12:$A$130,"&gt;="&amp;Diagram!$O53,'J1 D - South Bank Avenue'!$A$12:$A$130,"&lt;"&amp;Diagram!$P53),SUMIFS(INDIRECT(ADDRESS(12,3+18*3+(11),,,"J1 D - South Bank Avenue")&amp;":"&amp;ADDRESS(130,3+18*3+(11))),'J1 D - South Bank Avenue'!$A$12:$A$130,"&gt;="&amp;Diagram!$O53,'J1 D - South Bank Avenue'!$A$12:$A$130,"&lt;"&amp;Diagram!$P53)))</f>
        <v>0</v>
      </c>
      <c r="CH53" s="42">
        <f t="shared" ca="1" si="5"/>
        <v>7</v>
      </c>
      <c r="CI53" s="42">
        <f ca="1">IF(OR($I$10="",$O53="",$P53="",$J$39&lt;&gt;"Yes"),0,IF($K$10=0,SUMIFS(INDIRECT(ADDRESS(12,3+18*3+(4),,,"J1 A - (North) Bishopthorpe Roa")&amp;":"&amp;ADDRESS(130,3+18*3+(4))),'J1 A - (North) Bishopthorpe Roa'!$A$12:$A$130,"&gt;="&amp;Diagram!$O53,'J1 A - (North) Bishopthorpe Roa'!$A$12:$A$130,"&lt;"&amp;Diagram!$P53),SUMIFS(INDIRECT(ADDRESS(12,3+18*3+(12),,,"J1 A - (North) Bishopthorpe Roa")&amp;":"&amp;ADDRESS(130,3+18*3+(12))),'J1 A - (North) Bishopthorpe Roa'!$A$12:$A$130,"&gt;="&amp;Diagram!$O53,'J1 A - (North) Bishopthorpe Roa'!$A$12:$A$130,"&lt;"&amp;Diagram!$P53)))</f>
        <v>0</v>
      </c>
      <c r="CJ53" s="42">
        <f ca="1">IF(OR($I$10="",$O53="",$P53="",$J$39&lt;&gt;"Yes"),0,IF($K$10=0,SUMIFS(INDIRECT(ADDRESS(12,3+18*0+(4),,,"J1 A - (North) Bishopthorpe Roa")&amp;":"&amp;ADDRESS(130,3+18*0+(4))),'J1 A - (North) Bishopthorpe Roa'!$A$12:$A$130,"&gt;="&amp;Diagram!$O53,'J1 A - (North) Bishopthorpe Roa'!$A$12:$A$130,"&lt;"&amp;Diagram!$P53),SUMIFS(INDIRECT(ADDRESS(12,3+18*0+(12),,,"J1 A - (North) Bishopthorpe Roa")&amp;":"&amp;ADDRESS(130,3+18*0+(12))),'J1 A - (North) Bishopthorpe Roa'!$A$12:$A$130,"&gt;="&amp;Diagram!$O53,'J1 A - (North) Bishopthorpe Roa'!$A$12:$A$130,"&lt;"&amp;Diagram!$P53)))</f>
        <v>0</v>
      </c>
      <c r="CK53" s="42">
        <f ca="1">IF(OR($I$10="",$O53="",$P53="",$J$39&lt;&gt;"Yes"),0,IF($K$10=0,SUMIFS(INDIRECT(ADDRESS(12,3+18*1+(4),,,"J1 A - (North) Bishopthorpe Roa")&amp;":"&amp;ADDRESS(130,3+18*1+(4))),'J1 A - (North) Bishopthorpe Roa'!$A$12:$A$130,"&gt;="&amp;Diagram!$O53,'J1 A - (North) Bishopthorpe Roa'!$A$12:$A$130,"&lt;"&amp;Diagram!$P53),SUMIFS(INDIRECT(ADDRESS(12,3+18*1+(12),,,"J1 A - (North) Bishopthorpe Roa")&amp;":"&amp;ADDRESS(130,3+18*1+(12))),'J1 A - (North) Bishopthorpe Roa'!$A$12:$A$130,"&gt;="&amp;Diagram!$O53,'J1 A - (North) Bishopthorpe Roa'!$A$12:$A$130,"&lt;"&amp;Diagram!$P53)))</f>
        <v>4</v>
      </c>
      <c r="CL53" s="42">
        <f ca="1">IF(OR($I$10="",$O53="",$P53="",$J$39&lt;&gt;"Yes"),0,IF($K$10=0,SUMIFS(INDIRECT(ADDRESS(12,3+18*2+(4),,,"J1 A - (North) Bishopthorpe Roa")&amp;":"&amp;ADDRESS(130,3+18*2+(4))),'J1 A - (North) Bishopthorpe Roa'!$A$12:$A$130,"&gt;="&amp;Diagram!$O53,'J1 A - (North) Bishopthorpe Roa'!$A$12:$A$130,"&lt;"&amp;Diagram!$P53),SUMIFS(INDIRECT(ADDRESS(12,3+18*2+(12),,,"J1 A - (North) Bishopthorpe Roa")&amp;":"&amp;ADDRESS(130,3+18*2+(12))),'J1 A - (North) Bishopthorpe Roa'!$A$12:$A$130,"&gt;="&amp;Diagram!$O53,'J1 A - (North) Bishopthorpe Roa'!$A$12:$A$130,"&lt;"&amp;Diagram!$P53)))</f>
        <v>0</v>
      </c>
      <c r="CM53" s="42">
        <f ca="1">IF(OR($I$10="",$O53="",$P53="",$J$39&lt;&gt;"Yes"),0,IF($K$10=0,SUMIFS(INDIRECT(ADDRESS(12,3+18*2+(4),,,"J1 B - Butcher Terrace")&amp;":"&amp;ADDRESS(130,3+18*2+(4))),'J1 B - Butcher Terrace'!$A$12:$A$130,"&gt;="&amp;Diagram!$O53,'J1 B - Butcher Terrace'!$A$12:$A$130,"&lt;"&amp;Diagram!$P53),SUMIFS(INDIRECT(ADDRESS(12,3+18*2+(12),,,"J1 B - Butcher Terrace")&amp;":"&amp;ADDRESS(130,3+18*2+(12))),'J1 B - Butcher Terrace'!$A$12:$A$130,"&gt;="&amp;Diagram!$O53,'J1 B - Butcher Terrace'!$A$12:$A$130,"&lt;"&amp;Diagram!$P53)))</f>
        <v>0</v>
      </c>
      <c r="CN53" s="42">
        <f ca="1">IF(OR($I$10="",$O53="",$P53="",$J$39&lt;&gt;"Yes"),0,IF($K$10=0,SUMIFS(INDIRECT(ADDRESS(12,3+18*3+(4),,,"J1 B - Butcher Terrace")&amp;":"&amp;ADDRESS(130,3+18*3+(4))),'J1 B - Butcher Terrace'!$A$12:$A$130,"&gt;="&amp;Diagram!$O53,'J1 B - Butcher Terrace'!$A$12:$A$130,"&lt;"&amp;Diagram!$P53),SUMIFS(INDIRECT(ADDRESS(12,3+18*3+(12),,,"J1 B - Butcher Terrace")&amp;":"&amp;ADDRESS(130,3+18*3+(12))),'J1 B - Butcher Terrace'!$A$12:$A$130,"&gt;="&amp;Diagram!$O53,'J1 B - Butcher Terrace'!$A$12:$A$130,"&lt;"&amp;Diagram!$P53)))</f>
        <v>0</v>
      </c>
      <c r="CO53" s="42">
        <f ca="1">IF(OR($I$10="",$O53="",$P53="",$J$39&lt;&gt;"Yes"),0,IF($K$10=0,SUMIFS(INDIRECT(ADDRESS(12,3+18*0+(4),,,"J1 B - Butcher Terrace")&amp;":"&amp;ADDRESS(130,3+18*0+(4))),'J1 B - Butcher Terrace'!$A$12:$A$130,"&gt;="&amp;Diagram!$O53,'J1 B - Butcher Terrace'!$A$12:$A$130,"&lt;"&amp;Diagram!$P53),SUMIFS(INDIRECT(ADDRESS(12,3+18*0+(12),,,"J1 B - Butcher Terrace")&amp;":"&amp;ADDRESS(130,3+18*0+(12))),'J1 B - Butcher Terrace'!$A$12:$A$130,"&gt;="&amp;Diagram!$O53,'J1 B - Butcher Terrace'!$A$12:$A$130,"&lt;"&amp;Diagram!$P53)))</f>
        <v>0</v>
      </c>
      <c r="CP53" s="42">
        <f ca="1">IF(OR($I$10="",$O53="",$P53="",$J$39&lt;&gt;"Yes"),0,IF($K$10=0,SUMIFS(INDIRECT(ADDRESS(12,3+18*1+(4),,,"J1 B - Butcher Terrace")&amp;":"&amp;ADDRESS(130,3+18*1+(4))),'J1 B - Butcher Terrace'!$A$12:$A$130,"&gt;="&amp;Diagram!$O53,'J1 B - Butcher Terrace'!$A$12:$A$130,"&lt;"&amp;Diagram!$P53),SUMIFS(INDIRECT(ADDRESS(12,3+18*1+(12),,,"J1 B - Butcher Terrace")&amp;":"&amp;ADDRESS(130,3+18*1+(12))),'J1 B - Butcher Terrace'!$A$12:$A$130,"&gt;="&amp;Diagram!$O53,'J1 B - Butcher Terrace'!$A$12:$A$130,"&lt;"&amp;Diagram!$P53)))</f>
        <v>0</v>
      </c>
      <c r="CQ53" s="42">
        <f ca="1">IF(OR($I$10="",$O53="",$P53="",$J$39&lt;&gt;"Yes"),0,IF($K$10=0,SUMIFS(INDIRECT(ADDRESS(12,3+18*1+(4),,,"J1 C - (South) Bishopthorpe Roa")&amp;":"&amp;ADDRESS(130,3+18*1+(4))),'J1 C - (South) Bishopthorpe Roa'!$A$12:$A$130,"&gt;="&amp;Diagram!$O53,'J1 C - (South) Bishopthorpe Roa'!$A$12:$A$130,"&lt;"&amp;Diagram!$P53),SUMIFS(INDIRECT(ADDRESS(12,3+18*1+(12),,,"J1 C - (South) Bishopthorpe Roa")&amp;":"&amp;ADDRESS(130,3+18*1+(12))),'J1 C - (South) Bishopthorpe Roa'!$A$12:$A$130,"&gt;="&amp;Diagram!$O53,'J1 C - (South) Bishopthorpe Roa'!$A$12:$A$130,"&lt;"&amp;Diagram!$P53)))</f>
        <v>3</v>
      </c>
      <c r="CR53" s="42">
        <f ca="1">IF(OR($I$10="",$O53="",$P53="",$J$39&lt;&gt;"Yes"),0,IF($K$10=0,SUMIFS(INDIRECT(ADDRESS(12,3+18*2+(4),,,"J1 C - (South) Bishopthorpe Roa")&amp;":"&amp;ADDRESS(130,3+18*2+(4))),'J1 C - (South) Bishopthorpe Roa'!$A$12:$A$130,"&gt;="&amp;Diagram!$O53,'J1 C - (South) Bishopthorpe Roa'!$A$12:$A$130,"&lt;"&amp;Diagram!$P53),SUMIFS(INDIRECT(ADDRESS(12,3+18*2+(12),,,"J1 C - (South) Bishopthorpe Roa")&amp;":"&amp;ADDRESS(130,3+18*2+(12))),'J1 C - (South) Bishopthorpe Roa'!$A$12:$A$130,"&gt;="&amp;Diagram!$O53,'J1 C - (South) Bishopthorpe Roa'!$A$12:$A$130,"&lt;"&amp;Diagram!$P53)))</f>
        <v>0</v>
      </c>
      <c r="CS53" s="42">
        <f ca="1">IF(OR($I$10="",$O53="",$P53="",$J$39&lt;&gt;"Yes"),0,IF($K$10=0,SUMIFS(INDIRECT(ADDRESS(12,3+18*3+(4),,,"J1 C - (South) Bishopthorpe Roa")&amp;":"&amp;ADDRESS(130,3+18*3+(4))),'J1 C - (South) Bishopthorpe Roa'!$A$12:$A$130,"&gt;="&amp;Diagram!$O53,'J1 C - (South) Bishopthorpe Roa'!$A$12:$A$130,"&lt;"&amp;Diagram!$P53),SUMIFS(INDIRECT(ADDRESS(12,3+18*3+(12),,,"J1 C - (South) Bishopthorpe Roa")&amp;":"&amp;ADDRESS(130,3+18*3+(12))),'J1 C - (South) Bishopthorpe Roa'!$A$12:$A$130,"&gt;="&amp;Diagram!$O53,'J1 C - (South) Bishopthorpe Roa'!$A$12:$A$130,"&lt;"&amp;Diagram!$P53)))</f>
        <v>0</v>
      </c>
      <c r="CT53" s="42">
        <f ca="1">IF(OR($I$10="",$O53="",$P53="",$J$39&lt;&gt;"Yes"),0,IF($K$10=0,SUMIFS(INDIRECT(ADDRESS(12,3+18*0+(4),,,"J1 C - (South) Bishopthorpe Roa")&amp;":"&amp;ADDRESS(130,3+18*0+(4))),'J1 C - (South) Bishopthorpe Roa'!$A$12:$A$130,"&gt;="&amp;Diagram!$O53,'J1 C - (South) Bishopthorpe Roa'!$A$12:$A$130,"&lt;"&amp;Diagram!$P53),SUMIFS(INDIRECT(ADDRESS(12,3+18*0+(12),,,"J1 C - (South) Bishopthorpe Roa")&amp;":"&amp;ADDRESS(130,3+18*0+(12))),'J1 C - (South) Bishopthorpe Roa'!$A$12:$A$130,"&gt;="&amp;Diagram!$O53,'J1 C - (South) Bishopthorpe Roa'!$A$12:$A$130,"&lt;"&amp;Diagram!$P53)))</f>
        <v>0</v>
      </c>
      <c r="CU53" s="42">
        <f ca="1">IF(OR($I$10="",$O53="",$P53="",$J$39&lt;&gt;"Yes"),0,IF($K$10=0,SUMIFS(INDIRECT(ADDRESS(12,3+18*0+(4),,,"J1 D - South Bank Avenue")&amp;":"&amp;ADDRESS(130,3+18*0+(4))),'J1 D - South Bank Avenue'!$A$12:$A$130,"&gt;="&amp;Diagram!$O53,'J1 D - South Bank Avenue'!$A$12:$A$130,"&lt;"&amp;Diagram!$P53),SUMIFS(INDIRECT(ADDRESS(12,3+18*0+(12),,,"J1 D - South Bank Avenue")&amp;":"&amp;ADDRESS(130,3+18*0+(12))),'J1 D - South Bank Avenue'!$A$12:$A$130,"&gt;="&amp;Diagram!$O53,'J1 D - South Bank Avenue'!$A$12:$A$130,"&lt;"&amp;Diagram!$P53)))</f>
        <v>0</v>
      </c>
      <c r="CV53" s="42">
        <f ca="1">IF(OR($I$10="",$O53="",$P53="",$J$39&lt;&gt;"Yes"),0,IF($K$10=0,SUMIFS(INDIRECT(ADDRESS(12,3+18*1+(4),,,"J1 D - South Bank Avenue")&amp;":"&amp;ADDRESS(130,3+18*1+(4))),'J1 D - South Bank Avenue'!$A$12:$A$130,"&gt;="&amp;Diagram!$O53,'J1 D - South Bank Avenue'!$A$12:$A$130,"&lt;"&amp;Diagram!$P53),SUMIFS(INDIRECT(ADDRESS(12,3+18*1+(12),,,"J1 D - South Bank Avenue")&amp;":"&amp;ADDRESS(130,3+18*1+(12))),'J1 D - South Bank Avenue'!$A$12:$A$130,"&gt;="&amp;Diagram!$O53,'J1 D - South Bank Avenue'!$A$12:$A$130,"&lt;"&amp;Diagram!$P53)))</f>
        <v>0</v>
      </c>
      <c r="CW53" s="42">
        <f ca="1">IF(OR($I$10="",$O53="",$P53="",$J$39&lt;&gt;"Yes"),0,IF($K$10=0,SUMIFS(INDIRECT(ADDRESS(12,3+18*2+(4),,,"J1 D - South Bank Avenue")&amp;":"&amp;ADDRESS(130,3+18*2+(4))),'J1 D - South Bank Avenue'!$A$12:$A$130,"&gt;="&amp;Diagram!$O53,'J1 D - South Bank Avenue'!$A$12:$A$130,"&lt;"&amp;Diagram!$P53),SUMIFS(INDIRECT(ADDRESS(12,3+18*2+(12),,,"J1 D - South Bank Avenue")&amp;":"&amp;ADDRESS(130,3+18*2+(12))),'J1 D - South Bank Avenue'!$A$12:$A$130,"&gt;="&amp;Diagram!$O53,'J1 D - South Bank Avenue'!$A$12:$A$130,"&lt;"&amp;Diagram!$P53)))</f>
        <v>0</v>
      </c>
      <c r="CX53" s="42">
        <f ca="1">IF(OR($I$10="",$O53="",$P53="",$J$39&lt;&gt;"Yes"),0,IF($K$10=0,SUMIFS(INDIRECT(ADDRESS(12,3+18*3+(4),,,"J1 D - South Bank Avenue")&amp;":"&amp;ADDRESS(130,3+18*3+(4))),'J1 D - South Bank Avenue'!$A$12:$A$130,"&gt;="&amp;Diagram!$O53,'J1 D - South Bank Avenue'!$A$12:$A$130,"&lt;"&amp;Diagram!$P53),SUMIFS(INDIRECT(ADDRESS(12,3+18*3+(12),,,"J1 D - South Bank Avenue")&amp;":"&amp;ADDRESS(130,3+18*3+(12))),'J1 D - South Bank Avenue'!$A$12:$A$130,"&gt;="&amp;Diagram!$O53,'J1 D - South Bank Avenue'!$A$12:$A$130,"&lt;"&amp;Diagram!$P53)))</f>
        <v>0</v>
      </c>
      <c r="CY53" s="42">
        <f t="shared" ca="1" si="6"/>
        <v>111</v>
      </c>
      <c r="CZ53" s="42">
        <f ca="1">IF(OR($I$10="",$O53="",$P53="",$J$40&lt;&gt;"Yes"),0,IF($K$10=0,SUMIFS(INDIRECT(ADDRESS(12,3+18*3+(5),,,"J1 A - (North) Bishopthorpe Roa")&amp;":"&amp;ADDRESS(130,3+18*3+(5))),'J1 A - (North) Bishopthorpe Roa'!$A$12:$A$130,"&gt;="&amp;Diagram!$O53,'J1 A - (North) Bishopthorpe Roa'!$A$12:$A$130,"&lt;"&amp;Diagram!$P53),SUMIFS(INDIRECT(ADDRESS(12,3+18*3+(13),,,"J1 A - (North) Bishopthorpe Roa")&amp;":"&amp;ADDRESS(130,3+18*3+(13))),'J1 A - (North) Bishopthorpe Roa'!$A$12:$A$130,"&gt;="&amp;Diagram!$O53,'J1 A - (North) Bishopthorpe Roa'!$A$12:$A$130,"&lt;"&amp;Diagram!$P53)))</f>
        <v>0</v>
      </c>
      <c r="DA53" s="42">
        <f ca="1">IF(OR($I$10="",$O53="",$P53="",$J$40&lt;&gt;"Yes"),0,IF($K$10=0,SUMIFS(INDIRECT(ADDRESS(12,3+18*0+(5),,,"J1 A - (North) Bishopthorpe Roa")&amp;":"&amp;ADDRESS(130,3+18*0+(5))),'J1 A - (North) Bishopthorpe Roa'!$A$12:$A$130,"&gt;="&amp;Diagram!$O53,'J1 A - (North) Bishopthorpe Roa'!$A$12:$A$130,"&lt;"&amp;Diagram!$P53),SUMIFS(INDIRECT(ADDRESS(12,3+18*0+(13),,,"J1 A - (North) Bishopthorpe Roa")&amp;":"&amp;ADDRESS(130,3+18*0+(13))),'J1 A - (North) Bishopthorpe Roa'!$A$12:$A$130,"&gt;="&amp;Diagram!$O53,'J1 A - (North) Bishopthorpe Roa'!$A$12:$A$130,"&lt;"&amp;Diagram!$P53)))</f>
        <v>19</v>
      </c>
      <c r="DB53" s="42">
        <f ca="1">IF(OR($I$10="",$O53="",$P53="",$J$40&lt;&gt;"Yes"),0,IF($K$10=0,SUMIFS(INDIRECT(ADDRESS(12,3+18*1+(5),,,"J1 A - (North) Bishopthorpe Roa")&amp;":"&amp;ADDRESS(130,3+18*1+(5))),'J1 A - (North) Bishopthorpe Roa'!$A$12:$A$130,"&gt;="&amp;Diagram!$O53,'J1 A - (North) Bishopthorpe Roa'!$A$12:$A$130,"&lt;"&amp;Diagram!$P53),SUMIFS(INDIRECT(ADDRESS(12,3+18*1+(13),,,"J1 A - (North) Bishopthorpe Roa")&amp;":"&amp;ADDRESS(130,3+18*1+(13))),'J1 A - (North) Bishopthorpe Roa'!$A$12:$A$130,"&gt;="&amp;Diagram!$O53,'J1 A - (North) Bishopthorpe Roa'!$A$12:$A$130,"&lt;"&amp;Diagram!$P53)))</f>
        <v>9</v>
      </c>
      <c r="DC53" s="42">
        <f ca="1">IF(OR($I$10="",$O53="",$P53="",$J$40&lt;&gt;"Yes"),0,IF($K$10=0,SUMIFS(INDIRECT(ADDRESS(12,3+18*2+(5),,,"J1 A - (North) Bishopthorpe Roa")&amp;":"&amp;ADDRESS(130,3+18*2+(5))),'J1 A - (North) Bishopthorpe Roa'!$A$12:$A$130,"&gt;="&amp;Diagram!$O53,'J1 A - (North) Bishopthorpe Roa'!$A$12:$A$130,"&lt;"&amp;Diagram!$P53),SUMIFS(INDIRECT(ADDRESS(12,3+18*2+(13),,,"J1 A - (North) Bishopthorpe Roa")&amp;":"&amp;ADDRESS(130,3+18*2+(13))),'J1 A - (North) Bishopthorpe Roa'!$A$12:$A$130,"&gt;="&amp;Diagram!$O53,'J1 A - (North) Bishopthorpe Roa'!$A$12:$A$130,"&lt;"&amp;Diagram!$P53)))</f>
        <v>2</v>
      </c>
      <c r="DD53" s="42">
        <f ca="1">IF(OR($I$10="",$O53="",$P53="",$J$40&lt;&gt;"Yes"),0,IF($K$10=0,SUMIFS(INDIRECT(ADDRESS(12,3+18*2+(5),,,"J1 B - Butcher Terrace")&amp;":"&amp;ADDRESS(130,3+18*2+(5))),'J1 B - Butcher Terrace'!$A$12:$A$130,"&gt;="&amp;Diagram!$O53,'J1 B - Butcher Terrace'!$A$12:$A$130,"&lt;"&amp;Diagram!$P53),SUMIFS(INDIRECT(ADDRESS(12,3+18*2+(13),,,"J1 B - Butcher Terrace")&amp;":"&amp;ADDRESS(130,3+18*2+(13))),'J1 B - Butcher Terrace'!$A$12:$A$130,"&gt;="&amp;Diagram!$O53,'J1 B - Butcher Terrace'!$A$12:$A$130,"&lt;"&amp;Diagram!$P53)))</f>
        <v>8</v>
      </c>
      <c r="DE53" s="42">
        <f ca="1">IF(OR($I$10="",$O53="",$P53="",$J$40&lt;&gt;"Yes"),0,IF($K$10=0,SUMIFS(INDIRECT(ADDRESS(12,3+18*3+(5),,,"J1 B - Butcher Terrace")&amp;":"&amp;ADDRESS(130,3+18*3+(5))),'J1 B - Butcher Terrace'!$A$12:$A$130,"&gt;="&amp;Diagram!$O53,'J1 B - Butcher Terrace'!$A$12:$A$130,"&lt;"&amp;Diagram!$P53),SUMIFS(INDIRECT(ADDRESS(12,3+18*3+(13),,,"J1 B - Butcher Terrace")&amp;":"&amp;ADDRESS(130,3+18*3+(13))),'J1 B - Butcher Terrace'!$A$12:$A$130,"&gt;="&amp;Diagram!$O53,'J1 B - Butcher Terrace'!$A$12:$A$130,"&lt;"&amp;Diagram!$P53)))</f>
        <v>0</v>
      </c>
      <c r="DF53" s="42">
        <f ca="1">IF(OR($I$10="",$O53="",$P53="",$J$40&lt;&gt;"Yes"),0,IF($K$10=0,SUMIFS(INDIRECT(ADDRESS(12,3+18*0+(5),,,"J1 B - Butcher Terrace")&amp;":"&amp;ADDRESS(130,3+18*0+(5))),'J1 B - Butcher Terrace'!$A$12:$A$130,"&gt;="&amp;Diagram!$O53,'J1 B - Butcher Terrace'!$A$12:$A$130,"&lt;"&amp;Diagram!$P53),SUMIFS(INDIRECT(ADDRESS(12,3+18*0+(13),,,"J1 B - Butcher Terrace")&amp;":"&amp;ADDRESS(130,3+18*0+(13))),'J1 B - Butcher Terrace'!$A$12:$A$130,"&gt;="&amp;Diagram!$O53,'J1 B - Butcher Terrace'!$A$12:$A$130,"&lt;"&amp;Diagram!$P53)))</f>
        <v>7</v>
      </c>
      <c r="DG53" s="42">
        <f ca="1">IF(OR($I$10="",$O53="",$P53="",$J$40&lt;&gt;"Yes"),0,IF($K$10=0,SUMIFS(INDIRECT(ADDRESS(12,3+18*1+(5),,,"J1 B - Butcher Terrace")&amp;":"&amp;ADDRESS(130,3+18*1+(5))),'J1 B - Butcher Terrace'!$A$12:$A$130,"&gt;="&amp;Diagram!$O53,'J1 B - Butcher Terrace'!$A$12:$A$130,"&lt;"&amp;Diagram!$P53),SUMIFS(INDIRECT(ADDRESS(12,3+18*1+(13),,,"J1 B - Butcher Terrace")&amp;":"&amp;ADDRESS(130,3+18*1+(13))),'J1 B - Butcher Terrace'!$A$12:$A$130,"&gt;="&amp;Diagram!$O53,'J1 B - Butcher Terrace'!$A$12:$A$130,"&lt;"&amp;Diagram!$P53)))</f>
        <v>27</v>
      </c>
      <c r="DH53" s="42">
        <f ca="1">IF(OR($I$10="",$O53="",$P53="",$J$40&lt;&gt;"Yes"),0,IF($K$10=0,SUMIFS(INDIRECT(ADDRESS(12,3+18*1+(5),,,"J1 C - (South) Bishopthorpe Roa")&amp;":"&amp;ADDRESS(130,3+18*1+(5))),'J1 C - (South) Bishopthorpe Roa'!$A$12:$A$130,"&gt;="&amp;Diagram!$O53,'J1 C - (South) Bishopthorpe Roa'!$A$12:$A$130,"&lt;"&amp;Diagram!$P53),SUMIFS(INDIRECT(ADDRESS(12,3+18*1+(13),,,"J1 C - (South) Bishopthorpe Roa")&amp;":"&amp;ADDRESS(130,3+18*1+(13))),'J1 C - (South) Bishopthorpe Roa'!$A$12:$A$130,"&gt;="&amp;Diagram!$O53,'J1 C - (South) Bishopthorpe Roa'!$A$12:$A$130,"&lt;"&amp;Diagram!$P53)))</f>
        <v>13</v>
      </c>
      <c r="DI53" s="42">
        <f ca="1">IF(OR($I$10="",$O53="",$P53="",$J$40&lt;&gt;"Yes"),0,IF($K$10=0,SUMIFS(INDIRECT(ADDRESS(12,3+18*2+(5),,,"J1 C - (South) Bishopthorpe Roa")&amp;":"&amp;ADDRESS(130,3+18*2+(5))),'J1 C - (South) Bishopthorpe Roa'!$A$12:$A$130,"&gt;="&amp;Diagram!$O53,'J1 C - (South) Bishopthorpe Roa'!$A$12:$A$130,"&lt;"&amp;Diagram!$P53),SUMIFS(INDIRECT(ADDRESS(12,3+18*2+(13),,,"J1 C - (South) Bishopthorpe Roa")&amp;":"&amp;ADDRESS(130,3+18*2+(13))),'J1 C - (South) Bishopthorpe Roa'!$A$12:$A$130,"&gt;="&amp;Diagram!$O53,'J1 C - (South) Bishopthorpe Roa'!$A$12:$A$130,"&lt;"&amp;Diagram!$P53)))</f>
        <v>5</v>
      </c>
      <c r="DJ53" s="42">
        <f ca="1">IF(OR($I$10="",$O53="",$P53="",$J$40&lt;&gt;"Yes"),0,IF($K$10=0,SUMIFS(INDIRECT(ADDRESS(12,3+18*3+(5),,,"J1 C - (South) Bishopthorpe Roa")&amp;":"&amp;ADDRESS(130,3+18*3+(5))),'J1 C - (South) Bishopthorpe Roa'!$A$12:$A$130,"&gt;="&amp;Diagram!$O53,'J1 C - (South) Bishopthorpe Roa'!$A$12:$A$130,"&lt;"&amp;Diagram!$P53),SUMIFS(INDIRECT(ADDRESS(12,3+18*3+(13),,,"J1 C - (South) Bishopthorpe Roa")&amp;":"&amp;ADDRESS(130,3+18*3+(13))),'J1 C - (South) Bishopthorpe Roa'!$A$12:$A$130,"&gt;="&amp;Diagram!$O53,'J1 C - (South) Bishopthorpe Roa'!$A$12:$A$130,"&lt;"&amp;Diagram!$P53)))</f>
        <v>0</v>
      </c>
      <c r="DK53" s="42">
        <f ca="1">IF(OR($I$10="",$O53="",$P53="",$J$40&lt;&gt;"Yes"),0,IF($K$10=0,SUMIFS(INDIRECT(ADDRESS(12,3+18*0+(5),,,"J1 C - (South) Bishopthorpe Roa")&amp;":"&amp;ADDRESS(130,3+18*0+(5))),'J1 C - (South) Bishopthorpe Roa'!$A$12:$A$130,"&gt;="&amp;Diagram!$O53,'J1 C - (South) Bishopthorpe Roa'!$A$12:$A$130,"&lt;"&amp;Diagram!$P53),SUMIFS(INDIRECT(ADDRESS(12,3+18*0+(13),,,"J1 C - (South) Bishopthorpe Roa")&amp;":"&amp;ADDRESS(130,3+18*0+(13))),'J1 C - (South) Bishopthorpe Roa'!$A$12:$A$130,"&gt;="&amp;Diagram!$O53,'J1 C - (South) Bishopthorpe Roa'!$A$12:$A$130,"&lt;"&amp;Diagram!$P53)))</f>
        <v>2</v>
      </c>
      <c r="DL53" s="42">
        <f ca="1">IF(OR($I$10="",$O53="",$P53="",$J$40&lt;&gt;"Yes"),0,IF($K$10=0,SUMIFS(INDIRECT(ADDRESS(12,3+18*0+(5),,,"J1 D - South Bank Avenue")&amp;":"&amp;ADDRESS(130,3+18*0+(5))),'J1 D - South Bank Avenue'!$A$12:$A$130,"&gt;="&amp;Diagram!$O53,'J1 D - South Bank Avenue'!$A$12:$A$130,"&lt;"&amp;Diagram!$P53),SUMIFS(INDIRECT(ADDRESS(12,3+18*0+(13),,,"J1 D - South Bank Avenue")&amp;":"&amp;ADDRESS(130,3+18*0+(13))),'J1 D - South Bank Avenue'!$A$12:$A$130,"&gt;="&amp;Diagram!$O53,'J1 D - South Bank Avenue'!$A$12:$A$130,"&lt;"&amp;Diagram!$P53)))</f>
        <v>2</v>
      </c>
      <c r="DM53" s="42">
        <f ca="1">IF(OR($I$10="",$O53="",$P53="",$J$40&lt;&gt;"Yes"),0,IF($K$10=0,SUMIFS(INDIRECT(ADDRESS(12,3+18*1+(5),,,"J1 D - South Bank Avenue")&amp;":"&amp;ADDRESS(130,3+18*1+(5))),'J1 D - South Bank Avenue'!$A$12:$A$130,"&gt;="&amp;Diagram!$O53,'J1 D - South Bank Avenue'!$A$12:$A$130,"&lt;"&amp;Diagram!$P53),SUMIFS(INDIRECT(ADDRESS(12,3+18*1+(13),,,"J1 D - South Bank Avenue")&amp;":"&amp;ADDRESS(130,3+18*1+(13))),'J1 D - South Bank Avenue'!$A$12:$A$130,"&gt;="&amp;Diagram!$O53,'J1 D - South Bank Avenue'!$A$12:$A$130,"&lt;"&amp;Diagram!$P53)))</f>
        <v>17</v>
      </c>
      <c r="DN53" s="42">
        <f ca="1">IF(OR($I$10="",$O53="",$P53="",$J$40&lt;&gt;"Yes"),0,IF($K$10=0,SUMIFS(INDIRECT(ADDRESS(12,3+18*2+(5),,,"J1 D - South Bank Avenue")&amp;":"&amp;ADDRESS(130,3+18*2+(5))),'J1 D - South Bank Avenue'!$A$12:$A$130,"&gt;="&amp;Diagram!$O53,'J1 D - South Bank Avenue'!$A$12:$A$130,"&lt;"&amp;Diagram!$P53),SUMIFS(INDIRECT(ADDRESS(12,3+18*2+(13),,,"J1 D - South Bank Avenue")&amp;":"&amp;ADDRESS(130,3+18*2+(13))),'J1 D - South Bank Avenue'!$A$12:$A$130,"&gt;="&amp;Diagram!$O53,'J1 D - South Bank Avenue'!$A$12:$A$130,"&lt;"&amp;Diagram!$P53)))</f>
        <v>0</v>
      </c>
      <c r="DO53" s="42">
        <f ca="1">IF(OR($I$10="",$O53="",$P53="",$J$40&lt;&gt;"Yes"),0,IF($K$10=0,SUMIFS(INDIRECT(ADDRESS(12,3+18*3+(5),,,"J1 D - South Bank Avenue")&amp;":"&amp;ADDRESS(130,3+18*3+(5))),'J1 D - South Bank Avenue'!$A$12:$A$130,"&gt;="&amp;Diagram!$O53,'J1 D - South Bank Avenue'!$A$12:$A$130,"&lt;"&amp;Diagram!$P53),SUMIFS(INDIRECT(ADDRESS(12,3+18*3+(13),,,"J1 D - South Bank Avenue")&amp;":"&amp;ADDRESS(130,3+18*3+(13))),'J1 D - South Bank Avenue'!$A$12:$A$130,"&gt;="&amp;Diagram!$O53,'J1 D - South Bank Avenue'!$A$12:$A$130,"&lt;"&amp;Diagram!$P53)))</f>
        <v>0</v>
      </c>
      <c r="DP53" s="42">
        <f t="shared" ca="1" si="7"/>
        <v>11</v>
      </c>
      <c r="DQ53" s="42">
        <f ca="1">IF(OR($I$10="",$O53="",$P53="",$J$41&lt;&gt;"Yes"),0,IF($K$10=0,SUMIFS(INDIRECT(ADDRESS(12,3+18*3+(6),,,"J1 A - (North) Bishopthorpe Roa")&amp;":"&amp;ADDRESS(130,3+18*3+(6))),'J1 A - (North) Bishopthorpe Roa'!$A$12:$A$130,"&gt;="&amp;Diagram!$O53,'J1 A - (North) Bishopthorpe Roa'!$A$12:$A$130,"&lt;"&amp;Diagram!$P53),SUMIFS(INDIRECT(ADDRESS(12,3+18*3+(14),,,"J1 A - (North) Bishopthorpe Roa")&amp;":"&amp;ADDRESS(130,3+18*3+(14))),'J1 A - (North) Bishopthorpe Roa'!$A$12:$A$130,"&gt;="&amp;Diagram!$O53,'J1 A - (North) Bishopthorpe Roa'!$A$12:$A$130,"&lt;"&amp;Diagram!$P53)))</f>
        <v>0</v>
      </c>
      <c r="DR53" s="42">
        <f ca="1">IF(OR($I$10="",$O53="",$P53="",$J$41&lt;&gt;"Yes"),0,IF($K$10=0,SUMIFS(INDIRECT(ADDRESS(12,3+18*0+(6),,,"J1 A - (North) Bishopthorpe Roa")&amp;":"&amp;ADDRESS(130,3+18*0+(6))),'J1 A - (North) Bishopthorpe Roa'!$A$12:$A$130,"&gt;="&amp;Diagram!$O53,'J1 A - (North) Bishopthorpe Roa'!$A$12:$A$130,"&lt;"&amp;Diagram!$P53),SUMIFS(INDIRECT(ADDRESS(12,3+18*0+(14),,,"J1 A - (North) Bishopthorpe Roa")&amp;":"&amp;ADDRESS(130,3+18*0+(14))),'J1 A - (North) Bishopthorpe Roa'!$A$12:$A$130,"&gt;="&amp;Diagram!$O53,'J1 A - (North) Bishopthorpe Roa'!$A$12:$A$130,"&lt;"&amp;Diagram!$P53)))</f>
        <v>1</v>
      </c>
      <c r="DS53" s="42">
        <f ca="1">IF(OR($I$10="",$O53="",$P53="",$J$41&lt;&gt;"Yes"),0,IF($K$10=0,SUMIFS(INDIRECT(ADDRESS(12,3+18*1+(6),,,"J1 A - (North) Bishopthorpe Roa")&amp;":"&amp;ADDRESS(130,3+18*1+(6))),'J1 A - (North) Bishopthorpe Roa'!$A$12:$A$130,"&gt;="&amp;Diagram!$O53,'J1 A - (North) Bishopthorpe Roa'!$A$12:$A$130,"&lt;"&amp;Diagram!$P53),SUMIFS(INDIRECT(ADDRESS(12,3+18*1+(14),,,"J1 A - (North) Bishopthorpe Roa")&amp;":"&amp;ADDRESS(130,3+18*1+(14))),'J1 A - (North) Bishopthorpe Roa'!$A$12:$A$130,"&gt;="&amp;Diagram!$O53,'J1 A - (North) Bishopthorpe Roa'!$A$12:$A$130,"&lt;"&amp;Diagram!$P53)))</f>
        <v>5</v>
      </c>
      <c r="DT53" s="42">
        <f ca="1">IF(OR($I$10="",$O53="",$P53="",$J$41&lt;&gt;"Yes"),0,IF($K$10=0,SUMIFS(INDIRECT(ADDRESS(12,3+18*2+(6),,,"J1 A - (North) Bishopthorpe Roa")&amp;":"&amp;ADDRESS(130,3+18*2+(6))),'J1 A - (North) Bishopthorpe Roa'!$A$12:$A$130,"&gt;="&amp;Diagram!$O53,'J1 A - (North) Bishopthorpe Roa'!$A$12:$A$130,"&lt;"&amp;Diagram!$P53),SUMIFS(INDIRECT(ADDRESS(12,3+18*2+(14),,,"J1 A - (North) Bishopthorpe Roa")&amp;":"&amp;ADDRESS(130,3+18*2+(14))),'J1 A - (North) Bishopthorpe Roa'!$A$12:$A$130,"&gt;="&amp;Diagram!$O53,'J1 A - (North) Bishopthorpe Roa'!$A$12:$A$130,"&lt;"&amp;Diagram!$P53)))</f>
        <v>1</v>
      </c>
      <c r="DU53" s="42">
        <f ca="1">IF(OR($I$10="",$O53="",$P53="",$J$41&lt;&gt;"Yes"),0,IF($K$10=0,SUMIFS(INDIRECT(ADDRESS(12,3+18*2+(6),,,"J1 B - Butcher Terrace")&amp;":"&amp;ADDRESS(130,3+18*2+(6))),'J1 B - Butcher Terrace'!$A$12:$A$130,"&gt;="&amp;Diagram!$O53,'J1 B - Butcher Terrace'!$A$12:$A$130,"&lt;"&amp;Diagram!$P53),SUMIFS(INDIRECT(ADDRESS(12,3+18*2+(14),,,"J1 B - Butcher Terrace")&amp;":"&amp;ADDRESS(130,3+18*2+(14))),'J1 B - Butcher Terrace'!$A$12:$A$130,"&gt;="&amp;Diagram!$O53,'J1 B - Butcher Terrace'!$A$12:$A$130,"&lt;"&amp;Diagram!$P53)))</f>
        <v>0</v>
      </c>
      <c r="DV53" s="42">
        <f ca="1">IF(OR($I$10="",$O53="",$P53="",$J$41&lt;&gt;"Yes"),0,IF($K$10=0,SUMIFS(INDIRECT(ADDRESS(12,3+18*3+(6),,,"J1 B - Butcher Terrace")&amp;":"&amp;ADDRESS(130,3+18*3+(6))),'J1 B - Butcher Terrace'!$A$12:$A$130,"&gt;="&amp;Diagram!$O53,'J1 B - Butcher Terrace'!$A$12:$A$130,"&lt;"&amp;Diagram!$P53),SUMIFS(INDIRECT(ADDRESS(12,3+18*3+(14),,,"J1 B - Butcher Terrace")&amp;":"&amp;ADDRESS(130,3+18*3+(14))),'J1 B - Butcher Terrace'!$A$12:$A$130,"&gt;="&amp;Diagram!$O53,'J1 B - Butcher Terrace'!$A$12:$A$130,"&lt;"&amp;Diagram!$P53)))</f>
        <v>0</v>
      </c>
      <c r="DW53" s="42">
        <f ca="1">IF(OR($I$10="",$O53="",$P53="",$J$41&lt;&gt;"Yes"),0,IF($K$10=0,SUMIFS(INDIRECT(ADDRESS(12,3+18*0+(6),,,"J1 B - Butcher Terrace")&amp;":"&amp;ADDRESS(130,3+18*0+(6))),'J1 B - Butcher Terrace'!$A$12:$A$130,"&gt;="&amp;Diagram!$O53,'J1 B - Butcher Terrace'!$A$12:$A$130,"&lt;"&amp;Diagram!$P53),SUMIFS(INDIRECT(ADDRESS(12,3+18*0+(14),,,"J1 B - Butcher Terrace")&amp;":"&amp;ADDRESS(130,3+18*0+(14))),'J1 B - Butcher Terrace'!$A$12:$A$130,"&gt;="&amp;Diagram!$O53,'J1 B - Butcher Terrace'!$A$12:$A$130,"&lt;"&amp;Diagram!$P53)))</f>
        <v>1</v>
      </c>
      <c r="DX53" s="42">
        <f ca="1">IF(OR($I$10="",$O53="",$P53="",$J$41&lt;&gt;"Yes"),0,IF($K$10=0,SUMIFS(INDIRECT(ADDRESS(12,3+18*1+(6),,,"J1 B - Butcher Terrace")&amp;":"&amp;ADDRESS(130,3+18*1+(6))),'J1 B - Butcher Terrace'!$A$12:$A$130,"&gt;="&amp;Diagram!$O53,'J1 B - Butcher Terrace'!$A$12:$A$130,"&lt;"&amp;Diagram!$P53),SUMIFS(INDIRECT(ADDRESS(12,3+18*1+(14),,,"J1 B - Butcher Terrace")&amp;":"&amp;ADDRESS(130,3+18*1+(14))),'J1 B - Butcher Terrace'!$A$12:$A$130,"&gt;="&amp;Diagram!$O53,'J1 B - Butcher Terrace'!$A$12:$A$130,"&lt;"&amp;Diagram!$P53)))</f>
        <v>0</v>
      </c>
      <c r="DY53" s="42">
        <f ca="1">IF(OR($I$10="",$O53="",$P53="",$J$41&lt;&gt;"Yes"),0,IF($K$10=0,SUMIFS(INDIRECT(ADDRESS(12,3+18*1+(6),,,"J1 C - (South) Bishopthorpe Roa")&amp;":"&amp;ADDRESS(130,3+18*1+(6))),'J1 C - (South) Bishopthorpe Roa'!$A$12:$A$130,"&gt;="&amp;Diagram!$O53,'J1 C - (South) Bishopthorpe Roa'!$A$12:$A$130,"&lt;"&amp;Diagram!$P53),SUMIFS(INDIRECT(ADDRESS(12,3+18*1+(14),,,"J1 C - (South) Bishopthorpe Roa")&amp;":"&amp;ADDRESS(130,3+18*1+(14))),'J1 C - (South) Bishopthorpe Roa'!$A$12:$A$130,"&gt;="&amp;Diagram!$O53,'J1 C - (South) Bishopthorpe Roa'!$A$12:$A$130,"&lt;"&amp;Diagram!$P53)))</f>
        <v>2</v>
      </c>
      <c r="DZ53" s="42">
        <f ca="1">IF(OR($I$10="",$O53="",$P53="",$J$41&lt;&gt;"Yes"),0,IF($K$10=0,SUMIFS(INDIRECT(ADDRESS(12,3+18*2+(6),,,"J1 C - (South) Bishopthorpe Roa")&amp;":"&amp;ADDRESS(130,3+18*2+(6))),'J1 C - (South) Bishopthorpe Roa'!$A$12:$A$130,"&gt;="&amp;Diagram!$O53,'J1 C - (South) Bishopthorpe Roa'!$A$12:$A$130,"&lt;"&amp;Diagram!$P53),SUMIFS(INDIRECT(ADDRESS(12,3+18*2+(14),,,"J1 C - (South) Bishopthorpe Roa")&amp;":"&amp;ADDRESS(130,3+18*2+(14))),'J1 C - (South) Bishopthorpe Roa'!$A$12:$A$130,"&gt;="&amp;Diagram!$O53,'J1 C - (South) Bishopthorpe Roa'!$A$12:$A$130,"&lt;"&amp;Diagram!$P53)))</f>
        <v>0</v>
      </c>
      <c r="EA53" s="42">
        <f ca="1">IF(OR($I$10="",$O53="",$P53="",$J$41&lt;&gt;"Yes"),0,IF($K$10=0,SUMIFS(INDIRECT(ADDRESS(12,3+18*3+(6),,,"J1 C - (South) Bishopthorpe Roa")&amp;":"&amp;ADDRESS(130,3+18*3+(6))),'J1 C - (South) Bishopthorpe Roa'!$A$12:$A$130,"&gt;="&amp;Diagram!$O53,'J1 C - (South) Bishopthorpe Roa'!$A$12:$A$130,"&lt;"&amp;Diagram!$P53),SUMIFS(INDIRECT(ADDRESS(12,3+18*3+(14),,,"J1 C - (South) Bishopthorpe Roa")&amp;":"&amp;ADDRESS(130,3+18*3+(14))),'J1 C - (South) Bishopthorpe Roa'!$A$12:$A$130,"&gt;="&amp;Diagram!$O53,'J1 C - (South) Bishopthorpe Roa'!$A$12:$A$130,"&lt;"&amp;Diagram!$P53)))</f>
        <v>0</v>
      </c>
      <c r="EB53" s="42">
        <f ca="1">IF(OR($I$10="",$O53="",$P53="",$J$41&lt;&gt;"Yes"),0,IF($K$10=0,SUMIFS(INDIRECT(ADDRESS(12,3+18*0+(6),,,"J1 C - (South) Bishopthorpe Roa")&amp;":"&amp;ADDRESS(130,3+18*0+(6))),'J1 C - (South) Bishopthorpe Roa'!$A$12:$A$130,"&gt;="&amp;Diagram!$O53,'J1 C - (South) Bishopthorpe Roa'!$A$12:$A$130,"&lt;"&amp;Diagram!$P53),SUMIFS(INDIRECT(ADDRESS(12,3+18*0+(14),,,"J1 C - (South) Bishopthorpe Roa")&amp;":"&amp;ADDRESS(130,3+18*0+(14))),'J1 C - (South) Bishopthorpe Roa'!$A$12:$A$130,"&gt;="&amp;Diagram!$O53,'J1 C - (South) Bishopthorpe Roa'!$A$12:$A$130,"&lt;"&amp;Diagram!$P53)))</f>
        <v>0</v>
      </c>
      <c r="EC53" s="42">
        <f ca="1">IF(OR($I$10="",$O53="",$P53="",$J$41&lt;&gt;"Yes"),0,IF($K$10=0,SUMIFS(INDIRECT(ADDRESS(12,3+18*0+(6),,,"J1 D - South Bank Avenue")&amp;":"&amp;ADDRESS(130,3+18*0+(6))),'J1 D - South Bank Avenue'!$A$12:$A$130,"&gt;="&amp;Diagram!$O53,'J1 D - South Bank Avenue'!$A$12:$A$130,"&lt;"&amp;Diagram!$P53),SUMIFS(INDIRECT(ADDRESS(12,3+18*0+(14),,,"J1 D - South Bank Avenue")&amp;":"&amp;ADDRESS(130,3+18*0+(14))),'J1 D - South Bank Avenue'!$A$12:$A$130,"&gt;="&amp;Diagram!$O53,'J1 D - South Bank Avenue'!$A$12:$A$130,"&lt;"&amp;Diagram!$P53)))</f>
        <v>1</v>
      </c>
      <c r="ED53" s="42">
        <f ca="1">IF(OR($I$10="",$O53="",$P53="",$J$41&lt;&gt;"Yes"),0,IF($K$10=0,SUMIFS(INDIRECT(ADDRESS(12,3+18*1+(6),,,"J1 D - South Bank Avenue")&amp;":"&amp;ADDRESS(130,3+18*1+(6))),'J1 D - South Bank Avenue'!$A$12:$A$130,"&gt;="&amp;Diagram!$O53,'J1 D - South Bank Avenue'!$A$12:$A$130,"&lt;"&amp;Diagram!$P53),SUMIFS(INDIRECT(ADDRESS(12,3+18*1+(14),,,"J1 D - South Bank Avenue")&amp;":"&amp;ADDRESS(130,3+18*1+(14))),'J1 D - South Bank Avenue'!$A$12:$A$130,"&gt;="&amp;Diagram!$O53,'J1 D - South Bank Avenue'!$A$12:$A$130,"&lt;"&amp;Diagram!$P53)))</f>
        <v>0</v>
      </c>
      <c r="EE53" s="42">
        <f ca="1">IF(OR($I$10="",$O53="",$P53="",$J$41&lt;&gt;"Yes"),0,IF($K$10=0,SUMIFS(INDIRECT(ADDRESS(12,3+18*2+(6),,,"J1 D - South Bank Avenue")&amp;":"&amp;ADDRESS(130,3+18*2+(6))),'J1 D - South Bank Avenue'!$A$12:$A$130,"&gt;="&amp;Diagram!$O53,'J1 D - South Bank Avenue'!$A$12:$A$130,"&lt;"&amp;Diagram!$P53),SUMIFS(INDIRECT(ADDRESS(12,3+18*2+(14),,,"J1 D - South Bank Avenue")&amp;":"&amp;ADDRESS(130,3+18*2+(14))),'J1 D - South Bank Avenue'!$A$12:$A$130,"&gt;="&amp;Diagram!$O53,'J1 D - South Bank Avenue'!$A$12:$A$130,"&lt;"&amp;Diagram!$P53)))</f>
        <v>0</v>
      </c>
      <c r="EF53" s="42">
        <f ca="1">IF(OR($I$10="",$O53="",$P53="",$J$41&lt;&gt;"Yes"),0,IF($K$10=0,SUMIFS(INDIRECT(ADDRESS(12,3+18*3+(6),,,"J1 D - South Bank Avenue")&amp;":"&amp;ADDRESS(130,3+18*3+(6))),'J1 D - South Bank Avenue'!$A$12:$A$130,"&gt;="&amp;Diagram!$O53,'J1 D - South Bank Avenue'!$A$12:$A$130,"&lt;"&amp;Diagram!$P53),SUMIFS(INDIRECT(ADDRESS(12,3+18*3+(14),,,"J1 D - South Bank Avenue")&amp;":"&amp;ADDRESS(130,3+18*3+(14))),'J1 D - South Bank Avenue'!$A$12:$A$130,"&gt;="&amp;Diagram!$O53,'J1 D - South Bank Avenue'!$A$12:$A$130,"&lt;"&amp;Diagram!$P53)))</f>
        <v>0</v>
      </c>
      <c r="EG53" s="42">
        <f t="shared" ca="1" si="8"/>
        <v>2</v>
      </c>
      <c r="EH53" s="42">
        <f ca="1">IF(OR($I$10="",$O53="",$P53="",$J$42&lt;&gt;"Yes"),0,IF($K$10=0,SUMIFS(INDIRECT(ADDRESS(12,3+18*3+(7),,,"J1 A - (North) Bishopthorpe Roa")&amp;":"&amp;ADDRESS(130,3+18*3+(7))),'J1 A - (North) Bishopthorpe Roa'!$A$12:$A$130,"&gt;="&amp;Diagram!$O53,'J1 A - (North) Bishopthorpe Roa'!$A$12:$A$130,"&lt;"&amp;Diagram!$P53),SUMIFS(INDIRECT(ADDRESS(12,3+18*3+(15),,,"J1 A - (North) Bishopthorpe Roa")&amp;":"&amp;ADDRESS(130,3+18*3+(15))),'J1 A - (North) Bishopthorpe Roa'!$A$12:$A$130,"&gt;="&amp;Diagram!$O53,'J1 A - (North) Bishopthorpe Roa'!$A$12:$A$130,"&lt;"&amp;Diagram!$P53)))</f>
        <v>0</v>
      </c>
      <c r="EI53" s="42">
        <f ca="1">IF(OR($I$10="",$O53="",$P53="",$J$42&lt;&gt;"Yes"),0,IF($K$10=0,SUMIFS(INDIRECT(ADDRESS(12,3+18*0+(7),,,"J1 A - (North) Bishopthorpe Roa")&amp;":"&amp;ADDRESS(130,3+18*0+(7))),'J1 A - (North) Bishopthorpe Roa'!$A$12:$A$130,"&gt;="&amp;Diagram!$O53,'J1 A - (North) Bishopthorpe Roa'!$A$12:$A$130,"&lt;"&amp;Diagram!$P53),SUMIFS(INDIRECT(ADDRESS(12,3+18*0+(15),,,"J1 A - (North) Bishopthorpe Roa")&amp;":"&amp;ADDRESS(130,3+18*0+(15))),'J1 A - (North) Bishopthorpe Roa'!$A$12:$A$130,"&gt;="&amp;Diagram!$O53,'J1 A - (North) Bishopthorpe Roa'!$A$12:$A$130,"&lt;"&amp;Diagram!$P53)))</f>
        <v>1</v>
      </c>
      <c r="EJ53" s="42">
        <f ca="1">IF(OR($I$10="",$O53="",$P53="",$J$42&lt;&gt;"Yes"),0,IF($K$10=0,SUMIFS(INDIRECT(ADDRESS(12,3+18*1+(7),,,"J1 A - (North) Bishopthorpe Roa")&amp;":"&amp;ADDRESS(130,3+18*1+(7))),'J1 A - (North) Bishopthorpe Roa'!$A$12:$A$130,"&gt;="&amp;Diagram!$O53,'J1 A - (North) Bishopthorpe Roa'!$A$12:$A$130,"&lt;"&amp;Diagram!$P53),SUMIFS(INDIRECT(ADDRESS(12,3+18*1+(15),,,"J1 A - (North) Bishopthorpe Roa")&amp;":"&amp;ADDRESS(130,3+18*1+(15))),'J1 A - (North) Bishopthorpe Roa'!$A$12:$A$130,"&gt;="&amp;Diagram!$O53,'J1 A - (North) Bishopthorpe Roa'!$A$12:$A$130,"&lt;"&amp;Diagram!$P53)))</f>
        <v>0</v>
      </c>
      <c r="EK53" s="42">
        <f ca="1">IF(OR($I$10="",$O53="",$P53="",$J$42&lt;&gt;"Yes"),0,IF($K$10=0,SUMIFS(INDIRECT(ADDRESS(12,3+18*2+(7),,,"J1 A - (North) Bishopthorpe Roa")&amp;":"&amp;ADDRESS(130,3+18*2+(7))),'J1 A - (North) Bishopthorpe Roa'!$A$12:$A$130,"&gt;="&amp;Diagram!$O53,'J1 A - (North) Bishopthorpe Roa'!$A$12:$A$130,"&lt;"&amp;Diagram!$P53),SUMIFS(INDIRECT(ADDRESS(12,3+18*2+(15),,,"J1 A - (North) Bishopthorpe Roa")&amp;":"&amp;ADDRESS(130,3+18*2+(15))),'J1 A - (North) Bishopthorpe Roa'!$A$12:$A$130,"&gt;="&amp;Diagram!$O53,'J1 A - (North) Bishopthorpe Roa'!$A$12:$A$130,"&lt;"&amp;Diagram!$P53)))</f>
        <v>0</v>
      </c>
      <c r="EL53" s="42">
        <f ca="1">IF(OR($I$10="",$O53="",$P53="",$J$42&lt;&gt;"Yes"),0,IF($K$10=0,SUMIFS(INDIRECT(ADDRESS(12,3+18*2+(7),,,"J1 B - Butcher Terrace")&amp;":"&amp;ADDRESS(130,3+18*2+(7))),'J1 B - Butcher Terrace'!$A$12:$A$130,"&gt;="&amp;Diagram!$O53,'J1 B - Butcher Terrace'!$A$12:$A$130,"&lt;"&amp;Diagram!$P53),SUMIFS(INDIRECT(ADDRESS(12,3+18*2+(15),,,"J1 B - Butcher Terrace")&amp;":"&amp;ADDRESS(130,3+18*2+(15))),'J1 B - Butcher Terrace'!$A$12:$A$130,"&gt;="&amp;Diagram!$O53,'J1 B - Butcher Terrace'!$A$12:$A$130,"&lt;"&amp;Diagram!$P53)))</f>
        <v>0</v>
      </c>
      <c r="EM53" s="42">
        <f ca="1">IF(OR($I$10="",$O53="",$P53="",$J$42&lt;&gt;"Yes"),0,IF($K$10=0,SUMIFS(INDIRECT(ADDRESS(12,3+18*3+(7),,,"J1 B - Butcher Terrace")&amp;":"&amp;ADDRESS(130,3+18*3+(7))),'J1 B - Butcher Terrace'!$A$12:$A$130,"&gt;="&amp;Diagram!$O53,'J1 B - Butcher Terrace'!$A$12:$A$130,"&lt;"&amp;Diagram!$P53),SUMIFS(INDIRECT(ADDRESS(12,3+18*3+(15),,,"J1 B - Butcher Terrace")&amp;":"&amp;ADDRESS(130,3+18*3+(15))),'J1 B - Butcher Terrace'!$A$12:$A$130,"&gt;="&amp;Diagram!$O53,'J1 B - Butcher Terrace'!$A$12:$A$130,"&lt;"&amp;Diagram!$P53)))</f>
        <v>0</v>
      </c>
      <c r="EN53" s="42">
        <f ca="1">IF(OR($I$10="",$O53="",$P53="",$J$42&lt;&gt;"Yes"),0,IF($K$10=0,SUMIFS(INDIRECT(ADDRESS(12,3+18*0+(7),,,"J1 B - Butcher Terrace")&amp;":"&amp;ADDRESS(130,3+18*0+(7))),'J1 B - Butcher Terrace'!$A$12:$A$130,"&gt;="&amp;Diagram!$O53,'J1 B - Butcher Terrace'!$A$12:$A$130,"&lt;"&amp;Diagram!$P53),SUMIFS(INDIRECT(ADDRESS(12,3+18*0+(15),,,"J1 B - Butcher Terrace")&amp;":"&amp;ADDRESS(130,3+18*0+(15))),'J1 B - Butcher Terrace'!$A$12:$A$130,"&gt;="&amp;Diagram!$O53,'J1 B - Butcher Terrace'!$A$12:$A$130,"&lt;"&amp;Diagram!$P53)))</f>
        <v>0</v>
      </c>
      <c r="EO53" s="42">
        <f ca="1">IF(OR($I$10="",$O53="",$P53="",$J$42&lt;&gt;"Yes"),0,IF($K$10=0,SUMIFS(INDIRECT(ADDRESS(12,3+18*1+(7),,,"J1 B - Butcher Terrace")&amp;":"&amp;ADDRESS(130,3+18*1+(7))),'J1 B - Butcher Terrace'!$A$12:$A$130,"&gt;="&amp;Diagram!$O53,'J1 B - Butcher Terrace'!$A$12:$A$130,"&lt;"&amp;Diagram!$P53),SUMIFS(INDIRECT(ADDRESS(12,3+18*1+(15),,,"J1 B - Butcher Terrace")&amp;":"&amp;ADDRESS(130,3+18*1+(15))),'J1 B - Butcher Terrace'!$A$12:$A$130,"&gt;="&amp;Diagram!$O53,'J1 B - Butcher Terrace'!$A$12:$A$130,"&lt;"&amp;Diagram!$P53)))</f>
        <v>0</v>
      </c>
      <c r="EP53" s="42">
        <f ca="1">IF(OR($I$10="",$O53="",$P53="",$J$42&lt;&gt;"Yes"),0,IF($K$10=0,SUMIFS(INDIRECT(ADDRESS(12,3+18*1+(7),,,"J1 C - (South) Bishopthorpe Roa")&amp;":"&amp;ADDRESS(130,3+18*1+(7))),'J1 C - (South) Bishopthorpe Roa'!$A$12:$A$130,"&gt;="&amp;Diagram!$O53,'J1 C - (South) Bishopthorpe Roa'!$A$12:$A$130,"&lt;"&amp;Diagram!$P53),SUMIFS(INDIRECT(ADDRESS(12,3+18*1+(15),,,"J1 C - (South) Bishopthorpe Roa")&amp;":"&amp;ADDRESS(130,3+18*1+(15))),'J1 C - (South) Bishopthorpe Roa'!$A$12:$A$130,"&gt;="&amp;Diagram!$O53,'J1 C - (South) Bishopthorpe Roa'!$A$12:$A$130,"&lt;"&amp;Diagram!$P53)))</f>
        <v>0</v>
      </c>
      <c r="EQ53" s="42">
        <f ca="1">IF(OR($I$10="",$O53="",$P53="",$J$42&lt;&gt;"Yes"),0,IF($K$10=0,SUMIFS(INDIRECT(ADDRESS(12,3+18*2+(7),,,"J1 C - (South) Bishopthorpe Roa")&amp;":"&amp;ADDRESS(130,3+18*2+(7))),'J1 C - (South) Bishopthorpe Roa'!$A$12:$A$130,"&gt;="&amp;Diagram!$O53,'J1 C - (South) Bishopthorpe Roa'!$A$12:$A$130,"&lt;"&amp;Diagram!$P53),SUMIFS(INDIRECT(ADDRESS(12,3+18*2+(15),,,"J1 C - (South) Bishopthorpe Roa")&amp;":"&amp;ADDRESS(130,3+18*2+(15))),'J1 C - (South) Bishopthorpe Roa'!$A$12:$A$130,"&gt;="&amp;Diagram!$O53,'J1 C - (South) Bishopthorpe Roa'!$A$12:$A$130,"&lt;"&amp;Diagram!$P53)))</f>
        <v>1</v>
      </c>
      <c r="ER53" s="42">
        <f ca="1">IF(OR($I$10="",$O53="",$P53="",$J$42&lt;&gt;"Yes"),0,IF($K$10=0,SUMIFS(INDIRECT(ADDRESS(12,3+18*3+(7),,,"J1 C - (South) Bishopthorpe Roa")&amp;":"&amp;ADDRESS(130,3+18*3+(7))),'J1 C - (South) Bishopthorpe Roa'!$A$12:$A$130,"&gt;="&amp;Diagram!$O53,'J1 C - (South) Bishopthorpe Roa'!$A$12:$A$130,"&lt;"&amp;Diagram!$P53),SUMIFS(INDIRECT(ADDRESS(12,3+18*3+(15),,,"J1 C - (South) Bishopthorpe Roa")&amp;":"&amp;ADDRESS(130,3+18*3+(15))),'J1 C - (South) Bishopthorpe Roa'!$A$12:$A$130,"&gt;="&amp;Diagram!$O53,'J1 C - (South) Bishopthorpe Roa'!$A$12:$A$130,"&lt;"&amp;Diagram!$P53)))</f>
        <v>0</v>
      </c>
      <c r="ES53" s="42">
        <f ca="1">IF(OR($I$10="",$O53="",$P53="",$J$42&lt;&gt;"Yes"),0,IF($K$10=0,SUMIFS(INDIRECT(ADDRESS(12,3+18*0+(7),,,"J1 C - (South) Bishopthorpe Roa")&amp;":"&amp;ADDRESS(130,3+18*0+(7))),'J1 C - (South) Bishopthorpe Roa'!$A$12:$A$130,"&gt;="&amp;Diagram!$O53,'J1 C - (South) Bishopthorpe Roa'!$A$12:$A$130,"&lt;"&amp;Diagram!$P53),SUMIFS(INDIRECT(ADDRESS(12,3+18*0+(15),,,"J1 C - (South) Bishopthorpe Roa")&amp;":"&amp;ADDRESS(130,3+18*0+(15))),'J1 C - (South) Bishopthorpe Roa'!$A$12:$A$130,"&gt;="&amp;Diagram!$O53,'J1 C - (South) Bishopthorpe Roa'!$A$12:$A$130,"&lt;"&amp;Diagram!$P53)))</f>
        <v>0</v>
      </c>
      <c r="ET53" s="42">
        <f ca="1">IF(OR($I$10="",$O53="",$P53="",$J$42&lt;&gt;"Yes"),0,IF($K$10=0,SUMIFS(INDIRECT(ADDRESS(12,3+18*0+(7),,,"J1 D - South Bank Avenue")&amp;":"&amp;ADDRESS(130,3+18*0+(7))),'J1 D - South Bank Avenue'!$A$12:$A$130,"&gt;="&amp;Diagram!$O53,'J1 D - South Bank Avenue'!$A$12:$A$130,"&lt;"&amp;Diagram!$P53),SUMIFS(INDIRECT(ADDRESS(12,3+18*0+(15),,,"J1 D - South Bank Avenue")&amp;":"&amp;ADDRESS(130,3+18*0+(15))),'J1 D - South Bank Avenue'!$A$12:$A$130,"&gt;="&amp;Diagram!$O53,'J1 D - South Bank Avenue'!$A$12:$A$130,"&lt;"&amp;Diagram!$P53)))</f>
        <v>0</v>
      </c>
      <c r="EU53" s="42">
        <f ca="1">IF(OR($I$10="",$O53="",$P53="",$J$42&lt;&gt;"Yes"),0,IF($K$10=0,SUMIFS(INDIRECT(ADDRESS(12,3+18*1+(7),,,"J1 D - South Bank Avenue")&amp;":"&amp;ADDRESS(130,3+18*1+(7))),'J1 D - South Bank Avenue'!$A$12:$A$130,"&gt;="&amp;Diagram!$O53,'J1 D - South Bank Avenue'!$A$12:$A$130,"&lt;"&amp;Diagram!$P53),SUMIFS(INDIRECT(ADDRESS(12,3+18*1+(15),,,"J1 D - South Bank Avenue")&amp;":"&amp;ADDRESS(130,3+18*1+(15))),'J1 D - South Bank Avenue'!$A$12:$A$130,"&gt;="&amp;Diagram!$O53,'J1 D - South Bank Avenue'!$A$12:$A$130,"&lt;"&amp;Diagram!$P53)))</f>
        <v>0</v>
      </c>
      <c r="EV53" s="42">
        <f ca="1">IF(OR($I$10="",$O53="",$P53="",$J$42&lt;&gt;"Yes"),0,IF($K$10=0,SUMIFS(INDIRECT(ADDRESS(12,3+18*2+(7),,,"J1 D - South Bank Avenue")&amp;":"&amp;ADDRESS(130,3+18*2+(7))),'J1 D - South Bank Avenue'!$A$12:$A$130,"&gt;="&amp;Diagram!$O53,'J1 D - South Bank Avenue'!$A$12:$A$130,"&lt;"&amp;Diagram!$P53),SUMIFS(INDIRECT(ADDRESS(12,3+18*2+(15),,,"J1 D - South Bank Avenue")&amp;":"&amp;ADDRESS(130,3+18*2+(15))),'J1 D - South Bank Avenue'!$A$12:$A$130,"&gt;="&amp;Diagram!$O53,'J1 D - South Bank Avenue'!$A$12:$A$130,"&lt;"&amp;Diagram!$P53)))</f>
        <v>0</v>
      </c>
      <c r="EW53" s="42">
        <f ca="1">IF(OR($I$10="",$O53="",$P53="",$J$42&lt;&gt;"Yes"),0,IF($K$10=0,SUMIFS(INDIRECT(ADDRESS(12,3+18*3+(7),,,"J1 D - South Bank Avenue")&amp;":"&amp;ADDRESS(130,3+18*3+(7))),'J1 D - South Bank Avenue'!$A$12:$A$130,"&gt;="&amp;Diagram!$O53,'J1 D - South Bank Avenue'!$A$12:$A$130,"&lt;"&amp;Diagram!$P53),SUMIFS(INDIRECT(ADDRESS(12,3+18*3+(15),,,"J1 D - South Bank Avenue")&amp;":"&amp;ADDRESS(130,3+18*3+(15))),'J1 D - South Bank Avenue'!$A$12:$A$130,"&gt;="&amp;Diagram!$O53,'J1 D - South Bank Avenue'!$A$12:$A$130,"&lt;"&amp;Diagram!$P53)))</f>
        <v>0</v>
      </c>
    </row>
    <row r="54" spans="1:153">
      <c r="A54" s="1">
        <v>44395.552083333299</v>
      </c>
      <c r="B54" s="1">
        <v>44395.5625</v>
      </c>
      <c r="O54" s="3">
        <v>44395.552083333299</v>
      </c>
      <c r="P54" s="3">
        <v>44395.59375</v>
      </c>
      <c r="Q54" s="42">
        <f t="shared" ca="1" si="0"/>
        <v>728</v>
      </c>
      <c r="R54" s="42">
        <f t="shared" ca="1" si="1"/>
        <v>521</v>
      </c>
      <c r="S54" s="42">
        <f ca="1">IF(OR($I$10="",$O54="",$P54="",$J$35&lt;&gt;"Yes"),0,IF($K$10=0,SUMIFS(INDIRECT(ADDRESS(12,3+18*3+(0),,,"J1 A - (North) Bishopthorpe Roa")&amp;":"&amp;ADDRESS(130,3+18*3+(0))),'J1 A - (North) Bishopthorpe Roa'!$A$12:$A$130,"&gt;="&amp;Diagram!$O54,'J1 A - (North) Bishopthorpe Roa'!$A$12:$A$130,"&lt;"&amp;Diagram!$P54),SUMIFS(INDIRECT(ADDRESS(12,3+18*3+(8),,,"J1 A - (North) Bishopthorpe Roa")&amp;":"&amp;ADDRESS(130,3+18*3+(8))),'J1 A - (North) Bishopthorpe Roa'!$A$12:$A$130,"&gt;="&amp;Diagram!$O54,'J1 A - (North) Bishopthorpe Roa'!$A$12:$A$130,"&lt;"&amp;Diagram!$P54)))</f>
        <v>2</v>
      </c>
      <c r="T54" s="42">
        <f ca="1">IF(OR($I$10="",$O54="",$P54="",$J$35&lt;&gt;"Yes"),0,IF($K$10=0,SUMIFS(INDIRECT(ADDRESS(12,3+18*0+(0),,,"J1 A - (North) Bishopthorpe Roa")&amp;":"&amp;ADDRESS(130,3+18*0+(0))),'J1 A - (North) Bishopthorpe Roa'!$A$12:$A$130,"&gt;="&amp;Diagram!$O54,'J1 A - (North) Bishopthorpe Roa'!$A$12:$A$130,"&lt;"&amp;Diagram!$P54),SUMIFS(INDIRECT(ADDRESS(12,3+18*0+(8),,,"J1 A - (North) Bishopthorpe Roa")&amp;":"&amp;ADDRESS(130,3+18*0+(8))),'J1 A - (North) Bishopthorpe Roa'!$A$12:$A$130,"&gt;="&amp;Diagram!$O54,'J1 A - (North) Bishopthorpe Roa'!$A$12:$A$130,"&lt;"&amp;Diagram!$P54)))</f>
        <v>24</v>
      </c>
      <c r="U54" s="42">
        <f ca="1">IF(OR($I$10="",$O54="",$P54="",$J$35&lt;&gt;"Yes"),0,IF($K$10=0,SUMIFS(INDIRECT(ADDRESS(12,3+18*1+(0),,,"J1 A - (North) Bishopthorpe Roa")&amp;":"&amp;ADDRESS(130,3+18*1+(0))),'J1 A - (North) Bishopthorpe Roa'!$A$12:$A$130,"&gt;="&amp;Diagram!$O54,'J1 A - (North) Bishopthorpe Roa'!$A$12:$A$130,"&lt;"&amp;Diagram!$P54),SUMIFS(INDIRECT(ADDRESS(12,3+18*1+(8),,,"J1 A - (North) Bishopthorpe Roa")&amp;":"&amp;ADDRESS(130,3+18*1+(8))),'J1 A - (North) Bishopthorpe Roa'!$A$12:$A$130,"&gt;="&amp;Diagram!$O54,'J1 A - (North) Bishopthorpe Roa'!$A$12:$A$130,"&lt;"&amp;Diagram!$P54)))</f>
        <v>206</v>
      </c>
      <c r="V54" s="42">
        <f ca="1">IF(OR($I$10="",$O54="",$P54="",$J$35&lt;&gt;"Yes"),0,IF($K$10=0,SUMIFS(INDIRECT(ADDRESS(12,3+18*2+(0),,,"J1 A - (North) Bishopthorpe Roa")&amp;":"&amp;ADDRESS(130,3+18*2+(0))),'J1 A - (North) Bishopthorpe Roa'!$A$12:$A$130,"&gt;="&amp;Diagram!$O54,'J1 A - (North) Bishopthorpe Roa'!$A$12:$A$130,"&lt;"&amp;Diagram!$P54),SUMIFS(INDIRECT(ADDRESS(12,3+18*2+(8),,,"J1 A - (North) Bishopthorpe Roa")&amp;":"&amp;ADDRESS(130,3+18*2+(8))),'J1 A - (North) Bishopthorpe Roa'!$A$12:$A$130,"&gt;="&amp;Diagram!$O54,'J1 A - (North) Bishopthorpe Roa'!$A$12:$A$130,"&lt;"&amp;Diagram!$P54)))</f>
        <v>17</v>
      </c>
      <c r="W54" s="42">
        <f ca="1">IF(OR($I$10="",$O54="",$P54="",$J$35&lt;&gt;"Yes"),0,IF($K$10=0,SUMIFS(INDIRECT(ADDRESS(12,3+18*2+(0),,,"J1 B - Butcher Terrace")&amp;":"&amp;ADDRESS(130,3+18*2+(0))),'J1 B - Butcher Terrace'!$A$12:$A$130,"&gt;="&amp;Diagram!$O54,'J1 B - Butcher Terrace'!$A$12:$A$130,"&lt;"&amp;Diagram!$P54),SUMIFS(INDIRECT(ADDRESS(12,3+18*2+(8),,,"J1 B - Butcher Terrace")&amp;":"&amp;ADDRESS(130,3+18*2+(8))),'J1 B - Butcher Terrace'!$A$12:$A$130,"&gt;="&amp;Diagram!$O54,'J1 B - Butcher Terrace'!$A$12:$A$130,"&lt;"&amp;Diagram!$P54)))</f>
        <v>11</v>
      </c>
      <c r="X54" s="42">
        <f ca="1">IF(OR($I$10="",$O54="",$P54="",$J$35&lt;&gt;"Yes"),0,IF($K$10=0,SUMIFS(INDIRECT(ADDRESS(12,3+18*3+(0),,,"J1 B - Butcher Terrace")&amp;":"&amp;ADDRESS(130,3+18*3+(0))),'J1 B - Butcher Terrace'!$A$12:$A$130,"&gt;="&amp;Diagram!$O54,'J1 B - Butcher Terrace'!$A$12:$A$130,"&lt;"&amp;Diagram!$P54),SUMIFS(INDIRECT(ADDRESS(12,3+18*3+(8),,,"J1 B - Butcher Terrace")&amp;":"&amp;ADDRESS(130,3+18*3+(8))),'J1 B - Butcher Terrace'!$A$12:$A$130,"&gt;="&amp;Diagram!$O54,'J1 B - Butcher Terrace'!$A$12:$A$130,"&lt;"&amp;Diagram!$P54)))</f>
        <v>0</v>
      </c>
      <c r="Y54" s="42">
        <f ca="1">IF(OR($I$10="",$O54="",$P54="",$J$35&lt;&gt;"Yes"),0,IF($K$10=0,SUMIFS(INDIRECT(ADDRESS(12,3+18*0+(0),,,"J1 B - Butcher Terrace")&amp;":"&amp;ADDRESS(130,3+18*0+(0))),'J1 B - Butcher Terrace'!$A$12:$A$130,"&gt;="&amp;Diagram!$O54,'J1 B - Butcher Terrace'!$A$12:$A$130,"&lt;"&amp;Diagram!$P54),SUMIFS(INDIRECT(ADDRESS(12,3+18*0+(8),,,"J1 B - Butcher Terrace")&amp;":"&amp;ADDRESS(130,3+18*0+(8))),'J1 B - Butcher Terrace'!$A$12:$A$130,"&gt;="&amp;Diagram!$O54,'J1 B - Butcher Terrace'!$A$12:$A$130,"&lt;"&amp;Diagram!$P54)))</f>
        <v>8</v>
      </c>
      <c r="Z54" s="42">
        <f ca="1">IF(OR($I$10="",$O54="",$P54="",$J$35&lt;&gt;"Yes"),0,IF($K$10=0,SUMIFS(INDIRECT(ADDRESS(12,3+18*1+(0),,,"J1 B - Butcher Terrace")&amp;":"&amp;ADDRESS(130,3+18*1+(0))),'J1 B - Butcher Terrace'!$A$12:$A$130,"&gt;="&amp;Diagram!$O54,'J1 B - Butcher Terrace'!$A$12:$A$130,"&lt;"&amp;Diagram!$P54),SUMIFS(INDIRECT(ADDRESS(12,3+18*1+(8),,,"J1 B - Butcher Terrace")&amp;":"&amp;ADDRESS(130,3+18*1+(8))),'J1 B - Butcher Terrace'!$A$12:$A$130,"&gt;="&amp;Diagram!$O54,'J1 B - Butcher Terrace'!$A$12:$A$130,"&lt;"&amp;Diagram!$P54)))</f>
        <v>3</v>
      </c>
      <c r="AA54" s="42">
        <f ca="1">IF(OR($I$10="",$O54="",$P54="",$J$35&lt;&gt;"Yes"),0,IF($K$10=0,SUMIFS(INDIRECT(ADDRESS(12,3+18*1+(0),,,"J1 C - (South) Bishopthorpe Roa")&amp;":"&amp;ADDRESS(130,3+18*1+(0))),'J1 C - (South) Bishopthorpe Roa'!$A$12:$A$130,"&gt;="&amp;Diagram!$O54,'J1 C - (South) Bishopthorpe Roa'!$A$12:$A$130,"&lt;"&amp;Diagram!$P54),SUMIFS(INDIRECT(ADDRESS(12,3+18*1+(8),,,"J1 C - (South) Bishopthorpe Roa")&amp;":"&amp;ADDRESS(130,3+18*1+(8))),'J1 C - (South) Bishopthorpe Roa'!$A$12:$A$130,"&gt;="&amp;Diagram!$O54,'J1 C - (South) Bishopthorpe Roa'!$A$12:$A$130,"&lt;"&amp;Diagram!$P54)))</f>
        <v>208</v>
      </c>
      <c r="AB54" s="42">
        <f ca="1">IF(OR($I$10="",$O54="",$P54="",$J$35&lt;&gt;"Yes"),0,IF($K$10=0,SUMIFS(INDIRECT(ADDRESS(12,3+18*2+(0),,,"J1 C - (South) Bishopthorpe Roa")&amp;":"&amp;ADDRESS(130,3+18*2+(0))),'J1 C - (South) Bishopthorpe Roa'!$A$12:$A$130,"&gt;="&amp;Diagram!$O54,'J1 C - (South) Bishopthorpe Roa'!$A$12:$A$130,"&lt;"&amp;Diagram!$P54),SUMIFS(INDIRECT(ADDRESS(12,3+18*2+(8),,,"J1 C - (South) Bishopthorpe Roa")&amp;":"&amp;ADDRESS(130,3+18*2+(8))),'J1 C - (South) Bishopthorpe Roa'!$A$12:$A$130,"&gt;="&amp;Diagram!$O54,'J1 C - (South) Bishopthorpe Roa'!$A$12:$A$130,"&lt;"&amp;Diagram!$P54)))</f>
        <v>3</v>
      </c>
      <c r="AC54" s="42">
        <f ca="1">IF(OR($I$10="",$O54="",$P54="",$J$35&lt;&gt;"Yes"),0,IF($K$10=0,SUMIFS(INDIRECT(ADDRESS(12,3+18*3+(0),,,"J1 C - (South) Bishopthorpe Roa")&amp;":"&amp;ADDRESS(130,3+18*3+(0))),'J1 C - (South) Bishopthorpe Roa'!$A$12:$A$130,"&gt;="&amp;Diagram!$O54,'J1 C - (South) Bishopthorpe Roa'!$A$12:$A$130,"&lt;"&amp;Diagram!$P54),SUMIFS(INDIRECT(ADDRESS(12,3+18*3+(8),,,"J1 C - (South) Bishopthorpe Roa")&amp;":"&amp;ADDRESS(130,3+18*3+(8))),'J1 C - (South) Bishopthorpe Roa'!$A$12:$A$130,"&gt;="&amp;Diagram!$O54,'J1 C - (South) Bishopthorpe Roa'!$A$12:$A$130,"&lt;"&amp;Diagram!$P54)))</f>
        <v>0</v>
      </c>
      <c r="AD54" s="42">
        <f ca="1">IF(OR($I$10="",$O54="",$P54="",$J$35&lt;&gt;"Yes"),0,IF($K$10=0,SUMIFS(INDIRECT(ADDRESS(12,3+18*0+(0),,,"J1 C - (South) Bishopthorpe Roa")&amp;":"&amp;ADDRESS(130,3+18*0+(0))),'J1 C - (South) Bishopthorpe Roa'!$A$12:$A$130,"&gt;="&amp;Diagram!$O54,'J1 C - (South) Bishopthorpe Roa'!$A$12:$A$130,"&lt;"&amp;Diagram!$P54),SUMIFS(INDIRECT(ADDRESS(12,3+18*0+(8),,,"J1 C - (South) Bishopthorpe Roa")&amp;":"&amp;ADDRESS(130,3+18*0+(8))),'J1 C - (South) Bishopthorpe Roa'!$A$12:$A$130,"&gt;="&amp;Diagram!$O54,'J1 C - (South) Bishopthorpe Roa'!$A$12:$A$130,"&lt;"&amp;Diagram!$P54)))</f>
        <v>9</v>
      </c>
      <c r="AE54" s="42">
        <f ca="1">IF(OR($I$10="",$O54="",$P54="",$J$35&lt;&gt;"Yes"),0,IF($K$10=0,SUMIFS(INDIRECT(ADDRESS(12,3+18*0+(0),,,"J1 D - South Bank Avenue")&amp;":"&amp;ADDRESS(130,3+18*0+(0))),'J1 D - South Bank Avenue'!$A$12:$A$130,"&gt;="&amp;Diagram!$O54,'J1 D - South Bank Avenue'!$A$12:$A$130,"&lt;"&amp;Diagram!$P54),SUMIFS(INDIRECT(ADDRESS(12,3+18*0+(8),,,"J1 D - South Bank Avenue")&amp;":"&amp;ADDRESS(130,3+18*0+(8))),'J1 D - South Bank Avenue'!$A$12:$A$130,"&gt;="&amp;Diagram!$O54,'J1 D - South Bank Avenue'!$A$12:$A$130,"&lt;"&amp;Diagram!$P54)))</f>
        <v>18</v>
      </c>
      <c r="AF54" s="42">
        <f ca="1">IF(OR($I$10="",$O54="",$P54="",$J$35&lt;&gt;"Yes"),0,IF($K$10=0,SUMIFS(INDIRECT(ADDRESS(12,3+18*1+(0),,,"J1 D - South Bank Avenue")&amp;":"&amp;ADDRESS(130,3+18*1+(0))),'J1 D - South Bank Avenue'!$A$12:$A$130,"&gt;="&amp;Diagram!$O54,'J1 D - South Bank Avenue'!$A$12:$A$130,"&lt;"&amp;Diagram!$P54),SUMIFS(INDIRECT(ADDRESS(12,3+18*1+(8),,,"J1 D - South Bank Avenue")&amp;":"&amp;ADDRESS(130,3+18*1+(8))),'J1 D - South Bank Avenue'!$A$12:$A$130,"&gt;="&amp;Diagram!$O54,'J1 D - South Bank Avenue'!$A$12:$A$130,"&lt;"&amp;Diagram!$P54)))</f>
        <v>2</v>
      </c>
      <c r="AG54" s="42">
        <f ca="1">IF(OR($I$10="",$O54="",$P54="",$J$35&lt;&gt;"Yes"),0,IF($K$10=0,SUMIFS(INDIRECT(ADDRESS(12,3+18*2+(0),,,"J1 D - South Bank Avenue")&amp;":"&amp;ADDRESS(130,3+18*2+(0))),'J1 D - South Bank Avenue'!$A$12:$A$130,"&gt;="&amp;Diagram!$O54,'J1 D - South Bank Avenue'!$A$12:$A$130,"&lt;"&amp;Diagram!$P54),SUMIFS(INDIRECT(ADDRESS(12,3+18*2+(8),,,"J1 D - South Bank Avenue")&amp;":"&amp;ADDRESS(130,3+18*2+(8))),'J1 D - South Bank Avenue'!$A$12:$A$130,"&gt;="&amp;Diagram!$O54,'J1 D - South Bank Avenue'!$A$12:$A$130,"&lt;"&amp;Diagram!$P54)))</f>
        <v>10</v>
      </c>
      <c r="AH54" s="42">
        <f ca="1">IF(OR($I$10="",$O54="",$P54="",$J$35&lt;&gt;"Yes"),0,IF($K$10=0,SUMIFS(INDIRECT(ADDRESS(12,3+18*3+(0),,,"J1 D - South Bank Avenue")&amp;":"&amp;ADDRESS(130,3+18*3+(0))),'J1 D - South Bank Avenue'!$A$12:$A$130,"&gt;="&amp;Diagram!$O54,'J1 D - South Bank Avenue'!$A$12:$A$130,"&lt;"&amp;Diagram!$P54),SUMIFS(INDIRECT(ADDRESS(12,3+18*3+(8),,,"J1 D - South Bank Avenue")&amp;":"&amp;ADDRESS(130,3+18*3+(8))),'J1 D - South Bank Avenue'!$A$12:$A$130,"&gt;="&amp;Diagram!$O54,'J1 D - South Bank Avenue'!$A$12:$A$130,"&lt;"&amp;Diagram!$P54)))</f>
        <v>0</v>
      </c>
      <c r="AI54" s="42">
        <f t="shared" ca="1" si="2"/>
        <v>74</v>
      </c>
      <c r="AJ54" s="42">
        <f ca="1">IF(OR($I$10="",$O54="",$P54="",$J$36&lt;&gt;"Yes"),0,IF($K$10=0,SUMIFS(INDIRECT(ADDRESS(12,3+18*3+(1),,,"J1 A - (North) Bishopthorpe Roa")&amp;":"&amp;ADDRESS(130,3+18*3+(1))),'J1 A - (North) Bishopthorpe Roa'!$A$12:$A$130,"&gt;="&amp;Diagram!$O54,'J1 A - (North) Bishopthorpe Roa'!$A$12:$A$130,"&lt;"&amp;Diagram!$P54),SUMIFS(INDIRECT(ADDRESS(12,3+18*3+(9),,,"J1 A - (North) Bishopthorpe Roa")&amp;":"&amp;ADDRESS(130,3+18*3+(9))),'J1 A - (North) Bishopthorpe Roa'!$A$12:$A$130,"&gt;="&amp;Diagram!$O54,'J1 A - (North) Bishopthorpe Roa'!$A$12:$A$130,"&lt;"&amp;Diagram!$P54)))</f>
        <v>0</v>
      </c>
      <c r="AK54" s="42">
        <f ca="1">IF(OR($I$10="",$O54="",$P54="",$J$36&lt;&gt;"Yes"),0,IF($K$10=0,SUMIFS(INDIRECT(ADDRESS(12,3+18*0+(1),,,"J1 A - (North) Bishopthorpe Roa")&amp;":"&amp;ADDRESS(130,3+18*0+(1))),'J1 A - (North) Bishopthorpe Roa'!$A$12:$A$130,"&gt;="&amp;Diagram!$O54,'J1 A - (North) Bishopthorpe Roa'!$A$12:$A$130,"&lt;"&amp;Diagram!$P54),SUMIFS(INDIRECT(ADDRESS(12,3+18*0+(9),,,"J1 A - (North) Bishopthorpe Roa")&amp;":"&amp;ADDRESS(130,3+18*0+(9))),'J1 A - (North) Bishopthorpe Roa'!$A$12:$A$130,"&gt;="&amp;Diagram!$O54,'J1 A - (North) Bishopthorpe Roa'!$A$12:$A$130,"&lt;"&amp;Diagram!$P54)))</f>
        <v>6</v>
      </c>
      <c r="AL54" s="42">
        <f ca="1">IF(OR($I$10="",$O54="",$P54="",$J$36&lt;&gt;"Yes"),0,IF($K$10=0,SUMIFS(INDIRECT(ADDRESS(12,3+18*1+(1),,,"J1 A - (North) Bishopthorpe Roa")&amp;":"&amp;ADDRESS(130,3+18*1+(1))),'J1 A - (North) Bishopthorpe Roa'!$A$12:$A$130,"&gt;="&amp;Diagram!$O54,'J1 A - (North) Bishopthorpe Roa'!$A$12:$A$130,"&lt;"&amp;Diagram!$P54),SUMIFS(INDIRECT(ADDRESS(12,3+18*1+(9),,,"J1 A - (North) Bishopthorpe Roa")&amp;":"&amp;ADDRESS(130,3+18*1+(9))),'J1 A - (North) Bishopthorpe Roa'!$A$12:$A$130,"&gt;="&amp;Diagram!$O54,'J1 A - (North) Bishopthorpe Roa'!$A$12:$A$130,"&lt;"&amp;Diagram!$P54)))</f>
        <v>20</v>
      </c>
      <c r="AM54" s="42">
        <f ca="1">IF(OR($I$10="",$O54="",$P54="",$J$36&lt;&gt;"Yes"),0,IF($K$10=0,SUMIFS(INDIRECT(ADDRESS(12,3+18*2+(1),,,"J1 A - (North) Bishopthorpe Roa")&amp;":"&amp;ADDRESS(130,3+18*2+(1))),'J1 A - (North) Bishopthorpe Roa'!$A$12:$A$130,"&gt;="&amp;Diagram!$O54,'J1 A - (North) Bishopthorpe Roa'!$A$12:$A$130,"&lt;"&amp;Diagram!$P54),SUMIFS(INDIRECT(ADDRESS(12,3+18*2+(9),,,"J1 A - (North) Bishopthorpe Roa")&amp;":"&amp;ADDRESS(130,3+18*2+(9))),'J1 A - (North) Bishopthorpe Roa'!$A$12:$A$130,"&gt;="&amp;Diagram!$O54,'J1 A - (North) Bishopthorpe Roa'!$A$12:$A$130,"&lt;"&amp;Diagram!$P54)))</f>
        <v>2</v>
      </c>
      <c r="AN54" s="42">
        <f ca="1">IF(OR($I$10="",$O54="",$P54="",$J$36&lt;&gt;"Yes"),0,IF($K$10=0,SUMIFS(INDIRECT(ADDRESS(12,3+18*2+(1),,,"J1 B - Butcher Terrace")&amp;":"&amp;ADDRESS(130,3+18*2+(1))),'J1 B - Butcher Terrace'!$A$12:$A$130,"&gt;="&amp;Diagram!$O54,'J1 B - Butcher Terrace'!$A$12:$A$130,"&lt;"&amp;Diagram!$P54),SUMIFS(INDIRECT(ADDRESS(12,3+18*2+(9),,,"J1 B - Butcher Terrace")&amp;":"&amp;ADDRESS(130,3+18*2+(9))),'J1 B - Butcher Terrace'!$A$12:$A$130,"&gt;="&amp;Diagram!$O54,'J1 B - Butcher Terrace'!$A$12:$A$130,"&lt;"&amp;Diagram!$P54)))</f>
        <v>4</v>
      </c>
      <c r="AO54" s="42">
        <f ca="1">IF(OR($I$10="",$O54="",$P54="",$J$36&lt;&gt;"Yes"),0,IF($K$10=0,SUMIFS(INDIRECT(ADDRESS(12,3+18*3+(1),,,"J1 B - Butcher Terrace")&amp;":"&amp;ADDRESS(130,3+18*3+(1))),'J1 B - Butcher Terrace'!$A$12:$A$130,"&gt;="&amp;Diagram!$O54,'J1 B - Butcher Terrace'!$A$12:$A$130,"&lt;"&amp;Diagram!$P54),SUMIFS(INDIRECT(ADDRESS(12,3+18*3+(9),,,"J1 B - Butcher Terrace")&amp;":"&amp;ADDRESS(130,3+18*3+(9))),'J1 B - Butcher Terrace'!$A$12:$A$130,"&gt;="&amp;Diagram!$O54,'J1 B - Butcher Terrace'!$A$12:$A$130,"&lt;"&amp;Diagram!$P54)))</f>
        <v>0</v>
      </c>
      <c r="AP54" s="42">
        <f ca="1">IF(OR($I$10="",$O54="",$P54="",$J$36&lt;&gt;"Yes"),0,IF($K$10=0,SUMIFS(INDIRECT(ADDRESS(12,3+18*0+(1),,,"J1 B - Butcher Terrace")&amp;":"&amp;ADDRESS(130,3+18*0+(1))),'J1 B - Butcher Terrace'!$A$12:$A$130,"&gt;="&amp;Diagram!$O54,'J1 B - Butcher Terrace'!$A$12:$A$130,"&lt;"&amp;Diagram!$P54),SUMIFS(INDIRECT(ADDRESS(12,3+18*0+(9),,,"J1 B - Butcher Terrace")&amp;":"&amp;ADDRESS(130,3+18*0+(9))),'J1 B - Butcher Terrace'!$A$12:$A$130,"&gt;="&amp;Diagram!$O54,'J1 B - Butcher Terrace'!$A$12:$A$130,"&lt;"&amp;Diagram!$P54)))</f>
        <v>4</v>
      </c>
      <c r="AQ54" s="42">
        <f ca="1">IF(OR($I$10="",$O54="",$P54="",$J$36&lt;&gt;"Yes"),0,IF($K$10=0,SUMIFS(INDIRECT(ADDRESS(12,3+18*1+(1),,,"J1 B - Butcher Terrace")&amp;":"&amp;ADDRESS(130,3+18*1+(1))),'J1 B - Butcher Terrace'!$A$12:$A$130,"&gt;="&amp;Diagram!$O54,'J1 B - Butcher Terrace'!$A$12:$A$130,"&lt;"&amp;Diagram!$P54),SUMIFS(INDIRECT(ADDRESS(12,3+18*1+(9),,,"J1 B - Butcher Terrace")&amp;":"&amp;ADDRESS(130,3+18*1+(9))),'J1 B - Butcher Terrace'!$A$12:$A$130,"&gt;="&amp;Diagram!$O54,'J1 B - Butcher Terrace'!$A$12:$A$130,"&lt;"&amp;Diagram!$P54)))</f>
        <v>0</v>
      </c>
      <c r="AR54" s="42">
        <f ca="1">IF(OR($I$10="",$O54="",$P54="",$J$36&lt;&gt;"Yes"),0,IF($K$10=0,SUMIFS(INDIRECT(ADDRESS(12,3+18*1+(1),,,"J1 C - (South) Bishopthorpe Roa")&amp;":"&amp;ADDRESS(130,3+18*1+(1))),'J1 C - (South) Bishopthorpe Roa'!$A$12:$A$130,"&gt;="&amp;Diagram!$O54,'J1 C - (South) Bishopthorpe Roa'!$A$12:$A$130,"&lt;"&amp;Diagram!$P54),SUMIFS(INDIRECT(ADDRESS(12,3+18*1+(9),,,"J1 C - (South) Bishopthorpe Roa")&amp;":"&amp;ADDRESS(130,3+18*1+(9))),'J1 C - (South) Bishopthorpe Roa'!$A$12:$A$130,"&gt;="&amp;Diagram!$O54,'J1 C - (South) Bishopthorpe Roa'!$A$12:$A$130,"&lt;"&amp;Diagram!$P54)))</f>
        <v>30</v>
      </c>
      <c r="AS54" s="42">
        <f ca="1">IF(OR($I$10="",$O54="",$P54="",$J$36&lt;&gt;"Yes"),0,IF($K$10=0,SUMIFS(INDIRECT(ADDRESS(12,3+18*2+(1),,,"J1 C - (South) Bishopthorpe Roa")&amp;":"&amp;ADDRESS(130,3+18*2+(1))),'J1 C - (South) Bishopthorpe Roa'!$A$12:$A$130,"&gt;="&amp;Diagram!$O54,'J1 C - (South) Bishopthorpe Roa'!$A$12:$A$130,"&lt;"&amp;Diagram!$P54),SUMIFS(INDIRECT(ADDRESS(12,3+18*2+(9),,,"J1 C - (South) Bishopthorpe Roa")&amp;":"&amp;ADDRESS(130,3+18*2+(9))),'J1 C - (South) Bishopthorpe Roa'!$A$12:$A$130,"&gt;="&amp;Diagram!$O54,'J1 C - (South) Bishopthorpe Roa'!$A$12:$A$130,"&lt;"&amp;Diagram!$P54)))</f>
        <v>2</v>
      </c>
      <c r="AT54" s="42">
        <f ca="1">IF(OR($I$10="",$O54="",$P54="",$J$36&lt;&gt;"Yes"),0,IF($K$10=0,SUMIFS(INDIRECT(ADDRESS(12,3+18*3+(1),,,"J1 C - (South) Bishopthorpe Roa")&amp;":"&amp;ADDRESS(130,3+18*3+(1))),'J1 C - (South) Bishopthorpe Roa'!$A$12:$A$130,"&gt;="&amp;Diagram!$O54,'J1 C - (South) Bishopthorpe Roa'!$A$12:$A$130,"&lt;"&amp;Diagram!$P54),SUMIFS(INDIRECT(ADDRESS(12,3+18*3+(9),,,"J1 C - (South) Bishopthorpe Roa")&amp;":"&amp;ADDRESS(130,3+18*3+(9))),'J1 C - (South) Bishopthorpe Roa'!$A$12:$A$130,"&gt;="&amp;Diagram!$O54,'J1 C - (South) Bishopthorpe Roa'!$A$12:$A$130,"&lt;"&amp;Diagram!$P54)))</f>
        <v>0</v>
      </c>
      <c r="AU54" s="42">
        <f ca="1">IF(OR($I$10="",$O54="",$P54="",$J$36&lt;&gt;"Yes"),0,IF($K$10=0,SUMIFS(INDIRECT(ADDRESS(12,3+18*0+(1),,,"J1 C - (South) Bishopthorpe Roa")&amp;":"&amp;ADDRESS(130,3+18*0+(1))),'J1 C - (South) Bishopthorpe Roa'!$A$12:$A$130,"&gt;="&amp;Diagram!$O54,'J1 C - (South) Bishopthorpe Roa'!$A$12:$A$130,"&lt;"&amp;Diagram!$P54),SUMIFS(INDIRECT(ADDRESS(12,3+18*0+(9),,,"J1 C - (South) Bishopthorpe Roa")&amp;":"&amp;ADDRESS(130,3+18*0+(9))),'J1 C - (South) Bishopthorpe Roa'!$A$12:$A$130,"&gt;="&amp;Diagram!$O54,'J1 C - (South) Bishopthorpe Roa'!$A$12:$A$130,"&lt;"&amp;Diagram!$P54)))</f>
        <v>3</v>
      </c>
      <c r="AV54" s="42">
        <f ca="1">IF(OR($I$10="",$O54="",$P54="",$J$36&lt;&gt;"Yes"),0,IF($K$10=0,SUMIFS(INDIRECT(ADDRESS(12,3+18*0+(1),,,"J1 D - South Bank Avenue")&amp;":"&amp;ADDRESS(130,3+18*0+(1))),'J1 D - South Bank Avenue'!$A$12:$A$130,"&gt;="&amp;Diagram!$O54,'J1 D - South Bank Avenue'!$A$12:$A$130,"&lt;"&amp;Diagram!$P54),SUMIFS(INDIRECT(ADDRESS(12,3+18*0+(9),,,"J1 D - South Bank Avenue")&amp;":"&amp;ADDRESS(130,3+18*0+(9))),'J1 D - South Bank Avenue'!$A$12:$A$130,"&gt;="&amp;Diagram!$O54,'J1 D - South Bank Avenue'!$A$12:$A$130,"&lt;"&amp;Diagram!$P54)))</f>
        <v>2</v>
      </c>
      <c r="AW54" s="42">
        <f ca="1">IF(OR($I$10="",$O54="",$P54="",$J$36&lt;&gt;"Yes"),0,IF($K$10=0,SUMIFS(INDIRECT(ADDRESS(12,3+18*1+(1),,,"J1 D - South Bank Avenue")&amp;":"&amp;ADDRESS(130,3+18*1+(1))),'J1 D - South Bank Avenue'!$A$12:$A$130,"&gt;="&amp;Diagram!$O54,'J1 D - South Bank Avenue'!$A$12:$A$130,"&lt;"&amp;Diagram!$P54),SUMIFS(INDIRECT(ADDRESS(12,3+18*1+(9),,,"J1 D - South Bank Avenue")&amp;":"&amp;ADDRESS(130,3+18*1+(9))),'J1 D - South Bank Avenue'!$A$12:$A$130,"&gt;="&amp;Diagram!$O54,'J1 D - South Bank Avenue'!$A$12:$A$130,"&lt;"&amp;Diagram!$P54)))</f>
        <v>0</v>
      </c>
      <c r="AX54" s="42">
        <f ca="1">IF(OR($I$10="",$O54="",$P54="",$J$36&lt;&gt;"Yes"),0,IF($K$10=0,SUMIFS(INDIRECT(ADDRESS(12,3+18*2+(1),,,"J1 D - South Bank Avenue")&amp;":"&amp;ADDRESS(130,3+18*2+(1))),'J1 D - South Bank Avenue'!$A$12:$A$130,"&gt;="&amp;Diagram!$O54,'J1 D - South Bank Avenue'!$A$12:$A$130,"&lt;"&amp;Diagram!$P54),SUMIFS(INDIRECT(ADDRESS(12,3+18*2+(9),,,"J1 D - South Bank Avenue")&amp;":"&amp;ADDRESS(130,3+18*2+(9))),'J1 D - South Bank Avenue'!$A$12:$A$130,"&gt;="&amp;Diagram!$O54,'J1 D - South Bank Avenue'!$A$12:$A$130,"&lt;"&amp;Diagram!$P54)))</f>
        <v>1</v>
      </c>
      <c r="AY54" s="42">
        <f ca="1">IF(OR($I$10="",$O54="",$P54="",$J$36&lt;&gt;"Yes"),0,IF($K$10=0,SUMIFS(INDIRECT(ADDRESS(12,3+18*3+(1),,,"J1 D - South Bank Avenue")&amp;":"&amp;ADDRESS(130,3+18*3+(1))),'J1 D - South Bank Avenue'!$A$12:$A$130,"&gt;="&amp;Diagram!$O54,'J1 D - South Bank Avenue'!$A$12:$A$130,"&lt;"&amp;Diagram!$P54),SUMIFS(INDIRECT(ADDRESS(12,3+18*3+(9),,,"J1 D - South Bank Avenue")&amp;":"&amp;ADDRESS(130,3+18*3+(9))),'J1 D - South Bank Avenue'!$A$12:$A$130,"&gt;="&amp;Diagram!$O54,'J1 D - South Bank Avenue'!$A$12:$A$130,"&lt;"&amp;Diagram!$P54)))</f>
        <v>0</v>
      </c>
      <c r="AZ54" s="42">
        <f t="shared" ca="1" si="3"/>
        <v>7</v>
      </c>
      <c r="BA54" s="42">
        <f ca="1">IF(OR($I$10="",$O54="",$P54="",$J$37&lt;&gt;"Yes"),0,IF($K$10=0,SUMIFS(INDIRECT(ADDRESS(12,3+18*3+(2),,,"J1 A - (North) Bishopthorpe Roa")&amp;":"&amp;ADDRESS(130,3+18*3+(2))),'J1 A - (North) Bishopthorpe Roa'!$A$12:$A$130,"&gt;="&amp;Diagram!$O54,'J1 A - (North) Bishopthorpe Roa'!$A$12:$A$130,"&lt;"&amp;Diagram!$P54),SUMIFS(INDIRECT(ADDRESS(12,3+18*3+(10),,,"J1 A - (North) Bishopthorpe Roa")&amp;":"&amp;ADDRESS(130,3+18*3+(10))),'J1 A - (North) Bishopthorpe Roa'!$A$12:$A$130,"&gt;="&amp;Diagram!$O54,'J1 A - (North) Bishopthorpe Roa'!$A$12:$A$130,"&lt;"&amp;Diagram!$P54)))</f>
        <v>0</v>
      </c>
      <c r="BB54" s="42">
        <f ca="1">IF(OR($I$10="",$O54="",$P54="",$J$37&lt;&gt;"Yes"),0,IF($K$10=0,SUMIFS(INDIRECT(ADDRESS(12,3+18*0+(2),,,"J1 A - (North) Bishopthorpe Roa")&amp;":"&amp;ADDRESS(130,3+18*0+(2))),'J1 A - (North) Bishopthorpe Roa'!$A$12:$A$130,"&gt;="&amp;Diagram!$O54,'J1 A - (North) Bishopthorpe Roa'!$A$12:$A$130,"&lt;"&amp;Diagram!$P54),SUMIFS(INDIRECT(ADDRESS(12,3+18*0+(10),,,"J1 A - (North) Bishopthorpe Roa")&amp;":"&amp;ADDRESS(130,3+18*0+(10))),'J1 A - (North) Bishopthorpe Roa'!$A$12:$A$130,"&gt;="&amp;Diagram!$O54,'J1 A - (North) Bishopthorpe Roa'!$A$12:$A$130,"&lt;"&amp;Diagram!$P54)))</f>
        <v>0</v>
      </c>
      <c r="BC54" s="42">
        <f ca="1">IF(OR($I$10="",$O54="",$P54="",$J$37&lt;&gt;"Yes"),0,IF($K$10=0,SUMIFS(INDIRECT(ADDRESS(12,3+18*1+(2),,,"J1 A - (North) Bishopthorpe Roa")&amp;":"&amp;ADDRESS(130,3+18*1+(2))),'J1 A - (North) Bishopthorpe Roa'!$A$12:$A$130,"&gt;="&amp;Diagram!$O54,'J1 A - (North) Bishopthorpe Roa'!$A$12:$A$130,"&lt;"&amp;Diagram!$P54),SUMIFS(INDIRECT(ADDRESS(12,3+18*1+(10),,,"J1 A - (North) Bishopthorpe Roa")&amp;":"&amp;ADDRESS(130,3+18*1+(10))),'J1 A - (North) Bishopthorpe Roa'!$A$12:$A$130,"&gt;="&amp;Diagram!$O54,'J1 A - (North) Bishopthorpe Roa'!$A$12:$A$130,"&lt;"&amp;Diagram!$P54)))</f>
        <v>1</v>
      </c>
      <c r="BD54" s="42">
        <f ca="1">IF(OR($I$10="",$O54="",$P54="",$J$37&lt;&gt;"Yes"),0,IF($K$10=0,SUMIFS(INDIRECT(ADDRESS(12,3+18*2+(2),,,"J1 A - (North) Bishopthorpe Roa")&amp;":"&amp;ADDRESS(130,3+18*2+(2))),'J1 A - (North) Bishopthorpe Roa'!$A$12:$A$130,"&gt;="&amp;Diagram!$O54,'J1 A - (North) Bishopthorpe Roa'!$A$12:$A$130,"&lt;"&amp;Diagram!$P54),SUMIFS(INDIRECT(ADDRESS(12,3+18*2+(10),,,"J1 A - (North) Bishopthorpe Roa")&amp;":"&amp;ADDRESS(130,3+18*2+(10))),'J1 A - (North) Bishopthorpe Roa'!$A$12:$A$130,"&gt;="&amp;Diagram!$O54,'J1 A - (North) Bishopthorpe Roa'!$A$12:$A$130,"&lt;"&amp;Diagram!$P54)))</f>
        <v>1</v>
      </c>
      <c r="BE54" s="42">
        <f ca="1">IF(OR($I$10="",$O54="",$P54="",$J$37&lt;&gt;"Yes"),0,IF($K$10=0,SUMIFS(INDIRECT(ADDRESS(12,3+18*2+(2),,,"J1 B - Butcher Terrace")&amp;":"&amp;ADDRESS(130,3+18*2+(2))),'J1 B - Butcher Terrace'!$A$12:$A$130,"&gt;="&amp;Diagram!$O54,'J1 B - Butcher Terrace'!$A$12:$A$130,"&lt;"&amp;Diagram!$P54),SUMIFS(INDIRECT(ADDRESS(12,3+18*2+(10),,,"J1 B - Butcher Terrace")&amp;":"&amp;ADDRESS(130,3+18*2+(10))),'J1 B - Butcher Terrace'!$A$12:$A$130,"&gt;="&amp;Diagram!$O54,'J1 B - Butcher Terrace'!$A$12:$A$130,"&lt;"&amp;Diagram!$P54)))</f>
        <v>0</v>
      </c>
      <c r="BF54" s="42">
        <f ca="1">IF(OR($I$10="",$O54="",$P54="",$J$37&lt;&gt;"Yes"),0,IF($K$10=0,SUMIFS(INDIRECT(ADDRESS(12,3+18*3+(2),,,"J1 B - Butcher Terrace")&amp;":"&amp;ADDRESS(130,3+18*3+(2))),'J1 B - Butcher Terrace'!$A$12:$A$130,"&gt;="&amp;Diagram!$O54,'J1 B - Butcher Terrace'!$A$12:$A$130,"&lt;"&amp;Diagram!$P54),SUMIFS(INDIRECT(ADDRESS(12,3+18*3+(10),,,"J1 B - Butcher Terrace")&amp;":"&amp;ADDRESS(130,3+18*3+(10))),'J1 B - Butcher Terrace'!$A$12:$A$130,"&gt;="&amp;Diagram!$O54,'J1 B - Butcher Terrace'!$A$12:$A$130,"&lt;"&amp;Diagram!$P54)))</f>
        <v>0</v>
      </c>
      <c r="BG54" s="42">
        <f ca="1">IF(OR($I$10="",$O54="",$P54="",$J$37&lt;&gt;"Yes"),0,IF($K$10=0,SUMIFS(INDIRECT(ADDRESS(12,3+18*0+(2),,,"J1 B - Butcher Terrace")&amp;":"&amp;ADDRESS(130,3+18*0+(2))),'J1 B - Butcher Terrace'!$A$12:$A$130,"&gt;="&amp;Diagram!$O54,'J1 B - Butcher Terrace'!$A$12:$A$130,"&lt;"&amp;Diagram!$P54),SUMIFS(INDIRECT(ADDRESS(12,3+18*0+(10),,,"J1 B - Butcher Terrace")&amp;":"&amp;ADDRESS(130,3+18*0+(10))),'J1 B - Butcher Terrace'!$A$12:$A$130,"&gt;="&amp;Diagram!$O54,'J1 B - Butcher Terrace'!$A$12:$A$130,"&lt;"&amp;Diagram!$P54)))</f>
        <v>0</v>
      </c>
      <c r="BH54" s="42">
        <f ca="1">IF(OR($I$10="",$O54="",$P54="",$J$37&lt;&gt;"Yes"),0,IF($K$10=0,SUMIFS(INDIRECT(ADDRESS(12,3+18*1+(2),,,"J1 B - Butcher Terrace")&amp;":"&amp;ADDRESS(130,3+18*1+(2))),'J1 B - Butcher Terrace'!$A$12:$A$130,"&gt;="&amp;Diagram!$O54,'J1 B - Butcher Terrace'!$A$12:$A$130,"&lt;"&amp;Diagram!$P54),SUMIFS(INDIRECT(ADDRESS(12,3+18*1+(10),,,"J1 B - Butcher Terrace")&amp;":"&amp;ADDRESS(130,3+18*1+(10))),'J1 B - Butcher Terrace'!$A$12:$A$130,"&gt;="&amp;Diagram!$O54,'J1 B - Butcher Terrace'!$A$12:$A$130,"&lt;"&amp;Diagram!$P54)))</f>
        <v>0</v>
      </c>
      <c r="BI54" s="42">
        <f ca="1">IF(OR($I$10="",$O54="",$P54="",$J$37&lt;&gt;"Yes"),0,IF($K$10=0,SUMIFS(INDIRECT(ADDRESS(12,3+18*1+(2),,,"J1 C - (South) Bishopthorpe Roa")&amp;":"&amp;ADDRESS(130,3+18*1+(2))),'J1 C - (South) Bishopthorpe Roa'!$A$12:$A$130,"&gt;="&amp;Diagram!$O54,'J1 C - (South) Bishopthorpe Roa'!$A$12:$A$130,"&lt;"&amp;Diagram!$P54),SUMIFS(INDIRECT(ADDRESS(12,3+18*1+(10),,,"J1 C - (South) Bishopthorpe Roa")&amp;":"&amp;ADDRESS(130,3+18*1+(10))),'J1 C - (South) Bishopthorpe Roa'!$A$12:$A$130,"&gt;="&amp;Diagram!$O54,'J1 C - (South) Bishopthorpe Roa'!$A$12:$A$130,"&lt;"&amp;Diagram!$P54)))</f>
        <v>2</v>
      </c>
      <c r="BJ54" s="42">
        <f ca="1">IF(OR($I$10="",$O54="",$P54="",$J$37&lt;&gt;"Yes"),0,IF($K$10=0,SUMIFS(INDIRECT(ADDRESS(12,3+18*2+(2),,,"J1 C - (South) Bishopthorpe Roa")&amp;":"&amp;ADDRESS(130,3+18*2+(2))),'J1 C - (South) Bishopthorpe Roa'!$A$12:$A$130,"&gt;="&amp;Diagram!$O54,'J1 C - (South) Bishopthorpe Roa'!$A$12:$A$130,"&lt;"&amp;Diagram!$P54),SUMIFS(INDIRECT(ADDRESS(12,3+18*2+(10),,,"J1 C - (South) Bishopthorpe Roa")&amp;":"&amp;ADDRESS(130,3+18*2+(10))),'J1 C - (South) Bishopthorpe Roa'!$A$12:$A$130,"&gt;="&amp;Diagram!$O54,'J1 C - (South) Bishopthorpe Roa'!$A$12:$A$130,"&lt;"&amp;Diagram!$P54)))</f>
        <v>0</v>
      </c>
      <c r="BK54" s="42">
        <f ca="1">IF(OR($I$10="",$O54="",$P54="",$J$37&lt;&gt;"Yes"),0,IF($K$10=0,SUMIFS(INDIRECT(ADDRESS(12,3+18*3+(2),,,"J1 C - (South) Bishopthorpe Roa")&amp;":"&amp;ADDRESS(130,3+18*3+(2))),'J1 C - (South) Bishopthorpe Roa'!$A$12:$A$130,"&gt;="&amp;Diagram!$O54,'J1 C - (South) Bishopthorpe Roa'!$A$12:$A$130,"&lt;"&amp;Diagram!$P54),SUMIFS(INDIRECT(ADDRESS(12,3+18*3+(10),,,"J1 C - (South) Bishopthorpe Roa")&amp;":"&amp;ADDRESS(130,3+18*3+(10))),'J1 C - (South) Bishopthorpe Roa'!$A$12:$A$130,"&gt;="&amp;Diagram!$O54,'J1 C - (South) Bishopthorpe Roa'!$A$12:$A$130,"&lt;"&amp;Diagram!$P54)))</f>
        <v>0</v>
      </c>
      <c r="BL54" s="42">
        <f ca="1">IF(OR($I$10="",$O54="",$P54="",$J$37&lt;&gt;"Yes"),0,IF($K$10=0,SUMIFS(INDIRECT(ADDRESS(12,3+18*0+(2),,,"J1 C - (South) Bishopthorpe Roa")&amp;":"&amp;ADDRESS(130,3+18*0+(2))),'J1 C - (South) Bishopthorpe Roa'!$A$12:$A$130,"&gt;="&amp;Diagram!$O54,'J1 C - (South) Bishopthorpe Roa'!$A$12:$A$130,"&lt;"&amp;Diagram!$P54),SUMIFS(INDIRECT(ADDRESS(12,3+18*0+(10),,,"J1 C - (South) Bishopthorpe Roa")&amp;":"&amp;ADDRESS(130,3+18*0+(10))),'J1 C - (South) Bishopthorpe Roa'!$A$12:$A$130,"&gt;="&amp;Diagram!$O54,'J1 C - (South) Bishopthorpe Roa'!$A$12:$A$130,"&lt;"&amp;Diagram!$P54)))</f>
        <v>0</v>
      </c>
      <c r="BM54" s="42">
        <f ca="1">IF(OR($I$10="",$O54="",$P54="",$J$37&lt;&gt;"Yes"),0,IF($K$10=0,SUMIFS(INDIRECT(ADDRESS(12,3+18*0+(2),,,"J1 D - South Bank Avenue")&amp;":"&amp;ADDRESS(130,3+18*0+(2))),'J1 D - South Bank Avenue'!$A$12:$A$130,"&gt;="&amp;Diagram!$O54,'J1 D - South Bank Avenue'!$A$12:$A$130,"&lt;"&amp;Diagram!$P54),SUMIFS(INDIRECT(ADDRESS(12,3+18*0+(10),,,"J1 D - South Bank Avenue")&amp;":"&amp;ADDRESS(130,3+18*0+(10))),'J1 D - South Bank Avenue'!$A$12:$A$130,"&gt;="&amp;Diagram!$O54,'J1 D - South Bank Avenue'!$A$12:$A$130,"&lt;"&amp;Diagram!$P54)))</f>
        <v>2</v>
      </c>
      <c r="BN54" s="42">
        <f ca="1">IF(OR($I$10="",$O54="",$P54="",$J$37&lt;&gt;"Yes"),0,IF($K$10=0,SUMIFS(INDIRECT(ADDRESS(12,3+18*1+(2),,,"J1 D - South Bank Avenue")&amp;":"&amp;ADDRESS(130,3+18*1+(2))),'J1 D - South Bank Avenue'!$A$12:$A$130,"&gt;="&amp;Diagram!$O54,'J1 D - South Bank Avenue'!$A$12:$A$130,"&lt;"&amp;Diagram!$P54),SUMIFS(INDIRECT(ADDRESS(12,3+18*1+(10),,,"J1 D - South Bank Avenue")&amp;":"&amp;ADDRESS(130,3+18*1+(10))),'J1 D - South Bank Avenue'!$A$12:$A$130,"&gt;="&amp;Diagram!$O54,'J1 D - South Bank Avenue'!$A$12:$A$130,"&lt;"&amp;Diagram!$P54)))</f>
        <v>0</v>
      </c>
      <c r="BO54" s="42">
        <f ca="1">IF(OR($I$10="",$O54="",$P54="",$J$37&lt;&gt;"Yes"),0,IF($K$10=0,SUMIFS(INDIRECT(ADDRESS(12,3+18*2+(2),,,"J1 D - South Bank Avenue")&amp;":"&amp;ADDRESS(130,3+18*2+(2))),'J1 D - South Bank Avenue'!$A$12:$A$130,"&gt;="&amp;Diagram!$O54,'J1 D - South Bank Avenue'!$A$12:$A$130,"&lt;"&amp;Diagram!$P54),SUMIFS(INDIRECT(ADDRESS(12,3+18*2+(10),,,"J1 D - South Bank Avenue")&amp;":"&amp;ADDRESS(130,3+18*2+(10))),'J1 D - South Bank Avenue'!$A$12:$A$130,"&gt;="&amp;Diagram!$O54,'J1 D - South Bank Avenue'!$A$12:$A$130,"&lt;"&amp;Diagram!$P54)))</f>
        <v>1</v>
      </c>
      <c r="BP54" s="42">
        <f ca="1">IF(OR($I$10="",$O54="",$P54="",$J$37&lt;&gt;"Yes"),0,IF($K$10=0,SUMIFS(INDIRECT(ADDRESS(12,3+18*3+(2),,,"J1 D - South Bank Avenue")&amp;":"&amp;ADDRESS(130,3+18*3+(2))),'J1 D - South Bank Avenue'!$A$12:$A$130,"&gt;="&amp;Diagram!$O54,'J1 D - South Bank Avenue'!$A$12:$A$130,"&lt;"&amp;Diagram!$P54),SUMIFS(INDIRECT(ADDRESS(12,3+18*3+(10),,,"J1 D - South Bank Avenue")&amp;":"&amp;ADDRESS(130,3+18*3+(10))),'J1 D - South Bank Avenue'!$A$12:$A$130,"&gt;="&amp;Diagram!$O54,'J1 D - South Bank Avenue'!$A$12:$A$130,"&lt;"&amp;Diagram!$P54)))</f>
        <v>0</v>
      </c>
      <c r="BQ54" s="42">
        <f t="shared" ca="1" si="4"/>
        <v>0</v>
      </c>
      <c r="BR54" s="42">
        <f ca="1">IF(OR($I$10="",$O54="",$P54="",$J$38&lt;&gt;"Yes"),0,IF($K$10=0,SUMIFS(INDIRECT(ADDRESS(12,3+18*3+(3),,,"J1 A - (North) Bishopthorpe Roa")&amp;":"&amp;ADDRESS(130,3+18*3+(3))),'J1 A - (North) Bishopthorpe Roa'!$A$12:$A$130,"&gt;="&amp;Diagram!$O54,'J1 A - (North) Bishopthorpe Roa'!$A$12:$A$130,"&lt;"&amp;Diagram!$P54),SUMIFS(INDIRECT(ADDRESS(12,3+18*3+(11),,,"J1 A - (North) Bishopthorpe Roa")&amp;":"&amp;ADDRESS(130,3+18*3+(11))),'J1 A - (North) Bishopthorpe Roa'!$A$12:$A$130,"&gt;="&amp;Diagram!$O54,'J1 A - (North) Bishopthorpe Roa'!$A$12:$A$130,"&lt;"&amp;Diagram!$P54)))</f>
        <v>0</v>
      </c>
      <c r="BS54" s="42">
        <f ca="1">IF(OR($I$10="",$O54="",$P54="",$J$38&lt;&gt;"Yes"),0,IF($K$10=0,SUMIFS(INDIRECT(ADDRESS(12,3+18*0+(3),,,"J1 A - (North) Bishopthorpe Roa")&amp;":"&amp;ADDRESS(130,3+18*0+(3))),'J1 A - (North) Bishopthorpe Roa'!$A$12:$A$130,"&gt;="&amp;Diagram!$O54,'J1 A - (North) Bishopthorpe Roa'!$A$12:$A$130,"&lt;"&amp;Diagram!$P54),SUMIFS(INDIRECT(ADDRESS(12,3+18*0+(11),,,"J1 A - (North) Bishopthorpe Roa")&amp;":"&amp;ADDRESS(130,3+18*0+(11))),'J1 A - (North) Bishopthorpe Roa'!$A$12:$A$130,"&gt;="&amp;Diagram!$O54,'J1 A - (North) Bishopthorpe Roa'!$A$12:$A$130,"&lt;"&amp;Diagram!$P54)))</f>
        <v>0</v>
      </c>
      <c r="BT54" s="42">
        <f ca="1">IF(OR($I$10="",$O54="",$P54="",$J$38&lt;&gt;"Yes"),0,IF($K$10=0,SUMIFS(INDIRECT(ADDRESS(12,3+18*1+(3),,,"J1 A - (North) Bishopthorpe Roa")&amp;":"&amp;ADDRESS(130,3+18*1+(3))),'J1 A - (North) Bishopthorpe Roa'!$A$12:$A$130,"&gt;="&amp;Diagram!$O54,'J1 A - (North) Bishopthorpe Roa'!$A$12:$A$130,"&lt;"&amp;Diagram!$P54),SUMIFS(INDIRECT(ADDRESS(12,3+18*1+(11),,,"J1 A - (North) Bishopthorpe Roa")&amp;":"&amp;ADDRESS(130,3+18*1+(11))),'J1 A - (North) Bishopthorpe Roa'!$A$12:$A$130,"&gt;="&amp;Diagram!$O54,'J1 A - (North) Bishopthorpe Roa'!$A$12:$A$130,"&lt;"&amp;Diagram!$P54)))</f>
        <v>0</v>
      </c>
      <c r="BU54" s="42">
        <f ca="1">IF(OR($I$10="",$O54="",$P54="",$J$38&lt;&gt;"Yes"),0,IF($K$10=0,SUMIFS(INDIRECT(ADDRESS(12,3+18*2+(3),,,"J1 A - (North) Bishopthorpe Roa")&amp;":"&amp;ADDRESS(130,3+18*2+(3))),'J1 A - (North) Bishopthorpe Roa'!$A$12:$A$130,"&gt;="&amp;Diagram!$O54,'J1 A - (North) Bishopthorpe Roa'!$A$12:$A$130,"&lt;"&amp;Diagram!$P54),SUMIFS(INDIRECT(ADDRESS(12,3+18*2+(11),,,"J1 A - (North) Bishopthorpe Roa")&amp;":"&amp;ADDRESS(130,3+18*2+(11))),'J1 A - (North) Bishopthorpe Roa'!$A$12:$A$130,"&gt;="&amp;Diagram!$O54,'J1 A - (North) Bishopthorpe Roa'!$A$12:$A$130,"&lt;"&amp;Diagram!$P54)))</f>
        <v>0</v>
      </c>
      <c r="BV54" s="42">
        <f ca="1">IF(OR($I$10="",$O54="",$P54="",$J$38&lt;&gt;"Yes"),0,IF($K$10=0,SUMIFS(INDIRECT(ADDRESS(12,3+18*2+(3),,,"J1 B - Butcher Terrace")&amp;":"&amp;ADDRESS(130,3+18*2+(3))),'J1 B - Butcher Terrace'!$A$12:$A$130,"&gt;="&amp;Diagram!$O54,'J1 B - Butcher Terrace'!$A$12:$A$130,"&lt;"&amp;Diagram!$P54),SUMIFS(INDIRECT(ADDRESS(12,3+18*2+(11),,,"J1 B - Butcher Terrace")&amp;":"&amp;ADDRESS(130,3+18*2+(11))),'J1 B - Butcher Terrace'!$A$12:$A$130,"&gt;="&amp;Diagram!$O54,'J1 B - Butcher Terrace'!$A$12:$A$130,"&lt;"&amp;Diagram!$P54)))</f>
        <v>0</v>
      </c>
      <c r="BW54" s="42">
        <f ca="1">IF(OR($I$10="",$O54="",$P54="",$J$38&lt;&gt;"Yes"),0,IF($K$10=0,SUMIFS(INDIRECT(ADDRESS(12,3+18*3+(3),,,"J1 B - Butcher Terrace")&amp;":"&amp;ADDRESS(130,3+18*3+(3))),'J1 B - Butcher Terrace'!$A$12:$A$130,"&gt;="&amp;Diagram!$O54,'J1 B - Butcher Terrace'!$A$12:$A$130,"&lt;"&amp;Diagram!$P54),SUMIFS(INDIRECT(ADDRESS(12,3+18*3+(11),,,"J1 B - Butcher Terrace")&amp;":"&amp;ADDRESS(130,3+18*3+(11))),'J1 B - Butcher Terrace'!$A$12:$A$130,"&gt;="&amp;Diagram!$O54,'J1 B - Butcher Terrace'!$A$12:$A$130,"&lt;"&amp;Diagram!$P54)))</f>
        <v>0</v>
      </c>
      <c r="BX54" s="42">
        <f ca="1">IF(OR($I$10="",$O54="",$P54="",$J$38&lt;&gt;"Yes"),0,IF($K$10=0,SUMIFS(INDIRECT(ADDRESS(12,3+18*0+(3),,,"J1 B - Butcher Terrace")&amp;":"&amp;ADDRESS(130,3+18*0+(3))),'J1 B - Butcher Terrace'!$A$12:$A$130,"&gt;="&amp;Diagram!$O54,'J1 B - Butcher Terrace'!$A$12:$A$130,"&lt;"&amp;Diagram!$P54),SUMIFS(INDIRECT(ADDRESS(12,3+18*0+(11),,,"J1 B - Butcher Terrace")&amp;":"&amp;ADDRESS(130,3+18*0+(11))),'J1 B - Butcher Terrace'!$A$12:$A$130,"&gt;="&amp;Diagram!$O54,'J1 B - Butcher Terrace'!$A$12:$A$130,"&lt;"&amp;Diagram!$P54)))</f>
        <v>0</v>
      </c>
      <c r="BY54" s="42">
        <f ca="1">IF(OR($I$10="",$O54="",$P54="",$J$38&lt;&gt;"Yes"),0,IF($K$10=0,SUMIFS(INDIRECT(ADDRESS(12,3+18*1+(3),,,"J1 B - Butcher Terrace")&amp;":"&amp;ADDRESS(130,3+18*1+(3))),'J1 B - Butcher Terrace'!$A$12:$A$130,"&gt;="&amp;Diagram!$O54,'J1 B - Butcher Terrace'!$A$12:$A$130,"&lt;"&amp;Diagram!$P54),SUMIFS(INDIRECT(ADDRESS(12,3+18*1+(11),,,"J1 B - Butcher Terrace")&amp;":"&amp;ADDRESS(130,3+18*1+(11))),'J1 B - Butcher Terrace'!$A$12:$A$130,"&gt;="&amp;Diagram!$O54,'J1 B - Butcher Terrace'!$A$12:$A$130,"&lt;"&amp;Diagram!$P54)))</f>
        <v>0</v>
      </c>
      <c r="BZ54" s="42">
        <f ca="1">IF(OR($I$10="",$O54="",$P54="",$J$38&lt;&gt;"Yes"),0,IF($K$10=0,SUMIFS(INDIRECT(ADDRESS(12,3+18*1+(3),,,"J1 C - (South) Bishopthorpe Roa")&amp;":"&amp;ADDRESS(130,3+18*1+(3))),'J1 C - (South) Bishopthorpe Roa'!$A$12:$A$130,"&gt;="&amp;Diagram!$O54,'J1 C - (South) Bishopthorpe Roa'!$A$12:$A$130,"&lt;"&amp;Diagram!$P54),SUMIFS(INDIRECT(ADDRESS(12,3+18*1+(11),,,"J1 C - (South) Bishopthorpe Roa")&amp;":"&amp;ADDRESS(130,3+18*1+(11))),'J1 C - (South) Bishopthorpe Roa'!$A$12:$A$130,"&gt;="&amp;Diagram!$O54,'J1 C - (South) Bishopthorpe Roa'!$A$12:$A$130,"&lt;"&amp;Diagram!$P54)))</f>
        <v>0</v>
      </c>
      <c r="CA54" s="42">
        <f ca="1">IF(OR($I$10="",$O54="",$P54="",$J$38&lt;&gt;"Yes"),0,IF($K$10=0,SUMIFS(INDIRECT(ADDRESS(12,3+18*2+(3),,,"J1 C - (South) Bishopthorpe Roa")&amp;":"&amp;ADDRESS(130,3+18*2+(3))),'J1 C - (South) Bishopthorpe Roa'!$A$12:$A$130,"&gt;="&amp;Diagram!$O54,'J1 C - (South) Bishopthorpe Roa'!$A$12:$A$130,"&lt;"&amp;Diagram!$P54),SUMIFS(INDIRECT(ADDRESS(12,3+18*2+(11),,,"J1 C - (South) Bishopthorpe Roa")&amp;":"&amp;ADDRESS(130,3+18*2+(11))),'J1 C - (South) Bishopthorpe Roa'!$A$12:$A$130,"&gt;="&amp;Diagram!$O54,'J1 C - (South) Bishopthorpe Roa'!$A$12:$A$130,"&lt;"&amp;Diagram!$P54)))</f>
        <v>0</v>
      </c>
      <c r="CB54" s="42">
        <f ca="1">IF(OR($I$10="",$O54="",$P54="",$J$38&lt;&gt;"Yes"),0,IF($K$10=0,SUMIFS(INDIRECT(ADDRESS(12,3+18*3+(3),,,"J1 C - (South) Bishopthorpe Roa")&amp;":"&amp;ADDRESS(130,3+18*3+(3))),'J1 C - (South) Bishopthorpe Roa'!$A$12:$A$130,"&gt;="&amp;Diagram!$O54,'J1 C - (South) Bishopthorpe Roa'!$A$12:$A$130,"&lt;"&amp;Diagram!$P54),SUMIFS(INDIRECT(ADDRESS(12,3+18*3+(11),,,"J1 C - (South) Bishopthorpe Roa")&amp;":"&amp;ADDRESS(130,3+18*3+(11))),'J1 C - (South) Bishopthorpe Roa'!$A$12:$A$130,"&gt;="&amp;Diagram!$O54,'J1 C - (South) Bishopthorpe Roa'!$A$12:$A$130,"&lt;"&amp;Diagram!$P54)))</f>
        <v>0</v>
      </c>
      <c r="CC54" s="42">
        <f ca="1">IF(OR($I$10="",$O54="",$P54="",$J$38&lt;&gt;"Yes"),0,IF($K$10=0,SUMIFS(INDIRECT(ADDRESS(12,3+18*0+(3),,,"J1 C - (South) Bishopthorpe Roa")&amp;":"&amp;ADDRESS(130,3+18*0+(3))),'J1 C - (South) Bishopthorpe Roa'!$A$12:$A$130,"&gt;="&amp;Diagram!$O54,'J1 C - (South) Bishopthorpe Roa'!$A$12:$A$130,"&lt;"&amp;Diagram!$P54),SUMIFS(INDIRECT(ADDRESS(12,3+18*0+(11),,,"J1 C - (South) Bishopthorpe Roa")&amp;":"&amp;ADDRESS(130,3+18*0+(11))),'J1 C - (South) Bishopthorpe Roa'!$A$12:$A$130,"&gt;="&amp;Diagram!$O54,'J1 C - (South) Bishopthorpe Roa'!$A$12:$A$130,"&lt;"&amp;Diagram!$P54)))</f>
        <v>0</v>
      </c>
      <c r="CD54" s="42">
        <f ca="1">IF(OR($I$10="",$O54="",$P54="",$J$38&lt;&gt;"Yes"),0,IF($K$10=0,SUMIFS(INDIRECT(ADDRESS(12,3+18*0+(3),,,"J1 D - South Bank Avenue")&amp;":"&amp;ADDRESS(130,3+18*0+(3))),'J1 D - South Bank Avenue'!$A$12:$A$130,"&gt;="&amp;Diagram!$O54,'J1 D - South Bank Avenue'!$A$12:$A$130,"&lt;"&amp;Diagram!$P54),SUMIFS(INDIRECT(ADDRESS(12,3+18*0+(11),,,"J1 D - South Bank Avenue")&amp;":"&amp;ADDRESS(130,3+18*0+(11))),'J1 D - South Bank Avenue'!$A$12:$A$130,"&gt;="&amp;Diagram!$O54,'J1 D - South Bank Avenue'!$A$12:$A$130,"&lt;"&amp;Diagram!$P54)))</f>
        <v>0</v>
      </c>
      <c r="CE54" s="42">
        <f ca="1">IF(OR($I$10="",$O54="",$P54="",$J$38&lt;&gt;"Yes"),0,IF($K$10=0,SUMIFS(INDIRECT(ADDRESS(12,3+18*1+(3),,,"J1 D - South Bank Avenue")&amp;":"&amp;ADDRESS(130,3+18*1+(3))),'J1 D - South Bank Avenue'!$A$12:$A$130,"&gt;="&amp;Diagram!$O54,'J1 D - South Bank Avenue'!$A$12:$A$130,"&lt;"&amp;Diagram!$P54),SUMIFS(INDIRECT(ADDRESS(12,3+18*1+(11),,,"J1 D - South Bank Avenue")&amp;":"&amp;ADDRESS(130,3+18*1+(11))),'J1 D - South Bank Avenue'!$A$12:$A$130,"&gt;="&amp;Diagram!$O54,'J1 D - South Bank Avenue'!$A$12:$A$130,"&lt;"&amp;Diagram!$P54)))</f>
        <v>0</v>
      </c>
      <c r="CF54" s="42">
        <f ca="1">IF(OR($I$10="",$O54="",$P54="",$J$38&lt;&gt;"Yes"),0,IF($K$10=0,SUMIFS(INDIRECT(ADDRESS(12,3+18*2+(3),,,"J1 D - South Bank Avenue")&amp;":"&amp;ADDRESS(130,3+18*2+(3))),'J1 D - South Bank Avenue'!$A$12:$A$130,"&gt;="&amp;Diagram!$O54,'J1 D - South Bank Avenue'!$A$12:$A$130,"&lt;"&amp;Diagram!$P54),SUMIFS(INDIRECT(ADDRESS(12,3+18*2+(11),,,"J1 D - South Bank Avenue")&amp;":"&amp;ADDRESS(130,3+18*2+(11))),'J1 D - South Bank Avenue'!$A$12:$A$130,"&gt;="&amp;Diagram!$O54,'J1 D - South Bank Avenue'!$A$12:$A$130,"&lt;"&amp;Diagram!$P54)))</f>
        <v>0</v>
      </c>
      <c r="CG54" s="42">
        <f ca="1">IF(OR($I$10="",$O54="",$P54="",$J$38&lt;&gt;"Yes"),0,IF($K$10=0,SUMIFS(INDIRECT(ADDRESS(12,3+18*3+(3),,,"J1 D - South Bank Avenue")&amp;":"&amp;ADDRESS(130,3+18*3+(3))),'J1 D - South Bank Avenue'!$A$12:$A$130,"&gt;="&amp;Diagram!$O54,'J1 D - South Bank Avenue'!$A$12:$A$130,"&lt;"&amp;Diagram!$P54),SUMIFS(INDIRECT(ADDRESS(12,3+18*3+(11),,,"J1 D - South Bank Avenue")&amp;":"&amp;ADDRESS(130,3+18*3+(11))),'J1 D - South Bank Avenue'!$A$12:$A$130,"&gt;="&amp;Diagram!$O54,'J1 D - South Bank Avenue'!$A$12:$A$130,"&lt;"&amp;Diagram!$P54)))</f>
        <v>0</v>
      </c>
      <c r="CH54" s="42">
        <f t="shared" ca="1" si="5"/>
        <v>7</v>
      </c>
      <c r="CI54" s="42">
        <f ca="1">IF(OR($I$10="",$O54="",$P54="",$J$39&lt;&gt;"Yes"),0,IF($K$10=0,SUMIFS(INDIRECT(ADDRESS(12,3+18*3+(4),,,"J1 A - (North) Bishopthorpe Roa")&amp;":"&amp;ADDRESS(130,3+18*3+(4))),'J1 A - (North) Bishopthorpe Roa'!$A$12:$A$130,"&gt;="&amp;Diagram!$O54,'J1 A - (North) Bishopthorpe Roa'!$A$12:$A$130,"&lt;"&amp;Diagram!$P54),SUMIFS(INDIRECT(ADDRESS(12,3+18*3+(12),,,"J1 A - (North) Bishopthorpe Roa")&amp;":"&amp;ADDRESS(130,3+18*3+(12))),'J1 A - (North) Bishopthorpe Roa'!$A$12:$A$130,"&gt;="&amp;Diagram!$O54,'J1 A - (North) Bishopthorpe Roa'!$A$12:$A$130,"&lt;"&amp;Diagram!$P54)))</f>
        <v>0</v>
      </c>
      <c r="CJ54" s="42">
        <f ca="1">IF(OR($I$10="",$O54="",$P54="",$J$39&lt;&gt;"Yes"),0,IF($K$10=0,SUMIFS(INDIRECT(ADDRESS(12,3+18*0+(4),,,"J1 A - (North) Bishopthorpe Roa")&amp;":"&amp;ADDRESS(130,3+18*0+(4))),'J1 A - (North) Bishopthorpe Roa'!$A$12:$A$130,"&gt;="&amp;Diagram!$O54,'J1 A - (North) Bishopthorpe Roa'!$A$12:$A$130,"&lt;"&amp;Diagram!$P54),SUMIFS(INDIRECT(ADDRESS(12,3+18*0+(12),,,"J1 A - (North) Bishopthorpe Roa")&amp;":"&amp;ADDRESS(130,3+18*0+(12))),'J1 A - (North) Bishopthorpe Roa'!$A$12:$A$130,"&gt;="&amp;Diagram!$O54,'J1 A - (North) Bishopthorpe Roa'!$A$12:$A$130,"&lt;"&amp;Diagram!$P54)))</f>
        <v>0</v>
      </c>
      <c r="CK54" s="42">
        <f ca="1">IF(OR($I$10="",$O54="",$P54="",$J$39&lt;&gt;"Yes"),0,IF($K$10=0,SUMIFS(INDIRECT(ADDRESS(12,3+18*1+(4),,,"J1 A - (North) Bishopthorpe Roa")&amp;":"&amp;ADDRESS(130,3+18*1+(4))),'J1 A - (North) Bishopthorpe Roa'!$A$12:$A$130,"&gt;="&amp;Diagram!$O54,'J1 A - (North) Bishopthorpe Roa'!$A$12:$A$130,"&lt;"&amp;Diagram!$P54),SUMIFS(INDIRECT(ADDRESS(12,3+18*1+(12),,,"J1 A - (North) Bishopthorpe Roa")&amp;":"&amp;ADDRESS(130,3+18*1+(12))),'J1 A - (North) Bishopthorpe Roa'!$A$12:$A$130,"&gt;="&amp;Diagram!$O54,'J1 A - (North) Bishopthorpe Roa'!$A$12:$A$130,"&lt;"&amp;Diagram!$P54)))</f>
        <v>4</v>
      </c>
      <c r="CL54" s="42">
        <f ca="1">IF(OR($I$10="",$O54="",$P54="",$J$39&lt;&gt;"Yes"),0,IF($K$10=0,SUMIFS(INDIRECT(ADDRESS(12,3+18*2+(4),,,"J1 A - (North) Bishopthorpe Roa")&amp;":"&amp;ADDRESS(130,3+18*2+(4))),'J1 A - (North) Bishopthorpe Roa'!$A$12:$A$130,"&gt;="&amp;Diagram!$O54,'J1 A - (North) Bishopthorpe Roa'!$A$12:$A$130,"&lt;"&amp;Diagram!$P54),SUMIFS(INDIRECT(ADDRESS(12,3+18*2+(12),,,"J1 A - (North) Bishopthorpe Roa")&amp;":"&amp;ADDRESS(130,3+18*2+(12))),'J1 A - (North) Bishopthorpe Roa'!$A$12:$A$130,"&gt;="&amp;Diagram!$O54,'J1 A - (North) Bishopthorpe Roa'!$A$12:$A$130,"&lt;"&amp;Diagram!$P54)))</f>
        <v>0</v>
      </c>
      <c r="CM54" s="42">
        <f ca="1">IF(OR($I$10="",$O54="",$P54="",$J$39&lt;&gt;"Yes"),0,IF($K$10=0,SUMIFS(INDIRECT(ADDRESS(12,3+18*2+(4),,,"J1 B - Butcher Terrace")&amp;":"&amp;ADDRESS(130,3+18*2+(4))),'J1 B - Butcher Terrace'!$A$12:$A$130,"&gt;="&amp;Diagram!$O54,'J1 B - Butcher Terrace'!$A$12:$A$130,"&lt;"&amp;Diagram!$P54),SUMIFS(INDIRECT(ADDRESS(12,3+18*2+(12),,,"J1 B - Butcher Terrace")&amp;":"&amp;ADDRESS(130,3+18*2+(12))),'J1 B - Butcher Terrace'!$A$12:$A$130,"&gt;="&amp;Diagram!$O54,'J1 B - Butcher Terrace'!$A$12:$A$130,"&lt;"&amp;Diagram!$P54)))</f>
        <v>0</v>
      </c>
      <c r="CN54" s="42">
        <f ca="1">IF(OR($I$10="",$O54="",$P54="",$J$39&lt;&gt;"Yes"),0,IF($K$10=0,SUMIFS(INDIRECT(ADDRESS(12,3+18*3+(4),,,"J1 B - Butcher Terrace")&amp;":"&amp;ADDRESS(130,3+18*3+(4))),'J1 B - Butcher Terrace'!$A$12:$A$130,"&gt;="&amp;Diagram!$O54,'J1 B - Butcher Terrace'!$A$12:$A$130,"&lt;"&amp;Diagram!$P54),SUMIFS(INDIRECT(ADDRESS(12,3+18*3+(12),,,"J1 B - Butcher Terrace")&amp;":"&amp;ADDRESS(130,3+18*3+(12))),'J1 B - Butcher Terrace'!$A$12:$A$130,"&gt;="&amp;Diagram!$O54,'J1 B - Butcher Terrace'!$A$12:$A$130,"&lt;"&amp;Diagram!$P54)))</f>
        <v>0</v>
      </c>
      <c r="CO54" s="42">
        <f ca="1">IF(OR($I$10="",$O54="",$P54="",$J$39&lt;&gt;"Yes"),0,IF($K$10=0,SUMIFS(INDIRECT(ADDRESS(12,3+18*0+(4),,,"J1 B - Butcher Terrace")&amp;":"&amp;ADDRESS(130,3+18*0+(4))),'J1 B - Butcher Terrace'!$A$12:$A$130,"&gt;="&amp;Diagram!$O54,'J1 B - Butcher Terrace'!$A$12:$A$130,"&lt;"&amp;Diagram!$P54),SUMIFS(INDIRECT(ADDRESS(12,3+18*0+(12),,,"J1 B - Butcher Terrace")&amp;":"&amp;ADDRESS(130,3+18*0+(12))),'J1 B - Butcher Terrace'!$A$12:$A$130,"&gt;="&amp;Diagram!$O54,'J1 B - Butcher Terrace'!$A$12:$A$130,"&lt;"&amp;Diagram!$P54)))</f>
        <v>0</v>
      </c>
      <c r="CP54" s="42">
        <f ca="1">IF(OR($I$10="",$O54="",$P54="",$J$39&lt;&gt;"Yes"),0,IF($K$10=0,SUMIFS(INDIRECT(ADDRESS(12,3+18*1+(4),,,"J1 B - Butcher Terrace")&amp;":"&amp;ADDRESS(130,3+18*1+(4))),'J1 B - Butcher Terrace'!$A$12:$A$130,"&gt;="&amp;Diagram!$O54,'J1 B - Butcher Terrace'!$A$12:$A$130,"&lt;"&amp;Diagram!$P54),SUMIFS(INDIRECT(ADDRESS(12,3+18*1+(12),,,"J1 B - Butcher Terrace")&amp;":"&amp;ADDRESS(130,3+18*1+(12))),'J1 B - Butcher Terrace'!$A$12:$A$130,"&gt;="&amp;Diagram!$O54,'J1 B - Butcher Terrace'!$A$12:$A$130,"&lt;"&amp;Diagram!$P54)))</f>
        <v>0</v>
      </c>
      <c r="CQ54" s="42">
        <f ca="1">IF(OR($I$10="",$O54="",$P54="",$J$39&lt;&gt;"Yes"),0,IF($K$10=0,SUMIFS(INDIRECT(ADDRESS(12,3+18*1+(4),,,"J1 C - (South) Bishopthorpe Roa")&amp;":"&amp;ADDRESS(130,3+18*1+(4))),'J1 C - (South) Bishopthorpe Roa'!$A$12:$A$130,"&gt;="&amp;Diagram!$O54,'J1 C - (South) Bishopthorpe Roa'!$A$12:$A$130,"&lt;"&amp;Diagram!$P54),SUMIFS(INDIRECT(ADDRESS(12,3+18*1+(12),,,"J1 C - (South) Bishopthorpe Roa")&amp;":"&amp;ADDRESS(130,3+18*1+(12))),'J1 C - (South) Bishopthorpe Roa'!$A$12:$A$130,"&gt;="&amp;Diagram!$O54,'J1 C - (South) Bishopthorpe Roa'!$A$12:$A$130,"&lt;"&amp;Diagram!$P54)))</f>
        <v>3</v>
      </c>
      <c r="CR54" s="42">
        <f ca="1">IF(OR($I$10="",$O54="",$P54="",$J$39&lt;&gt;"Yes"),0,IF($K$10=0,SUMIFS(INDIRECT(ADDRESS(12,3+18*2+(4),,,"J1 C - (South) Bishopthorpe Roa")&amp;":"&amp;ADDRESS(130,3+18*2+(4))),'J1 C - (South) Bishopthorpe Roa'!$A$12:$A$130,"&gt;="&amp;Diagram!$O54,'J1 C - (South) Bishopthorpe Roa'!$A$12:$A$130,"&lt;"&amp;Diagram!$P54),SUMIFS(INDIRECT(ADDRESS(12,3+18*2+(12),,,"J1 C - (South) Bishopthorpe Roa")&amp;":"&amp;ADDRESS(130,3+18*2+(12))),'J1 C - (South) Bishopthorpe Roa'!$A$12:$A$130,"&gt;="&amp;Diagram!$O54,'J1 C - (South) Bishopthorpe Roa'!$A$12:$A$130,"&lt;"&amp;Diagram!$P54)))</f>
        <v>0</v>
      </c>
      <c r="CS54" s="42">
        <f ca="1">IF(OR($I$10="",$O54="",$P54="",$J$39&lt;&gt;"Yes"),0,IF($K$10=0,SUMIFS(INDIRECT(ADDRESS(12,3+18*3+(4),,,"J1 C - (South) Bishopthorpe Roa")&amp;":"&amp;ADDRESS(130,3+18*3+(4))),'J1 C - (South) Bishopthorpe Roa'!$A$12:$A$130,"&gt;="&amp;Diagram!$O54,'J1 C - (South) Bishopthorpe Roa'!$A$12:$A$130,"&lt;"&amp;Diagram!$P54),SUMIFS(INDIRECT(ADDRESS(12,3+18*3+(12),,,"J1 C - (South) Bishopthorpe Roa")&amp;":"&amp;ADDRESS(130,3+18*3+(12))),'J1 C - (South) Bishopthorpe Roa'!$A$12:$A$130,"&gt;="&amp;Diagram!$O54,'J1 C - (South) Bishopthorpe Roa'!$A$12:$A$130,"&lt;"&amp;Diagram!$P54)))</f>
        <v>0</v>
      </c>
      <c r="CT54" s="42">
        <f ca="1">IF(OR($I$10="",$O54="",$P54="",$J$39&lt;&gt;"Yes"),0,IF($K$10=0,SUMIFS(INDIRECT(ADDRESS(12,3+18*0+(4),,,"J1 C - (South) Bishopthorpe Roa")&amp;":"&amp;ADDRESS(130,3+18*0+(4))),'J1 C - (South) Bishopthorpe Roa'!$A$12:$A$130,"&gt;="&amp;Diagram!$O54,'J1 C - (South) Bishopthorpe Roa'!$A$12:$A$130,"&lt;"&amp;Diagram!$P54),SUMIFS(INDIRECT(ADDRESS(12,3+18*0+(12),,,"J1 C - (South) Bishopthorpe Roa")&amp;":"&amp;ADDRESS(130,3+18*0+(12))),'J1 C - (South) Bishopthorpe Roa'!$A$12:$A$130,"&gt;="&amp;Diagram!$O54,'J1 C - (South) Bishopthorpe Roa'!$A$12:$A$130,"&lt;"&amp;Diagram!$P54)))</f>
        <v>0</v>
      </c>
      <c r="CU54" s="42">
        <f ca="1">IF(OR($I$10="",$O54="",$P54="",$J$39&lt;&gt;"Yes"),0,IF($K$10=0,SUMIFS(INDIRECT(ADDRESS(12,3+18*0+(4),,,"J1 D - South Bank Avenue")&amp;":"&amp;ADDRESS(130,3+18*0+(4))),'J1 D - South Bank Avenue'!$A$12:$A$130,"&gt;="&amp;Diagram!$O54,'J1 D - South Bank Avenue'!$A$12:$A$130,"&lt;"&amp;Diagram!$P54),SUMIFS(INDIRECT(ADDRESS(12,3+18*0+(12),,,"J1 D - South Bank Avenue")&amp;":"&amp;ADDRESS(130,3+18*0+(12))),'J1 D - South Bank Avenue'!$A$12:$A$130,"&gt;="&amp;Diagram!$O54,'J1 D - South Bank Avenue'!$A$12:$A$130,"&lt;"&amp;Diagram!$P54)))</f>
        <v>0</v>
      </c>
      <c r="CV54" s="42">
        <f ca="1">IF(OR($I$10="",$O54="",$P54="",$J$39&lt;&gt;"Yes"),0,IF($K$10=0,SUMIFS(INDIRECT(ADDRESS(12,3+18*1+(4),,,"J1 D - South Bank Avenue")&amp;":"&amp;ADDRESS(130,3+18*1+(4))),'J1 D - South Bank Avenue'!$A$12:$A$130,"&gt;="&amp;Diagram!$O54,'J1 D - South Bank Avenue'!$A$12:$A$130,"&lt;"&amp;Diagram!$P54),SUMIFS(INDIRECT(ADDRESS(12,3+18*1+(12),,,"J1 D - South Bank Avenue")&amp;":"&amp;ADDRESS(130,3+18*1+(12))),'J1 D - South Bank Avenue'!$A$12:$A$130,"&gt;="&amp;Diagram!$O54,'J1 D - South Bank Avenue'!$A$12:$A$130,"&lt;"&amp;Diagram!$P54)))</f>
        <v>0</v>
      </c>
      <c r="CW54" s="42">
        <f ca="1">IF(OR($I$10="",$O54="",$P54="",$J$39&lt;&gt;"Yes"),0,IF($K$10=0,SUMIFS(INDIRECT(ADDRESS(12,3+18*2+(4),,,"J1 D - South Bank Avenue")&amp;":"&amp;ADDRESS(130,3+18*2+(4))),'J1 D - South Bank Avenue'!$A$12:$A$130,"&gt;="&amp;Diagram!$O54,'J1 D - South Bank Avenue'!$A$12:$A$130,"&lt;"&amp;Diagram!$P54),SUMIFS(INDIRECT(ADDRESS(12,3+18*2+(12),,,"J1 D - South Bank Avenue")&amp;":"&amp;ADDRESS(130,3+18*2+(12))),'J1 D - South Bank Avenue'!$A$12:$A$130,"&gt;="&amp;Diagram!$O54,'J1 D - South Bank Avenue'!$A$12:$A$130,"&lt;"&amp;Diagram!$P54)))</f>
        <v>0</v>
      </c>
      <c r="CX54" s="42">
        <f ca="1">IF(OR($I$10="",$O54="",$P54="",$J$39&lt;&gt;"Yes"),0,IF($K$10=0,SUMIFS(INDIRECT(ADDRESS(12,3+18*3+(4),,,"J1 D - South Bank Avenue")&amp;":"&amp;ADDRESS(130,3+18*3+(4))),'J1 D - South Bank Avenue'!$A$12:$A$130,"&gt;="&amp;Diagram!$O54,'J1 D - South Bank Avenue'!$A$12:$A$130,"&lt;"&amp;Diagram!$P54),SUMIFS(INDIRECT(ADDRESS(12,3+18*3+(12),,,"J1 D - South Bank Avenue")&amp;":"&amp;ADDRESS(130,3+18*3+(12))),'J1 D - South Bank Avenue'!$A$12:$A$130,"&gt;="&amp;Diagram!$O54,'J1 D - South Bank Avenue'!$A$12:$A$130,"&lt;"&amp;Diagram!$P54)))</f>
        <v>0</v>
      </c>
      <c r="CY54" s="42">
        <f t="shared" ca="1" si="6"/>
        <v>109</v>
      </c>
      <c r="CZ54" s="42">
        <f ca="1">IF(OR($I$10="",$O54="",$P54="",$J$40&lt;&gt;"Yes"),0,IF($K$10=0,SUMIFS(INDIRECT(ADDRESS(12,3+18*3+(5),,,"J1 A - (North) Bishopthorpe Roa")&amp;":"&amp;ADDRESS(130,3+18*3+(5))),'J1 A - (North) Bishopthorpe Roa'!$A$12:$A$130,"&gt;="&amp;Diagram!$O54,'J1 A - (North) Bishopthorpe Roa'!$A$12:$A$130,"&lt;"&amp;Diagram!$P54),SUMIFS(INDIRECT(ADDRESS(12,3+18*3+(13),,,"J1 A - (North) Bishopthorpe Roa")&amp;":"&amp;ADDRESS(130,3+18*3+(13))),'J1 A - (North) Bishopthorpe Roa'!$A$12:$A$130,"&gt;="&amp;Diagram!$O54,'J1 A - (North) Bishopthorpe Roa'!$A$12:$A$130,"&lt;"&amp;Diagram!$P54)))</f>
        <v>0</v>
      </c>
      <c r="DA54" s="42">
        <f ca="1">IF(OR($I$10="",$O54="",$P54="",$J$40&lt;&gt;"Yes"),0,IF($K$10=0,SUMIFS(INDIRECT(ADDRESS(12,3+18*0+(5),,,"J1 A - (North) Bishopthorpe Roa")&amp;":"&amp;ADDRESS(130,3+18*0+(5))),'J1 A - (North) Bishopthorpe Roa'!$A$12:$A$130,"&gt;="&amp;Diagram!$O54,'J1 A - (North) Bishopthorpe Roa'!$A$12:$A$130,"&lt;"&amp;Diagram!$P54),SUMIFS(INDIRECT(ADDRESS(12,3+18*0+(13),,,"J1 A - (North) Bishopthorpe Roa")&amp;":"&amp;ADDRESS(130,3+18*0+(13))),'J1 A - (North) Bishopthorpe Roa'!$A$12:$A$130,"&gt;="&amp;Diagram!$O54,'J1 A - (North) Bishopthorpe Roa'!$A$12:$A$130,"&lt;"&amp;Diagram!$P54)))</f>
        <v>16</v>
      </c>
      <c r="DB54" s="42">
        <f ca="1">IF(OR($I$10="",$O54="",$P54="",$J$40&lt;&gt;"Yes"),0,IF($K$10=0,SUMIFS(INDIRECT(ADDRESS(12,3+18*1+(5),,,"J1 A - (North) Bishopthorpe Roa")&amp;":"&amp;ADDRESS(130,3+18*1+(5))),'J1 A - (North) Bishopthorpe Roa'!$A$12:$A$130,"&gt;="&amp;Diagram!$O54,'J1 A - (North) Bishopthorpe Roa'!$A$12:$A$130,"&lt;"&amp;Diagram!$P54),SUMIFS(INDIRECT(ADDRESS(12,3+18*1+(13),,,"J1 A - (North) Bishopthorpe Roa")&amp;":"&amp;ADDRESS(130,3+18*1+(13))),'J1 A - (North) Bishopthorpe Roa'!$A$12:$A$130,"&gt;="&amp;Diagram!$O54,'J1 A - (North) Bishopthorpe Roa'!$A$12:$A$130,"&lt;"&amp;Diagram!$P54)))</f>
        <v>13</v>
      </c>
      <c r="DC54" s="42">
        <f ca="1">IF(OR($I$10="",$O54="",$P54="",$J$40&lt;&gt;"Yes"),0,IF($K$10=0,SUMIFS(INDIRECT(ADDRESS(12,3+18*2+(5),,,"J1 A - (North) Bishopthorpe Roa")&amp;":"&amp;ADDRESS(130,3+18*2+(5))),'J1 A - (North) Bishopthorpe Roa'!$A$12:$A$130,"&gt;="&amp;Diagram!$O54,'J1 A - (North) Bishopthorpe Roa'!$A$12:$A$130,"&lt;"&amp;Diagram!$P54),SUMIFS(INDIRECT(ADDRESS(12,3+18*2+(13),,,"J1 A - (North) Bishopthorpe Roa")&amp;":"&amp;ADDRESS(130,3+18*2+(13))),'J1 A - (North) Bishopthorpe Roa'!$A$12:$A$130,"&gt;="&amp;Diagram!$O54,'J1 A - (North) Bishopthorpe Roa'!$A$12:$A$130,"&lt;"&amp;Diagram!$P54)))</f>
        <v>3</v>
      </c>
      <c r="DD54" s="42">
        <f ca="1">IF(OR($I$10="",$O54="",$P54="",$J$40&lt;&gt;"Yes"),0,IF($K$10=0,SUMIFS(INDIRECT(ADDRESS(12,3+18*2+(5),,,"J1 B - Butcher Terrace")&amp;":"&amp;ADDRESS(130,3+18*2+(5))),'J1 B - Butcher Terrace'!$A$12:$A$130,"&gt;="&amp;Diagram!$O54,'J1 B - Butcher Terrace'!$A$12:$A$130,"&lt;"&amp;Diagram!$P54),SUMIFS(INDIRECT(ADDRESS(12,3+18*2+(13),,,"J1 B - Butcher Terrace")&amp;":"&amp;ADDRESS(130,3+18*2+(13))),'J1 B - Butcher Terrace'!$A$12:$A$130,"&gt;="&amp;Diagram!$O54,'J1 B - Butcher Terrace'!$A$12:$A$130,"&lt;"&amp;Diagram!$P54)))</f>
        <v>7</v>
      </c>
      <c r="DE54" s="42">
        <f ca="1">IF(OR($I$10="",$O54="",$P54="",$J$40&lt;&gt;"Yes"),0,IF($K$10=0,SUMIFS(INDIRECT(ADDRESS(12,3+18*3+(5),,,"J1 B - Butcher Terrace")&amp;":"&amp;ADDRESS(130,3+18*3+(5))),'J1 B - Butcher Terrace'!$A$12:$A$130,"&gt;="&amp;Diagram!$O54,'J1 B - Butcher Terrace'!$A$12:$A$130,"&lt;"&amp;Diagram!$P54),SUMIFS(INDIRECT(ADDRESS(12,3+18*3+(13),,,"J1 B - Butcher Terrace")&amp;":"&amp;ADDRESS(130,3+18*3+(13))),'J1 B - Butcher Terrace'!$A$12:$A$130,"&gt;="&amp;Diagram!$O54,'J1 B - Butcher Terrace'!$A$12:$A$130,"&lt;"&amp;Diagram!$P54)))</f>
        <v>0</v>
      </c>
      <c r="DF54" s="42">
        <f ca="1">IF(OR($I$10="",$O54="",$P54="",$J$40&lt;&gt;"Yes"),0,IF($K$10=0,SUMIFS(INDIRECT(ADDRESS(12,3+18*0+(5),,,"J1 B - Butcher Terrace")&amp;":"&amp;ADDRESS(130,3+18*0+(5))),'J1 B - Butcher Terrace'!$A$12:$A$130,"&gt;="&amp;Diagram!$O54,'J1 B - Butcher Terrace'!$A$12:$A$130,"&lt;"&amp;Diagram!$P54),SUMIFS(INDIRECT(ADDRESS(12,3+18*0+(13),,,"J1 B - Butcher Terrace")&amp;":"&amp;ADDRESS(130,3+18*0+(13))),'J1 B - Butcher Terrace'!$A$12:$A$130,"&gt;="&amp;Diagram!$O54,'J1 B - Butcher Terrace'!$A$12:$A$130,"&lt;"&amp;Diagram!$P54)))</f>
        <v>4</v>
      </c>
      <c r="DG54" s="42">
        <f ca="1">IF(OR($I$10="",$O54="",$P54="",$J$40&lt;&gt;"Yes"),0,IF($K$10=0,SUMIFS(INDIRECT(ADDRESS(12,3+18*1+(5),,,"J1 B - Butcher Terrace")&amp;":"&amp;ADDRESS(130,3+18*1+(5))),'J1 B - Butcher Terrace'!$A$12:$A$130,"&gt;="&amp;Diagram!$O54,'J1 B - Butcher Terrace'!$A$12:$A$130,"&lt;"&amp;Diagram!$P54),SUMIFS(INDIRECT(ADDRESS(12,3+18*1+(13),,,"J1 B - Butcher Terrace")&amp;":"&amp;ADDRESS(130,3+18*1+(13))),'J1 B - Butcher Terrace'!$A$12:$A$130,"&gt;="&amp;Diagram!$O54,'J1 B - Butcher Terrace'!$A$12:$A$130,"&lt;"&amp;Diagram!$P54)))</f>
        <v>32</v>
      </c>
      <c r="DH54" s="42">
        <f ca="1">IF(OR($I$10="",$O54="",$P54="",$J$40&lt;&gt;"Yes"),0,IF($K$10=0,SUMIFS(INDIRECT(ADDRESS(12,3+18*1+(5),,,"J1 C - (South) Bishopthorpe Roa")&amp;":"&amp;ADDRESS(130,3+18*1+(5))),'J1 C - (South) Bishopthorpe Roa'!$A$12:$A$130,"&gt;="&amp;Diagram!$O54,'J1 C - (South) Bishopthorpe Roa'!$A$12:$A$130,"&lt;"&amp;Diagram!$P54),SUMIFS(INDIRECT(ADDRESS(12,3+18*1+(13),,,"J1 C - (South) Bishopthorpe Roa")&amp;":"&amp;ADDRESS(130,3+18*1+(13))),'J1 C - (South) Bishopthorpe Roa'!$A$12:$A$130,"&gt;="&amp;Diagram!$O54,'J1 C - (South) Bishopthorpe Roa'!$A$12:$A$130,"&lt;"&amp;Diagram!$P54)))</f>
        <v>12</v>
      </c>
      <c r="DI54" s="42">
        <f ca="1">IF(OR($I$10="",$O54="",$P54="",$J$40&lt;&gt;"Yes"),0,IF($K$10=0,SUMIFS(INDIRECT(ADDRESS(12,3+18*2+(5),,,"J1 C - (South) Bishopthorpe Roa")&amp;":"&amp;ADDRESS(130,3+18*2+(5))),'J1 C - (South) Bishopthorpe Roa'!$A$12:$A$130,"&gt;="&amp;Diagram!$O54,'J1 C - (South) Bishopthorpe Roa'!$A$12:$A$130,"&lt;"&amp;Diagram!$P54),SUMIFS(INDIRECT(ADDRESS(12,3+18*2+(13),,,"J1 C - (South) Bishopthorpe Roa")&amp;":"&amp;ADDRESS(130,3+18*2+(13))),'J1 C - (South) Bishopthorpe Roa'!$A$12:$A$130,"&gt;="&amp;Diagram!$O54,'J1 C - (South) Bishopthorpe Roa'!$A$12:$A$130,"&lt;"&amp;Diagram!$P54)))</f>
        <v>4</v>
      </c>
      <c r="DJ54" s="42">
        <f ca="1">IF(OR($I$10="",$O54="",$P54="",$J$40&lt;&gt;"Yes"),0,IF($K$10=0,SUMIFS(INDIRECT(ADDRESS(12,3+18*3+(5),,,"J1 C - (South) Bishopthorpe Roa")&amp;":"&amp;ADDRESS(130,3+18*3+(5))),'J1 C - (South) Bishopthorpe Roa'!$A$12:$A$130,"&gt;="&amp;Diagram!$O54,'J1 C - (South) Bishopthorpe Roa'!$A$12:$A$130,"&lt;"&amp;Diagram!$P54),SUMIFS(INDIRECT(ADDRESS(12,3+18*3+(13),,,"J1 C - (South) Bishopthorpe Roa")&amp;":"&amp;ADDRESS(130,3+18*3+(13))),'J1 C - (South) Bishopthorpe Roa'!$A$12:$A$130,"&gt;="&amp;Diagram!$O54,'J1 C - (South) Bishopthorpe Roa'!$A$12:$A$130,"&lt;"&amp;Diagram!$P54)))</f>
        <v>0</v>
      </c>
      <c r="DK54" s="42">
        <f ca="1">IF(OR($I$10="",$O54="",$P54="",$J$40&lt;&gt;"Yes"),0,IF($K$10=0,SUMIFS(INDIRECT(ADDRESS(12,3+18*0+(5),,,"J1 C - (South) Bishopthorpe Roa")&amp;":"&amp;ADDRESS(130,3+18*0+(5))),'J1 C - (South) Bishopthorpe Roa'!$A$12:$A$130,"&gt;="&amp;Diagram!$O54,'J1 C - (South) Bishopthorpe Roa'!$A$12:$A$130,"&lt;"&amp;Diagram!$P54),SUMIFS(INDIRECT(ADDRESS(12,3+18*0+(13),,,"J1 C - (South) Bishopthorpe Roa")&amp;":"&amp;ADDRESS(130,3+18*0+(13))),'J1 C - (South) Bishopthorpe Roa'!$A$12:$A$130,"&gt;="&amp;Diagram!$O54,'J1 C - (South) Bishopthorpe Roa'!$A$12:$A$130,"&lt;"&amp;Diagram!$P54)))</f>
        <v>2</v>
      </c>
      <c r="DL54" s="42">
        <f ca="1">IF(OR($I$10="",$O54="",$P54="",$J$40&lt;&gt;"Yes"),0,IF($K$10=0,SUMIFS(INDIRECT(ADDRESS(12,3+18*0+(5),,,"J1 D - South Bank Avenue")&amp;":"&amp;ADDRESS(130,3+18*0+(5))),'J1 D - South Bank Avenue'!$A$12:$A$130,"&gt;="&amp;Diagram!$O54,'J1 D - South Bank Avenue'!$A$12:$A$130,"&lt;"&amp;Diagram!$P54),SUMIFS(INDIRECT(ADDRESS(12,3+18*0+(13),,,"J1 D - South Bank Avenue")&amp;":"&amp;ADDRESS(130,3+18*0+(13))),'J1 D - South Bank Avenue'!$A$12:$A$130,"&gt;="&amp;Diagram!$O54,'J1 D - South Bank Avenue'!$A$12:$A$130,"&lt;"&amp;Diagram!$P54)))</f>
        <v>1</v>
      </c>
      <c r="DM54" s="42">
        <f ca="1">IF(OR($I$10="",$O54="",$P54="",$J$40&lt;&gt;"Yes"),0,IF($K$10=0,SUMIFS(INDIRECT(ADDRESS(12,3+18*1+(5),,,"J1 D - South Bank Avenue")&amp;":"&amp;ADDRESS(130,3+18*1+(5))),'J1 D - South Bank Avenue'!$A$12:$A$130,"&gt;="&amp;Diagram!$O54,'J1 D - South Bank Avenue'!$A$12:$A$130,"&lt;"&amp;Diagram!$P54),SUMIFS(INDIRECT(ADDRESS(12,3+18*1+(13),,,"J1 D - South Bank Avenue")&amp;":"&amp;ADDRESS(130,3+18*1+(13))),'J1 D - South Bank Avenue'!$A$12:$A$130,"&gt;="&amp;Diagram!$O54,'J1 D - South Bank Avenue'!$A$12:$A$130,"&lt;"&amp;Diagram!$P54)))</f>
        <v>15</v>
      </c>
      <c r="DN54" s="42">
        <f ca="1">IF(OR($I$10="",$O54="",$P54="",$J$40&lt;&gt;"Yes"),0,IF($K$10=0,SUMIFS(INDIRECT(ADDRESS(12,3+18*2+(5),,,"J1 D - South Bank Avenue")&amp;":"&amp;ADDRESS(130,3+18*2+(5))),'J1 D - South Bank Avenue'!$A$12:$A$130,"&gt;="&amp;Diagram!$O54,'J1 D - South Bank Avenue'!$A$12:$A$130,"&lt;"&amp;Diagram!$P54),SUMIFS(INDIRECT(ADDRESS(12,3+18*2+(13),,,"J1 D - South Bank Avenue")&amp;":"&amp;ADDRESS(130,3+18*2+(13))),'J1 D - South Bank Avenue'!$A$12:$A$130,"&gt;="&amp;Diagram!$O54,'J1 D - South Bank Avenue'!$A$12:$A$130,"&lt;"&amp;Diagram!$P54)))</f>
        <v>0</v>
      </c>
      <c r="DO54" s="42">
        <f ca="1">IF(OR($I$10="",$O54="",$P54="",$J$40&lt;&gt;"Yes"),0,IF($K$10=0,SUMIFS(INDIRECT(ADDRESS(12,3+18*3+(5),,,"J1 D - South Bank Avenue")&amp;":"&amp;ADDRESS(130,3+18*3+(5))),'J1 D - South Bank Avenue'!$A$12:$A$130,"&gt;="&amp;Diagram!$O54,'J1 D - South Bank Avenue'!$A$12:$A$130,"&lt;"&amp;Diagram!$P54),SUMIFS(INDIRECT(ADDRESS(12,3+18*3+(13),,,"J1 D - South Bank Avenue")&amp;":"&amp;ADDRESS(130,3+18*3+(13))),'J1 D - South Bank Avenue'!$A$12:$A$130,"&gt;="&amp;Diagram!$O54,'J1 D - South Bank Avenue'!$A$12:$A$130,"&lt;"&amp;Diagram!$P54)))</f>
        <v>0</v>
      </c>
      <c r="DP54" s="42">
        <f t="shared" ca="1" si="7"/>
        <v>9</v>
      </c>
      <c r="DQ54" s="42">
        <f ca="1">IF(OR($I$10="",$O54="",$P54="",$J$41&lt;&gt;"Yes"),0,IF($K$10=0,SUMIFS(INDIRECT(ADDRESS(12,3+18*3+(6),,,"J1 A - (North) Bishopthorpe Roa")&amp;":"&amp;ADDRESS(130,3+18*3+(6))),'J1 A - (North) Bishopthorpe Roa'!$A$12:$A$130,"&gt;="&amp;Diagram!$O54,'J1 A - (North) Bishopthorpe Roa'!$A$12:$A$130,"&lt;"&amp;Diagram!$P54),SUMIFS(INDIRECT(ADDRESS(12,3+18*3+(14),,,"J1 A - (North) Bishopthorpe Roa")&amp;":"&amp;ADDRESS(130,3+18*3+(14))),'J1 A - (North) Bishopthorpe Roa'!$A$12:$A$130,"&gt;="&amp;Diagram!$O54,'J1 A - (North) Bishopthorpe Roa'!$A$12:$A$130,"&lt;"&amp;Diagram!$P54)))</f>
        <v>0</v>
      </c>
      <c r="DR54" s="42">
        <f ca="1">IF(OR($I$10="",$O54="",$P54="",$J$41&lt;&gt;"Yes"),0,IF($K$10=0,SUMIFS(INDIRECT(ADDRESS(12,3+18*0+(6),,,"J1 A - (North) Bishopthorpe Roa")&amp;":"&amp;ADDRESS(130,3+18*0+(6))),'J1 A - (North) Bishopthorpe Roa'!$A$12:$A$130,"&gt;="&amp;Diagram!$O54,'J1 A - (North) Bishopthorpe Roa'!$A$12:$A$130,"&lt;"&amp;Diagram!$P54),SUMIFS(INDIRECT(ADDRESS(12,3+18*0+(14),,,"J1 A - (North) Bishopthorpe Roa")&amp;":"&amp;ADDRESS(130,3+18*0+(14))),'J1 A - (North) Bishopthorpe Roa'!$A$12:$A$130,"&gt;="&amp;Diagram!$O54,'J1 A - (North) Bishopthorpe Roa'!$A$12:$A$130,"&lt;"&amp;Diagram!$P54)))</f>
        <v>2</v>
      </c>
      <c r="DS54" s="42">
        <f ca="1">IF(OR($I$10="",$O54="",$P54="",$J$41&lt;&gt;"Yes"),0,IF($K$10=0,SUMIFS(INDIRECT(ADDRESS(12,3+18*1+(6),,,"J1 A - (North) Bishopthorpe Roa")&amp;":"&amp;ADDRESS(130,3+18*1+(6))),'J1 A - (North) Bishopthorpe Roa'!$A$12:$A$130,"&gt;="&amp;Diagram!$O54,'J1 A - (North) Bishopthorpe Roa'!$A$12:$A$130,"&lt;"&amp;Diagram!$P54),SUMIFS(INDIRECT(ADDRESS(12,3+18*1+(14),,,"J1 A - (North) Bishopthorpe Roa")&amp;":"&amp;ADDRESS(130,3+18*1+(14))),'J1 A - (North) Bishopthorpe Roa'!$A$12:$A$130,"&gt;="&amp;Diagram!$O54,'J1 A - (North) Bishopthorpe Roa'!$A$12:$A$130,"&lt;"&amp;Diagram!$P54)))</f>
        <v>3</v>
      </c>
      <c r="DT54" s="42">
        <f ca="1">IF(OR($I$10="",$O54="",$P54="",$J$41&lt;&gt;"Yes"),0,IF($K$10=0,SUMIFS(INDIRECT(ADDRESS(12,3+18*2+(6),,,"J1 A - (North) Bishopthorpe Roa")&amp;":"&amp;ADDRESS(130,3+18*2+(6))),'J1 A - (North) Bishopthorpe Roa'!$A$12:$A$130,"&gt;="&amp;Diagram!$O54,'J1 A - (North) Bishopthorpe Roa'!$A$12:$A$130,"&lt;"&amp;Diagram!$P54),SUMIFS(INDIRECT(ADDRESS(12,3+18*2+(14),,,"J1 A - (North) Bishopthorpe Roa")&amp;":"&amp;ADDRESS(130,3+18*2+(14))),'J1 A - (North) Bishopthorpe Roa'!$A$12:$A$130,"&gt;="&amp;Diagram!$O54,'J1 A - (North) Bishopthorpe Roa'!$A$12:$A$130,"&lt;"&amp;Diagram!$P54)))</f>
        <v>1</v>
      </c>
      <c r="DU54" s="42">
        <f ca="1">IF(OR($I$10="",$O54="",$P54="",$J$41&lt;&gt;"Yes"),0,IF($K$10=0,SUMIFS(INDIRECT(ADDRESS(12,3+18*2+(6),,,"J1 B - Butcher Terrace")&amp;":"&amp;ADDRESS(130,3+18*2+(6))),'J1 B - Butcher Terrace'!$A$12:$A$130,"&gt;="&amp;Diagram!$O54,'J1 B - Butcher Terrace'!$A$12:$A$130,"&lt;"&amp;Diagram!$P54),SUMIFS(INDIRECT(ADDRESS(12,3+18*2+(14),,,"J1 B - Butcher Terrace")&amp;":"&amp;ADDRESS(130,3+18*2+(14))),'J1 B - Butcher Terrace'!$A$12:$A$130,"&gt;="&amp;Diagram!$O54,'J1 B - Butcher Terrace'!$A$12:$A$130,"&lt;"&amp;Diagram!$P54)))</f>
        <v>0</v>
      </c>
      <c r="DV54" s="42">
        <f ca="1">IF(OR($I$10="",$O54="",$P54="",$J$41&lt;&gt;"Yes"),0,IF($K$10=0,SUMIFS(INDIRECT(ADDRESS(12,3+18*3+(6),,,"J1 B - Butcher Terrace")&amp;":"&amp;ADDRESS(130,3+18*3+(6))),'J1 B - Butcher Terrace'!$A$12:$A$130,"&gt;="&amp;Diagram!$O54,'J1 B - Butcher Terrace'!$A$12:$A$130,"&lt;"&amp;Diagram!$P54),SUMIFS(INDIRECT(ADDRESS(12,3+18*3+(14),,,"J1 B - Butcher Terrace")&amp;":"&amp;ADDRESS(130,3+18*3+(14))),'J1 B - Butcher Terrace'!$A$12:$A$130,"&gt;="&amp;Diagram!$O54,'J1 B - Butcher Terrace'!$A$12:$A$130,"&lt;"&amp;Diagram!$P54)))</f>
        <v>0</v>
      </c>
      <c r="DW54" s="42">
        <f ca="1">IF(OR($I$10="",$O54="",$P54="",$J$41&lt;&gt;"Yes"),0,IF($K$10=0,SUMIFS(INDIRECT(ADDRESS(12,3+18*0+(6),,,"J1 B - Butcher Terrace")&amp;":"&amp;ADDRESS(130,3+18*0+(6))),'J1 B - Butcher Terrace'!$A$12:$A$130,"&gt;="&amp;Diagram!$O54,'J1 B - Butcher Terrace'!$A$12:$A$130,"&lt;"&amp;Diagram!$P54),SUMIFS(INDIRECT(ADDRESS(12,3+18*0+(14),,,"J1 B - Butcher Terrace")&amp;":"&amp;ADDRESS(130,3+18*0+(14))),'J1 B - Butcher Terrace'!$A$12:$A$130,"&gt;="&amp;Diagram!$O54,'J1 B - Butcher Terrace'!$A$12:$A$130,"&lt;"&amp;Diagram!$P54)))</f>
        <v>0</v>
      </c>
      <c r="DX54" s="42">
        <f ca="1">IF(OR($I$10="",$O54="",$P54="",$J$41&lt;&gt;"Yes"),0,IF($K$10=0,SUMIFS(INDIRECT(ADDRESS(12,3+18*1+(6),,,"J1 B - Butcher Terrace")&amp;":"&amp;ADDRESS(130,3+18*1+(6))),'J1 B - Butcher Terrace'!$A$12:$A$130,"&gt;="&amp;Diagram!$O54,'J1 B - Butcher Terrace'!$A$12:$A$130,"&lt;"&amp;Diagram!$P54),SUMIFS(INDIRECT(ADDRESS(12,3+18*1+(14),,,"J1 B - Butcher Terrace")&amp;":"&amp;ADDRESS(130,3+18*1+(14))),'J1 B - Butcher Terrace'!$A$12:$A$130,"&gt;="&amp;Diagram!$O54,'J1 B - Butcher Terrace'!$A$12:$A$130,"&lt;"&amp;Diagram!$P54)))</f>
        <v>0</v>
      </c>
      <c r="DY54" s="42">
        <f ca="1">IF(OR($I$10="",$O54="",$P54="",$J$41&lt;&gt;"Yes"),0,IF($K$10=0,SUMIFS(INDIRECT(ADDRESS(12,3+18*1+(6),,,"J1 C - (South) Bishopthorpe Roa")&amp;":"&amp;ADDRESS(130,3+18*1+(6))),'J1 C - (South) Bishopthorpe Roa'!$A$12:$A$130,"&gt;="&amp;Diagram!$O54,'J1 C - (South) Bishopthorpe Roa'!$A$12:$A$130,"&lt;"&amp;Diagram!$P54),SUMIFS(INDIRECT(ADDRESS(12,3+18*1+(14),,,"J1 C - (South) Bishopthorpe Roa")&amp;":"&amp;ADDRESS(130,3+18*1+(14))),'J1 C - (South) Bishopthorpe Roa'!$A$12:$A$130,"&gt;="&amp;Diagram!$O54,'J1 C - (South) Bishopthorpe Roa'!$A$12:$A$130,"&lt;"&amp;Diagram!$P54)))</f>
        <v>3</v>
      </c>
      <c r="DZ54" s="42">
        <f ca="1">IF(OR($I$10="",$O54="",$P54="",$J$41&lt;&gt;"Yes"),0,IF($K$10=0,SUMIFS(INDIRECT(ADDRESS(12,3+18*2+(6),,,"J1 C - (South) Bishopthorpe Roa")&amp;":"&amp;ADDRESS(130,3+18*2+(6))),'J1 C - (South) Bishopthorpe Roa'!$A$12:$A$130,"&gt;="&amp;Diagram!$O54,'J1 C - (South) Bishopthorpe Roa'!$A$12:$A$130,"&lt;"&amp;Diagram!$P54),SUMIFS(INDIRECT(ADDRESS(12,3+18*2+(14),,,"J1 C - (South) Bishopthorpe Roa")&amp;":"&amp;ADDRESS(130,3+18*2+(14))),'J1 C - (South) Bishopthorpe Roa'!$A$12:$A$130,"&gt;="&amp;Diagram!$O54,'J1 C - (South) Bishopthorpe Roa'!$A$12:$A$130,"&lt;"&amp;Diagram!$P54)))</f>
        <v>0</v>
      </c>
      <c r="EA54" s="42">
        <f ca="1">IF(OR($I$10="",$O54="",$P54="",$J$41&lt;&gt;"Yes"),0,IF($K$10=0,SUMIFS(INDIRECT(ADDRESS(12,3+18*3+(6),,,"J1 C - (South) Bishopthorpe Roa")&amp;":"&amp;ADDRESS(130,3+18*3+(6))),'J1 C - (South) Bishopthorpe Roa'!$A$12:$A$130,"&gt;="&amp;Diagram!$O54,'J1 C - (South) Bishopthorpe Roa'!$A$12:$A$130,"&lt;"&amp;Diagram!$P54),SUMIFS(INDIRECT(ADDRESS(12,3+18*3+(14),,,"J1 C - (South) Bishopthorpe Roa")&amp;":"&amp;ADDRESS(130,3+18*3+(14))),'J1 C - (South) Bishopthorpe Roa'!$A$12:$A$130,"&gt;="&amp;Diagram!$O54,'J1 C - (South) Bishopthorpe Roa'!$A$12:$A$130,"&lt;"&amp;Diagram!$P54)))</f>
        <v>0</v>
      </c>
      <c r="EB54" s="42">
        <f ca="1">IF(OR($I$10="",$O54="",$P54="",$J$41&lt;&gt;"Yes"),0,IF($K$10=0,SUMIFS(INDIRECT(ADDRESS(12,3+18*0+(6),,,"J1 C - (South) Bishopthorpe Roa")&amp;":"&amp;ADDRESS(130,3+18*0+(6))),'J1 C - (South) Bishopthorpe Roa'!$A$12:$A$130,"&gt;="&amp;Diagram!$O54,'J1 C - (South) Bishopthorpe Roa'!$A$12:$A$130,"&lt;"&amp;Diagram!$P54),SUMIFS(INDIRECT(ADDRESS(12,3+18*0+(14),,,"J1 C - (South) Bishopthorpe Roa")&amp;":"&amp;ADDRESS(130,3+18*0+(14))),'J1 C - (South) Bishopthorpe Roa'!$A$12:$A$130,"&gt;="&amp;Diagram!$O54,'J1 C - (South) Bishopthorpe Roa'!$A$12:$A$130,"&lt;"&amp;Diagram!$P54)))</f>
        <v>0</v>
      </c>
      <c r="EC54" s="42">
        <f ca="1">IF(OR($I$10="",$O54="",$P54="",$J$41&lt;&gt;"Yes"),0,IF($K$10=0,SUMIFS(INDIRECT(ADDRESS(12,3+18*0+(6),,,"J1 D - South Bank Avenue")&amp;":"&amp;ADDRESS(130,3+18*0+(6))),'J1 D - South Bank Avenue'!$A$12:$A$130,"&gt;="&amp;Diagram!$O54,'J1 D - South Bank Avenue'!$A$12:$A$130,"&lt;"&amp;Diagram!$P54),SUMIFS(INDIRECT(ADDRESS(12,3+18*0+(14),,,"J1 D - South Bank Avenue")&amp;":"&amp;ADDRESS(130,3+18*0+(14))),'J1 D - South Bank Avenue'!$A$12:$A$130,"&gt;="&amp;Diagram!$O54,'J1 D - South Bank Avenue'!$A$12:$A$130,"&lt;"&amp;Diagram!$P54)))</f>
        <v>0</v>
      </c>
      <c r="ED54" s="42">
        <f ca="1">IF(OR($I$10="",$O54="",$P54="",$J$41&lt;&gt;"Yes"),0,IF($K$10=0,SUMIFS(INDIRECT(ADDRESS(12,3+18*1+(6),,,"J1 D - South Bank Avenue")&amp;":"&amp;ADDRESS(130,3+18*1+(6))),'J1 D - South Bank Avenue'!$A$12:$A$130,"&gt;="&amp;Diagram!$O54,'J1 D - South Bank Avenue'!$A$12:$A$130,"&lt;"&amp;Diagram!$P54),SUMIFS(INDIRECT(ADDRESS(12,3+18*1+(14),,,"J1 D - South Bank Avenue")&amp;":"&amp;ADDRESS(130,3+18*1+(14))),'J1 D - South Bank Avenue'!$A$12:$A$130,"&gt;="&amp;Diagram!$O54,'J1 D - South Bank Avenue'!$A$12:$A$130,"&lt;"&amp;Diagram!$P54)))</f>
        <v>0</v>
      </c>
      <c r="EE54" s="42">
        <f ca="1">IF(OR($I$10="",$O54="",$P54="",$J$41&lt;&gt;"Yes"),0,IF($K$10=0,SUMIFS(INDIRECT(ADDRESS(12,3+18*2+(6),,,"J1 D - South Bank Avenue")&amp;":"&amp;ADDRESS(130,3+18*2+(6))),'J1 D - South Bank Avenue'!$A$12:$A$130,"&gt;="&amp;Diagram!$O54,'J1 D - South Bank Avenue'!$A$12:$A$130,"&lt;"&amp;Diagram!$P54),SUMIFS(INDIRECT(ADDRESS(12,3+18*2+(14),,,"J1 D - South Bank Avenue")&amp;":"&amp;ADDRESS(130,3+18*2+(14))),'J1 D - South Bank Avenue'!$A$12:$A$130,"&gt;="&amp;Diagram!$O54,'J1 D - South Bank Avenue'!$A$12:$A$130,"&lt;"&amp;Diagram!$P54)))</f>
        <v>0</v>
      </c>
      <c r="EF54" s="42">
        <f ca="1">IF(OR($I$10="",$O54="",$P54="",$J$41&lt;&gt;"Yes"),0,IF($K$10=0,SUMIFS(INDIRECT(ADDRESS(12,3+18*3+(6),,,"J1 D - South Bank Avenue")&amp;":"&amp;ADDRESS(130,3+18*3+(6))),'J1 D - South Bank Avenue'!$A$12:$A$130,"&gt;="&amp;Diagram!$O54,'J1 D - South Bank Avenue'!$A$12:$A$130,"&lt;"&amp;Diagram!$P54),SUMIFS(INDIRECT(ADDRESS(12,3+18*3+(14),,,"J1 D - South Bank Avenue")&amp;":"&amp;ADDRESS(130,3+18*3+(14))),'J1 D - South Bank Avenue'!$A$12:$A$130,"&gt;="&amp;Diagram!$O54,'J1 D - South Bank Avenue'!$A$12:$A$130,"&lt;"&amp;Diagram!$P54)))</f>
        <v>0</v>
      </c>
      <c r="EG54" s="42">
        <f t="shared" ca="1" si="8"/>
        <v>1</v>
      </c>
      <c r="EH54" s="42">
        <f ca="1">IF(OR($I$10="",$O54="",$P54="",$J$42&lt;&gt;"Yes"),0,IF($K$10=0,SUMIFS(INDIRECT(ADDRESS(12,3+18*3+(7),,,"J1 A - (North) Bishopthorpe Roa")&amp;":"&amp;ADDRESS(130,3+18*3+(7))),'J1 A - (North) Bishopthorpe Roa'!$A$12:$A$130,"&gt;="&amp;Diagram!$O54,'J1 A - (North) Bishopthorpe Roa'!$A$12:$A$130,"&lt;"&amp;Diagram!$P54),SUMIFS(INDIRECT(ADDRESS(12,3+18*3+(15),,,"J1 A - (North) Bishopthorpe Roa")&amp;":"&amp;ADDRESS(130,3+18*3+(15))),'J1 A - (North) Bishopthorpe Roa'!$A$12:$A$130,"&gt;="&amp;Diagram!$O54,'J1 A - (North) Bishopthorpe Roa'!$A$12:$A$130,"&lt;"&amp;Diagram!$P54)))</f>
        <v>0</v>
      </c>
      <c r="EI54" s="42">
        <f ca="1">IF(OR($I$10="",$O54="",$P54="",$J$42&lt;&gt;"Yes"),0,IF($K$10=0,SUMIFS(INDIRECT(ADDRESS(12,3+18*0+(7),,,"J1 A - (North) Bishopthorpe Roa")&amp;":"&amp;ADDRESS(130,3+18*0+(7))),'J1 A - (North) Bishopthorpe Roa'!$A$12:$A$130,"&gt;="&amp;Diagram!$O54,'J1 A - (North) Bishopthorpe Roa'!$A$12:$A$130,"&lt;"&amp;Diagram!$P54),SUMIFS(INDIRECT(ADDRESS(12,3+18*0+(15),,,"J1 A - (North) Bishopthorpe Roa")&amp;":"&amp;ADDRESS(130,3+18*0+(15))),'J1 A - (North) Bishopthorpe Roa'!$A$12:$A$130,"&gt;="&amp;Diagram!$O54,'J1 A - (North) Bishopthorpe Roa'!$A$12:$A$130,"&lt;"&amp;Diagram!$P54)))</f>
        <v>1</v>
      </c>
      <c r="EJ54" s="42">
        <f ca="1">IF(OR($I$10="",$O54="",$P54="",$J$42&lt;&gt;"Yes"),0,IF($K$10=0,SUMIFS(INDIRECT(ADDRESS(12,3+18*1+(7),,,"J1 A - (North) Bishopthorpe Roa")&amp;":"&amp;ADDRESS(130,3+18*1+(7))),'J1 A - (North) Bishopthorpe Roa'!$A$12:$A$130,"&gt;="&amp;Diagram!$O54,'J1 A - (North) Bishopthorpe Roa'!$A$12:$A$130,"&lt;"&amp;Diagram!$P54),SUMIFS(INDIRECT(ADDRESS(12,3+18*1+(15),,,"J1 A - (North) Bishopthorpe Roa")&amp;":"&amp;ADDRESS(130,3+18*1+(15))),'J1 A - (North) Bishopthorpe Roa'!$A$12:$A$130,"&gt;="&amp;Diagram!$O54,'J1 A - (North) Bishopthorpe Roa'!$A$12:$A$130,"&lt;"&amp;Diagram!$P54)))</f>
        <v>0</v>
      </c>
      <c r="EK54" s="42">
        <f ca="1">IF(OR($I$10="",$O54="",$P54="",$J$42&lt;&gt;"Yes"),0,IF($K$10=0,SUMIFS(INDIRECT(ADDRESS(12,3+18*2+(7),,,"J1 A - (North) Bishopthorpe Roa")&amp;":"&amp;ADDRESS(130,3+18*2+(7))),'J1 A - (North) Bishopthorpe Roa'!$A$12:$A$130,"&gt;="&amp;Diagram!$O54,'J1 A - (North) Bishopthorpe Roa'!$A$12:$A$130,"&lt;"&amp;Diagram!$P54),SUMIFS(INDIRECT(ADDRESS(12,3+18*2+(15),,,"J1 A - (North) Bishopthorpe Roa")&amp;":"&amp;ADDRESS(130,3+18*2+(15))),'J1 A - (North) Bishopthorpe Roa'!$A$12:$A$130,"&gt;="&amp;Diagram!$O54,'J1 A - (North) Bishopthorpe Roa'!$A$12:$A$130,"&lt;"&amp;Diagram!$P54)))</f>
        <v>0</v>
      </c>
      <c r="EL54" s="42">
        <f ca="1">IF(OR($I$10="",$O54="",$P54="",$J$42&lt;&gt;"Yes"),0,IF($K$10=0,SUMIFS(INDIRECT(ADDRESS(12,3+18*2+(7),,,"J1 B - Butcher Terrace")&amp;":"&amp;ADDRESS(130,3+18*2+(7))),'J1 B - Butcher Terrace'!$A$12:$A$130,"&gt;="&amp;Diagram!$O54,'J1 B - Butcher Terrace'!$A$12:$A$130,"&lt;"&amp;Diagram!$P54),SUMIFS(INDIRECT(ADDRESS(12,3+18*2+(15),,,"J1 B - Butcher Terrace")&amp;":"&amp;ADDRESS(130,3+18*2+(15))),'J1 B - Butcher Terrace'!$A$12:$A$130,"&gt;="&amp;Diagram!$O54,'J1 B - Butcher Terrace'!$A$12:$A$130,"&lt;"&amp;Diagram!$P54)))</f>
        <v>0</v>
      </c>
      <c r="EM54" s="42">
        <f ca="1">IF(OR($I$10="",$O54="",$P54="",$J$42&lt;&gt;"Yes"),0,IF($K$10=0,SUMIFS(INDIRECT(ADDRESS(12,3+18*3+(7),,,"J1 B - Butcher Terrace")&amp;":"&amp;ADDRESS(130,3+18*3+(7))),'J1 B - Butcher Terrace'!$A$12:$A$130,"&gt;="&amp;Diagram!$O54,'J1 B - Butcher Terrace'!$A$12:$A$130,"&lt;"&amp;Diagram!$P54),SUMIFS(INDIRECT(ADDRESS(12,3+18*3+(15),,,"J1 B - Butcher Terrace")&amp;":"&amp;ADDRESS(130,3+18*3+(15))),'J1 B - Butcher Terrace'!$A$12:$A$130,"&gt;="&amp;Diagram!$O54,'J1 B - Butcher Terrace'!$A$12:$A$130,"&lt;"&amp;Diagram!$P54)))</f>
        <v>0</v>
      </c>
      <c r="EN54" s="42">
        <f ca="1">IF(OR($I$10="",$O54="",$P54="",$J$42&lt;&gt;"Yes"),0,IF($K$10=0,SUMIFS(INDIRECT(ADDRESS(12,3+18*0+(7),,,"J1 B - Butcher Terrace")&amp;":"&amp;ADDRESS(130,3+18*0+(7))),'J1 B - Butcher Terrace'!$A$12:$A$130,"&gt;="&amp;Diagram!$O54,'J1 B - Butcher Terrace'!$A$12:$A$130,"&lt;"&amp;Diagram!$P54),SUMIFS(INDIRECT(ADDRESS(12,3+18*0+(15),,,"J1 B - Butcher Terrace")&amp;":"&amp;ADDRESS(130,3+18*0+(15))),'J1 B - Butcher Terrace'!$A$12:$A$130,"&gt;="&amp;Diagram!$O54,'J1 B - Butcher Terrace'!$A$12:$A$130,"&lt;"&amp;Diagram!$P54)))</f>
        <v>0</v>
      </c>
      <c r="EO54" s="42">
        <f ca="1">IF(OR($I$10="",$O54="",$P54="",$J$42&lt;&gt;"Yes"),0,IF($K$10=0,SUMIFS(INDIRECT(ADDRESS(12,3+18*1+(7),,,"J1 B - Butcher Terrace")&amp;":"&amp;ADDRESS(130,3+18*1+(7))),'J1 B - Butcher Terrace'!$A$12:$A$130,"&gt;="&amp;Diagram!$O54,'J1 B - Butcher Terrace'!$A$12:$A$130,"&lt;"&amp;Diagram!$P54),SUMIFS(INDIRECT(ADDRESS(12,3+18*1+(15),,,"J1 B - Butcher Terrace")&amp;":"&amp;ADDRESS(130,3+18*1+(15))),'J1 B - Butcher Terrace'!$A$12:$A$130,"&gt;="&amp;Diagram!$O54,'J1 B - Butcher Terrace'!$A$12:$A$130,"&lt;"&amp;Diagram!$P54)))</f>
        <v>0</v>
      </c>
      <c r="EP54" s="42">
        <f ca="1">IF(OR($I$10="",$O54="",$P54="",$J$42&lt;&gt;"Yes"),0,IF($K$10=0,SUMIFS(INDIRECT(ADDRESS(12,3+18*1+(7),,,"J1 C - (South) Bishopthorpe Roa")&amp;":"&amp;ADDRESS(130,3+18*1+(7))),'J1 C - (South) Bishopthorpe Roa'!$A$12:$A$130,"&gt;="&amp;Diagram!$O54,'J1 C - (South) Bishopthorpe Roa'!$A$12:$A$130,"&lt;"&amp;Diagram!$P54),SUMIFS(INDIRECT(ADDRESS(12,3+18*1+(15),,,"J1 C - (South) Bishopthorpe Roa")&amp;":"&amp;ADDRESS(130,3+18*1+(15))),'J1 C - (South) Bishopthorpe Roa'!$A$12:$A$130,"&gt;="&amp;Diagram!$O54,'J1 C - (South) Bishopthorpe Roa'!$A$12:$A$130,"&lt;"&amp;Diagram!$P54)))</f>
        <v>0</v>
      </c>
      <c r="EQ54" s="42">
        <f ca="1">IF(OR($I$10="",$O54="",$P54="",$J$42&lt;&gt;"Yes"),0,IF($K$10=0,SUMIFS(INDIRECT(ADDRESS(12,3+18*2+(7),,,"J1 C - (South) Bishopthorpe Roa")&amp;":"&amp;ADDRESS(130,3+18*2+(7))),'J1 C - (South) Bishopthorpe Roa'!$A$12:$A$130,"&gt;="&amp;Diagram!$O54,'J1 C - (South) Bishopthorpe Roa'!$A$12:$A$130,"&lt;"&amp;Diagram!$P54),SUMIFS(INDIRECT(ADDRESS(12,3+18*2+(15),,,"J1 C - (South) Bishopthorpe Roa")&amp;":"&amp;ADDRESS(130,3+18*2+(15))),'J1 C - (South) Bishopthorpe Roa'!$A$12:$A$130,"&gt;="&amp;Diagram!$O54,'J1 C - (South) Bishopthorpe Roa'!$A$12:$A$130,"&lt;"&amp;Diagram!$P54)))</f>
        <v>0</v>
      </c>
      <c r="ER54" s="42">
        <f ca="1">IF(OR($I$10="",$O54="",$P54="",$J$42&lt;&gt;"Yes"),0,IF($K$10=0,SUMIFS(INDIRECT(ADDRESS(12,3+18*3+(7),,,"J1 C - (South) Bishopthorpe Roa")&amp;":"&amp;ADDRESS(130,3+18*3+(7))),'J1 C - (South) Bishopthorpe Roa'!$A$12:$A$130,"&gt;="&amp;Diagram!$O54,'J1 C - (South) Bishopthorpe Roa'!$A$12:$A$130,"&lt;"&amp;Diagram!$P54),SUMIFS(INDIRECT(ADDRESS(12,3+18*3+(15),,,"J1 C - (South) Bishopthorpe Roa")&amp;":"&amp;ADDRESS(130,3+18*3+(15))),'J1 C - (South) Bishopthorpe Roa'!$A$12:$A$130,"&gt;="&amp;Diagram!$O54,'J1 C - (South) Bishopthorpe Roa'!$A$12:$A$130,"&lt;"&amp;Diagram!$P54)))</f>
        <v>0</v>
      </c>
      <c r="ES54" s="42">
        <f ca="1">IF(OR($I$10="",$O54="",$P54="",$J$42&lt;&gt;"Yes"),0,IF($K$10=0,SUMIFS(INDIRECT(ADDRESS(12,3+18*0+(7),,,"J1 C - (South) Bishopthorpe Roa")&amp;":"&amp;ADDRESS(130,3+18*0+(7))),'J1 C - (South) Bishopthorpe Roa'!$A$12:$A$130,"&gt;="&amp;Diagram!$O54,'J1 C - (South) Bishopthorpe Roa'!$A$12:$A$130,"&lt;"&amp;Diagram!$P54),SUMIFS(INDIRECT(ADDRESS(12,3+18*0+(15),,,"J1 C - (South) Bishopthorpe Roa")&amp;":"&amp;ADDRESS(130,3+18*0+(15))),'J1 C - (South) Bishopthorpe Roa'!$A$12:$A$130,"&gt;="&amp;Diagram!$O54,'J1 C - (South) Bishopthorpe Roa'!$A$12:$A$130,"&lt;"&amp;Diagram!$P54)))</f>
        <v>0</v>
      </c>
      <c r="ET54" s="42">
        <f ca="1">IF(OR($I$10="",$O54="",$P54="",$J$42&lt;&gt;"Yes"),0,IF($K$10=0,SUMIFS(INDIRECT(ADDRESS(12,3+18*0+(7),,,"J1 D - South Bank Avenue")&amp;":"&amp;ADDRESS(130,3+18*0+(7))),'J1 D - South Bank Avenue'!$A$12:$A$130,"&gt;="&amp;Diagram!$O54,'J1 D - South Bank Avenue'!$A$12:$A$130,"&lt;"&amp;Diagram!$P54),SUMIFS(INDIRECT(ADDRESS(12,3+18*0+(15),,,"J1 D - South Bank Avenue")&amp;":"&amp;ADDRESS(130,3+18*0+(15))),'J1 D - South Bank Avenue'!$A$12:$A$130,"&gt;="&amp;Diagram!$O54,'J1 D - South Bank Avenue'!$A$12:$A$130,"&lt;"&amp;Diagram!$P54)))</f>
        <v>0</v>
      </c>
      <c r="EU54" s="42">
        <f ca="1">IF(OR($I$10="",$O54="",$P54="",$J$42&lt;&gt;"Yes"),0,IF($K$10=0,SUMIFS(INDIRECT(ADDRESS(12,3+18*1+(7),,,"J1 D - South Bank Avenue")&amp;":"&amp;ADDRESS(130,3+18*1+(7))),'J1 D - South Bank Avenue'!$A$12:$A$130,"&gt;="&amp;Diagram!$O54,'J1 D - South Bank Avenue'!$A$12:$A$130,"&lt;"&amp;Diagram!$P54),SUMIFS(INDIRECT(ADDRESS(12,3+18*1+(15),,,"J1 D - South Bank Avenue")&amp;":"&amp;ADDRESS(130,3+18*1+(15))),'J1 D - South Bank Avenue'!$A$12:$A$130,"&gt;="&amp;Diagram!$O54,'J1 D - South Bank Avenue'!$A$12:$A$130,"&lt;"&amp;Diagram!$P54)))</f>
        <v>0</v>
      </c>
      <c r="EV54" s="42">
        <f ca="1">IF(OR($I$10="",$O54="",$P54="",$J$42&lt;&gt;"Yes"),0,IF($K$10=0,SUMIFS(INDIRECT(ADDRESS(12,3+18*2+(7),,,"J1 D - South Bank Avenue")&amp;":"&amp;ADDRESS(130,3+18*2+(7))),'J1 D - South Bank Avenue'!$A$12:$A$130,"&gt;="&amp;Diagram!$O54,'J1 D - South Bank Avenue'!$A$12:$A$130,"&lt;"&amp;Diagram!$P54),SUMIFS(INDIRECT(ADDRESS(12,3+18*2+(15),,,"J1 D - South Bank Avenue")&amp;":"&amp;ADDRESS(130,3+18*2+(15))),'J1 D - South Bank Avenue'!$A$12:$A$130,"&gt;="&amp;Diagram!$O54,'J1 D - South Bank Avenue'!$A$12:$A$130,"&lt;"&amp;Diagram!$P54)))</f>
        <v>0</v>
      </c>
      <c r="EW54" s="42">
        <f ca="1">IF(OR($I$10="",$O54="",$P54="",$J$42&lt;&gt;"Yes"),0,IF($K$10=0,SUMIFS(INDIRECT(ADDRESS(12,3+18*3+(7),,,"J1 D - South Bank Avenue")&amp;":"&amp;ADDRESS(130,3+18*3+(7))),'J1 D - South Bank Avenue'!$A$12:$A$130,"&gt;="&amp;Diagram!$O54,'J1 D - South Bank Avenue'!$A$12:$A$130,"&lt;"&amp;Diagram!$P54),SUMIFS(INDIRECT(ADDRESS(12,3+18*3+(15),,,"J1 D - South Bank Avenue")&amp;":"&amp;ADDRESS(130,3+18*3+(15))),'J1 D - South Bank Avenue'!$A$12:$A$130,"&gt;="&amp;Diagram!$O54,'J1 D - South Bank Avenue'!$A$12:$A$130,"&lt;"&amp;Diagram!$P54)))</f>
        <v>0</v>
      </c>
    </row>
    <row r="55" spans="1:153">
      <c r="A55" s="1">
        <v>44395.5625</v>
      </c>
      <c r="B55" s="1">
        <v>44395.572916666701</v>
      </c>
      <c r="O55" s="3">
        <v>44395.5625</v>
      </c>
      <c r="P55" s="3">
        <v>44395.604166666701</v>
      </c>
      <c r="Q55" s="42">
        <f t="shared" ca="1" si="0"/>
        <v>725</v>
      </c>
      <c r="R55" s="42">
        <f t="shared" ca="1" si="1"/>
        <v>513</v>
      </c>
      <c r="S55" s="42">
        <f ca="1">IF(OR($I$10="",$O55="",$P55="",$J$35&lt;&gt;"Yes"),0,IF($K$10=0,SUMIFS(INDIRECT(ADDRESS(12,3+18*3+(0),,,"J1 A - (North) Bishopthorpe Roa")&amp;":"&amp;ADDRESS(130,3+18*3+(0))),'J1 A - (North) Bishopthorpe Roa'!$A$12:$A$130,"&gt;="&amp;Diagram!$O55,'J1 A - (North) Bishopthorpe Roa'!$A$12:$A$130,"&lt;"&amp;Diagram!$P55),SUMIFS(INDIRECT(ADDRESS(12,3+18*3+(8),,,"J1 A - (North) Bishopthorpe Roa")&amp;":"&amp;ADDRESS(130,3+18*3+(8))),'J1 A - (North) Bishopthorpe Roa'!$A$12:$A$130,"&gt;="&amp;Diagram!$O55,'J1 A - (North) Bishopthorpe Roa'!$A$12:$A$130,"&lt;"&amp;Diagram!$P55)))</f>
        <v>3</v>
      </c>
      <c r="T55" s="42">
        <f ca="1">IF(OR($I$10="",$O55="",$P55="",$J$35&lt;&gt;"Yes"),0,IF($K$10=0,SUMIFS(INDIRECT(ADDRESS(12,3+18*0+(0),,,"J1 A - (North) Bishopthorpe Roa")&amp;":"&amp;ADDRESS(130,3+18*0+(0))),'J1 A - (North) Bishopthorpe Roa'!$A$12:$A$130,"&gt;="&amp;Diagram!$O55,'J1 A - (North) Bishopthorpe Roa'!$A$12:$A$130,"&lt;"&amp;Diagram!$P55),SUMIFS(INDIRECT(ADDRESS(12,3+18*0+(8),,,"J1 A - (North) Bishopthorpe Roa")&amp;":"&amp;ADDRESS(130,3+18*0+(8))),'J1 A - (North) Bishopthorpe Roa'!$A$12:$A$130,"&gt;="&amp;Diagram!$O55,'J1 A - (North) Bishopthorpe Roa'!$A$12:$A$130,"&lt;"&amp;Diagram!$P55)))</f>
        <v>26</v>
      </c>
      <c r="U55" s="42">
        <f ca="1">IF(OR($I$10="",$O55="",$P55="",$J$35&lt;&gt;"Yes"),0,IF($K$10=0,SUMIFS(INDIRECT(ADDRESS(12,3+18*1+(0),,,"J1 A - (North) Bishopthorpe Roa")&amp;":"&amp;ADDRESS(130,3+18*1+(0))),'J1 A - (North) Bishopthorpe Roa'!$A$12:$A$130,"&gt;="&amp;Diagram!$O55,'J1 A - (North) Bishopthorpe Roa'!$A$12:$A$130,"&lt;"&amp;Diagram!$P55),SUMIFS(INDIRECT(ADDRESS(12,3+18*1+(8),,,"J1 A - (North) Bishopthorpe Roa")&amp;":"&amp;ADDRESS(130,3+18*1+(8))),'J1 A - (North) Bishopthorpe Roa'!$A$12:$A$130,"&gt;="&amp;Diagram!$O55,'J1 A - (North) Bishopthorpe Roa'!$A$12:$A$130,"&lt;"&amp;Diagram!$P55)))</f>
        <v>213</v>
      </c>
      <c r="V55" s="42">
        <f ca="1">IF(OR($I$10="",$O55="",$P55="",$J$35&lt;&gt;"Yes"),0,IF($K$10=0,SUMIFS(INDIRECT(ADDRESS(12,3+18*2+(0),,,"J1 A - (North) Bishopthorpe Roa")&amp;":"&amp;ADDRESS(130,3+18*2+(0))),'J1 A - (North) Bishopthorpe Roa'!$A$12:$A$130,"&gt;="&amp;Diagram!$O55,'J1 A - (North) Bishopthorpe Roa'!$A$12:$A$130,"&lt;"&amp;Diagram!$P55),SUMIFS(INDIRECT(ADDRESS(12,3+18*2+(8),,,"J1 A - (North) Bishopthorpe Roa")&amp;":"&amp;ADDRESS(130,3+18*2+(8))),'J1 A - (North) Bishopthorpe Roa'!$A$12:$A$130,"&gt;="&amp;Diagram!$O55,'J1 A - (North) Bishopthorpe Roa'!$A$12:$A$130,"&lt;"&amp;Diagram!$P55)))</f>
        <v>18</v>
      </c>
      <c r="W55" s="42">
        <f ca="1">IF(OR($I$10="",$O55="",$P55="",$J$35&lt;&gt;"Yes"),0,IF($K$10=0,SUMIFS(INDIRECT(ADDRESS(12,3+18*2+(0),,,"J1 B - Butcher Terrace")&amp;":"&amp;ADDRESS(130,3+18*2+(0))),'J1 B - Butcher Terrace'!$A$12:$A$130,"&gt;="&amp;Diagram!$O55,'J1 B - Butcher Terrace'!$A$12:$A$130,"&lt;"&amp;Diagram!$P55),SUMIFS(INDIRECT(ADDRESS(12,3+18*2+(8),,,"J1 B - Butcher Terrace")&amp;":"&amp;ADDRESS(130,3+18*2+(8))),'J1 B - Butcher Terrace'!$A$12:$A$130,"&gt;="&amp;Diagram!$O55,'J1 B - Butcher Terrace'!$A$12:$A$130,"&lt;"&amp;Diagram!$P55)))</f>
        <v>12</v>
      </c>
      <c r="X55" s="42">
        <f ca="1">IF(OR($I$10="",$O55="",$P55="",$J$35&lt;&gt;"Yes"),0,IF($K$10=0,SUMIFS(INDIRECT(ADDRESS(12,3+18*3+(0),,,"J1 B - Butcher Terrace")&amp;":"&amp;ADDRESS(130,3+18*3+(0))),'J1 B - Butcher Terrace'!$A$12:$A$130,"&gt;="&amp;Diagram!$O55,'J1 B - Butcher Terrace'!$A$12:$A$130,"&lt;"&amp;Diagram!$P55),SUMIFS(INDIRECT(ADDRESS(12,3+18*3+(8),,,"J1 B - Butcher Terrace")&amp;":"&amp;ADDRESS(130,3+18*3+(8))),'J1 B - Butcher Terrace'!$A$12:$A$130,"&gt;="&amp;Diagram!$O55,'J1 B - Butcher Terrace'!$A$12:$A$130,"&lt;"&amp;Diagram!$P55)))</f>
        <v>0</v>
      </c>
      <c r="Y55" s="42">
        <f ca="1">IF(OR($I$10="",$O55="",$P55="",$J$35&lt;&gt;"Yes"),0,IF($K$10=0,SUMIFS(INDIRECT(ADDRESS(12,3+18*0+(0),,,"J1 B - Butcher Terrace")&amp;":"&amp;ADDRESS(130,3+18*0+(0))),'J1 B - Butcher Terrace'!$A$12:$A$130,"&gt;="&amp;Diagram!$O55,'J1 B - Butcher Terrace'!$A$12:$A$130,"&lt;"&amp;Diagram!$P55),SUMIFS(INDIRECT(ADDRESS(12,3+18*0+(8),,,"J1 B - Butcher Terrace")&amp;":"&amp;ADDRESS(130,3+18*0+(8))),'J1 B - Butcher Terrace'!$A$12:$A$130,"&gt;="&amp;Diagram!$O55,'J1 B - Butcher Terrace'!$A$12:$A$130,"&lt;"&amp;Diagram!$P55)))</f>
        <v>10</v>
      </c>
      <c r="Z55" s="42">
        <f ca="1">IF(OR($I$10="",$O55="",$P55="",$J$35&lt;&gt;"Yes"),0,IF($K$10=0,SUMIFS(INDIRECT(ADDRESS(12,3+18*1+(0),,,"J1 B - Butcher Terrace")&amp;":"&amp;ADDRESS(130,3+18*1+(0))),'J1 B - Butcher Terrace'!$A$12:$A$130,"&gt;="&amp;Diagram!$O55,'J1 B - Butcher Terrace'!$A$12:$A$130,"&lt;"&amp;Diagram!$P55),SUMIFS(INDIRECT(ADDRESS(12,3+18*1+(8),,,"J1 B - Butcher Terrace")&amp;":"&amp;ADDRESS(130,3+18*1+(8))),'J1 B - Butcher Terrace'!$A$12:$A$130,"&gt;="&amp;Diagram!$O55,'J1 B - Butcher Terrace'!$A$12:$A$130,"&lt;"&amp;Diagram!$P55)))</f>
        <v>1</v>
      </c>
      <c r="AA55" s="42">
        <f ca="1">IF(OR($I$10="",$O55="",$P55="",$J$35&lt;&gt;"Yes"),0,IF($K$10=0,SUMIFS(INDIRECT(ADDRESS(12,3+18*1+(0),,,"J1 C - (South) Bishopthorpe Roa")&amp;":"&amp;ADDRESS(130,3+18*1+(0))),'J1 C - (South) Bishopthorpe Roa'!$A$12:$A$130,"&gt;="&amp;Diagram!$O55,'J1 C - (South) Bishopthorpe Roa'!$A$12:$A$130,"&lt;"&amp;Diagram!$P55),SUMIFS(INDIRECT(ADDRESS(12,3+18*1+(8),,,"J1 C - (South) Bishopthorpe Roa")&amp;":"&amp;ADDRESS(130,3+18*1+(8))),'J1 C - (South) Bishopthorpe Roa'!$A$12:$A$130,"&gt;="&amp;Diagram!$O55,'J1 C - (South) Bishopthorpe Roa'!$A$12:$A$130,"&lt;"&amp;Diagram!$P55)))</f>
        <v>187</v>
      </c>
      <c r="AB55" s="42">
        <f ca="1">IF(OR($I$10="",$O55="",$P55="",$J$35&lt;&gt;"Yes"),0,IF($K$10=0,SUMIFS(INDIRECT(ADDRESS(12,3+18*2+(0),,,"J1 C - (South) Bishopthorpe Roa")&amp;":"&amp;ADDRESS(130,3+18*2+(0))),'J1 C - (South) Bishopthorpe Roa'!$A$12:$A$130,"&gt;="&amp;Diagram!$O55,'J1 C - (South) Bishopthorpe Roa'!$A$12:$A$130,"&lt;"&amp;Diagram!$P55),SUMIFS(INDIRECT(ADDRESS(12,3+18*2+(8),,,"J1 C - (South) Bishopthorpe Roa")&amp;":"&amp;ADDRESS(130,3+18*2+(8))),'J1 C - (South) Bishopthorpe Roa'!$A$12:$A$130,"&gt;="&amp;Diagram!$O55,'J1 C - (South) Bishopthorpe Roa'!$A$12:$A$130,"&lt;"&amp;Diagram!$P55)))</f>
        <v>3</v>
      </c>
      <c r="AC55" s="42">
        <f ca="1">IF(OR($I$10="",$O55="",$P55="",$J$35&lt;&gt;"Yes"),0,IF($K$10=0,SUMIFS(INDIRECT(ADDRESS(12,3+18*3+(0),,,"J1 C - (South) Bishopthorpe Roa")&amp;":"&amp;ADDRESS(130,3+18*3+(0))),'J1 C - (South) Bishopthorpe Roa'!$A$12:$A$130,"&gt;="&amp;Diagram!$O55,'J1 C - (South) Bishopthorpe Roa'!$A$12:$A$130,"&lt;"&amp;Diagram!$P55),SUMIFS(INDIRECT(ADDRESS(12,3+18*3+(8),,,"J1 C - (South) Bishopthorpe Roa")&amp;":"&amp;ADDRESS(130,3+18*3+(8))),'J1 C - (South) Bishopthorpe Roa'!$A$12:$A$130,"&gt;="&amp;Diagram!$O55,'J1 C - (South) Bishopthorpe Roa'!$A$12:$A$130,"&lt;"&amp;Diagram!$P55)))</f>
        <v>0</v>
      </c>
      <c r="AD55" s="42">
        <f ca="1">IF(OR($I$10="",$O55="",$P55="",$J$35&lt;&gt;"Yes"),0,IF($K$10=0,SUMIFS(INDIRECT(ADDRESS(12,3+18*0+(0),,,"J1 C - (South) Bishopthorpe Roa")&amp;":"&amp;ADDRESS(130,3+18*0+(0))),'J1 C - (South) Bishopthorpe Roa'!$A$12:$A$130,"&gt;="&amp;Diagram!$O55,'J1 C - (South) Bishopthorpe Roa'!$A$12:$A$130,"&lt;"&amp;Diagram!$P55),SUMIFS(INDIRECT(ADDRESS(12,3+18*0+(8),,,"J1 C - (South) Bishopthorpe Roa")&amp;":"&amp;ADDRESS(130,3+18*0+(8))),'J1 C - (South) Bishopthorpe Roa'!$A$12:$A$130,"&gt;="&amp;Diagram!$O55,'J1 C - (South) Bishopthorpe Roa'!$A$12:$A$130,"&lt;"&amp;Diagram!$P55)))</f>
        <v>8</v>
      </c>
      <c r="AE55" s="42">
        <f ca="1">IF(OR($I$10="",$O55="",$P55="",$J$35&lt;&gt;"Yes"),0,IF($K$10=0,SUMIFS(INDIRECT(ADDRESS(12,3+18*0+(0),,,"J1 D - South Bank Avenue")&amp;":"&amp;ADDRESS(130,3+18*0+(0))),'J1 D - South Bank Avenue'!$A$12:$A$130,"&gt;="&amp;Diagram!$O55,'J1 D - South Bank Avenue'!$A$12:$A$130,"&lt;"&amp;Diagram!$P55),SUMIFS(INDIRECT(ADDRESS(12,3+18*0+(8),,,"J1 D - South Bank Avenue")&amp;":"&amp;ADDRESS(130,3+18*0+(8))),'J1 D - South Bank Avenue'!$A$12:$A$130,"&gt;="&amp;Diagram!$O55,'J1 D - South Bank Avenue'!$A$12:$A$130,"&lt;"&amp;Diagram!$P55)))</f>
        <v>21</v>
      </c>
      <c r="AF55" s="42">
        <f ca="1">IF(OR($I$10="",$O55="",$P55="",$J$35&lt;&gt;"Yes"),0,IF($K$10=0,SUMIFS(INDIRECT(ADDRESS(12,3+18*1+(0),,,"J1 D - South Bank Avenue")&amp;":"&amp;ADDRESS(130,3+18*1+(0))),'J1 D - South Bank Avenue'!$A$12:$A$130,"&gt;="&amp;Diagram!$O55,'J1 D - South Bank Avenue'!$A$12:$A$130,"&lt;"&amp;Diagram!$P55),SUMIFS(INDIRECT(ADDRESS(12,3+18*1+(8),,,"J1 D - South Bank Avenue")&amp;":"&amp;ADDRESS(130,3+18*1+(8))),'J1 D - South Bank Avenue'!$A$12:$A$130,"&gt;="&amp;Diagram!$O55,'J1 D - South Bank Avenue'!$A$12:$A$130,"&lt;"&amp;Diagram!$P55)))</f>
        <v>1</v>
      </c>
      <c r="AG55" s="42">
        <f ca="1">IF(OR($I$10="",$O55="",$P55="",$J$35&lt;&gt;"Yes"),0,IF($K$10=0,SUMIFS(INDIRECT(ADDRESS(12,3+18*2+(0),,,"J1 D - South Bank Avenue")&amp;":"&amp;ADDRESS(130,3+18*2+(0))),'J1 D - South Bank Avenue'!$A$12:$A$130,"&gt;="&amp;Diagram!$O55,'J1 D - South Bank Avenue'!$A$12:$A$130,"&lt;"&amp;Diagram!$P55),SUMIFS(INDIRECT(ADDRESS(12,3+18*2+(8),,,"J1 D - South Bank Avenue")&amp;":"&amp;ADDRESS(130,3+18*2+(8))),'J1 D - South Bank Avenue'!$A$12:$A$130,"&gt;="&amp;Diagram!$O55,'J1 D - South Bank Avenue'!$A$12:$A$130,"&lt;"&amp;Diagram!$P55)))</f>
        <v>10</v>
      </c>
      <c r="AH55" s="42">
        <f ca="1">IF(OR($I$10="",$O55="",$P55="",$J$35&lt;&gt;"Yes"),0,IF($K$10=0,SUMIFS(INDIRECT(ADDRESS(12,3+18*3+(0),,,"J1 D - South Bank Avenue")&amp;":"&amp;ADDRESS(130,3+18*3+(0))),'J1 D - South Bank Avenue'!$A$12:$A$130,"&gt;="&amp;Diagram!$O55,'J1 D - South Bank Avenue'!$A$12:$A$130,"&lt;"&amp;Diagram!$P55),SUMIFS(INDIRECT(ADDRESS(12,3+18*3+(8),,,"J1 D - South Bank Avenue")&amp;":"&amp;ADDRESS(130,3+18*3+(8))),'J1 D - South Bank Avenue'!$A$12:$A$130,"&gt;="&amp;Diagram!$O55,'J1 D - South Bank Avenue'!$A$12:$A$130,"&lt;"&amp;Diagram!$P55)))</f>
        <v>0</v>
      </c>
      <c r="AI55" s="42">
        <f t="shared" ca="1" si="2"/>
        <v>77</v>
      </c>
      <c r="AJ55" s="42">
        <f ca="1">IF(OR($I$10="",$O55="",$P55="",$J$36&lt;&gt;"Yes"),0,IF($K$10=0,SUMIFS(INDIRECT(ADDRESS(12,3+18*3+(1),,,"J1 A - (North) Bishopthorpe Roa")&amp;":"&amp;ADDRESS(130,3+18*3+(1))),'J1 A - (North) Bishopthorpe Roa'!$A$12:$A$130,"&gt;="&amp;Diagram!$O55,'J1 A - (North) Bishopthorpe Roa'!$A$12:$A$130,"&lt;"&amp;Diagram!$P55),SUMIFS(INDIRECT(ADDRESS(12,3+18*3+(9),,,"J1 A - (North) Bishopthorpe Roa")&amp;":"&amp;ADDRESS(130,3+18*3+(9))),'J1 A - (North) Bishopthorpe Roa'!$A$12:$A$130,"&gt;="&amp;Diagram!$O55,'J1 A - (North) Bishopthorpe Roa'!$A$12:$A$130,"&lt;"&amp;Diagram!$P55)))</f>
        <v>0</v>
      </c>
      <c r="AK55" s="42">
        <f ca="1">IF(OR($I$10="",$O55="",$P55="",$J$36&lt;&gt;"Yes"),0,IF($K$10=0,SUMIFS(INDIRECT(ADDRESS(12,3+18*0+(1),,,"J1 A - (North) Bishopthorpe Roa")&amp;":"&amp;ADDRESS(130,3+18*0+(1))),'J1 A - (North) Bishopthorpe Roa'!$A$12:$A$130,"&gt;="&amp;Diagram!$O55,'J1 A - (North) Bishopthorpe Roa'!$A$12:$A$130,"&lt;"&amp;Diagram!$P55),SUMIFS(INDIRECT(ADDRESS(12,3+18*0+(9),,,"J1 A - (North) Bishopthorpe Roa")&amp;":"&amp;ADDRESS(130,3+18*0+(9))),'J1 A - (North) Bishopthorpe Roa'!$A$12:$A$130,"&gt;="&amp;Diagram!$O55,'J1 A - (North) Bishopthorpe Roa'!$A$12:$A$130,"&lt;"&amp;Diagram!$P55)))</f>
        <v>7</v>
      </c>
      <c r="AL55" s="42">
        <f ca="1">IF(OR($I$10="",$O55="",$P55="",$J$36&lt;&gt;"Yes"),0,IF($K$10=0,SUMIFS(INDIRECT(ADDRESS(12,3+18*1+(1),,,"J1 A - (North) Bishopthorpe Roa")&amp;":"&amp;ADDRESS(130,3+18*1+(1))),'J1 A - (North) Bishopthorpe Roa'!$A$12:$A$130,"&gt;="&amp;Diagram!$O55,'J1 A - (North) Bishopthorpe Roa'!$A$12:$A$130,"&lt;"&amp;Diagram!$P55),SUMIFS(INDIRECT(ADDRESS(12,3+18*1+(9),,,"J1 A - (North) Bishopthorpe Roa")&amp;":"&amp;ADDRESS(130,3+18*1+(9))),'J1 A - (North) Bishopthorpe Roa'!$A$12:$A$130,"&gt;="&amp;Diagram!$O55,'J1 A - (North) Bishopthorpe Roa'!$A$12:$A$130,"&lt;"&amp;Diagram!$P55)))</f>
        <v>26</v>
      </c>
      <c r="AM55" s="42">
        <f ca="1">IF(OR($I$10="",$O55="",$P55="",$J$36&lt;&gt;"Yes"),0,IF($K$10=0,SUMIFS(INDIRECT(ADDRESS(12,3+18*2+(1),,,"J1 A - (North) Bishopthorpe Roa")&amp;":"&amp;ADDRESS(130,3+18*2+(1))),'J1 A - (North) Bishopthorpe Roa'!$A$12:$A$130,"&gt;="&amp;Diagram!$O55,'J1 A - (North) Bishopthorpe Roa'!$A$12:$A$130,"&lt;"&amp;Diagram!$P55),SUMIFS(INDIRECT(ADDRESS(12,3+18*2+(9),,,"J1 A - (North) Bishopthorpe Roa")&amp;":"&amp;ADDRESS(130,3+18*2+(9))),'J1 A - (North) Bishopthorpe Roa'!$A$12:$A$130,"&gt;="&amp;Diagram!$O55,'J1 A - (North) Bishopthorpe Roa'!$A$12:$A$130,"&lt;"&amp;Diagram!$P55)))</f>
        <v>2</v>
      </c>
      <c r="AN55" s="42">
        <f ca="1">IF(OR($I$10="",$O55="",$P55="",$J$36&lt;&gt;"Yes"),0,IF($K$10=0,SUMIFS(INDIRECT(ADDRESS(12,3+18*2+(1),,,"J1 B - Butcher Terrace")&amp;":"&amp;ADDRESS(130,3+18*2+(1))),'J1 B - Butcher Terrace'!$A$12:$A$130,"&gt;="&amp;Diagram!$O55,'J1 B - Butcher Terrace'!$A$12:$A$130,"&lt;"&amp;Diagram!$P55),SUMIFS(INDIRECT(ADDRESS(12,3+18*2+(9),,,"J1 B - Butcher Terrace")&amp;":"&amp;ADDRESS(130,3+18*2+(9))),'J1 B - Butcher Terrace'!$A$12:$A$130,"&gt;="&amp;Diagram!$O55,'J1 B - Butcher Terrace'!$A$12:$A$130,"&lt;"&amp;Diagram!$P55)))</f>
        <v>2</v>
      </c>
      <c r="AO55" s="42">
        <f ca="1">IF(OR($I$10="",$O55="",$P55="",$J$36&lt;&gt;"Yes"),0,IF($K$10=0,SUMIFS(INDIRECT(ADDRESS(12,3+18*3+(1),,,"J1 B - Butcher Terrace")&amp;":"&amp;ADDRESS(130,3+18*3+(1))),'J1 B - Butcher Terrace'!$A$12:$A$130,"&gt;="&amp;Diagram!$O55,'J1 B - Butcher Terrace'!$A$12:$A$130,"&lt;"&amp;Diagram!$P55),SUMIFS(INDIRECT(ADDRESS(12,3+18*3+(9),,,"J1 B - Butcher Terrace")&amp;":"&amp;ADDRESS(130,3+18*3+(9))),'J1 B - Butcher Terrace'!$A$12:$A$130,"&gt;="&amp;Diagram!$O55,'J1 B - Butcher Terrace'!$A$12:$A$130,"&lt;"&amp;Diagram!$P55)))</f>
        <v>0</v>
      </c>
      <c r="AP55" s="42">
        <f ca="1">IF(OR($I$10="",$O55="",$P55="",$J$36&lt;&gt;"Yes"),0,IF($K$10=0,SUMIFS(INDIRECT(ADDRESS(12,3+18*0+(1),,,"J1 B - Butcher Terrace")&amp;":"&amp;ADDRESS(130,3+18*0+(1))),'J1 B - Butcher Terrace'!$A$12:$A$130,"&gt;="&amp;Diagram!$O55,'J1 B - Butcher Terrace'!$A$12:$A$130,"&lt;"&amp;Diagram!$P55),SUMIFS(INDIRECT(ADDRESS(12,3+18*0+(9),,,"J1 B - Butcher Terrace")&amp;":"&amp;ADDRESS(130,3+18*0+(9))),'J1 B - Butcher Terrace'!$A$12:$A$130,"&gt;="&amp;Diagram!$O55,'J1 B - Butcher Terrace'!$A$12:$A$130,"&lt;"&amp;Diagram!$P55)))</f>
        <v>4</v>
      </c>
      <c r="AQ55" s="42">
        <f ca="1">IF(OR($I$10="",$O55="",$P55="",$J$36&lt;&gt;"Yes"),0,IF($K$10=0,SUMIFS(INDIRECT(ADDRESS(12,3+18*1+(1),,,"J1 B - Butcher Terrace")&amp;":"&amp;ADDRESS(130,3+18*1+(1))),'J1 B - Butcher Terrace'!$A$12:$A$130,"&gt;="&amp;Diagram!$O55,'J1 B - Butcher Terrace'!$A$12:$A$130,"&lt;"&amp;Diagram!$P55),SUMIFS(INDIRECT(ADDRESS(12,3+18*1+(9),,,"J1 B - Butcher Terrace")&amp;":"&amp;ADDRESS(130,3+18*1+(9))),'J1 B - Butcher Terrace'!$A$12:$A$130,"&gt;="&amp;Diagram!$O55,'J1 B - Butcher Terrace'!$A$12:$A$130,"&lt;"&amp;Diagram!$P55)))</f>
        <v>0</v>
      </c>
      <c r="AR55" s="42">
        <f ca="1">IF(OR($I$10="",$O55="",$P55="",$J$36&lt;&gt;"Yes"),0,IF($K$10=0,SUMIFS(INDIRECT(ADDRESS(12,3+18*1+(1),,,"J1 C - (South) Bishopthorpe Roa")&amp;":"&amp;ADDRESS(130,3+18*1+(1))),'J1 C - (South) Bishopthorpe Roa'!$A$12:$A$130,"&gt;="&amp;Diagram!$O55,'J1 C - (South) Bishopthorpe Roa'!$A$12:$A$130,"&lt;"&amp;Diagram!$P55),SUMIFS(INDIRECT(ADDRESS(12,3+18*1+(9),,,"J1 C - (South) Bishopthorpe Roa")&amp;":"&amp;ADDRESS(130,3+18*1+(9))),'J1 C - (South) Bishopthorpe Roa'!$A$12:$A$130,"&gt;="&amp;Diagram!$O55,'J1 C - (South) Bishopthorpe Roa'!$A$12:$A$130,"&lt;"&amp;Diagram!$P55)))</f>
        <v>30</v>
      </c>
      <c r="AS55" s="42">
        <f ca="1">IF(OR($I$10="",$O55="",$P55="",$J$36&lt;&gt;"Yes"),0,IF($K$10=0,SUMIFS(INDIRECT(ADDRESS(12,3+18*2+(1),,,"J1 C - (South) Bishopthorpe Roa")&amp;":"&amp;ADDRESS(130,3+18*2+(1))),'J1 C - (South) Bishopthorpe Roa'!$A$12:$A$130,"&gt;="&amp;Diagram!$O55,'J1 C - (South) Bishopthorpe Roa'!$A$12:$A$130,"&lt;"&amp;Diagram!$P55),SUMIFS(INDIRECT(ADDRESS(12,3+18*2+(9),,,"J1 C - (South) Bishopthorpe Roa")&amp;":"&amp;ADDRESS(130,3+18*2+(9))),'J1 C - (South) Bishopthorpe Roa'!$A$12:$A$130,"&gt;="&amp;Diagram!$O55,'J1 C - (South) Bishopthorpe Roa'!$A$12:$A$130,"&lt;"&amp;Diagram!$P55)))</f>
        <v>0</v>
      </c>
      <c r="AT55" s="42">
        <f ca="1">IF(OR($I$10="",$O55="",$P55="",$J$36&lt;&gt;"Yes"),0,IF($K$10=0,SUMIFS(INDIRECT(ADDRESS(12,3+18*3+(1),,,"J1 C - (South) Bishopthorpe Roa")&amp;":"&amp;ADDRESS(130,3+18*3+(1))),'J1 C - (South) Bishopthorpe Roa'!$A$12:$A$130,"&gt;="&amp;Diagram!$O55,'J1 C - (South) Bishopthorpe Roa'!$A$12:$A$130,"&lt;"&amp;Diagram!$P55),SUMIFS(INDIRECT(ADDRESS(12,3+18*3+(9),,,"J1 C - (South) Bishopthorpe Roa")&amp;":"&amp;ADDRESS(130,3+18*3+(9))),'J1 C - (South) Bishopthorpe Roa'!$A$12:$A$130,"&gt;="&amp;Diagram!$O55,'J1 C - (South) Bishopthorpe Roa'!$A$12:$A$130,"&lt;"&amp;Diagram!$P55)))</f>
        <v>0</v>
      </c>
      <c r="AU55" s="42">
        <f ca="1">IF(OR($I$10="",$O55="",$P55="",$J$36&lt;&gt;"Yes"),0,IF($K$10=0,SUMIFS(INDIRECT(ADDRESS(12,3+18*0+(1),,,"J1 C - (South) Bishopthorpe Roa")&amp;":"&amp;ADDRESS(130,3+18*0+(1))),'J1 C - (South) Bishopthorpe Roa'!$A$12:$A$130,"&gt;="&amp;Diagram!$O55,'J1 C - (South) Bishopthorpe Roa'!$A$12:$A$130,"&lt;"&amp;Diagram!$P55),SUMIFS(INDIRECT(ADDRESS(12,3+18*0+(9),,,"J1 C - (South) Bishopthorpe Roa")&amp;":"&amp;ADDRESS(130,3+18*0+(9))),'J1 C - (South) Bishopthorpe Roa'!$A$12:$A$130,"&gt;="&amp;Diagram!$O55,'J1 C - (South) Bishopthorpe Roa'!$A$12:$A$130,"&lt;"&amp;Diagram!$P55)))</f>
        <v>3</v>
      </c>
      <c r="AV55" s="42">
        <f ca="1">IF(OR($I$10="",$O55="",$P55="",$J$36&lt;&gt;"Yes"),0,IF($K$10=0,SUMIFS(INDIRECT(ADDRESS(12,3+18*0+(1),,,"J1 D - South Bank Avenue")&amp;":"&amp;ADDRESS(130,3+18*0+(1))),'J1 D - South Bank Avenue'!$A$12:$A$130,"&gt;="&amp;Diagram!$O55,'J1 D - South Bank Avenue'!$A$12:$A$130,"&lt;"&amp;Diagram!$P55),SUMIFS(INDIRECT(ADDRESS(12,3+18*0+(9),,,"J1 D - South Bank Avenue")&amp;":"&amp;ADDRESS(130,3+18*0+(9))),'J1 D - South Bank Avenue'!$A$12:$A$130,"&gt;="&amp;Diagram!$O55,'J1 D - South Bank Avenue'!$A$12:$A$130,"&lt;"&amp;Diagram!$P55)))</f>
        <v>3</v>
      </c>
      <c r="AW55" s="42">
        <f ca="1">IF(OR($I$10="",$O55="",$P55="",$J$36&lt;&gt;"Yes"),0,IF($K$10=0,SUMIFS(INDIRECT(ADDRESS(12,3+18*1+(1),,,"J1 D - South Bank Avenue")&amp;":"&amp;ADDRESS(130,3+18*1+(1))),'J1 D - South Bank Avenue'!$A$12:$A$130,"&gt;="&amp;Diagram!$O55,'J1 D - South Bank Avenue'!$A$12:$A$130,"&lt;"&amp;Diagram!$P55),SUMIFS(INDIRECT(ADDRESS(12,3+18*1+(9),,,"J1 D - South Bank Avenue")&amp;":"&amp;ADDRESS(130,3+18*1+(9))),'J1 D - South Bank Avenue'!$A$12:$A$130,"&gt;="&amp;Diagram!$O55,'J1 D - South Bank Avenue'!$A$12:$A$130,"&lt;"&amp;Diagram!$P55)))</f>
        <v>0</v>
      </c>
      <c r="AX55" s="42">
        <f ca="1">IF(OR($I$10="",$O55="",$P55="",$J$36&lt;&gt;"Yes"),0,IF($K$10=0,SUMIFS(INDIRECT(ADDRESS(12,3+18*2+(1),,,"J1 D - South Bank Avenue")&amp;":"&amp;ADDRESS(130,3+18*2+(1))),'J1 D - South Bank Avenue'!$A$12:$A$130,"&gt;="&amp;Diagram!$O55,'J1 D - South Bank Avenue'!$A$12:$A$130,"&lt;"&amp;Diagram!$P55),SUMIFS(INDIRECT(ADDRESS(12,3+18*2+(9),,,"J1 D - South Bank Avenue")&amp;":"&amp;ADDRESS(130,3+18*2+(9))),'J1 D - South Bank Avenue'!$A$12:$A$130,"&gt;="&amp;Diagram!$O55,'J1 D - South Bank Avenue'!$A$12:$A$130,"&lt;"&amp;Diagram!$P55)))</f>
        <v>0</v>
      </c>
      <c r="AY55" s="42">
        <f ca="1">IF(OR($I$10="",$O55="",$P55="",$J$36&lt;&gt;"Yes"),0,IF($K$10=0,SUMIFS(INDIRECT(ADDRESS(12,3+18*3+(1),,,"J1 D - South Bank Avenue")&amp;":"&amp;ADDRESS(130,3+18*3+(1))),'J1 D - South Bank Avenue'!$A$12:$A$130,"&gt;="&amp;Diagram!$O55,'J1 D - South Bank Avenue'!$A$12:$A$130,"&lt;"&amp;Diagram!$P55),SUMIFS(INDIRECT(ADDRESS(12,3+18*3+(9),,,"J1 D - South Bank Avenue")&amp;":"&amp;ADDRESS(130,3+18*3+(9))),'J1 D - South Bank Avenue'!$A$12:$A$130,"&gt;="&amp;Diagram!$O55,'J1 D - South Bank Avenue'!$A$12:$A$130,"&lt;"&amp;Diagram!$P55)))</f>
        <v>0</v>
      </c>
      <c r="AZ55" s="42">
        <f t="shared" ca="1" si="3"/>
        <v>6</v>
      </c>
      <c r="BA55" s="42">
        <f ca="1">IF(OR($I$10="",$O55="",$P55="",$J$37&lt;&gt;"Yes"),0,IF($K$10=0,SUMIFS(INDIRECT(ADDRESS(12,3+18*3+(2),,,"J1 A - (North) Bishopthorpe Roa")&amp;":"&amp;ADDRESS(130,3+18*3+(2))),'J1 A - (North) Bishopthorpe Roa'!$A$12:$A$130,"&gt;="&amp;Diagram!$O55,'J1 A - (North) Bishopthorpe Roa'!$A$12:$A$130,"&lt;"&amp;Diagram!$P55),SUMIFS(INDIRECT(ADDRESS(12,3+18*3+(10),,,"J1 A - (North) Bishopthorpe Roa")&amp;":"&amp;ADDRESS(130,3+18*3+(10))),'J1 A - (North) Bishopthorpe Roa'!$A$12:$A$130,"&gt;="&amp;Diagram!$O55,'J1 A - (North) Bishopthorpe Roa'!$A$12:$A$130,"&lt;"&amp;Diagram!$P55)))</f>
        <v>0</v>
      </c>
      <c r="BB55" s="42">
        <f ca="1">IF(OR($I$10="",$O55="",$P55="",$J$37&lt;&gt;"Yes"),0,IF($K$10=0,SUMIFS(INDIRECT(ADDRESS(12,3+18*0+(2),,,"J1 A - (North) Bishopthorpe Roa")&amp;":"&amp;ADDRESS(130,3+18*0+(2))),'J1 A - (North) Bishopthorpe Roa'!$A$12:$A$130,"&gt;="&amp;Diagram!$O55,'J1 A - (North) Bishopthorpe Roa'!$A$12:$A$130,"&lt;"&amp;Diagram!$P55),SUMIFS(INDIRECT(ADDRESS(12,3+18*0+(10),,,"J1 A - (North) Bishopthorpe Roa")&amp;":"&amp;ADDRESS(130,3+18*0+(10))),'J1 A - (North) Bishopthorpe Roa'!$A$12:$A$130,"&gt;="&amp;Diagram!$O55,'J1 A - (North) Bishopthorpe Roa'!$A$12:$A$130,"&lt;"&amp;Diagram!$P55)))</f>
        <v>0</v>
      </c>
      <c r="BC55" s="42">
        <f ca="1">IF(OR($I$10="",$O55="",$P55="",$J$37&lt;&gt;"Yes"),0,IF($K$10=0,SUMIFS(INDIRECT(ADDRESS(12,3+18*1+(2),,,"J1 A - (North) Bishopthorpe Roa")&amp;":"&amp;ADDRESS(130,3+18*1+(2))),'J1 A - (North) Bishopthorpe Roa'!$A$12:$A$130,"&gt;="&amp;Diagram!$O55,'J1 A - (North) Bishopthorpe Roa'!$A$12:$A$130,"&lt;"&amp;Diagram!$P55),SUMIFS(INDIRECT(ADDRESS(12,3+18*1+(10),,,"J1 A - (North) Bishopthorpe Roa")&amp;":"&amp;ADDRESS(130,3+18*1+(10))),'J1 A - (North) Bishopthorpe Roa'!$A$12:$A$130,"&gt;="&amp;Diagram!$O55,'J1 A - (North) Bishopthorpe Roa'!$A$12:$A$130,"&lt;"&amp;Diagram!$P55)))</f>
        <v>1</v>
      </c>
      <c r="BD55" s="42">
        <f ca="1">IF(OR($I$10="",$O55="",$P55="",$J$37&lt;&gt;"Yes"),0,IF($K$10=0,SUMIFS(INDIRECT(ADDRESS(12,3+18*2+(2),,,"J1 A - (North) Bishopthorpe Roa")&amp;":"&amp;ADDRESS(130,3+18*2+(2))),'J1 A - (North) Bishopthorpe Roa'!$A$12:$A$130,"&gt;="&amp;Diagram!$O55,'J1 A - (North) Bishopthorpe Roa'!$A$12:$A$130,"&lt;"&amp;Diagram!$P55),SUMIFS(INDIRECT(ADDRESS(12,3+18*2+(10),,,"J1 A - (North) Bishopthorpe Roa")&amp;":"&amp;ADDRESS(130,3+18*2+(10))),'J1 A - (North) Bishopthorpe Roa'!$A$12:$A$130,"&gt;="&amp;Diagram!$O55,'J1 A - (North) Bishopthorpe Roa'!$A$12:$A$130,"&lt;"&amp;Diagram!$P55)))</f>
        <v>1</v>
      </c>
      <c r="BE55" s="42">
        <f ca="1">IF(OR($I$10="",$O55="",$P55="",$J$37&lt;&gt;"Yes"),0,IF($K$10=0,SUMIFS(INDIRECT(ADDRESS(12,3+18*2+(2),,,"J1 B - Butcher Terrace")&amp;":"&amp;ADDRESS(130,3+18*2+(2))),'J1 B - Butcher Terrace'!$A$12:$A$130,"&gt;="&amp;Diagram!$O55,'J1 B - Butcher Terrace'!$A$12:$A$130,"&lt;"&amp;Diagram!$P55),SUMIFS(INDIRECT(ADDRESS(12,3+18*2+(10),,,"J1 B - Butcher Terrace")&amp;":"&amp;ADDRESS(130,3+18*2+(10))),'J1 B - Butcher Terrace'!$A$12:$A$130,"&gt;="&amp;Diagram!$O55,'J1 B - Butcher Terrace'!$A$12:$A$130,"&lt;"&amp;Diagram!$P55)))</f>
        <v>0</v>
      </c>
      <c r="BF55" s="42">
        <f ca="1">IF(OR($I$10="",$O55="",$P55="",$J$37&lt;&gt;"Yes"),0,IF($K$10=0,SUMIFS(INDIRECT(ADDRESS(12,3+18*3+(2),,,"J1 B - Butcher Terrace")&amp;":"&amp;ADDRESS(130,3+18*3+(2))),'J1 B - Butcher Terrace'!$A$12:$A$130,"&gt;="&amp;Diagram!$O55,'J1 B - Butcher Terrace'!$A$12:$A$130,"&lt;"&amp;Diagram!$P55),SUMIFS(INDIRECT(ADDRESS(12,3+18*3+(10),,,"J1 B - Butcher Terrace")&amp;":"&amp;ADDRESS(130,3+18*3+(10))),'J1 B - Butcher Terrace'!$A$12:$A$130,"&gt;="&amp;Diagram!$O55,'J1 B - Butcher Terrace'!$A$12:$A$130,"&lt;"&amp;Diagram!$P55)))</f>
        <v>0</v>
      </c>
      <c r="BG55" s="42">
        <f ca="1">IF(OR($I$10="",$O55="",$P55="",$J$37&lt;&gt;"Yes"),0,IF($K$10=0,SUMIFS(INDIRECT(ADDRESS(12,3+18*0+(2),,,"J1 B - Butcher Terrace")&amp;":"&amp;ADDRESS(130,3+18*0+(2))),'J1 B - Butcher Terrace'!$A$12:$A$130,"&gt;="&amp;Diagram!$O55,'J1 B - Butcher Terrace'!$A$12:$A$130,"&lt;"&amp;Diagram!$P55),SUMIFS(INDIRECT(ADDRESS(12,3+18*0+(10),,,"J1 B - Butcher Terrace")&amp;":"&amp;ADDRESS(130,3+18*0+(10))),'J1 B - Butcher Terrace'!$A$12:$A$130,"&gt;="&amp;Diagram!$O55,'J1 B - Butcher Terrace'!$A$12:$A$130,"&lt;"&amp;Diagram!$P55)))</f>
        <v>0</v>
      </c>
      <c r="BH55" s="42">
        <f ca="1">IF(OR($I$10="",$O55="",$P55="",$J$37&lt;&gt;"Yes"),0,IF($K$10=0,SUMIFS(INDIRECT(ADDRESS(12,3+18*1+(2),,,"J1 B - Butcher Terrace")&amp;":"&amp;ADDRESS(130,3+18*1+(2))),'J1 B - Butcher Terrace'!$A$12:$A$130,"&gt;="&amp;Diagram!$O55,'J1 B - Butcher Terrace'!$A$12:$A$130,"&lt;"&amp;Diagram!$P55),SUMIFS(INDIRECT(ADDRESS(12,3+18*1+(10),,,"J1 B - Butcher Terrace")&amp;":"&amp;ADDRESS(130,3+18*1+(10))),'J1 B - Butcher Terrace'!$A$12:$A$130,"&gt;="&amp;Diagram!$O55,'J1 B - Butcher Terrace'!$A$12:$A$130,"&lt;"&amp;Diagram!$P55)))</f>
        <v>0</v>
      </c>
      <c r="BI55" s="42">
        <f ca="1">IF(OR($I$10="",$O55="",$P55="",$J$37&lt;&gt;"Yes"),0,IF($K$10=0,SUMIFS(INDIRECT(ADDRESS(12,3+18*1+(2),,,"J1 C - (South) Bishopthorpe Roa")&amp;":"&amp;ADDRESS(130,3+18*1+(2))),'J1 C - (South) Bishopthorpe Roa'!$A$12:$A$130,"&gt;="&amp;Diagram!$O55,'J1 C - (South) Bishopthorpe Roa'!$A$12:$A$130,"&lt;"&amp;Diagram!$P55),SUMIFS(INDIRECT(ADDRESS(12,3+18*1+(10),,,"J1 C - (South) Bishopthorpe Roa")&amp;":"&amp;ADDRESS(130,3+18*1+(10))),'J1 C - (South) Bishopthorpe Roa'!$A$12:$A$130,"&gt;="&amp;Diagram!$O55,'J1 C - (South) Bishopthorpe Roa'!$A$12:$A$130,"&lt;"&amp;Diagram!$P55)))</f>
        <v>3</v>
      </c>
      <c r="BJ55" s="42">
        <f ca="1">IF(OR($I$10="",$O55="",$P55="",$J$37&lt;&gt;"Yes"),0,IF($K$10=0,SUMIFS(INDIRECT(ADDRESS(12,3+18*2+(2),,,"J1 C - (South) Bishopthorpe Roa")&amp;":"&amp;ADDRESS(130,3+18*2+(2))),'J1 C - (South) Bishopthorpe Roa'!$A$12:$A$130,"&gt;="&amp;Diagram!$O55,'J1 C - (South) Bishopthorpe Roa'!$A$12:$A$130,"&lt;"&amp;Diagram!$P55),SUMIFS(INDIRECT(ADDRESS(12,3+18*2+(10),,,"J1 C - (South) Bishopthorpe Roa")&amp;":"&amp;ADDRESS(130,3+18*2+(10))),'J1 C - (South) Bishopthorpe Roa'!$A$12:$A$130,"&gt;="&amp;Diagram!$O55,'J1 C - (South) Bishopthorpe Roa'!$A$12:$A$130,"&lt;"&amp;Diagram!$P55)))</f>
        <v>0</v>
      </c>
      <c r="BK55" s="42">
        <f ca="1">IF(OR($I$10="",$O55="",$P55="",$J$37&lt;&gt;"Yes"),0,IF($K$10=0,SUMIFS(INDIRECT(ADDRESS(12,3+18*3+(2),,,"J1 C - (South) Bishopthorpe Roa")&amp;":"&amp;ADDRESS(130,3+18*3+(2))),'J1 C - (South) Bishopthorpe Roa'!$A$12:$A$130,"&gt;="&amp;Diagram!$O55,'J1 C - (South) Bishopthorpe Roa'!$A$12:$A$130,"&lt;"&amp;Diagram!$P55),SUMIFS(INDIRECT(ADDRESS(12,3+18*3+(10),,,"J1 C - (South) Bishopthorpe Roa")&amp;":"&amp;ADDRESS(130,3+18*3+(10))),'J1 C - (South) Bishopthorpe Roa'!$A$12:$A$130,"&gt;="&amp;Diagram!$O55,'J1 C - (South) Bishopthorpe Roa'!$A$12:$A$130,"&lt;"&amp;Diagram!$P55)))</f>
        <v>0</v>
      </c>
      <c r="BL55" s="42">
        <f ca="1">IF(OR($I$10="",$O55="",$P55="",$J$37&lt;&gt;"Yes"),0,IF($K$10=0,SUMIFS(INDIRECT(ADDRESS(12,3+18*0+(2),,,"J1 C - (South) Bishopthorpe Roa")&amp;":"&amp;ADDRESS(130,3+18*0+(2))),'J1 C - (South) Bishopthorpe Roa'!$A$12:$A$130,"&gt;="&amp;Diagram!$O55,'J1 C - (South) Bishopthorpe Roa'!$A$12:$A$130,"&lt;"&amp;Diagram!$P55),SUMIFS(INDIRECT(ADDRESS(12,3+18*0+(10),,,"J1 C - (South) Bishopthorpe Roa")&amp;":"&amp;ADDRESS(130,3+18*0+(10))),'J1 C - (South) Bishopthorpe Roa'!$A$12:$A$130,"&gt;="&amp;Diagram!$O55,'J1 C - (South) Bishopthorpe Roa'!$A$12:$A$130,"&lt;"&amp;Diagram!$P55)))</f>
        <v>0</v>
      </c>
      <c r="BM55" s="42">
        <f ca="1">IF(OR($I$10="",$O55="",$P55="",$J$37&lt;&gt;"Yes"),0,IF($K$10=0,SUMIFS(INDIRECT(ADDRESS(12,3+18*0+(2),,,"J1 D - South Bank Avenue")&amp;":"&amp;ADDRESS(130,3+18*0+(2))),'J1 D - South Bank Avenue'!$A$12:$A$130,"&gt;="&amp;Diagram!$O55,'J1 D - South Bank Avenue'!$A$12:$A$130,"&lt;"&amp;Diagram!$P55),SUMIFS(INDIRECT(ADDRESS(12,3+18*0+(10),,,"J1 D - South Bank Avenue")&amp;":"&amp;ADDRESS(130,3+18*0+(10))),'J1 D - South Bank Avenue'!$A$12:$A$130,"&gt;="&amp;Diagram!$O55,'J1 D - South Bank Avenue'!$A$12:$A$130,"&lt;"&amp;Diagram!$P55)))</f>
        <v>1</v>
      </c>
      <c r="BN55" s="42">
        <f ca="1">IF(OR($I$10="",$O55="",$P55="",$J$37&lt;&gt;"Yes"),0,IF($K$10=0,SUMIFS(INDIRECT(ADDRESS(12,3+18*1+(2),,,"J1 D - South Bank Avenue")&amp;":"&amp;ADDRESS(130,3+18*1+(2))),'J1 D - South Bank Avenue'!$A$12:$A$130,"&gt;="&amp;Diagram!$O55,'J1 D - South Bank Avenue'!$A$12:$A$130,"&lt;"&amp;Diagram!$P55),SUMIFS(INDIRECT(ADDRESS(12,3+18*1+(10),,,"J1 D - South Bank Avenue")&amp;":"&amp;ADDRESS(130,3+18*1+(10))),'J1 D - South Bank Avenue'!$A$12:$A$130,"&gt;="&amp;Diagram!$O55,'J1 D - South Bank Avenue'!$A$12:$A$130,"&lt;"&amp;Diagram!$P55)))</f>
        <v>0</v>
      </c>
      <c r="BO55" s="42">
        <f ca="1">IF(OR($I$10="",$O55="",$P55="",$J$37&lt;&gt;"Yes"),0,IF($K$10=0,SUMIFS(INDIRECT(ADDRESS(12,3+18*2+(2),,,"J1 D - South Bank Avenue")&amp;":"&amp;ADDRESS(130,3+18*2+(2))),'J1 D - South Bank Avenue'!$A$12:$A$130,"&gt;="&amp;Diagram!$O55,'J1 D - South Bank Avenue'!$A$12:$A$130,"&lt;"&amp;Diagram!$P55),SUMIFS(INDIRECT(ADDRESS(12,3+18*2+(10),,,"J1 D - South Bank Avenue")&amp;":"&amp;ADDRESS(130,3+18*2+(10))),'J1 D - South Bank Avenue'!$A$12:$A$130,"&gt;="&amp;Diagram!$O55,'J1 D - South Bank Avenue'!$A$12:$A$130,"&lt;"&amp;Diagram!$P55)))</f>
        <v>0</v>
      </c>
      <c r="BP55" s="42">
        <f ca="1">IF(OR($I$10="",$O55="",$P55="",$J$37&lt;&gt;"Yes"),0,IF($K$10=0,SUMIFS(INDIRECT(ADDRESS(12,3+18*3+(2),,,"J1 D - South Bank Avenue")&amp;":"&amp;ADDRESS(130,3+18*3+(2))),'J1 D - South Bank Avenue'!$A$12:$A$130,"&gt;="&amp;Diagram!$O55,'J1 D - South Bank Avenue'!$A$12:$A$130,"&lt;"&amp;Diagram!$P55),SUMIFS(INDIRECT(ADDRESS(12,3+18*3+(10),,,"J1 D - South Bank Avenue")&amp;":"&amp;ADDRESS(130,3+18*3+(10))),'J1 D - South Bank Avenue'!$A$12:$A$130,"&gt;="&amp;Diagram!$O55,'J1 D - South Bank Avenue'!$A$12:$A$130,"&lt;"&amp;Diagram!$P55)))</f>
        <v>0</v>
      </c>
      <c r="BQ55" s="42">
        <f t="shared" ca="1" si="4"/>
        <v>0</v>
      </c>
      <c r="BR55" s="42">
        <f ca="1">IF(OR($I$10="",$O55="",$P55="",$J$38&lt;&gt;"Yes"),0,IF($K$10=0,SUMIFS(INDIRECT(ADDRESS(12,3+18*3+(3),,,"J1 A - (North) Bishopthorpe Roa")&amp;":"&amp;ADDRESS(130,3+18*3+(3))),'J1 A - (North) Bishopthorpe Roa'!$A$12:$A$130,"&gt;="&amp;Diagram!$O55,'J1 A - (North) Bishopthorpe Roa'!$A$12:$A$130,"&lt;"&amp;Diagram!$P55),SUMIFS(INDIRECT(ADDRESS(12,3+18*3+(11),,,"J1 A - (North) Bishopthorpe Roa")&amp;":"&amp;ADDRESS(130,3+18*3+(11))),'J1 A - (North) Bishopthorpe Roa'!$A$12:$A$130,"&gt;="&amp;Diagram!$O55,'J1 A - (North) Bishopthorpe Roa'!$A$12:$A$130,"&lt;"&amp;Diagram!$P55)))</f>
        <v>0</v>
      </c>
      <c r="BS55" s="42">
        <f ca="1">IF(OR($I$10="",$O55="",$P55="",$J$38&lt;&gt;"Yes"),0,IF($K$10=0,SUMIFS(INDIRECT(ADDRESS(12,3+18*0+(3),,,"J1 A - (North) Bishopthorpe Roa")&amp;":"&amp;ADDRESS(130,3+18*0+(3))),'J1 A - (North) Bishopthorpe Roa'!$A$12:$A$130,"&gt;="&amp;Diagram!$O55,'J1 A - (North) Bishopthorpe Roa'!$A$12:$A$130,"&lt;"&amp;Diagram!$P55),SUMIFS(INDIRECT(ADDRESS(12,3+18*0+(11),,,"J1 A - (North) Bishopthorpe Roa")&amp;":"&amp;ADDRESS(130,3+18*0+(11))),'J1 A - (North) Bishopthorpe Roa'!$A$12:$A$130,"&gt;="&amp;Diagram!$O55,'J1 A - (North) Bishopthorpe Roa'!$A$12:$A$130,"&lt;"&amp;Diagram!$P55)))</f>
        <v>0</v>
      </c>
      <c r="BT55" s="42">
        <f ca="1">IF(OR($I$10="",$O55="",$P55="",$J$38&lt;&gt;"Yes"),0,IF($K$10=0,SUMIFS(INDIRECT(ADDRESS(12,3+18*1+(3),,,"J1 A - (North) Bishopthorpe Roa")&amp;":"&amp;ADDRESS(130,3+18*1+(3))),'J1 A - (North) Bishopthorpe Roa'!$A$12:$A$130,"&gt;="&amp;Diagram!$O55,'J1 A - (North) Bishopthorpe Roa'!$A$12:$A$130,"&lt;"&amp;Diagram!$P55),SUMIFS(INDIRECT(ADDRESS(12,3+18*1+(11),,,"J1 A - (North) Bishopthorpe Roa")&amp;":"&amp;ADDRESS(130,3+18*1+(11))),'J1 A - (North) Bishopthorpe Roa'!$A$12:$A$130,"&gt;="&amp;Diagram!$O55,'J1 A - (North) Bishopthorpe Roa'!$A$12:$A$130,"&lt;"&amp;Diagram!$P55)))</f>
        <v>0</v>
      </c>
      <c r="BU55" s="42">
        <f ca="1">IF(OR($I$10="",$O55="",$P55="",$J$38&lt;&gt;"Yes"),0,IF($K$10=0,SUMIFS(INDIRECT(ADDRESS(12,3+18*2+(3),,,"J1 A - (North) Bishopthorpe Roa")&amp;":"&amp;ADDRESS(130,3+18*2+(3))),'J1 A - (North) Bishopthorpe Roa'!$A$12:$A$130,"&gt;="&amp;Diagram!$O55,'J1 A - (North) Bishopthorpe Roa'!$A$12:$A$130,"&lt;"&amp;Diagram!$P55),SUMIFS(INDIRECT(ADDRESS(12,3+18*2+(11),,,"J1 A - (North) Bishopthorpe Roa")&amp;":"&amp;ADDRESS(130,3+18*2+(11))),'J1 A - (North) Bishopthorpe Roa'!$A$12:$A$130,"&gt;="&amp;Diagram!$O55,'J1 A - (North) Bishopthorpe Roa'!$A$12:$A$130,"&lt;"&amp;Diagram!$P55)))</f>
        <v>0</v>
      </c>
      <c r="BV55" s="42">
        <f ca="1">IF(OR($I$10="",$O55="",$P55="",$J$38&lt;&gt;"Yes"),0,IF($K$10=0,SUMIFS(INDIRECT(ADDRESS(12,3+18*2+(3),,,"J1 B - Butcher Terrace")&amp;":"&amp;ADDRESS(130,3+18*2+(3))),'J1 B - Butcher Terrace'!$A$12:$A$130,"&gt;="&amp;Diagram!$O55,'J1 B - Butcher Terrace'!$A$12:$A$130,"&lt;"&amp;Diagram!$P55),SUMIFS(INDIRECT(ADDRESS(12,3+18*2+(11),,,"J1 B - Butcher Terrace")&amp;":"&amp;ADDRESS(130,3+18*2+(11))),'J1 B - Butcher Terrace'!$A$12:$A$130,"&gt;="&amp;Diagram!$O55,'J1 B - Butcher Terrace'!$A$12:$A$130,"&lt;"&amp;Diagram!$P55)))</f>
        <v>0</v>
      </c>
      <c r="BW55" s="42">
        <f ca="1">IF(OR($I$10="",$O55="",$P55="",$J$38&lt;&gt;"Yes"),0,IF($K$10=0,SUMIFS(INDIRECT(ADDRESS(12,3+18*3+(3),,,"J1 B - Butcher Terrace")&amp;":"&amp;ADDRESS(130,3+18*3+(3))),'J1 B - Butcher Terrace'!$A$12:$A$130,"&gt;="&amp;Diagram!$O55,'J1 B - Butcher Terrace'!$A$12:$A$130,"&lt;"&amp;Diagram!$P55),SUMIFS(INDIRECT(ADDRESS(12,3+18*3+(11),,,"J1 B - Butcher Terrace")&amp;":"&amp;ADDRESS(130,3+18*3+(11))),'J1 B - Butcher Terrace'!$A$12:$A$130,"&gt;="&amp;Diagram!$O55,'J1 B - Butcher Terrace'!$A$12:$A$130,"&lt;"&amp;Diagram!$P55)))</f>
        <v>0</v>
      </c>
      <c r="BX55" s="42">
        <f ca="1">IF(OR($I$10="",$O55="",$P55="",$J$38&lt;&gt;"Yes"),0,IF($K$10=0,SUMIFS(INDIRECT(ADDRESS(12,3+18*0+(3),,,"J1 B - Butcher Terrace")&amp;":"&amp;ADDRESS(130,3+18*0+(3))),'J1 B - Butcher Terrace'!$A$12:$A$130,"&gt;="&amp;Diagram!$O55,'J1 B - Butcher Terrace'!$A$12:$A$130,"&lt;"&amp;Diagram!$P55),SUMIFS(INDIRECT(ADDRESS(12,3+18*0+(11),,,"J1 B - Butcher Terrace")&amp;":"&amp;ADDRESS(130,3+18*0+(11))),'J1 B - Butcher Terrace'!$A$12:$A$130,"&gt;="&amp;Diagram!$O55,'J1 B - Butcher Terrace'!$A$12:$A$130,"&lt;"&amp;Diagram!$P55)))</f>
        <v>0</v>
      </c>
      <c r="BY55" s="42">
        <f ca="1">IF(OR($I$10="",$O55="",$P55="",$J$38&lt;&gt;"Yes"),0,IF($K$10=0,SUMIFS(INDIRECT(ADDRESS(12,3+18*1+(3),,,"J1 B - Butcher Terrace")&amp;":"&amp;ADDRESS(130,3+18*1+(3))),'J1 B - Butcher Terrace'!$A$12:$A$130,"&gt;="&amp;Diagram!$O55,'J1 B - Butcher Terrace'!$A$12:$A$130,"&lt;"&amp;Diagram!$P55),SUMIFS(INDIRECT(ADDRESS(12,3+18*1+(11),,,"J1 B - Butcher Terrace")&amp;":"&amp;ADDRESS(130,3+18*1+(11))),'J1 B - Butcher Terrace'!$A$12:$A$130,"&gt;="&amp;Diagram!$O55,'J1 B - Butcher Terrace'!$A$12:$A$130,"&lt;"&amp;Diagram!$P55)))</f>
        <v>0</v>
      </c>
      <c r="BZ55" s="42">
        <f ca="1">IF(OR($I$10="",$O55="",$P55="",$J$38&lt;&gt;"Yes"),0,IF($K$10=0,SUMIFS(INDIRECT(ADDRESS(12,3+18*1+(3),,,"J1 C - (South) Bishopthorpe Roa")&amp;":"&amp;ADDRESS(130,3+18*1+(3))),'J1 C - (South) Bishopthorpe Roa'!$A$12:$A$130,"&gt;="&amp;Diagram!$O55,'J1 C - (South) Bishopthorpe Roa'!$A$12:$A$130,"&lt;"&amp;Diagram!$P55),SUMIFS(INDIRECT(ADDRESS(12,3+18*1+(11),,,"J1 C - (South) Bishopthorpe Roa")&amp;":"&amp;ADDRESS(130,3+18*1+(11))),'J1 C - (South) Bishopthorpe Roa'!$A$12:$A$130,"&gt;="&amp;Diagram!$O55,'J1 C - (South) Bishopthorpe Roa'!$A$12:$A$130,"&lt;"&amp;Diagram!$P55)))</f>
        <v>0</v>
      </c>
      <c r="CA55" s="42">
        <f ca="1">IF(OR($I$10="",$O55="",$P55="",$J$38&lt;&gt;"Yes"),0,IF($K$10=0,SUMIFS(INDIRECT(ADDRESS(12,3+18*2+(3),,,"J1 C - (South) Bishopthorpe Roa")&amp;":"&amp;ADDRESS(130,3+18*2+(3))),'J1 C - (South) Bishopthorpe Roa'!$A$12:$A$130,"&gt;="&amp;Diagram!$O55,'J1 C - (South) Bishopthorpe Roa'!$A$12:$A$130,"&lt;"&amp;Diagram!$P55),SUMIFS(INDIRECT(ADDRESS(12,3+18*2+(11),,,"J1 C - (South) Bishopthorpe Roa")&amp;":"&amp;ADDRESS(130,3+18*2+(11))),'J1 C - (South) Bishopthorpe Roa'!$A$12:$A$130,"&gt;="&amp;Diagram!$O55,'J1 C - (South) Bishopthorpe Roa'!$A$12:$A$130,"&lt;"&amp;Diagram!$P55)))</f>
        <v>0</v>
      </c>
      <c r="CB55" s="42">
        <f ca="1">IF(OR($I$10="",$O55="",$P55="",$J$38&lt;&gt;"Yes"),0,IF($K$10=0,SUMIFS(INDIRECT(ADDRESS(12,3+18*3+(3),,,"J1 C - (South) Bishopthorpe Roa")&amp;":"&amp;ADDRESS(130,3+18*3+(3))),'J1 C - (South) Bishopthorpe Roa'!$A$12:$A$130,"&gt;="&amp;Diagram!$O55,'J1 C - (South) Bishopthorpe Roa'!$A$12:$A$130,"&lt;"&amp;Diagram!$P55),SUMIFS(INDIRECT(ADDRESS(12,3+18*3+(11),,,"J1 C - (South) Bishopthorpe Roa")&amp;":"&amp;ADDRESS(130,3+18*3+(11))),'J1 C - (South) Bishopthorpe Roa'!$A$12:$A$130,"&gt;="&amp;Diagram!$O55,'J1 C - (South) Bishopthorpe Roa'!$A$12:$A$130,"&lt;"&amp;Diagram!$P55)))</f>
        <v>0</v>
      </c>
      <c r="CC55" s="42">
        <f ca="1">IF(OR($I$10="",$O55="",$P55="",$J$38&lt;&gt;"Yes"),0,IF($K$10=0,SUMIFS(INDIRECT(ADDRESS(12,3+18*0+(3),,,"J1 C - (South) Bishopthorpe Roa")&amp;":"&amp;ADDRESS(130,3+18*0+(3))),'J1 C - (South) Bishopthorpe Roa'!$A$12:$A$130,"&gt;="&amp;Diagram!$O55,'J1 C - (South) Bishopthorpe Roa'!$A$12:$A$130,"&lt;"&amp;Diagram!$P55),SUMIFS(INDIRECT(ADDRESS(12,3+18*0+(11),,,"J1 C - (South) Bishopthorpe Roa")&amp;":"&amp;ADDRESS(130,3+18*0+(11))),'J1 C - (South) Bishopthorpe Roa'!$A$12:$A$130,"&gt;="&amp;Diagram!$O55,'J1 C - (South) Bishopthorpe Roa'!$A$12:$A$130,"&lt;"&amp;Diagram!$P55)))</f>
        <v>0</v>
      </c>
      <c r="CD55" s="42">
        <f ca="1">IF(OR($I$10="",$O55="",$P55="",$J$38&lt;&gt;"Yes"),0,IF($K$10=0,SUMIFS(INDIRECT(ADDRESS(12,3+18*0+(3),,,"J1 D - South Bank Avenue")&amp;":"&amp;ADDRESS(130,3+18*0+(3))),'J1 D - South Bank Avenue'!$A$12:$A$130,"&gt;="&amp;Diagram!$O55,'J1 D - South Bank Avenue'!$A$12:$A$130,"&lt;"&amp;Diagram!$P55),SUMIFS(INDIRECT(ADDRESS(12,3+18*0+(11),,,"J1 D - South Bank Avenue")&amp;":"&amp;ADDRESS(130,3+18*0+(11))),'J1 D - South Bank Avenue'!$A$12:$A$130,"&gt;="&amp;Diagram!$O55,'J1 D - South Bank Avenue'!$A$12:$A$130,"&lt;"&amp;Diagram!$P55)))</f>
        <v>0</v>
      </c>
      <c r="CE55" s="42">
        <f ca="1">IF(OR($I$10="",$O55="",$P55="",$J$38&lt;&gt;"Yes"),0,IF($K$10=0,SUMIFS(INDIRECT(ADDRESS(12,3+18*1+(3),,,"J1 D - South Bank Avenue")&amp;":"&amp;ADDRESS(130,3+18*1+(3))),'J1 D - South Bank Avenue'!$A$12:$A$130,"&gt;="&amp;Diagram!$O55,'J1 D - South Bank Avenue'!$A$12:$A$130,"&lt;"&amp;Diagram!$P55),SUMIFS(INDIRECT(ADDRESS(12,3+18*1+(11),,,"J1 D - South Bank Avenue")&amp;":"&amp;ADDRESS(130,3+18*1+(11))),'J1 D - South Bank Avenue'!$A$12:$A$130,"&gt;="&amp;Diagram!$O55,'J1 D - South Bank Avenue'!$A$12:$A$130,"&lt;"&amp;Diagram!$P55)))</f>
        <v>0</v>
      </c>
      <c r="CF55" s="42">
        <f ca="1">IF(OR($I$10="",$O55="",$P55="",$J$38&lt;&gt;"Yes"),0,IF($K$10=0,SUMIFS(INDIRECT(ADDRESS(12,3+18*2+(3),,,"J1 D - South Bank Avenue")&amp;":"&amp;ADDRESS(130,3+18*2+(3))),'J1 D - South Bank Avenue'!$A$12:$A$130,"&gt;="&amp;Diagram!$O55,'J1 D - South Bank Avenue'!$A$12:$A$130,"&lt;"&amp;Diagram!$P55),SUMIFS(INDIRECT(ADDRESS(12,3+18*2+(11),,,"J1 D - South Bank Avenue")&amp;":"&amp;ADDRESS(130,3+18*2+(11))),'J1 D - South Bank Avenue'!$A$12:$A$130,"&gt;="&amp;Diagram!$O55,'J1 D - South Bank Avenue'!$A$12:$A$130,"&lt;"&amp;Diagram!$P55)))</f>
        <v>0</v>
      </c>
      <c r="CG55" s="42">
        <f ca="1">IF(OR($I$10="",$O55="",$P55="",$J$38&lt;&gt;"Yes"),0,IF($K$10=0,SUMIFS(INDIRECT(ADDRESS(12,3+18*3+(3),,,"J1 D - South Bank Avenue")&amp;":"&amp;ADDRESS(130,3+18*3+(3))),'J1 D - South Bank Avenue'!$A$12:$A$130,"&gt;="&amp;Diagram!$O55,'J1 D - South Bank Avenue'!$A$12:$A$130,"&lt;"&amp;Diagram!$P55),SUMIFS(INDIRECT(ADDRESS(12,3+18*3+(11),,,"J1 D - South Bank Avenue")&amp;":"&amp;ADDRESS(130,3+18*3+(11))),'J1 D - South Bank Avenue'!$A$12:$A$130,"&gt;="&amp;Diagram!$O55,'J1 D - South Bank Avenue'!$A$12:$A$130,"&lt;"&amp;Diagram!$P55)))</f>
        <v>0</v>
      </c>
      <c r="CH55" s="42">
        <f t="shared" ca="1" si="5"/>
        <v>6</v>
      </c>
      <c r="CI55" s="42">
        <f ca="1">IF(OR($I$10="",$O55="",$P55="",$J$39&lt;&gt;"Yes"),0,IF($K$10=0,SUMIFS(INDIRECT(ADDRESS(12,3+18*3+(4),,,"J1 A - (North) Bishopthorpe Roa")&amp;":"&amp;ADDRESS(130,3+18*3+(4))),'J1 A - (North) Bishopthorpe Roa'!$A$12:$A$130,"&gt;="&amp;Diagram!$O55,'J1 A - (North) Bishopthorpe Roa'!$A$12:$A$130,"&lt;"&amp;Diagram!$P55),SUMIFS(INDIRECT(ADDRESS(12,3+18*3+(12),,,"J1 A - (North) Bishopthorpe Roa")&amp;":"&amp;ADDRESS(130,3+18*3+(12))),'J1 A - (North) Bishopthorpe Roa'!$A$12:$A$130,"&gt;="&amp;Diagram!$O55,'J1 A - (North) Bishopthorpe Roa'!$A$12:$A$130,"&lt;"&amp;Diagram!$P55)))</f>
        <v>0</v>
      </c>
      <c r="CJ55" s="42">
        <f ca="1">IF(OR($I$10="",$O55="",$P55="",$J$39&lt;&gt;"Yes"),0,IF($K$10=0,SUMIFS(INDIRECT(ADDRESS(12,3+18*0+(4),,,"J1 A - (North) Bishopthorpe Roa")&amp;":"&amp;ADDRESS(130,3+18*0+(4))),'J1 A - (North) Bishopthorpe Roa'!$A$12:$A$130,"&gt;="&amp;Diagram!$O55,'J1 A - (North) Bishopthorpe Roa'!$A$12:$A$130,"&lt;"&amp;Diagram!$P55),SUMIFS(INDIRECT(ADDRESS(12,3+18*0+(12),,,"J1 A - (North) Bishopthorpe Roa")&amp;":"&amp;ADDRESS(130,3+18*0+(12))),'J1 A - (North) Bishopthorpe Roa'!$A$12:$A$130,"&gt;="&amp;Diagram!$O55,'J1 A - (North) Bishopthorpe Roa'!$A$12:$A$130,"&lt;"&amp;Diagram!$P55)))</f>
        <v>0</v>
      </c>
      <c r="CK55" s="42">
        <f ca="1">IF(OR($I$10="",$O55="",$P55="",$J$39&lt;&gt;"Yes"),0,IF($K$10=0,SUMIFS(INDIRECT(ADDRESS(12,3+18*1+(4),,,"J1 A - (North) Bishopthorpe Roa")&amp;":"&amp;ADDRESS(130,3+18*1+(4))),'J1 A - (North) Bishopthorpe Roa'!$A$12:$A$130,"&gt;="&amp;Diagram!$O55,'J1 A - (North) Bishopthorpe Roa'!$A$12:$A$130,"&lt;"&amp;Diagram!$P55),SUMIFS(INDIRECT(ADDRESS(12,3+18*1+(12),,,"J1 A - (North) Bishopthorpe Roa")&amp;":"&amp;ADDRESS(130,3+18*1+(12))),'J1 A - (North) Bishopthorpe Roa'!$A$12:$A$130,"&gt;="&amp;Diagram!$O55,'J1 A - (North) Bishopthorpe Roa'!$A$12:$A$130,"&lt;"&amp;Diagram!$P55)))</f>
        <v>3</v>
      </c>
      <c r="CL55" s="42">
        <f ca="1">IF(OR($I$10="",$O55="",$P55="",$J$39&lt;&gt;"Yes"),0,IF($K$10=0,SUMIFS(INDIRECT(ADDRESS(12,3+18*2+(4),,,"J1 A - (North) Bishopthorpe Roa")&amp;":"&amp;ADDRESS(130,3+18*2+(4))),'J1 A - (North) Bishopthorpe Roa'!$A$12:$A$130,"&gt;="&amp;Diagram!$O55,'J1 A - (North) Bishopthorpe Roa'!$A$12:$A$130,"&lt;"&amp;Diagram!$P55),SUMIFS(INDIRECT(ADDRESS(12,3+18*2+(12),,,"J1 A - (North) Bishopthorpe Roa")&amp;":"&amp;ADDRESS(130,3+18*2+(12))),'J1 A - (North) Bishopthorpe Roa'!$A$12:$A$130,"&gt;="&amp;Diagram!$O55,'J1 A - (North) Bishopthorpe Roa'!$A$12:$A$130,"&lt;"&amp;Diagram!$P55)))</f>
        <v>0</v>
      </c>
      <c r="CM55" s="42">
        <f ca="1">IF(OR($I$10="",$O55="",$P55="",$J$39&lt;&gt;"Yes"),0,IF($K$10=0,SUMIFS(INDIRECT(ADDRESS(12,3+18*2+(4),,,"J1 B - Butcher Terrace")&amp;":"&amp;ADDRESS(130,3+18*2+(4))),'J1 B - Butcher Terrace'!$A$12:$A$130,"&gt;="&amp;Diagram!$O55,'J1 B - Butcher Terrace'!$A$12:$A$130,"&lt;"&amp;Diagram!$P55),SUMIFS(INDIRECT(ADDRESS(12,3+18*2+(12),,,"J1 B - Butcher Terrace")&amp;":"&amp;ADDRESS(130,3+18*2+(12))),'J1 B - Butcher Terrace'!$A$12:$A$130,"&gt;="&amp;Diagram!$O55,'J1 B - Butcher Terrace'!$A$12:$A$130,"&lt;"&amp;Diagram!$P55)))</f>
        <v>0</v>
      </c>
      <c r="CN55" s="42">
        <f ca="1">IF(OR($I$10="",$O55="",$P55="",$J$39&lt;&gt;"Yes"),0,IF($K$10=0,SUMIFS(INDIRECT(ADDRESS(12,3+18*3+(4),,,"J1 B - Butcher Terrace")&amp;":"&amp;ADDRESS(130,3+18*3+(4))),'J1 B - Butcher Terrace'!$A$12:$A$130,"&gt;="&amp;Diagram!$O55,'J1 B - Butcher Terrace'!$A$12:$A$130,"&lt;"&amp;Diagram!$P55),SUMIFS(INDIRECT(ADDRESS(12,3+18*3+(12),,,"J1 B - Butcher Terrace")&amp;":"&amp;ADDRESS(130,3+18*3+(12))),'J1 B - Butcher Terrace'!$A$12:$A$130,"&gt;="&amp;Diagram!$O55,'J1 B - Butcher Terrace'!$A$12:$A$130,"&lt;"&amp;Diagram!$P55)))</f>
        <v>0</v>
      </c>
      <c r="CO55" s="42">
        <f ca="1">IF(OR($I$10="",$O55="",$P55="",$J$39&lt;&gt;"Yes"),0,IF($K$10=0,SUMIFS(INDIRECT(ADDRESS(12,3+18*0+(4),,,"J1 B - Butcher Terrace")&amp;":"&amp;ADDRESS(130,3+18*0+(4))),'J1 B - Butcher Terrace'!$A$12:$A$130,"&gt;="&amp;Diagram!$O55,'J1 B - Butcher Terrace'!$A$12:$A$130,"&lt;"&amp;Diagram!$P55),SUMIFS(INDIRECT(ADDRESS(12,3+18*0+(12),,,"J1 B - Butcher Terrace")&amp;":"&amp;ADDRESS(130,3+18*0+(12))),'J1 B - Butcher Terrace'!$A$12:$A$130,"&gt;="&amp;Diagram!$O55,'J1 B - Butcher Terrace'!$A$12:$A$130,"&lt;"&amp;Diagram!$P55)))</f>
        <v>0</v>
      </c>
      <c r="CP55" s="42">
        <f ca="1">IF(OR($I$10="",$O55="",$P55="",$J$39&lt;&gt;"Yes"),0,IF($K$10=0,SUMIFS(INDIRECT(ADDRESS(12,3+18*1+(4),,,"J1 B - Butcher Terrace")&amp;":"&amp;ADDRESS(130,3+18*1+(4))),'J1 B - Butcher Terrace'!$A$12:$A$130,"&gt;="&amp;Diagram!$O55,'J1 B - Butcher Terrace'!$A$12:$A$130,"&lt;"&amp;Diagram!$P55),SUMIFS(INDIRECT(ADDRESS(12,3+18*1+(12),,,"J1 B - Butcher Terrace")&amp;":"&amp;ADDRESS(130,3+18*1+(12))),'J1 B - Butcher Terrace'!$A$12:$A$130,"&gt;="&amp;Diagram!$O55,'J1 B - Butcher Terrace'!$A$12:$A$130,"&lt;"&amp;Diagram!$P55)))</f>
        <v>0</v>
      </c>
      <c r="CQ55" s="42">
        <f ca="1">IF(OR($I$10="",$O55="",$P55="",$J$39&lt;&gt;"Yes"),0,IF($K$10=0,SUMIFS(INDIRECT(ADDRESS(12,3+18*1+(4),,,"J1 C - (South) Bishopthorpe Roa")&amp;":"&amp;ADDRESS(130,3+18*1+(4))),'J1 C - (South) Bishopthorpe Roa'!$A$12:$A$130,"&gt;="&amp;Diagram!$O55,'J1 C - (South) Bishopthorpe Roa'!$A$12:$A$130,"&lt;"&amp;Diagram!$P55),SUMIFS(INDIRECT(ADDRESS(12,3+18*1+(12),,,"J1 C - (South) Bishopthorpe Roa")&amp;":"&amp;ADDRESS(130,3+18*1+(12))),'J1 C - (South) Bishopthorpe Roa'!$A$12:$A$130,"&gt;="&amp;Diagram!$O55,'J1 C - (South) Bishopthorpe Roa'!$A$12:$A$130,"&lt;"&amp;Diagram!$P55)))</f>
        <v>3</v>
      </c>
      <c r="CR55" s="42">
        <f ca="1">IF(OR($I$10="",$O55="",$P55="",$J$39&lt;&gt;"Yes"),0,IF($K$10=0,SUMIFS(INDIRECT(ADDRESS(12,3+18*2+(4),,,"J1 C - (South) Bishopthorpe Roa")&amp;":"&amp;ADDRESS(130,3+18*2+(4))),'J1 C - (South) Bishopthorpe Roa'!$A$12:$A$130,"&gt;="&amp;Diagram!$O55,'J1 C - (South) Bishopthorpe Roa'!$A$12:$A$130,"&lt;"&amp;Diagram!$P55),SUMIFS(INDIRECT(ADDRESS(12,3+18*2+(12),,,"J1 C - (South) Bishopthorpe Roa")&amp;":"&amp;ADDRESS(130,3+18*2+(12))),'J1 C - (South) Bishopthorpe Roa'!$A$12:$A$130,"&gt;="&amp;Diagram!$O55,'J1 C - (South) Bishopthorpe Roa'!$A$12:$A$130,"&lt;"&amp;Diagram!$P55)))</f>
        <v>0</v>
      </c>
      <c r="CS55" s="42">
        <f ca="1">IF(OR($I$10="",$O55="",$P55="",$J$39&lt;&gt;"Yes"),0,IF($K$10=0,SUMIFS(INDIRECT(ADDRESS(12,3+18*3+(4),,,"J1 C - (South) Bishopthorpe Roa")&amp;":"&amp;ADDRESS(130,3+18*3+(4))),'J1 C - (South) Bishopthorpe Roa'!$A$12:$A$130,"&gt;="&amp;Diagram!$O55,'J1 C - (South) Bishopthorpe Roa'!$A$12:$A$130,"&lt;"&amp;Diagram!$P55),SUMIFS(INDIRECT(ADDRESS(12,3+18*3+(12),,,"J1 C - (South) Bishopthorpe Roa")&amp;":"&amp;ADDRESS(130,3+18*3+(12))),'J1 C - (South) Bishopthorpe Roa'!$A$12:$A$130,"&gt;="&amp;Diagram!$O55,'J1 C - (South) Bishopthorpe Roa'!$A$12:$A$130,"&lt;"&amp;Diagram!$P55)))</f>
        <v>0</v>
      </c>
      <c r="CT55" s="42">
        <f ca="1">IF(OR($I$10="",$O55="",$P55="",$J$39&lt;&gt;"Yes"),0,IF($K$10=0,SUMIFS(INDIRECT(ADDRESS(12,3+18*0+(4),,,"J1 C - (South) Bishopthorpe Roa")&amp;":"&amp;ADDRESS(130,3+18*0+(4))),'J1 C - (South) Bishopthorpe Roa'!$A$12:$A$130,"&gt;="&amp;Diagram!$O55,'J1 C - (South) Bishopthorpe Roa'!$A$12:$A$130,"&lt;"&amp;Diagram!$P55),SUMIFS(INDIRECT(ADDRESS(12,3+18*0+(12),,,"J1 C - (South) Bishopthorpe Roa")&amp;":"&amp;ADDRESS(130,3+18*0+(12))),'J1 C - (South) Bishopthorpe Roa'!$A$12:$A$130,"&gt;="&amp;Diagram!$O55,'J1 C - (South) Bishopthorpe Roa'!$A$12:$A$130,"&lt;"&amp;Diagram!$P55)))</f>
        <v>0</v>
      </c>
      <c r="CU55" s="42">
        <f ca="1">IF(OR($I$10="",$O55="",$P55="",$J$39&lt;&gt;"Yes"),0,IF($K$10=0,SUMIFS(INDIRECT(ADDRESS(12,3+18*0+(4),,,"J1 D - South Bank Avenue")&amp;":"&amp;ADDRESS(130,3+18*0+(4))),'J1 D - South Bank Avenue'!$A$12:$A$130,"&gt;="&amp;Diagram!$O55,'J1 D - South Bank Avenue'!$A$12:$A$130,"&lt;"&amp;Diagram!$P55),SUMIFS(INDIRECT(ADDRESS(12,3+18*0+(12),,,"J1 D - South Bank Avenue")&amp;":"&amp;ADDRESS(130,3+18*0+(12))),'J1 D - South Bank Avenue'!$A$12:$A$130,"&gt;="&amp;Diagram!$O55,'J1 D - South Bank Avenue'!$A$12:$A$130,"&lt;"&amp;Diagram!$P55)))</f>
        <v>0</v>
      </c>
      <c r="CV55" s="42">
        <f ca="1">IF(OR($I$10="",$O55="",$P55="",$J$39&lt;&gt;"Yes"),0,IF($K$10=0,SUMIFS(INDIRECT(ADDRESS(12,3+18*1+(4),,,"J1 D - South Bank Avenue")&amp;":"&amp;ADDRESS(130,3+18*1+(4))),'J1 D - South Bank Avenue'!$A$12:$A$130,"&gt;="&amp;Diagram!$O55,'J1 D - South Bank Avenue'!$A$12:$A$130,"&lt;"&amp;Diagram!$P55),SUMIFS(INDIRECT(ADDRESS(12,3+18*1+(12),,,"J1 D - South Bank Avenue")&amp;":"&amp;ADDRESS(130,3+18*1+(12))),'J1 D - South Bank Avenue'!$A$12:$A$130,"&gt;="&amp;Diagram!$O55,'J1 D - South Bank Avenue'!$A$12:$A$130,"&lt;"&amp;Diagram!$P55)))</f>
        <v>0</v>
      </c>
      <c r="CW55" s="42">
        <f ca="1">IF(OR($I$10="",$O55="",$P55="",$J$39&lt;&gt;"Yes"),0,IF($K$10=0,SUMIFS(INDIRECT(ADDRESS(12,3+18*2+(4),,,"J1 D - South Bank Avenue")&amp;":"&amp;ADDRESS(130,3+18*2+(4))),'J1 D - South Bank Avenue'!$A$12:$A$130,"&gt;="&amp;Diagram!$O55,'J1 D - South Bank Avenue'!$A$12:$A$130,"&lt;"&amp;Diagram!$P55),SUMIFS(INDIRECT(ADDRESS(12,3+18*2+(12),,,"J1 D - South Bank Avenue")&amp;":"&amp;ADDRESS(130,3+18*2+(12))),'J1 D - South Bank Avenue'!$A$12:$A$130,"&gt;="&amp;Diagram!$O55,'J1 D - South Bank Avenue'!$A$12:$A$130,"&lt;"&amp;Diagram!$P55)))</f>
        <v>0</v>
      </c>
      <c r="CX55" s="42">
        <f ca="1">IF(OR($I$10="",$O55="",$P55="",$J$39&lt;&gt;"Yes"),0,IF($K$10=0,SUMIFS(INDIRECT(ADDRESS(12,3+18*3+(4),,,"J1 D - South Bank Avenue")&amp;":"&amp;ADDRESS(130,3+18*3+(4))),'J1 D - South Bank Avenue'!$A$12:$A$130,"&gt;="&amp;Diagram!$O55,'J1 D - South Bank Avenue'!$A$12:$A$130,"&lt;"&amp;Diagram!$P55),SUMIFS(INDIRECT(ADDRESS(12,3+18*3+(12),,,"J1 D - South Bank Avenue")&amp;":"&amp;ADDRESS(130,3+18*3+(12))),'J1 D - South Bank Avenue'!$A$12:$A$130,"&gt;="&amp;Diagram!$O55,'J1 D - South Bank Avenue'!$A$12:$A$130,"&lt;"&amp;Diagram!$P55)))</f>
        <v>0</v>
      </c>
      <c r="CY55" s="42">
        <f t="shared" ca="1" si="6"/>
        <v>109</v>
      </c>
      <c r="CZ55" s="42">
        <f ca="1">IF(OR($I$10="",$O55="",$P55="",$J$40&lt;&gt;"Yes"),0,IF($K$10=0,SUMIFS(INDIRECT(ADDRESS(12,3+18*3+(5),,,"J1 A - (North) Bishopthorpe Roa")&amp;":"&amp;ADDRESS(130,3+18*3+(5))),'J1 A - (North) Bishopthorpe Roa'!$A$12:$A$130,"&gt;="&amp;Diagram!$O55,'J1 A - (North) Bishopthorpe Roa'!$A$12:$A$130,"&lt;"&amp;Diagram!$P55),SUMIFS(INDIRECT(ADDRESS(12,3+18*3+(13),,,"J1 A - (North) Bishopthorpe Roa")&amp;":"&amp;ADDRESS(130,3+18*3+(13))),'J1 A - (North) Bishopthorpe Roa'!$A$12:$A$130,"&gt;="&amp;Diagram!$O55,'J1 A - (North) Bishopthorpe Roa'!$A$12:$A$130,"&lt;"&amp;Diagram!$P55)))</f>
        <v>0</v>
      </c>
      <c r="DA55" s="42">
        <f ca="1">IF(OR($I$10="",$O55="",$P55="",$J$40&lt;&gt;"Yes"),0,IF($K$10=0,SUMIFS(INDIRECT(ADDRESS(12,3+18*0+(5),,,"J1 A - (North) Bishopthorpe Roa")&amp;":"&amp;ADDRESS(130,3+18*0+(5))),'J1 A - (North) Bishopthorpe Roa'!$A$12:$A$130,"&gt;="&amp;Diagram!$O55,'J1 A - (North) Bishopthorpe Roa'!$A$12:$A$130,"&lt;"&amp;Diagram!$P55),SUMIFS(INDIRECT(ADDRESS(12,3+18*0+(13),,,"J1 A - (North) Bishopthorpe Roa")&amp;":"&amp;ADDRESS(130,3+18*0+(13))),'J1 A - (North) Bishopthorpe Roa'!$A$12:$A$130,"&gt;="&amp;Diagram!$O55,'J1 A - (North) Bishopthorpe Roa'!$A$12:$A$130,"&lt;"&amp;Diagram!$P55)))</f>
        <v>9</v>
      </c>
      <c r="DB55" s="42">
        <f ca="1">IF(OR($I$10="",$O55="",$P55="",$J$40&lt;&gt;"Yes"),0,IF($K$10=0,SUMIFS(INDIRECT(ADDRESS(12,3+18*1+(5),,,"J1 A - (North) Bishopthorpe Roa")&amp;":"&amp;ADDRESS(130,3+18*1+(5))),'J1 A - (North) Bishopthorpe Roa'!$A$12:$A$130,"&gt;="&amp;Diagram!$O55,'J1 A - (North) Bishopthorpe Roa'!$A$12:$A$130,"&lt;"&amp;Diagram!$P55),SUMIFS(INDIRECT(ADDRESS(12,3+18*1+(13),,,"J1 A - (North) Bishopthorpe Roa")&amp;":"&amp;ADDRESS(130,3+18*1+(13))),'J1 A - (North) Bishopthorpe Roa'!$A$12:$A$130,"&gt;="&amp;Diagram!$O55,'J1 A - (North) Bishopthorpe Roa'!$A$12:$A$130,"&lt;"&amp;Diagram!$P55)))</f>
        <v>16</v>
      </c>
      <c r="DC55" s="42">
        <f ca="1">IF(OR($I$10="",$O55="",$P55="",$J$40&lt;&gt;"Yes"),0,IF($K$10=0,SUMIFS(INDIRECT(ADDRESS(12,3+18*2+(5),,,"J1 A - (North) Bishopthorpe Roa")&amp;":"&amp;ADDRESS(130,3+18*2+(5))),'J1 A - (North) Bishopthorpe Roa'!$A$12:$A$130,"&gt;="&amp;Diagram!$O55,'J1 A - (North) Bishopthorpe Roa'!$A$12:$A$130,"&lt;"&amp;Diagram!$P55),SUMIFS(INDIRECT(ADDRESS(12,3+18*2+(13),,,"J1 A - (North) Bishopthorpe Roa")&amp;":"&amp;ADDRESS(130,3+18*2+(13))),'J1 A - (North) Bishopthorpe Roa'!$A$12:$A$130,"&gt;="&amp;Diagram!$O55,'J1 A - (North) Bishopthorpe Roa'!$A$12:$A$130,"&lt;"&amp;Diagram!$P55)))</f>
        <v>5</v>
      </c>
      <c r="DD55" s="42">
        <f ca="1">IF(OR($I$10="",$O55="",$P55="",$J$40&lt;&gt;"Yes"),0,IF($K$10=0,SUMIFS(INDIRECT(ADDRESS(12,3+18*2+(5),,,"J1 B - Butcher Terrace")&amp;":"&amp;ADDRESS(130,3+18*2+(5))),'J1 B - Butcher Terrace'!$A$12:$A$130,"&gt;="&amp;Diagram!$O55,'J1 B - Butcher Terrace'!$A$12:$A$130,"&lt;"&amp;Diagram!$P55),SUMIFS(INDIRECT(ADDRESS(12,3+18*2+(13),,,"J1 B - Butcher Terrace")&amp;":"&amp;ADDRESS(130,3+18*2+(13))),'J1 B - Butcher Terrace'!$A$12:$A$130,"&gt;="&amp;Diagram!$O55,'J1 B - Butcher Terrace'!$A$12:$A$130,"&lt;"&amp;Diagram!$P55)))</f>
        <v>10</v>
      </c>
      <c r="DE55" s="42">
        <f ca="1">IF(OR($I$10="",$O55="",$P55="",$J$40&lt;&gt;"Yes"),0,IF($K$10=0,SUMIFS(INDIRECT(ADDRESS(12,3+18*3+(5),,,"J1 B - Butcher Terrace")&amp;":"&amp;ADDRESS(130,3+18*3+(5))),'J1 B - Butcher Terrace'!$A$12:$A$130,"&gt;="&amp;Diagram!$O55,'J1 B - Butcher Terrace'!$A$12:$A$130,"&lt;"&amp;Diagram!$P55),SUMIFS(INDIRECT(ADDRESS(12,3+18*3+(13),,,"J1 B - Butcher Terrace")&amp;":"&amp;ADDRESS(130,3+18*3+(13))),'J1 B - Butcher Terrace'!$A$12:$A$130,"&gt;="&amp;Diagram!$O55,'J1 B - Butcher Terrace'!$A$12:$A$130,"&lt;"&amp;Diagram!$P55)))</f>
        <v>0</v>
      </c>
      <c r="DF55" s="42">
        <f ca="1">IF(OR($I$10="",$O55="",$P55="",$J$40&lt;&gt;"Yes"),0,IF($K$10=0,SUMIFS(INDIRECT(ADDRESS(12,3+18*0+(5),,,"J1 B - Butcher Terrace")&amp;":"&amp;ADDRESS(130,3+18*0+(5))),'J1 B - Butcher Terrace'!$A$12:$A$130,"&gt;="&amp;Diagram!$O55,'J1 B - Butcher Terrace'!$A$12:$A$130,"&lt;"&amp;Diagram!$P55),SUMIFS(INDIRECT(ADDRESS(12,3+18*0+(13),,,"J1 B - Butcher Terrace")&amp;":"&amp;ADDRESS(130,3+18*0+(13))),'J1 B - Butcher Terrace'!$A$12:$A$130,"&gt;="&amp;Diagram!$O55,'J1 B - Butcher Terrace'!$A$12:$A$130,"&lt;"&amp;Diagram!$P55)))</f>
        <v>6</v>
      </c>
      <c r="DG55" s="42">
        <f ca="1">IF(OR($I$10="",$O55="",$P55="",$J$40&lt;&gt;"Yes"),0,IF($K$10=0,SUMIFS(INDIRECT(ADDRESS(12,3+18*1+(5),,,"J1 B - Butcher Terrace")&amp;":"&amp;ADDRESS(130,3+18*1+(5))),'J1 B - Butcher Terrace'!$A$12:$A$130,"&gt;="&amp;Diagram!$O55,'J1 B - Butcher Terrace'!$A$12:$A$130,"&lt;"&amp;Diagram!$P55),SUMIFS(INDIRECT(ADDRESS(12,3+18*1+(13),,,"J1 B - Butcher Terrace")&amp;":"&amp;ADDRESS(130,3+18*1+(13))),'J1 B - Butcher Terrace'!$A$12:$A$130,"&gt;="&amp;Diagram!$O55,'J1 B - Butcher Terrace'!$A$12:$A$130,"&lt;"&amp;Diagram!$P55)))</f>
        <v>26</v>
      </c>
      <c r="DH55" s="42">
        <f ca="1">IF(OR($I$10="",$O55="",$P55="",$J$40&lt;&gt;"Yes"),0,IF($K$10=0,SUMIFS(INDIRECT(ADDRESS(12,3+18*1+(5),,,"J1 C - (South) Bishopthorpe Roa")&amp;":"&amp;ADDRESS(130,3+18*1+(5))),'J1 C - (South) Bishopthorpe Roa'!$A$12:$A$130,"&gt;="&amp;Diagram!$O55,'J1 C - (South) Bishopthorpe Roa'!$A$12:$A$130,"&lt;"&amp;Diagram!$P55),SUMIFS(INDIRECT(ADDRESS(12,3+18*1+(13),,,"J1 C - (South) Bishopthorpe Roa")&amp;":"&amp;ADDRESS(130,3+18*1+(13))),'J1 C - (South) Bishopthorpe Roa'!$A$12:$A$130,"&gt;="&amp;Diagram!$O55,'J1 C - (South) Bishopthorpe Roa'!$A$12:$A$130,"&lt;"&amp;Diagram!$P55)))</f>
        <v>10</v>
      </c>
      <c r="DI55" s="42">
        <f ca="1">IF(OR($I$10="",$O55="",$P55="",$J$40&lt;&gt;"Yes"),0,IF($K$10=0,SUMIFS(INDIRECT(ADDRESS(12,3+18*2+(5),,,"J1 C - (South) Bishopthorpe Roa")&amp;":"&amp;ADDRESS(130,3+18*2+(5))),'J1 C - (South) Bishopthorpe Roa'!$A$12:$A$130,"&gt;="&amp;Diagram!$O55,'J1 C - (South) Bishopthorpe Roa'!$A$12:$A$130,"&lt;"&amp;Diagram!$P55),SUMIFS(INDIRECT(ADDRESS(12,3+18*2+(13),,,"J1 C - (South) Bishopthorpe Roa")&amp;":"&amp;ADDRESS(130,3+18*2+(13))),'J1 C - (South) Bishopthorpe Roa'!$A$12:$A$130,"&gt;="&amp;Diagram!$O55,'J1 C - (South) Bishopthorpe Roa'!$A$12:$A$130,"&lt;"&amp;Diagram!$P55)))</f>
        <v>6</v>
      </c>
      <c r="DJ55" s="42">
        <f ca="1">IF(OR($I$10="",$O55="",$P55="",$J$40&lt;&gt;"Yes"),0,IF($K$10=0,SUMIFS(INDIRECT(ADDRESS(12,3+18*3+(5),,,"J1 C - (South) Bishopthorpe Roa")&amp;":"&amp;ADDRESS(130,3+18*3+(5))),'J1 C - (South) Bishopthorpe Roa'!$A$12:$A$130,"&gt;="&amp;Diagram!$O55,'J1 C - (South) Bishopthorpe Roa'!$A$12:$A$130,"&lt;"&amp;Diagram!$P55),SUMIFS(INDIRECT(ADDRESS(12,3+18*3+(13),,,"J1 C - (South) Bishopthorpe Roa")&amp;":"&amp;ADDRESS(130,3+18*3+(13))),'J1 C - (South) Bishopthorpe Roa'!$A$12:$A$130,"&gt;="&amp;Diagram!$O55,'J1 C - (South) Bishopthorpe Roa'!$A$12:$A$130,"&lt;"&amp;Diagram!$P55)))</f>
        <v>0</v>
      </c>
      <c r="DK55" s="42">
        <f ca="1">IF(OR($I$10="",$O55="",$P55="",$J$40&lt;&gt;"Yes"),0,IF($K$10=0,SUMIFS(INDIRECT(ADDRESS(12,3+18*0+(5),,,"J1 C - (South) Bishopthorpe Roa")&amp;":"&amp;ADDRESS(130,3+18*0+(5))),'J1 C - (South) Bishopthorpe Roa'!$A$12:$A$130,"&gt;="&amp;Diagram!$O55,'J1 C - (South) Bishopthorpe Roa'!$A$12:$A$130,"&lt;"&amp;Diagram!$P55),SUMIFS(INDIRECT(ADDRESS(12,3+18*0+(13),,,"J1 C - (South) Bishopthorpe Roa")&amp;":"&amp;ADDRESS(130,3+18*0+(13))),'J1 C - (South) Bishopthorpe Roa'!$A$12:$A$130,"&gt;="&amp;Diagram!$O55,'J1 C - (South) Bishopthorpe Roa'!$A$12:$A$130,"&lt;"&amp;Diagram!$P55)))</f>
        <v>2</v>
      </c>
      <c r="DL55" s="42">
        <f ca="1">IF(OR($I$10="",$O55="",$P55="",$J$40&lt;&gt;"Yes"),0,IF($K$10=0,SUMIFS(INDIRECT(ADDRESS(12,3+18*0+(5),,,"J1 D - South Bank Avenue")&amp;":"&amp;ADDRESS(130,3+18*0+(5))),'J1 D - South Bank Avenue'!$A$12:$A$130,"&gt;="&amp;Diagram!$O55,'J1 D - South Bank Avenue'!$A$12:$A$130,"&lt;"&amp;Diagram!$P55),SUMIFS(INDIRECT(ADDRESS(12,3+18*0+(13),,,"J1 D - South Bank Avenue")&amp;":"&amp;ADDRESS(130,3+18*0+(13))),'J1 D - South Bank Avenue'!$A$12:$A$130,"&gt;="&amp;Diagram!$O55,'J1 D - South Bank Avenue'!$A$12:$A$130,"&lt;"&amp;Diagram!$P55)))</f>
        <v>0</v>
      </c>
      <c r="DM55" s="42">
        <f ca="1">IF(OR($I$10="",$O55="",$P55="",$J$40&lt;&gt;"Yes"),0,IF($K$10=0,SUMIFS(INDIRECT(ADDRESS(12,3+18*1+(5),,,"J1 D - South Bank Avenue")&amp;":"&amp;ADDRESS(130,3+18*1+(5))),'J1 D - South Bank Avenue'!$A$12:$A$130,"&gt;="&amp;Diagram!$O55,'J1 D - South Bank Avenue'!$A$12:$A$130,"&lt;"&amp;Diagram!$P55),SUMIFS(INDIRECT(ADDRESS(12,3+18*1+(13),,,"J1 D - South Bank Avenue")&amp;":"&amp;ADDRESS(130,3+18*1+(13))),'J1 D - South Bank Avenue'!$A$12:$A$130,"&gt;="&amp;Diagram!$O55,'J1 D - South Bank Avenue'!$A$12:$A$130,"&lt;"&amp;Diagram!$P55)))</f>
        <v>19</v>
      </c>
      <c r="DN55" s="42">
        <f ca="1">IF(OR($I$10="",$O55="",$P55="",$J$40&lt;&gt;"Yes"),0,IF($K$10=0,SUMIFS(INDIRECT(ADDRESS(12,3+18*2+(5),,,"J1 D - South Bank Avenue")&amp;":"&amp;ADDRESS(130,3+18*2+(5))),'J1 D - South Bank Avenue'!$A$12:$A$130,"&gt;="&amp;Diagram!$O55,'J1 D - South Bank Avenue'!$A$12:$A$130,"&lt;"&amp;Diagram!$P55),SUMIFS(INDIRECT(ADDRESS(12,3+18*2+(13),,,"J1 D - South Bank Avenue")&amp;":"&amp;ADDRESS(130,3+18*2+(13))),'J1 D - South Bank Avenue'!$A$12:$A$130,"&gt;="&amp;Diagram!$O55,'J1 D - South Bank Avenue'!$A$12:$A$130,"&lt;"&amp;Diagram!$P55)))</f>
        <v>0</v>
      </c>
      <c r="DO55" s="42">
        <f ca="1">IF(OR($I$10="",$O55="",$P55="",$J$40&lt;&gt;"Yes"),0,IF($K$10=0,SUMIFS(INDIRECT(ADDRESS(12,3+18*3+(5),,,"J1 D - South Bank Avenue")&amp;":"&amp;ADDRESS(130,3+18*3+(5))),'J1 D - South Bank Avenue'!$A$12:$A$130,"&gt;="&amp;Diagram!$O55,'J1 D - South Bank Avenue'!$A$12:$A$130,"&lt;"&amp;Diagram!$P55),SUMIFS(INDIRECT(ADDRESS(12,3+18*3+(13),,,"J1 D - South Bank Avenue")&amp;":"&amp;ADDRESS(130,3+18*3+(13))),'J1 D - South Bank Avenue'!$A$12:$A$130,"&gt;="&amp;Diagram!$O55,'J1 D - South Bank Avenue'!$A$12:$A$130,"&lt;"&amp;Diagram!$P55)))</f>
        <v>0</v>
      </c>
      <c r="DP55" s="42">
        <f t="shared" ca="1" si="7"/>
        <v>11</v>
      </c>
      <c r="DQ55" s="42">
        <f ca="1">IF(OR($I$10="",$O55="",$P55="",$J$41&lt;&gt;"Yes"),0,IF($K$10=0,SUMIFS(INDIRECT(ADDRESS(12,3+18*3+(6),,,"J1 A - (North) Bishopthorpe Roa")&amp;":"&amp;ADDRESS(130,3+18*3+(6))),'J1 A - (North) Bishopthorpe Roa'!$A$12:$A$130,"&gt;="&amp;Diagram!$O55,'J1 A - (North) Bishopthorpe Roa'!$A$12:$A$130,"&lt;"&amp;Diagram!$P55),SUMIFS(INDIRECT(ADDRESS(12,3+18*3+(14),,,"J1 A - (North) Bishopthorpe Roa")&amp;":"&amp;ADDRESS(130,3+18*3+(14))),'J1 A - (North) Bishopthorpe Roa'!$A$12:$A$130,"&gt;="&amp;Diagram!$O55,'J1 A - (North) Bishopthorpe Roa'!$A$12:$A$130,"&lt;"&amp;Diagram!$P55)))</f>
        <v>0</v>
      </c>
      <c r="DR55" s="42">
        <f ca="1">IF(OR($I$10="",$O55="",$P55="",$J$41&lt;&gt;"Yes"),0,IF($K$10=0,SUMIFS(INDIRECT(ADDRESS(12,3+18*0+(6),,,"J1 A - (North) Bishopthorpe Roa")&amp;":"&amp;ADDRESS(130,3+18*0+(6))),'J1 A - (North) Bishopthorpe Roa'!$A$12:$A$130,"&gt;="&amp;Diagram!$O55,'J1 A - (North) Bishopthorpe Roa'!$A$12:$A$130,"&lt;"&amp;Diagram!$P55),SUMIFS(INDIRECT(ADDRESS(12,3+18*0+(14),,,"J1 A - (North) Bishopthorpe Roa")&amp;":"&amp;ADDRESS(130,3+18*0+(14))),'J1 A - (North) Bishopthorpe Roa'!$A$12:$A$130,"&gt;="&amp;Diagram!$O55,'J1 A - (North) Bishopthorpe Roa'!$A$12:$A$130,"&lt;"&amp;Diagram!$P55)))</f>
        <v>2</v>
      </c>
      <c r="DS55" s="42">
        <f ca="1">IF(OR($I$10="",$O55="",$P55="",$J$41&lt;&gt;"Yes"),0,IF($K$10=0,SUMIFS(INDIRECT(ADDRESS(12,3+18*1+(6),,,"J1 A - (North) Bishopthorpe Roa")&amp;":"&amp;ADDRESS(130,3+18*1+(6))),'J1 A - (North) Bishopthorpe Roa'!$A$12:$A$130,"&gt;="&amp;Diagram!$O55,'J1 A - (North) Bishopthorpe Roa'!$A$12:$A$130,"&lt;"&amp;Diagram!$P55),SUMIFS(INDIRECT(ADDRESS(12,3+18*1+(14),,,"J1 A - (North) Bishopthorpe Roa")&amp;":"&amp;ADDRESS(130,3+18*1+(14))),'J1 A - (North) Bishopthorpe Roa'!$A$12:$A$130,"&gt;="&amp;Diagram!$O55,'J1 A - (North) Bishopthorpe Roa'!$A$12:$A$130,"&lt;"&amp;Diagram!$P55)))</f>
        <v>3</v>
      </c>
      <c r="DT55" s="42">
        <f ca="1">IF(OR($I$10="",$O55="",$P55="",$J$41&lt;&gt;"Yes"),0,IF($K$10=0,SUMIFS(INDIRECT(ADDRESS(12,3+18*2+(6),,,"J1 A - (North) Bishopthorpe Roa")&amp;":"&amp;ADDRESS(130,3+18*2+(6))),'J1 A - (North) Bishopthorpe Roa'!$A$12:$A$130,"&gt;="&amp;Diagram!$O55,'J1 A - (North) Bishopthorpe Roa'!$A$12:$A$130,"&lt;"&amp;Diagram!$P55),SUMIFS(INDIRECT(ADDRESS(12,3+18*2+(14),,,"J1 A - (North) Bishopthorpe Roa")&amp;":"&amp;ADDRESS(130,3+18*2+(14))),'J1 A - (North) Bishopthorpe Roa'!$A$12:$A$130,"&gt;="&amp;Diagram!$O55,'J1 A - (North) Bishopthorpe Roa'!$A$12:$A$130,"&lt;"&amp;Diagram!$P55)))</f>
        <v>1</v>
      </c>
      <c r="DU55" s="42">
        <f ca="1">IF(OR($I$10="",$O55="",$P55="",$J$41&lt;&gt;"Yes"),0,IF($K$10=0,SUMIFS(INDIRECT(ADDRESS(12,3+18*2+(6),,,"J1 B - Butcher Terrace")&amp;":"&amp;ADDRESS(130,3+18*2+(6))),'J1 B - Butcher Terrace'!$A$12:$A$130,"&gt;="&amp;Diagram!$O55,'J1 B - Butcher Terrace'!$A$12:$A$130,"&lt;"&amp;Diagram!$P55),SUMIFS(INDIRECT(ADDRESS(12,3+18*2+(14),,,"J1 B - Butcher Terrace")&amp;":"&amp;ADDRESS(130,3+18*2+(14))),'J1 B - Butcher Terrace'!$A$12:$A$130,"&gt;="&amp;Diagram!$O55,'J1 B - Butcher Terrace'!$A$12:$A$130,"&lt;"&amp;Diagram!$P55)))</f>
        <v>1</v>
      </c>
      <c r="DV55" s="42">
        <f ca="1">IF(OR($I$10="",$O55="",$P55="",$J$41&lt;&gt;"Yes"),0,IF($K$10=0,SUMIFS(INDIRECT(ADDRESS(12,3+18*3+(6),,,"J1 B - Butcher Terrace")&amp;":"&amp;ADDRESS(130,3+18*3+(6))),'J1 B - Butcher Terrace'!$A$12:$A$130,"&gt;="&amp;Diagram!$O55,'J1 B - Butcher Terrace'!$A$12:$A$130,"&lt;"&amp;Diagram!$P55),SUMIFS(INDIRECT(ADDRESS(12,3+18*3+(14),,,"J1 B - Butcher Terrace")&amp;":"&amp;ADDRESS(130,3+18*3+(14))),'J1 B - Butcher Terrace'!$A$12:$A$130,"&gt;="&amp;Diagram!$O55,'J1 B - Butcher Terrace'!$A$12:$A$130,"&lt;"&amp;Diagram!$P55)))</f>
        <v>0</v>
      </c>
      <c r="DW55" s="42">
        <f ca="1">IF(OR($I$10="",$O55="",$P55="",$J$41&lt;&gt;"Yes"),0,IF($K$10=0,SUMIFS(INDIRECT(ADDRESS(12,3+18*0+(6),,,"J1 B - Butcher Terrace")&amp;":"&amp;ADDRESS(130,3+18*0+(6))),'J1 B - Butcher Terrace'!$A$12:$A$130,"&gt;="&amp;Diagram!$O55,'J1 B - Butcher Terrace'!$A$12:$A$130,"&lt;"&amp;Diagram!$P55),SUMIFS(INDIRECT(ADDRESS(12,3+18*0+(14),,,"J1 B - Butcher Terrace")&amp;":"&amp;ADDRESS(130,3+18*0+(14))),'J1 B - Butcher Terrace'!$A$12:$A$130,"&gt;="&amp;Diagram!$O55,'J1 B - Butcher Terrace'!$A$12:$A$130,"&lt;"&amp;Diagram!$P55)))</f>
        <v>0</v>
      </c>
      <c r="DX55" s="42">
        <f ca="1">IF(OR($I$10="",$O55="",$P55="",$J$41&lt;&gt;"Yes"),0,IF($K$10=0,SUMIFS(INDIRECT(ADDRESS(12,3+18*1+(6),,,"J1 B - Butcher Terrace")&amp;":"&amp;ADDRESS(130,3+18*1+(6))),'J1 B - Butcher Terrace'!$A$12:$A$130,"&gt;="&amp;Diagram!$O55,'J1 B - Butcher Terrace'!$A$12:$A$130,"&lt;"&amp;Diagram!$P55),SUMIFS(INDIRECT(ADDRESS(12,3+18*1+(14),,,"J1 B - Butcher Terrace")&amp;":"&amp;ADDRESS(130,3+18*1+(14))),'J1 B - Butcher Terrace'!$A$12:$A$130,"&gt;="&amp;Diagram!$O55,'J1 B - Butcher Terrace'!$A$12:$A$130,"&lt;"&amp;Diagram!$P55)))</f>
        <v>0</v>
      </c>
      <c r="DY55" s="42">
        <f ca="1">IF(OR($I$10="",$O55="",$P55="",$J$41&lt;&gt;"Yes"),0,IF($K$10=0,SUMIFS(INDIRECT(ADDRESS(12,3+18*1+(6),,,"J1 C - (South) Bishopthorpe Roa")&amp;":"&amp;ADDRESS(130,3+18*1+(6))),'J1 C - (South) Bishopthorpe Roa'!$A$12:$A$130,"&gt;="&amp;Diagram!$O55,'J1 C - (South) Bishopthorpe Roa'!$A$12:$A$130,"&lt;"&amp;Diagram!$P55),SUMIFS(INDIRECT(ADDRESS(12,3+18*1+(14),,,"J1 C - (South) Bishopthorpe Roa")&amp;":"&amp;ADDRESS(130,3+18*1+(14))),'J1 C - (South) Bishopthorpe Roa'!$A$12:$A$130,"&gt;="&amp;Diagram!$O55,'J1 C - (South) Bishopthorpe Roa'!$A$12:$A$130,"&lt;"&amp;Diagram!$P55)))</f>
        <v>3</v>
      </c>
      <c r="DZ55" s="42">
        <f ca="1">IF(OR($I$10="",$O55="",$P55="",$J$41&lt;&gt;"Yes"),0,IF($K$10=0,SUMIFS(INDIRECT(ADDRESS(12,3+18*2+(6),,,"J1 C - (South) Bishopthorpe Roa")&amp;":"&amp;ADDRESS(130,3+18*2+(6))),'J1 C - (South) Bishopthorpe Roa'!$A$12:$A$130,"&gt;="&amp;Diagram!$O55,'J1 C - (South) Bishopthorpe Roa'!$A$12:$A$130,"&lt;"&amp;Diagram!$P55),SUMIFS(INDIRECT(ADDRESS(12,3+18*2+(14),,,"J1 C - (South) Bishopthorpe Roa")&amp;":"&amp;ADDRESS(130,3+18*2+(14))),'J1 C - (South) Bishopthorpe Roa'!$A$12:$A$130,"&gt;="&amp;Diagram!$O55,'J1 C - (South) Bishopthorpe Roa'!$A$12:$A$130,"&lt;"&amp;Diagram!$P55)))</f>
        <v>0</v>
      </c>
      <c r="EA55" s="42">
        <f ca="1">IF(OR($I$10="",$O55="",$P55="",$J$41&lt;&gt;"Yes"),0,IF($K$10=0,SUMIFS(INDIRECT(ADDRESS(12,3+18*3+(6),,,"J1 C - (South) Bishopthorpe Roa")&amp;":"&amp;ADDRESS(130,3+18*3+(6))),'J1 C - (South) Bishopthorpe Roa'!$A$12:$A$130,"&gt;="&amp;Diagram!$O55,'J1 C - (South) Bishopthorpe Roa'!$A$12:$A$130,"&lt;"&amp;Diagram!$P55),SUMIFS(INDIRECT(ADDRESS(12,3+18*3+(14),,,"J1 C - (South) Bishopthorpe Roa")&amp;":"&amp;ADDRESS(130,3+18*3+(14))),'J1 C - (South) Bishopthorpe Roa'!$A$12:$A$130,"&gt;="&amp;Diagram!$O55,'J1 C - (South) Bishopthorpe Roa'!$A$12:$A$130,"&lt;"&amp;Diagram!$P55)))</f>
        <v>0</v>
      </c>
      <c r="EB55" s="42">
        <f ca="1">IF(OR($I$10="",$O55="",$P55="",$J$41&lt;&gt;"Yes"),0,IF($K$10=0,SUMIFS(INDIRECT(ADDRESS(12,3+18*0+(6),,,"J1 C - (South) Bishopthorpe Roa")&amp;":"&amp;ADDRESS(130,3+18*0+(6))),'J1 C - (South) Bishopthorpe Roa'!$A$12:$A$130,"&gt;="&amp;Diagram!$O55,'J1 C - (South) Bishopthorpe Roa'!$A$12:$A$130,"&lt;"&amp;Diagram!$P55),SUMIFS(INDIRECT(ADDRESS(12,3+18*0+(14),,,"J1 C - (South) Bishopthorpe Roa")&amp;":"&amp;ADDRESS(130,3+18*0+(14))),'J1 C - (South) Bishopthorpe Roa'!$A$12:$A$130,"&gt;="&amp;Diagram!$O55,'J1 C - (South) Bishopthorpe Roa'!$A$12:$A$130,"&lt;"&amp;Diagram!$P55)))</f>
        <v>0</v>
      </c>
      <c r="EC55" s="42">
        <f ca="1">IF(OR($I$10="",$O55="",$P55="",$J$41&lt;&gt;"Yes"),0,IF($K$10=0,SUMIFS(INDIRECT(ADDRESS(12,3+18*0+(6),,,"J1 D - South Bank Avenue")&amp;":"&amp;ADDRESS(130,3+18*0+(6))),'J1 D - South Bank Avenue'!$A$12:$A$130,"&gt;="&amp;Diagram!$O55,'J1 D - South Bank Avenue'!$A$12:$A$130,"&lt;"&amp;Diagram!$P55),SUMIFS(INDIRECT(ADDRESS(12,3+18*0+(14),,,"J1 D - South Bank Avenue")&amp;":"&amp;ADDRESS(130,3+18*0+(14))),'J1 D - South Bank Avenue'!$A$12:$A$130,"&gt;="&amp;Diagram!$O55,'J1 D - South Bank Avenue'!$A$12:$A$130,"&lt;"&amp;Diagram!$P55)))</f>
        <v>1</v>
      </c>
      <c r="ED55" s="42">
        <f ca="1">IF(OR($I$10="",$O55="",$P55="",$J$41&lt;&gt;"Yes"),0,IF($K$10=0,SUMIFS(INDIRECT(ADDRESS(12,3+18*1+(6),,,"J1 D - South Bank Avenue")&amp;":"&amp;ADDRESS(130,3+18*1+(6))),'J1 D - South Bank Avenue'!$A$12:$A$130,"&gt;="&amp;Diagram!$O55,'J1 D - South Bank Avenue'!$A$12:$A$130,"&lt;"&amp;Diagram!$P55),SUMIFS(INDIRECT(ADDRESS(12,3+18*1+(14),,,"J1 D - South Bank Avenue")&amp;":"&amp;ADDRESS(130,3+18*1+(14))),'J1 D - South Bank Avenue'!$A$12:$A$130,"&gt;="&amp;Diagram!$O55,'J1 D - South Bank Avenue'!$A$12:$A$130,"&lt;"&amp;Diagram!$P55)))</f>
        <v>0</v>
      </c>
      <c r="EE55" s="42">
        <f ca="1">IF(OR($I$10="",$O55="",$P55="",$J$41&lt;&gt;"Yes"),0,IF($K$10=0,SUMIFS(INDIRECT(ADDRESS(12,3+18*2+(6),,,"J1 D - South Bank Avenue")&amp;":"&amp;ADDRESS(130,3+18*2+(6))),'J1 D - South Bank Avenue'!$A$12:$A$130,"&gt;="&amp;Diagram!$O55,'J1 D - South Bank Avenue'!$A$12:$A$130,"&lt;"&amp;Diagram!$P55),SUMIFS(INDIRECT(ADDRESS(12,3+18*2+(14),,,"J1 D - South Bank Avenue")&amp;":"&amp;ADDRESS(130,3+18*2+(14))),'J1 D - South Bank Avenue'!$A$12:$A$130,"&gt;="&amp;Diagram!$O55,'J1 D - South Bank Avenue'!$A$12:$A$130,"&lt;"&amp;Diagram!$P55)))</f>
        <v>0</v>
      </c>
      <c r="EF55" s="42">
        <f ca="1">IF(OR($I$10="",$O55="",$P55="",$J$41&lt;&gt;"Yes"),0,IF($K$10=0,SUMIFS(INDIRECT(ADDRESS(12,3+18*3+(6),,,"J1 D - South Bank Avenue")&amp;":"&amp;ADDRESS(130,3+18*3+(6))),'J1 D - South Bank Avenue'!$A$12:$A$130,"&gt;="&amp;Diagram!$O55,'J1 D - South Bank Avenue'!$A$12:$A$130,"&lt;"&amp;Diagram!$P55),SUMIFS(INDIRECT(ADDRESS(12,3+18*3+(14),,,"J1 D - South Bank Avenue")&amp;":"&amp;ADDRESS(130,3+18*3+(14))),'J1 D - South Bank Avenue'!$A$12:$A$130,"&gt;="&amp;Diagram!$O55,'J1 D - South Bank Avenue'!$A$12:$A$130,"&lt;"&amp;Diagram!$P55)))</f>
        <v>0</v>
      </c>
      <c r="EG55" s="42">
        <f t="shared" ca="1" si="8"/>
        <v>3</v>
      </c>
      <c r="EH55" s="42">
        <f ca="1">IF(OR($I$10="",$O55="",$P55="",$J$42&lt;&gt;"Yes"),0,IF($K$10=0,SUMIFS(INDIRECT(ADDRESS(12,3+18*3+(7),,,"J1 A - (North) Bishopthorpe Roa")&amp;":"&amp;ADDRESS(130,3+18*3+(7))),'J1 A - (North) Bishopthorpe Roa'!$A$12:$A$130,"&gt;="&amp;Diagram!$O55,'J1 A - (North) Bishopthorpe Roa'!$A$12:$A$130,"&lt;"&amp;Diagram!$P55),SUMIFS(INDIRECT(ADDRESS(12,3+18*3+(15),,,"J1 A - (North) Bishopthorpe Roa")&amp;":"&amp;ADDRESS(130,3+18*3+(15))),'J1 A - (North) Bishopthorpe Roa'!$A$12:$A$130,"&gt;="&amp;Diagram!$O55,'J1 A - (North) Bishopthorpe Roa'!$A$12:$A$130,"&lt;"&amp;Diagram!$P55)))</f>
        <v>0</v>
      </c>
      <c r="EI55" s="42">
        <f ca="1">IF(OR($I$10="",$O55="",$P55="",$J$42&lt;&gt;"Yes"),0,IF($K$10=0,SUMIFS(INDIRECT(ADDRESS(12,3+18*0+(7),,,"J1 A - (North) Bishopthorpe Roa")&amp;":"&amp;ADDRESS(130,3+18*0+(7))),'J1 A - (North) Bishopthorpe Roa'!$A$12:$A$130,"&gt;="&amp;Diagram!$O55,'J1 A - (North) Bishopthorpe Roa'!$A$12:$A$130,"&lt;"&amp;Diagram!$P55),SUMIFS(INDIRECT(ADDRESS(12,3+18*0+(15),,,"J1 A - (North) Bishopthorpe Roa")&amp;":"&amp;ADDRESS(130,3+18*0+(15))),'J1 A - (North) Bishopthorpe Roa'!$A$12:$A$130,"&gt;="&amp;Diagram!$O55,'J1 A - (North) Bishopthorpe Roa'!$A$12:$A$130,"&lt;"&amp;Diagram!$P55)))</f>
        <v>2</v>
      </c>
      <c r="EJ55" s="42">
        <f ca="1">IF(OR($I$10="",$O55="",$P55="",$J$42&lt;&gt;"Yes"),0,IF($K$10=0,SUMIFS(INDIRECT(ADDRESS(12,3+18*1+(7),,,"J1 A - (North) Bishopthorpe Roa")&amp;":"&amp;ADDRESS(130,3+18*1+(7))),'J1 A - (North) Bishopthorpe Roa'!$A$12:$A$130,"&gt;="&amp;Diagram!$O55,'J1 A - (North) Bishopthorpe Roa'!$A$12:$A$130,"&lt;"&amp;Diagram!$P55),SUMIFS(INDIRECT(ADDRESS(12,3+18*1+(15),,,"J1 A - (North) Bishopthorpe Roa")&amp;":"&amp;ADDRESS(130,3+18*1+(15))),'J1 A - (North) Bishopthorpe Roa'!$A$12:$A$130,"&gt;="&amp;Diagram!$O55,'J1 A - (North) Bishopthorpe Roa'!$A$12:$A$130,"&lt;"&amp;Diagram!$P55)))</f>
        <v>0</v>
      </c>
      <c r="EK55" s="42">
        <f ca="1">IF(OR($I$10="",$O55="",$P55="",$J$42&lt;&gt;"Yes"),0,IF($K$10=0,SUMIFS(INDIRECT(ADDRESS(12,3+18*2+(7),,,"J1 A - (North) Bishopthorpe Roa")&amp;":"&amp;ADDRESS(130,3+18*2+(7))),'J1 A - (North) Bishopthorpe Roa'!$A$12:$A$130,"&gt;="&amp;Diagram!$O55,'J1 A - (North) Bishopthorpe Roa'!$A$12:$A$130,"&lt;"&amp;Diagram!$P55),SUMIFS(INDIRECT(ADDRESS(12,3+18*2+(15),,,"J1 A - (North) Bishopthorpe Roa")&amp;":"&amp;ADDRESS(130,3+18*2+(15))),'J1 A - (North) Bishopthorpe Roa'!$A$12:$A$130,"&gt;="&amp;Diagram!$O55,'J1 A - (North) Bishopthorpe Roa'!$A$12:$A$130,"&lt;"&amp;Diagram!$P55)))</f>
        <v>0</v>
      </c>
      <c r="EL55" s="42">
        <f ca="1">IF(OR($I$10="",$O55="",$P55="",$J$42&lt;&gt;"Yes"),0,IF($K$10=0,SUMIFS(INDIRECT(ADDRESS(12,3+18*2+(7),,,"J1 B - Butcher Terrace")&amp;":"&amp;ADDRESS(130,3+18*2+(7))),'J1 B - Butcher Terrace'!$A$12:$A$130,"&gt;="&amp;Diagram!$O55,'J1 B - Butcher Terrace'!$A$12:$A$130,"&lt;"&amp;Diagram!$P55),SUMIFS(INDIRECT(ADDRESS(12,3+18*2+(15),,,"J1 B - Butcher Terrace")&amp;":"&amp;ADDRESS(130,3+18*2+(15))),'J1 B - Butcher Terrace'!$A$12:$A$130,"&gt;="&amp;Diagram!$O55,'J1 B - Butcher Terrace'!$A$12:$A$130,"&lt;"&amp;Diagram!$P55)))</f>
        <v>0</v>
      </c>
      <c r="EM55" s="42">
        <f ca="1">IF(OR($I$10="",$O55="",$P55="",$J$42&lt;&gt;"Yes"),0,IF($K$10=0,SUMIFS(INDIRECT(ADDRESS(12,3+18*3+(7),,,"J1 B - Butcher Terrace")&amp;":"&amp;ADDRESS(130,3+18*3+(7))),'J1 B - Butcher Terrace'!$A$12:$A$130,"&gt;="&amp;Diagram!$O55,'J1 B - Butcher Terrace'!$A$12:$A$130,"&lt;"&amp;Diagram!$P55),SUMIFS(INDIRECT(ADDRESS(12,3+18*3+(15),,,"J1 B - Butcher Terrace")&amp;":"&amp;ADDRESS(130,3+18*3+(15))),'J1 B - Butcher Terrace'!$A$12:$A$130,"&gt;="&amp;Diagram!$O55,'J1 B - Butcher Terrace'!$A$12:$A$130,"&lt;"&amp;Diagram!$P55)))</f>
        <v>0</v>
      </c>
      <c r="EN55" s="42">
        <f ca="1">IF(OR($I$10="",$O55="",$P55="",$J$42&lt;&gt;"Yes"),0,IF($K$10=0,SUMIFS(INDIRECT(ADDRESS(12,3+18*0+(7),,,"J1 B - Butcher Terrace")&amp;":"&amp;ADDRESS(130,3+18*0+(7))),'J1 B - Butcher Terrace'!$A$12:$A$130,"&gt;="&amp;Diagram!$O55,'J1 B - Butcher Terrace'!$A$12:$A$130,"&lt;"&amp;Diagram!$P55),SUMIFS(INDIRECT(ADDRESS(12,3+18*0+(15),,,"J1 B - Butcher Terrace")&amp;":"&amp;ADDRESS(130,3+18*0+(15))),'J1 B - Butcher Terrace'!$A$12:$A$130,"&gt;="&amp;Diagram!$O55,'J1 B - Butcher Terrace'!$A$12:$A$130,"&lt;"&amp;Diagram!$P55)))</f>
        <v>0</v>
      </c>
      <c r="EO55" s="42">
        <f ca="1">IF(OR($I$10="",$O55="",$P55="",$J$42&lt;&gt;"Yes"),0,IF($K$10=0,SUMIFS(INDIRECT(ADDRESS(12,3+18*1+(7),,,"J1 B - Butcher Terrace")&amp;":"&amp;ADDRESS(130,3+18*1+(7))),'J1 B - Butcher Terrace'!$A$12:$A$130,"&gt;="&amp;Diagram!$O55,'J1 B - Butcher Terrace'!$A$12:$A$130,"&lt;"&amp;Diagram!$P55),SUMIFS(INDIRECT(ADDRESS(12,3+18*1+(15),,,"J1 B - Butcher Terrace")&amp;":"&amp;ADDRESS(130,3+18*1+(15))),'J1 B - Butcher Terrace'!$A$12:$A$130,"&gt;="&amp;Diagram!$O55,'J1 B - Butcher Terrace'!$A$12:$A$130,"&lt;"&amp;Diagram!$P55)))</f>
        <v>0</v>
      </c>
      <c r="EP55" s="42">
        <f ca="1">IF(OR($I$10="",$O55="",$P55="",$J$42&lt;&gt;"Yes"),0,IF($K$10=0,SUMIFS(INDIRECT(ADDRESS(12,3+18*1+(7),,,"J1 C - (South) Bishopthorpe Roa")&amp;":"&amp;ADDRESS(130,3+18*1+(7))),'J1 C - (South) Bishopthorpe Roa'!$A$12:$A$130,"&gt;="&amp;Diagram!$O55,'J1 C - (South) Bishopthorpe Roa'!$A$12:$A$130,"&lt;"&amp;Diagram!$P55),SUMIFS(INDIRECT(ADDRESS(12,3+18*1+(15),,,"J1 C - (South) Bishopthorpe Roa")&amp;":"&amp;ADDRESS(130,3+18*1+(15))),'J1 C - (South) Bishopthorpe Roa'!$A$12:$A$130,"&gt;="&amp;Diagram!$O55,'J1 C - (South) Bishopthorpe Roa'!$A$12:$A$130,"&lt;"&amp;Diagram!$P55)))</f>
        <v>0</v>
      </c>
      <c r="EQ55" s="42">
        <f ca="1">IF(OR($I$10="",$O55="",$P55="",$J$42&lt;&gt;"Yes"),0,IF($K$10=0,SUMIFS(INDIRECT(ADDRESS(12,3+18*2+(7),,,"J1 C - (South) Bishopthorpe Roa")&amp;":"&amp;ADDRESS(130,3+18*2+(7))),'J1 C - (South) Bishopthorpe Roa'!$A$12:$A$130,"&gt;="&amp;Diagram!$O55,'J1 C - (South) Bishopthorpe Roa'!$A$12:$A$130,"&lt;"&amp;Diagram!$P55),SUMIFS(INDIRECT(ADDRESS(12,3+18*2+(15),,,"J1 C - (South) Bishopthorpe Roa")&amp;":"&amp;ADDRESS(130,3+18*2+(15))),'J1 C - (South) Bishopthorpe Roa'!$A$12:$A$130,"&gt;="&amp;Diagram!$O55,'J1 C - (South) Bishopthorpe Roa'!$A$12:$A$130,"&lt;"&amp;Diagram!$P55)))</f>
        <v>1</v>
      </c>
      <c r="ER55" s="42">
        <f ca="1">IF(OR($I$10="",$O55="",$P55="",$J$42&lt;&gt;"Yes"),0,IF($K$10=0,SUMIFS(INDIRECT(ADDRESS(12,3+18*3+(7),,,"J1 C - (South) Bishopthorpe Roa")&amp;":"&amp;ADDRESS(130,3+18*3+(7))),'J1 C - (South) Bishopthorpe Roa'!$A$12:$A$130,"&gt;="&amp;Diagram!$O55,'J1 C - (South) Bishopthorpe Roa'!$A$12:$A$130,"&lt;"&amp;Diagram!$P55),SUMIFS(INDIRECT(ADDRESS(12,3+18*3+(15),,,"J1 C - (South) Bishopthorpe Roa")&amp;":"&amp;ADDRESS(130,3+18*3+(15))),'J1 C - (South) Bishopthorpe Roa'!$A$12:$A$130,"&gt;="&amp;Diagram!$O55,'J1 C - (South) Bishopthorpe Roa'!$A$12:$A$130,"&lt;"&amp;Diagram!$P55)))</f>
        <v>0</v>
      </c>
      <c r="ES55" s="42">
        <f ca="1">IF(OR($I$10="",$O55="",$P55="",$J$42&lt;&gt;"Yes"),0,IF($K$10=0,SUMIFS(INDIRECT(ADDRESS(12,3+18*0+(7),,,"J1 C - (South) Bishopthorpe Roa")&amp;":"&amp;ADDRESS(130,3+18*0+(7))),'J1 C - (South) Bishopthorpe Roa'!$A$12:$A$130,"&gt;="&amp;Diagram!$O55,'J1 C - (South) Bishopthorpe Roa'!$A$12:$A$130,"&lt;"&amp;Diagram!$P55),SUMIFS(INDIRECT(ADDRESS(12,3+18*0+(15),,,"J1 C - (South) Bishopthorpe Roa")&amp;":"&amp;ADDRESS(130,3+18*0+(15))),'J1 C - (South) Bishopthorpe Roa'!$A$12:$A$130,"&gt;="&amp;Diagram!$O55,'J1 C - (South) Bishopthorpe Roa'!$A$12:$A$130,"&lt;"&amp;Diagram!$P55)))</f>
        <v>0</v>
      </c>
      <c r="ET55" s="42">
        <f ca="1">IF(OR($I$10="",$O55="",$P55="",$J$42&lt;&gt;"Yes"),0,IF($K$10=0,SUMIFS(INDIRECT(ADDRESS(12,3+18*0+(7),,,"J1 D - South Bank Avenue")&amp;":"&amp;ADDRESS(130,3+18*0+(7))),'J1 D - South Bank Avenue'!$A$12:$A$130,"&gt;="&amp;Diagram!$O55,'J1 D - South Bank Avenue'!$A$12:$A$130,"&lt;"&amp;Diagram!$P55),SUMIFS(INDIRECT(ADDRESS(12,3+18*0+(15),,,"J1 D - South Bank Avenue")&amp;":"&amp;ADDRESS(130,3+18*0+(15))),'J1 D - South Bank Avenue'!$A$12:$A$130,"&gt;="&amp;Diagram!$O55,'J1 D - South Bank Avenue'!$A$12:$A$130,"&lt;"&amp;Diagram!$P55)))</f>
        <v>0</v>
      </c>
      <c r="EU55" s="42">
        <f ca="1">IF(OR($I$10="",$O55="",$P55="",$J$42&lt;&gt;"Yes"),0,IF($K$10=0,SUMIFS(INDIRECT(ADDRESS(12,3+18*1+(7),,,"J1 D - South Bank Avenue")&amp;":"&amp;ADDRESS(130,3+18*1+(7))),'J1 D - South Bank Avenue'!$A$12:$A$130,"&gt;="&amp;Diagram!$O55,'J1 D - South Bank Avenue'!$A$12:$A$130,"&lt;"&amp;Diagram!$P55),SUMIFS(INDIRECT(ADDRESS(12,3+18*1+(15),,,"J1 D - South Bank Avenue")&amp;":"&amp;ADDRESS(130,3+18*1+(15))),'J1 D - South Bank Avenue'!$A$12:$A$130,"&gt;="&amp;Diagram!$O55,'J1 D - South Bank Avenue'!$A$12:$A$130,"&lt;"&amp;Diagram!$P55)))</f>
        <v>0</v>
      </c>
      <c r="EV55" s="42">
        <f ca="1">IF(OR($I$10="",$O55="",$P55="",$J$42&lt;&gt;"Yes"),0,IF($K$10=0,SUMIFS(INDIRECT(ADDRESS(12,3+18*2+(7),,,"J1 D - South Bank Avenue")&amp;":"&amp;ADDRESS(130,3+18*2+(7))),'J1 D - South Bank Avenue'!$A$12:$A$130,"&gt;="&amp;Diagram!$O55,'J1 D - South Bank Avenue'!$A$12:$A$130,"&lt;"&amp;Diagram!$P55),SUMIFS(INDIRECT(ADDRESS(12,3+18*2+(15),,,"J1 D - South Bank Avenue")&amp;":"&amp;ADDRESS(130,3+18*2+(15))),'J1 D - South Bank Avenue'!$A$12:$A$130,"&gt;="&amp;Diagram!$O55,'J1 D - South Bank Avenue'!$A$12:$A$130,"&lt;"&amp;Diagram!$P55)))</f>
        <v>0</v>
      </c>
      <c r="EW55" s="42">
        <f ca="1">IF(OR($I$10="",$O55="",$P55="",$J$42&lt;&gt;"Yes"),0,IF($K$10=0,SUMIFS(INDIRECT(ADDRESS(12,3+18*3+(7),,,"J1 D - South Bank Avenue")&amp;":"&amp;ADDRESS(130,3+18*3+(7))),'J1 D - South Bank Avenue'!$A$12:$A$130,"&gt;="&amp;Diagram!$O55,'J1 D - South Bank Avenue'!$A$12:$A$130,"&lt;"&amp;Diagram!$P55),SUMIFS(INDIRECT(ADDRESS(12,3+18*3+(15),,,"J1 D - South Bank Avenue")&amp;":"&amp;ADDRESS(130,3+18*3+(15))),'J1 D - South Bank Avenue'!$A$12:$A$130,"&gt;="&amp;Diagram!$O55,'J1 D - South Bank Avenue'!$A$12:$A$130,"&lt;"&amp;Diagram!$P55)))</f>
        <v>0</v>
      </c>
    </row>
    <row r="56" spans="1:153">
      <c r="A56" s="1">
        <v>44395.572916666701</v>
      </c>
      <c r="B56" s="1">
        <v>44395.583333333299</v>
      </c>
      <c r="O56" s="3">
        <v>44395.572916666701</v>
      </c>
      <c r="P56" s="3">
        <v>44395.614583333299</v>
      </c>
      <c r="Q56" s="42">
        <f t="shared" ca="1" si="0"/>
        <v>736</v>
      </c>
      <c r="R56" s="42">
        <f t="shared" ca="1" si="1"/>
        <v>528</v>
      </c>
      <c r="S56" s="42">
        <f ca="1">IF(OR($I$10="",$O56="",$P56="",$J$35&lt;&gt;"Yes"),0,IF($K$10=0,SUMIFS(INDIRECT(ADDRESS(12,3+18*3+(0),,,"J1 A - (North) Bishopthorpe Roa")&amp;":"&amp;ADDRESS(130,3+18*3+(0))),'J1 A - (North) Bishopthorpe Roa'!$A$12:$A$130,"&gt;="&amp;Diagram!$O56,'J1 A - (North) Bishopthorpe Roa'!$A$12:$A$130,"&lt;"&amp;Diagram!$P56),SUMIFS(INDIRECT(ADDRESS(12,3+18*3+(8),,,"J1 A - (North) Bishopthorpe Roa")&amp;":"&amp;ADDRESS(130,3+18*3+(8))),'J1 A - (North) Bishopthorpe Roa'!$A$12:$A$130,"&gt;="&amp;Diagram!$O56,'J1 A - (North) Bishopthorpe Roa'!$A$12:$A$130,"&lt;"&amp;Diagram!$P56)))</f>
        <v>2</v>
      </c>
      <c r="T56" s="42">
        <f ca="1">IF(OR($I$10="",$O56="",$P56="",$J$35&lt;&gt;"Yes"),0,IF($K$10=0,SUMIFS(INDIRECT(ADDRESS(12,3+18*0+(0),,,"J1 A - (North) Bishopthorpe Roa")&amp;":"&amp;ADDRESS(130,3+18*0+(0))),'J1 A - (North) Bishopthorpe Roa'!$A$12:$A$130,"&gt;="&amp;Diagram!$O56,'J1 A - (North) Bishopthorpe Roa'!$A$12:$A$130,"&lt;"&amp;Diagram!$P56),SUMIFS(INDIRECT(ADDRESS(12,3+18*0+(8),,,"J1 A - (North) Bishopthorpe Roa")&amp;":"&amp;ADDRESS(130,3+18*0+(8))),'J1 A - (North) Bishopthorpe Roa'!$A$12:$A$130,"&gt;="&amp;Diagram!$O56,'J1 A - (North) Bishopthorpe Roa'!$A$12:$A$130,"&lt;"&amp;Diagram!$P56)))</f>
        <v>22</v>
      </c>
      <c r="U56" s="42">
        <f ca="1">IF(OR($I$10="",$O56="",$P56="",$J$35&lt;&gt;"Yes"),0,IF($K$10=0,SUMIFS(INDIRECT(ADDRESS(12,3+18*1+(0),,,"J1 A - (North) Bishopthorpe Roa")&amp;":"&amp;ADDRESS(130,3+18*1+(0))),'J1 A - (North) Bishopthorpe Roa'!$A$12:$A$130,"&gt;="&amp;Diagram!$O56,'J1 A - (North) Bishopthorpe Roa'!$A$12:$A$130,"&lt;"&amp;Diagram!$P56),SUMIFS(INDIRECT(ADDRESS(12,3+18*1+(8),,,"J1 A - (North) Bishopthorpe Roa")&amp;":"&amp;ADDRESS(130,3+18*1+(8))),'J1 A - (North) Bishopthorpe Roa'!$A$12:$A$130,"&gt;="&amp;Diagram!$O56,'J1 A - (North) Bishopthorpe Roa'!$A$12:$A$130,"&lt;"&amp;Diagram!$P56)))</f>
        <v>240</v>
      </c>
      <c r="V56" s="42">
        <f ca="1">IF(OR($I$10="",$O56="",$P56="",$J$35&lt;&gt;"Yes"),0,IF($K$10=0,SUMIFS(INDIRECT(ADDRESS(12,3+18*2+(0),,,"J1 A - (North) Bishopthorpe Roa")&amp;":"&amp;ADDRESS(130,3+18*2+(0))),'J1 A - (North) Bishopthorpe Roa'!$A$12:$A$130,"&gt;="&amp;Diagram!$O56,'J1 A - (North) Bishopthorpe Roa'!$A$12:$A$130,"&lt;"&amp;Diagram!$P56),SUMIFS(INDIRECT(ADDRESS(12,3+18*2+(8),,,"J1 A - (North) Bishopthorpe Roa")&amp;":"&amp;ADDRESS(130,3+18*2+(8))),'J1 A - (North) Bishopthorpe Roa'!$A$12:$A$130,"&gt;="&amp;Diagram!$O56,'J1 A - (North) Bishopthorpe Roa'!$A$12:$A$130,"&lt;"&amp;Diagram!$P56)))</f>
        <v>22</v>
      </c>
      <c r="W56" s="42">
        <f ca="1">IF(OR($I$10="",$O56="",$P56="",$J$35&lt;&gt;"Yes"),0,IF($K$10=0,SUMIFS(INDIRECT(ADDRESS(12,3+18*2+(0),,,"J1 B - Butcher Terrace")&amp;":"&amp;ADDRESS(130,3+18*2+(0))),'J1 B - Butcher Terrace'!$A$12:$A$130,"&gt;="&amp;Diagram!$O56,'J1 B - Butcher Terrace'!$A$12:$A$130,"&lt;"&amp;Diagram!$P56),SUMIFS(INDIRECT(ADDRESS(12,3+18*2+(8),,,"J1 B - Butcher Terrace")&amp;":"&amp;ADDRESS(130,3+18*2+(8))),'J1 B - Butcher Terrace'!$A$12:$A$130,"&gt;="&amp;Diagram!$O56,'J1 B - Butcher Terrace'!$A$12:$A$130,"&lt;"&amp;Diagram!$P56)))</f>
        <v>15</v>
      </c>
      <c r="X56" s="42">
        <f ca="1">IF(OR($I$10="",$O56="",$P56="",$J$35&lt;&gt;"Yes"),0,IF($K$10=0,SUMIFS(INDIRECT(ADDRESS(12,3+18*3+(0),,,"J1 B - Butcher Terrace")&amp;":"&amp;ADDRESS(130,3+18*3+(0))),'J1 B - Butcher Terrace'!$A$12:$A$130,"&gt;="&amp;Diagram!$O56,'J1 B - Butcher Terrace'!$A$12:$A$130,"&lt;"&amp;Diagram!$P56),SUMIFS(INDIRECT(ADDRESS(12,3+18*3+(8),,,"J1 B - Butcher Terrace")&amp;":"&amp;ADDRESS(130,3+18*3+(8))),'J1 B - Butcher Terrace'!$A$12:$A$130,"&gt;="&amp;Diagram!$O56,'J1 B - Butcher Terrace'!$A$12:$A$130,"&lt;"&amp;Diagram!$P56)))</f>
        <v>0</v>
      </c>
      <c r="Y56" s="42">
        <f ca="1">IF(OR($I$10="",$O56="",$P56="",$J$35&lt;&gt;"Yes"),0,IF($K$10=0,SUMIFS(INDIRECT(ADDRESS(12,3+18*0+(0),,,"J1 B - Butcher Terrace")&amp;":"&amp;ADDRESS(130,3+18*0+(0))),'J1 B - Butcher Terrace'!$A$12:$A$130,"&gt;="&amp;Diagram!$O56,'J1 B - Butcher Terrace'!$A$12:$A$130,"&lt;"&amp;Diagram!$P56),SUMIFS(INDIRECT(ADDRESS(12,3+18*0+(8),,,"J1 B - Butcher Terrace")&amp;":"&amp;ADDRESS(130,3+18*0+(8))),'J1 B - Butcher Terrace'!$A$12:$A$130,"&gt;="&amp;Diagram!$O56,'J1 B - Butcher Terrace'!$A$12:$A$130,"&lt;"&amp;Diagram!$P56)))</f>
        <v>10</v>
      </c>
      <c r="Z56" s="42">
        <f ca="1">IF(OR($I$10="",$O56="",$P56="",$J$35&lt;&gt;"Yes"),0,IF($K$10=0,SUMIFS(INDIRECT(ADDRESS(12,3+18*1+(0),,,"J1 B - Butcher Terrace")&amp;":"&amp;ADDRESS(130,3+18*1+(0))),'J1 B - Butcher Terrace'!$A$12:$A$130,"&gt;="&amp;Diagram!$O56,'J1 B - Butcher Terrace'!$A$12:$A$130,"&lt;"&amp;Diagram!$P56),SUMIFS(INDIRECT(ADDRESS(12,3+18*1+(8),,,"J1 B - Butcher Terrace")&amp;":"&amp;ADDRESS(130,3+18*1+(8))),'J1 B - Butcher Terrace'!$A$12:$A$130,"&gt;="&amp;Diagram!$O56,'J1 B - Butcher Terrace'!$A$12:$A$130,"&lt;"&amp;Diagram!$P56)))</f>
        <v>2</v>
      </c>
      <c r="AA56" s="42">
        <f ca="1">IF(OR($I$10="",$O56="",$P56="",$J$35&lt;&gt;"Yes"),0,IF($K$10=0,SUMIFS(INDIRECT(ADDRESS(12,3+18*1+(0),,,"J1 C - (South) Bishopthorpe Roa")&amp;":"&amp;ADDRESS(130,3+18*1+(0))),'J1 C - (South) Bishopthorpe Roa'!$A$12:$A$130,"&gt;="&amp;Diagram!$O56,'J1 C - (South) Bishopthorpe Roa'!$A$12:$A$130,"&lt;"&amp;Diagram!$P56),SUMIFS(INDIRECT(ADDRESS(12,3+18*1+(8),,,"J1 C - (South) Bishopthorpe Roa")&amp;":"&amp;ADDRESS(130,3+18*1+(8))),'J1 C - (South) Bishopthorpe Roa'!$A$12:$A$130,"&gt;="&amp;Diagram!$O56,'J1 C - (South) Bishopthorpe Roa'!$A$12:$A$130,"&lt;"&amp;Diagram!$P56)))</f>
        <v>177</v>
      </c>
      <c r="AB56" s="42">
        <f ca="1">IF(OR($I$10="",$O56="",$P56="",$J$35&lt;&gt;"Yes"),0,IF($K$10=0,SUMIFS(INDIRECT(ADDRESS(12,3+18*2+(0),,,"J1 C - (South) Bishopthorpe Roa")&amp;":"&amp;ADDRESS(130,3+18*2+(0))),'J1 C - (South) Bishopthorpe Roa'!$A$12:$A$130,"&gt;="&amp;Diagram!$O56,'J1 C - (South) Bishopthorpe Roa'!$A$12:$A$130,"&lt;"&amp;Diagram!$P56),SUMIFS(INDIRECT(ADDRESS(12,3+18*2+(8),,,"J1 C - (South) Bishopthorpe Roa")&amp;":"&amp;ADDRESS(130,3+18*2+(8))),'J1 C - (South) Bishopthorpe Roa'!$A$12:$A$130,"&gt;="&amp;Diagram!$O56,'J1 C - (South) Bishopthorpe Roa'!$A$12:$A$130,"&lt;"&amp;Diagram!$P56)))</f>
        <v>6</v>
      </c>
      <c r="AC56" s="42">
        <f ca="1">IF(OR($I$10="",$O56="",$P56="",$J$35&lt;&gt;"Yes"),0,IF($K$10=0,SUMIFS(INDIRECT(ADDRESS(12,3+18*3+(0),,,"J1 C - (South) Bishopthorpe Roa")&amp;":"&amp;ADDRESS(130,3+18*3+(0))),'J1 C - (South) Bishopthorpe Roa'!$A$12:$A$130,"&gt;="&amp;Diagram!$O56,'J1 C - (South) Bishopthorpe Roa'!$A$12:$A$130,"&lt;"&amp;Diagram!$P56),SUMIFS(INDIRECT(ADDRESS(12,3+18*3+(8),,,"J1 C - (South) Bishopthorpe Roa")&amp;":"&amp;ADDRESS(130,3+18*3+(8))),'J1 C - (South) Bishopthorpe Roa'!$A$12:$A$130,"&gt;="&amp;Diagram!$O56,'J1 C - (South) Bishopthorpe Roa'!$A$12:$A$130,"&lt;"&amp;Diagram!$P56)))</f>
        <v>0</v>
      </c>
      <c r="AD56" s="42">
        <f ca="1">IF(OR($I$10="",$O56="",$P56="",$J$35&lt;&gt;"Yes"),0,IF($K$10=0,SUMIFS(INDIRECT(ADDRESS(12,3+18*0+(0),,,"J1 C - (South) Bishopthorpe Roa")&amp;":"&amp;ADDRESS(130,3+18*0+(0))),'J1 C - (South) Bishopthorpe Roa'!$A$12:$A$130,"&gt;="&amp;Diagram!$O56,'J1 C - (South) Bishopthorpe Roa'!$A$12:$A$130,"&lt;"&amp;Diagram!$P56),SUMIFS(INDIRECT(ADDRESS(12,3+18*0+(8),,,"J1 C - (South) Bishopthorpe Roa")&amp;":"&amp;ADDRESS(130,3+18*0+(8))),'J1 C - (South) Bishopthorpe Roa'!$A$12:$A$130,"&gt;="&amp;Diagram!$O56,'J1 C - (South) Bishopthorpe Roa'!$A$12:$A$130,"&lt;"&amp;Diagram!$P56)))</f>
        <v>6</v>
      </c>
      <c r="AE56" s="42">
        <f ca="1">IF(OR($I$10="",$O56="",$P56="",$J$35&lt;&gt;"Yes"),0,IF($K$10=0,SUMIFS(INDIRECT(ADDRESS(12,3+18*0+(0),,,"J1 D - South Bank Avenue")&amp;":"&amp;ADDRESS(130,3+18*0+(0))),'J1 D - South Bank Avenue'!$A$12:$A$130,"&gt;="&amp;Diagram!$O56,'J1 D - South Bank Avenue'!$A$12:$A$130,"&lt;"&amp;Diagram!$P56),SUMIFS(INDIRECT(ADDRESS(12,3+18*0+(8),,,"J1 D - South Bank Avenue")&amp;":"&amp;ADDRESS(130,3+18*0+(8))),'J1 D - South Bank Avenue'!$A$12:$A$130,"&gt;="&amp;Diagram!$O56,'J1 D - South Bank Avenue'!$A$12:$A$130,"&lt;"&amp;Diagram!$P56)))</f>
        <v>19</v>
      </c>
      <c r="AF56" s="42">
        <f ca="1">IF(OR($I$10="",$O56="",$P56="",$J$35&lt;&gt;"Yes"),0,IF($K$10=0,SUMIFS(INDIRECT(ADDRESS(12,3+18*1+(0),,,"J1 D - South Bank Avenue")&amp;":"&amp;ADDRESS(130,3+18*1+(0))),'J1 D - South Bank Avenue'!$A$12:$A$130,"&gt;="&amp;Diagram!$O56,'J1 D - South Bank Avenue'!$A$12:$A$130,"&lt;"&amp;Diagram!$P56),SUMIFS(INDIRECT(ADDRESS(12,3+18*1+(8),,,"J1 D - South Bank Avenue")&amp;":"&amp;ADDRESS(130,3+18*1+(8))),'J1 D - South Bank Avenue'!$A$12:$A$130,"&gt;="&amp;Diagram!$O56,'J1 D - South Bank Avenue'!$A$12:$A$130,"&lt;"&amp;Diagram!$P56)))</f>
        <v>1</v>
      </c>
      <c r="AG56" s="42">
        <f ca="1">IF(OR($I$10="",$O56="",$P56="",$J$35&lt;&gt;"Yes"),0,IF($K$10=0,SUMIFS(INDIRECT(ADDRESS(12,3+18*2+(0),,,"J1 D - South Bank Avenue")&amp;":"&amp;ADDRESS(130,3+18*2+(0))),'J1 D - South Bank Avenue'!$A$12:$A$130,"&gt;="&amp;Diagram!$O56,'J1 D - South Bank Avenue'!$A$12:$A$130,"&lt;"&amp;Diagram!$P56),SUMIFS(INDIRECT(ADDRESS(12,3+18*2+(8),,,"J1 D - South Bank Avenue")&amp;":"&amp;ADDRESS(130,3+18*2+(8))),'J1 D - South Bank Avenue'!$A$12:$A$130,"&gt;="&amp;Diagram!$O56,'J1 D - South Bank Avenue'!$A$12:$A$130,"&lt;"&amp;Diagram!$P56)))</f>
        <v>6</v>
      </c>
      <c r="AH56" s="42">
        <f ca="1">IF(OR($I$10="",$O56="",$P56="",$J$35&lt;&gt;"Yes"),0,IF($K$10=0,SUMIFS(INDIRECT(ADDRESS(12,3+18*3+(0),,,"J1 D - South Bank Avenue")&amp;":"&amp;ADDRESS(130,3+18*3+(0))),'J1 D - South Bank Avenue'!$A$12:$A$130,"&gt;="&amp;Diagram!$O56,'J1 D - South Bank Avenue'!$A$12:$A$130,"&lt;"&amp;Diagram!$P56),SUMIFS(INDIRECT(ADDRESS(12,3+18*3+(8),,,"J1 D - South Bank Avenue")&amp;":"&amp;ADDRESS(130,3+18*3+(8))),'J1 D - South Bank Avenue'!$A$12:$A$130,"&gt;="&amp;Diagram!$O56,'J1 D - South Bank Avenue'!$A$12:$A$130,"&lt;"&amp;Diagram!$P56)))</f>
        <v>0</v>
      </c>
      <c r="AI56" s="42">
        <f t="shared" ca="1" si="2"/>
        <v>79</v>
      </c>
      <c r="AJ56" s="42">
        <f ca="1">IF(OR($I$10="",$O56="",$P56="",$J$36&lt;&gt;"Yes"),0,IF($K$10=0,SUMIFS(INDIRECT(ADDRESS(12,3+18*3+(1),,,"J1 A - (North) Bishopthorpe Roa")&amp;":"&amp;ADDRESS(130,3+18*3+(1))),'J1 A - (North) Bishopthorpe Roa'!$A$12:$A$130,"&gt;="&amp;Diagram!$O56,'J1 A - (North) Bishopthorpe Roa'!$A$12:$A$130,"&lt;"&amp;Diagram!$P56),SUMIFS(INDIRECT(ADDRESS(12,3+18*3+(9),,,"J1 A - (North) Bishopthorpe Roa")&amp;":"&amp;ADDRESS(130,3+18*3+(9))),'J1 A - (North) Bishopthorpe Roa'!$A$12:$A$130,"&gt;="&amp;Diagram!$O56,'J1 A - (North) Bishopthorpe Roa'!$A$12:$A$130,"&lt;"&amp;Diagram!$P56)))</f>
        <v>0</v>
      </c>
      <c r="AK56" s="42">
        <f ca="1">IF(OR($I$10="",$O56="",$P56="",$J$36&lt;&gt;"Yes"),0,IF($K$10=0,SUMIFS(INDIRECT(ADDRESS(12,3+18*0+(1),,,"J1 A - (North) Bishopthorpe Roa")&amp;":"&amp;ADDRESS(130,3+18*0+(1))),'J1 A - (North) Bishopthorpe Roa'!$A$12:$A$130,"&gt;="&amp;Diagram!$O56,'J1 A - (North) Bishopthorpe Roa'!$A$12:$A$130,"&lt;"&amp;Diagram!$P56),SUMIFS(INDIRECT(ADDRESS(12,3+18*0+(9),,,"J1 A - (North) Bishopthorpe Roa")&amp;":"&amp;ADDRESS(130,3+18*0+(9))),'J1 A - (North) Bishopthorpe Roa'!$A$12:$A$130,"&gt;="&amp;Diagram!$O56,'J1 A - (North) Bishopthorpe Roa'!$A$12:$A$130,"&lt;"&amp;Diagram!$P56)))</f>
        <v>7</v>
      </c>
      <c r="AL56" s="42">
        <f ca="1">IF(OR($I$10="",$O56="",$P56="",$J$36&lt;&gt;"Yes"),0,IF($K$10=0,SUMIFS(INDIRECT(ADDRESS(12,3+18*1+(1),,,"J1 A - (North) Bishopthorpe Roa")&amp;":"&amp;ADDRESS(130,3+18*1+(1))),'J1 A - (North) Bishopthorpe Roa'!$A$12:$A$130,"&gt;="&amp;Diagram!$O56,'J1 A - (North) Bishopthorpe Roa'!$A$12:$A$130,"&lt;"&amp;Diagram!$P56),SUMIFS(INDIRECT(ADDRESS(12,3+18*1+(9),,,"J1 A - (North) Bishopthorpe Roa")&amp;":"&amp;ADDRESS(130,3+18*1+(9))),'J1 A - (North) Bishopthorpe Roa'!$A$12:$A$130,"&gt;="&amp;Diagram!$O56,'J1 A - (North) Bishopthorpe Roa'!$A$12:$A$130,"&lt;"&amp;Diagram!$P56)))</f>
        <v>30</v>
      </c>
      <c r="AM56" s="42">
        <f ca="1">IF(OR($I$10="",$O56="",$P56="",$J$36&lt;&gt;"Yes"),0,IF($K$10=0,SUMIFS(INDIRECT(ADDRESS(12,3+18*2+(1),,,"J1 A - (North) Bishopthorpe Roa")&amp;":"&amp;ADDRESS(130,3+18*2+(1))),'J1 A - (North) Bishopthorpe Roa'!$A$12:$A$130,"&gt;="&amp;Diagram!$O56,'J1 A - (North) Bishopthorpe Roa'!$A$12:$A$130,"&lt;"&amp;Diagram!$P56),SUMIFS(INDIRECT(ADDRESS(12,3+18*2+(9),,,"J1 A - (North) Bishopthorpe Roa")&amp;":"&amp;ADDRESS(130,3+18*2+(9))),'J1 A - (North) Bishopthorpe Roa'!$A$12:$A$130,"&gt;="&amp;Diagram!$O56,'J1 A - (North) Bishopthorpe Roa'!$A$12:$A$130,"&lt;"&amp;Diagram!$P56)))</f>
        <v>3</v>
      </c>
      <c r="AN56" s="42">
        <f ca="1">IF(OR($I$10="",$O56="",$P56="",$J$36&lt;&gt;"Yes"),0,IF($K$10=0,SUMIFS(INDIRECT(ADDRESS(12,3+18*2+(1),,,"J1 B - Butcher Terrace")&amp;":"&amp;ADDRESS(130,3+18*2+(1))),'J1 B - Butcher Terrace'!$A$12:$A$130,"&gt;="&amp;Diagram!$O56,'J1 B - Butcher Terrace'!$A$12:$A$130,"&lt;"&amp;Diagram!$P56),SUMIFS(INDIRECT(ADDRESS(12,3+18*2+(9),,,"J1 B - Butcher Terrace")&amp;":"&amp;ADDRESS(130,3+18*2+(9))),'J1 B - Butcher Terrace'!$A$12:$A$130,"&gt;="&amp;Diagram!$O56,'J1 B - Butcher Terrace'!$A$12:$A$130,"&lt;"&amp;Diagram!$P56)))</f>
        <v>1</v>
      </c>
      <c r="AO56" s="42">
        <f ca="1">IF(OR($I$10="",$O56="",$P56="",$J$36&lt;&gt;"Yes"),0,IF($K$10=0,SUMIFS(INDIRECT(ADDRESS(12,3+18*3+(1),,,"J1 B - Butcher Terrace")&amp;":"&amp;ADDRESS(130,3+18*3+(1))),'J1 B - Butcher Terrace'!$A$12:$A$130,"&gt;="&amp;Diagram!$O56,'J1 B - Butcher Terrace'!$A$12:$A$130,"&lt;"&amp;Diagram!$P56),SUMIFS(INDIRECT(ADDRESS(12,3+18*3+(9),,,"J1 B - Butcher Terrace")&amp;":"&amp;ADDRESS(130,3+18*3+(9))),'J1 B - Butcher Terrace'!$A$12:$A$130,"&gt;="&amp;Diagram!$O56,'J1 B - Butcher Terrace'!$A$12:$A$130,"&lt;"&amp;Diagram!$P56)))</f>
        <v>0</v>
      </c>
      <c r="AP56" s="42">
        <f ca="1">IF(OR($I$10="",$O56="",$P56="",$J$36&lt;&gt;"Yes"),0,IF($K$10=0,SUMIFS(INDIRECT(ADDRESS(12,3+18*0+(1),,,"J1 B - Butcher Terrace")&amp;":"&amp;ADDRESS(130,3+18*0+(1))),'J1 B - Butcher Terrace'!$A$12:$A$130,"&gt;="&amp;Diagram!$O56,'J1 B - Butcher Terrace'!$A$12:$A$130,"&lt;"&amp;Diagram!$P56),SUMIFS(INDIRECT(ADDRESS(12,3+18*0+(9),,,"J1 B - Butcher Terrace")&amp;":"&amp;ADDRESS(130,3+18*0+(9))),'J1 B - Butcher Terrace'!$A$12:$A$130,"&gt;="&amp;Diagram!$O56,'J1 B - Butcher Terrace'!$A$12:$A$130,"&lt;"&amp;Diagram!$P56)))</f>
        <v>4</v>
      </c>
      <c r="AQ56" s="42">
        <f ca="1">IF(OR($I$10="",$O56="",$P56="",$J$36&lt;&gt;"Yes"),0,IF($K$10=0,SUMIFS(INDIRECT(ADDRESS(12,3+18*1+(1),,,"J1 B - Butcher Terrace")&amp;":"&amp;ADDRESS(130,3+18*1+(1))),'J1 B - Butcher Terrace'!$A$12:$A$130,"&gt;="&amp;Diagram!$O56,'J1 B - Butcher Terrace'!$A$12:$A$130,"&lt;"&amp;Diagram!$P56),SUMIFS(INDIRECT(ADDRESS(12,3+18*1+(9),,,"J1 B - Butcher Terrace")&amp;":"&amp;ADDRESS(130,3+18*1+(9))),'J1 B - Butcher Terrace'!$A$12:$A$130,"&gt;="&amp;Diagram!$O56,'J1 B - Butcher Terrace'!$A$12:$A$130,"&lt;"&amp;Diagram!$P56)))</f>
        <v>0</v>
      </c>
      <c r="AR56" s="42">
        <f ca="1">IF(OR($I$10="",$O56="",$P56="",$J$36&lt;&gt;"Yes"),0,IF($K$10=0,SUMIFS(INDIRECT(ADDRESS(12,3+18*1+(1),,,"J1 C - (South) Bishopthorpe Roa")&amp;":"&amp;ADDRESS(130,3+18*1+(1))),'J1 C - (South) Bishopthorpe Roa'!$A$12:$A$130,"&gt;="&amp;Diagram!$O56,'J1 C - (South) Bishopthorpe Roa'!$A$12:$A$130,"&lt;"&amp;Diagram!$P56),SUMIFS(INDIRECT(ADDRESS(12,3+18*1+(9),,,"J1 C - (South) Bishopthorpe Roa")&amp;":"&amp;ADDRESS(130,3+18*1+(9))),'J1 C - (South) Bishopthorpe Roa'!$A$12:$A$130,"&gt;="&amp;Diagram!$O56,'J1 C - (South) Bishopthorpe Roa'!$A$12:$A$130,"&lt;"&amp;Diagram!$P56)))</f>
        <v>27</v>
      </c>
      <c r="AS56" s="42">
        <f ca="1">IF(OR($I$10="",$O56="",$P56="",$J$36&lt;&gt;"Yes"),0,IF($K$10=0,SUMIFS(INDIRECT(ADDRESS(12,3+18*2+(1),,,"J1 C - (South) Bishopthorpe Roa")&amp;":"&amp;ADDRESS(130,3+18*2+(1))),'J1 C - (South) Bishopthorpe Roa'!$A$12:$A$130,"&gt;="&amp;Diagram!$O56,'J1 C - (South) Bishopthorpe Roa'!$A$12:$A$130,"&lt;"&amp;Diagram!$P56),SUMIFS(INDIRECT(ADDRESS(12,3+18*2+(9),,,"J1 C - (South) Bishopthorpe Roa")&amp;":"&amp;ADDRESS(130,3+18*2+(9))),'J1 C - (South) Bishopthorpe Roa'!$A$12:$A$130,"&gt;="&amp;Diagram!$O56,'J1 C - (South) Bishopthorpe Roa'!$A$12:$A$130,"&lt;"&amp;Diagram!$P56)))</f>
        <v>0</v>
      </c>
      <c r="AT56" s="42">
        <f ca="1">IF(OR($I$10="",$O56="",$P56="",$J$36&lt;&gt;"Yes"),0,IF($K$10=0,SUMIFS(INDIRECT(ADDRESS(12,3+18*3+(1),,,"J1 C - (South) Bishopthorpe Roa")&amp;":"&amp;ADDRESS(130,3+18*3+(1))),'J1 C - (South) Bishopthorpe Roa'!$A$12:$A$130,"&gt;="&amp;Diagram!$O56,'J1 C - (South) Bishopthorpe Roa'!$A$12:$A$130,"&lt;"&amp;Diagram!$P56),SUMIFS(INDIRECT(ADDRESS(12,3+18*3+(9),,,"J1 C - (South) Bishopthorpe Roa")&amp;":"&amp;ADDRESS(130,3+18*3+(9))),'J1 C - (South) Bishopthorpe Roa'!$A$12:$A$130,"&gt;="&amp;Diagram!$O56,'J1 C - (South) Bishopthorpe Roa'!$A$12:$A$130,"&lt;"&amp;Diagram!$P56)))</f>
        <v>0</v>
      </c>
      <c r="AU56" s="42">
        <f ca="1">IF(OR($I$10="",$O56="",$P56="",$J$36&lt;&gt;"Yes"),0,IF($K$10=0,SUMIFS(INDIRECT(ADDRESS(12,3+18*0+(1),,,"J1 C - (South) Bishopthorpe Roa")&amp;":"&amp;ADDRESS(130,3+18*0+(1))),'J1 C - (South) Bishopthorpe Roa'!$A$12:$A$130,"&gt;="&amp;Diagram!$O56,'J1 C - (South) Bishopthorpe Roa'!$A$12:$A$130,"&lt;"&amp;Diagram!$P56),SUMIFS(INDIRECT(ADDRESS(12,3+18*0+(9),,,"J1 C - (South) Bishopthorpe Roa")&amp;":"&amp;ADDRESS(130,3+18*0+(9))),'J1 C - (South) Bishopthorpe Roa'!$A$12:$A$130,"&gt;="&amp;Diagram!$O56,'J1 C - (South) Bishopthorpe Roa'!$A$12:$A$130,"&lt;"&amp;Diagram!$P56)))</f>
        <v>2</v>
      </c>
      <c r="AV56" s="42">
        <f ca="1">IF(OR($I$10="",$O56="",$P56="",$J$36&lt;&gt;"Yes"),0,IF($K$10=0,SUMIFS(INDIRECT(ADDRESS(12,3+18*0+(1),,,"J1 D - South Bank Avenue")&amp;":"&amp;ADDRESS(130,3+18*0+(1))),'J1 D - South Bank Avenue'!$A$12:$A$130,"&gt;="&amp;Diagram!$O56,'J1 D - South Bank Avenue'!$A$12:$A$130,"&lt;"&amp;Diagram!$P56),SUMIFS(INDIRECT(ADDRESS(12,3+18*0+(9),,,"J1 D - South Bank Avenue")&amp;":"&amp;ADDRESS(130,3+18*0+(9))),'J1 D - South Bank Avenue'!$A$12:$A$130,"&gt;="&amp;Diagram!$O56,'J1 D - South Bank Avenue'!$A$12:$A$130,"&lt;"&amp;Diagram!$P56)))</f>
        <v>4</v>
      </c>
      <c r="AW56" s="42">
        <f ca="1">IF(OR($I$10="",$O56="",$P56="",$J$36&lt;&gt;"Yes"),0,IF($K$10=0,SUMIFS(INDIRECT(ADDRESS(12,3+18*1+(1),,,"J1 D - South Bank Avenue")&amp;":"&amp;ADDRESS(130,3+18*1+(1))),'J1 D - South Bank Avenue'!$A$12:$A$130,"&gt;="&amp;Diagram!$O56,'J1 D - South Bank Avenue'!$A$12:$A$130,"&lt;"&amp;Diagram!$P56),SUMIFS(INDIRECT(ADDRESS(12,3+18*1+(9),,,"J1 D - South Bank Avenue")&amp;":"&amp;ADDRESS(130,3+18*1+(9))),'J1 D - South Bank Avenue'!$A$12:$A$130,"&gt;="&amp;Diagram!$O56,'J1 D - South Bank Avenue'!$A$12:$A$130,"&lt;"&amp;Diagram!$P56)))</f>
        <v>0</v>
      </c>
      <c r="AX56" s="42">
        <f ca="1">IF(OR($I$10="",$O56="",$P56="",$J$36&lt;&gt;"Yes"),0,IF($K$10=0,SUMIFS(INDIRECT(ADDRESS(12,3+18*2+(1),,,"J1 D - South Bank Avenue")&amp;":"&amp;ADDRESS(130,3+18*2+(1))),'J1 D - South Bank Avenue'!$A$12:$A$130,"&gt;="&amp;Diagram!$O56,'J1 D - South Bank Avenue'!$A$12:$A$130,"&lt;"&amp;Diagram!$P56),SUMIFS(INDIRECT(ADDRESS(12,3+18*2+(9),,,"J1 D - South Bank Avenue")&amp;":"&amp;ADDRESS(130,3+18*2+(9))),'J1 D - South Bank Avenue'!$A$12:$A$130,"&gt;="&amp;Diagram!$O56,'J1 D - South Bank Avenue'!$A$12:$A$130,"&lt;"&amp;Diagram!$P56)))</f>
        <v>1</v>
      </c>
      <c r="AY56" s="42">
        <f ca="1">IF(OR($I$10="",$O56="",$P56="",$J$36&lt;&gt;"Yes"),0,IF($K$10=0,SUMIFS(INDIRECT(ADDRESS(12,3+18*3+(1),,,"J1 D - South Bank Avenue")&amp;":"&amp;ADDRESS(130,3+18*3+(1))),'J1 D - South Bank Avenue'!$A$12:$A$130,"&gt;="&amp;Diagram!$O56,'J1 D - South Bank Avenue'!$A$12:$A$130,"&lt;"&amp;Diagram!$P56),SUMIFS(INDIRECT(ADDRESS(12,3+18*3+(9),,,"J1 D - South Bank Avenue")&amp;":"&amp;ADDRESS(130,3+18*3+(9))),'J1 D - South Bank Avenue'!$A$12:$A$130,"&gt;="&amp;Diagram!$O56,'J1 D - South Bank Avenue'!$A$12:$A$130,"&lt;"&amp;Diagram!$P56)))</f>
        <v>0</v>
      </c>
      <c r="AZ56" s="42">
        <f t="shared" ca="1" si="3"/>
        <v>5</v>
      </c>
      <c r="BA56" s="42">
        <f ca="1">IF(OR($I$10="",$O56="",$P56="",$J$37&lt;&gt;"Yes"),0,IF($K$10=0,SUMIFS(INDIRECT(ADDRESS(12,3+18*3+(2),,,"J1 A - (North) Bishopthorpe Roa")&amp;":"&amp;ADDRESS(130,3+18*3+(2))),'J1 A - (North) Bishopthorpe Roa'!$A$12:$A$130,"&gt;="&amp;Diagram!$O56,'J1 A - (North) Bishopthorpe Roa'!$A$12:$A$130,"&lt;"&amp;Diagram!$P56),SUMIFS(INDIRECT(ADDRESS(12,3+18*3+(10),,,"J1 A - (North) Bishopthorpe Roa")&amp;":"&amp;ADDRESS(130,3+18*3+(10))),'J1 A - (North) Bishopthorpe Roa'!$A$12:$A$130,"&gt;="&amp;Diagram!$O56,'J1 A - (North) Bishopthorpe Roa'!$A$12:$A$130,"&lt;"&amp;Diagram!$P56)))</f>
        <v>0</v>
      </c>
      <c r="BB56" s="42">
        <f ca="1">IF(OR($I$10="",$O56="",$P56="",$J$37&lt;&gt;"Yes"),0,IF($K$10=0,SUMIFS(INDIRECT(ADDRESS(12,3+18*0+(2),,,"J1 A - (North) Bishopthorpe Roa")&amp;":"&amp;ADDRESS(130,3+18*0+(2))),'J1 A - (North) Bishopthorpe Roa'!$A$12:$A$130,"&gt;="&amp;Diagram!$O56,'J1 A - (North) Bishopthorpe Roa'!$A$12:$A$130,"&lt;"&amp;Diagram!$P56),SUMIFS(INDIRECT(ADDRESS(12,3+18*0+(10),,,"J1 A - (North) Bishopthorpe Roa")&amp;":"&amp;ADDRESS(130,3+18*0+(10))),'J1 A - (North) Bishopthorpe Roa'!$A$12:$A$130,"&gt;="&amp;Diagram!$O56,'J1 A - (North) Bishopthorpe Roa'!$A$12:$A$130,"&lt;"&amp;Diagram!$P56)))</f>
        <v>0</v>
      </c>
      <c r="BC56" s="42">
        <f ca="1">IF(OR($I$10="",$O56="",$P56="",$J$37&lt;&gt;"Yes"),0,IF($K$10=0,SUMIFS(INDIRECT(ADDRESS(12,3+18*1+(2),,,"J1 A - (North) Bishopthorpe Roa")&amp;":"&amp;ADDRESS(130,3+18*1+(2))),'J1 A - (North) Bishopthorpe Roa'!$A$12:$A$130,"&gt;="&amp;Diagram!$O56,'J1 A - (North) Bishopthorpe Roa'!$A$12:$A$130,"&lt;"&amp;Diagram!$P56),SUMIFS(INDIRECT(ADDRESS(12,3+18*1+(10),,,"J1 A - (North) Bishopthorpe Roa")&amp;":"&amp;ADDRESS(130,3+18*1+(10))),'J1 A - (North) Bishopthorpe Roa'!$A$12:$A$130,"&gt;="&amp;Diagram!$O56,'J1 A - (North) Bishopthorpe Roa'!$A$12:$A$130,"&lt;"&amp;Diagram!$P56)))</f>
        <v>2</v>
      </c>
      <c r="BD56" s="42">
        <f ca="1">IF(OR($I$10="",$O56="",$P56="",$J$37&lt;&gt;"Yes"),0,IF($K$10=0,SUMIFS(INDIRECT(ADDRESS(12,3+18*2+(2),,,"J1 A - (North) Bishopthorpe Roa")&amp;":"&amp;ADDRESS(130,3+18*2+(2))),'J1 A - (North) Bishopthorpe Roa'!$A$12:$A$130,"&gt;="&amp;Diagram!$O56,'J1 A - (North) Bishopthorpe Roa'!$A$12:$A$130,"&lt;"&amp;Diagram!$P56),SUMIFS(INDIRECT(ADDRESS(12,3+18*2+(10),,,"J1 A - (North) Bishopthorpe Roa")&amp;":"&amp;ADDRESS(130,3+18*2+(10))),'J1 A - (North) Bishopthorpe Roa'!$A$12:$A$130,"&gt;="&amp;Diagram!$O56,'J1 A - (North) Bishopthorpe Roa'!$A$12:$A$130,"&lt;"&amp;Diagram!$P56)))</f>
        <v>0</v>
      </c>
      <c r="BE56" s="42">
        <f ca="1">IF(OR($I$10="",$O56="",$P56="",$J$37&lt;&gt;"Yes"),0,IF($K$10=0,SUMIFS(INDIRECT(ADDRESS(12,3+18*2+(2),,,"J1 B - Butcher Terrace")&amp;":"&amp;ADDRESS(130,3+18*2+(2))),'J1 B - Butcher Terrace'!$A$12:$A$130,"&gt;="&amp;Diagram!$O56,'J1 B - Butcher Terrace'!$A$12:$A$130,"&lt;"&amp;Diagram!$P56),SUMIFS(INDIRECT(ADDRESS(12,3+18*2+(10),,,"J1 B - Butcher Terrace")&amp;":"&amp;ADDRESS(130,3+18*2+(10))),'J1 B - Butcher Terrace'!$A$12:$A$130,"&gt;="&amp;Diagram!$O56,'J1 B - Butcher Terrace'!$A$12:$A$130,"&lt;"&amp;Diagram!$P56)))</f>
        <v>0</v>
      </c>
      <c r="BF56" s="42">
        <f ca="1">IF(OR($I$10="",$O56="",$P56="",$J$37&lt;&gt;"Yes"),0,IF($K$10=0,SUMIFS(INDIRECT(ADDRESS(12,3+18*3+(2),,,"J1 B - Butcher Terrace")&amp;":"&amp;ADDRESS(130,3+18*3+(2))),'J1 B - Butcher Terrace'!$A$12:$A$130,"&gt;="&amp;Diagram!$O56,'J1 B - Butcher Terrace'!$A$12:$A$130,"&lt;"&amp;Diagram!$P56),SUMIFS(INDIRECT(ADDRESS(12,3+18*3+(10),,,"J1 B - Butcher Terrace")&amp;":"&amp;ADDRESS(130,3+18*3+(10))),'J1 B - Butcher Terrace'!$A$12:$A$130,"&gt;="&amp;Diagram!$O56,'J1 B - Butcher Terrace'!$A$12:$A$130,"&lt;"&amp;Diagram!$P56)))</f>
        <v>0</v>
      </c>
      <c r="BG56" s="42">
        <f ca="1">IF(OR($I$10="",$O56="",$P56="",$J$37&lt;&gt;"Yes"),0,IF($K$10=0,SUMIFS(INDIRECT(ADDRESS(12,3+18*0+(2),,,"J1 B - Butcher Terrace")&amp;":"&amp;ADDRESS(130,3+18*0+(2))),'J1 B - Butcher Terrace'!$A$12:$A$130,"&gt;="&amp;Diagram!$O56,'J1 B - Butcher Terrace'!$A$12:$A$130,"&lt;"&amp;Diagram!$P56),SUMIFS(INDIRECT(ADDRESS(12,3+18*0+(10),,,"J1 B - Butcher Terrace")&amp;":"&amp;ADDRESS(130,3+18*0+(10))),'J1 B - Butcher Terrace'!$A$12:$A$130,"&gt;="&amp;Diagram!$O56,'J1 B - Butcher Terrace'!$A$12:$A$130,"&lt;"&amp;Diagram!$P56)))</f>
        <v>0</v>
      </c>
      <c r="BH56" s="42">
        <f ca="1">IF(OR($I$10="",$O56="",$P56="",$J$37&lt;&gt;"Yes"),0,IF($K$10=0,SUMIFS(INDIRECT(ADDRESS(12,3+18*1+(2),,,"J1 B - Butcher Terrace")&amp;":"&amp;ADDRESS(130,3+18*1+(2))),'J1 B - Butcher Terrace'!$A$12:$A$130,"&gt;="&amp;Diagram!$O56,'J1 B - Butcher Terrace'!$A$12:$A$130,"&lt;"&amp;Diagram!$P56),SUMIFS(INDIRECT(ADDRESS(12,3+18*1+(10),,,"J1 B - Butcher Terrace")&amp;":"&amp;ADDRESS(130,3+18*1+(10))),'J1 B - Butcher Terrace'!$A$12:$A$130,"&gt;="&amp;Diagram!$O56,'J1 B - Butcher Terrace'!$A$12:$A$130,"&lt;"&amp;Diagram!$P56)))</f>
        <v>0</v>
      </c>
      <c r="BI56" s="42">
        <f ca="1">IF(OR($I$10="",$O56="",$P56="",$J$37&lt;&gt;"Yes"),0,IF($K$10=0,SUMIFS(INDIRECT(ADDRESS(12,3+18*1+(2),,,"J1 C - (South) Bishopthorpe Roa")&amp;":"&amp;ADDRESS(130,3+18*1+(2))),'J1 C - (South) Bishopthorpe Roa'!$A$12:$A$130,"&gt;="&amp;Diagram!$O56,'J1 C - (South) Bishopthorpe Roa'!$A$12:$A$130,"&lt;"&amp;Diagram!$P56),SUMIFS(INDIRECT(ADDRESS(12,3+18*1+(10),,,"J1 C - (South) Bishopthorpe Roa")&amp;":"&amp;ADDRESS(130,3+18*1+(10))),'J1 C - (South) Bishopthorpe Roa'!$A$12:$A$130,"&gt;="&amp;Diagram!$O56,'J1 C - (South) Bishopthorpe Roa'!$A$12:$A$130,"&lt;"&amp;Diagram!$P56)))</f>
        <v>3</v>
      </c>
      <c r="BJ56" s="42">
        <f ca="1">IF(OR($I$10="",$O56="",$P56="",$J$37&lt;&gt;"Yes"),0,IF($K$10=0,SUMIFS(INDIRECT(ADDRESS(12,3+18*2+(2),,,"J1 C - (South) Bishopthorpe Roa")&amp;":"&amp;ADDRESS(130,3+18*2+(2))),'J1 C - (South) Bishopthorpe Roa'!$A$12:$A$130,"&gt;="&amp;Diagram!$O56,'J1 C - (South) Bishopthorpe Roa'!$A$12:$A$130,"&lt;"&amp;Diagram!$P56),SUMIFS(INDIRECT(ADDRESS(12,3+18*2+(10),,,"J1 C - (South) Bishopthorpe Roa")&amp;":"&amp;ADDRESS(130,3+18*2+(10))),'J1 C - (South) Bishopthorpe Roa'!$A$12:$A$130,"&gt;="&amp;Diagram!$O56,'J1 C - (South) Bishopthorpe Roa'!$A$12:$A$130,"&lt;"&amp;Diagram!$P56)))</f>
        <v>0</v>
      </c>
      <c r="BK56" s="42">
        <f ca="1">IF(OR($I$10="",$O56="",$P56="",$J$37&lt;&gt;"Yes"),0,IF($K$10=0,SUMIFS(INDIRECT(ADDRESS(12,3+18*3+(2),,,"J1 C - (South) Bishopthorpe Roa")&amp;":"&amp;ADDRESS(130,3+18*3+(2))),'J1 C - (South) Bishopthorpe Roa'!$A$12:$A$130,"&gt;="&amp;Diagram!$O56,'J1 C - (South) Bishopthorpe Roa'!$A$12:$A$130,"&lt;"&amp;Diagram!$P56),SUMIFS(INDIRECT(ADDRESS(12,3+18*3+(10),,,"J1 C - (South) Bishopthorpe Roa")&amp;":"&amp;ADDRESS(130,3+18*3+(10))),'J1 C - (South) Bishopthorpe Roa'!$A$12:$A$130,"&gt;="&amp;Diagram!$O56,'J1 C - (South) Bishopthorpe Roa'!$A$12:$A$130,"&lt;"&amp;Diagram!$P56)))</f>
        <v>0</v>
      </c>
      <c r="BL56" s="42">
        <f ca="1">IF(OR($I$10="",$O56="",$P56="",$J$37&lt;&gt;"Yes"),0,IF($K$10=0,SUMIFS(INDIRECT(ADDRESS(12,3+18*0+(2),,,"J1 C - (South) Bishopthorpe Roa")&amp;":"&amp;ADDRESS(130,3+18*0+(2))),'J1 C - (South) Bishopthorpe Roa'!$A$12:$A$130,"&gt;="&amp;Diagram!$O56,'J1 C - (South) Bishopthorpe Roa'!$A$12:$A$130,"&lt;"&amp;Diagram!$P56),SUMIFS(INDIRECT(ADDRESS(12,3+18*0+(10),,,"J1 C - (South) Bishopthorpe Roa")&amp;":"&amp;ADDRESS(130,3+18*0+(10))),'J1 C - (South) Bishopthorpe Roa'!$A$12:$A$130,"&gt;="&amp;Diagram!$O56,'J1 C - (South) Bishopthorpe Roa'!$A$12:$A$130,"&lt;"&amp;Diagram!$P56)))</f>
        <v>0</v>
      </c>
      <c r="BM56" s="42">
        <f ca="1">IF(OR($I$10="",$O56="",$P56="",$J$37&lt;&gt;"Yes"),0,IF($K$10=0,SUMIFS(INDIRECT(ADDRESS(12,3+18*0+(2),,,"J1 D - South Bank Avenue")&amp;":"&amp;ADDRESS(130,3+18*0+(2))),'J1 D - South Bank Avenue'!$A$12:$A$130,"&gt;="&amp;Diagram!$O56,'J1 D - South Bank Avenue'!$A$12:$A$130,"&lt;"&amp;Diagram!$P56),SUMIFS(INDIRECT(ADDRESS(12,3+18*0+(10),,,"J1 D - South Bank Avenue")&amp;":"&amp;ADDRESS(130,3+18*0+(10))),'J1 D - South Bank Avenue'!$A$12:$A$130,"&gt;="&amp;Diagram!$O56,'J1 D - South Bank Avenue'!$A$12:$A$130,"&lt;"&amp;Diagram!$P56)))</f>
        <v>0</v>
      </c>
      <c r="BN56" s="42">
        <f ca="1">IF(OR($I$10="",$O56="",$P56="",$J$37&lt;&gt;"Yes"),0,IF($K$10=0,SUMIFS(INDIRECT(ADDRESS(12,3+18*1+(2),,,"J1 D - South Bank Avenue")&amp;":"&amp;ADDRESS(130,3+18*1+(2))),'J1 D - South Bank Avenue'!$A$12:$A$130,"&gt;="&amp;Diagram!$O56,'J1 D - South Bank Avenue'!$A$12:$A$130,"&lt;"&amp;Diagram!$P56),SUMIFS(INDIRECT(ADDRESS(12,3+18*1+(10),,,"J1 D - South Bank Avenue")&amp;":"&amp;ADDRESS(130,3+18*1+(10))),'J1 D - South Bank Avenue'!$A$12:$A$130,"&gt;="&amp;Diagram!$O56,'J1 D - South Bank Avenue'!$A$12:$A$130,"&lt;"&amp;Diagram!$P56)))</f>
        <v>0</v>
      </c>
      <c r="BO56" s="42">
        <f ca="1">IF(OR($I$10="",$O56="",$P56="",$J$37&lt;&gt;"Yes"),0,IF($K$10=0,SUMIFS(INDIRECT(ADDRESS(12,3+18*2+(2),,,"J1 D - South Bank Avenue")&amp;":"&amp;ADDRESS(130,3+18*2+(2))),'J1 D - South Bank Avenue'!$A$12:$A$130,"&gt;="&amp;Diagram!$O56,'J1 D - South Bank Avenue'!$A$12:$A$130,"&lt;"&amp;Diagram!$P56),SUMIFS(INDIRECT(ADDRESS(12,3+18*2+(10),,,"J1 D - South Bank Avenue")&amp;":"&amp;ADDRESS(130,3+18*2+(10))),'J1 D - South Bank Avenue'!$A$12:$A$130,"&gt;="&amp;Diagram!$O56,'J1 D - South Bank Avenue'!$A$12:$A$130,"&lt;"&amp;Diagram!$P56)))</f>
        <v>0</v>
      </c>
      <c r="BP56" s="42">
        <f ca="1">IF(OR($I$10="",$O56="",$P56="",$J$37&lt;&gt;"Yes"),0,IF($K$10=0,SUMIFS(INDIRECT(ADDRESS(12,3+18*3+(2),,,"J1 D - South Bank Avenue")&amp;":"&amp;ADDRESS(130,3+18*3+(2))),'J1 D - South Bank Avenue'!$A$12:$A$130,"&gt;="&amp;Diagram!$O56,'J1 D - South Bank Avenue'!$A$12:$A$130,"&lt;"&amp;Diagram!$P56),SUMIFS(INDIRECT(ADDRESS(12,3+18*3+(10),,,"J1 D - South Bank Avenue")&amp;":"&amp;ADDRESS(130,3+18*3+(10))),'J1 D - South Bank Avenue'!$A$12:$A$130,"&gt;="&amp;Diagram!$O56,'J1 D - South Bank Avenue'!$A$12:$A$130,"&lt;"&amp;Diagram!$P56)))</f>
        <v>0</v>
      </c>
      <c r="BQ56" s="42">
        <f t="shared" ca="1" si="4"/>
        <v>2</v>
      </c>
      <c r="BR56" s="42">
        <f ca="1">IF(OR($I$10="",$O56="",$P56="",$J$38&lt;&gt;"Yes"),0,IF($K$10=0,SUMIFS(INDIRECT(ADDRESS(12,3+18*3+(3),,,"J1 A - (North) Bishopthorpe Roa")&amp;":"&amp;ADDRESS(130,3+18*3+(3))),'J1 A - (North) Bishopthorpe Roa'!$A$12:$A$130,"&gt;="&amp;Diagram!$O56,'J1 A - (North) Bishopthorpe Roa'!$A$12:$A$130,"&lt;"&amp;Diagram!$P56),SUMIFS(INDIRECT(ADDRESS(12,3+18*3+(11),,,"J1 A - (North) Bishopthorpe Roa")&amp;":"&amp;ADDRESS(130,3+18*3+(11))),'J1 A - (North) Bishopthorpe Roa'!$A$12:$A$130,"&gt;="&amp;Diagram!$O56,'J1 A - (North) Bishopthorpe Roa'!$A$12:$A$130,"&lt;"&amp;Diagram!$P56)))</f>
        <v>0</v>
      </c>
      <c r="BS56" s="42">
        <f ca="1">IF(OR($I$10="",$O56="",$P56="",$J$38&lt;&gt;"Yes"),0,IF($K$10=0,SUMIFS(INDIRECT(ADDRESS(12,3+18*0+(3),,,"J1 A - (North) Bishopthorpe Roa")&amp;":"&amp;ADDRESS(130,3+18*0+(3))),'J1 A - (North) Bishopthorpe Roa'!$A$12:$A$130,"&gt;="&amp;Diagram!$O56,'J1 A - (North) Bishopthorpe Roa'!$A$12:$A$130,"&lt;"&amp;Diagram!$P56),SUMIFS(INDIRECT(ADDRESS(12,3+18*0+(11),,,"J1 A - (North) Bishopthorpe Roa")&amp;":"&amp;ADDRESS(130,3+18*0+(11))),'J1 A - (North) Bishopthorpe Roa'!$A$12:$A$130,"&gt;="&amp;Diagram!$O56,'J1 A - (North) Bishopthorpe Roa'!$A$12:$A$130,"&lt;"&amp;Diagram!$P56)))</f>
        <v>0</v>
      </c>
      <c r="BT56" s="42">
        <f ca="1">IF(OR($I$10="",$O56="",$P56="",$J$38&lt;&gt;"Yes"),0,IF($K$10=0,SUMIFS(INDIRECT(ADDRESS(12,3+18*1+(3),,,"J1 A - (North) Bishopthorpe Roa")&amp;":"&amp;ADDRESS(130,3+18*1+(3))),'J1 A - (North) Bishopthorpe Roa'!$A$12:$A$130,"&gt;="&amp;Diagram!$O56,'J1 A - (North) Bishopthorpe Roa'!$A$12:$A$130,"&lt;"&amp;Diagram!$P56),SUMIFS(INDIRECT(ADDRESS(12,3+18*1+(11),,,"J1 A - (North) Bishopthorpe Roa")&amp;":"&amp;ADDRESS(130,3+18*1+(11))),'J1 A - (North) Bishopthorpe Roa'!$A$12:$A$130,"&gt;="&amp;Diagram!$O56,'J1 A - (North) Bishopthorpe Roa'!$A$12:$A$130,"&lt;"&amp;Diagram!$P56)))</f>
        <v>2</v>
      </c>
      <c r="BU56" s="42">
        <f ca="1">IF(OR($I$10="",$O56="",$P56="",$J$38&lt;&gt;"Yes"),0,IF($K$10=0,SUMIFS(INDIRECT(ADDRESS(12,3+18*2+(3),,,"J1 A - (North) Bishopthorpe Roa")&amp;":"&amp;ADDRESS(130,3+18*2+(3))),'J1 A - (North) Bishopthorpe Roa'!$A$12:$A$130,"&gt;="&amp;Diagram!$O56,'J1 A - (North) Bishopthorpe Roa'!$A$12:$A$130,"&lt;"&amp;Diagram!$P56),SUMIFS(INDIRECT(ADDRESS(12,3+18*2+(11),,,"J1 A - (North) Bishopthorpe Roa")&amp;":"&amp;ADDRESS(130,3+18*2+(11))),'J1 A - (North) Bishopthorpe Roa'!$A$12:$A$130,"&gt;="&amp;Diagram!$O56,'J1 A - (North) Bishopthorpe Roa'!$A$12:$A$130,"&lt;"&amp;Diagram!$P56)))</f>
        <v>0</v>
      </c>
      <c r="BV56" s="42">
        <f ca="1">IF(OR($I$10="",$O56="",$P56="",$J$38&lt;&gt;"Yes"),0,IF($K$10=0,SUMIFS(INDIRECT(ADDRESS(12,3+18*2+(3),,,"J1 B - Butcher Terrace")&amp;":"&amp;ADDRESS(130,3+18*2+(3))),'J1 B - Butcher Terrace'!$A$12:$A$130,"&gt;="&amp;Diagram!$O56,'J1 B - Butcher Terrace'!$A$12:$A$130,"&lt;"&amp;Diagram!$P56),SUMIFS(INDIRECT(ADDRESS(12,3+18*2+(11),,,"J1 B - Butcher Terrace")&amp;":"&amp;ADDRESS(130,3+18*2+(11))),'J1 B - Butcher Terrace'!$A$12:$A$130,"&gt;="&amp;Diagram!$O56,'J1 B - Butcher Terrace'!$A$12:$A$130,"&lt;"&amp;Diagram!$P56)))</f>
        <v>0</v>
      </c>
      <c r="BW56" s="42">
        <f ca="1">IF(OR($I$10="",$O56="",$P56="",$J$38&lt;&gt;"Yes"),0,IF($K$10=0,SUMIFS(INDIRECT(ADDRESS(12,3+18*3+(3),,,"J1 B - Butcher Terrace")&amp;":"&amp;ADDRESS(130,3+18*3+(3))),'J1 B - Butcher Terrace'!$A$12:$A$130,"&gt;="&amp;Diagram!$O56,'J1 B - Butcher Terrace'!$A$12:$A$130,"&lt;"&amp;Diagram!$P56),SUMIFS(INDIRECT(ADDRESS(12,3+18*3+(11),,,"J1 B - Butcher Terrace")&amp;":"&amp;ADDRESS(130,3+18*3+(11))),'J1 B - Butcher Terrace'!$A$12:$A$130,"&gt;="&amp;Diagram!$O56,'J1 B - Butcher Terrace'!$A$12:$A$130,"&lt;"&amp;Diagram!$P56)))</f>
        <v>0</v>
      </c>
      <c r="BX56" s="42">
        <f ca="1">IF(OR($I$10="",$O56="",$P56="",$J$38&lt;&gt;"Yes"),0,IF($K$10=0,SUMIFS(INDIRECT(ADDRESS(12,3+18*0+(3),,,"J1 B - Butcher Terrace")&amp;":"&amp;ADDRESS(130,3+18*0+(3))),'J1 B - Butcher Terrace'!$A$12:$A$130,"&gt;="&amp;Diagram!$O56,'J1 B - Butcher Terrace'!$A$12:$A$130,"&lt;"&amp;Diagram!$P56),SUMIFS(INDIRECT(ADDRESS(12,3+18*0+(11),,,"J1 B - Butcher Terrace")&amp;":"&amp;ADDRESS(130,3+18*0+(11))),'J1 B - Butcher Terrace'!$A$12:$A$130,"&gt;="&amp;Diagram!$O56,'J1 B - Butcher Terrace'!$A$12:$A$130,"&lt;"&amp;Diagram!$P56)))</f>
        <v>0</v>
      </c>
      <c r="BY56" s="42">
        <f ca="1">IF(OR($I$10="",$O56="",$P56="",$J$38&lt;&gt;"Yes"),0,IF($K$10=0,SUMIFS(INDIRECT(ADDRESS(12,3+18*1+(3),,,"J1 B - Butcher Terrace")&amp;":"&amp;ADDRESS(130,3+18*1+(3))),'J1 B - Butcher Terrace'!$A$12:$A$130,"&gt;="&amp;Diagram!$O56,'J1 B - Butcher Terrace'!$A$12:$A$130,"&lt;"&amp;Diagram!$P56),SUMIFS(INDIRECT(ADDRESS(12,3+18*1+(11),,,"J1 B - Butcher Terrace")&amp;":"&amp;ADDRESS(130,3+18*1+(11))),'J1 B - Butcher Terrace'!$A$12:$A$130,"&gt;="&amp;Diagram!$O56,'J1 B - Butcher Terrace'!$A$12:$A$130,"&lt;"&amp;Diagram!$P56)))</f>
        <v>0</v>
      </c>
      <c r="BZ56" s="42">
        <f ca="1">IF(OR($I$10="",$O56="",$P56="",$J$38&lt;&gt;"Yes"),0,IF($K$10=0,SUMIFS(INDIRECT(ADDRESS(12,3+18*1+(3),,,"J1 C - (South) Bishopthorpe Roa")&amp;":"&amp;ADDRESS(130,3+18*1+(3))),'J1 C - (South) Bishopthorpe Roa'!$A$12:$A$130,"&gt;="&amp;Diagram!$O56,'J1 C - (South) Bishopthorpe Roa'!$A$12:$A$130,"&lt;"&amp;Diagram!$P56),SUMIFS(INDIRECT(ADDRESS(12,3+18*1+(11),,,"J1 C - (South) Bishopthorpe Roa")&amp;":"&amp;ADDRESS(130,3+18*1+(11))),'J1 C - (South) Bishopthorpe Roa'!$A$12:$A$130,"&gt;="&amp;Diagram!$O56,'J1 C - (South) Bishopthorpe Roa'!$A$12:$A$130,"&lt;"&amp;Diagram!$P56)))</f>
        <v>0</v>
      </c>
      <c r="CA56" s="42">
        <f ca="1">IF(OR($I$10="",$O56="",$P56="",$J$38&lt;&gt;"Yes"),0,IF($K$10=0,SUMIFS(INDIRECT(ADDRESS(12,3+18*2+(3),,,"J1 C - (South) Bishopthorpe Roa")&amp;":"&amp;ADDRESS(130,3+18*2+(3))),'J1 C - (South) Bishopthorpe Roa'!$A$12:$A$130,"&gt;="&amp;Diagram!$O56,'J1 C - (South) Bishopthorpe Roa'!$A$12:$A$130,"&lt;"&amp;Diagram!$P56),SUMIFS(INDIRECT(ADDRESS(12,3+18*2+(11),,,"J1 C - (South) Bishopthorpe Roa")&amp;":"&amp;ADDRESS(130,3+18*2+(11))),'J1 C - (South) Bishopthorpe Roa'!$A$12:$A$130,"&gt;="&amp;Diagram!$O56,'J1 C - (South) Bishopthorpe Roa'!$A$12:$A$130,"&lt;"&amp;Diagram!$P56)))</f>
        <v>0</v>
      </c>
      <c r="CB56" s="42">
        <f ca="1">IF(OR($I$10="",$O56="",$P56="",$J$38&lt;&gt;"Yes"),0,IF($K$10=0,SUMIFS(INDIRECT(ADDRESS(12,3+18*3+(3),,,"J1 C - (South) Bishopthorpe Roa")&amp;":"&amp;ADDRESS(130,3+18*3+(3))),'J1 C - (South) Bishopthorpe Roa'!$A$12:$A$130,"&gt;="&amp;Diagram!$O56,'J1 C - (South) Bishopthorpe Roa'!$A$12:$A$130,"&lt;"&amp;Diagram!$P56),SUMIFS(INDIRECT(ADDRESS(12,3+18*3+(11),,,"J1 C - (South) Bishopthorpe Roa")&amp;":"&amp;ADDRESS(130,3+18*3+(11))),'J1 C - (South) Bishopthorpe Roa'!$A$12:$A$130,"&gt;="&amp;Diagram!$O56,'J1 C - (South) Bishopthorpe Roa'!$A$12:$A$130,"&lt;"&amp;Diagram!$P56)))</f>
        <v>0</v>
      </c>
      <c r="CC56" s="42">
        <f ca="1">IF(OR($I$10="",$O56="",$P56="",$J$38&lt;&gt;"Yes"),0,IF($K$10=0,SUMIFS(INDIRECT(ADDRESS(12,3+18*0+(3),,,"J1 C - (South) Bishopthorpe Roa")&amp;":"&amp;ADDRESS(130,3+18*0+(3))),'J1 C - (South) Bishopthorpe Roa'!$A$12:$A$130,"&gt;="&amp;Diagram!$O56,'J1 C - (South) Bishopthorpe Roa'!$A$12:$A$130,"&lt;"&amp;Diagram!$P56),SUMIFS(INDIRECT(ADDRESS(12,3+18*0+(11),,,"J1 C - (South) Bishopthorpe Roa")&amp;":"&amp;ADDRESS(130,3+18*0+(11))),'J1 C - (South) Bishopthorpe Roa'!$A$12:$A$130,"&gt;="&amp;Diagram!$O56,'J1 C - (South) Bishopthorpe Roa'!$A$12:$A$130,"&lt;"&amp;Diagram!$P56)))</f>
        <v>0</v>
      </c>
      <c r="CD56" s="42">
        <f ca="1">IF(OR($I$10="",$O56="",$P56="",$J$38&lt;&gt;"Yes"),0,IF($K$10=0,SUMIFS(INDIRECT(ADDRESS(12,3+18*0+(3),,,"J1 D - South Bank Avenue")&amp;":"&amp;ADDRESS(130,3+18*0+(3))),'J1 D - South Bank Avenue'!$A$12:$A$130,"&gt;="&amp;Diagram!$O56,'J1 D - South Bank Avenue'!$A$12:$A$130,"&lt;"&amp;Diagram!$P56),SUMIFS(INDIRECT(ADDRESS(12,3+18*0+(11),,,"J1 D - South Bank Avenue")&amp;":"&amp;ADDRESS(130,3+18*0+(11))),'J1 D - South Bank Avenue'!$A$12:$A$130,"&gt;="&amp;Diagram!$O56,'J1 D - South Bank Avenue'!$A$12:$A$130,"&lt;"&amp;Diagram!$P56)))</f>
        <v>0</v>
      </c>
      <c r="CE56" s="42">
        <f ca="1">IF(OR($I$10="",$O56="",$P56="",$J$38&lt;&gt;"Yes"),0,IF($K$10=0,SUMIFS(INDIRECT(ADDRESS(12,3+18*1+(3),,,"J1 D - South Bank Avenue")&amp;":"&amp;ADDRESS(130,3+18*1+(3))),'J1 D - South Bank Avenue'!$A$12:$A$130,"&gt;="&amp;Diagram!$O56,'J1 D - South Bank Avenue'!$A$12:$A$130,"&lt;"&amp;Diagram!$P56),SUMIFS(INDIRECT(ADDRESS(12,3+18*1+(11),,,"J1 D - South Bank Avenue")&amp;":"&amp;ADDRESS(130,3+18*1+(11))),'J1 D - South Bank Avenue'!$A$12:$A$130,"&gt;="&amp;Diagram!$O56,'J1 D - South Bank Avenue'!$A$12:$A$130,"&lt;"&amp;Diagram!$P56)))</f>
        <v>0</v>
      </c>
      <c r="CF56" s="42">
        <f ca="1">IF(OR($I$10="",$O56="",$P56="",$J$38&lt;&gt;"Yes"),0,IF($K$10=0,SUMIFS(INDIRECT(ADDRESS(12,3+18*2+(3),,,"J1 D - South Bank Avenue")&amp;":"&amp;ADDRESS(130,3+18*2+(3))),'J1 D - South Bank Avenue'!$A$12:$A$130,"&gt;="&amp;Diagram!$O56,'J1 D - South Bank Avenue'!$A$12:$A$130,"&lt;"&amp;Diagram!$P56),SUMIFS(INDIRECT(ADDRESS(12,3+18*2+(11),,,"J1 D - South Bank Avenue")&amp;":"&amp;ADDRESS(130,3+18*2+(11))),'J1 D - South Bank Avenue'!$A$12:$A$130,"&gt;="&amp;Diagram!$O56,'J1 D - South Bank Avenue'!$A$12:$A$130,"&lt;"&amp;Diagram!$P56)))</f>
        <v>0</v>
      </c>
      <c r="CG56" s="42">
        <f ca="1">IF(OR($I$10="",$O56="",$P56="",$J$38&lt;&gt;"Yes"),0,IF($K$10=0,SUMIFS(INDIRECT(ADDRESS(12,3+18*3+(3),,,"J1 D - South Bank Avenue")&amp;":"&amp;ADDRESS(130,3+18*3+(3))),'J1 D - South Bank Avenue'!$A$12:$A$130,"&gt;="&amp;Diagram!$O56,'J1 D - South Bank Avenue'!$A$12:$A$130,"&lt;"&amp;Diagram!$P56),SUMIFS(INDIRECT(ADDRESS(12,3+18*3+(11),,,"J1 D - South Bank Avenue")&amp;":"&amp;ADDRESS(130,3+18*3+(11))),'J1 D - South Bank Avenue'!$A$12:$A$130,"&gt;="&amp;Diagram!$O56,'J1 D - South Bank Avenue'!$A$12:$A$130,"&lt;"&amp;Diagram!$P56)))</f>
        <v>0</v>
      </c>
      <c r="CH56" s="42">
        <f t="shared" ca="1" si="5"/>
        <v>4</v>
      </c>
      <c r="CI56" s="42">
        <f ca="1">IF(OR($I$10="",$O56="",$P56="",$J$39&lt;&gt;"Yes"),0,IF($K$10=0,SUMIFS(INDIRECT(ADDRESS(12,3+18*3+(4),,,"J1 A - (North) Bishopthorpe Roa")&amp;":"&amp;ADDRESS(130,3+18*3+(4))),'J1 A - (North) Bishopthorpe Roa'!$A$12:$A$130,"&gt;="&amp;Diagram!$O56,'J1 A - (North) Bishopthorpe Roa'!$A$12:$A$130,"&lt;"&amp;Diagram!$P56),SUMIFS(INDIRECT(ADDRESS(12,3+18*3+(12),,,"J1 A - (North) Bishopthorpe Roa")&amp;":"&amp;ADDRESS(130,3+18*3+(12))),'J1 A - (North) Bishopthorpe Roa'!$A$12:$A$130,"&gt;="&amp;Diagram!$O56,'J1 A - (North) Bishopthorpe Roa'!$A$12:$A$130,"&lt;"&amp;Diagram!$P56)))</f>
        <v>0</v>
      </c>
      <c r="CJ56" s="42">
        <f ca="1">IF(OR($I$10="",$O56="",$P56="",$J$39&lt;&gt;"Yes"),0,IF($K$10=0,SUMIFS(INDIRECT(ADDRESS(12,3+18*0+(4),,,"J1 A - (North) Bishopthorpe Roa")&amp;":"&amp;ADDRESS(130,3+18*0+(4))),'J1 A - (North) Bishopthorpe Roa'!$A$12:$A$130,"&gt;="&amp;Diagram!$O56,'J1 A - (North) Bishopthorpe Roa'!$A$12:$A$130,"&lt;"&amp;Diagram!$P56),SUMIFS(INDIRECT(ADDRESS(12,3+18*0+(12),,,"J1 A - (North) Bishopthorpe Roa")&amp;":"&amp;ADDRESS(130,3+18*0+(12))),'J1 A - (North) Bishopthorpe Roa'!$A$12:$A$130,"&gt;="&amp;Diagram!$O56,'J1 A - (North) Bishopthorpe Roa'!$A$12:$A$130,"&lt;"&amp;Diagram!$P56)))</f>
        <v>0</v>
      </c>
      <c r="CK56" s="42">
        <f ca="1">IF(OR($I$10="",$O56="",$P56="",$J$39&lt;&gt;"Yes"),0,IF($K$10=0,SUMIFS(INDIRECT(ADDRESS(12,3+18*1+(4),,,"J1 A - (North) Bishopthorpe Roa")&amp;":"&amp;ADDRESS(130,3+18*1+(4))),'J1 A - (North) Bishopthorpe Roa'!$A$12:$A$130,"&gt;="&amp;Diagram!$O56,'J1 A - (North) Bishopthorpe Roa'!$A$12:$A$130,"&lt;"&amp;Diagram!$P56),SUMIFS(INDIRECT(ADDRESS(12,3+18*1+(12),,,"J1 A - (North) Bishopthorpe Roa")&amp;":"&amp;ADDRESS(130,3+18*1+(12))),'J1 A - (North) Bishopthorpe Roa'!$A$12:$A$130,"&gt;="&amp;Diagram!$O56,'J1 A - (North) Bishopthorpe Roa'!$A$12:$A$130,"&lt;"&amp;Diagram!$P56)))</f>
        <v>1</v>
      </c>
      <c r="CL56" s="42">
        <f ca="1">IF(OR($I$10="",$O56="",$P56="",$J$39&lt;&gt;"Yes"),0,IF($K$10=0,SUMIFS(INDIRECT(ADDRESS(12,3+18*2+(4),,,"J1 A - (North) Bishopthorpe Roa")&amp;":"&amp;ADDRESS(130,3+18*2+(4))),'J1 A - (North) Bishopthorpe Roa'!$A$12:$A$130,"&gt;="&amp;Diagram!$O56,'J1 A - (North) Bishopthorpe Roa'!$A$12:$A$130,"&lt;"&amp;Diagram!$P56),SUMIFS(INDIRECT(ADDRESS(12,3+18*2+(12),,,"J1 A - (North) Bishopthorpe Roa")&amp;":"&amp;ADDRESS(130,3+18*2+(12))),'J1 A - (North) Bishopthorpe Roa'!$A$12:$A$130,"&gt;="&amp;Diagram!$O56,'J1 A - (North) Bishopthorpe Roa'!$A$12:$A$130,"&lt;"&amp;Diagram!$P56)))</f>
        <v>0</v>
      </c>
      <c r="CM56" s="42">
        <f ca="1">IF(OR($I$10="",$O56="",$P56="",$J$39&lt;&gt;"Yes"),0,IF($K$10=0,SUMIFS(INDIRECT(ADDRESS(12,3+18*2+(4),,,"J1 B - Butcher Terrace")&amp;":"&amp;ADDRESS(130,3+18*2+(4))),'J1 B - Butcher Terrace'!$A$12:$A$130,"&gt;="&amp;Diagram!$O56,'J1 B - Butcher Terrace'!$A$12:$A$130,"&lt;"&amp;Diagram!$P56),SUMIFS(INDIRECT(ADDRESS(12,3+18*2+(12),,,"J1 B - Butcher Terrace")&amp;":"&amp;ADDRESS(130,3+18*2+(12))),'J1 B - Butcher Terrace'!$A$12:$A$130,"&gt;="&amp;Diagram!$O56,'J1 B - Butcher Terrace'!$A$12:$A$130,"&lt;"&amp;Diagram!$P56)))</f>
        <v>0</v>
      </c>
      <c r="CN56" s="42">
        <f ca="1">IF(OR($I$10="",$O56="",$P56="",$J$39&lt;&gt;"Yes"),0,IF($K$10=0,SUMIFS(INDIRECT(ADDRESS(12,3+18*3+(4),,,"J1 B - Butcher Terrace")&amp;":"&amp;ADDRESS(130,3+18*3+(4))),'J1 B - Butcher Terrace'!$A$12:$A$130,"&gt;="&amp;Diagram!$O56,'J1 B - Butcher Terrace'!$A$12:$A$130,"&lt;"&amp;Diagram!$P56),SUMIFS(INDIRECT(ADDRESS(12,3+18*3+(12),,,"J1 B - Butcher Terrace")&amp;":"&amp;ADDRESS(130,3+18*3+(12))),'J1 B - Butcher Terrace'!$A$12:$A$130,"&gt;="&amp;Diagram!$O56,'J1 B - Butcher Terrace'!$A$12:$A$130,"&lt;"&amp;Diagram!$P56)))</f>
        <v>0</v>
      </c>
      <c r="CO56" s="42">
        <f ca="1">IF(OR($I$10="",$O56="",$P56="",$J$39&lt;&gt;"Yes"),0,IF($K$10=0,SUMIFS(INDIRECT(ADDRESS(12,3+18*0+(4),,,"J1 B - Butcher Terrace")&amp;":"&amp;ADDRESS(130,3+18*0+(4))),'J1 B - Butcher Terrace'!$A$12:$A$130,"&gt;="&amp;Diagram!$O56,'J1 B - Butcher Terrace'!$A$12:$A$130,"&lt;"&amp;Diagram!$P56),SUMIFS(INDIRECT(ADDRESS(12,3+18*0+(12),,,"J1 B - Butcher Terrace")&amp;":"&amp;ADDRESS(130,3+18*0+(12))),'J1 B - Butcher Terrace'!$A$12:$A$130,"&gt;="&amp;Diagram!$O56,'J1 B - Butcher Terrace'!$A$12:$A$130,"&lt;"&amp;Diagram!$P56)))</f>
        <v>0</v>
      </c>
      <c r="CP56" s="42">
        <f ca="1">IF(OR($I$10="",$O56="",$P56="",$J$39&lt;&gt;"Yes"),0,IF($K$10=0,SUMIFS(INDIRECT(ADDRESS(12,3+18*1+(4),,,"J1 B - Butcher Terrace")&amp;":"&amp;ADDRESS(130,3+18*1+(4))),'J1 B - Butcher Terrace'!$A$12:$A$130,"&gt;="&amp;Diagram!$O56,'J1 B - Butcher Terrace'!$A$12:$A$130,"&lt;"&amp;Diagram!$P56),SUMIFS(INDIRECT(ADDRESS(12,3+18*1+(12),,,"J1 B - Butcher Terrace")&amp;":"&amp;ADDRESS(130,3+18*1+(12))),'J1 B - Butcher Terrace'!$A$12:$A$130,"&gt;="&amp;Diagram!$O56,'J1 B - Butcher Terrace'!$A$12:$A$130,"&lt;"&amp;Diagram!$P56)))</f>
        <v>0</v>
      </c>
      <c r="CQ56" s="42">
        <f ca="1">IF(OR($I$10="",$O56="",$P56="",$J$39&lt;&gt;"Yes"),0,IF($K$10=0,SUMIFS(INDIRECT(ADDRESS(12,3+18*1+(4),,,"J1 C - (South) Bishopthorpe Roa")&amp;":"&amp;ADDRESS(130,3+18*1+(4))),'J1 C - (South) Bishopthorpe Roa'!$A$12:$A$130,"&gt;="&amp;Diagram!$O56,'J1 C - (South) Bishopthorpe Roa'!$A$12:$A$130,"&lt;"&amp;Diagram!$P56),SUMIFS(INDIRECT(ADDRESS(12,3+18*1+(12),,,"J1 C - (South) Bishopthorpe Roa")&amp;":"&amp;ADDRESS(130,3+18*1+(12))),'J1 C - (South) Bishopthorpe Roa'!$A$12:$A$130,"&gt;="&amp;Diagram!$O56,'J1 C - (South) Bishopthorpe Roa'!$A$12:$A$130,"&lt;"&amp;Diagram!$P56)))</f>
        <v>3</v>
      </c>
      <c r="CR56" s="42">
        <f ca="1">IF(OR($I$10="",$O56="",$P56="",$J$39&lt;&gt;"Yes"),0,IF($K$10=0,SUMIFS(INDIRECT(ADDRESS(12,3+18*2+(4),,,"J1 C - (South) Bishopthorpe Roa")&amp;":"&amp;ADDRESS(130,3+18*2+(4))),'J1 C - (South) Bishopthorpe Roa'!$A$12:$A$130,"&gt;="&amp;Diagram!$O56,'J1 C - (South) Bishopthorpe Roa'!$A$12:$A$130,"&lt;"&amp;Diagram!$P56),SUMIFS(INDIRECT(ADDRESS(12,3+18*2+(12),,,"J1 C - (South) Bishopthorpe Roa")&amp;":"&amp;ADDRESS(130,3+18*2+(12))),'J1 C - (South) Bishopthorpe Roa'!$A$12:$A$130,"&gt;="&amp;Diagram!$O56,'J1 C - (South) Bishopthorpe Roa'!$A$12:$A$130,"&lt;"&amp;Diagram!$P56)))</f>
        <v>0</v>
      </c>
      <c r="CS56" s="42">
        <f ca="1">IF(OR($I$10="",$O56="",$P56="",$J$39&lt;&gt;"Yes"),0,IF($K$10=0,SUMIFS(INDIRECT(ADDRESS(12,3+18*3+(4),,,"J1 C - (South) Bishopthorpe Roa")&amp;":"&amp;ADDRESS(130,3+18*3+(4))),'J1 C - (South) Bishopthorpe Roa'!$A$12:$A$130,"&gt;="&amp;Diagram!$O56,'J1 C - (South) Bishopthorpe Roa'!$A$12:$A$130,"&lt;"&amp;Diagram!$P56),SUMIFS(INDIRECT(ADDRESS(12,3+18*3+(12),,,"J1 C - (South) Bishopthorpe Roa")&amp;":"&amp;ADDRESS(130,3+18*3+(12))),'J1 C - (South) Bishopthorpe Roa'!$A$12:$A$130,"&gt;="&amp;Diagram!$O56,'J1 C - (South) Bishopthorpe Roa'!$A$12:$A$130,"&lt;"&amp;Diagram!$P56)))</f>
        <v>0</v>
      </c>
      <c r="CT56" s="42">
        <f ca="1">IF(OR($I$10="",$O56="",$P56="",$J$39&lt;&gt;"Yes"),0,IF($K$10=0,SUMIFS(INDIRECT(ADDRESS(12,3+18*0+(4),,,"J1 C - (South) Bishopthorpe Roa")&amp;":"&amp;ADDRESS(130,3+18*0+(4))),'J1 C - (South) Bishopthorpe Roa'!$A$12:$A$130,"&gt;="&amp;Diagram!$O56,'J1 C - (South) Bishopthorpe Roa'!$A$12:$A$130,"&lt;"&amp;Diagram!$P56),SUMIFS(INDIRECT(ADDRESS(12,3+18*0+(12),,,"J1 C - (South) Bishopthorpe Roa")&amp;":"&amp;ADDRESS(130,3+18*0+(12))),'J1 C - (South) Bishopthorpe Roa'!$A$12:$A$130,"&gt;="&amp;Diagram!$O56,'J1 C - (South) Bishopthorpe Roa'!$A$12:$A$130,"&lt;"&amp;Diagram!$P56)))</f>
        <v>0</v>
      </c>
      <c r="CU56" s="42">
        <f ca="1">IF(OR($I$10="",$O56="",$P56="",$J$39&lt;&gt;"Yes"),0,IF($K$10=0,SUMIFS(INDIRECT(ADDRESS(12,3+18*0+(4),,,"J1 D - South Bank Avenue")&amp;":"&amp;ADDRESS(130,3+18*0+(4))),'J1 D - South Bank Avenue'!$A$12:$A$130,"&gt;="&amp;Diagram!$O56,'J1 D - South Bank Avenue'!$A$12:$A$130,"&lt;"&amp;Diagram!$P56),SUMIFS(INDIRECT(ADDRESS(12,3+18*0+(12),,,"J1 D - South Bank Avenue")&amp;":"&amp;ADDRESS(130,3+18*0+(12))),'J1 D - South Bank Avenue'!$A$12:$A$130,"&gt;="&amp;Diagram!$O56,'J1 D - South Bank Avenue'!$A$12:$A$130,"&lt;"&amp;Diagram!$P56)))</f>
        <v>0</v>
      </c>
      <c r="CV56" s="42">
        <f ca="1">IF(OR($I$10="",$O56="",$P56="",$J$39&lt;&gt;"Yes"),0,IF($K$10=0,SUMIFS(INDIRECT(ADDRESS(12,3+18*1+(4),,,"J1 D - South Bank Avenue")&amp;":"&amp;ADDRESS(130,3+18*1+(4))),'J1 D - South Bank Avenue'!$A$12:$A$130,"&gt;="&amp;Diagram!$O56,'J1 D - South Bank Avenue'!$A$12:$A$130,"&lt;"&amp;Diagram!$P56),SUMIFS(INDIRECT(ADDRESS(12,3+18*1+(12),,,"J1 D - South Bank Avenue")&amp;":"&amp;ADDRESS(130,3+18*1+(12))),'J1 D - South Bank Avenue'!$A$12:$A$130,"&gt;="&amp;Diagram!$O56,'J1 D - South Bank Avenue'!$A$12:$A$130,"&lt;"&amp;Diagram!$P56)))</f>
        <v>0</v>
      </c>
      <c r="CW56" s="42">
        <f ca="1">IF(OR($I$10="",$O56="",$P56="",$J$39&lt;&gt;"Yes"),0,IF($K$10=0,SUMIFS(INDIRECT(ADDRESS(12,3+18*2+(4),,,"J1 D - South Bank Avenue")&amp;":"&amp;ADDRESS(130,3+18*2+(4))),'J1 D - South Bank Avenue'!$A$12:$A$130,"&gt;="&amp;Diagram!$O56,'J1 D - South Bank Avenue'!$A$12:$A$130,"&lt;"&amp;Diagram!$P56),SUMIFS(INDIRECT(ADDRESS(12,3+18*2+(12),,,"J1 D - South Bank Avenue")&amp;":"&amp;ADDRESS(130,3+18*2+(12))),'J1 D - South Bank Avenue'!$A$12:$A$130,"&gt;="&amp;Diagram!$O56,'J1 D - South Bank Avenue'!$A$12:$A$130,"&lt;"&amp;Diagram!$P56)))</f>
        <v>0</v>
      </c>
      <c r="CX56" s="42">
        <f ca="1">IF(OR($I$10="",$O56="",$P56="",$J$39&lt;&gt;"Yes"),0,IF($K$10=0,SUMIFS(INDIRECT(ADDRESS(12,3+18*3+(4),,,"J1 D - South Bank Avenue")&amp;":"&amp;ADDRESS(130,3+18*3+(4))),'J1 D - South Bank Avenue'!$A$12:$A$130,"&gt;="&amp;Diagram!$O56,'J1 D - South Bank Avenue'!$A$12:$A$130,"&lt;"&amp;Diagram!$P56),SUMIFS(INDIRECT(ADDRESS(12,3+18*3+(12),,,"J1 D - South Bank Avenue")&amp;":"&amp;ADDRESS(130,3+18*3+(12))),'J1 D - South Bank Avenue'!$A$12:$A$130,"&gt;="&amp;Diagram!$O56,'J1 D - South Bank Avenue'!$A$12:$A$130,"&lt;"&amp;Diagram!$P56)))</f>
        <v>0</v>
      </c>
      <c r="CY56" s="42">
        <f t="shared" ca="1" si="6"/>
        <v>101</v>
      </c>
      <c r="CZ56" s="42">
        <f ca="1">IF(OR($I$10="",$O56="",$P56="",$J$40&lt;&gt;"Yes"),0,IF($K$10=0,SUMIFS(INDIRECT(ADDRESS(12,3+18*3+(5),,,"J1 A - (North) Bishopthorpe Roa")&amp;":"&amp;ADDRESS(130,3+18*3+(5))),'J1 A - (North) Bishopthorpe Roa'!$A$12:$A$130,"&gt;="&amp;Diagram!$O56,'J1 A - (North) Bishopthorpe Roa'!$A$12:$A$130,"&lt;"&amp;Diagram!$P56),SUMIFS(INDIRECT(ADDRESS(12,3+18*3+(13),,,"J1 A - (North) Bishopthorpe Roa")&amp;":"&amp;ADDRESS(130,3+18*3+(13))),'J1 A - (North) Bishopthorpe Roa'!$A$12:$A$130,"&gt;="&amp;Diagram!$O56,'J1 A - (North) Bishopthorpe Roa'!$A$12:$A$130,"&lt;"&amp;Diagram!$P56)))</f>
        <v>0</v>
      </c>
      <c r="DA56" s="42">
        <f ca="1">IF(OR($I$10="",$O56="",$P56="",$J$40&lt;&gt;"Yes"),0,IF($K$10=0,SUMIFS(INDIRECT(ADDRESS(12,3+18*0+(5),,,"J1 A - (North) Bishopthorpe Roa")&amp;":"&amp;ADDRESS(130,3+18*0+(5))),'J1 A - (North) Bishopthorpe Roa'!$A$12:$A$130,"&gt;="&amp;Diagram!$O56,'J1 A - (North) Bishopthorpe Roa'!$A$12:$A$130,"&lt;"&amp;Diagram!$P56),SUMIFS(INDIRECT(ADDRESS(12,3+18*0+(13),,,"J1 A - (North) Bishopthorpe Roa")&amp;":"&amp;ADDRESS(130,3+18*0+(13))),'J1 A - (North) Bishopthorpe Roa'!$A$12:$A$130,"&gt;="&amp;Diagram!$O56,'J1 A - (North) Bishopthorpe Roa'!$A$12:$A$130,"&lt;"&amp;Diagram!$P56)))</f>
        <v>8</v>
      </c>
      <c r="DB56" s="42">
        <f ca="1">IF(OR($I$10="",$O56="",$P56="",$J$40&lt;&gt;"Yes"),0,IF($K$10=0,SUMIFS(INDIRECT(ADDRESS(12,3+18*1+(5),,,"J1 A - (North) Bishopthorpe Roa")&amp;":"&amp;ADDRESS(130,3+18*1+(5))),'J1 A - (North) Bishopthorpe Roa'!$A$12:$A$130,"&gt;="&amp;Diagram!$O56,'J1 A - (North) Bishopthorpe Roa'!$A$12:$A$130,"&lt;"&amp;Diagram!$P56),SUMIFS(INDIRECT(ADDRESS(12,3+18*1+(13),,,"J1 A - (North) Bishopthorpe Roa")&amp;":"&amp;ADDRESS(130,3+18*1+(13))),'J1 A - (North) Bishopthorpe Roa'!$A$12:$A$130,"&gt;="&amp;Diagram!$O56,'J1 A - (North) Bishopthorpe Roa'!$A$12:$A$130,"&lt;"&amp;Diagram!$P56)))</f>
        <v>14</v>
      </c>
      <c r="DC56" s="42">
        <f ca="1">IF(OR($I$10="",$O56="",$P56="",$J$40&lt;&gt;"Yes"),0,IF($K$10=0,SUMIFS(INDIRECT(ADDRESS(12,3+18*2+(5),,,"J1 A - (North) Bishopthorpe Roa")&amp;":"&amp;ADDRESS(130,3+18*2+(5))),'J1 A - (North) Bishopthorpe Roa'!$A$12:$A$130,"&gt;="&amp;Diagram!$O56,'J1 A - (North) Bishopthorpe Roa'!$A$12:$A$130,"&lt;"&amp;Diagram!$P56),SUMIFS(INDIRECT(ADDRESS(12,3+18*2+(13),,,"J1 A - (North) Bishopthorpe Roa")&amp;":"&amp;ADDRESS(130,3+18*2+(13))),'J1 A - (North) Bishopthorpe Roa'!$A$12:$A$130,"&gt;="&amp;Diagram!$O56,'J1 A - (North) Bishopthorpe Roa'!$A$12:$A$130,"&lt;"&amp;Diagram!$P56)))</f>
        <v>4</v>
      </c>
      <c r="DD56" s="42">
        <f ca="1">IF(OR($I$10="",$O56="",$P56="",$J$40&lt;&gt;"Yes"),0,IF($K$10=0,SUMIFS(INDIRECT(ADDRESS(12,3+18*2+(5),,,"J1 B - Butcher Terrace")&amp;":"&amp;ADDRESS(130,3+18*2+(5))),'J1 B - Butcher Terrace'!$A$12:$A$130,"&gt;="&amp;Diagram!$O56,'J1 B - Butcher Terrace'!$A$12:$A$130,"&lt;"&amp;Diagram!$P56),SUMIFS(INDIRECT(ADDRESS(12,3+18*2+(13),,,"J1 B - Butcher Terrace")&amp;":"&amp;ADDRESS(130,3+18*2+(13))),'J1 B - Butcher Terrace'!$A$12:$A$130,"&gt;="&amp;Diagram!$O56,'J1 B - Butcher Terrace'!$A$12:$A$130,"&lt;"&amp;Diagram!$P56)))</f>
        <v>13</v>
      </c>
      <c r="DE56" s="42">
        <f ca="1">IF(OR($I$10="",$O56="",$P56="",$J$40&lt;&gt;"Yes"),0,IF($K$10=0,SUMIFS(INDIRECT(ADDRESS(12,3+18*3+(5),,,"J1 B - Butcher Terrace")&amp;":"&amp;ADDRESS(130,3+18*3+(5))),'J1 B - Butcher Terrace'!$A$12:$A$130,"&gt;="&amp;Diagram!$O56,'J1 B - Butcher Terrace'!$A$12:$A$130,"&lt;"&amp;Diagram!$P56),SUMIFS(INDIRECT(ADDRESS(12,3+18*3+(13),,,"J1 B - Butcher Terrace")&amp;":"&amp;ADDRESS(130,3+18*3+(13))),'J1 B - Butcher Terrace'!$A$12:$A$130,"&gt;="&amp;Diagram!$O56,'J1 B - Butcher Terrace'!$A$12:$A$130,"&lt;"&amp;Diagram!$P56)))</f>
        <v>0</v>
      </c>
      <c r="DF56" s="42">
        <f ca="1">IF(OR($I$10="",$O56="",$P56="",$J$40&lt;&gt;"Yes"),0,IF($K$10=0,SUMIFS(INDIRECT(ADDRESS(12,3+18*0+(5),,,"J1 B - Butcher Terrace")&amp;":"&amp;ADDRESS(130,3+18*0+(5))),'J1 B - Butcher Terrace'!$A$12:$A$130,"&gt;="&amp;Diagram!$O56,'J1 B - Butcher Terrace'!$A$12:$A$130,"&lt;"&amp;Diagram!$P56),SUMIFS(INDIRECT(ADDRESS(12,3+18*0+(13),,,"J1 B - Butcher Terrace")&amp;":"&amp;ADDRESS(130,3+18*0+(13))),'J1 B - Butcher Terrace'!$A$12:$A$130,"&gt;="&amp;Diagram!$O56,'J1 B - Butcher Terrace'!$A$12:$A$130,"&lt;"&amp;Diagram!$P56)))</f>
        <v>7</v>
      </c>
      <c r="DG56" s="42">
        <f ca="1">IF(OR($I$10="",$O56="",$P56="",$J$40&lt;&gt;"Yes"),0,IF($K$10=0,SUMIFS(INDIRECT(ADDRESS(12,3+18*1+(5),,,"J1 B - Butcher Terrace")&amp;":"&amp;ADDRESS(130,3+18*1+(5))),'J1 B - Butcher Terrace'!$A$12:$A$130,"&gt;="&amp;Diagram!$O56,'J1 B - Butcher Terrace'!$A$12:$A$130,"&lt;"&amp;Diagram!$P56),SUMIFS(INDIRECT(ADDRESS(12,3+18*1+(13),,,"J1 B - Butcher Terrace")&amp;":"&amp;ADDRESS(130,3+18*1+(13))),'J1 B - Butcher Terrace'!$A$12:$A$130,"&gt;="&amp;Diagram!$O56,'J1 B - Butcher Terrace'!$A$12:$A$130,"&lt;"&amp;Diagram!$P56)))</f>
        <v>20</v>
      </c>
      <c r="DH56" s="42">
        <f ca="1">IF(OR($I$10="",$O56="",$P56="",$J$40&lt;&gt;"Yes"),0,IF($K$10=0,SUMIFS(INDIRECT(ADDRESS(12,3+18*1+(5),,,"J1 C - (South) Bishopthorpe Roa")&amp;":"&amp;ADDRESS(130,3+18*1+(5))),'J1 C - (South) Bishopthorpe Roa'!$A$12:$A$130,"&gt;="&amp;Diagram!$O56,'J1 C - (South) Bishopthorpe Roa'!$A$12:$A$130,"&lt;"&amp;Diagram!$P56),SUMIFS(INDIRECT(ADDRESS(12,3+18*1+(13),,,"J1 C - (South) Bishopthorpe Roa")&amp;":"&amp;ADDRESS(130,3+18*1+(13))),'J1 C - (South) Bishopthorpe Roa'!$A$12:$A$130,"&gt;="&amp;Diagram!$O56,'J1 C - (South) Bishopthorpe Roa'!$A$12:$A$130,"&lt;"&amp;Diagram!$P56)))</f>
        <v>9</v>
      </c>
      <c r="DI56" s="42">
        <f ca="1">IF(OR($I$10="",$O56="",$P56="",$J$40&lt;&gt;"Yes"),0,IF($K$10=0,SUMIFS(INDIRECT(ADDRESS(12,3+18*2+(5),,,"J1 C - (South) Bishopthorpe Roa")&amp;":"&amp;ADDRESS(130,3+18*2+(5))),'J1 C - (South) Bishopthorpe Roa'!$A$12:$A$130,"&gt;="&amp;Diagram!$O56,'J1 C - (South) Bishopthorpe Roa'!$A$12:$A$130,"&lt;"&amp;Diagram!$P56),SUMIFS(INDIRECT(ADDRESS(12,3+18*2+(13),,,"J1 C - (South) Bishopthorpe Roa")&amp;":"&amp;ADDRESS(130,3+18*2+(13))),'J1 C - (South) Bishopthorpe Roa'!$A$12:$A$130,"&gt;="&amp;Diagram!$O56,'J1 C - (South) Bishopthorpe Roa'!$A$12:$A$130,"&lt;"&amp;Diagram!$P56)))</f>
        <v>5</v>
      </c>
      <c r="DJ56" s="42">
        <f ca="1">IF(OR($I$10="",$O56="",$P56="",$J$40&lt;&gt;"Yes"),0,IF($K$10=0,SUMIFS(INDIRECT(ADDRESS(12,3+18*3+(5),,,"J1 C - (South) Bishopthorpe Roa")&amp;":"&amp;ADDRESS(130,3+18*3+(5))),'J1 C - (South) Bishopthorpe Roa'!$A$12:$A$130,"&gt;="&amp;Diagram!$O56,'J1 C - (South) Bishopthorpe Roa'!$A$12:$A$130,"&lt;"&amp;Diagram!$P56),SUMIFS(INDIRECT(ADDRESS(12,3+18*3+(13),,,"J1 C - (South) Bishopthorpe Roa")&amp;":"&amp;ADDRESS(130,3+18*3+(13))),'J1 C - (South) Bishopthorpe Roa'!$A$12:$A$130,"&gt;="&amp;Diagram!$O56,'J1 C - (South) Bishopthorpe Roa'!$A$12:$A$130,"&lt;"&amp;Diagram!$P56)))</f>
        <v>0</v>
      </c>
      <c r="DK56" s="42">
        <f ca="1">IF(OR($I$10="",$O56="",$P56="",$J$40&lt;&gt;"Yes"),0,IF($K$10=0,SUMIFS(INDIRECT(ADDRESS(12,3+18*0+(5),,,"J1 C - (South) Bishopthorpe Roa")&amp;":"&amp;ADDRESS(130,3+18*0+(5))),'J1 C - (South) Bishopthorpe Roa'!$A$12:$A$130,"&gt;="&amp;Diagram!$O56,'J1 C - (South) Bishopthorpe Roa'!$A$12:$A$130,"&lt;"&amp;Diagram!$P56),SUMIFS(INDIRECT(ADDRESS(12,3+18*0+(13),,,"J1 C - (South) Bishopthorpe Roa")&amp;":"&amp;ADDRESS(130,3+18*0+(13))),'J1 C - (South) Bishopthorpe Roa'!$A$12:$A$130,"&gt;="&amp;Diagram!$O56,'J1 C - (South) Bishopthorpe Roa'!$A$12:$A$130,"&lt;"&amp;Diagram!$P56)))</f>
        <v>0</v>
      </c>
      <c r="DL56" s="42">
        <f ca="1">IF(OR($I$10="",$O56="",$P56="",$J$40&lt;&gt;"Yes"),0,IF($K$10=0,SUMIFS(INDIRECT(ADDRESS(12,3+18*0+(5),,,"J1 D - South Bank Avenue")&amp;":"&amp;ADDRESS(130,3+18*0+(5))),'J1 D - South Bank Avenue'!$A$12:$A$130,"&gt;="&amp;Diagram!$O56,'J1 D - South Bank Avenue'!$A$12:$A$130,"&lt;"&amp;Diagram!$P56),SUMIFS(INDIRECT(ADDRESS(12,3+18*0+(13),,,"J1 D - South Bank Avenue")&amp;":"&amp;ADDRESS(130,3+18*0+(13))),'J1 D - South Bank Avenue'!$A$12:$A$130,"&gt;="&amp;Diagram!$O56,'J1 D - South Bank Avenue'!$A$12:$A$130,"&lt;"&amp;Diagram!$P56)))</f>
        <v>1</v>
      </c>
      <c r="DM56" s="42">
        <f ca="1">IF(OR($I$10="",$O56="",$P56="",$J$40&lt;&gt;"Yes"),0,IF($K$10=0,SUMIFS(INDIRECT(ADDRESS(12,3+18*1+(5),,,"J1 D - South Bank Avenue")&amp;":"&amp;ADDRESS(130,3+18*1+(5))),'J1 D - South Bank Avenue'!$A$12:$A$130,"&gt;="&amp;Diagram!$O56,'J1 D - South Bank Avenue'!$A$12:$A$130,"&lt;"&amp;Diagram!$P56),SUMIFS(INDIRECT(ADDRESS(12,3+18*1+(13),,,"J1 D - South Bank Avenue")&amp;":"&amp;ADDRESS(130,3+18*1+(13))),'J1 D - South Bank Avenue'!$A$12:$A$130,"&gt;="&amp;Diagram!$O56,'J1 D - South Bank Avenue'!$A$12:$A$130,"&lt;"&amp;Diagram!$P56)))</f>
        <v>20</v>
      </c>
      <c r="DN56" s="42">
        <f ca="1">IF(OR($I$10="",$O56="",$P56="",$J$40&lt;&gt;"Yes"),0,IF($K$10=0,SUMIFS(INDIRECT(ADDRESS(12,3+18*2+(5),,,"J1 D - South Bank Avenue")&amp;":"&amp;ADDRESS(130,3+18*2+(5))),'J1 D - South Bank Avenue'!$A$12:$A$130,"&gt;="&amp;Diagram!$O56,'J1 D - South Bank Avenue'!$A$12:$A$130,"&lt;"&amp;Diagram!$P56),SUMIFS(INDIRECT(ADDRESS(12,3+18*2+(13),,,"J1 D - South Bank Avenue")&amp;":"&amp;ADDRESS(130,3+18*2+(13))),'J1 D - South Bank Avenue'!$A$12:$A$130,"&gt;="&amp;Diagram!$O56,'J1 D - South Bank Avenue'!$A$12:$A$130,"&lt;"&amp;Diagram!$P56)))</f>
        <v>0</v>
      </c>
      <c r="DO56" s="42">
        <f ca="1">IF(OR($I$10="",$O56="",$P56="",$J$40&lt;&gt;"Yes"),0,IF($K$10=0,SUMIFS(INDIRECT(ADDRESS(12,3+18*3+(5),,,"J1 D - South Bank Avenue")&amp;":"&amp;ADDRESS(130,3+18*3+(5))),'J1 D - South Bank Avenue'!$A$12:$A$130,"&gt;="&amp;Diagram!$O56,'J1 D - South Bank Avenue'!$A$12:$A$130,"&lt;"&amp;Diagram!$P56),SUMIFS(INDIRECT(ADDRESS(12,3+18*3+(13),,,"J1 D - South Bank Avenue")&amp;":"&amp;ADDRESS(130,3+18*3+(13))),'J1 D - South Bank Avenue'!$A$12:$A$130,"&gt;="&amp;Diagram!$O56,'J1 D - South Bank Avenue'!$A$12:$A$130,"&lt;"&amp;Diagram!$P56)))</f>
        <v>0</v>
      </c>
      <c r="DP56" s="42">
        <f t="shared" ca="1" si="7"/>
        <v>14</v>
      </c>
      <c r="DQ56" s="42">
        <f ca="1">IF(OR($I$10="",$O56="",$P56="",$J$41&lt;&gt;"Yes"),0,IF($K$10=0,SUMIFS(INDIRECT(ADDRESS(12,3+18*3+(6),,,"J1 A - (North) Bishopthorpe Roa")&amp;":"&amp;ADDRESS(130,3+18*3+(6))),'J1 A - (North) Bishopthorpe Roa'!$A$12:$A$130,"&gt;="&amp;Diagram!$O56,'J1 A - (North) Bishopthorpe Roa'!$A$12:$A$130,"&lt;"&amp;Diagram!$P56),SUMIFS(INDIRECT(ADDRESS(12,3+18*3+(14),,,"J1 A - (North) Bishopthorpe Roa")&amp;":"&amp;ADDRESS(130,3+18*3+(14))),'J1 A - (North) Bishopthorpe Roa'!$A$12:$A$130,"&gt;="&amp;Diagram!$O56,'J1 A - (North) Bishopthorpe Roa'!$A$12:$A$130,"&lt;"&amp;Diagram!$P56)))</f>
        <v>0</v>
      </c>
      <c r="DR56" s="42">
        <f ca="1">IF(OR($I$10="",$O56="",$P56="",$J$41&lt;&gt;"Yes"),0,IF($K$10=0,SUMIFS(INDIRECT(ADDRESS(12,3+18*0+(6),,,"J1 A - (North) Bishopthorpe Roa")&amp;":"&amp;ADDRESS(130,3+18*0+(6))),'J1 A - (North) Bishopthorpe Roa'!$A$12:$A$130,"&gt;="&amp;Diagram!$O56,'J1 A - (North) Bishopthorpe Roa'!$A$12:$A$130,"&lt;"&amp;Diagram!$P56),SUMIFS(INDIRECT(ADDRESS(12,3+18*0+(14),,,"J1 A - (North) Bishopthorpe Roa")&amp;":"&amp;ADDRESS(130,3+18*0+(14))),'J1 A - (North) Bishopthorpe Roa'!$A$12:$A$130,"&gt;="&amp;Diagram!$O56,'J1 A - (North) Bishopthorpe Roa'!$A$12:$A$130,"&lt;"&amp;Diagram!$P56)))</f>
        <v>1</v>
      </c>
      <c r="DS56" s="42">
        <f ca="1">IF(OR($I$10="",$O56="",$P56="",$J$41&lt;&gt;"Yes"),0,IF($K$10=0,SUMIFS(INDIRECT(ADDRESS(12,3+18*1+(6),,,"J1 A - (North) Bishopthorpe Roa")&amp;":"&amp;ADDRESS(130,3+18*1+(6))),'J1 A - (North) Bishopthorpe Roa'!$A$12:$A$130,"&gt;="&amp;Diagram!$O56,'J1 A - (North) Bishopthorpe Roa'!$A$12:$A$130,"&lt;"&amp;Diagram!$P56),SUMIFS(INDIRECT(ADDRESS(12,3+18*1+(14),,,"J1 A - (North) Bishopthorpe Roa")&amp;":"&amp;ADDRESS(130,3+18*1+(14))),'J1 A - (North) Bishopthorpe Roa'!$A$12:$A$130,"&gt;="&amp;Diagram!$O56,'J1 A - (North) Bishopthorpe Roa'!$A$12:$A$130,"&lt;"&amp;Diagram!$P56)))</f>
        <v>5</v>
      </c>
      <c r="DT56" s="42">
        <f ca="1">IF(OR($I$10="",$O56="",$P56="",$J$41&lt;&gt;"Yes"),0,IF($K$10=0,SUMIFS(INDIRECT(ADDRESS(12,3+18*2+(6),,,"J1 A - (North) Bishopthorpe Roa")&amp;":"&amp;ADDRESS(130,3+18*2+(6))),'J1 A - (North) Bishopthorpe Roa'!$A$12:$A$130,"&gt;="&amp;Diagram!$O56,'J1 A - (North) Bishopthorpe Roa'!$A$12:$A$130,"&lt;"&amp;Diagram!$P56),SUMIFS(INDIRECT(ADDRESS(12,3+18*2+(14),,,"J1 A - (North) Bishopthorpe Roa")&amp;":"&amp;ADDRESS(130,3+18*2+(14))),'J1 A - (North) Bishopthorpe Roa'!$A$12:$A$130,"&gt;="&amp;Diagram!$O56,'J1 A - (North) Bishopthorpe Roa'!$A$12:$A$130,"&lt;"&amp;Diagram!$P56)))</f>
        <v>1</v>
      </c>
      <c r="DU56" s="42">
        <f ca="1">IF(OR($I$10="",$O56="",$P56="",$J$41&lt;&gt;"Yes"),0,IF($K$10=0,SUMIFS(INDIRECT(ADDRESS(12,3+18*2+(6),,,"J1 B - Butcher Terrace")&amp;":"&amp;ADDRESS(130,3+18*2+(6))),'J1 B - Butcher Terrace'!$A$12:$A$130,"&gt;="&amp;Diagram!$O56,'J1 B - Butcher Terrace'!$A$12:$A$130,"&lt;"&amp;Diagram!$P56),SUMIFS(INDIRECT(ADDRESS(12,3+18*2+(14),,,"J1 B - Butcher Terrace")&amp;":"&amp;ADDRESS(130,3+18*2+(14))),'J1 B - Butcher Terrace'!$A$12:$A$130,"&gt;="&amp;Diagram!$O56,'J1 B - Butcher Terrace'!$A$12:$A$130,"&lt;"&amp;Diagram!$P56)))</f>
        <v>1</v>
      </c>
      <c r="DV56" s="42">
        <f ca="1">IF(OR($I$10="",$O56="",$P56="",$J$41&lt;&gt;"Yes"),0,IF($K$10=0,SUMIFS(INDIRECT(ADDRESS(12,3+18*3+(6),,,"J1 B - Butcher Terrace")&amp;":"&amp;ADDRESS(130,3+18*3+(6))),'J1 B - Butcher Terrace'!$A$12:$A$130,"&gt;="&amp;Diagram!$O56,'J1 B - Butcher Terrace'!$A$12:$A$130,"&lt;"&amp;Diagram!$P56),SUMIFS(INDIRECT(ADDRESS(12,3+18*3+(14),,,"J1 B - Butcher Terrace")&amp;":"&amp;ADDRESS(130,3+18*3+(14))),'J1 B - Butcher Terrace'!$A$12:$A$130,"&gt;="&amp;Diagram!$O56,'J1 B - Butcher Terrace'!$A$12:$A$130,"&lt;"&amp;Diagram!$P56)))</f>
        <v>0</v>
      </c>
      <c r="DW56" s="42">
        <f ca="1">IF(OR($I$10="",$O56="",$P56="",$J$41&lt;&gt;"Yes"),0,IF($K$10=0,SUMIFS(INDIRECT(ADDRESS(12,3+18*0+(6),,,"J1 B - Butcher Terrace")&amp;":"&amp;ADDRESS(130,3+18*0+(6))),'J1 B - Butcher Terrace'!$A$12:$A$130,"&gt;="&amp;Diagram!$O56,'J1 B - Butcher Terrace'!$A$12:$A$130,"&lt;"&amp;Diagram!$P56),SUMIFS(INDIRECT(ADDRESS(12,3+18*0+(14),,,"J1 B - Butcher Terrace")&amp;":"&amp;ADDRESS(130,3+18*0+(14))),'J1 B - Butcher Terrace'!$A$12:$A$130,"&gt;="&amp;Diagram!$O56,'J1 B - Butcher Terrace'!$A$12:$A$130,"&lt;"&amp;Diagram!$P56)))</f>
        <v>0</v>
      </c>
      <c r="DX56" s="42">
        <f ca="1">IF(OR($I$10="",$O56="",$P56="",$J$41&lt;&gt;"Yes"),0,IF($K$10=0,SUMIFS(INDIRECT(ADDRESS(12,3+18*1+(6),,,"J1 B - Butcher Terrace")&amp;":"&amp;ADDRESS(130,3+18*1+(6))),'J1 B - Butcher Terrace'!$A$12:$A$130,"&gt;="&amp;Diagram!$O56,'J1 B - Butcher Terrace'!$A$12:$A$130,"&lt;"&amp;Diagram!$P56),SUMIFS(INDIRECT(ADDRESS(12,3+18*1+(14),,,"J1 B - Butcher Terrace")&amp;":"&amp;ADDRESS(130,3+18*1+(14))),'J1 B - Butcher Terrace'!$A$12:$A$130,"&gt;="&amp;Diagram!$O56,'J1 B - Butcher Terrace'!$A$12:$A$130,"&lt;"&amp;Diagram!$P56)))</f>
        <v>0</v>
      </c>
      <c r="DY56" s="42">
        <f ca="1">IF(OR($I$10="",$O56="",$P56="",$J$41&lt;&gt;"Yes"),0,IF($K$10=0,SUMIFS(INDIRECT(ADDRESS(12,3+18*1+(6),,,"J1 C - (South) Bishopthorpe Roa")&amp;":"&amp;ADDRESS(130,3+18*1+(6))),'J1 C - (South) Bishopthorpe Roa'!$A$12:$A$130,"&gt;="&amp;Diagram!$O56,'J1 C - (South) Bishopthorpe Roa'!$A$12:$A$130,"&lt;"&amp;Diagram!$P56),SUMIFS(INDIRECT(ADDRESS(12,3+18*1+(14),,,"J1 C - (South) Bishopthorpe Roa")&amp;":"&amp;ADDRESS(130,3+18*1+(14))),'J1 C - (South) Bishopthorpe Roa'!$A$12:$A$130,"&gt;="&amp;Diagram!$O56,'J1 C - (South) Bishopthorpe Roa'!$A$12:$A$130,"&lt;"&amp;Diagram!$P56)))</f>
        <v>5</v>
      </c>
      <c r="DZ56" s="42">
        <f ca="1">IF(OR($I$10="",$O56="",$P56="",$J$41&lt;&gt;"Yes"),0,IF($K$10=0,SUMIFS(INDIRECT(ADDRESS(12,3+18*2+(6),,,"J1 C - (South) Bishopthorpe Roa")&amp;":"&amp;ADDRESS(130,3+18*2+(6))),'J1 C - (South) Bishopthorpe Roa'!$A$12:$A$130,"&gt;="&amp;Diagram!$O56,'J1 C - (South) Bishopthorpe Roa'!$A$12:$A$130,"&lt;"&amp;Diagram!$P56),SUMIFS(INDIRECT(ADDRESS(12,3+18*2+(14),,,"J1 C - (South) Bishopthorpe Roa")&amp;":"&amp;ADDRESS(130,3+18*2+(14))),'J1 C - (South) Bishopthorpe Roa'!$A$12:$A$130,"&gt;="&amp;Diagram!$O56,'J1 C - (South) Bishopthorpe Roa'!$A$12:$A$130,"&lt;"&amp;Diagram!$P56)))</f>
        <v>0</v>
      </c>
      <c r="EA56" s="42">
        <f ca="1">IF(OR($I$10="",$O56="",$P56="",$J$41&lt;&gt;"Yes"),0,IF($K$10=0,SUMIFS(INDIRECT(ADDRESS(12,3+18*3+(6),,,"J1 C - (South) Bishopthorpe Roa")&amp;":"&amp;ADDRESS(130,3+18*3+(6))),'J1 C - (South) Bishopthorpe Roa'!$A$12:$A$130,"&gt;="&amp;Diagram!$O56,'J1 C - (South) Bishopthorpe Roa'!$A$12:$A$130,"&lt;"&amp;Diagram!$P56),SUMIFS(INDIRECT(ADDRESS(12,3+18*3+(14),,,"J1 C - (South) Bishopthorpe Roa")&amp;":"&amp;ADDRESS(130,3+18*3+(14))),'J1 C - (South) Bishopthorpe Roa'!$A$12:$A$130,"&gt;="&amp;Diagram!$O56,'J1 C - (South) Bishopthorpe Roa'!$A$12:$A$130,"&lt;"&amp;Diagram!$P56)))</f>
        <v>0</v>
      </c>
      <c r="EB56" s="42">
        <f ca="1">IF(OR($I$10="",$O56="",$P56="",$J$41&lt;&gt;"Yes"),0,IF($K$10=0,SUMIFS(INDIRECT(ADDRESS(12,3+18*0+(6),,,"J1 C - (South) Bishopthorpe Roa")&amp;":"&amp;ADDRESS(130,3+18*0+(6))),'J1 C - (South) Bishopthorpe Roa'!$A$12:$A$130,"&gt;="&amp;Diagram!$O56,'J1 C - (South) Bishopthorpe Roa'!$A$12:$A$130,"&lt;"&amp;Diagram!$P56),SUMIFS(INDIRECT(ADDRESS(12,3+18*0+(14),,,"J1 C - (South) Bishopthorpe Roa")&amp;":"&amp;ADDRESS(130,3+18*0+(14))),'J1 C - (South) Bishopthorpe Roa'!$A$12:$A$130,"&gt;="&amp;Diagram!$O56,'J1 C - (South) Bishopthorpe Roa'!$A$12:$A$130,"&lt;"&amp;Diagram!$P56)))</f>
        <v>0</v>
      </c>
      <c r="EC56" s="42">
        <f ca="1">IF(OR($I$10="",$O56="",$P56="",$J$41&lt;&gt;"Yes"),0,IF($K$10=0,SUMIFS(INDIRECT(ADDRESS(12,3+18*0+(6),,,"J1 D - South Bank Avenue")&amp;":"&amp;ADDRESS(130,3+18*0+(6))),'J1 D - South Bank Avenue'!$A$12:$A$130,"&gt;="&amp;Diagram!$O56,'J1 D - South Bank Avenue'!$A$12:$A$130,"&lt;"&amp;Diagram!$P56),SUMIFS(INDIRECT(ADDRESS(12,3+18*0+(14),,,"J1 D - South Bank Avenue")&amp;":"&amp;ADDRESS(130,3+18*0+(14))),'J1 D - South Bank Avenue'!$A$12:$A$130,"&gt;="&amp;Diagram!$O56,'J1 D - South Bank Avenue'!$A$12:$A$130,"&lt;"&amp;Diagram!$P56)))</f>
        <v>1</v>
      </c>
      <c r="ED56" s="42">
        <f ca="1">IF(OR($I$10="",$O56="",$P56="",$J$41&lt;&gt;"Yes"),0,IF($K$10=0,SUMIFS(INDIRECT(ADDRESS(12,3+18*1+(6),,,"J1 D - South Bank Avenue")&amp;":"&amp;ADDRESS(130,3+18*1+(6))),'J1 D - South Bank Avenue'!$A$12:$A$130,"&gt;="&amp;Diagram!$O56,'J1 D - South Bank Avenue'!$A$12:$A$130,"&lt;"&amp;Diagram!$P56),SUMIFS(INDIRECT(ADDRESS(12,3+18*1+(14),,,"J1 D - South Bank Avenue")&amp;":"&amp;ADDRESS(130,3+18*1+(14))),'J1 D - South Bank Avenue'!$A$12:$A$130,"&gt;="&amp;Diagram!$O56,'J1 D - South Bank Avenue'!$A$12:$A$130,"&lt;"&amp;Diagram!$P56)))</f>
        <v>0</v>
      </c>
      <c r="EE56" s="42">
        <f ca="1">IF(OR($I$10="",$O56="",$P56="",$J$41&lt;&gt;"Yes"),0,IF($K$10=0,SUMIFS(INDIRECT(ADDRESS(12,3+18*2+(6),,,"J1 D - South Bank Avenue")&amp;":"&amp;ADDRESS(130,3+18*2+(6))),'J1 D - South Bank Avenue'!$A$12:$A$130,"&gt;="&amp;Diagram!$O56,'J1 D - South Bank Avenue'!$A$12:$A$130,"&lt;"&amp;Diagram!$P56),SUMIFS(INDIRECT(ADDRESS(12,3+18*2+(14),,,"J1 D - South Bank Avenue")&amp;":"&amp;ADDRESS(130,3+18*2+(14))),'J1 D - South Bank Avenue'!$A$12:$A$130,"&gt;="&amp;Diagram!$O56,'J1 D - South Bank Avenue'!$A$12:$A$130,"&lt;"&amp;Diagram!$P56)))</f>
        <v>0</v>
      </c>
      <c r="EF56" s="42">
        <f ca="1">IF(OR($I$10="",$O56="",$P56="",$J$41&lt;&gt;"Yes"),0,IF($K$10=0,SUMIFS(INDIRECT(ADDRESS(12,3+18*3+(6),,,"J1 D - South Bank Avenue")&amp;":"&amp;ADDRESS(130,3+18*3+(6))),'J1 D - South Bank Avenue'!$A$12:$A$130,"&gt;="&amp;Diagram!$O56,'J1 D - South Bank Avenue'!$A$12:$A$130,"&lt;"&amp;Diagram!$P56),SUMIFS(INDIRECT(ADDRESS(12,3+18*3+(14),,,"J1 D - South Bank Avenue")&amp;":"&amp;ADDRESS(130,3+18*3+(14))),'J1 D - South Bank Avenue'!$A$12:$A$130,"&gt;="&amp;Diagram!$O56,'J1 D - South Bank Avenue'!$A$12:$A$130,"&lt;"&amp;Diagram!$P56)))</f>
        <v>0</v>
      </c>
      <c r="EG56" s="42">
        <f t="shared" ca="1" si="8"/>
        <v>3</v>
      </c>
      <c r="EH56" s="42">
        <f ca="1">IF(OR($I$10="",$O56="",$P56="",$J$42&lt;&gt;"Yes"),0,IF($K$10=0,SUMIFS(INDIRECT(ADDRESS(12,3+18*3+(7),,,"J1 A - (North) Bishopthorpe Roa")&amp;":"&amp;ADDRESS(130,3+18*3+(7))),'J1 A - (North) Bishopthorpe Roa'!$A$12:$A$130,"&gt;="&amp;Diagram!$O56,'J1 A - (North) Bishopthorpe Roa'!$A$12:$A$130,"&lt;"&amp;Diagram!$P56),SUMIFS(INDIRECT(ADDRESS(12,3+18*3+(15),,,"J1 A - (North) Bishopthorpe Roa")&amp;":"&amp;ADDRESS(130,3+18*3+(15))),'J1 A - (North) Bishopthorpe Roa'!$A$12:$A$130,"&gt;="&amp;Diagram!$O56,'J1 A - (North) Bishopthorpe Roa'!$A$12:$A$130,"&lt;"&amp;Diagram!$P56)))</f>
        <v>0</v>
      </c>
      <c r="EI56" s="42">
        <f ca="1">IF(OR($I$10="",$O56="",$P56="",$J$42&lt;&gt;"Yes"),0,IF($K$10=0,SUMIFS(INDIRECT(ADDRESS(12,3+18*0+(7),,,"J1 A - (North) Bishopthorpe Roa")&amp;":"&amp;ADDRESS(130,3+18*0+(7))),'J1 A - (North) Bishopthorpe Roa'!$A$12:$A$130,"&gt;="&amp;Diagram!$O56,'J1 A - (North) Bishopthorpe Roa'!$A$12:$A$130,"&lt;"&amp;Diagram!$P56),SUMIFS(INDIRECT(ADDRESS(12,3+18*0+(15),,,"J1 A - (North) Bishopthorpe Roa")&amp;":"&amp;ADDRESS(130,3+18*0+(15))),'J1 A - (North) Bishopthorpe Roa'!$A$12:$A$130,"&gt;="&amp;Diagram!$O56,'J1 A - (North) Bishopthorpe Roa'!$A$12:$A$130,"&lt;"&amp;Diagram!$P56)))</f>
        <v>2</v>
      </c>
      <c r="EJ56" s="42">
        <f ca="1">IF(OR($I$10="",$O56="",$P56="",$J$42&lt;&gt;"Yes"),0,IF($K$10=0,SUMIFS(INDIRECT(ADDRESS(12,3+18*1+(7),,,"J1 A - (North) Bishopthorpe Roa")&amp;":"&amp;ADDRESS(130,3+18*1+(7))),'J1 A - (North) Bishopthorpe Roa'!$A$12:$A$130,"&gt;="&amp;Diagram!$O56,'J1 A - (North) Bishopthorpe Roa'!$A$12:$A$130,"&lt;"&amp;Diagram!$P56),SUMIFS(INDIRECT(ADDRESS(12,3+18*1+(15),,,"J1 A - (North) Bishopthorpe Roa")&amp;":"&amp;ADDRESS(130,3+18*1+(15))),'J1 A - (North) Bishopthorpe Roa'!$A$12:$A$130,"&gt;="&amp;Diagram!$O56,'J1 A - (North) Bishopthorpe Roa'!$A$12:$A$130,"&lt;"&amp;Diagram!$P56)))</f>
        <v>0</v>
      </c>
      <c r="EK56" s="42">
        <f ca="1">IF(OR($I$10="",$O56="",$P56="",$J$42&lt;&gt;"Yes"),0,IF($K$10=0,SUMIFS(INDIRECT(ADDRESS(12,3+18*2+(7),,,"J1 A - (North) Bishopthorpe Roa")&amp;":"&amp;ADDRESS(130,3+18*2+(7))),'J1 A - (North) Bishopthorpe Roa'!$A$12:$A$130,"&gt;="&amp;Diagram!$O56,'J1 A - (North) Bishopthorpe Roa'!$A$12:$A$130,"&lt;"&amp;Diagram!$P56),SUMIFS(INDIRECT(ADDRESS(12,3+18*2+(15),,,"J1 A - (North) Bishopthorpe Roa")&amp;":"&amp;ADDRESS(130,3+18*2+(15))),'J1 A - (North) Bishopthorpe Roa'!$A$12:$A$130,"&gt;="&amp;Diagram!$O56,'J1 A - (North) Bishopthorpe Roa'!$A$12:$A$130,"&lt;"&amp;Diagram!$P56)))</f>
        <v>0</v>
      </c>
      <c r="EL56" s="42">
        <f ca="1">IF(OR($I$10="",$O56="",$P56="",$J$42&lt;&gt;"Yes"),0,IF($K$10=0,SUMIFS(INDIRECT(ADDRESS(12,3+18*2+(7),,,"J1 B - Butcher Terrace")&amp;":"&amp;ADDRESS(130,3+18*2+(7))),'J1 B - Butcher Terrace'!$A$12:$A$130,"&gt;="&amp;Diagram!$O56,'J1 B - Butcher Terrace'!$A$12:$A$130,"&lt;"&amp;Diagram!$P56),SUMIFS(INDIRECT(ADDRESS(12,3+18*2+(15),,,"J1 B - Butcher Terrace")&amp;":"&amp;ADDRESS(130,3+18*2+(15))),'J1 B - Butcher Terrace'!$A$12:$A$130,"&gt;="&amp;Diagram!$O56,'J1 B - Butcher Terrace'!$A$12:$A$130,"&lt;"&amp;Diagram!$P56)))</f>
        <v>0</v>
      </c>
      <c r="EM56" s="42">
        <f ca="1">IF(OR($I$10="",$O56="",$P56="",$J$42&lt;&gt;"Yes"),0,IF($K$10=0,SUMIFS(INDIRECT(ADDRESS(12,3+18*3+(7),,,"J1 B - Butcher Terrace")&amp;":"&amp;ADDRESS(130,3+18*3+(7))),'J1 B - Butcher Terrace'!$A$12:$A$130,"&gt;="&amp;Diagram!$O56,'J1 B - Butcher Terrace'!$A$12:$A$130,"&lt;"&amp;Diagram!$P56),SUMIFS(INDIRECT(ADDRESS(12,3+18*3+(15),,,"J1 B - Butcher Terrace")&amp;":"&amp;ADDRESS(130,3+18*3+(15))),'J1 B - Butcher Terrace'!$A$12:$A$130,"&gt;="&amp;Diagram!$O56,'J1 B - Butcher Terrace'!$A$12:$A$130,"&lt;"&amp;Diagram!$P56)))</f>
        <v>0</v>
      </c>
      <c r="EN56" s="42">
        <f ca="1">IF(OR($I$10="",$O56="",$P56="",$J$42&lt;&gt;"Yes"),0,IF($K$10=0,SUMIFS(INDIRECT(ADDRESS(12,3+18*0+(7),,,"J1 B - Butcher Terrace")&amp;":"&amp;ADDRESS(130,3+18*0+(7))),'J1 B - Butcher Terrace'!$A$12:$A$130,"&gt;="&amp;Diagram!$O56,'J1 B - Butcher Terrace'!$A$12:$A$130,"&lt;"&amp;Diagram!$P56),SUMIFS(INDIRECT(ADDRESS(12,3+18*0+(15),,,"J1 B - Butcher Terrace")&amp;":"&amp;ADDRESS(130,3+18*0+(15))),'J1 B - Butcher Terrace'!$A$12:$A$130,"&gt;="&amp;Diagram!$O56,'J1 B - Butcher Terrace'!$A$12:$A$130,"&lt;"&amp;Diagram!$P56)))</f>
        <v>0</v>
      </c>
      <c r="EO56" s="42">
        <f ca="1">IF(OR($I$10="",$O56="",$P56="",$J$42&lt;&gt;"Yes"),0,IF($K$10=0,SUMIFS(INDIRECT(ADDRESS(12,3+18*1+(7),,,"J1 B - Butcher Terrace")&amp;":"&amp;ADDRESS(130,3+18*1+(7))),'J1 B - Butcher Terrace'!$A$12:$A$130,"&gt;="&amp;Diagram!$O56,'J1 B - Butcher Terrace'!$A$12:$A$130,"&lt;"&amp;Diagram!$P56),SUMIFS(INDIRECT(ADDRESS(12,3+18*1+(15),,,"J1 B - Butcher Terrace")&amp;":"&amp;ADDRESS(130,3+18*1+(15))),'J1 B - Butcher Terrace'!$A$12:$A$130,"&gt;="&amp;Diagram!$O56,'J1 B - Butcher Terrace'!$A$12:$A$130,"&lt;"&amp;Diagram!$P56)))</f>
        <v>0</v>
      </c>
      <c r="EP56" s="42">
        <f ca="1">IF(OR($I$10="",$O56="",$P56="",$J$42&lt;&gt;"Yes"),0,IF($K$10=0,SUMIFS(INDIRECT(ADDRESS(12,3+18*1+(7),,,"J1 C - (South) Bishopthorpe Roa")&amp;":"&amp;ADDRESS(130,3+18*1+(7))),'J1 C - (South) Bishopthorpe Roa'!$A$12:$A$130,"&gt;="&amp;Diagram!$O56,'J1 C - (South) Bishopthorpe Roa'!$A$12:$A$130,"&lt;"&amp;Diagram!$P56),SUMIFS(INDIRECT(ADDRESS(12,3+18*1+(15),,,"J1 C - (South) Bishopthorpe Roa")&amp;":"&amp;ADDRESS(130,3+18*1+(15))),'J1 C - (South) Bishopthorpe Roa'!$A$12:$A$130,"&gt;="&amp;Diagram!$O56,'J1 C - (South) Bishopthorpe Roa'!$A$12:$A$130,"&lt;"&amp;Diagram!$P56)))</f>
        <v>0</v>
      </c>
      <c r="EQ56" s="42">
        <f ca="1">IF(OR($I$10="",$O56="",$P56="",$J$42&lt;&gt;"Yes"),0,IF($K$10=0,SUMIFS(INDIRECT(ADDRESS(12,3+18*2+(7),,,"J1 C - (South) Bishopthorpe Roa")&amp;":"&amp;ADDRESS(130,3+18*2+(7))),'J1 C - (South) Bishopthorpe Roa'!$A$12:$A$130,"&gt;="&amp;Diagram!$O56,'J1 C - (South) Bishopthorpe Roa'!$A$12:$A$130,"&lt;"&amp;Diagram!$P56),SUMIFS(INDIRECT(ADDRESS(12,3+18*2+(15),,,"J1 C - (South) Bishopthorpe Roa")&amp;":"&amp;ADDRESS(130,3+18*2+(15))),'J1 C - (South) Bishopthorpe Roa'!$A$12:$A$130,"&gt;="&amp;Diagram!$O56,'J1 C - (South) Bishopthorpe Roa'!$A$12:$A$130,"&lt;"&amp;Diagram!$P56)))</f>
        <v>1</v>
      </c>
      <c r="ER56" s="42">
        <f ca="1">IF(OR($I$10="",$O56="",$P56="",$J$42&lt;&gt;"Yes"),0,IF($K$10=0,SUMIFS(INDIRECT(ADDRESS(12,3+18*3+(7),,,"J1 C - (South) Bishopthorpe Roa")&amp;":"&amp;ADDRESS(130,3+18*3+(7))),'J1 C - (South) Bishopthorpe Roa'!$A$12:$A$130,"&gt;="&amp;Diagram!$O56,'J1 C - (South) Bishopthorpe Roa'!$A$12:$A$130,"&lt;"&amp;Diagram!$P56),SUMIFS(INDIRECT(ADDRESS(12,3+18*3+(15),,,"J1 C - (South) Bishopthorpe Roa")&amp;":"&amp;ADDRESS(130,3+18*3+(15))),'J1 C - (South) Bishopthorpe Roa'!$A$12:$A$130,"&gt;="&amp;Diagram!$O56,'J1 C - (South) Bishopthorpe Roa'!$A$12:$A$130,"&lt;"&amp;Diagram!$P56)))</f>
        <v>0</v>
      </c>
      <c r="ES56" s="42">
        <f ca="1">IF(OR($I$10="",$O56="",$P56="",$J$42&lt;&gt;"Yes"),0,IF($K$10=0,SUMIFS(INDIRECT(ADDRESS(12,3+18*0+(7),,,"J1 C - (South) Bishopthorpe Roa")&amp;":"&amp;ADDRESS(130,3+18*0+(7))),'J1 C - (South) Bishopthorpe Roa'!$A$12:$A$130,"&gt;="&amp;Diagram!$O56,'J1 C - (South) Bishopthorpe Roa'!$A$12:$A$130,"&lt;"&amp;Diagram!$P56),SUMIFS(INDIRECT(ADDRESS(12,3+18*0+(15),,,"J1 C - (South) Bishopthorpe Roa")&amp;":"&amp;ADDRESS(130,3+18*0+(15))),'J1 C - (South) Bishopthorpe Roa'!$A$12:$A$130,"&gt;="&amp;Diagram!$O56,'J1 C - (South) Bishopthorpe Roa'!$A$12:$A$130,"&lt;"&amp;Diagram!$P56)))</f>
        <v>0</v>
      </c>
      <c r="ET56" s="42">
        <f ca="1">IF(OR($I$10="",$O56="",$P56="",$J$42&lt;&gt;"Yes"),0,IF($K$10=0,SUMIFS(INDIRECT(ADDRESS(12,3+18*0+(7),,,"J1 D - South Bank Avenue")&amp;":"&amp;ADDRESS(130,3+18*0+(7))),'J1 D - South Bank Avenue'!$A$12:$A$130,"&gt;="&amp;Diagram!$O56,'J1 D - South Bank Avenue'!$A$12:$A$130,"&lt;"&amp;Diagram!$P56),SUMIFS(INDIRECT(ADDRESS(12,3+18*0+(15),,,"J1 D - South Bank Avenue")&amp;":"&amp;ADDRESS(130,3+18*0+(15))),'J1 D - South Bank Avenue'!$A$12:$A$130,"&gt;="&amp;Diagram!$O56,'J1 D - South Bank Avenue'!$A$12:$A$130,"&lt;"&amp;Diagram!$P56)))</f>
        <v>0</v>
      </c>
      <c r="EU56" s="42">
        <f ca="1">IF(OR($I$10="",$O56="",$P56="",$J$42&lt;&gt;"Yes"),0,IF($K$10=0,SUMIFS(INDIRECT(ADDRESS(12,3+18*1+(7),,,"J1 D - South Bank Avenue")&amp;":"&amp;ADDRESS(130,3+18*1+(7))),'J1 D - South Bank Avenue'!$A$12:$A$130,"&gt;="&amp;Diagram!$O56,'J1 D - South Bank Avenue'!$A$12:$A$130,"&lt;"&amp;Diagram!$P56),SUMIFS(INDIRECT(ADDRESS(12,3+18*1+(15),,,"J1 D - South Bank Avenue")&amp;":"&amp;ADDRESS(130,3+18*1+(15))),'J1 D - South Bank Avenue'!$A$12:$A$130,"&gt;="&amp;Diagram!$O56,'J1 D - South Bank Avenue'!$A$12:$A$130,"&lt;"&amp;Diagram!$P56)))</f>
        <v>0</v>
      </c>
      <c r="EV56" s="42">
        <f ca="1">IF(OR($I$10="",$O56="",$P56="",$J$42&lt;&gt;"Yes"),0,IF($K$10=0,SUMIFS(INDIRECT(ADDRESS(12,3+18*2+(7),,,"J1 D - South Bank Avenue")&amp;":"&amp;ADDRESS(130,3+18*2+(7))),'J1 D - South Bank Avenue'!$A$12:$A$130,"&gt;="&amp;Diagram!$O56,'J1 D - South Bank Avenue'!$A$12:$A$130,"&lt;"&amp;Diagram!$P56),SUMIFS(INDIRECT(ADDRESS(12,3+18*2+(15),,,"J1 D - South Bank Avenue")&amp;":"&amp;ADDRESS(130,3+18*2+(15))),'J1 D - South Bank Avenue'!$A$12:$A$130,"&gt;="&amp;Diagram!$O56,'J1 D - South Bank Avenue'!$A$12:$A$130,"&lt;"&amp;Diagram!$P56)))</f>
        <v>0</v>
      </c>
      <c r="EW56" s="42">
        <f ca="1">IF(OR($I$10="",$O56="",$P56="",$J$42&lt;&gt;"Yes"),0,IF($K$10=0,SUMIFS(INDIRECT(ADDRESS(12,3+18*3+(7),,,"J1 D - South Bank Avenue")&amp;":"&amp;ADDRESS(130,3+18*3+(7))),'J1 D - South Bank Avenue'!$A$12:$A$130,"&gt;="&amp;Diagram!$O56,'J1 D - South Bank Avenue'!$A$12:$A$130,"&lt;"&amp;Diagram!$P56),SUMIFS(INDIRECT(ADDRESS(12,3+18*3+(15),,,"J1 D - South Bank Avenue")&amp;":"&amp;ADDRESS(130,3+18*3+(15))),'J1 D - South Bank Avenue'!$A$12:$A$130,"&gt;="&amp;Diagram!$O56,'J1 D - South Bank Avenue'!$A$12:$A$130,"&lt;"&amp;Diagram!$P56)))</f>
        <v>0</v>
      </c>
    </row>
    <row r="57" spans="1:153">
      <c r="A57" s="1">
        <v>44395.583333333299</v>
      </c>
      <c r="B57" s="1">
        <v>44395.59375</v>
      </c>
      <c r="O57" s="3">
        <v>44395.583333333299</v>
      </c>
      <c r="P57" s="3">
        <v>44395.625</v>
      </c>
      <c r="Q57" s="42">
        <f t="shared" ca="1" si="0"/>
        <v>715</v>
      </c>
      <c r="R57" s="42">
        <f t="shared" ca="1" si="1"/>
        <v>494</v>
      </c>
      <c r="S57" s="42">
        <f ca="1">IF(OR($I$10="",$O57="",$P57="",$J$35&lt;&gt;"Yes"),0,IF($K$10=0,SUMIFS(INDIRECT(ADDRESS(12,3+18*3+(0),,,"J1 A - (North) Bishopthorpe Roa")&amp;":"&amp;ADDRESS(130,3+18*3+(0))),'J1 A - (North) Bishopthorpe Roa'!$A$12:$A$130,"&gt;="&amp;Diagram!$O57,'J1 A - (North) Bishopthorpe Roa'!$A$12:$A$130,"&lt;"&amp;Diagram!$P57),SUMIFS(INDIRECT(ADDRESS(12,3+18*3+(8),,,"J1 A - (North) Bishopthorpe Roa")&amp;":"&amp;ADDRESS(130,3+18*3+(8))),'J1 A - (North) Bishopthorpe Roa'!$A$12:$A$130,"&gt;="&amp;Diagram!$O57,'J1 A - (North) Bishopthorpe Roa'!$A$12:$A$130,"&lt;"&amp;Diagram!$P57)))</f>
        <v>3</v>
      </c>
      <c r="T57" s="42">
        <f ca="1">IF(OR($I$10="",$O57="",$P57="",$J$35&lt;&gt;"Yes"),0,IF($K$10=0,SUMIFS(INDIRECT(ADDRESS(12,3+18*0+(0),,,"J1 A - (North) Bishopthorpe Roa")&amp;":"&amp;ADDRESS(130,3+18*0+(0))),'J1 A - (North) Bishopthorpe Roa'!$A$12:$A$130,"&gt;="&amp;Diagram!$O57,'J1 A - (North) Bishopthorpe Roa'!$A$12:$A$130,"&lt;"&amp;Diagram!$P57),SUMIFS(INDIRECT(ADDRESS(12,3+18*0+(8),,,"J1 A - (North) Bishopthorpe Roa")&amp;":"&amp;ADDRESS(130,3+18*0+(8))),'J1 A - (North) Bishopthorpe Roa'!$A$12:$A$130,"&gt;="&amp;Diagram!$O57,'J1 A - (North) Bishopthorpe Roa'!$A$12:$A$130,"&lt;"&amp;Diagram!$P57)))</f>
        <v>18</v>
      </c>
      <c r="U57" s="42">
        <f ca="1">IF(OR($I$10="",$O57="",$P57="",$J$35&lt;&gt;"Yes"),0,IF($K$10=0,SUMIFS(INDIRECT(ADDRESS(12,3+18*1+(0),,,"J1 A - (North) Bishopthorpe Roa")&amp;":"&amp;ADDRESS(130,3+18*1+(0))),'J1 A - (North) Bishopthorpe Roa'!$A$12:$A$130,"&gt;="&amp;Diagram!$O57,'J1 A - (North) Bishopthorpe Roa'!$A$12:$A$130,"&lt;"&amp;Diagram!$P57),SUMIFS(INDIRECT(ADDRESS(12,3+18*1+(8),,,"J1 A - (North) Bishopthorpe Roa")&amp;":"&amp;ADDRESS(130,3+18*1+(8))),'J1 A - (North) Bishopthorpe Roa'!$A$12:$A$130,"&gt;="&amp;Diagram!$O57,'J1 A - (North) Bishopthorpe Roa'!$A$12:$A$130,"&lt;"&amp;Diagram!$P57)))</f>
        <v>225</v>
      </c>
      <c r="V57" s="42">
        <f ca="1">IF(OR($I$10="",$O57="",$P57="",$J$35&lt;&gt;"Yes"),0,IF($K$10=0,SUMIFS(INDIRECT(ADDRESS(12,3+18*2+(0),,,"J1 A - (North) Bishopthorpe Roa")&amp;":"&amp;ADDRESS(130,3+18*2+(0))),'J1 A - (North) Bishopthorpe Roa'!$A$12:$A$130,"&gt;="&amp;Diagram!$O57,'J1 A - (North) Bishopthorpe Roa'!$A$12:$A$130,"&lt;"&amp;Diagram!$P57),SUMIFS(INDIRECT(ADDRESS(12,3+18*2+(8),,,"J1 A - (North) Bishopthorpe Roa")&amp;":"&amp;ADDRESS(130,3+18*2+(8))),'J1 A - (North) Bishopthorpe Roa'!$A$12:$A$130,"&gt;="&amp;Diagram!$O57,'J1 A - (North) Bishopthorpe Roa'!$A$12:$A$130,"&lt;"&amp;Diagram!$P57)))</f>
        <v>19</v>
      </c>
      <c r="W57" s="42">
        <f ca="1">IF(OR($I$10="",$O57="",$P57="",$J$35&lt;&gt;"Yes"),0,IF($K$10=0,SUMIFS(INDIRECT(ADDRESS(12,3+18*2+(0),,,"J1 B - Butcher Terrace")&amp;":"&amp;ADDRESS(130,3+18*2+(0))),'J1 B - Butcher Terrace'!$A$12:$A$130,"&gt;="&amp;Diagram!$O57,'J1 B - Butcher Terrace'!$A$12:$A$130,"&lt;"&amp;Diagram!$P57),SUMIFS(INDIRECT(ADDRESS(12,3+18*2+(8),,,"J1 B - Butcher Terrace")&amp;":"&amp;ADDRESS(130,3+18*2+(8))),'J1 B - Butcher Terrace'!$A$12:$A$130,"&gt;="&amp;Diagram!$O57,'J1 B - Butcher Terrace'!$A$12:$A$130,"&lt;"&amp;Diagram!$P57)))</f>
        <v>16</v>
      </c>
      <c r="X57" s="42">
        <f ca="1">IF(OR($I$10="",$O57="",$P57="",$J$35&lt;&gt;"Yes"),0,IF($K$10=0,SUMIFS(INDIRECT(ADDRESS(12,3+18*3+(0),,,"J1 B - Butcher Terrace")&amp;":"&amp;ADDRESS(130,3+18*3+(0))),'J1 B - Butcher Terrace'!$A$12:$A$130,"&gt;="&amp;Diagram!$O57,'J1 B - Butcher Terrace'!$A$12:$A$130,"&lt;"&amp;Diagram!$P57),SUMIFS(INDIRECT(ADDRESS(12,3+18*3+(8),,,"J1 B - Butcher Terrace")&amp;":"&amp;ADDRESS(130,3+18*3+(8))),'J1 B - Butcher Terrace'!$A$12:$A$130,"&gt;="&amp;Diagram!$O57,'J1 B - Butcher Terrace'!$A$12:$A$130,"&lt;"&amp;Diagram!$P57)))</f>
        <v>0</v>
      </c>
      <c r="Y57" s="42">
        <f ca="1">IF(OR($I$10="",$O57="",$P57="",$J$35&lt;&gt;"Yes"),0,IF($K$10=0,SUMIFS(INDIRECT(ADDRESS(12,3+18*0+(0),,,"J1 B - Butcher Terrace")&amp;":"&amp;ADDRESS(130,3+18*0+(0))),'J1 B - Butcher Terrace'!$A$12:$A$130,"&gt;="&amp;Diagram!$O57,'J1 B - Butcher Terrace'!$A$12:$A$130,"&lt;"&amp;Diagram!$P57),SUMIFS(INDIRECT(ADDRESS(12,3+18*0+(8),,,"J1 B - Butcher Terrace")&amp;":"&amp;ADDRESS(130,3+18*0+(8))),'J1 B - Butcher Terrace'!$A$12:$A$130,"&gt;="&amp;Diagram!$O57,'J1 B - Butcher Terrace'!$A$12:$A$130,"&lt;"&amp;Diagram!$P57)))</f>
        <v>9</v>
      </c>
      <c r="Z57" s="42">
        <f ca="1">IF(OR($I$10="",$O57="",$P57="",$J$35&lt;&gt;"Yes"),0,IF($K$10=0,SUMIFS(INDIRECT(ADDRESS(12,3+18*1+(0),,,"J1 B - Butcher Terrace")&amp;":"&amp;ADDRESS(130,3+18*1+(0))),'J1 B - Butcher Terrace'!$A$12:$A$130,"&gt;="&amp;Diagram!$O57,'J1 B - Butcher Terrace'!$A$12:$A$130,"&lt;"&amp;Diagram!$P57),SUMIFS(INDIRECT(ADDRESS(12,3+18*1+(8),,,"J1 B - Butcher Terrace")&amp;":"&amp;ADDRESS(130,3+18*1+(8))),'J1 B - Butcher Terrace'!$A$12:$A$130,"&gt;="&amp;Diagram!$O57,'J1 B - Butcher Terrace'!$A$12:$A$130,"&lt;"&amp;Diagram!$P57)))</f>
        <v>1</v>
      </c>
      <c r="AA57" s="42">
        <f ca="1">IF(OR($I$10="",$O57="",$P57="",$J$35&lt;&gt;"Yes"),0,IF($K$10=0,SUMIFS(INDIRECT(ADDRESS(12,3+18*1+(0),,,"J1 C - (South) Bishopthorpe Roa")&amp;":"&amp;ADDRESS(130,3+18*1+(0))),'J1 C - (South) Bishopthorpe Roa'!$A$12:$A$130,"&gt;="&amp;Diagram!$O57,'J1 C - (South) Bishopthorpe Roa'!$A$12:$A$130,"&lt;"&amp;Diagram!$P57),SUMIFS(INDIRECT(ADDRESS(12,3+18*1+(8),,,"J1 C - (South) Bishopthorpe Roa")&amp;":"&amp;ADDRESS(130,3+18*1+(8))),'J1 C - (South) Bishopthorpe Roa'!$A$12:$A$130,"&gt;="&amp;Diagram!$O57,'J1 C - (South) Bishopthorpe Roa'!$A$12:$A$130,"&lt;"&amp;Diagram!$P57)))</f>
        <v>162</v>
      </c>
      <c r="AB57" s="42">
        <f ca="1">IF(OR($I$10="",$O57="",$P57="",$J$35&lt;&gt;"Yes"),0,IF($K$10=0,SUMIFS(INDIRECT(ADDRESS(12,3+18*2+(0),,,"J1 C - (South) Bishopthorpe Roa")&amp;":"&amp;ADDRESS(130,3+18*2+(0))),'J1 C - (South) Bishopthorpe Roa'!$A$12:$A$130,"&gt;="&amp;Diagram!$O57,'J1 C - (South) Bishopthorpe Roa'!$A$12:$A$130,"&lt;"&amp;Diagram!$P57),SUMIFS(INDIRECT(ADDRESS(12,3+18*2+(8),,,"J1 C - (South) Bishopthorpe Roa")&amp;":"&amp;ADDRESS(130,3+18*2+(8))),'J1 C - (South) Bishopthorpe Roa'!$A$12:$A$130,"&gt;="&amp;Diagram!$O57,'J1 C - (South) Bishopthorpe Roa'!$A$12:$A$130,"&lt;"&amp;Diagram!$P57)))</f>
        <v>7</v>
      </c>
      <c r="AC57" s="42">
        <f ca="1">IF(OR($I$10="",$O57="",$P57="",$J$35&lt;&gt;"Yes"),0,IF($K$10=0,SUMIFS(INDIRECT(ADDRESS(12,3+18*3+(0),,,"J1 C - (South) Bishopthorpe Roa")&amp;":"&amp;ADDRESS(130,3+18*3+(0))),'J1 C - (South) Bishopthorpe Roa'!$A$12:$A$130,"&gt;="&amp;Diagram!$O57,'J1 C - (South) Bishopthorpe Roa'!$A$12:$A$130,"&lt;"&amp;Diagram!$P57),SUMIFS(INDIRECT(ADDRESS(12,3+18*3+(8),,,"J1 C - (South) Bishopthorpe Roa")&amp;":"&amp;ADDRESS(130,3+18*3+(8))),'J1 C - (South) Bishopthorpe Roa'!$A$12:$A$130,"&gt;="&amp;Diagram!$O57,'J1 C - (South) Bishopthorpe Roa'!$A$12:$A$130,"&lt;"&amp;Diagram!$P57)))</f>
        <v>0</v>
      </c>
      <c r="AD57" s="42">
        <f ca="1">IF(OR($I$10="",$O57="",$P57="",$J$35&lt;&gt;"Yes"),0,IF($K$10=0,SUMIFS(INDIRECT(ADDRESS(12,3+18*0+(0),,,"J1 C - (South) Bishopthorpe Roa")&amp;":"&amp;ADDRESS(130,3+18*0+(0))),'J1 C - (South) Bishopthorpe Roa'!$A$12:$A$130,"&gt;="&amp;Diagram!$O57,'J1 C - (South) Bishopthorpe Roa'!$A$12:$A$130,"&lt;"&amp;Diagram!$P57),SUMIFS(INDIRECT(ADDRESS(12,3+18*0+(8),,,"J1 C - (South) Bishopthorpe Roa")&amp;":"&amp;ADDRESS(130,3+18*0+(8))),'J1 C - (South) Bishopthorpe Roa'!$A$12:$A$130,"&gt;="&amp;Diagram!$O57,'J1 C - (South) Bishopthorpe Roa'!$A$12:$A$130,"&lt;"&amp;Diagram!$P57)))</f>
        <v>4</v>
      </c>
      <c r="AE57" s="42">
        <f ca="1">IF(OR($I$10="",$O57="",$P57="",$J$35&lt;&gt;"Yes"),0,IF($K$10=0,SUMIFS(INDIRECT(ADDRESS(12,3+18*0+(0),,,"J1 D - South Bank Avenue")&amp;":"&amp;ADDRESS(130,3+18*0+(0))),'J1 D - South Bank Avenue'!$A$12:$A$130,"&gt;="&amp;Diagram!$O57,'J1 D - South Bank Avenue'!$A$12:$A$130,"&lt;"&amp;Diagram!$P57),SUMIFS(INDIRECT(ADDRESS(12,3+18*0+(8),,,"J1 D - South Bank Avenue")&amp;":"&amp;ADDRESS(130,3+18*0+(8))),'J1 D - South Bank Avenue'!$A$12:$A$130,"&gt;="&amp;Diagram!$O57,'J1 D - South Bank Avenue'!$A$12:$A$130,"&lt;"&amp;Diagram!$P57)))</f>
        <v>23</v>
      </c>
      <c r="AF57" s="42">
        <f ca="1">IF(OR($I$10="",$O57="",$P57="",$J$35&lt;&gt;"Yes"),0,IF($K$10=0,SUMIFS(INDIRECT(ADDRESS(12,3+18*1+(0),,,"J1 D - South Bank Avenue")&amp;":"&amp;ADDRESS(130,3+18*1+(0))),'J1 D - South Bank Avenue'!$A$12:$A$130,"&gt;="&amp;Diagram!$O57,'J1 D - South Bank Avenue'!$A$12:$A$130,"&lt;"&amp;Diagram!$P57),SUMIFS(INDIRECT(ADDRESS(12,3+18*1+(8),,,"J1 D - South Bank Avenue")&amp;":"&amp;ADDRESS(130,3+18*1+(8))),'J1 D - South Bank Avenue'!$A$12:$A$130,"&gt;="&amp;Diagram!$O57,'J1 D - South Bank Avenue'!$A$12:$A$130,"&lt;"&amp;Diagram!$P57)))</f>
        <v>2</v>
      </c>
      <c r="AG57" s="42">
        <f ca="1">IF(OR($I$10="",$O57="",$P57="",$J$35&lt;&gt;"Yes"),0,IF($K$10=0,SUMIFS(INDIRECT(ADDRESS(12,3+18*2+(0),,,"J1 D - South Bank Avenue")&amp;":"&amp;ADDRESS(130,3+18*2+(0))),'J1 D - South Bank Avenue'!$A$12:$A$130,"&gt;="&amp;Diagram!$O57,'J1 D - South Bank Avenue'!$A$12:$A$130,"&lt;"&amp;Diagram!$P57),SUMIFS(INDIRECT(ADDRESS(12,3+18*2+(8),,,"J1 D - South Bank Avenue")&amp;":"&amp;ADDRESS(130,3+18*2+(8))),'J1 D - South Bank Avenue'!$A$12:$A$130,"&gt;="&amp;Diagram!$O57,'J1 D - South Bank Avenue'!$A$12:$A$130,"&lt;"&amp;Diagram!$P57)))</f>
        <v>5</v>
      </c>
      <c r="AH57" s="42">
        <f ca="1">IF(OR($I$10="",$O57="",$P57="",$J$35&lt;&gt;"Yes"),0,IF($K$10=0,SUMIFS(INDIRECT(ADDRESS(12,3+18*3+(0),,,"J1 D - South Bank Avenue")&amp;":"&amp;ADDRESS(130,3+18*3+(0))),'J1 D - South Bank Avenue'!$A$12:$A$130,"&gt;="&amp;Diagram!$O57,'J1 D - South Bank Avenue'!$A$12:$A$130,"&lt;"&amp;Diagram!$P57),SUMIFS(INDIRECT(ADDRESS(12,3+18*3+(8),,,"J1 D - South Bank Avenue")&amp;":"&amp;ADDRESS(130,3+18*3+(8))),'J1 D - South Bank Avenue'!$A$12:$A$130,"&gt;="&amp;Diagram!$O57,'J1 D - South Bank Avenue'!$A$12:$A$130,"&lt;"&amp;Diagram!$P57)))</f>
        <v>0</v>
      </c>
      <c r="AI57" s="42">
        <f t="shared" ca="1" si="2"/>
        <v>78</v>
      </c>
      <c r="AJ57" s="42">
        <f ca="1">IF(OR($I$10="",$O57="",$P57="",$J$36&lt;&gt;"Yes"),0,IF($K$10=0,SUMIFS(INDIRECT(ADDRESS(12,3+18*3+(1),,,"J1 A - (North) Bishopthorpe Roa")&amp;":"&amp;ADDRESS(130,3+18*3+(1))),'J1 A - (North) Bishopthorpe Roa'!$A$12:$A$130,"&gt;="&amp;Diagram!$O57,'J1 A - (North) Bishopthorpe Roa'!$A$12:$A$130,"&lt;"&amp;Diagram!$P57),SUMIFS(INDIRECT(ADDRESS(12,3+18*3+(9),,,"J1 A - (North) Bishopthorpe Roa")&amp;":"&amp;ADDRESS(130,3+18*3+(9))),'J1 A - (North) Bishopthorpe Roa'!$A$12:$A$130,"&gt;="&amp;Diagram!$O57,'J1 A - (North) Bishopthorpe Roa'!$A$12:$A$130,"&lt;"&amp;Diagram!$P57)))</f>
        <v>0</v>
      </c>
      <c r="AK57" s="42">
        <f ca="1">IF(OR($I$10="",$O57="",$P57="",$J$36&lt;&gt;"Yes"),0,IF($K$10=0,SUMIFS(INDIRECT(ADDRESS(12,3+18*0+(1),,,"J1 A - (North) Bishopthorpe Roa")&amp;":"&amp;ADDRESS(130,3+18*0+(1))),'J1 A - (North) Bishopthorpe Roa'!$A$12:$A$130,"&gt;="&amp;Diagram!$O57,'J1 A - (North) Bishopthorpe Roa'!$A$12:$A$130,"&lt;"&amp;Diagram!$P57),SUMIFS(INDIRECT(ADDRESS(12,3+18*0+(9),,,"J1 A - (North) Bishopthorpe Roa")&amp;":"&amp;ADDRESS(130,3+18*0+(9))),'J1 A - (North) Bishopthorpe Roa'!$A$12:$A$130,"&gt;="&amp;Diagram!$O57,'J1 A - (North) Bishopthorpe Roa'!$A$12:$A$130,"&lt;"&amp;Diagram!$P57)))</f>
        <v>7</v>
      </c>
      <c r="AL57" s="42">
        <f ca="1">IF(OR($I$10="",$O57="",$P57="",$J$36&lt;&gt;"Yes"),0,IF($K$10=0,SUMIFS(INDIRECT(ADDRESS(12,3+18*1+(1),,,"J1 A - (North) Bishopthorpe Roa")&amp;":"&amp;ADDRESS(130,3+18*1+(1))),'J1 A - (North) Bishopthorpe Roa'!$A$12:$A$130,"&gt;="&amp;Diagram!$O57,'J1 A - (North) Bishopthorpe Roa'!$A$12:$A$130,"&lt;"&amp;Diagram!$P57),SUMIFS(INDIRECT(ADDRESS(12,3+18*1+(9),,,"J1 A - (North) Bishopthorpe Roa")&amp;":"&amp;ADDRESS(130,3+18*1+(9))),'J1 A - (North) Bishopthorpe Roa'!$A$12:$A$130,"&gt;="&amp;Diagram!$O57,'J1 A - (North) Bishopthorpe Roa'!$A$12:$A$130,"&lt;"&amp;Diagram!$P57)))</f>
        <v>28</v>
      </c>
      <c r="AM57" s="42">
        <f ca="1">IF(OR($I$10="",$O57="",$P57="",$J$36&lt;&gt;"Yes"),0,IF($K$10=0,SUMIFS(INDIRECT(ADDRESS(12,3+18*2+(1),,,"J1 A - (North) Bishopthorpe Roa")&amp;":"&amp;ADDRESS(130,3+18*2+(1))),'J1 A - (North) Bishopthorpe Roa'!$A$12:$A$130,"&gt;="&amp;Diagram!$O57,'J1 A - (North) Bishopthorpe Roa'!$A$12:$A$130,"&lt;"&amp;Diagram!$P57),SUMIFS(INDIRECT(ADDRESS(12,3+18*2+(9),,,"J1 A - (North) Bishopthorpe Roa")&amp;":"&amp;ADDRESS(130,3+18*2+(9))),'J1 A - (North) Bishopthorpe Roa'!$A$12:$A$130,"&gt;="&amp;Diagram!$O57,'J1 A - (North) Bishopthorpe Roa'!$A$12:$A$130,"&lt;"&amp;Diagram!$P57)))</f>
        <v>5</v>
      </c>
      <c r="AN57" s="42">
        <f ca="1">IF(OR($I$10="",$O57="",$P57="",$J$36&lt;&gt;"Yes"),0,IF($K$10=0,SUMIFS(INDIRECT(ADDRESS(12,3+18*2+(1),,,"J1 B - Butcher Terrace")&amp;":"&amp;ADDRESS(130,3+18*2+(1))),'J1 B - Butcher Terrace'!$A$12:$A$130,"&gt;="&amp;Diagram!$O57,'J1 B - Butcher Terrace'!$A$12:$A$130,"&lt;"&amp;Diagram!$P57),SUMIFS(INDIRECT(ADDRESS(12,3+18*2+(9),,,"J1 B - Butcher Terrace")&amp;":"&amp;ADDRESS(130,3+18*2+(9))),'J1 B - Butcher Terrace'!$A$12:$A$130,"&gt;="&amp;Diagram!$O57,'J1 B - Butcher Terrace'!$A$12:$A$130,"&lt;"&amp;Diagram!$P57)))</f>
        <v>2</v>
      </c>
      <c r="AO57" s="42">
        <f ca="1">IF(OR($I$10="",$O57="",$P57="",$J$36&lt;&gt;"Yes"),0,IF($K$10=0,SUMIFS(INDIRECT(ADDRESS(12,3+18*3+(1),,,"J1 B - Butcher Terrace")&amp;":"&amp;ADDRESS(130,3+18*3+(1))),'J1 B - Butcher Terrace'!$A$12:$A$130,"&gt;="&amp;Diagram!$O57,'J1 B - Butcher Terrace'!$A$12:$A$130,"&lt;"&amp;Diagram!$P57),SUMIFS(INDIRECT(ADDRESS(12,3+18*3+(9),,,"J1 B - Butcher Terrace")&amp;":"&amp;ADDRESS(130,3+18*3+(9))),'J1 B - Butcher Terrace'!$A$12:$A$130,"&gt;="&amp;Diagram!$O57,'J1 B - Butcher Terrace'!$A$12:$A$130,"&lt;"&amp;Diagram!$P57)))</f>
        <v>0</v>
      </c>
      <c r="AP57" s="42">
        <f ca="1">IF(OR($I$10="",$O57="",$P57="",$J$36&lt;&gt;"Yes"),0,IF($K$10=0,SUMIFS(INDIRECT(ADDRESS(12,3+18*0+(1),,,"J1 B - Butcher Terrace")&amp;":"&amp;ADDRESS(130,3+18*0+(1))),'J1 B - Butcher Terrace'!$A$12:$A$130,"&gt;="&amp;Diagram!$O57,'J1 B - Butcher Terrace'!$A$12:$A$130,"&lt;"&amp;Diagram!$P57),SUMIFS(INDIRECT(ADDRESS(12,3+18*0+(9),,,"J1 B - Butcher Terrace")&amp;":"&amp;ADDRESS(130,3+18*0+(9))),'J1 B - Butcher Terrace'!$A$12:$A$130,"&gt;="&amp;Diagram!$O57,'J1 B - Butcher Terrace'!$A$12:$A$130,"&lt;"&amp;Diagram!$P57)))</f>
        <v>2</v>
      </c>
      <c r="AQ57" s="42">
        <f ca="1">IF(OR($I$10="",$O57="",$P57="",$J$36&lt;&gt;"Yes"),0,IF($K$10=0,SUMIFS(INDIRECT(ADDRESS(12,3+18*1+(1),,,"J1 B - Butcher Terrace")&amp;":"&amp;ADDRESS(130,3+18*1+(1))),'J1 B - Butcher Terrace'!$A$12:$A$130,"&gt;="&amp;Diagram!$O57,'J1 B - Butcher Terrace'!$A$12:$A$130,"&lt;"&amp;Diagram!$P57),SUMIFS(INDIRECT(ADDRESS(12,3+18*1+(9),,,"J1 B - Butcher Terrace")&amp;":"&amp;ADDRESS(130,3+18*1+(9))),'J1 B - Butcher Terrace'!$A$12:$A$130,"&gt;="&amp;Diagram!$O57,'J1 B - Butcher Terrace'!$A$12:$A$130,"&lt;"&amp;Diagram!$P57)))</f>
        <v>0</v>
      </c>
      <c r="AR57" s="42">
        <f ca="1">IF(OR($I$10="",$O57="",$P57="",$J$36&lt;&gt;"Yes"),0,IF($K$10=0,SUMIFS(INDIRECT(ADDRESS(12,3+18*1+(1),,,"J1 C - (South) Bishopthorpe Roa")&amp;":"&amp;ADDRESS(130,3+18*1+(1))),'J1 C - (South) Bishopthorpe Roa'!$A$12:$A$130,"&gt;="&amp;Diagram!$O57,'J1 C - (South) Bishopthorpe Roa'!$A$12:$A$130,"&lt;"&amp;Diagram!$P57),SUMIFS(INDIRECT(ADDRESS(12,3+18*1+(9),,,"J1 C - (South) Bishopthorpe Roa")&amp;":"&amp;ADDRESS(130,3+18*1+(9))),'J1 C - (South) Bishopthorpe Roa'!$A$12:$A$130,"&gt;="&amp;Diagram!$O57,'J1 C - (South) Bishopthorpe Roa'!$A$12:$A$130,"&lt;"&amp;Diagram!$P57)))</f>
        <v>28</v>
      </c>
      <c r="AS57" s="42">
        <f ca="1">IF(OR($I$10="",$O57="",$P57="",$J$36&lt;&gt;"Yes"),0,IF($K$10=0,SUMIFS(INDIRECT(ADDRESS(12,3+18*2+(1),,,"J1 C - (South) Bishopthorpe Roa")&amp;":"&amp;ADDRESS(130,3+18*2+(1))),'J1 C - (South) Bishopthorpe Roa'!$A$12:$A$130,"&gt;="&amp;Diagram!$O57,'J1 C - (South) Bishopthorpe Roa'!$A$12:$A$130,"&lt;"&amp;Diagram!$P57),SUMIFS(INDIRECT(ADDRESS(12,3+18*2+(9),,,"J1 C - (South) Bishopthorpe Roa")&amp;":"&amp;ADDRESS(130,3+18*2+(9))),'J1 C - (South) Bishopthorpe Roa'!$A$12:$A$130,"&gt;="&amp;Diagram!$O57,'J1 C - (South) Bishopthorpe Roa'!$A$12:$A$130,"&lt;"&amp;Diagram!$P57)))</f>
        <v>0</v>
      </c>
      <c r="AT57" s="42">
        <f ca="1">IF(OR($I$10="",$O57="",$P57="",$J$36&lt;&gt;"Yes"),0,IF($K$10=0,SUMIFS(INDIRECT(ADDRESS(12,3+18*3+(1),,,"J1 C - (South) Bishopthorpe Roa")&amp;":"&amp;ADDRESS(130,3+18*3+(1))),'J1 C - (South) Bishopthorpe Roa'!$A$12:$A$130,"&gt;="&amp;Diagram!$O57,'J1 C - (South) Bishopthorpe Roa'!$A$12:$A$130,"&lt;"&amp;Diagram!$P57),SUMIFS(INDIRECT(ADDRESS(12,3+18*3+(9),,,"J1 C - (South) Bishopthorpe Roa")&amp;":"&amp;ADDRESS(130,3+18*3+(9))),'J1 C - (South) Bishopthorpe Roa'!$A$12:$A$130,"&gt;="&amp;Diagram!$O57,'J1 C - (South) Bishopthorpe Roa'!$A$12:$A$130,"&lt;"&amp;Diagram!$P57)))</f>
        <v>0</v>
      </c>
      <c r="AU57" s="42">
        <f ca="1">IF(OR($I$10="",$O57="",$P57="",$J$36&lt;&gt;"Yes"),0,IF($K$10=0,SUMIFS(INDIRECT(ADDRESS(12,3+18*0+(1),,,"J1 C - (South) Bishopthorpe Roa")&amp;":"&amp;ADDRESS(130,3+18*0+(1))),'J1 C - (South) Bishopthorpe Roa'!$A$12:$A$130,"&gt;="&amp;Diagram!$O57,'J1 C - (South) Bishopthorpe Roa'!$A$12:$A$130,"&lt;"&amp;Diagram!$P57),SUMIFS(INDIRECT(ADDRESS(12,3+18*0+(9),,,"J1 C - (South) Bishopthorpe Roa")&amp;":"&amp;ADDRESS(130,3+18*0+(9))),'J1 C - (South) Bishopthorpe Roa'!$A$12:$A$130,"&gt;="&amp;Diagram!$O57,'J1 C - (South) Bishopthorpe Roa'!$A$12:$A$130,"&lt;"&amp;Diagram!$P57)))</f>
        <v>1</v>
      </c>
      <c r="AV57" s="42">
        <f ca="1">IF(OR($I$10="",$O57="",$P57="",$J$36&lt;&gt;"Yes"),0,IF($K$10=0,SUMIFS(INDIRECT(ADDRESS(12,3+18*0+(1),,,"J1 D - South Bank Avenue")&amp;":"&amp;ADDRESS(130,3+18*0+(1))),'J1 D - South Bank Avenue'!$A$12:$A$130,"&gt;="&amp;Diagram!$O57,'J1 D - South Bank Avenue'!$A$12:$A$130,"&lt;"&amp;Diagram!$P57),SUMIFS(INDIRECT(ADDRESS(12,3+18*0+(9),,,"J1 D - South Bank Avenue")&amp;":"&amp;ADDRESS(130,3+18*0+(9))),'J1 D - South Bank Avenue'!$A$12:$A$130,"&gt;="&amp;Diagram!$O57,'J1 D - South Bank Avenue'!$A$12:$A$130,"&lt;"&amp;Diagram!$P57)))</f>
        <v>4</v>
      </c>
      <c r="AW57" s="42">
        <f ca="1">IF(OR($I$10="",$O57="",$P57="",$J$36&lt;&gt;"Yes"),0,IF($K$10=0,SUMIFS(INDIRECT(ADDRESS(12,3+18*1+(1),,,"J1 D - South Bank Avenue")&amp;":"&amp;ADDRESS(130,3+18*1+(1))),'J1 D - South Bank Avenue'!$A$12:$A$130,"&gt;="&amp;Diagram!$O57,'J1 D - South Bank Avenue'!$A$12:$A$130,"&lt;"&amp;Diagram!$P57),SUMIFS(INDIRECT(ADDRESS(12,3+18*1+(9),,,"J1 D - South Bank Avenue")&amp;":"&amp;ADDRESS(130,3+18*1+(9))),'J1 D - South Bank Avenue'!$A$12:$A$130,"&gt;="&amp;Diagram!$O57,'J1 D - South Bank Avenue'!$A$12:$A$130,"&lt;"&amp;Diagram!$P57)))</f>
        <v>0</v>
      </c>
      <c r="AX57" s="42">
        <f ca="1">IF(OR($I$10="",$O57="",$P57="",$J$36&lt;&gt;"Yes"),0,IF($K$10=0,SUMIFS(INDIRECT(ADDRESS(12,3+18*2+(1),,,"J1 D - South Bank Avenue")&amp;":"&amp;ADDRESS(130,3+18*2+(1))),'J1 D - South Bank Avenue'!$A$12:$A$130,"&gt;="&amp;Diagram!$O57,'J1 D - South Bank Avenue'!$A$12:$A$130,"&lt;"&amp;Diagram!$P57),SUMIFS(INDIRECT(ADDRESS(12,3+18*2+(9),,,"J1 D - South Bank Avenue")&amp;":"&amp;ADDRESS(130,3+18*2+(9))),'J1 D - South Bank Avenue'!$A$12:$A$130,"&gt;="&amp;Diagram!$O57,'J1 D - South Bank Avenue'!$A$12:$A$130,"&lt;"&amp;Diagram!$P57)))</f>
        <v>1</v>
      </c>
      <c r="AY57" s="42">
        <f ca="1">IF(OR($I$10="",$O57="",$P57="",$J$36&lt;&gt;"Yes"),0,IF($K$10=0,SUMIFS(INDIRECT(ADDRESS(12,3+18*3+(1),,,"J1 D - South Bank Avenue")&amp;":"&amp;ADDRESS(130,3+18*3+(1))),'J1 D - South Bank Avenue'!$A$12:$A$130,"&gt;="&amp;Diagram!$O57,'J1 D - South Bank Avenue'!$A$12:$A$130,"&lt;"&amp;Diagram!$P57),SUMIFS(INDIRECT(ADDRESS(12,3+18*3+(9),,,"J1 D - South Bank Avenue")&amp;":"&amp;ADDRESS(130,3+18*3+(9))),'J1 D - South Bank Avenue'!$A$12:$A$130,"&gt;="&amp;Diagram!$O57,'J1 D - South Bank Avenue'!$A$12:$A$130,"&lt;"&amp;Diagram!$P57)))</f>
        <v>0</v>
      </c>
      <c r="AZ57" s="42">
        <f t="shared" ca="1" si="3"/>
        <v>8</v>
      </c>
      <c r="BA57" s="42">
        <f ca="1">IF(OR($I$10="",$O57="",$P57="",$J$37&lt;&gt;"Yes"),0,IF($K$10=0,SUMIFS(INDIRECT(ADDRESS(12,3+18*3+(2),,,"J1 A - (North) Bishopthorpe Roa")&amp;":"&amp;ADDRESS(130,3+18*3+(2))),'J1 A - (North) Bishopthorpe Roa'!$A$12:$A$130,"&gt;="&amp;Diagram!$O57,'J1 A - (North) Bishopthorpe Roa'!$A$12:$A$130,"&lt;"&amp;Diagram!$P57),SUMIFS(INDIRECT(ADDRESS(12,3+18*3+(10),,,"J1 A - (North) Bishopthorpe Roa")&amp;":"&amp;ADDRESS(130,3+18*3+(10))),'J1 A - (North) Bishopthorpe Roa'!$A$12:$A$130,"&gt;="&amp;Diagram!$O57,'J1 A - (North) Bishopthorpe Roa'!$A$12:$A$130,"&lt;"&amp;Diagram!$P57)))</f>
        <v>0</v>
      </c>
      <c r="BB57" s="42">
        <f ca="1">IF(OR($I$10="",$O57="",$P57="",$J$37&lt;&gt;"Yes"),0,IF($K$10=0,SUMIFS(INDIRECT(ADDRESS(12,3+18*0+(2),,,"J1 A - (North) Bishopthorpe Roa")&amp;":"&amp;ADDRESS(130,3+18*0+(2))),'J1 A - (North) Bishopthorpe Roa'!$A$12:$A$130,"&gt;="&amp;Diagram!$O57,'J1 A - (North) Bishopthorpe Roa'!$A$12:$A$130,"&lt;"&amp;Diagram!$P57),SUMIFS(INDIRECT(ADDRESS(12,3+18*0+(10),,,"J1 A - (North) Bishopthorpe Roa")&amp;":"&amp;ADDRESS(130,3+18*0+(10))),'J1 A - (North) Bishopthorpe Roa'!$A$12:$A$130,"&gt;="&amp;Diagram!$O57,'J1 A - (North) Bishopthorpe Roa'!$A$12:$A$130,"&lt;"&amp;Diagram!$P57)))</f>
        <v>0</v>
      </c>
      <c r="BC57" s="42">
        <f ca="1">IF(OR($I$10="",$O57="",$P57="",$J$37&lt;&gt;"Yes"),0,IF($K$10=0,SUMIFS(INDIRECT(ADDRESS(12,3+18*1+(2),,,"J1 A - (North) Bishopthorpe Roa")&amp;":"&amp;ADDRESS(130,3+18*1+(2))),'J1 A - (North) Bishopthorpe Roa'!$A$12:$A$130,"&gt;="&amp;Diagram!$O57,'J1 A - (North) Bishopthorpe Roa'!$A$12:$A$130,"&lt;"&amp;Diagram!$P57),SUMIFS(INDIRECT(ADDRESS(12,3+18*1+(10),,,"J1 A - (North) Bishopthorpe Roa")&amp;":"&amp;ADDRESS(130,3+18*1+(10))),'J1 A - (North) Bishopthorpe Roa'!$A$12:$A$130,"&gt;="&amp;Diagram!$O57,'J1 A - (North) Bishopthorpe Roa'!$A$12:$A$130,"&lt;"&amp;Diagram!$P57)))</f>
        <v>3</v>
      </c>
      <c r="BD57" s="42">
        <f ca="1">IF(OR($I$10="",$O57="",$P57="",$J$37&lt;&gt;"Yes"),0,IF($K$10=0,SUMIFS(INDIRECT(ADDRESS(12,3+18*2+(2),,,"J1 A - (North) Bishopthorpe Roa")&amp;":"&amp;ADDRESS(130,3+18*2+(2))),'J1 A - (North) Bishopthorpe Roa'!$A$12:$A$130,"&gt;="&amp;Diagram!$O57,'J1 A - (North) Bishopthorpe Roa'!$A$12:$A$130,"&lt;"&amp;Diagram!$P57),SUMIFS(INDIRECT(ADDRESS(12,3+18*2+(10),,,"J1 A - (North) Bishopthorpe Roa")&amp;":"&amp;ADDRESS(130,3+18*2+(10))),'J1 A - (North) Bishopthorpe Roa'!$A$12:$A$130,"&gt;="&amp;Diagram!$O57,'J1 A - (North) Bishopthorpe Roa'!$A$12:$A$130,"&lt;"&amp;Diagram!$P57)))</f>
        <v>0</v>
      </c>
      <c r="BE57" s="42">
        <f ca="1">IF(OR($I$10="",$O57="",$P57="",$J$37&lt;&gt;"Yes"),0,IF($K$10=0,SUMIFS(INDIRECT(ADDRESS(12,3+18*2+(2),,,"J1 B - Butcher Terrace")&amp;":"&amp;ADDRESS(130,3+18*2+(2))),'J1 B - Butcher Terrace'!$A$12:$A$130,"&gt;="&amp;Diagram!$O57,'J1 B - Butcher Terrace'!$A$12:$A$130,"&lt;"&amp;Diagram!$P57),SUMIFS(INDIRECT(ADDRESS(12,3+18*2+(10),,,"J1 B - Butcher Terrace")&amp;":"&amp;ADDRESS(130,3+18*2+(10))),'J1 B - Butcher Terrace'!$A$12:$A$130,"&gt;="&amp;Diagram!$O57,'J1 B - Butcher Terrace'!$A$12:$A$130,"&lt;"&amp;Diagram!$P57)))</f>
        <v>0</v>
      </c>
      <c r="BF57" s="42">
        <f ca="1">IF(OR($I$10="",$O57="",$P57="",$J$37&lt;&gt;"Yes"),0,IF($K$10=0,SUMIFS(INDIRECT(ADDRESS(12,3+18*3+(2),,,"J1 B - Butcher Terrace")&amp;":"&amp;ADDRESS(130,3+18*3+(2))),'J1 B - Butcher Terrace'!$A$12:$A$130,"&gt;="&amp;Diagram!$O57,'J1 B - Butcher Terrace'!$A$12:$A$130,"&lt;"&amp;Diagram!$P57),SUMIFS(INDIRECT(ADDRESS(12,3+18*3+(10),,,"J1 B - Butcher Terrace")&amp;":"&amp;ADDRESS(130,3+18*3+(10))),'J1 B - Butcher Terrace'!$A$12:$A$130,"&gt;="&amp;Diagram!$O57,'J1 B - Butcher Terrace'!$A$12:$A$130,"&lt;"&amp;Diagram!$P57)))</f>
        <v>0</v>
      </c>
      <c r="BG57" s="42">
        <f ca="1">IF(OR($I$10="",$O57="",$P57="",$J$37&lt;&gt;"Yes"),0,IF($K$10=0,SUMIFS(INDIRECT(ADDRESS(12,3+18*0+(2),,,"J1 B - Butcher Terrace")&amp;":"&amp;ADDRESS(130,3+18*0+(2))),'J1 B - Butcher Terrace'!$A$12:$A$130,"&gt;="&amp;Diagram!$O57,'J1 B - Butcher Terrace'!$A$12:$A$130,"&lt;"&amp;Diagram!$P57),SUMIFS(INDIRECT(ADDRESS(12,3+18*0+(10),,,"J1 B - Butcher Terrace")&amp;":"&amp;ADDRESS(130,3+18*0+(10))),'J1 B - Butcher Terrace'!$A$12:$A$130,"&gt;="&amp;Diagram!$O57,'J1 B - Butcher Terrace'!$A$12:$A$130,"&lt;"&amp;Diagram!$P57)))</f>
        <v>0</v>
      </c>
      <c r="BH57" s="42">
        <f ca="1">IF(OR($I$10="",$O57="",$P57="",$J$37&lt;&gt;"Yes"),0,IF($K$10=0,SUMIFS(INDIRECT(ADDRESS(12,3+18*1+(2),,,"J1 B - Butcher Terrace")&amp;":"&amp;ADDRESS(130,3+18*1+(2))),'J1 B - Butcher Terrace'!$A$12:$A$130,"&gt;="&amp;Diagram!$O57,'J1 B - Butcher Terrace'!$A$12:$A$130,"&lt;"&amp;Diagram!$P57),SUMIFS(INDIRECT(ADDRESS(12,3+18*1+(10),,,"J1 B - Butcher Terrace")&amp;":"&amp;ADDRESS(130,3+18*1+(10))),'J1 B - Butcher Terrace'!$A$12:$A$130,"&gt;="&amp;Diagram!$O57,'J1 B - Butcher Terrace'!$A$12:$A$130,"&lt;"&amp;Diagram!$P57)))</f>
        <v>0</v>
      </c>
      <c r="BI57" s="42">
        <f ca="1">IF(OR($I$10="",$O57="",$P57="",$J$37&lt;&gt;"Yes"),0,IF($K$10=0,SUMIFS(INDIRECT(ADDRESS(12,3+18*1+(2),,,"J1 C - (South) Bishopthorpe Roa")&amp;":"&amp;ADDRESS(130,3+18*1+(2))),'J1 C - (South) Bishopthorpe Roa'!$A$12:$A$130,"&gt;="&amp;Diagram!$O57,'J1 C - (South) Bishopthorpe Roa'!$A$12:$A$130,"&lt;"&amp;Diagram!$P57),SUMIFS(INDIRECT(ADDRESS(12,3+18*1+(10),,,"J1 C - (South) Bishopthorpe Roa")&amp;":"&amp;ADDRESS(130,3+18*1+(10))),'J1 C - (South) Bishopthorpe Roa'!$A$12:$A$130,"&gt;="&amp;Diagram!$O57,'J1 C - (South) Bishopthorpe Roa'!$A$12:$A$130,"&lt;"&amp;Diagram!$P57)))</f>
        <v>4</v>
      </c>
      <c r="BJ57" s="42">
        <f ca="1">IF(OR($I$10="",$O57="",$P57="",$J$37&lt;&gt;"Yes"),0,IF($K$10=0,SUMIFS(INDIRECT(ADDRESS(12,3+18*2+(2),,,"J1 C - (South) Bishopthorpe Roa")&amp;":"&amp;ADDRESS(130,3+18*2+(2))),'J1 C - (South) Bishopthorpe Roa'!$A$12:$A$130,"&gt;="&amp;Diagram!$O57,'J1 C - (South) Bishopthorpe Roa'!$A$12:$A$130,"&lt;"&amp;Diagram!$P57),SUMIFS(INDIRECT(ADDRESS(12,3+18*2+(10),,,"J1 C - (South) Bishopthorpe Roa")&amp;":"&amp;ADDRESS(130,3+18*2+(10))),'J1 C - (South) Bishopthorpe Roa'!$A$12:$A$130,"&gt;="&amp;Diagram!$O57,'J1 C - (South) Bishopthorpe Roa'!$A$12:$A$130,"&lt;"&amp;Diagram!$P57)))</f>
        <v>1</v>
      </c>
      <c r="BK57" s="42">
        <f ca="1">IF(OR($I$10="",$O57="",$P57="",$J$37&lt;&gt;"Yes"),0,IF($K$10=0,SUMIFS(INDIRECT(ADDRESS(12,3+18*3+(2),,,"J1 C - (South) Bishopthorpe Roa")&amp;":"&amp;ADDRESS(130,3+18*3+(2))),'J1 C - (South) Bishopthorpe Roa'!$A$12:$A$130,"&gt;="&amp;Diagram!$O57,'J1 C - (South) Bishopthorpe Roa'!$A$12:$A$130,"&lt;"&amp;Diagram!$P57),SUMIFS(INDIRECT(ADDRESS(12,3+18*3+(10),,,"J1 C - (South) Bishopthorpe Roa")&amp;":"&amp;ADDRESS(130,3+18*3+(10))),'J1 C - (South) Bishopthorpe Roa'!$A$12:$A$130,"&gt;="&amp;Diagram!$O57,'J1 C - (South) Bishopthorpe Roa'!$A$12:$A$130,"&lt;"&amp;Diagram!$P57)))</f>
        <v>0</v>
      </c>
      <c r="BL57" s="42">
        <f ca="1">IF(OR($I$10="",$O57="",$P57="",$J$37&lt;&gt;"Yes"),0,IF($K$10=0,SUMIFS(INDIRECT(ADDRESS(12,3+18*0+(2),,,"J1 C - (South) Bishopthorpe Roa")&amp;":"&amp;ADDRESS(130,3+18*0+(2))),'J1 C - (South) Bishopthorpe Roa'!$A$12:$A$130,"&gt;="&amp;Diagram!$O57,'J1 C - (South) Bishopthorpe Roa'!$A$12:$A$130,"&lt;"&amp;Diagram!$P57),SUMIFS(INDIRECT(ADDRESS(12,3+18*0+(10),,,"J1 C - (South) Bishopthorpe Roa")&amp;":"&amp;ADDRESS(130,3+18*0+(10))),'J1 C - (South) Bishopthorpe Roa'!$A$12:$A$130,"&gt;="&amp;Diagram!$O57,'J1 C - (South) Bishopthorpe Roa'!$A$12:$A$130,"&lt;"&amp;Diagram!$P57)))</f>
        <v>0</v>
      </c>
      <c r="BM57" s="42">
        <f ca="1">IF(OR($I$10="",$O57="",$P57="",$J$37&lt;&gt;"Yes"),0,IF($K$10=0,SUMIFS(INDIRECT(ADDRESS(12,3+18*0+(2),,,"J1 D - South Bank Avenue")&amp;":"&amp;ADDRESS(130,3+18*0+(2))),'J1 D - South Bank Avenue'!$A$12:$A$130,"&gt;="&amp;Diagram!$O57,'J1 D - South Bank Avenue'!$A$12:$A$130,"&lt;"&amp;Diagram!$P57),SUMIFS(INDIRECT(ADDRESS(12,3+18*0+(10),,,"J1 D - South Bank Avenue")&amp;":"&amp;ADDRESS(130,3+18*0+(10))),'J1 D - South Bank Avenue'!$A$12:$A$130,"&gt;="&amp;Diagram!$O57,'J1 D - South Bank Avenue'!$A$12:$A$130,"&lt;"&amp;Diagram!$P57)))</f>
        <v>0</v>
      </c>
      <c r="BN57" s="42">
        <f ca="1">IF(OR($I$10="",$O57="",$P57="",$J$37&lt;&gt;"Yes"),0,IF($K$10=0,SUMIFS(INDIRECT(ADDRESS(12,3+18*1+(2),,,"J1 D - South Bank Avenue")&amp;":"&amp;ADDRESS(130,3+18*1+(2))),'J1 D - South Bank Avenue'!$A$12:$A$130,"&gt;="&amp;Diagram!$O57,'J1 D - South Bank Avenue'!$A$12:$A$130,"&lt;"&amp;Diagram!$P57),SUMIFS(INDIRECT(ADDRESS(12,3+18*1+(10),,,"J1 D - South Bank Avenue")&amp;":"&amp;ADDRESS(130,3+18*1+(10))),'J1 D - South Bank Avenue'!$A$12:$A$130,"&gt;="&amp;Diagram!$O57,'J1 D - South Bank Avenue'!$A$12:$A$130,"&lt;"&amp;Diagram!$P57)))</f>
        <v>0</v>
      </c>
      <c r="BO57" s="42">
        <f ca="1">IF(OR($I$10="",$O57="",$P57="",$J$37&lt;&gt;"Yes"),0,IF($K$10=0,SUMIFS(INDIRECT(ADDRESS(12,3+18*2+(2),,,"J1 D - South Bank Avenue")&amp;":"&amp;ADDRESS(130,3+18*2+(2))),'J1 D - South Bank Avenue'!$A$12:$A$130,"&gt;="&amp;Diagram!$O57,'J1 D - South Bank Avenue'!$A$12:$A$130,"&lt;"&amp;Diagram!$P57),SUMIFS(INDIRECT(ADDRESS(12,3+18*2+(10),,,"J1 D - South Bank Avenue")&amp;":"&amp;ADDRESS(130,3+18*2+(10))),'J1 D - South Bank Avenue'!$A$12:$A$130,"&gt;="&amp;Diagram!$O57,'J1 D - South Bank Avenue'!$A$12:$A$130,"&lt;"&amp;Diagram!$P57)))</f>
        <v>0</v>
      </c>
      <c r="BP57" s="42">
        <f ca="1">IF(OR($I$10="",$O57="",$P57="",$J$37&lt;&gt;"Yes"),0,IF($K$10=0,SUMIFS(INDIRECT(ADDRESS(12,3+18*3+(2),,,"J1 D - South Bank Avenue")&amp;":"&amp;ADDRESS(130,3+18*3+(2))),'J1 D - South Bank Avenue'!$A$12:$A$130,"&gt;="&amp;Diagram!$O57,'J1 D - South Bank Avenue'!$A$12:$A$130,"&lt;"&amp;Diagram!$P57),SUMIFS(INDIRECT(ADDRESS(12,3+18*3+(10),,,"J1 D - South Bank Avenue")&amp;":"&amp;ADDRESS(130,3+18*3+(10))),'J1 D - South Bank Avenue'!$A$12:$A$130,"&gt;="&amp;Diagram!$O57,'J1 D - South Bank Avenue'!$A$12:$A$130,"&lt;"&amp;Diagram!$P57)))</f>
        <v>0</v>
      </c>
      <c r="BQ57" s="42">
        <f t="shared" ca="1" si="4"/>
        <v>2</v>
      </c>
      <c r="BR57" s="42">
        <f ca="1">IF(OR($I$10="",$O57="",$P57="",$J$38&lt;&gt;"Yes"),0,IF($K$10=0,SUMIFS(INDIRECT(ADDRESS(12,3+18*3+(3),,,"J1 A - (North) Bishopthorpe Roa")&amp;":"&amp;ADDRESS(130,3+18*3+(3))),'J1 A - (North) Bishopthorpe Roa'!$A$12:$A$130,"&gt;="&amp;Diagram!$O57,'J1 A - (North) Bishopthorpe Roa'!$A$12:$A$130,"&lt;"&amp;Diagram!$P57),SUMIFS(INDIRECT(ADDRESS(12,3+18*3+(11),,,"J1 A - (North) Bishopthorpe Roa")&amp;":"&amp;ADDRESS(130,3+18*3+(11))),'J1 A - (North) Bishopthorpe Roa'!$A$12:$A$130,"&gt;="&amp;Diagram!$O57,'J1 A - (North) Bishopthorpe Roa'!$A$12:$A$130,"&lt;"&amp;Diagram!$P57)))</f>
        <v>0</v>
      </c>
      <c r="BS57" s="42">
        <f ca="1">IF(OR($I$10="",$O57="",$P57="",$J$38&lt;&gt;"Yes"),0,IF($K$10=0,SUMIFS(INDIRECT(ADDRESS(12,3+18*0+(3),,,"J1 A - (North) Bishopthorpe Roa")&amp;":"&amp;ADDRESS(130,3+18*0+(3))),'J1 A - (North) Bishopthorpe Roa'!$A$12:$A$130,"&gt;="&amp;Diagram!$O57,'J1 A - (North) Bishopthorpe Roa'!$A$12:$A$130,"&lt;"&amp;Diagram!$P57),SUMIFS(INDIRECT(ADDRESS(12,3+18*0+(11),,,"J1 A - (North) Bishopthorpe Roa")&amp;":"&amp;ADDRESS(130,3+18*0+(11))),'J1 A - (North) Bishopthorpe Roa'!$A$12:$A$130,"&gt;="&amp;Diagram!$O57,'J1 A - (North) Bishopthorpe Roa'!$A$12:$A$130,"&lt;"&amp;Diagram!$P57)))</f>
        <v>0</v>
      </c>
      <c r="BT57" s="42">
        <f ca="1">IF(OR($I$10="",$O57="",$P57="",$J$38&lt;&gt;"Yes"),0,IF($K$10=0,SUMIFS(INDIRECT(ADDRESS(12,3+18*1+(3),,,"J1 A - (North) Bishopthorpe Roa")&amp;":"&amp;ADDRESS(130,3+18*1+(3))),'J1 A - (North) Bishopthorpe Roa'!$A$12:$A$130,"&gt;="&amp;Diagram!$O57,'J1 A - (North) Bishopthorpe Roa'!$A$12:$A$130,"&lt;"&amp;Diagram!$P57),SUMIFS(INDIRECT(ADDRESS(12,3+18*1+(11),,,"J1 A - (North) Bishopthorpe Roa")&amp;":"&amp;ADDRESS(130,3+18*1+(11))),'J1 A - (North) Bishopthorpe Roa'!$A$12:$A$130,"&gt;="&amp;Diagram!$O57,'J1 A - (North) Bishopthorpe Roa'!$A$12:$A$130,"&lt;"&amp;Diagram!$P57)))</f>
        <v>2</v>
      </c>
      <c r="BU57" s="42">
        <f ca="1">IF(OR($I$10="",$O57="",$P57="",$J$38&lt;&gt;"Yes"),0,IF($K$10=0,SUMIFS(INDIRECT(ADDRESS(12,3+18*2+(3),,,"J1 A - (North) Bishopthorpe Roa")&amp;":"&amp;ADDRESS(130,3+18*2+(3))),'J1 A - (North) Bishopthorpe Roa'!$A$12:$A$130,"&gt;="&amp;Diagram!$O57,'J1 A - (North) Bishopthorpe Roa'!$A$12:$A$130,"&lt;"&amp;Diagram!$P57),SUMIFS(INDIRECT(ADDRESS(12,3+18*2+(11),,,"J1 A - (North) Bishopthorpe Roa")&amp;":"&amp;ADDRESS(130,3+18*2+(11))),'J1 A - (North) Bishopthorpe Roa'!$A$12:$A$130,"&gt;="&amp;Diagram!$O57,'J1 A - (North) Bishopthorpe Roa'!$A$12:$A$130,"&lt;"&amp;Diagram!$P57)))</f>
        <v>0</v>
      </c>
      <c r="BV57" s="42">
        <f ca="1">IF(OR($I$10="",$O57="",$P57="",$J$38&lt;&gt;"Yes"),0,IF($K$10=0,SUMIFS(INDIRECT(ADDRESS(12,3+18*2+(3),,,"J1 B - Butcher Terrace")&amp;":"&amp;ADDRESS(130,3+18*2+(3))),'J1 B - Butcher Terrace'!$A$12:$A$130,"&gt;="&amp;Diagram!$O57,'J1 B - Butcher Terrace'!$A$12:$A$130,"&lt;"&amp;Diagram!$P57),SUMIFS(INDIRECT(ADDRESS(12,3+18*2+(11),,,"J1 B - Butcher Terrace")&amp;":"&amp;ADDRESS(130,3+18*2+(11))),'J1 B - Butcher Terrace'!$A$12:$A$130,"&gt;="&amp;Diagram!$O57,'J1 B - Butcher Terrace'!$A$12:$A$130,"&lt;"&amp;Diagram!$P57)))</f>
        <v>0</v>
      </c>
      <c r="BW57" s="42">
        <f ca="1">IF(OR($I$10="",$O57="",$P57="",$J$38&lt;&gt;"Yes"),0,IF($K$10=0,SUMIFS(INDIRECT(ADDRESS(12,3+18*3+(3),,,"J1 B - Butcher Terrace")&amp;":"&amp;ADDRESS(130,3+18*3+(3))),'J1 B - Butcher Terrace'!$A$12:$A$130,"&gt;="&amp;Diagram!$O57,'J1 B - Butcher Terrace'!$A$12:$A$130,"&lt;"&amp;Diagram!$P57),SUMIFS(INDIRECT(ADDRESS(12,3+18*3+(11),,,"J1 B - Butcher Terrace")&amp;":"&amp;ADDRESS(130,3+18*3+(11))),'J1 B - Butcher Terrace'!$A$12:$A$130,"&gt;="&amp;Diagram!$O57,'J1 B - Butcher Terrace'!$A$12:$A$130,"&lt;"&amp;Diagram!$P57)))</f>
        <v>0</v>
      </c>
      <c r="BX57" s="42">
        <f ca="1">IF(OR($I$10="",$O57="",$P57="",$J$38&lt;&gt;"Yes"),0,IF($K$10=0,SUMIFS(INDIRECT(ADDRESS(12,3+18*0+(3),,,"J1 B - Butcher Terrace")&amp;":"&amp;ADDRESS(130,3+18*0+(3))),'J1 B - Butcher Terrace'!$A$12:$A$130,"&gt;="&amp;Diagram!$O57,'J1 B - Butcher Terrace'!$A$12:$A$130,"&lt;"&amp;Diagram!$P57),SUMIFS(INDIRECT(ADDRESS(12,3+18*0+(11),,,"J1 B - Butcher Terrace")&amp;":"&amp;ADDRESS(130,3+18*0+(11))),'J1 B - Butcher Terrace'!$A$12:$A$130,"&gt;="&amp;Diagram!$O57,'J1 B - Butcher Terrace'!$A$12:$A$130,"&lt;"&amp;Diagram!$P57)))</f>
        <v>0</v>
      </c>
      <c r="BY57" s="42">
        <f ca="1">IF(OR($I$10="",$O57="",$P57="",$J$38&lt;&gt;"Yes"),0,IF($K$10=0,SUMIFS(INDIRECT(ADDRESS(12,3+18*1+(3),,,"J1 B - Butcher Terrace")&amp;":"&amp;ADDRESS(130,3+18*1+(3))),'J1 B - Butcher Terrace'!$A$12:$A$130,"&gt;="&amp;Diagram!$O57,'J1 B - Butcher Terrace'!$A$12:$A$130,"&lt;"&amp;Diagram!$P57),SUMIFS(INDIRECT(ADDRESS(12,3+18*1+(11),,,"J1 B - Butcher Terrace")&amp;":"&amp;ADDRESS(130,3+18*1+(11))),'J1 B - Butcher Terrace'!$A$12:$A$130,"&gt;="&amp;Diagram!$O57,'J1 B - Butcher Terrace'!$A$12:$A$130,"&lt;"&amp;Diagram!$P57)))</f>
        <v>0</v>
      </c>
      <c r="BZ57" s="42">
        <f ca="1">IF(OR($I$10="",$O57="",$P57="",$J$38&lt;&gt;"Yes"),0,IF($K$10=0,SUMIFS(INDIRECT(ADDRESS(12,3+18*1+(3),,,"J1 C - (South) Bishopthorpe Roa")&amp;":"&amp;ADDRESS(130,3+18*1+(3))),'J1 C - (South) Bishopthorpe Roa'!$A$12:$A$130,"&gt;="&amp;Diagram!$O57,'J1 C - (South) Bishopthorpe Roa'!$A$12:$A$130,"&lt;"&amp;Diagram!$P57),SUMIFS(INDIRECT(ADDRESS(12,3+18*1+(11),,,"J1 C - (South) Bishopthorpe Roa")&amp;":"&amp;ADDRESS(130,3+18*1+(11))),'J1 C - (South) Bishopthorpe Roa'!$A$12:$A$130,"&gt;="&amp;Diagram!$O57,'J1 C - (South) Bishopthorpe Roa'!$A$12:$A$130,"&lt;"&amp;Diagram!$P57)))</f>
        <v>0</v>
      </c>
      <c r="CA57" s="42">
        <f ca="1">IF(OR($I$10="",$O57="",$P57="",$J$38&lt;&gt;"Yes"),0,IF($K$10=0,SUMIFS(INDIRECT(ADDRESS(12,3+18*2+(3),,,"J1 C - (South) Bishopthorpe Roa")&amp;":"&amp;ADDRESS(130,3+18*2+(3))),'J1 C - (South) Bishopthorpe Roa'!$A$12:$A$130,"&gt;="&amp;Diagram!$O57,'J1 C - (South) Bishopthorpe Roa'!$A$12:$A$130,"&lt;"&amp;Diagram!$P57),SUMIFS(INDIRECT(ADDRESS(12,3+18*2+(11),,,"J1 C - (South) Bishopthorpe Roa")&amp;":"&amp;ADDRESS(130,3+18*2+(11))),'J1 C - (South) Bishopthorpe Roa'!$A$12:$A$130,"&gt;="&amp;Diagram!$O57,'J1 C - (South) Bishopthorpe Roa'!$A$12:$A$130,"&lt;"&amp;Diagram!$P57)))</f>
        <v>0</v>
      </c>
      <c r="CB57" s="42">
        <f ca="1">IF(OR($I$10="",$O57="",$P57="",$J$38&lt;&gt;"Yes"),0,IF($K$10=0,SUMIFS(INDIRECT(ADDRESS(12,3+18*3+(3),,,"J1 C - (South) Bishopthorpe Roa")&amp;":"&amp;ADDRESS(130,3+18*3+(3))),'J1 C - (South) Bishopthorpe Roa'!$A$12:$A$130,"&gt;="&amp;Diagram!$O57,'J1 C - (South) Bishopthorpe Roa'!$A$12:$A$130,"&lt;"&amp;Diagram!$P57),SUMIFS(INDIRECT(ADDRESS(12,3+18*3+(11),,,"J1 C - (South) Bishopthorpe Roa")&amp;":"&amp;ADDRESS(130,3+18*3+(11))),'J1 C - (South) Bishopthorpe Roa'!$A$12:$A$130,"&gt;="&amp;Diagram!$O57,'J1 C - (South) Bishopthorpe Roa'!$A$12:$A$130,"&lt;"&amp;Diagram!$P57)))</f>
        <v>0</v>
      </c>
      <c r="CC57" s="42">
        <f ca="1">IF(OR($I$10="",$O57="",$P57="",$J$38&lt;&gt;"Yes"),0,IF($K$10=0,SUMIFS(INDIRECT(ADDRESS(12,3+18*0+(3),,,"J1 C - (South) Bishopthorpe Roa")&amp;":"&amp;ADDRESS(130,3+18*0+(3))),'J1 C - (South) Bishopthorpe Roa'!$A$12:$A$130,"&gt;="&amp;Diagram!$O57,'J1 C - (South) Bishopthorpe Roa'!$A$12:$A$130,"&lt;"&amp;Diagram!$P57),SUMIFS(INDIRECT(ADDRESS(12,3+18*0+(11),,,"J1 C - (South) Bishopthorpe Roa")&amp;":"&amp;ADDRESS(130,3+18*0+(11))),'J1 C - (South) Bishopthorpe Roa'!$A$12:$A$130,"&gt;="&amp;Diagram!$O57,'J1 C - (South) Bishopthorpe Roa'!$A$12:$A$130,"&lt;"&amp;Diagram!$P57)))</f>
        <v>0</v>
      </c>
      <c r="CD57" s="42">
        <f ca="1">IF(OR($I$10="",$O57="",$P57="",$J$38&lt;&gt;"Yes"),0,IF($K$10=0,SUMIFS(INDIRECT(ADDRESS(12,3+18*0+(3),,,"J1 D - South Bank Avenue")&amp;":"&amp;ADDRESS(130,3+18*0+(3))),'J1 D - South Bank Avenue'!$A$12:$A$130,"&gt;="&amp;Diagram!$O57,'J1 D - South Bank Avenue'!$A$12:$A$130,"&lt;"&amp;Diagram!$P57),SUMIFS(INDIRECT(ADDRESS(12,3+18*0+(11),,,"J1 D - South Bank Avenue")&amp;":"&amp;ADDRESS(130,3+18*0+(11))),'J1 D - South Bank Avenue'!$A$12:$A$130,"&gt;="&amp;Diagram!$O57,'J1 D - South Bank Avenue'!$A$12:$A$130,"&lt;"&amp;Diagram!$P57)))</f>
        <v>0</v>
      </c>
      <c r="CE57" s="42">
        <f ca="1">IF(OR($I$10="",$O57="",$P57="",$J$38&lt;&gt;"Yes"),0,IF($K$10=0,SUMIFS(INDIRECT(ADDRESS(12,3+18*1+(3),,,"J1 D - South Bank Avenue")&amp;":"&amp;ADDRESS(130,3+18*1+(3))),'J1 D - South Bank Avenue'!$A$12:$A$130,"&gt;="&amp;Diagram!$O57,'J1 D - South Bank Avenue'!$A$12:$A$130,"&lt;"&amp;Diagram!$P57),SUMIFS(INDIRECT(ADDRESS(12,3+18*1+(11),,,"J1 D - South Bank Avenue")&amp;":"&amp;ADDRESS(130,3+18*1+(11))),'J1 D - South Bank Avenue'!$A$12:$A$130,"&gt;="&amp;Diagram!$O57,'J1 D - South Bank Avenue'!$A$12:$A$130,"&lt;"&amp;Diagram!$P57)))</f>
        <v>0</v>
      </c>
      <c r="CF57" s="42">
        <f ca="1">IF(OR($I$10="",$O57="",$P57="",$J$38&lt;&gt;"Yes"),0,IF($K$10=0,SUMIFS(INDIRECT(ADDRESS(12,3+18*2+(3),,,"J1 D - South Bank Avenue")&amp;":"&amp;ADDRESS(130,3+18*2+(3))),'J1 D - South Bank Avenue'!$A$12:$A$130,"&gt;="&amp;Diagram!$O57,'J1 D - South Bank Avenue'!$A$12:$A$130,"&lt;"&amp;Diagram!$P57),SUMIFS(INDIRECT(ADDRESS(12,3+18*2+(11),,,"J1 D - South Bank Avenue")&amp;":"&amp;ADDRESS(130,3+18*2+(11))),'J1 D - South Bank Avenue'!$A$12:$A$130,"&gt;="&amp;Diagram!$O57,'J1 D - South Bank Avenue'!$A$12:$A$130,"&lt;"&amp;Diagram!$P57)))</f>
        <v>0</v>
      </c>
      <c r="CG57" s="42">
        <f ca="1">IF(OR($I$10="",$O57="",$P57="",$J$38&lt;&gt;"Yes"),0,IF($K$10=0,SUMIFS(INDIRECT(ADDRESS(12,3+18*3+(3),,,"J1 D - South Bank Avenue")&amp;":"&amp;ADDRESS(130,3+18*3+(3))),'J1 D - South Bank Avenue'!$A$12:$A$130,"&gt;="&amp;Diagram!$O57,'J1 D - South Bank Avenue'!$A$12:$A$130,"&lt;"&amp;Diagram!$P57),SUMIFS(INDIRECT(ADDRESS(12,3+18*3+(11),,,"J1 D - South Bank Avenue")&amp;":"&amp;ADDRESS(130,3+18*3+(11))),'J1 D - South Bank Avenue'!$A$12:$A$130,"&gt;="&amp;Diagram!$O57,'J1 D - South Bank Avenue'!$A$12:$A$130,"&lt;"&amp;Diagram!$P57)))</f>
        <v>0</v>
      </c>
      <c r="CH57" s="42">
        <f t="shared" ca="1" si="5"/>
        <v>5</v>
      </c>
      <c r="CI57" s="42">
        <f ca="1">IF(OR($I$10="",$O57="",$P57="",$J$39&lt;&gt;"Yes"),0,IF($K$10=0,SUMIFS(INDIRECT(ADDRESS(12,3+18*3+(4),,,"J1 A - (North) Bishopthorpe Roa")&amp;":"&amp;ADDRESS(130,3+18*3+(4))),'J1 A - (North) Bishopthorpe Roa'!$A$12:$A$130,"&gt;="&amp;Diagram!$O57,'J1 A - (North) Bishopthorpe Roa'!$A$12:$A$130,"&lt;"&amp;Diagram!$P57),SUMIFS(INDIRECT(ADDRESS(12,3+18*3+(12),,,"J1 A - (North) Bishopthorpe Roa")&amp;":"&amp;ADDRESS(130,3+18*3+(12))),'J1 A - (North) Bishopthorpe Roa'!$A$12:$A$130,"&gt;="&amp;Diagram!$O57,'J1 A - (North) Bishopthorpe Roa'!$A$12:$A$130,"&lt;"&amp;Diagram!$P57)))</f>
        <v>0</v>
      </c>
      <c r="CJ57" s="42">
        <f ca="1">IF(OR($I$10="",$O57="",$P57="",$J$39&lt;&gt;"Yes"),0,IF($K$10=0,SUMIFS(INDIRECT(ADDRESS(12,3+18*0+(4),,,"J1 A - (North) Bishopthorpe Roa")&amp;":"&amp;ADDRESS(130,3+18*0+(4))),'J1 A - (North) Bishopthorpe Roa'!$A$12:$A$130,"&gt;="&amp;Diagram!$O57,'J1 A - (North) Bishopthorpe Roa'!$A$12:$A$130,"&lt;"&amp;Diagram!$P57),SUMIFS(INDIRECT(ADDRESS(12,3+18*0+(12),,,"J1 A - (North) Bishopthorpe Roa")&amp;":"&amp;ADDRESS(130,3+18*0+(12))),'J1 A - (North) Bishopthorpe Roa'!$A$12:$A$130,"&gt;="&amp;Diagram!$O57,'J1 A - (North) Bishopthorpe Roa'!$A$12:$A$130,"&lt;"&amp;Diagram!$P57)))</f>
        <v>0</v>
      </c>
      <c r="CK57" s="42">
        <f ca="1">IF(OR($I$10="",$O57="",$P57="",$J$39&lt;&gt;"Yes"),0,IF($K$10=0,SUMIFS(INDIRECT(ADDRESS(12,3+18*1+(4),,,"J1 A - (North) Bishopthorpe Roa")&amp;":"&amp;ADDRESS(130,3+18*1+(4))),'J1 A - (North) Bishopthorpe Roa'!$A$12:$A$130,"&gt;="&amp;Diagram!$O57,'J1 A - (North) Bishopthorpe Roa'!$A$12:$A$130,"&lt;"&amp;Diagram!$P57),SUMIFS(INDIRECT(ADDRESS(12,3+18*1+(12),,,"J1 A - (North) Bishopthorpe Roa")&amp;":"&amp;ADDRESS(130,3+18*1+(12))),'J1 A - (North) Bishopthorpe Roa'!$A$12:$A$130,"&gt;="&amp;Diagram!$O57,'J1 A - (North) Bishopthorpe Roa'!$A$12:$A$130,"&lt;"&amp;Diagram!$P57)))</f>
        <v>1</v>
      </c>
      <c r="CL57" s="42">
        <f ca="1">IF(OR($I$10="",$O57="",$P57="",$J$39&lt;&gt;"Yes"),0,IF($K$10=0,SUMIFS(INDIRECT(ADDRESS(12,3+18*2+(4),,,"J1 A - (North) Bishopthorpe Roa")&amp;":"&amp;ADDRESS(130,3+18*2+(4))),'J1 A - (North) Bishopthorpe Roa'!$A$12:$A$130,"&gt;="&amp;Diagram!$O57,'J1 A - (North) Bishopthorpe Roa'!$A$12:$A$130,"&lt;"&amp;Diagram!$P57),SUMIFS(INDIRECT(ADDRESS(12,3+18*2+(12),,,"J1 A - (North) Bishopthorpe Roa")&amp;":"&amp;ADDRESS(130,3+18*2+(12))),'J1 A - (North) Bishopthorpe Roa'!$A$12:$A$130,"&gt;="&amp;Diagram!$O57,'J1 A - (North) Bishopthorpe Roa'!$A$12:$A$130,"&lt;"&amp;Diagram!$P57)))</f>
        <v>0</v>
      </c>
      <c r="CM57" s="42">
        <f ca="1">IF(OR($I$10="",$O57="",$P57="",$J$39&lt;&gt;"Yes"),0,IF($K$10=0,SUMIFS(INDIRECT(ADDRESS(12,3+18*2+(4),,,"J1 B - Butcher Terrace")&amp;":"&amp;ADDRESS(130,3+18*2+(4))),'J1 B - Butcher Terrace'!$A$12:$A$130,"&gt;="&amp;Diagram!$O57,'J1 B - Butcher Terrace'!$A$12:$A$130,"&lt;"&amp;Diagram!$P57),SUMIFS(INDIRECT(ADDRESS(12,3+18*2+(12),,,"J1 B - Butcher Terrace")&amp;":"&amp;ADDRESS(130,3+18*2+(12))),'J1 B - Butcher Terrace'!$A$12:$A$130,"&gt;="&amp;Diagram!$O57,'J1 B - Butcher Terrace'!$A$12:$A$130,"&lt;"&amp;Diagram!$P57)))</f>
        <v>0</v>
      </c>
      <c r="CN57" s="42">
        <f ca="1">IF(OR($I$10="",$O57="",$P57="",$J$39&lt;&gt;"Yes"),0,IF($K$10=0,SUMIFS(INDIRECT(ADDRESS(12,3+18*3+(4),,,"J1 B - Butcher Terrace")&amp;":"&amp;ADDRESS(130,3+18*3+(4))),'J1 B - Butcher Terrace'!$A$12:$A$130,"&gt;="&amp;Diagram!$O57,'J1 B - Butcher Terrace'!$A$12:$A$130,"&lt;"&amp;Diagram!$P57),SUMIFS(INDIRECT(ADDRESS(12,3+18*3+(12),,,"J1 B - Butcher Terrace")&amp;":"&amp;ADDRESS(130,3+18*3+(12))),'J1 B - Butcher Terrace'!$A$12:$A$130,"&gt;="&amp;Diagram!$O57,'J1 B - Butcher Terrace'!$A$12:$A$130,"&lt;"&amp;Diagram!$P57)))</f>
        <v>0</v>
      </c>
      <c r="CO57" s="42">
        <f ca="1">IF(OR($I$10="",$O57="",$P57="",$J$39&lt;&gt;"Yes"),0,IF($K$10=0,SUMIFS(INDIRECT(ADDRESS(12,3+18*0+(4),,,"J1 B - Butcher Terrace")&amp;":"&amp;ADDRESS(130,3+18*0+(4))),'J1 B - Butcher Terrace'!$A$12:$A$130,"&gt;="&amp;Diagram!$O57,'J1 B - Butcher Terrace'!$A$12:$A$130,"&lt;"&amp;Diagram!$P57),SUMIFS(INDIRECT(ADDRESS(12,3+18*0+(12),,,"J1 B - Butcher Terrace")&amp;":"&amp;ADDRESS(130,3+18*0+(12))),'J1 B - Butcher Terrace'!$A$12:$A$130,"&gt;="&amp;Diagram!$O57,'J1 B - Butcher Terrace'!$A$12:$A$130,"&lt;"&amp;Diagram!$P57)))</f>
        <v>0</v>
      </c>
      <c r="CP57" s="42">
        <f ca="1">IF(OR($I$10="",$O57="",$P57="",$J$39&lt;&gt;"Yes"),0,IF($K$10=0,SUMIFS(INDIRECT(ADDRESS(12,3+18*1+(4),,,"J1 B - Butcher Terrace")&amp;":"&amp;ADDRESS(130,3+18*1+(4))),'J1 B - Butcher Terrace'!$A$12:$A$130,"&gt;="&amp;Diagram!$O57,'J1 B - Butcher Terrace'!$A$12:$A$130,"&lt;"&amp;Diagram!$P57),SUMIFS(INDIRECT(ADDRESS(12,3+18*1+(12),,,"J1 B - Butcher Terrace")&amp;":"&amp;ADDRESS(130,3+18*1+(12))),'J1 B - Butcher Terrace'!$A$12:$A$130,"&gt;="&amp;Diagram!$O57,'J1 B - Butcher Terrace'!$A$12:$A$130,"&lt;"&amp;Diagram!$P57)))</f>
        <v>0</v>
      </c>
      <c r="CQ57" s="42">
        <f ca="1">IF(OR($I$10="",$O57="",$P57="",$J$39&lt;&gt;"Yes"),0,IF($K$10=0,SUMIFS(INDIRECT(ADDRESS(12,3+18*1+(4),,,"J1 C - (South) Bishopthorpe Roa")&amp;":"&amp;ADDRESS(130,3+18*1+(4))),'J1 C - (South) Bishopthorpe Roa'!$A$12:$A$130,"&gt;="&amp;Diagram!$O57,'J1 C - (South) Bishopthorpe Roa'!$A$12:$A$130,"&lt;"&amp;Diagram!$P57),SUMIFS(INDIRECT(ADDRESS(12,3+18*1+(12),,,"J1 C - (South) Bishopthorpe Roa")&amp;":"&amp;ADDRESS(130,3+18*1+(12))),'J1 C - (South) Bishopthorpe Roa'!$A$12:$A$130,"&gt;="&amp;Diagram!$O57,'J1 C - (South) Bishopthorpe Roa'!$A$12:$A$130,"&lt;"&amp;Diagram!$P57)))</f>
        <v>4</v>
      </c>
      <c r="CR57" s="42">
        <f ca="1">IF(OR($I$10="",$O57="",$P57="",$J$39&lt;&gt;"Yes"),0,IF($K$10=0,SUMIFS(INDIRECT(ADDRESS(12,3+18*2+(4),,,"J1 C - (South) Bishopthorpe Roa")&amp;":"&amp;ADDRESS(130,3+18*2+(4))),'J1 C - (South) Bishopthorpe Roa'!$A$12:$A$130,"&gt;="&amp;Diagram!$O57,'J1 C - (South) Bishopthorpe Roa'!$A$12:$A$130,"&lt;"&amp;Diagram!$P57),SUMIFS(INDIRECT(ADDRESS(12,3+18*2+(12),,,"J1 C - (South) Bishopthorpe Roa")&amp;":"&amp;ADDRESS(130,3+18*2+(12))),'J1 C - (South) Bishopthorpe Roa'!$A$12:$A$130,"&gt;="&amp;Diagram!$O57,'J1 C - (South) Bishopthorpe Roa'!$A$12:$A$130,"&lt;"&amp;Diagram!$P57)))</f>
        <v>0</v>
      </c>
      <c r="CS57" s="42">
        <f ca="1">IF(OR($I$10="",$O57="",$P57="",$J$39&lt;&gt;"Yes"),0,IF($K$10=0,SUMIFS(INDIRECT(ADDRESS(12,3+18*3+(4),,,"J1 C - (South) Bishopthorpe Roa")&amp;":"&amp;ADDRESS(130,3+18*3+(4))),'J1 C - (South) Bishopthorpe Roa'!$A$12:$A$130,"&gt;="&amp;Diagram!$O57,'J1 C - (South) Bishopthorpe Roa'!$A$12:$A$130,"&lt;"&amp;Diagram!$P57),SUMIFS(INDIRECT(ADDRESS(12,3+18*3+(12),,,"J1 C - (South) Bishopthorpe Roa")&amp;":"&amp;ADDRESS(130,3+18*3+(12))),'J1 C - (South) Bishopthorpe Roa'!$A$12:$A$130,"&gt;="&amp;Diagram!$O57,'J1 C - (South) Bishopthorpe Roa'!$A$12:$A$130,"&lt;"&amp;Diagram!$P57)))</f>
        <v>0</v>
      </c>
      <c r="CT57" s="42">
        <f ca="1">IF(OR($I$10="",$O57="",$P57="",$J$39&lt;&gt;"Yes"),0,IF($K$10=0,SUMIFS(INDIRECT(ADDRESS(12,3+18*0+(4),,,"J1 C - (South) Bishopthorpe Roa")&amp;":"&amp;ADDRESS(130,3+18*0+(4))),'J1 C - (South) Bishopthorpe Roa'!$A$12:$A$130,"&gt;="&amp;Diagram!$O57,'J1 C - (South) Bishopthorpe Roa'!$A$12:$A$130,"&lt;"&amp;Diagram!$P57),SUMIFS(INDIRECT(ADDRESS(12,3+18*0+(12),,,"J1 C - (South) Bishopthorpe Roa")&amp;":"&amp;ADDRESS(130,3+18*0+(12))),'J1 C - (South) Bishopthorpe Roa'!$A$12:$A$130,"&gt;="&amp;Diagram!$O57,'J1 C - (South) Bishopthorpe Roa'!$A$12:$A$130,"&lt;"&amp;Diagram!$P57)))</f>
        <v>0</v>
      </c>
      <c r="CU57" s="42">
        <f ca="1">IF(OR($I$10="",$O57="",$P57="",$J$39&lt;&gt;"Yes"),0,IF($K$10=0,SUMIFS(INDIRECT(ADDRESS(12,3+18*0+(4),,,"J1 D - South Bank Avenue")&amp;":"&amp;ADDRESS(130,3+18*0+(4))),'J1 D - South Bank Avenue'!$A$12:$A$130,"&gt;="&amp;Diagram!$O57,'J1 D - South Bank Avenue'!$A$12:$A$130,"&lt;"&amp;Diagram!$P57),SUMIFS(INDIRECT(ADDRESS(12,3+18*0+(12),,,"J1 D - South Bank Avenue")&amp;":"&amp;ADDRESS(130,3+18*0+(12))),'J1 D - South Bank Avenue'!$A$12:$A$130,"&gt;="&amp;Diagram!$O57,'J1 D - South Bank Avenue'!$A$12:$A$130,"&lt;"&amp;Diagram!$P57)))</f>
        <v>0</v>
      </c>
      <c r="CV57" s="42">
        <f ca="1">IF(OR($I$10="",$O57="",$P57="",$J$39&lt;&gt;"Yes"),0,IF($K$10=0,SUMIFS(INDIRECT(ADDRESS(12,3+18*1+(4),,,"J1 D - South Bank Avenue")&amp;":"&amp;ADDRESS(130,3+18*1+(4))),'J1 D - South Bank Avenue'!$A$12:$A$130,"&gt;="&amp;Diagram!$O57,'J1 D - South Bank Avenue'!$A$12:$A$130,"&lt;"&amp;Diagram!$P57),SUMIFS(INDIRECT(ADDRESS(12,3+18*1+(12),,,"J1 D - South Bank Avenue")&amp;":"&amp;ADDRESS(130,3+18*1+(12))),'J1 D - South Bank Avenue'!$A$12:$A$130,"&gt;="&amp;Diagram!$O57,'J1 D - South Bank Avenue'!$A$12:$A$130,"&lt;"&amp;Diagram!$P57)))</f>
        <v>0</v>
      </c>
      <c r="CW57" s="42">
        <f ca="1">IF(OR($I$10="",$O57="",$P57="",$J$39&lt;&gt;"Yes"),0,IF($K$10=0,SUMIFS(INDIRECT(ADDRESS(12,3+18*2+(4),,,"J1 D - South Bank Avenue")&amp;":"&amp;ADDRESS(130,3+18*2+(4))),'J1 D - South Bank Avenue'!$A$12:$A$130,"&gt;="&amp;Diagram!$O57,'J1 D - South Bank Avenue'!$A$12:$A$130,"&lt;"&amp;Diagram!$P57),SUMIFS(INDIRECT(ADDRESS(12,3+18*2+(12),,,"J1 D - South Bank Avenue")&amp;":"&amp;ADDRESS(130,3+18*2+(12))),'J1 D - South Bank Avenue'!$A$12:$A$130,"&gt;="&amp;Diagram!$O57,'J1 D - South Bank Avenue'!$A$12:$A$130,"&lt;"&amp;Diagram!$P57)))</f>
        <v>0</v>
      </c>
      <c r="CX57" s="42">
        <f ca="1">IF(OR($I$10="",$O57="",$P57="",$J$39&lt;&gt;"Yes"),0,IF($K$10=0,SUMIFS(INDIRECT(ADDRESS(12,3+18*3+(4),,,"J1 D - South Bank Avenue")&amp;":"&amp;ADDRESS(130,3+18*3+(4))),'J1 D - South Bank Avenue'!$A$12:$A$130,"&gt;="&amp;Diagram!$O57,'J1 D - South Bank Avenue'!$A$12:$A$130,"&lt;"&amp;Diagram!$P57),SUMIFS(INDIRECT(ADDRESS(12,3+18*3+(12),,,"J1 D - South Bank Avenue")&amp;":"&amp;ADDRESS(130,3+18*3+(12))),'J1 D - South Bank Avenue'!$A$12:$A$130,"&gt;="&amp;Diagram!$O57,'J1 D - South Bank Avenue'!$A$12:$A$130,"&lt;"&amp;Diagram!$P57)))</f>
        <v>0</v>
      </c>
      <c r="CY57" s="42">
        <f t="shared" ca="1" si="6"/>
        <v>111</v>
      </c>
      <c r="CZ57" s="42">
        <f ca="1">IF(OR($I$10="",$O57="",$P57="",$J$40&lt;&gt;"Yes"),0,IF($K$10=0,SUMIFS(INDIRECT(ADDRESS(12,3+18*3+(5),,,"J1 A - (North) Bishopthorpe Roa")&amp;":"&amp;ADDRESS(130,3+18*3+(5))),'J1 A - (North) Bishopthorpe Roa'!$A$12:$A$130,"&gt;="&amp;Diagram!$O57,'J1 A - (North) Bishopthorpe Roa'!$A$12:$A$130,"&lt;"&amp;Diagram!$P57),SUMIFS(INDIRECT(ADDRESS(12,3+18*3+(13),,,"J1 A - (North) Bishopthorpe Roa")&amp;":"&amp;ADDRESS(130,3+18*3+(13))),'J1 A - (North) Bishopthorpe Roa'!$A$12:$A$130,"&gt;="&amp;Diagram!$O57,'J1 A - (North) Bishopthorpe Roa'!$A$12:$A$130,"&lt;"&amp;Diagram!$P57)))</f>
        <v>0</v>
      </c>
      <c r="DA57" s="42">
        <f ca="1">IF(OR($I$10="",$O57="",$P57="",$J$40&lt;&gt;"Yes"),0,IF($K$10=0,SUMIFS(INDIRECT(ADDRESS(12,3+18*0+(5),,,"J1 A - (North) Bishopthorpe Roa")&amp;":"&amp;ADDRESS(130,3+18*0+(5))),'J1 A - (North) Bishopthorpe Roa'!$A$12:$A$130,"&gt;="&amp;Diagram!$O57,'J1 A - (North) Bishopthorpe Roa'!$A$12:$A$130,"&lt;"&amp;Diagram!$P57),SUMIFS(INDIRECT(ADDRESS(12,3+18*0+(13),,,"J1 A - (North) Bishopthorpe Roa")&amp;":"&amp;ADDRESS(130,3+18*0+(13))),'J1 A - (North) Bishopthorpe Roa'!$A$12:$A$130,"&gt;="&amp;Diagram!$O57,'J1 A - (North) Bishopthorpe Roa'!$A$12:$A$130,"&lt;"&amp;Diagram!$P57)))</f>
        <v>10</v>
      </c>
      <c r="DB57" s="42">
        <f ca="1">IF(OR($I$10="",$O57="",$P57="",$J$40&lt;&gt;"Yes"),0,IF($K$10=0,SUMIFS(INDIRECT(ADDRESS(12,3+18*1+(5),,,"J1 A - (North) Bishopthorpe Roa")&amp;":"&amp;ADDRESS(130,3+18*1+(5))),'J1 A - (North) Bishopthorpe Roa'!$A$12:$A$130,"&gt;="&amp;Diagram!$O57,'J1 A - (North) Bishopthorpe Roa'!$A$12:$A$130,"&lt;"&amp;Diagram!$P57),SUMIFS(INDIRECT(ADDRESS(12,3+18*1+(13),,,"J1 A - (North) Bishopthorpe Roa")&amp;":"&amp;ADDRESS(130,3+18*1+(13))),'J1 A - (North) Bishopthorpe Roa'!$A$12:$A$130,"&gt;="&amp;Diagram!$O57,'J1 A - (North) Bishopthorpe Roa'!$A$12:$A$130,"&lt;"&amp;Diagram!$P57)))</f>
        <v>15</v>
      </c>
      <c r="DC57" s="42">
        <f ca="1">IF(OR($I$10="",$O57="",$P57="",$J$40&lt;&gt;"Yes"),0,IF($K$10=0,SUMIFS(INDIRECT(ADDRESS(12,3+18*2+(5),,,"J1 A - (North) Bishopthorpe Roa")&amp;":"&amp;ADDRESS(130,3+18*2+(5))),'J1 A - (North) Bishopthorpe Roa'!$A$12:$A$130,"&gt;="&amp;Diagram!$O57,'J1 A - (North) Bishopthorpe Roa'!$A$12:$A$130,"&lt;"&amp;Diagram!$P57),SUMIFS(INDIRECT(ADDRESS(12,3+18*2+(13),,,"J1 A - (North) Bishopthorpe Roa")&amp;":"&amp;ADDRESS(130,3+18*2+(13))),'J1 A - (North) Bishopthorpe Roa'!$A$12:$A$130,"&gt;="&amp;Diagram!$O57,'J1 A - (North) Bishopthorpe Roa'!$A$12:$A$130,"&lt;"&amp;Diagram!$P57)))</f>
        <v>3</v>
      </c>
      <c r="DD57" s="42">
        <f ca="1">IF(OR($I$10="",$O57="",$P57="",$J$40&lt;&gt;"Yes"),0,IF($K$10=0,SUMIFS(INDIRECT(ADDRESS(12,3+18*2+(5),,,"J1 B - Butcher Terrace")&amp;":"&amp;ADDRESS(130,3+18*2+(5))),'J1 B - Butcher Terrace'!$A$12:$A$130,"&gt;="&amp;Diagram!$O57,'J1 B - Butcher Terrace'!$A$12:$A$130,"&lt;"&amp;Diagram!$P57),SUMIFS(INDIRECT(ADDRESS(12,3+18*2+(13),,,"J1 B - Butcher Terrace")&amp;":"&amp;ADDRESS(130,3+18*2+(13))),'J1 B - Butcher Terrace'!$A$12:$A$130,"&gt;="&amp;Diagram!$O57,'J1 B - Butcher Terrace'!$A$12:$A$130,"&lt;"&amp;Diagram!$P57)))</f>
        <v>18</v>
      </c>
      <c r="DE57" s="42">
        <f ca="1">IF(OR($I$10="",$O57="",$P57="",$J$40&lt;&gt;"Yes"),0,IF($K$10=0,SUMIFS(INDIRECT(ADDRESS(12,3+18*3+(5),,,"J1 B - Butcher Terrace")&amp;":"&amp;ADDRESS(130,3+18*3+(5))),'J1 B - Butcher Terrace'!$A$12:$A$130,"&gt;="&amp;Diagram!$O57,'J1 B - Butcher Terrace'!$A$12:$A$130,"&lt;"&amp;Diagram!$P57),SUMIFS(INDIRECT(ADDRESS(12,3+18*3+(13),,,"J1 B - Butcher Terrace")&amp;":"&amp;ADDRESS(130,3+18*3+(13))),'J1 B - Butcher Terrace'!$A$12:$A$130,"&gt;="&amp;Diagram!$O57,'J1 B - Butcher Terrace'!$A$12:$A$130,"&lt;"&amp;Diagram!$P57)))</f>
        <v>0</v>
      </c>
      <c r="DF57" s="42">
        <f ca="1">IF(OR($I$10="",$O57="",$P57="",$J$40&lt;&gt;"Yes"),0,IF($K$10=0,SUMIFS(INDIRECT(ADDRESS(12,3+18*0+(5),,,"J1 B - Butcher Terrace")&amp;":"&amp;ADDRESS(130,3+18*0+(5))),'J1 B - Butcher Terrace'!$A$12:$A$130,"&gt;="&amp;Diagram!$O57,'J1 B - Butcher Terrace'!$A$12:$A$130,"&lt;"&amp;Diagram!$P57),SUMIFS(INDIRECT(ADDRESS(12,3+18*0+(13),,,"J1 B - Butcher Terrace")&amp;":"&amp;ADDRESS(130,3+18*0+(13))),'J1 B - Butcher Terrace'!$A$12:$A$130,"&gt;="&amp;Diagram!$O57,'J1 B - Butcher Terrace'!$A$12:$A$130,"&lt;"&amp;Diagram!$P57)))</f>
        <v>7</v>
      </c>
      <c r="DG57" s="42">
        <f ca="1">IF(OR($I$10="",$O57="",$P57="",$J$40&lt;&gt;"Yes"),0,IF($K$10=0,SUMIFS(INDIRECT(ADDRESS(12,3+18*1+(5),,,"J1 B - Butcher Terrace")&amp;":"&amp;ADDRESS(130,3+18*1+(5))),'J1 B - Butcher Terrace'!$A$12:$A$130,"&gt;="&amp;Diagram!$O57,'J1 B - Butcher Terrace'!$A$12:$A$130,"&lt;"&amp;Diagram!$P57),SUMIFS(INDIRECT(ADDRESS(12,3+18*1+(13),,,"J1 B - Butcher Terrace")&amp;":"&amp;ADDRESS(130,3+18*1+(13))),'J1 B - Butcher Terrace'!$A$12:$A$130,"&gt;="&amp;Diagram!$O57,'J1 B - Butcher Terrace'!$A$12:$A$130,"&lt;"&amp;Diagram!$P57)))</f>
        <v>22</v>
      </c>
      <c r="DH57" s="42">
        <f ca="1">IF(OR($I$10="",$O57="",$P57="",$J$40&lt;&gt;"Yes"),0,IF($K$10=0,SUMIFS(INDIRECT(ADDRESS(12,3+18*1+(5),,,"J1 C - (South) Bishopthorpe Roa")&amp;":"&amp;ADDRESS(130,3+18*1+(5))),'J1 C - (South) Bishopthorpe Roa'!$A$12:$A$130,"&gt;="&amp;Diagram!$O57,'J1 C - (South) Bishopthorpe Roa'!$A$12:$A$130,"&lt;"&amp;Diagram!$P57),SUMIFS(INDIRECT(ADDRESS(12,3+18*1+(13),,,"J1 C - (South) Bishopthorpe Roa")&amp;":"&amp;ADDRESS(130,3+18*1+(13))),'J1 C - (South) Bishopthorpe Roa'!$A$12:$A$130,"&gt;="&amp;Diagram!$O57,'J1 C - (South) Bishopthorpe Roa'!$A$12:$A$130,"&lt;"&amp;Diagram!$P57)))</f>
        <v>11</v>
      </c>
      <c r="DI57" s="42">
        <f ca="1">IF(OR($I$10="",$O57="",$P57="",$J$40&lt;&gt;"Yes"),0,IF($K$10=0,SUMIFS(INDIRECT(ADDRESS(12,3+18*2+(5),,,"J1 C - (South) Bishopthorpe Roa")&amp;":"&amp;ADDRESS(130,3+18*2+(5))),'J1 C - (South) Bishopthorpe Roa'!$A$12:$A$130,"&gt;="&amp;Diagram!$O57,'J1 C - (South) Bishopthorpe Roa'!$A$12:$A$130,"&lt;"&amp;Diagram!$P57),SUMIFS(INDIRECT(ADDRESS(12,3+18*2+(13),,,"J1 C - (South) Bishopthorpe Roa")&amp;":"&amp;ADDRESS(130,3+18*2+(13))),'J1 C - (South) Bishopthorpe Roa'!$A$12:$A$130,"&gt;="&amp;Diagram!$O57,'J1 C - (South) Bishopthorpe Roa'!$A$12:$A$130,"&lt;"&amp;Diagram!$P57)))</f>
        <v>7</v>
      </c>
      <c r="DJ57" s="42">
        <f ca="1">IF(OR($I$10="",$O57="",$P57="",$J$40&lt;&gt;"Yes"),0,IF($K$10=0,SUMIFS(INDIRECT(ADDRESS(12,3+18*3+(5),,,"J1 C - (South) Bishopthorpe Roa")&amp;":"&amp;ADDRESS(130,3+18*3+(5))),'J1 C - (South) Bishopthorpe Roa'!$A$12:$A$130,"&gt;="&amp;Diagram!$O57,'J1 C - (South) Bishopthorpe Roa'!$A$12:$A$130,"&lt;"&amp;Diagram!$P57),SUMIFS(INDIRECT(ADDRESS(12,3+18*3+(13),,,"J1 C - (South) Bishopthorpe Roa")&amp;":"&amp;ADDRESS(130,3+18*3+(13))),'J1 C - (South) Bishopthorpe Roa'!$A$12:$A$130,"&gt;="&amp;Diagram!$O57,'J1 C - (South) Bishopthorpe Roa'!$A$12:$A$130,"&lt;"&amp;Diagram!$P57)))</f>
        <v>0</v>
      </c>
      <c r="DK57" s="42">
        <f ca="1">IF(OR($I$10="",$O57="",$P57="",$J$40&lt;&gt;"Yes"),0,IF($K$10=0,SUMIFS(INDIRECT(ADDRESS(12,3+18*0+(5),,,"J1 C - (South) Bishopthorpe Roa")&amp;":"&amp;ADDRESS(130,3+18*0+(5))),'J1 C - (South) Bishopthorpe Roa'!$A$12:$A$130,"&gt;="&amp;Diagram!$O57,'J1 C - (South) Bishopthorpe Roa'!$A$12:$A$130,"&lt;"&amp;Diagram!$P57),SUMIFS(INDIRECT(ADDRESS(12,3+18*0+(13),,,"J1 C - (South) Bishopthorpe Roa")&amp;":"&amp;ADDRESS(130,3+18*0+(13))),'J1 C - (South) Bishopthorpe Roa'!$A$12:$A$130,"&gt;="&amp;Diagram!$O57,'J1 C - (South) Bishopthorpe Roa'!$A$12:$A$130,"&lt;"&amp;Diagram!$P57)))</f>
        <v>0</v>
      </c>
      <c r="DL57" s="42">
        <f ca="1">IF(OR($I$10="",$O57="",$P57="",$J$40&lt;&gt;"Yes"),0,IF($K$10=0,SUMIFS(INDIRECT(ADDRESS(12,3+18*0+(5),,,"J1 D - South Bank Avenue")&amp;":"&amp;ADDRESS(130,3+18*0+(5))),'J1 D - South Bank Avenue'!$A$12:$A$130,"&gt;="&amp;Diagram!$O57,'J1 D - South Bank Avenue'!$A$12:$A$130,"&lt;"&amp;Diagram!$P57),SUMIFS(INDIRECT(ADDRESS(12,3+18*0+(13),,,"J1 D - South Bank Avenue")&amp;":"&amp;ADDRESS(130,3+18*0+(13))),'J1 D - South Bank Avenue'!$A$12:$A$130,"&gt;="&amp;Diagram!$O57,'J1 D - South Bank Avenue'!$A$12:$A$130,"&lt;"&amp;Diagram!$P57)))</f>
        <v>3</v>
      </c>
      <c r="DM57" s="42">
        <f ca="1">IF(OR($I$10="",$O57="",$P57="",$J$40&lt;&gt;"Yes"),0,IF($K$10=0,SUMIFS(INDIRECT(ADDRESS(12,3+18*1+(5),,,"J1 D - South Bank Avenue")&amp;":"&amp;ADDRESS(130,3+18*1+(5))),'J1 D - South Bank Avenue'!$A$12:$A$130,"&gt;="&amp;Diagram!$O57,'J1 D - South Bank Avenue'!$A$12:$A$130,"&lt;"&amp;Diagram!$P57),SUMIFS(INDIRECT(ADDRESS(12,3+18*1+(13),,,"J1 D - South Bank Avenue")&amp;":"&amp;ADDRESS(130,3+18*1+(13))),'J1 D - South Bank Avenue'!$A$12:$A$130,"&gt;="&amp;Diagram!$O57,'J1 D - South Bank Avenue'!$A$12:$A$130,"&lt;"&amp;Diagram!$P57)))</f>
        <v>15</v>
      </c>
      <c r="DN57" s="42">
        <f ca="1">IF(OR($I$10="",$O57="",$P57="",$J$40&lt;&gt;"Yes"),0,IF($K$10=0,SUMIFS(INDIRECT(ADDRESS(12,3+18*2+(5),,,"J1 D - South Bank Avenue")&amp;":"&amp;ADDRESS(130,3+18*2+(5))),'J1 D - South Bank Avenue'!$A$12:$A$130,"&gt;="&amp;Diagram!$O57,'J1 D - South Bank Avenue'!$A$12:$A$130,"&lt;"&amp;Diagram!$P57),SUMIFS(INDIRECT(ADDRESS(12,3+18*2+(13),,,"J1 D - South Bank Avenue")&amp;":"&amp;ADDRESS(130,3+18*2+(13))),'J1 D - South Bank Avenue'!$A$12:$A$130,"&gt;="&amp;Diagram!$O57,'J1 D - South Bank Avenue'!$A$12:$A$130,"&lt;"&amp;Diagram!$P57)))</f>
        <v>0</v>
      </c>
      <c r="DO57" s="42">
        <f ca="1">IF(OR($I$10="",$O57="",$P57="",$J$40&lt;&gt;"Yes"),0,IF($K$10=0,SUMIFS(INDIRECT(ADDRESS(12,3+18*3+(5),,,"J1 D - South Bank Avenue")&amp;":"&amp;ADDRESS(130,3+18*3+(5))),'J1 D - South Bank Avenue'!$A$12:$A$130,"&gt;="&amp;Diagram!$O57,'J1 D - South Bank Avenue'!$A$12:$A$130,"&lt;"&amp;Diagram!$P57),SUMIFS(INDIRECT(ADDRESS(12,3+18*3+(13),,,"J1 D - South Bank Avenue")&amp;":"&amp;ADDRESS(130,3+18*3+(13))),'J1 D - South Bank Avenue'!$A$12:$A$130,"&gt;="&amp;Diagram!$O57,'J1 D - South Bank Avenue'!$A$12:$A$130,"&lt;"&amp;Diagram!$P57)))</f>
        <v>0</v>
      </c>
      <c r="DP57" s="42">
        <f t="shared" ca="1" si="7"/>
        <v>14</v>
      </c>
      <c r="DQ57" s="42">
        <f ca="1">IF(OR($I$10="",$O57="",$P57="",$J$41&lt;&gt;"Yes"),0,IF($K$10=0,SUMIFS(INDIRECT(ADDRESS(12,3+18*3+(6),,,"J1 A - (North) Bishopthorpe Roa")&amp;":"&amp;ADDRESS(130,3+18*3+(6))),'J1 A - (North) Bishopthorpe Roa'!$A$12:$A$130,"&gt;="&amp;Diagram!$O57,'J1 A - (North) Bishopthorpe Roa'!$A$12:$A$130,"&lt;"&amp;Diagram!$P57),SUMIFS(INDIRECT(ADDRESS(12,3+18*3+(14),,,"J1 A - (North) Bishopthorpe Roa")&amp;":"&amp;ADDRESS(130,3+18*3+(14))),'J1 A - (North) Bishopthorpe Roa'!$A$12:$A$130,"&gt;="&amp;Diagram!$O57,'J1 A - (North) Bishopthorpe Roa'!$A$12:$A$130,"&lt;"&amp;Diagram!$P57)))</f>
        <v>0</v>
      </c>
      <c r="DR57" s="42">
        <f ca="1">IF(OR($I$10="",$O57="",$P57="",$J$41&lt;&gt;"Yes"),0,IF($K$10=0,SUMIFS(INDIRECT(ADDRESS(12,3+18*0+(6),,,"J1 A - (North) Bishopthorpe Roa")&amp;":"&amp;ADDRESS(130,3+18*0+(6))),'J1 A - (North) Bishopthorpe Roa'!$A$12:$A$130,"&gt;="&amp;Diagram!$O57,'J1 A - (North) Bishopthorpe Roa'!$A$12:$A$130,"&lt;"&amp;Diagram!$P57),SUMIFS(INDIRECT(ADDRESS(12,3+18*0+(14),,,"J1 A - (North) Bishopthorpe Roa")&amp;":"&amp;ADDRESS(130,3+18*0+(14))),'J1 A - (North) Bishopthorpe Roa'!$A$12:$A$130,"&gt;="&amp;Diagram!$O57,'J1 A - (North) Bishopthorpe Roa'!$A$12:$A$130,"&lt;"&amp;Diagram!$P57)))</f>
        <v>1</v>
      </c>
      <c r="DS57" s="42">
        <f ca="1">IF(OR($I$10="",$O57="",$P57="",$J$41&lt;&gt;"Yes"),0,IF($K$10=0,SUMIFS(INDIRECT(ADDRESS(12,3+18*1+(6),,,"J1 A - (North) Bishopthorpe Roa")&amp;":"&amp;ADDRESS(130,3+18*1+(6))),'J1 A - (North) Bishopthorpe Roa'!$A$12:$A$130,"&gt;="&amp;Diagram!$O57,'J1 A - (North) Bishopthorpe Roa'!$A$12:$A$130,"&lt;"&amp;Diagram!$P57),SUMIFS(INDIRECT(ADDRESS(12,3+18*1+(14),,,"J1 A - (North) Bishopthorpe Roa")&amp;":"&amp;ADDRESS(130,3+18*1+(14))),'J1 A - (North) Bishopthorpe Roa'!$A$12:$A$130,"&gt;="&amp;Diagram!$O57,'J1 A - (North) Bishopthorpe Roa'!$A$12:$A$130,"&lt;"&amp;Diagram!$P57)))</f>
        <v>4</v>
      </c>
      <c r="DT57" s="42">
        <f ca="1">IF(OR($I$10="",$O57="",$P57="",$J$41&lt;&gt;"Yes"),0,IF($K$10=0,SUMIFS(INDIRECT(ADDRESS(12,3+18*2+(6),,,"J1 A - (North) Bishopthorpe Roa")&amp;":"&amp;ADDRESS(130,3+18*2+(6))),'J1 A - (North) Bishopthorpe Roa'!$A$12:$A$130,"&gt;="&amp;Diagram!$O57,'J1 A - (North) Bishopthorpe Roa'!$A$12:$A$130,"&lt;"&amp;Diagram!$P57),SUMIFS(INDIRECT(ADDRESS(12,3+18*2+(14),,,"J1 A - (North) Bishopthorpe Roa")&amp;":"&amp;ADDRESS(130,3+18*2+(14))),'J1 A - (North) Bishopthorpe Roa'!$A$12:$A$130,"&gt;="&amp;Diagram!$O57,'J1 A - (North) Bishopthorpe Roa'!$A$12:$A$130,"&lt;"&amp;Diagram!$P57)))</f>
        <v>1</v>
      </c>
      <c r="DU57" s="42">
        <f ca="1">IF(OR($I$10="",$O57="",$P57="",$J$41&lt;&gt;"Yes"),0,IF($K$10=0,SUMIFS(INDIRECT(ADDRESS(12,3+18*2+(6),,,"J1 B - Butcher Terrace")&amp;":"&amp;ADDRESS(130,3+18*2+(6))),'J1 B - Butcher Terrace'!$A$12:$A$130,"&gt;="&amp;Diagram!$O57,'J1 B - Butcher Terrace'!$A$12:$A$130,"&lt;"&amp;Diagram!$P57),SUMIFS(INDIRECT(ADDRESS(12,3+18*2+(14),,,"J1 B - Butcher Terrace")&amp;":"&amp;ADDRESS(130,3+18*2+(14))),'J1 B - Butcher Terrace'!$A$12:$A$130,"&gt;="&amp;Diagram!$O57,'J1 B - Butcher Terrace'!$A$12:$A$130,"&lt;"&amp;Diagram!$P57)))</f>
        <v>1</v>
      </c>
      <c r="DV57" s="42">
        <f ca="1">IF(OR($I$10="",$O57="",$P57="",$J$41&lt;&gt;"Yes"),0,IF($K$10=0,SUMIFS(INDIRECT(ADDRESS(12,3+18*3+(6),,,"J1 B - Butcher Terrace")&amp;":"&amp;ADDRESS(130,3+18*3+(6))),'J1 B - Butcher Terrace'!$A$12:$A$130,"&gt;="&amp;Diagram!$O57,'J1 B - Butcher Terrace'!$A$12:$A$130,"&lt;"&amp;Diagram!$P57),SUMIFS(INDIRECT(ADDRESS(12,3+18*3+(14),,,"J1 B - Butcher Terrace")&amp;":"&amp;ADDRESS(130,3+18*3+(14))),'J1 B - Butcher Terrace'!$A$12:$A$130,"&gt;="&amp;Diagram!$O57,'J1 B - Butcher Terrace'!$A$12:$A$130,"&lt;"&amp;Diagram!$P57)))</f>
        <v>0</v>
      </c>
      <c r="DW57" s="42">
        <f ca="1">IF(OR($I$10="",$O57="",$P57="",$J$41&lt;&gt;"Yes"),0,IF($K$10=0,SUMIFS(INDIRECT(ADDRESS(12,3+18*0+(6),,,"J1 B - Butcher Terrace")&amp;":"&amp;ADDRESS(130,3+18*0+(6))),'J1 B - Butcher Terrace'!$A$12:$A$130,"&gt;="&amp;Diagram!$O57,'J1 B - Butcher Terrace'!$A$12:$A$130,"&lt;"&amp;Diagram!$P57),SUMIFS(INDIRECT(ADDRESS(12,3+18*0+(14),,,"J1 B - Butcher Terrace")&amp;":"&amp;ADDRESS(130,3+18*0+(14))),'J1 B - Butcher Terrace'!$A$12:$A$130,"&gt;="&amp;Diagram!$O57,'J1 B - Butcher Terrace'!$A$12:$A$130,"&lt;"&amp;Diagram!$P57)))</f>
        <v>0</v>
      </c>
      <c r="DX57" s="42">
        <f ca="1">IF(OR($I$10="",$O57="",$P57="",$J$41&lt;&gt;"Yes"),0,IF($K$10=0,SUMIFS(INDIRECT(ADDRESS(12,3+18*1+(6),,,"J1 B - Butcher Terrace")&amp;":"&amp;ADDRESS(130,3+18*1+(6))),'J1 B - Butcher Terrace'!$A$12:$A$130,"&gt;="&amp;Diagram!$O57,'J1 B - Butcher Terrace'!$A$12:$A$130,"&lt;"&amp;Diagram!$P57),SUMIFS(INDIRECT(ADDRESS(12,3+18*1+(14),,,"J1 B - Butcher Terrace")&amp;":"&amp;ADDRESS(130,3+18*1+(14))),'J1 B - Butcher Terrace'!$A$12:$A$130,"&gt;="&amp;Diagram!$O57,'J1 B - Butcher Terrace'!$A$12:$A$130,"&lt;"&amp;Diagram!$P57)))</f>
        <v>0</v>
      </c>
      <c r="DY57" s="42">
        <f ca="1">IF(OR($I$10="",$O57="",$P57="",$J$41&lt;&gt;"Yes"),0,IF($K$10=0,SUMIFS(INDIRECT(ADDRESS(12,3+18*1+(6),,,"J1 C - (South) Bishopthorpe Roa")&amp;":"&amp;ADDRESS(130,3+18*1+(6))),'J1 C - (South) Bishopthorpe Roa'!$A$12:$A$130,"&gt;="&amp;Diagram!$O57,'J1 C - (South) Bishopthorpe Roa'!$A$12:$A$130,"&lt;"&amp;Diagram!$P57),SUMIFS(INDIRECT(ADDRESS(12,3+18*1+(14),,,"J1 C - (South) Bishopthorpe Roa")&amp;":"&amp;ADDRESS(130,3+18*1+(14))),'J1 C - (South) Bishopthorpe Roa'!$A$12:$A$130,"&gt;="&amp;Diagram!$O57,'J1 C - (South) Bishopthorpe Roa'!$A$12:$A$130,"&lt;"&amp;Diagram!$P57)))</f>
        <v>5</v>
      </c>
      <c r="DZ57" s="42">
        <f ca="1">IF(OR($I$10="",$O57="",$P57="",$J$41&lt;&gt;"Yes"),0,IF($K$10=0,SUMIFS(INDIRECT(ADDRESS(12,3+18*2+(6),,,"J1 C - (South) Bishopthorpe Roa")&amp;":"&amp;ADDRESS(130,3+18*2+(6))),'J1 C - (South) Bishopthorpe Roa'!$A$12:$A$130,"&gt;="&amp;Diagram!$O57,'J1 C - (South) Bishopthorpe Roa'!$A$12:$A$130,"&lt;"&amp;Diagram!$P57),SUMIFS(INDIRECT(ADDRESS(12,3+18*2+(14),,,"J1 C - (South) Bishopthorpe Roa")&amp;":"&amp;ADDRESS(130,3+18*2+(14))),'J1 C - (South) Bishopthorpe Roa'!$A$12:$A$130,"&gt;="&amp;Diagram!$O57,'J1 C - (South) Bishopthorpe Roa'!$A$12:$A$130,"&lt;"&amp;Diagram!$P57)))</f>
        <v>0</v>
      </c>
      <c r="EA57" s="42">
        <f ca="1">IF(OR($I$10="",$O57="",$P57="",$J$41&lt;&gt;"Yes"),0,IF($K$10=0,SUMIFS(INDIRECT(ADDRESS(12,3+18*3+(6),,,"J1 C - (South) Bishopthorpe Roa")&amp;":"&amp;ADDRESS(130,3+18*3+(6))),'J1 C - (South) Bishopthorpe Roa'!$A$12:$A$130,"&gt;="&amp;Diagram!$O57,'J1 C - (South) Bishopthorpe Roa'!$A$12:$A$130,"&lt;"&amp;Diagram!$P57),SUMIFS(INDIRECT(ADDRESS(12,3+18*3+(14),,,"J1 C - (South) Bishopthorpe Roa")&amp;":"&amp;ADDRESS(130,3+18*3+(14))),'J1 C - (South) Bishopthorpe Roa'!$A$12:$A$130,"&gt;="&amp;Diagram!$O57,'J1 C - (South) Bishopthorpe Roa'!$A$12:$A$130,"&lt;"&amp;Diagram!$P57)))</f>
        <v>0</v>
      </c>
      <c r="EB57" s="42">
        <f ca="1">IF(OR($I$10="",$O57="",$P57="",$J$41&lt;&gt;"Yes"),0,IF($K$10=0,SUMIFS(INDIRECT(ADDRESS(12,3+18*0+(6),,,"J1 C - (South) Bishopthorpe Roa")&amp;":"&amp;ADDRESS(130,3+18*0+(6))),'J1 C - (South) Bishopthorpe Roa'!$A$12:$A$130,"&gt;="&amp;Diagram!$O57,'J1 C - (South) Bishopthorpe Roa'!$A$12:$A$130,"&lt;"&amp;Diagram!$P57),SUMIFS(INDIRECT(ADDRESS(12,3+18*0+(14),,,"J1 C - (South) Bishopthorpe Roa")&amp;":"&amp;ADDRESS(130,3+18*0+(14))),'J1 C - (South) Bishopthorpe Roa'!$A$12:$A$130,"&gt;="&amp;Diagram!$O57,'J1 C - (South) Bishopthorpe Roa'!$A$12:$A$130,"&lt;"&amp;Diagram!$P57)))</f>
        <v>0</v>
      </c>
      <c r="EC57" s="42">
        <f ca="1">IF(OR($I$10="",$O57="",$P57="",$J$41&lt;&gt;"Yes"),0,IF($K$10=0,SUMIFS(INDIRECT(ADDRESS(12,3+18*0+(6),,,"J1 D - South Bank Avenue")&amp;":"&amp;ADDRESS(130,3+18*0+(6))),'J1 D - South Bank Avenue'!$A$12:$A$130,"&gt;="&amp;Diagram!$O57,'J1 D - South Bank Avenue'!$A$12:$A$130,"&lt;"&amp;Diagram!$P57),SUMIFS(INDIRECT(ADDRESS(12,3+18*0+(14),,,"J1 D - South Bank Avenue")&amp;":"&amp;ADDRESS(130,3+18*0+(14))),'J1 D - South Bank Avenue'!$A$12:$A$130,"&gt;="&amp;Diagram!$O57,'J1 D - South Bank Avenue'!$A$12:$A$130,"&lt;"&amp;Diagram!$P57)))</f>
        <v>1</v>
      </c>
      <c r="ED57" s="42">
        <f ca="1">IF(OR($I$10="",$O57="",$P57="",$J$41&lt;&gt;"Yes"),0,IF($K$10=0,SUMIFS(INDIRECT(ADDRESS(12,3+18*1+(6),,,"J1 D - South Bank Avenue")&amp;":"&amp;ADDRESS(130,3+18*1+(6))),'J1 D - South Bank Avenue'!$A$12:$A$130,"&gt;="&amp;Diagram!$O57,'J1 D - South Bank Avenue'!$A$12:$A$130,"&lt;"&amp;Diagram!$P57),SUMIFS(INDIRECT(ADDRESS(12,3+18*1+(14),,,"J1 D - South Bank Avenue")&amp;":"&amp;ADDRESS(130,3+18*1+(14))),'J1 D - South Bank Avenue'!$A$12:$A$130,"&gt;="&amp;Diagram!$O57,'J1 D - South Bank Avenue'!$A$12:$A$130,"&lt;"&amp;Diagram!$P57)))</f>
        <v>1</v>
      </c>
      <c r="EE57" s="42">
        <f ca="1">IF(OR($I$10="",$O57="",$P57="",$J$41&lt;&gt;"Yes"),0,IF($K$10=0,SUMIFS(INDIRECT(ADDRESS(12,3+18*2+(6),,,"J1 D - South Bank Avenue")&amp;":"&amp;ADDRESS(130,3+18*2+(6))),'J1 D - South Bank Avenue'!$A$12:$A$130,"&gt;="&amp;Diagram!$O57,'J1 D - South Bank Avenue'!$A$12:$A$130,"&lt;"&amp;Diagram!$P57),SUMIFS(INDIRECT(ADDRESS(12,3+18*2+(14),,,"J1 D - South Bank Avenue")&amp;":"&amp;ADDRESS(130,3+18*2+(14))),'J1 D - South Bank Avenue'!$A$12:$A$130,"&gt;="&amp;Diagram!$O57,'J1 D - South Bank Avenue'!$A$12:$A$130,"&lt;"&amp;Diagram!$P57)))</f>
        <v>0</v>
      </c>
      <c r="EF57" s="42">
        <f ca="1">IF(OR($I$10="",$O57="",$P57="",$J$41&lt;&gt;"Yes"),0,IF($K$10=0,SUMIFS(INDIRECT(ADDRESS(12,3+18*3+(6),,,"J1 D - South Bank Avenue")&amp;":"&amp;ADDRESS(130,3+18*3+(6))),'J1 D - South Bank Avenue'!$A$12:$A$130,"&gt;="&amp;Diagram!$O57,'J1 D - South Bank Avenue'!$A$12:$A$130,"&lt;"&amp;Diagram!$P57),SUMIFS(INDIRECT(ADDRESS(12,3+18*3+(14),,,"J1 D - South Bank Avenue")&amp;":"&amp;ADDRESS(130,3+18*3+(14))),'J1 D - South Bank Avenue'!$A$12:$A$130,"&gt;="&amp;Diagram!$O57,'J1 D - South Bank Avenue'!$A$12:$A$130,"&lt;"&amp;Diagram!$P57)))</f>
        <v>0</v>
      </c>
      <c r="EG57" s="42">
        <f t="shared" ca="1" si="8"/>
        <v>3</v>
      </c>
      <c r="EH57" s="42">
        <f ca="1">IF(OR($I$10="",$O57="",$P57="",$J$42&lt;&gt;"Yes"),0,IF($K$10=0,SUMIFS(INDIRECT(ADDRESS(12,3+18*3+(7),,,"J1 A - (North) Bishopthorpe Roa")&amp;":"&amp;ADDRESS(130,3+18*3+(7))),'J1 A - (North) Bishopthorpe Roa'!$A$12:$A$130,"&gt;="&amp;Diagram!$O57,'J1 A - (North) Bishopthorpe Roa'!$A$12:$A$130,"&lt;"&amp;Diagram!$P57),SUMIFS(INDIRECT(ADDRESS(12,3+18*3+(15),,,"J1 A - (North) Bishopthorpe Roa")&amp;":"&amp;ADDRESS(130,3+18*3+(15))),'J1 A - (North) Bishopthorpe Roa'!$A$12:$A$130,"&gt;="&amp;Diagram!$O57,'J1 A - (North) Bishopthorpe Roa'!$A$12:$A$130,"&lt;"&amp;Diagram!$P57)))</f>
        <v>0</v>
      </c>
      <c r="EI57" s="42">
        <f ca="1">IF(OR($I$10="",$O57="",$P57="",$J$42&lt;&gt;"Yes"),0,IF($K$10=0,SUMIFS(INDIRECT(ADDRESS(12,3+18*0+(7),,,"J1 A - (North) Bishopthorpe Roa")&amp;":"&amp;ADDRESS(130,3+18*0+(7))),'J1 A - (North) Bishopthorpe Roa'!$A$12:$A$130,"&gt;="&amp;Diagram!$O57,'J1 A - (North) Bishopthorpe Roa'!$A$12:$A$130,"&lt;"&amp;Diagram!$P57),SUMIFS(INDIRECT(ADDRESS(12,3+18*0+(15),,,"J1 A - (North) Bishopthorpe Roa")&amp;":"&amp;ADDRESS(130,3+18*0+(15))),'J1 A - (North) Bishopthorpe Roa'!$A$12:$A$130,"&gt;="&amp;Diagram!$O57,'J1 A - (North) Bishopthorpe Roa'!$A$12:$A$130,"&lt;"&amp;Diagram!$P57)))</f>
        <v>2</v>
      </c>
      <c r="EJ57" s="42">
        <f ca="1">IF(OR($I$10="",$O57="",$P57="",$J$42&lt;&gt;"Yes"),0,IF($K$10=0,SUMIFS(INDIRECT(ADDRESS(12,3+18*1+(7),,,"J1 A - (North) Bishopthorpe Roa")&amp;":"&amp;ADDRESS(130,3+18*1+(7))),'J1 A - (North) Bishopthorpe Roa'!$A$12:$A$130,"&gt;="&amp;Diagram!$O57,'J1 A - (North) Bishopthorpe Roa'!$A$12:$A$130,"&lt;"&amp;Diagram!$P57),SUMIFS(INDIRECT(ADDRESS(12,3+18*1+(15),,,"J1 A - (North) Bishopthorpe Roa")&amp;":"&amp;ADDRESS(130,3+18*1+(15))),'J1 A - (North) Bishopthorpe Roa'!$A$12:$A$130,"&gt;="&amp;Diagram!$O57,'J1 A - (North) Bishopthorpe Roa'!$A$12:$A$130,"&lt;"&amp;Diagram!$P57)))</f>
        <v>0</v>
      </c>
      <c r="EK57" s="42">
        <f ca="1">IF(OR($I$10="",$O57="",$P57="",$J$42&lt;&gt;"Yes"),0,IF($K$10=0,SUMIFS(INDIRECT(ADDRESS(12,3+18*2+(7),,,"J1 A - (North) Bishopthorpe Roa")&amp;":"&amp;ADDRESS(130,3+18*2+(7))),'J1 A - (North) Bishopthorpe Roa'!$A$12:$A$130,"&gt;="&amp;Diagram!$O57,'J1 A - (North) Bishopthorpe Roa'!$A$12:$A$130,"&lt;"&amp;Diagram!$P57),SUMIFS(INDIRECT(ADDRESS(12,3+18*2+(15),,,"J1 A - (North) Bishopthorpe Roa")&amp;":"&amp;ADDRESS(130,3+18*2+(15))),'J1 A - (North) Bishopthorpe Roa'!$A$12:$A$130,"&gt;="&amp;Diagram!$O57,'J1 A - (North) Bishopthorpe Roa'!$A$12:$A$130,"&lt;"&amp;Diagram!$P57)))</f>
        <v>0</v>
      </c>
      <c r="EL57" s="42">
        <f ca="1">IF(OR($I$10="",$O57="",$P57="",$J$42&lt;&gt;"Yes"),0,IF($K$10=0,SUMIFS(INDIRECT(ADDRESS(12,3+18*2+(7),,,"J1 B - Butcher Terrace")&amp;":"&amp;ADDRESS(130,3+18*2+(7))),'J1 B - Butcher Terrace'!$A$12:$A$130,"&gt;="&amp;Diagram!$O57,'J1 B - Butcher Terrace'!$A$12:$A$130,"&lt;"&amp;Diagram!$P57),SUMIFS(INDIRECT(ADDRESS(12,3+18*2+(15),,,"J1 B - Butcher Terrace")&amp;":"&amp;ADDRESS(130,3+18*2+(15))),'J1 B - Butcher Terrace'!$A$12:$A$130,"&gt;="&amp;Diagram!$O57,'J1 B - Butcher Terrace'!$A$12:$A$130,"&lt;"&amp;Diagram!$P57)))</f>
        <v>0</v>
      </c>
      <c r="EM57" s="42">
        <f ca="1">IF(OR($I$10="",$O57="",$P57="",$J$42&lt;&gt;"Yes"),0,IF($K$10=0,SUMIFS(INDIRECT(ADDRESS(12,3+18*3+(7),,,"J1 B - Butcher Terrace")&amp;":"&amp;ADDRESS(130,3+18*3+(7))),'J1 B - Butcher Terrace'!$A$12:$A$130,"&gt;="&amp;Diagram!$O57,'J1 B - Butcher Terrace'!$A$12:$A$130,"&lt;"&amp;Diagram!$P57),SUMIFS(INDIRECT(ADDRESS(12,3+18*3+(15),,,"J1 B - Butcher Terrace")&amp;":"&amp;ADDRESS(130,3+18*3+(15))),'J1 B - Butcher Terrace'!$A$12:$A$130,"&gt;="&amp;Diagram!$O57,'J1 B - Butcher Terrace'!$A$12:$A$130,"&lt;"&amp;Diagram!$P57)))</f>
        <v>0</v>
      </c>
      <c r="EN57" s="42">
        <f ca="1">IF(OR($I$10="",$O57="",$P57="",$J$42&lt;&gt;"Yes"),0,IF($K$10=0,SUMIFS(INDIRECT(ADDRESS(12,3+18*0+(7),,,"J1 B - Butcher Terrace")&amp;":"&amp;ADDRESS(130,3+18*0+(7))),'J1 B - Butcher Terrace'!$A$12:$A$130,"&gt;="&amp;Diagram!$O57,'J1 B - Butcher Terrace'!$A$12:$A$130,"&lt;"&amp;Diagram!$P57),SUMIFS(INDIRECT(ADDRESS(12,3+18*0+(15),,,"J1 B - Butcher Terrace")&amp;":"&amp;ADDRESS(130,3+18*0+(15))),'J1 B - Butcher Terrace'!$A$12:$A$130,"&gt;="&amp;Diagram!$O57,'J1 B - Butcher Terrace'!$A$12:$A$130,"&lt;"&amp;Diagram!$P57)))</f>
        <v>0</v>
      </c>
      <c r="EO57" s="42">
        <f ca="1">IF(OR($I$10="",$O57="",$P57="",$J$42&lt;&gt;"Yes"),0,IF($K$10=0,SUMIFS(INDIRECT(ADDRESS(12,3+18*1+(7),,,"J1 B - Butcher Terrace")&amp;":"&amp;ADDRESS(130,3+18*1+(7))),'J1 B - Butcher Terrace'!$A$12:$A$130,"&gt;="&amp;Diagram!$O57,'J1 B - Butcher Terrace'!$A$12:$A$130,"&lt;"&amp;Diagram!$P57),SUMIFS(INDIRECT(ADDRESS(12,3+18*1+(15),,,"J1 B - Butcher Terrace")&amp;":"&amp;ADDRESS(130,3+18*1+(15))),'J1 B - Butcher Terrace'!$A$12:$A$130,"&gt;="&amp;Diagram!$O57,'J1 B - Butcher Terrace'!$A$12:$A$130,"&lt;"&amp;Diagram!$P57)))</f>
        <v>0</v>
      </c>
      <c r="EP57" s="42">
        <f ca="1">IF(OR($I$10="",$O57="",$P57="",$J$42&lt;&gt;"Yes"),0,IF($K$10=0,SUMIFS(INDIRECT(ADDRESS(12,3+18*1+(7),,,"J1 C - (South) Bishopthorpe Roa")&amp;":"&amp;ADDRESS(130,3+18*1+(7))),'J1 C - (South) Bishopthorpe Roa'!$A$12:$A$130,"&gt;="&amp;Diagram!$O57,'J1 C - (South) Bishopthorpe Roa'!$A$12:$A$130,"&lt;"&amp;Diagram!$P57),SUMIFS(INDIRECT(ADDRESS(12,3+18*1+(15),,,"J1 C - (South) Bishopthorpe Roa")&amp;":"&amp;ADDRESS(130,3+18*1+(15))),'J1 C - (South) Bishopthorpe Roa'!$A$12:$A$130,"&gt;="&amp;Diagram!$O57,'J1 C - (South) Bishopthorpe Roa'!$A$12:$A$130,"&lt;"&amp;Diagram!$P57)))</f>
        <v>0</v>
      </c>
      <c r="EQ57" s="42">
        <f ca="1">IF(OR($I$10="",$O57="",$P57="",$J$42&lt;&gt;"Yes"),0,IF($K$10=0,SUMIFS(INDIRECT(ADDRESS(12,3+18*2+(7),,,"J1 C - (South) Bishopthorpe Roa")&amp;":"&amp;ADDRESS(130,3+18*2+(7))),'J1 C - (South) Bishopthorpe Roa'!$A$12:$A$130,"&gt;="&amp;Diagram!$O57,'J1 C - (South) Bishopthorpe Roa'!$A$12:$A$130,"&lt;"&amp;Diagram!$P57),SUMIFS(INDIRECT(ADDRESS(12,3+18*2+(15),,,"J1 C - (South) Bishopthorpe Roa")&amp;":"&amp;ADDRESS(130,3+18*2+(15))),'J1 C - (South) Bishopthorpe Roa'!$A$12:$A$130,"&gt;="&amp;Diagram!$O57,'J1 C - (South) Bishopthorpe Roa'!$A$12:$A$130,"&lt;"&amp;Diagram!$P57)))</f>
        <v>1</v>
      </c>
      <c r="ER57" s="42">
        <f ca="1">IF(OR($I$10="",$O57="",$P57="",$J$42&lt;&gt;"Yes"),0,IF($K$10=0,SUMIFS(INDIRECT(ADDRESS(12,3+18*3+(7),,,"J1 C - (South) Bishopthorpe Roa")&amp;":"&amp;ADDRESS(130,3+18*3+(7))),'J1 C - (South) Bishopthorpe Roa'!$A$12:$A$130,"&gt;="&amp;Diagram!$O57,'J1 C - (South) Bishopthorpe Roa'!$A$12:$A$130,"&lt;"&amp;Diagram!$P57),SUMIFS(INDIRECT(ADDRESS(12,3+18*3+(15),,,"J1 C - (South) Bishopthorpe Roa")&amp;":"&amp;ADDRESS(130,3+18*3+(15))),'J1 C - (South) Bishopthorpe Roa'!$A$12:$A$130,"&gt;="&amp;Diagram!$O57,'J1 C - (South) Bishopthorpe Roa'!$A$12:$A$130,"&lt;"&amp;Diagram!$P57)))</f>
        <v>0</v>
      </c>
      <c r="ES57" s="42">
        <f ca="1">IF(OR($I$10="",$O57="",$P57="",$J$42&lt;&gt;"Yes"),0,IF($K$10=0,SUMIFS(INDIRECT(ADDRESS(12,3+18*0+(7),,,"J1 C - (South) Bishopthorpe Roa")&amp;":"&amp;ADDRESS(130,3+18*0+(7))),'J1 C - (South) Bishopthorpe Roa'!$A$12:$A$130,"&gt;="&amp;Diagram!$O57,'J1 C - (South) Bishopthorpe Roa'!$A$12:$A$130,"&lt;"&amp;Diagram!$P57),SUMIFS(INDIRECT(ADDRESS(12,3+18*0+(15),,,"J1 C - (South) Bishopthorpe Roa")&amp;":"&amp;ADDRESS(130,3+18*0+(15))),'J1 C - (South) Bishopthorpe Roa'!$A$12:$A$130,"&gt;="&amp;Diagram!$O57,'J1 C - (South) Bishopthorpe Roa'!$A$12:$A$130,"&lt;"&amp;Diagram!$P57)))</f>
        <v>0</v>
      </c>
      <c r="ET57" s="42">
        <f ca="1">IF(OR($I$10="",$O57="",$P57="",$J$42&lt;&gt;"Yes"),0,IF($K$10=0,SUMIFS(INDIRECT(ADDRESS(12,3+18*0+(7),,,"J1 D - South Bank Avenue")&amp;":"&amp;ADDRESS(130,3+18*0+(7))),'J1 D - South Bank Avenue'!$A$12:$A$130,"&gt;="&amp;Diagram!$O57,'J1 D - South Bank Avenue'!$A$12:$A$130,"&lt;"&amp;Diagram!$P57),SUMIFS(INDIRECT(ADDRESS(12,3+18*0+(15),,,"J1 D - South Bank Avenue")&amp;":"&amp;ADDRESS(130,3+18*0+(15))),'J1 D - South Bank Avenue'!$A$12:$A$130,"&gt;="&amp;Diagram!$O57,'J1 D - South Bank Avenue'!$A$12:$A$130,"&lt;"&amp;Diagram!$P57)))</f>
        <v>0</v>
      </c>
      <c r="EU57" s="42">
        <f ca="1">IF(OR($I$10="",$O57="",$P57="",$J$42&lt;&gt;"Yes"),0,IF($K$10=0,SUMIFS(INDIRECT(ADDRESS(12,3+18*1+(7),,,"J1 D - South Bank Avenue")&amp;":"&amp;ADDRESS(130,3+18*1+(7))),'J1 D - South Bank Avenue'!$A$12:$A$130,"&gt;="&amp;Diagram!$O57,'J1 D - South Bank Avenue'!$A$12:$A$130,"&lt;"&amp;Diagram!$P57),SUMIFS(INDIRECT(ADDRESS(12,3+18*1+(15),,,"J1 D - South Bank Avenue")&amp;":"&amp;ADDRESS(130,3+18*1+(15))),'J1 D - South Bank Avenue'!$A$12:$A$130,"&gt;="&amp;Diagram!$O57,'J1 D - South Bank Avenue'!$A$12:$A$130,"&lt;"&amp;Diagram!$P57)))</f>
        <v>0</v>
      </c>
      <c r="EV57" s="42">
        <f ca="1">IF(OR($I$10="",$O57="",$P57="",$J$42&lt;&gt;"Yes"),0,IF($K$10=0,SUMIFS(INDIRECT(ADDRESS(12,3+18*2+(7),,,"J1 D - South Bank Avenue")&amp;":"&amp;ADDRESS(130,3+18*2+(7))),'J1 D - South Bank Avenue'!$A$12:$A$130,"&gt;="&amp;Diagram!$O57,'J1 D - South Bank Avenue'!$A$12:$A$130,"&lt;"&amp;Diagram!$P57),SUMIFS(INDIRECT(ADDRESS(12,3+18*2+(15),,,"J1 D - South Bank Avenue")&amp;":"&amp;ADDRESS(130,3+18*2+(15))),'J1 D - South Bank Avenue'!$A$12:$A$130,"&gt;="&amp;Diagram!$O57,'J1 D - South Bank Avenue'!$A$12:$A$130,"&lt;"&amp;Diagram!$P57)))</f>
        <v>0</v>
      </c>
      <c r="EW57" s="42">
        <f ca="1">IF(OR($I$10="",$O57="",$P57="",$J$42&lt;&gt;"Yes"),0,IF($K$10=0,SUMIFS(INDIRECT(ADDRESS(12,3+18*3+(7),,,"J1 D - South Bank Avenue")&amp;":"&amp;ADDRESS(130,3+18*3+(7))),'J1 D - South Bank Avenue'!$A$12:$A$130,"&gt;="&amp;Diagram!$O57,'J1 D - South Bank Avenue'!$A$12:$A$130,"&lt;"&amp;Diagram!$P57),SUMIFS(INDIRECT(ADDRESS(12,3+18*3+(15),,,"J1 D - South Bank Avenue")&amp;":"&amp;ADDRESS(130,3+18*3+(15))),'J1 D - South Bank Avenue'!$A$12:$A$130,"&gt;="&amp;Diagram!$O57,'J1 D - South Bank Avenue'!$A$12:$A$130,"&lt;"&amp;Diagram!$P57)))</f>
        <v>0</v>
      </c>
    </row>
    <row r="58" spans="1:153">
      <c r="A58" s="1">
        <v>44395.59375</v>
      </c>
      <c r="B58" s="1">
        <v>44395.604166666701</v>
      </c>
      <c r="O58" s="3">
        <v>44395.59375</v>
      </c>
      <c r="P58" s="3">
        <v>44395.635416666701</v>
      </c>
      <c r="Q58" s="42">
        <f t="shared" ca="1" si="0"/>
        <v>733</v>
      </c>
      <c r="R58" s="42">
        <f t="shared" ca="1" si="1"/>
        <v>502</v>
      </c>
      <c r="S58" s="42">
        <f ca="1">IF(OR($I$10="",$O58="",$P58="",$J$35&lt;&gt;"Yes"),0,IF($K$10=0,SUMIFS(INDIRECT(ADDRESS(12,3+18*3+(0),,,"J1 A - (North) Bishopthorpe Roa")&amp;":"&amp;ADDRESS(130,3+18*3+(0))),'J1 A - (North) Bishopthorpe Roa'!$A$12:$A$130,"&gt;="&amp;Diagram!$O58,'J1 A - (North) Bishopthorpe Roa'!$A$12:$A$130,"&lt;"&amp;Diagram!$P58),SUMIFS(INDIRECT(ADDRESS(12,3+18*3+(8),,,"J1 A - (North) Bishopthorpe Roa")&amp;":"&amp;ADDRESS(130,3+18*3+(8))),'J1 A - (North) Bishopthorpe Roa'!$A$12:$A$130,"&gt;="&amp;Diagram!$O58,'J1 A - (North) Bishopthorpe Roa'!$A$12:$A$130,"&lt;"&amp;Diagram!$P58)))</f>
        <v>2</v>
      </c>
      <c r="T58" s="42">
        <f ca="1">IF(OR($I$10="",$O58="",$P58="",$J$35&lt;&gt;"Yes"),0,IF($K$10=0,SUMIFS(INDIRECT(ADDRESS(12,3+18*0+(0),,,"J1 A - (North) Bishopthorpe Roa")&amp;":"&amp;ADDRESS(130,3+18*0+(0))),'J1 A - (North) Bishopthorpe Roa'!$A$12:$A$130,"&gt;="&amp;Diagram!$O58,'J1 A - (North) Bishopthorpe Roa'!$A$12:$A$130,"&lt;"&amp;Diagram!$P58),SUMIFS(INDIRECT(ADDRESS(12,3+18*0+(8),,,"J1 A - (North) Bishopthorpe Roa")&amp;":"&amp;ADDRESS(130,3+18*0+(8))),'J1 A - (North) Bishopthorpe Roa'!$A$12:$A$130,"&gt;="&amp;Diagram!$O58,'J1 A - (North) Bishopthorpe Roa'!$A$12:$A$130,"&lt;"&amp;Diagram!$P58)))</f>
        <v>19</v>
      </c>
      <c r="U58" s="42">
        <f ca="1">IF(OR($I$10="",$O58="",$P58="",$J$35&lt;&gt;"Yes"),0,IF($K$10=0,SUMIFS(INDIRECT(ADDRESS(12,3+18*1+(0),,,"J1 A - (North) Bishopthorpe Roa")&amp;":"&amp;ADDRESS(130,3+18*1+(0))),'J1 A - (North) Bishopthorpe Roa'!$A$12:$A$130,"&gt;="&amp;Diagram!$O58,'J1 A - (North) Bishopthorpe Roa'!$A$12:$A$130,"&lt;"&amp;Diagram!$P58),SUMIFS(INDIRECT(ADDRESS(12,3+18*1+(8),,,"J1 A - (North) Bishopthorpe Roa")&amp;":"&amp;ADDRESS(130,3+18*1+(8))),'J1 A - (North) Bishopthorpe Roa'!$A$12:$A$130,"&gt;="&amp;Diagram!$O58,'J1 A - (North) Bishopthorpe Roa'!$A$12:$A$130,"&lt;"&amp;Diagram!$P58)))</f>
        <v>227</v>
      </c>
      <c r="V58" s="42">
        <f ca="1">IF(OR($I$10="",$O58="",$P58="",$J$35&lt;&gt;"Yes"),0,IF($K$10=0,SUMIFS(INDIRECT(ADDRESS(12,3+18*2+(0),,,"J1 A - (North) Bishopthorpe Roa")&amp;":"&amp;ADDRESS(130,3+18*2+(0))),'J1 A - (North) Bishopthorpe Roa'!$A$12:$A$130,"&gt;="&amp;Diagram!$O58,'J1 A - (North) Bishopthorpe Roa'!$A$12:$A$130,"&lt;"&amp;Diagram!$P58),SUMIFS(INDIRECT(ADDRESS(12,3+18*2+(8),,,"J1 A - (North) Bishopthorpe Roa")&amp;":"&amp;ADDRESS(130,3+18*2+(8))),'J1 A - (North) Bishopthorpe Roa'!$A$12:$A$130,"&gt;="&amp;Diagram!$O58,'J1 A - (North) Bishopthorpe Roa'!$A$12:$A$130,"&lt;"&amp;Diagram!$P58)))</f>
        <v>19</v>
      </c>
      <c r="W58" s="42">
        <f ca="1">IF(OR($I$10="",$O58="",$P58="",$J$35&lt;&gt;"Yes"),0,IF($K$10=0,SUMIFS(INDIRECT(ADDRESS(12,3+18*2+(0),,,"J1 B - Butcher Terrace")&amp;":"&amp;ADDRESS(130,3+18*2+(0))),'J1 B - Butcher Terrace'!$A$12:$A$130,"&gt;="&amp;Diagram!$O58,'J1 B - Butcher Terrace'!$A$12:$A$130,"&lt;"&amp;Diagram!$P58),SUMIFS(INDIRECT(ADDRESS(12,3+18*2+(8),,,"J1 B - Butcher Terrace")&amp;":"&amp;ADDRESS(130,3+18*2+(8))),'J1 B - Butcher Terrace'!$A$12:$A$130,"&gt;="&amp;Diagram!$O58,'J1 B - Butcher Terrace'!$A$12:$A$130,"&lt;"&amp;Diagram!$P58)))</f>
        <v>14</v>
      </c>
      <c r="X58" s="42">
        <f ca="1">IF(OR($I$10="",$O58="",$P58="",$J$35&lt;&gt;"Yes"),0,IF($K$10=0,SUMIFS(INDIRECT(ADDRESS(12,3+18*3+(0),,,"J1 B - Butcher Terrace")&amp;":"&amp;ADDRESS(130,3+18*3+(0))),'J1 B - Butcher Terrace'!$A$12:$A$130,"&gt;="&amp;Diagram!$O58,'J1 B - Butcher Terrace'!$A$12:$A$130,"&lt;"&amp;Diagram!$P58),SUMIFS(INDIRECT(ADDRESS(12,3+18*3+(8),,,"J1 B - Butcher Terrace")&amp;":"&amp;ADDRESS(130,3+18*3+(8))),'J1 B - Butcher Terrace'!$A$12:$A$130,"&gt;="&amp;Diagram!$O58,'J1 B - Butcher Terrace'!$A$12:$A$130,"&lt;"&amp;Diagram!$P58)))</f>
        <v>0</v>
      </c>
      <c r="Y58" s="42">
        <f ca="1">IF(OR($I$10="",$O58="",$P58="",$J$35&lt;&gt;"Yes"),0,IF($K$10=0,SUMIFS(INDIRECT(ADDRESS(12,3+18*0+(0),,,"J1 B - Butcher Terrace")&amp;":"&amp;ADDRESS(130,3+18*0+(0))),'J1 B - Butcher Terrace'!$A$12:$A$130,"&gt;="&amp;Diagram!$O58,'J1 B - Butcher Terrace'!$A$12:$A$130,"&lt;"&amp;Diagram!$P58),SUMIFS(INDIRECT(ADDRESS(12,3+18*0+(8),,,"J1 B - Butcher Terrace")&amp;":"&amp;ADDRESS(130,3+18*0+(8))),'J1 B - Butcher Terrace'!$A$12:$A$130,"&gt;="&amp;Diagram!$O58,'J1 B - Butcher Terrace'!$A$12:$A$130,"&lt;"&amp;Diagram!$P58)))</f>
        <v>10</v>
      </c>
      <c r="Z58" s="42">
        <f ca="1">IF(OR($I$10="",$O58="",$P58="",$J$35&lt;&gt;"Yes"),0,IF($K$10=0,SUMIFS(INDIRECT(ADDRESS(12,3+18*1+(0),,,"J1 B - Butcher Terrace")&amp;":"&amp;ADDRESS(130,3+18*1+(0))),'J1 B - Butcher Terrace'!$A$12:$A$130,"&gt;="&amp;Diagram!$O58,'J1 B - Butcher Terrace'!$A$12:$A$130,"&lt;"&amp;Diagram!$P58),SUMIFS(INDIRECT(ADDRESS(12,3+18*1+(8),,,"J1 B - Butcher Terrace")&amp;":"&amp;ADDRESS(130,3+18*1+(8))),'J1 B - Butcher Terrace'!$A$12:$A$130,"&gt;="&amp;Diagram!$O58,'J1 B - Butcher Terrace'!$A$12:$A$130,"&lt;"&amp;Diagram!$P58)))</f>
        <v>1</v>
      </c>
      <c r="AA58" s="42">
        <f ca="1">IF(OR($I$10="",$O58="",$P58="",$J$35&lt;&gt;"Yes"),0,IF($K$10=0,SUMIFS(INDIRECT(ADDRESS(12,3+18*1+(0),,,"J1 C - (South) Bishopthorpe Roa")&amp;":"&amp;ADDRESS(130,3+18*1+(0))),'J1 C - (South) Bishopthorpe Roa'!$A$12:$A$130,"&gt;="&amp;Diagram!$O58,'J1 C - (South) Bishopthorpe Roa'!$A$12:$A$130,"&lt;"&amp;Diagram!$P58),SUMIFS(INDIRECT(ADDRESS(12,3+18*1+(8),,,"J1 C - (South) Bishopthorpe Roa")&amp;":"&amp;ADDRESS(130,3+18*1+(8))),'J1 C - (South) Bishopthorpe Roa'!$A$12:$A$130,"&gt;="&amp;Diagram!$O58,'J1 C - (South) Bishopthorpe Roa'!$A$12:$A$130,"&lt;"&amp;Diagram!$P58)))</f>
        <v>169</v>
      </c>
      <c r="AB58" s="42">
        <f ca="1">IF(OR($I$10="",$O58="",$P58="",$J$35&lt;&gt;"Yes"),0,IF($K$10=0,SUMIFS(INDIRECT(ADDRESS(12,3+18*2+(0),,,"J1 C - (South) Bishopthorpe Roa")&amp;":"&amp;ADDRESS(130,3+18*2+(0))),'J1 C - (South) Bishopthorpe Roa'!$A$12:$A$130,"&gt;="&amp;Diagram!$O58,'J1 C - (South) Bishopthorpe Roa'!$A$12:$A$130,"&lt;"&amp;Diagram!$P58),SUMIFS(INDIRECT(ADDRESS(12,3+18*2+(8),,,"J1 C - (South) Bishopthorpe Roa")&amp;":"&amp;ADDRESS(130,3+18*2+(8))),'J1 C - (South) Bishopthorpe Roa'!$A$12:$A$130,"&gt;="&amp;Diagram!$O58,'J1 C - (South) Bishopthorpe Roa'!$A$12:$A$130,"&lt;"&amp;Diagram!$P58)))</f>
        <v>7</v>
      </c>
      <c r="AC58" s="42">
        <f ca="1">IF(OR($I$10="",$O58="",$P58="",$J$35&lt;&gt;"Yes"),0,IF($K$10=0,SUMIFS(INDIRECT(ADDRESS(12,3+18*3+(0),,,"J1 C - (South) Bishopthorpe Roa")&amp;":"&amp;ADDRESS(130,3+18*3+(0))),'J1 C - (South) Bishopthorpe Roa'!$A$12:$A$130,"&gt;="&amp;Diagram!$O58,'J1 C - (South) Bishopthorpe Roa'!$A$12:$A$130,"&lt;"&amp;Diagram!$P58),SUMIFS(INDIRECT(ADDRESS(12,3+18*3+(8),,,"J1 C - (South) Bishopthorpe Roa")&amp;":"&amp;ADDRESS(130,3+18*3+(8))),'J1 C - (South) Bishopthorpe Roa'!$A$12:$A$130,"&gt;="&amp;Diagram!$O58,'J1 C - (South) Bishopthorpe Roa'!$A$12:$A$130,"&lt;"&amp;Diagram!$P58)))</f>
        <v>0</v>
      </c>
      <c r="AD58" s="42">
        <f ca="1">IF(OR($I$10="",$O58="",$P58="",$J$35&lt;&gt;"Yes"),0,IF($K$10=0,SUMIFS(INDIRECT(ADDRESS(12,3+18*0+(0),,,"J1 C - (South) Bishopthorpe Roa")&amp;":"&amp;ADDRESS(130,3+18*0+(0))),'J1 C - (South) Bishopthorpe Roa'!$A$12:$A$130,"&gt;="&amp;Diagram!$O58,'J1 C - (South) Bishopthorpe Roa'!$A$12:$A$130,"&lt;"&amp;Diagram!$P58),SUMIFS(INDIRECT(ADDRESS(12,3+18*0+(8),,,"J1 C - (South) Bishopthorpe Roa")&amp;":"&amp;ADDRESS(130,3+18*0+(8))),'J1 C - (South) Bishopthorpe Roa'!$A$12:$A$130,"&gt;="&amp;Diagram!$O58,'J1 C - (South) Bishopthorpe Roa'!$A$12:$A$130,"&lt;"&amp;Diagram!$P58)))</f>
        <v>1</v>
      </c>
      <c r="AE58" s="42">
        <f ca="1">IF(OR($I$10="",$O58="",$P58="",$J$35&lt;&gt;"Yes"),0,IF($K$10=0,SUMIFS(INDIRECT(ADDRESS(12,3+18*0+(0),,,"J1 D - South Bank Avenue")&amp;":"&amp;ADDRESS(130,3+18*0+(0))),'J1 D - South Bank Avenue'!$A$12:$A$130,"&gt;="&amp;Diagram!$O58,'J1 D - South Bank Avenue'!$A$12:$A$130,"&lt;"&amp;Diagram!$P58),SUMIFS(INDIRECT(ADDRESS(12,3+18*0+(8),,,"J1 D - South Bank Avenue")&amp;":"&amp;ADDRESS(130,3+18*0+(8))),'J1 D - South Bank Avenue'!$A$12:$A$130,"&gt;="&amp;Diagram!$O58,'J1 D - South Bank Avenue'!$A$12:$A$130,"&lt;"&amp;Diagram!$P58)))</f>
        <v>25</v>
      </c>
      <c r="AF58" s="42">
        <f ca="1">IF(OR($I$10="",$O58="",$P58="",$J$35&lt;&gt;"Yes"),0,IF($K$10=0,SUMIFS(INDIRECT(ADDRESS(12,3+18*1+(0),,,"J1 D - South Bank Avenue")&amp;":"&amp;ADDRESS(130,3+18*1+(0))),'J1 D - South Bank Avenue'!$A$12:$A$130,"&gt;="&amp;Diagram!$O58,'J1 D - South Bank Avenue'!$A$12:$A$130,"&lt;"&amp;Diagram!$P58),SUMIFS(INDIRECT(ADDRESS(12,3+18*1+(8),,,"J1 D - South Bank Avenue")&amp;":"&amp;ADDRESS(130,3+18*1+(8))),'J1 D - South Bank Avenue'!$A$12:$A$130,"&gt;="&amp;Diagram!$O58,'J1 D - South Bank Avenue'!$A$12:$A$130,"&lt;"&amp;Diagram!$P58)))</f>
        <v>2</v>
      </c>
      <c r="AG58" s="42">
        <f ca="1">IF(OR($I$10="",$O58="",$P58="",$J$35&lt;&gt;"Yes"),0,IF($K$10=0,SUMIFS(INDIRECT(ADDRESS(12,3+18*2+(0),,,"J1 D - South Bank Avenue")&amp;":"&amp;ADDRESS(130,3+18*2+(0))),'J1 D - South Bank Avenue'!$A$12:$A$130,"&gt;="&amp;Diagram!$O58,'J1 D - South Bank Avenue'!$A$12:$A$130,"&lt;"&amp;Diagram!$P58),SUMIFS(INDIRECT(ADDRESS(12,3+18*2+(8),,,"J1 D - South Bank Avenue")&amp;":"&amp;ADDRESS(130,3+18*2+(8))),'J1 D - South Bank Avenue'!$A$12:$A$130,"&gt;="&amp;Diagram!$O58,'J1 D - South Bank Avenue'!$A$12:$A$130,"&lt;"&amp;Diagram!$P58)))</f>
        <v>6</v>
      </c>
      <c r="AH58" s="42">
        <f ca="1">IF(OR($I$10="",$O58="",$P58="",$J$35&lt;&gt;"Yes"),0,IF($K$10=0,SUMIFS(INDIRECT(ADDRESS(12,3+18*3+(0),,,"J1 D - South Bank Avenue")&amp;":"&amp;ADDRESS(130,3+18*3+(0))),'J1 D - South Bank Avenue'!$A$12:$A$130,"&gt;="&amp;Diagram!$O58,'J1 D - South Bank Avenue'!$A$12:$A$130,"&lt;"&amp;Diagram!$P58),SUMIFS(INDIRECT(ADDRESS(12,3+18*3+(8),,,"J1 D - South Bank Avenue")&amp;":"&amp;ADDRESS(130,3+18*3+(8))),'J1 D - South Bank Avenue'!$A$12:$A$130,"&gt;="&amp;Diagram!$O58,'J1 D - South Bank Avenue'!$A$12:$A$130,"&lt;"&amp;Diagram!$P58)))</f>
        <v>0</v>
      </c>
      <c r="AI58" s="42">
        <f t="shared" ca="1" si="2"/>
        <v>82</v>
      </c>
      <c r="AJ58" s="42">
        <f ca="1">IF(OR($I$10="",$O58="",$P58="",$J$36&lt;&gt;"Yes"),0,IF($K$10=0,SUMIFS(INDIRECT(ADDRESS(12,3+18*3+(1),,,"J1 A - (North) Bishopthorpe Roa")&amp;":"&amp;ADDRESS(130,3+18*3+(1))),'J1 A - (North) Bishopthorpe Roa'!$A$12:$A$130,"&gt;="&amp;Diagram!$O58,'J1 A - (North) Bishopthorpe Roa'!$A$12:$A$130,"&lt;"&amp;Diagram!$P58),SUMIFS(INDIRECT(ADDRESS(12,3+18*3+(9),,,"J1 A - (North) Bishopthorpe Roa")&amp;":"&amp;ADDRESS(130,3+18*3+(9))),'J1 A - (North) Bishopthorpe Roa'!$A$12:$A$130,"&gt;="&amp;Diagram!$O58,'J1 A - (North) Bishopthorpe Roa'!$A$12:$A$130,"&lt;"&amp;Diagram!$P58)))</f>
        <v>0</v>
      </c>
      <c r="AK58" s="42">
        <f ca="1">IF(OR($I$10="",$O58="",$P58="",$J$36&lt;&gt;"Yes"),0,IF($K$10=0,SUMIFS(INDIRECT(ADDRESS(12,3+18*0+(1),,,"J1 A - (North) Bishopthorpe Roa")&amp;":"&amp;ADDRESS(130,3+18*0+(1))),'J1 A - (North) Bishopthorpe Roa'!$A$12:$A$130,"&gt;="&amp;Diagram!$O58,'J1 A - (North) Bishopthorpe Roa'!$A$12:$A$130,"&lt;"&amp;Diagram!$P58),SUMIFS(INDIRECT(ADDRESS(12,3+18*0+(9),,,"J1 A - (North) Bishopthorpe Roa")&amp;":"&amp;ADDRESS(130,3+18*0+(9))),'J1 A - (North) Bishopthorpe Roa'!$A$12:$A$130,"&gt;="&amp;Diagram!$O58,'J1 A - (North) Bishopthorpe Roa'!$A$12:$A$130,"&lt;"&amp;Diagram!$P58)))</f>
        <v>6</v>
      </c>
      <c r="AL58" s="42">
        <f ca="1">IF(OR($I$10="",$O58="",$P58="",$J$36&lt;&gt;"Yes"),0,IF($K$10=0,SUMIFS(INDIRECT(ADDRESS(12,3+18*1+(1),,,"J1 A - (North) Bishopthorpe Roa")&amp;":"&amp;ADDRESS(130,3+18*1+(1))),'J1 A - (North) Bishopthorpe Roa'!$A$12:$A$130,"&gt;="&amp;Diagram!$O58,'J1 A - (North) Bishopthorpe Roa'!$A$12:$A$130,"&lt;"&amp;Diagram!$P58),SUMIFS(INDIRECT(ADDRESS(12,3+18*1+(9),,,"J1 A - (North) Bishopthorpe Roa")&amp;":"&amp;ADDRESS(130,3+18*1+(9))),'J1 A - (North) Bishopthorpe Roa'!$A$12:$A$130,"&gt;="&amp;Diagram!$O58,'J1 A - (North) Bishopthorpe Roa'!$A$12:$A$130,"&lt;"&amp;Diagram!$P58)))</f>
        <v>34</v>
      </c>
      <c r="AM58" s="42">
        <f ca="1">IF(OR($I$10="",$O58="",$P58="",$J$36&lt;&gt;"Yes"),0,IF($K$10=0,SUMIFS(INDIRECT(ADDRESS(12,3+18*2+(1),,,"J1 A - (North) Bishopthorpe Roa")&amp;":"&amp;ADDRESS(130,3+18*2+(1))),'J1 A - (North) Bishopthorpe Roa'!$A$12:$A$130,"&gt;="&amp;Diagram!$O58,'J1 A - (North) Bishopthorpe Roa'!$A$12:$A$130,"&lt;"&amp;Diagram!$P58),SUMIFS(INDIRECT(ADDRESS(12,3+18*2+(9),,,"J1 A - (North) Bishopthorpe Roa")&amp;":"&amp;ADDRESS(130,3+18*2+(9))),'J1 A - (North) Bishopthorpe Roa'!$A$12:$A$130,"&gt;="&amp;Diagram!$O58,'J1 A - (North) Bishopthorpe Roa'!$A$12:$A$130,"&lt;"&amp;Diagram!$P58)))</f>
        <v>4</v>
      </c>
      <c r="AN58" s="42">
        <f ca="1">IF(OR($I$10="",$O58="",$P58="",$J$36&lt;&gt;"Yes"),0,IF($K$10=0,SUMIFS(INDIRECT(ADDRESS(12,3+18*2+(1),,,"J1 B - Butcher Terrace")&amp;":"&amp;ADDRESS(130,3+18*2+(1))),'J1 B - Butcher Terrace'!$A$12:$A$130,"&gt;="&amp;Diagram!$O58,'J1 B - Butcher Terrace'!$A$12:$A$130,"&lt;"&amp;Diagram!$P58),SUMIFS(INDIRECT(ADDRESS(12,3+18*2+(9),,,"J1 B - Butcher Terrace")&amp;":"&amp;ADDRESS(130,3+18*2+(9))),'J1 B - Butcher Terrace'!$A$12:$A$130,"&gt;="&amp;Diagram!$O58,'J1 B - Butcher Terrace'!$A$12:$A$130,"&lt;"&amp;Diagram!$P58)))</f>
        <v>2</v>
      </c>
      <c r="AO58" s="42">
        <f ca="1">IF(OR($I$10="",$O58="",$P58="",$J$36&lt;&gt;"Yes"),0,IF($K$10=0,SUMIFS(INDIRECT(ADDRESS(12,3+18*3+(1),,,"J1 B - Butcher Terrace")&amp;":"&amp;ADDRESS(130,3+18*3+(1))),'J1 B - Butcher Terrace'!$A$12:$A$130,"&gt;="&amp;Diagram!$O58,'J1 B - Butcher Terrace'!$A$12:$A$130,"&lt;"&amp;Diagram!$P58),SUMIFS(INDIRECT(ADDRESS(12,3+18*3+(9),,,"J1 B - Butcher Terrace")&amp;":"&amp;ADDRESS(130,3+18*3+(9))),'J1 B - Butcher Terrace'!$A$12:$A$130,"&gt;="&amp;Diagram!$O58,'J1 B - Butcher Terrace'!$A$12:$A$130,"&lt;"&amp;Diagram!$P58)))</f>
        <v>0</v>
      </c>
      <c r="AP58" s="42">
        <f ca="1">IF(OR($I$10="",$O58="",$P58="",$J$36&lt;&gt;"Yes"),0,IF($K$10=0,SUMIFS(INDIRECT(ADDRESS(12,3+18*0+(1),,,"J1 B - Butcher Terrace")&amp;":"&amp;ADDRESS(130,3+18*0+(1))),'J1 B - Butcher Terrace'!$A$12:$A$130,"&gt;="&amp;Diagram!$O58,'J1 B - Butcher Terrace'!$A$12:$A$130,"&lt;"&amp;Diagram!$P58),SUMIFS(INDIRECT(ADDRESS(12,3+18*0+(9),,,"J1 B - Butcher Terrace")&amp;":"&amp;ADDRESS(130,3+18*0+(9))),'J1 B - Butcher Terrace'!$A$12:$A$130,"&gt;="&amp;Diagram!$O58,'J1 B - Butcher Terrace'!$A$12:$A$130,"&lt;"&amp;Diagram!$P58)))</f>
        <v>2</v>
      </c>
      <c r="AQ58" s="42">
        <f ca="1">IF(OR($I$10="",$O58="",$P58="",$J$36&lt;&gt;"Yes"),0,IF($K$10=0,SUMIFS(INDIRECT(ADDRESS(12,3+18*1+(1),,,"J1 B - Butcher Terrace")&amp;":"&amp;ADDRESS(130,3+18*1+(1))),'J1 B - Butcher Terrace'!$A$12:$A$130,"&gt;="&amp;Diagram!$O58,'J1 B - Butcher Terrace'!$A$12:$A$130,"&lt;"&amp;Diagram!$P58),SUMIFS(INDIRECT(ADDRESS(12,3+18*1+(9),,,"J1 B - Butcher Terrace")&amp;":"&amp;ADDRESS(130,3+18*1+(9))),'J1 B - Butcher Terrace'!$A$12:$A$130,"&gt;="&amp;Diagram!$O58,'J1 B - Butcher Terrace'!$A$12:$A$130,"&lt;"&amp;Diagram!$P58)))</f>
        <v>0</v>
      </c>
      <c r="AR58" s="42">
        <f ca="1">IF(OR($I$10="",$O58="",$P58="",$J$36&lt;&gt;"Yes"),0,IF($K$10=0,SUMIFS(INDIRECT(ADDRESS(12,3+18*1+(1),,,"J1 C - (South) Bishopthorpe Roa")&amp;":"&amp;ADDRESS(130,3+18*1+(1))),'J1 C - (South) Bishopthorpe Roa'!$A$12:$A$130,"&gt;="&amp;Diagram!$O58,'J1 C - (South) Bishopthorpe Roa'!$A$12:$A$130,"&lt;"&amp;Diagram!$P58),SUMIFS(INDIRECT(ADDRESS(12,3+18*1+(9),,,"J1 C - (South) Bishopthorpe Roa")&amp;":"&amp;ADDRESS(130,3+18*1+(9))),'J1 C - (South) Bishopthorpe Roa'!$A$12:$A$130,"&gt;="&amp;Diagram!$O58,'J1 C - (South) Bishopthorpe Roa'!$A$12:$A$130,"&lt;"&amp;Diagram!$P58)))</f>
        <v>27</v>
      </c>
      <c r="AS58" s="42">
        <f ca="1">IF(OR($I$10="",$O58="",$P58="",$J$36&lt;&gt;"Yes"),0,IF($K$10=0,SUMIFS(INDIRECT(ADDRESS(12,3+18*2+(1),,,"J1 C - (South) Bishopthorpe Roa")&amp;":"&amp;ADDRESS(130,3+18*2+(1))),'J1 C - (South) Bishopthorpe Roa'!$A$12:$A$130,"&gt;="&amp;Diagram!$O58,'J1 C - (South) Bishopthorpe Roa'!$A$12:$A$130,"&lt;"&amp;Diagram!$P58),SUMIFS(INDIRECT(ADDRESS(12,3+18*2+(9),,,"J1 C - (South) Bishopthorpe Roa")&amp;":"&amp;ADDRESS(130,3+18*2+(9))),'J1 C - (South) Bishopthorpe Roa'!$A$12:$A$130,"&gt;="&amp;Diagram!$O58,'J1 C - (South) Bishopthorpe Roa'!$A$12:$A$130,"&lt;"&amp;Diagram!$P58)))</f>
        <v>1</v>
      </c>
      <c r="AT58" s="42">
        <f ca="1">IF(OR($I$10="",$O58="",$P58="",$J$36&lt;&gt;"Yes"),0,IF($K$10=0,SUMIFS(INDIRECT(ADDRESS(12,3+18*3+(1),,,"J1 C - (South) Bishopthorpe Roa")&amp;":"&amp;ADDRESS(130,3+18*3+(1))),'J1 C - (South) Bishopthorpe Roa'!$A$12:$A$130,"&gt;="&amp;Diagram!$O58,'J1 C - (South) Bishopthorpe Roa'!$A$12:$A$130,"&lt;"&amp;Diagram!$P58),SUMIFS(INDIRECT(ADDRESS(12,3+18*3+(9),,,"J1 C - (South) Bishopthorpe Roa")&amp;":"&amp;ADDRESS(130,3+18*3+(9))),'J1 C - (South) Bishopthorpe Roa'!$A$12:$A$130,"&gt;="&amp;Diagram!$O58,'J1 C - (South) Bishopthorpe Roa'!$A$12:$A$130,"&lt;"&amp;Diagram!$P58)))</f>
        <v>0</v>
      </c>
      <c r="AU58" s="42">
        <f ca="1">IF(OR($I$10="",$O58="",$P58="",$J$36&lt;&gt;"Yes"),0,IF($K$10=0,SUMIFS(INDIRECT(ADDRESS(12,3+18*0+(1),,,"J1 C - (South) Bishopthorpe Roa")&amp;":"&amp;ADDRESS(130,3+18*0+(1))),'J1 C - (South) Bishopthorpe Roa'!$A$12:$A$130,"&gt;="&amp;Diagram!$O58,'J1 C - (South) Bishopthorpe Roa'!$A$12:$A$130,"&lt;"&amp;Diagram!$P58),SUMIFS(INDIRECT(ADDRESS(12,3+18*0+(9),,,"J1 C - (South) Bishopthorpe Roa")&amp;":"&amp;ADDRESS(130,3+18*0+(9))),'J1 C - (South) Bishopthorpe Roa'!$A$12:$A$130,"&gt;="&amp;Diagram!$O58,'J1 C - (South) Bishopthorpe Roa'!$A$12:$A$130,"&lt;"&amp;Diagram!$P58)))</f>
        <v>1</v>
      </c>
      <c r="AV58" s="42">
        <f ca="1">IF(OR($I$10="",$O58="",$P58="",$J$36&lt;&gt;"Yes"),0,IF($K$10=0,SUMIFS(INDIRECT(ADDRESS(12,3+18*0+(1),,,"J1 D - South Bank Avenue")&amp;":"&amp;ADDRESS(130,3+18*0+(1))),'J1 D - South Bank Avenue'!$A$12:$A$130,"&gt;="&amp;Diagram!$O58,'J1 D - South Bank Avenue'!$A$12:$A$130,"&lt;"&amp;Diagram!$P58),SUMIFS(INDIRECT(ADDRESS(12,3+18*0+(9),,,"J1 D - South Bank Avenue")&amp;":"&amp;ADDRESS(130,3+18*0+(9))),'J1 D - South Bank Avenue'!$A$12:$A$130,"&gt;="&amp;Diagram!$O58,'J1 D - South Bank Avenue'!$A$12:$A$130,"&lt;"&amp;Diagram!$P58)))</f>
        <v>3</v>
      </c>
      <c r="AW58" s="42">
        <f ca="1">IF(OR($I$10="",$O58="",$P58="",$J$36&lt;&gt;"Yes"),0,IF($K$10=0,SUMIFS(INDIRECT(ADDRESS(12,3+18*1+(1),,,"J1 D - South Bank Avenue")&amp;":"&amp;ADDRESS(130,3+18*1+(1))),'J1 D - South Bank Avenue'!$A$12:$A$130,"&gt;="&amp;Diagram!$O58,'J1 D - South Bank Avenue'!$A$12:$A$130,"&lt;"&amp;Diagram!$P58),SUMIFS(INDIRECT(ADDRESS(12,3+18*1+(9),,,"J1 D - South Bank Avenue")&amp;":"&amp;ADDRESS(130,3+18*1+(9))),'J1 D - South Bank Avenue'!$A$12:$A$130,"&gt;="&amp;Diagram!$O58,'J1 D - South Bank Avenue'!$A$12:$A$130,"&lt;"&amp;Diagram!$P58)))</f>
        <v>1</v>
      </c>
      <c r="AX58" s="42">
        <f ca="1">IF(OR($I$10="",$O58="",$P58="",$J$36&lt;&gt;"Yes"),0,IF($K$10=0,SUMIFS(INDIRECT(ADDRESS(12,3+18*2+(1),,,"J1 D - South Bank Avenue")&amp;":"&amp;ADDRESS(130,3+18*2+(1))),'J1 D - South Bank Avenue'!$A$12:$A$130,"&gt;="&amp;Diagram!$O58,'J1 D - South Bank Avenue'!$A$12:$A$130,"&lt;"&amp;Diagram!$P58),SUMIFS(INDIRECT(ADDRESS(12,3+18*2+(9),,,"J1 D - South Bank Avenue")&amp;":"&amp;ADDRESS(130,3+18*2+(9))),'J1 D - South Bank Avenue'!$A$12:$A$130,"&gt;="&amp;Diagram!$O58,'J1 D - South Bank Avenue'!$A$12:$A$130,"&lt;"&amp;Diagram!$P58)))</f>
        <v>1</v>
      </c>
      <c r="AY58" s="42">
        <f ca="1">IF(OR($I$10="",$O58="",$P58="",$J$36&lt;&gt;"Yes"),0,IF($K$10=0,SUMIFS(INDIRECT(ADDRESS(12,3+18*3+(1),,,"J1 D - South Bank Avenue")&amp;":"&amp;ADDRESS(130,3+18*3+(1))),'J1 D - South Bank Avenue'!$A$12:$A$130,"&gt;="&amp;Diagram!$O58,'J1 D - South Bank Avenue'!$A$12:$A$130,"&lt;"&amp;Diagram!$P58),SUMIFS(INDIRECT(ADDRESS(12,3+18*3+(9),,,"J1 D - South Bank Avenue")&amp;":"&amp;ADDRESS(130,3+18*3+(9))),'J1 D - South Bank Avenue'!$A$12:$A$130,"&gt;="&amp;Diagram!$O58,'J1 D - South Bank Avenue'!$A$12:$A$130,"&lt;"&amp;Diagram!$P58)))</f>
        <v>0</v>
      </c>
      <c r="AZ58" s="42">
        <f t="shared" ca="1" si="3"/>
        <v>6</v>
      </c>
      <c r="BA58" s="42">
        <f ca="1">IF(OR($I$10="",$O58="",$P58="",$J$37&lt;&gt;"Yes"),0,IF($K$10=0,SUMIFS(INDIRECT(ADDRESS(12,3+18*3+(2),,,"J1 A - (North) Bishopthorpe Roa")&amp;":"&amp;ADDRESS(130,3+18*3+(2))),'J1 A - (North) Bishopthorpe Roa'!$A$12:$A$130,"&gt;="&amp;Diagram!$O58,'J1 A - (North) Bishopthorpe Roa'!$A$12:$A$130,"&lt;"&amp;Diagram!$P58),SUMIFS(INDIRECT(ADDRESS(12,3+18*3+(10),,,"J1 A - (North) Bishopthorpe Roa")&amp;":"&amp;ADDRESS(130,3+18*3+(10))),'J1 A - (North) Bishopthorpe Roa'!$A$12:$A$130,"&gt;="&amp;Diagram!$O58,'J1 A - (North) Bishopthorpe Roa'!$A$12:$A$130,"&lt;"&amp;Diagram!$P58)))</f>
        <v>0</v>
      </c>
      <c r="BB58" s="42">
        <f ca="1">IF(OR($I$10="",$O58="",$P58="",$J$37&lt;&gt;"Yes"),0,IF($K$10=0,SUMIFS(INDIRECT(ADDRESS(12,3+18*0+(2),,,"J1 A - (North) Bishopthorpe Roa")&amp;":"&amp;ADDRESS(130,3+18*0+(2))),'J1 A - (North) Bishopthorpe Roa'!$A$12:$A$130,"&gt;="&amp;Diagram!$O58,'J1 A - (North) Bishopthorpe Roa'!$A$12:$A$130,"&lt;"&amp;Diagram!$P58),SUMIFS(INDIRECT(ADDRESS(12,3+18*0+(10),,,"J1 A - (North) Bishopthorpe Roa")&amp;":"&amp;ADDRESS(130,3+18*0+(10))),'J1 A - (North) Bishopthorpe Roa'!$A$12:$A$130,"&gt;="&amp;Diagram!$O58,'J1 A - (North) Bishopthorpe Roa'!$A$12:$A$130,"&lt;"&amp;Diagram!$P58)))</f>
        <v>0</v>
      </c>
      <c r="BC58" s="42">
        <f ca="1">IF(OR($I$10="",$O58="",$P58="",$J$37&lt;&gt;"Yes"),0,IF($K$10=0,SUMIFS(INDIRECT(ADDRESS(12,3+18*1+(2),,,"J1 A - (North) Bishopthorpe Roa")&amp;":"&amp;ADDRESS(130,3+18*1+(2))),'J1 A - (North) Bishopthorpe Roa'!$A$12:$A$130,"&gt;="&amp;Diagram!$O58,'J1 A - (North) Bishopthorpe Roa'!$A$12:$A$130,"&lt;"&amp;Diagram!$P58),SUMIFS(INDIRECT(ADDRESS(12,3+18*1+(10),,,"J1 A - (North) Bishopthorpe Roa")&amp;":"&amp;ADDRESS(130,3+18*1+(10))),'J1 A - (North) Bishopthorpe Roa'!$A$12:$A$130,"&gt;="&amp;Diagram!$O58,'J1 A - (North) Bishopthorpe Roa'!$A$12:$A$130,"&lt;"&amp;Diagram!$P58)))</f>
        <v>3</v>
      </c>
      <c r="BD58" s="42">
        <f ca="1">IF(OR($I$10="",$O58="",$P58="",$J$37&lt;&gt;"Yes"),0,IF($K$10=0,SUMIFS(INDIRECT(ADDRESS(12,3+18*2+(2),,,"J1 A - (North) Bishopthorpe Roa")&amp;":"&amp;ADDRESS(130,3+18*2+(2))),'J1 A - (North) Bishopthorpe Roa'!$A$12:$A$130,"&gt;="&amp;Diagram!$O58,'J1 A - (North) Bishopthorpe Roa'!$A$12:$A$130,"&lt;"&amp;Diagram!$P58),SUMIFS(INDIRECT(ADDRESS(12,3+18*2+(10),,,"J1 A - (North) Bishopthorpe Roa")&amp;":"&amp;ADDRESS(130,3+18*2+(10))),'J1 A - (North) Bishopthorpe Roa'!$A$12:$A$130,"&gt;="&amp;Diagram!$O58,'J1 A - (North) Bishopthorpe Roa'!$A$12:$A$130,"&lt;"&amp;Diagram!$P58)))</f>
        <v>0</v>
      </c>
      <c r="BE58" s="42">
        <f ca="1">IF(OR($I$10="",$O58="",$P58="",$J$37&lt;&gt;"Yes"),0,IF($K$10=0,SUMIFS(INDIRECT(ADDRESS(12,3+18*2+(2),,,"J1 B - Butcher Terrace")&amp;":"&amp;ADDRESS(130,3+18*2+(2))),'J1 B - Butcher Terrace'!$A$12:$A$130,"&gt;="&amp;Diagram!$O58,'J1 B - Butcher Terrace'!$A$12:$A$130,"&lt;"&amp;Diagram!$P58),SUMIFS(INDIRECT(ADDRESS(12,3+18*2+(10),,,"J1 B - Butcher Terrace")&amp;":"&amp;ADDRESS(130,3+18*2+(10))),'J1 B - Butcher Terrace'!$A$12:$A$130,"&gt;="&amp;Diagram!$O58,'J1 B - Butcher Terrace'!$A$12:$A$130,"&lt;"&amp;Diagram!$P58)))</f>
        <v>0</v>
      </c>
      <c r="BF58" s="42">
        <f ca="1">IF(OR($I$10="",$O58="",$P58="",$J$37&lt;&gt;"Yes"),0,IF($K$10=0,SUMIFS(INDIRECT(ADDRESS(12,3+18*3+(2),,,"J1 B - Butcher Terrace")&amp;":"&amp;ADDRESS(130,3+18*3+(2))),'J1 B - Butcher Terrace'!$A$12:$A$130,"&gt;="&amp;Diagram!$O58,'J1 B - Butcher Terrace'!$A$12:$A$130,"&lt;"&amp;Diagram!$P58),SUMIFS(INDIRECT(ADDRESS(12,3+18*3+(10),,,"J1 B - Butcher Terrace")&amp;":"&amp;ADDRESS(130,3+18*3+(10))),'J1 B - Butcher Terrace'!$A$12:$A$130,"&gt;="&amp;Diagram!$O58,'J1 B - Butcher Terrace'!$A$12:$A$130,"&lt;"&amp;Diagram!$P58)))</f>
        <v>0</v>
      </c>
      <c r="BG58" s="42">
        <f ca="1">IF(OR($I$10="",$O58="",$P58="",$J$37&lt;&gt;"Yes"),0,IF($K$10=0,SUMIFS(INDIRECT(ADDRESS(12,3+18*0+(2),,,"J1 B - Butcher Terrace")&amp;":"&amp;ADDRESS(130,3+18*0+(2))),'J1 B - Butcher Terrace'!$A$12:$A$130,"&gt;="&amp;Diagram!$O58,'J1 B - Butcher Terrace'!$A$12:$A$130,"&lt;"&amp;Diagram!$P58),SUMIFS(INDIRECT(ADDRESS(12,3+18*0+(10),,,"J1 B - Butcher Terrace")&amp;":"&amp;ADDRESS(130,3+18*0+(10))),'J1 B - Butcher Terrace'!$A$12:$A$130,"&gt;="&amp;Diagram!$O58,'J1 B - Butcher Terrace'!$A$12:$A$130,"&lt;"&amp;Diagram!$P58)))</f>
        <v>0</v>
      </c>
      <c r="BH58" s="42">
        <f ca="1">IF(OR($I$10="",$O58="",$P58="",$J$37&lt;&gt;"Yes"),0,IF($K$10=0,SUMIFS(INDIRECT(ADDRESS(12,3+18*1+(2),,,"J1 B - Butcher Terrace")&amp;":"&amp;ADDRESS(130,3+18*1+(2))),'J1 B - Butcher Terrace'!$A$12:$A$130,"&gt;="&amp;Diagram!$O58,'J1 B - Butcher Terrace'!$A$12:$A$130,"&lt;"&amp;Diagram!$P58),SUMIFS(INDIRECT(ADDRESS(12,3+18*1+(10),,,"J1 B - Butcher Terrace")&amp;":"&amp;ADDRESS(130,3+18*1+(10))),'J1 B - Butcher Terrace'!$A$12:$A$130,"&gt;="&amp;Diagram!$O58,'J1 B - Butcher Terrace'!$A$12:$A$130,"&lt;"&amp;Diagram!$P58)))</f>
        <v>0</v>
      </c>
      <c r="BI58" s="42">
        <f ca="1">IF(OR($I$10="",$O58="",$P58="",$J$37&lt;&gt;"Yes"),0,IF($K$10=0,SUMIFS(INDIRECT(ADDRESS(12,3+18*1+(2),,,"J1 C - (South) Bishopthorpe Roa")&amp;":"&amp;ADDRESS(130,3+18*1+(2))),'J1 C - (South) Bishopthorpe Roa'!$A$12:$A$130,"&gt;="&amp;Diagram!$O58,'J1 C - (South) Bishopthorpe Roa'!$A$12:$A$130,"&lt;"&amp;Diagram!$P58),SUMIFS(INDIRECT(ADDRESS(12,3+18*1+(10),,,"J1 C - (South) Bishopthorpe Roa")&amp;":"&amp;ADDRESS(130,3+18*1+(10))),'J1 C - (South) Bishopthorpe Roa'!$A$12:$A$130,"&gt;="&amp;Diagram!$O58,'J1 C - (South) Bishopthorpe Roa'!$A$12:$A$130,"&lt;"&amp;Diagram!$P58)))</f>
        <v>2</v>
      </c>
      <c r="BJ58" s="42">
        <f ca="1">IF(OR($I$10="",$O58="",$P58="",$J$37&lt;&gt;"Yes"),0,IF($K$10=0,SUMIFS(INDIRECT(ADDRESS(12,3+18*2+(2),,,"J1 C - (South) Bishopthorpe Roa")&amp;":"&amp;ADDRESS(130,3+18*2+(2))),'J1 C - (South) Bishopthorpe Roa'!$A$12:$A$130,"&gt;="&amp;Diagram!$O58,'J1 C - (South) Bishopthorpe Roa'!$A$12:$A$130,"&lt;"&amp;Diagram!$P58),SUMIFS(INDIRECT(ADDRESS(12,3+18*2+(10),,,"J1 C - (South) Bishopthorpe Roa")&amp;":"&amp;ADDRESS(130,3+18*2+(10))),'J1 C - (South) Bishopthorpe Roa'!$A$12:$A$130,"&gt;="&amp;Diagram!$O58,'J1 C - (South) Bishopthorpe Roa'!$A$12:$A$130,"&lt;"&amp;Diagram!$P58)))</f>
        <v>1</v>
      </c>
      <c r="BK58" s="42">
        <f ca="1">IF(OR($I$10="",$O58="",$P58="",$J$37&lt;&gt;"Yes"),0,IF($K$10=0,SUMIFS(INDIRECT(ADDRESS(12,3+18*3+(2),,,"J1 C - (South) Bishopthorpe Roa")&amp;":"&amp;ADDRESS(130,3+18*3+(2))),'J1 C - (South) Bishopthorpe Roa'!$A$12:$A$130,"&gt;="&amp;Diagram!$O58,'J1 C - (South) Bishopthorpe Roa'!$A$12:$A$130,"&lt;"&amp;Diagram!$P58),SUMIFS(INDIRECT(ADDRESS(12,3+18*3+(10),,,"J1 C - (South) Bishopthorpe Roa")&amp;":"&amp;ADDRESS(130,3+18*3+(10))),'J1 C - (South) Bishopthorpe Roa'!$A$12:$A$130,"&gt;="&amp;Diagram!$O58,'J1 C - (South) Bishopthorpe Roa'!$A$12:$A$130,"&lt;"&amp;Diagram!$P58)))</f>
        <v>0</v>
      </c>
      <c r="BL58" s="42">
        <f ca="1">IF(OR($I$10="",$O58="",$P58="",$J$37&lt;&gt;"Yes"),0,IF($K$10=0,SUMIFS(INDIRECT(ADDRESS(12,3+18*0+(2),,,"J1 C - (South) Bishopthorpe Roa")&amp;":"&amp;ADDRESS(130,3+18*0+(2))),'J1 C - (South) Bishopthorpe Roa'!$A$12:$A$130,"&gt;="&amp;Diagram!$O58,'J1 C - (South) Bishopthorpe Roa'!$A$12:$A$130,"&lt;"&amp;Diagram!$P58),SUMIFS(INDIRECT(ADDRESS(12,3+18*0+(10),,,"J1 C - (South) Bishopthorpe Roa")&amp;":"&amp;ADDRESS(130,3+18*0+(10))),'J1 C - (South) Bishopthorpe Roa'!$A$12:$A$130,"&gt;="&amp;Diagram!$O58,'J1 C - (South) Bishopthorpe Roa'!$A$12:$A$130,"&lt;"&amp;Diagram!$P58)))</f>
        <v>0</v>
      </c>
      <c r="BM58" s="42">
        <f ca="1">IF(OR($I$10="",$O58="",$P58="",$J$37&lt;&gt;"Yes"),0,IF($K$10=0,SUMIFS(INDIRECT(ADDRESS(12,3+18*0+(2),,,"J1 D - South Bank Avenue")&amp;":"&amp;ADDRESS(130,3+18*0+(2))),'J1 D - South Bank Avenue'!$A$12:$A$130,"&gt;="&amp;Diagram!$O58,'J1 D - South Bank Avenue'!$A$12:$A$130,"&lt;"&amp;Diagram!$P58),SUMIFS(INDIRECT(ADDRESS(12,3+18*0+(10),,,"J1 D - South Bank Avenue")&amp;":"&amp;ADDRESS(130,3+18*0+(10))),'J1 D - South Bank Avenue'!$A$12:$A$130,"&gt;="&amp;Diagram!$O58,'J1 D - South Bank Avenue'!$A$12:$A$130,"&lt;"&amp;Diagram!$P58)))</f>
        <v>0</v>
      </c>
      <c r="BN58" s="42">
        <f ca="1">IF(OR($I$10="",$O58="",$P58="",$J$37&lt;&gt;"Yes"),0,IF($K$10=0,SUMIFS(INDIRECT(ADDRESS(12,3+18*1+(2),,,"J1 D - South Bank Avenue")&amp;":"&amp;ADDRESS(130,3+18*1+(2))),'J1 D - South Bank Avenue'!$A$12:$A$130,"&gt;="&amp;Diagram!$O58,'J1 D - South Bank Avenue'!$A$12:$A$130,"&lt;"&amp;Diagram!$P58),SUMIFS(INDIRECT(ADDRESS(12,3+18*1+(10),,,"J1 D - South Bank Avenue")&amp;":"&amp;ADDRESS(130,3+18*1+(10))),'J1 D - South Bank Avenue'!$A$12:$A$130,"&gt;="&amp;Diagram!$O58,'J1 D - South Bank Avenue'!$A$12:$A$130,"&lt;"&amp;Diagram!$P58)))</f>
        <v>0</v>
      </c>
      <c r="BO58" s="42">
        <f ca="1">IF(OR($I$10="",$O58="",$P58="",$J$37&lt;&gt;"Yes"),0,IF($K$10=0,SUMIFS(INDIRECT(ADDRESS(12,3+18*2+(2),,,"J1 D - South Bank Avenue")&amp;":"&amp;ADDRESS(130,3+18*2+(2))),'J1 D - South Bank Avenue'!$A$12:$A$130,"&gt;="&amp;Diagram!$O58,'J1 D - South Bank Avenue'!$A$12:$A$130,"&lt;"&amp;Diagram!$P58),SUMIFS(INDIRECT(ADDRESS(12,3+18*2+(10),,,"J1 D - South Bank Avenue")&amp;":"&amp;ADDRESS(130,3+18*2+(10))),'J1 D - South Bank Avenue'!$A$12:$A$130,"&gt;="&amp;Diagram!$O58,'J1 D - South Bank Avenue'!$A$12:$A$130,"&lt;"&amp;Diagram!$P58)))</f>
        <v>0</v>
      </c>
      <c r="BP58" s="42">
        <f ca="1">IF(OR($I$10="",$O58="",$P58="",$J$37&lt;&gt;"Yes"),0,IF($K$10=0,SUMIFS(INDIRECT(ADDRESS(12,3+18*3+(2),,,"J1 D - South Bank Avenue")&amp;":"&amp;ADDRESS(130,3+18*3+(2))),'J1 D - South Bank Avenue'!$A$12:$A$130,"&gt;="&amp;Diagram!$O58,'J1 D - South Bank Avenue'!$A$12:$A$130,"&lt;"&amp;Diagram!$P58),SUMIFS(INDIRECT(ADDRESS(12,3+18*3+(10),,,"J1 D - South Bank Avenue")&amp;":"&amp;ADDRESS(130,3+18*3+(10))),'J1 D - South Bank Avenue'!$A$12:$A$130,"&gt;="&amp;Diagram!$O58,'J1 D - South Bank Avenue'!$A$12:$A$130,"&lt;"&amp;Diagram!$P58)))</f>
        <v>0</v>
      </c>
      <c r="BQ58" s="42">
        <f t="shared" ca="1" si="4"/>
        <v>2</v>
      </c>
      <c r="BR58" s="42">
        <f ca="1">IF(OR($I$10="",$O58="",$P58="",$J$38&lt;&gt;"Yes"),0,IF($K$10=0,SUMIFS(INDIRECT(ADDRESS(12,3+18*3+(3),,,"J1 A - (North) Bishopthorpe Roa")&amp;":"&amp;ADDRESS(130,3+18*3+(3))),'J1 A - (North) Bishopthorpe Roa'!$A$12:$A$130,"&gt;="&amp;Diagram!$O58,'J1 A - (North) Bishopthorpe Roa'!$A$12:$A$130,"&lt;"&amp;Diagram!$P58),SUMIFS(INDIRECT(ADDRESS(12,3+18*3+(11),,,"J1 A - (North) Bishopthorpe Roa")&amp;":"&amp;ADDRESS(130,3+18*3+(11))),'J1 A - (North) Bishopthorpe Roa'!$A$12:$A$130,"&gt;="&amp;Diagram!$O58,'J1 A - (North) Bishopthorpe Roa'!$A$12:$A$130,"&lt;"&amp;Diagram!$P58)))</f>
        <v>0</v>
      </c>
      <c r="BS58" s="42">
        <f ca="1">IF(OR($I$10="",$O58="",$P58="",$J$38&lt;&gt;"Yes"),0,IF($K$10=0,SUMIFS(INDIRECT(ADDRESS(12,3+18*0+(3),,,"J1 A - (North) Bishopthorpe Roa")&amp;":"&amp;ADDRESS(130,3+18*0+(3))),'J1 A - (North) Bishopthorpe Roa'!$A$12:$A$130,"&gt;="&amp;Diagram!$O58,'J1 A - (North) Bishopthorpe Roa'!$A$12:$A$130,"&lt;"&amp;Diagram!$P58),SUMIFS(INDIRECT(ADDRESS(12,3+18*0+(11),,,"J1 A - (North) Bishopthorpe Roa")&amp;":"&amp;ADDRESS(130,3+18*0+(11))),'J1 A - (North) Bishopthorpe Roa'!$A$12:$A$130,"&gt;="&amp;Diagram!$O58,'J1 A - (North) Bishopthorpe Roa'!$A$12:$A$130,"&lt;"&amp;Diagram!$P58)))</f>
        <v>0</v>
      </c>
      <c r="BT58" s="42">
        <f ca="1">IF(OR($I$10="",$O58="",$P58="",$J$38&lt;&gt;"Yes"),0,IF($K$10=0,SUMIFS(INDIRECT(ADDRESS(12,3+18*1+(3),,,"J1 A - (North) Bishopthorpe Roa")&amp;":"&amp;ADDRESS(130,3+18*1+(3))),'J1 A - (North) Bishopthorpe Roa'!$A$12:$A$130,"&gt;="&amp;Diagram!$O58,'J1 A - (North) Bishopthorpe Roa'!$A$12:$A$130,"&lt;"&amp;Diagram!$P58),SUMIFS(INDIRECT(ADDRESS(12,3+18*1+(11),,,"J1 A - (North) Bishopthorpe Roa")&amp;":"&amp;ADDRESS(130,3+18*1+(11))),'J1 A - (North) Bishopthorpe Roa'!$A$12:$A$130,"&gt;="&amp;Diagram!$O58,'J1 A - (North) Bishopthorpe Roa'!$A$12:$A$130,"&lt;"&amp;Diagram!$P58)))</f>
        <v>2</v>
      </c>
      <c r="BU58" s="42">
        <f ca="1">IF(OR($I$10="",$O58="",$P58="",$J$38&lt;&gt;"Yes"),0,IF($K$10=0,SUMIFS(INDIRECT(ADDRESS(12,3+18*2+(3),,,"J1 A - (North) Bishopthorpe Roa")&amp;":"&amp;ADDRESS(130,3+18*2+(3))),'J1 A - (North) Bishopthorpe Roa'!$A$12:$A$130,"&gt;="&amp;Diagram!$O58,'J1 A - (North) Bishopthorpe Roa'!$A$12:$A$130,"&lt;"&amp;Diagram!$P58),SUMIFS(INDIRECT(ADDRESS(12,3+18*2+(11),,,"J1 A - (North) Bishopthorpe Roa")&amp;":"&amp;ADDRESS(130,3+18*2+(11))),'J1 A - (North) Bishopthorpe Roa'!$A$12:$A$130,"&gt;="&amp;Diagram!$O58,'J1 A - (North) Bishopthorpe Roa'!$A$12:$A$130,"&lt;"&amp;Diagram!$P58)))</f>
        <v>0</v>
      </c>
      <c r="BV58" s="42">
        <f ca="1">IF(OR($I$10="",$O58="",$P58="",$J$38&lt;&gt;"Yes"),0,IF($K$10=0,SUMIFS(INDIRECT(ADDRESS(12,3+18*2+(3),,,"J1 B - Butcher Terrace")&amp;":"&amp;ADDRESS(130,3+18*2+(3))),'J1 B - Butcher Terrace'!$A$12:$A$130,"&gt;="&amp;Diagram!$O58,'J1 B - Butcher Terrace'!$A$12:$A$130,"&lt;"&amp;Diagram!$P58),SUMIFS(INDIRECT(ADDRESS(12,3+18*2+(11),,,"J1 B - Butcher Terrace")&amp;":"&amp;ADDRESS(130,3+18*2+(11))),'J1 B - Butcher Terrace'!$A$12:$A$130,"&gt;="&amp;Diagram!$O58,'J1 B - Butcher Terrace'!$A$12:$A$130,"&lt;"&amp;Diagram!$P58)))</f>
        <v>0</v>
      </c>
      <c r="BW58" s="42">
        <f ca="1">IF(OR($I$10="",$O58="",$P58="",$J$38&lt;&gt;"Yes"),0,IF($K$10=0,SUMIFS(INDIRECT(ADDRESS(12,3+18*3+(3),,,"J1 B - Butcher Terrace")&amp;":"&amp;ADDRESS(130,3+18*3+(3))),'J1 B - Butcher Terrace'!$A$12:$A$130,"&gt;="&amp;Diagram!$O58,'J1 B - Butcher Terrace'!$A$12:$A$130,"&lt;"&amp;Diagram!$P58),SUMIFS(INDIRECT(ADDRESS(12,3+18*3+(11),,,"J1 B - Butcher Terrace")&amp;":"&amp;ADDRESS(130,3+18*3+(11))),'J1 B - Butcher Terrace'!$A$12:$A$130,"&gt;="&amp;Diagram!$O58,'J1 B - Butcher Terrace'!$A$12:$A$130,"&lt;"&amp;Diagram!$P58)))</f>
        <v>0</v>
      </c>
      <c r="BX58" s="42">
        <f ca="1">IF(OR($I$10="",$O58="",$P58="",$J$38&lt;&gt;"Yes"),0,IF($K$10=0,SUMIFS(INDIRECT(ADDRESS(12,3+18*0+(3),,,"J1 B - Butcher Terrace")&amp;":"&amp;ADDRESS(130,3+18*0+(3))),'J1 B - Butcher Terrace'!$A$12:$A$130,"&gt;="&amp;Diagram!$O58,'J1 B - Butcher Terrace'!$A$12:$A$130,"&lt;"&amp;Diagram!$P58),SUMIFS(INDIRECT(ADDRESS(12,3+18*0+(11),,,"J1 B - Butcher Terrace")&amp;":"&amp;ADDRESS(130,3+18*0+(11))),'J1 B - Butcher Terrace'!$A$12:$A$130,"&gt;="&amp;Diagram!$O58,'J1 B - Butcher Terrace'!$A$12:$A$130,"&lt;"&amp;Diagram!$P58)))</f>
        <v>0</v>
      </c>
      <c r="BY58" s="42">
        <f ca="1">IF(OR($I$10="",$O58="",$P58="",$J$38&lt;&gt;"Yes"),0,IF($K$10=0,SUMIFS(INDIRECT(ADDRESS(12,3+18*1+(3),,,"J1 B - Butcher Terrace")&amp;":"&amp;ADDRESS(130,3+18*1+(3))),'J1 B - Butcher Terrace'!$A$12:$A$130,"&gt;="&amp;Diagram!$O58,'J1 B - Butcher Terrace'!$A$12:$A$130,"&lt;"&amp;Diagram!$P58),SUMIFS(INDIRECT(ADDRESS(12,3+18*1+(11),,,"J1 B - Butcher Terrace")&amp;":"&amp;ADDRESS(130,3+18*1+(11))),'J1 B - Butcher Terrace'!$A$12:$A$130,"&gt;="&amp;Diagram!$O58,'J1 B - Butcher Terrace'!$A$12:$A$130,"&lt;"&amp;Diagram!$P58)))</f>
        <v>0</v>
      </c>
      <c r="BZ58" s="42">
        <f ca="1">IF(OR($I$10="",$O58="",$P58="",$J$38&lt;&gt;"Yes"),0,IF($K$10=0,SUMIFS(INDIRECT(ADDRESS(12,3+18*1+(3),,,"J1 C - (South) Bishopthorpe Roa")&amp;":"&amp;ADDRESS(130,3+18*1+(3))),'J1 C - (South) Bishopthorpe Roa'!$A$12:$A$130,"&gt;="&amp;Diagram!$O58,'J1 C - (South) Bishopthorpe Roa'!$A$12:$A$130,"&lt;"&amp;Diagram!$P58),SUMIFS(INDIRECT(ADDRESS(12,3+18*1+(11),,,"J1 C - (South) Bishopthorpe Roa")&amp;":"&amp;ADDRESS(130,3+18*1+(11))),'J1 C - (South) Bishopthorpe Roa'!$A$12:$A$130,"&gt;="&amp;Diagram!$O58,'J1 C - (South) Bishopthorpe Roa'!$A$12:$A$130,"&lt;"&amp;Diagram!$P58)))</f>
        <v>0</v>
      </c>
      <c r="CA58" s="42">
        <f ca="1">IF(OR($I$10="",$O58="",$P58="",$J$38&lt;&gt;"Yes"),0,IF($K$10=0,SUMIFS(INDIRECT(ADDRESS(12,3+18*2+(3),,,"J1 C - (South) Bishopthorpe Roa")&amp;":"&amp;ADDRESS(130,3+18*2+(3))),'J1 C - (South) Bishopthorpe Roa'!$A$12:$A$130,"&gt;="&amp;Diagram!$O58,'J1 C - (South) Bishopthorpe Roa'!$A$12:$A$130,"&lt;"&amp;Diagram!$P58),SUMIFS(INDIRECT(ADDRESS(12,3+18*2+(11),,,"J1 C - (South) Bishopthorpe Roa")&amp;":"&amp;ADDRESS(130,3+18*2+(11))),'J1 C - (South) Bishopthorpe Roa'!$A$12:$A$130,"&gt;="&amp;Diagram!$O58,'J1 C - (South) Bishopthorpe Roa'!$A$12:$A$130,"&lt;"&amp;Diagram!$P58)))</f>
        <v>0</v>
      </c>
      <c r="CB58" s="42">
        <f ca="1">IF(OR($I$10="",$O58="",$P58="",$J$38&lt;&gt;"Yes"),0,IF($K$10=0,SUMIFS(INDIRECT(ADDRESS(12,3+18*3+(3),,,"J1 C - (South) Bishopthorpe Roa")&amp;":"&amp;ADDRESS(130,3+18*3+(3))),'J1 C - (South) Bishopthorpe Roa'!$A$12:$A$130,"&gt;="&amp;Diagram!$O58,'J1 C - (South) Bishopthorpe Roa'!$A$12:$A$130,"&lt;"&amp;Diagram!$P58),SUMIFS(INDIRECT(ADDRESS(12,3+18*3+(11),,,"J1 C - (South) Bishopthorpe Roa")&amp;":"&amp;ADDRESS(130,3+18*3+(11))),'J1 C - (South) Bishopthorpe Roa'!$A$12:$A$130,"&gt;="&amp;Diagram!$O58,'J1 C - (South) Bishopthorpe Roa'!$A$12:$A$130,"&lt;"&amp;Diagram!$P58)))</f>
        <v>0</v>
      </c>
      <c r="CC58" s="42">
        <f ca="1">IF(OR($I$10="",$O58="",$P58="",$J$38&lt;&gt;"Yes"),0,IF($K$10=0,SUMIFS(INDIRECT(ADDRESS(12,3+18*0+(3),,,"J1 C - (South) Bishopthorpe Roa")&amp;":"&amp;ADDRESS(130,3+18*0+(3))),'J1 C - (South) Bishopthorpe Roa'!$A$12:$A$130,"&gt;="&amp;Diagram!$O58,'J1 C - (South) Bishopthorpe Roa'!$A$12:$A$130,"&lt;"&amp;Diagram!$P58),SUMIFS(INDIRECT(ADDRESS(12,3+18*0+(11),,,"J1 C - (South) Bishopthorpe Roa")&amp;":"&amp;ADDRESS(130,3+18*0+(11))),'J1 C - (South) Bishopthorpe Roa'!$A$12:$A$130,"&gt;="&amp;Diagram!$O58,'J1 C - (South) Bishopthorpe Roa'!$A$12:$A$130,"&lt;"&amp;Diagram!$P58)))</f>
        <v>0</v>
      </c>
      <c r="CD58" s="42">
        <f ca="1">IF(OR($I$10="",$O58="",$P58="",$J$38&lt;&gt;"Yes"),0,IF($K$10=0,SUMIFS(INDIRECT(ADDRESS(12,3+18*0+(3),,,"J1 D - South Bank Avenue")&amp;":"&amp;ADDRESS(130,3+18*0+(3))),'J1 D - South Bank Avenue'!$A$12:$A$130,"&gt;="&amp;Diagram!$O58,'J1 D - South Bank Avenue'!$A$12:$A$130,"&lt;"&amp;Diagram!$P58),SUMIFS(INDIRECT(ADDRESS(12,3+18*0+(11),,,"J1 D - South Bank Avenue")&amp;":"&amp;ADDRESS(130,3+18*0+(11))),'J1 D - South Bank Avenue'!$A$12:$A$130,"&gt;="&amp;Diagram!$O58,'J1 D - South Bank Avenue'!$A$12:$A$130,"&lt;"&amp;Diagram!$P58)))</f>
        <v>0</v>
      </c>
      <c r="CE58" s="42">
        <f ca="1">IF(OR($I$10="",$O58="",$P58="",$J$38&lt;&gt;"Yes"),0,IF($K$10=0,SUMIFS(INDIRECT(ADDRESS(12,3+18*1+(3),,,"J1 D - South Bank Avenue")&amp;":"&amp;ADDRESS(130,3+18*1+(3))),'J1 D - South Bank Avenue'!$A$12:$A$130,"&gt;="&amp;Diagram!$O58,'J1 D - South Bank Avenue'!$A$12:$A$130,"&lt;"&amp;Diagram!$P58),SUMIFS(INDIRECT(ADDRESS(12,3+18*1+(11),,,"J1 D - South Bank Avenue")&amp;":"&amp;ADDRESS(130,3+18*1+(11))),'J1 D - South Bank Avenue'!$A$12:$A$130,"&gt;="&amp;Diagram!$O58,'J1 D - South Bank Avenue'!$A$12:$A$130,"&lt;"&amp;Diagram!$P58)))</f>
        <v>0</v>
      </c>
      <c r="CF58" s="42">
        <f ca="1">IF(OR($I$10="",$O58="",$P58="",$J$38&lt;&gt;"Yes"),0,IF($K$10=0,SUMIFS(INDIRECT(ADDRESS(12,3+18*2+(3),,,"J1 D - South Bank Avenue")&amp;":"&amp;ADDRESS(130,3+18*2+(3))),'J1 D - South Bank Avenue'!$A$12:$A$130,"&gt;="&amp;Diagram!$O58,'J1 D - South Bank Avenue'!$A$12:$A$130,"&lt;"&amp;Diagram!$P58),SUMIFS(INDIRECT(ADDRESS(12,3+18*2+(11),,,"J1 D - South Bank Avenue")&amp;":"&amp;ADDRESS(130,3+18*2+(11))),'J1 D - South Bank Avenue'!$A$12:$A$130,"&gt;="&amp;Diagram!$O58,'J1 D - South Bank Avenue'!$A$12:$A$130,"&lt;"&amp;Diagram!$P58)))</f>
        <v>0</v>
      </c>
      <c r="CG58" s="42">
        <f ca="1">IF(OR($I$10="",$O58="",$P58="",$J$38&lt;&gt;"Yes"),0,IF($K$10=0,SUMIFS(INDIRECT(ADDRESS(12,3+18*3+(3),,,"J1 D - South Bank Avenue")&amp;":"&amp;ADDRESS(130,3+18*3+(3))),'J1 D - South Bank Avenue'!$A$12:$A$130,"&gt;="&amp;Diagram!$O58,'J1 D - South Bank Avenue'!$A$12:$A$130,"&lt;"&amp;Diagram!$P58),SUMIFS(INDIRECT(ADDRESS(12,3+18*3+(11),,,"J1 D - South Bank Avenue")&amp;":"&amp;ADDRESS(130,3+18*3+(11))),'J1 D - South Bank Avenue'!$A$12:$A$130,"&gt;="&amp;Diagram!$O58,'J1 D - South Bank Avenue'!$A$12:$A$130,"&lt;"&amp;Diagram!$P58)))</f>
        <v>0</v>
      </c>
      <c r="CH58" s="42">
        <f t="shared" ca="1" si="5"/>
        <v>6</v>
      </c>
      <c r="CI58" s="42">
        <f ca="1">IF(OR($I$10="",$O58="",$P58="",$J$39&lt;&gt;"Yes"),0,IF($K$10=0,SUMIFS(INDIRECT(ADDRESS(12,3+18*3+(4),,,"J1 A - (North) Bishopthorpe Roa")&amp;":"&amp;ADDRESS(130,3+18*3+(4))),'J1 A - (North) Bishopthorpe Roa'!$A$12:$A$130,"&gt;="&amp;Diagram!$O58,'J1 A - (North) Bishopthorpe Roa'!$A$12:$A$130,"&lt;"&amp;Diagram!$P58),SUMIFS(INDIRECT(ADDRESS(12,3+18*3+(12),,,"J1 A - (North) Bishopthorpe Roa")&amp;":"&amp;ADDRESS(130,3+18*3+(12))),'J1 A - (North) Bishopthorpe Roa'!$A$12:$A$130,"&gt;="&amp;Diagram!$O58,'J1 A - (North) Bishopthorpe Roa'!$A$12:$A$130,"&lt;"&amp;Diagram!$P58)))</f>
        <v>0</v>
      </c>
      <c r="CJ58" s="42">
        <f ca="1">IF(OR($I$10="",$O58="",$P58="",$J$39&lt;&gt;"Yes"),0,IF($K$10=0,SUMIFS(INDIRECT(ADDRESS(12,3+18*0+(4),,,"J1 A - (North) Bishopthorpe Roa")&amp;":"&amp;ADDRESS(130,3+18*0+(4))),'J1 A - (North) Bishopthorpe Roa'!$A$12:$A$130,"&gt;="&amp;Diagram!$O58,'J1 A - (North) Bishopthorpe Roa'!$A$12:$A$130,"&lt;"&amp;Diagram!$P58),SUMIFS(INDIRECT(ADDRESS(12,3+18*0+(12),,,"J1 A - (North) Bishopthorpe Roa")&amp;":"&amp;ADDRESS(130,3+18*0+(12))),'J1 A - (North) Bishopthorpe Roa'!$A$12:$A$130,"&gt;="&amp;Diagram!$O58,'J1 A - (North) Bishopthorpe Roa'!$A$12:$A$130,"&lt;"&amp;Diagram!$P58)))</f>
        <v>0</v>
      </c>
      <c r="CK58" s="42">
        <f ca="1">IF(OR($I$10="",$O58="",$P58="",$J$39&lt;&gt;"Yes"),0,IF($K$10=0,SUMIFS(INDIRECT(ADDRESS(12,3+18*1+(4),,,"J1 A - (North) Bishopthorpe Roa")&amp;":"&amp;ADDRESS(130,3+18*1+(4))),'J1 A - (North) Bishopthorpe Roa'!$A$12:$A$130,"&gt;="&amp;Diagram!$O58,'J1 A - (North) Bishopthorpe Roa'!$A$12:$A$130,"&lt;"&amp;Diagram!$P58),SUMIFS(INDIRECT(ADDRESS(12,3+18*1+(12),,,"J1 A - (North) Bishopthorpe Roa")&amp;":"&amp;ADDRESS(130,3+18*1+(12))),'J1 A - (North) Bishopthorpe Roa'!$A$12:$A$130,"&gt;="&amp;Diagram!$O58,'J1 A - (North) Bishopthorpe Roa'!$A$12:$A$130,"&lt;"&amp;Diagram!$P58)))</f>
        <v>1</v>
      </c>
      <c r="CL58" s="42">
        <f ca="1">IF(OR($I$10="",$O58="",$P58="",$J$39&lt;&gt;"Yes"),0,IF($K$10=0,SUMIFS(INDIRECT(ADDRESS(12,3+18*2+(4),,,"J1 A - (North) Bishopthorpe Roa")&amp;":"&amp;ADDRESS(130,3+18*2+(4))),'J1 A - (North) Bishopthorpe Roa'!$A$12:$A$130,"&gt;="&amp;Diagram!$O58,'J1 A - (North) Bishopthorpe Roa'!$A$12:$A$130,"&lt;"&amp;Diagram!$P58),SUMIFS(INDIRECT(ADDRESS(12,3+18*2+(12),,,"J1 A - (North) Bishopthorpe Roa")&amp;":"&amp;ADDRESS(130,3+18*2+(12))),'J1 A - (North) Bishopthorpe Roa'!$A$12:$A$130,"&gt;="&amp;Diagram!$O58,'J1 A - (North) Bishopthorpe Roa'!$A$12:$A$130,"&lt;"&amp;Diagram!$P58)))</f>
        <v>0</v>
      </c>
      <c r="CM58" s="42">
        <f ca="1">IF(OR($I$10="",$O58="",$P58="",$J$39&lt;&gt;"Yes"),0,IF($K$10=0,SUMIFS(INDIRECT(ADDRESS(12,3+18*2+(4),,,"J1 B - Butcher Terrace")&amp;":"&amp;ADDRESS(130,3+18*2+(4))),'J1 B - Butcher Terrace'!$A$12:$A$130,"&gt;="&amp;Diagram!$O58,'J1 B - Butcher Terrace'!$A$12:$A$130,"&lt;"&amp;Diagram!$P58),SUMIFS(INDIRECT(ADDRESS(12,3+18*2+(12),,,"J1 B - Butcher Terrace")&amp;":"&amp;ADDRESS(130,3+18*2+(12))),'J1 B - Butcher Terrace'!$A$12:$A$130,"&gt;="&amp;Diagram!$O58,'J1 B - Butcher Terrace'!$A$12:$A$130,"&lt;"&amp;Diagram!$P58)))</f>
        <v>0</v>
      </c>
      <c r="CN58" s="42">
        <f ca="1">IF(OR($I$10="",$O58="",$P58="",$J$39&lt;&gt;"Yes"),0,IF($K$10=0,SUMIFS(INDIRECT(ADDRESS(12,3+18*3+(4),,,"J1 B - Butcher Terrace")&amp;":"&amp;ADDRESS(130,3+18*3+(4))),'J1 B - Butcher Terrace'!$A$12:$A$130,"&gt;="&amp;Diagram!$O58,'J1 B - Butcher Terrace'!$A$12:$A$130,"&lt;"&amp;Diagram!$P58),SUMIFS(INDIRECT(ADDRESS(12,3+18*3+(12),,,"J1 B - Butcher Terrace")&amp;":"&amp;ADDRESS(130,3+18*3+(12))),'J1 B - Butcher Terrace'!$A$12:$A$130,"&gt;="&amp;Diagram!$O58,'J1 B - Butcher Terrace'!$A$12:$A$130,"&lt;"&amp;Diagram!$P58)))</f>
        <v>0</v>
      </c>
      <c r="CO58" s="42">
        <f ca="1">IF(OR($I$10="",$O58="",$P58="",$J$39&lt;&gt;"Yes"),0,IF($K$10=0,SUMIFS(INDIRECT(ADDRESS(12,3+18*0+(4),,,"J1 B - Butcher Terrace")&amp;":"&amp;ADDRESS(130,3+18*0+(4))),'J1 B - Butcher Terrace'!$A$12:$A$130,"&gt;="&amp;Diagram!$O58,'J1 B - Butcher Terrace'!$A$12:$A$130,"&lt;"&amp;Diagram!$P58),SUMIFS(INDIRECT(ADDRESS(12,3+18*0+(12),,,"J1 B - Butcher Terrace")&amp;":"&amp;ADDRESS(130,3+18*0+(12))),'J1 B - Butcher Terrace'!$A$12:$A$130,"&gt;="&amp;Diagram!$O58,'J1 B - Butcher Terrace'!$A$12:$A$130,"&lt;"&amp;Diagram!$P58)))</f>
        <v>0</v>
      </c>
      <c r="CP58" s="42">
        <f ca="1">IF(OR($I$10="",$O58="",$P58="",$J$39&lt;&gt;"Yes"),0,IF($K$10=0,SUMIFS(INDIRECT(ADDRESS(12,3+18*1+(4),,,"J1 B - Butcher Terrace")&amp;":"&amp;ADDRESS(130,3+18*1+(4))),'J1 B - Butcher Terrace'!$A$12:$A$130,"&gt;="&amp;Diagram!$O58,'J1 B - Butcher Terrace'!$A$12:$A$130,"&lt;"&amp;Diagram!$P58),SUMIFS(INDIRECT(ADDRESS(12,3+18*1+(12),,,"J1 B - Butcher Terrace")&amp;":"&amp;ADDRESS(130,3+18*1+(12))),'J1 B - Butcher Terrace'!$A$12:$A$130,"&gt;="&amp;Diagram!$O58,'J1 B - Butcher Terrace'!$A$12:$A$130,"&lt;"&amp;Diagram!$P58)))</f>
        <v>0</v>
      </c>
      <c r="CQ58" s="42">
        <f ca="1">IF(OR($I$10="",$O58="",$P58="",$J$39&lt;&gt;"Yes"),0,IF($K$10=0,SUMIFS(INDIRECT(ADDRESS(12,3+18*1+(4),,,"J1 C - (South) Bishopthorpe Roa")&amp;":"&amp;ADDRESS(130,3+18*1+(4))),'J1 C - (South) Bishopthorpe Roa'!$A$12:$A$130,"&gt;="&amp;Diagram!$O58,'J1 C - (South) Bishopthorpe Roa'!$A$12:$A$130,"&lt;"&amp;Diagram!$P58),SUMIFS(INDIRECT(ADDRESS(12,3+18*1+(12),,,"J1 C - (South) Bishopthorpe Roa")&amp;":"&amp;ADDRESS(130,3+18*1+(12))),'J1 C - (South) Bishopthorpe Roa'!$A$12:$A$130,"&gt;="&amp;Diagram!$O58,'J1 C - (South) Bishopthorpe Roa'!$A$12:$A$130,"&lt;"&amp;Diagram!$P58)))</f>
        <v>5</v>
      </c>
      <c r="CR58" s="42">
        <f ca="1">IF(OR($I$10="",$O58="",$P58="",$J$39&lt;&gt;"Yes"),0,IF($K$10=0,SUMIFS(INDIRECT(ADDRESS(12,3+18*2+(4),,,"J1 C - (South) Bishopthorpe Roa")&amp;":"&amp;ADDRESS(130,3+18*2+(4))),'J1 C - (South) Bishopthorpe Roa'!$A$12:$A$130,"&gt;="&amp;Diagram!$O58,'J1 C - (South) Bishopthorpe Roa'!$A$12:$A$130,"&lt;"&amp;Diagram!$P58),SUMIFS(INDIRECT(ADDRESS(12,3+18*2+(12),,,"J1 C - (South) Bishopthorpe Roa")&amp;":"&amp;ADDRESS(130,3+18*2+(12))),'J1 C - (South) Bishopthorpe Roa'!$A$12:$A$130,"&gt;="&amp;Diagram!$O58,'J1 C - (South) Bishopthorpe Roa'!$A$12:$A$130,"&lt;"&amp;Diagram!$P58)))</f>
        <v>0</v>
      </c>
      <c r="CS58" s="42">
        <f ca="1">IF(OR($I$10="",$O58="",$P58="",$J$39&lt;&gt;"Yes"),0,IF($K$10=0,SUMIFS(INDIRECT(ADDRESS(12,3+18*3+(4),,,"J1 C - (South) Bishopthorpe Roa")&amp;":"&amp;ADDRESS(130,3+18*3+(4))),'J1 C - (South) Bishopthorpe Roa'!$A$12:$A$130,"&gt;="&amp;Diagram!$O58,'J1 C - (South) Bishopthorpe Roa'!$A$12:$A$130,"&lt;"&amp;Diagram!$P58),SUMIFS(INDIRECT(ADDRESS(12,3+18*3+(12),,,"J1 C - (South) Bishopthorpe Roa")&amp;":"&amp;ADDRESS(130,3+18*3+(12))),'J1 C - (South) Bishopthorpe Roa'!$A$12:$A$130,"&gt;="&amp;Diagram!$O58,'J1 C - (South) Bishopthorpe Roa'!$A$12:$A$130,"&lt;"&amp;Diagram!$P58)))</f>
        <v>0</v>
      </c>
      <c r="CT58" s="42">
        <f ca="1">IF(OR($I$10="",$O58="",$P58="",$J$39&lt;&gt;"Yes"),0,IF($K$10=0,SUMIFS(INDIRECT(ADDRESS(12,3+18*0+(4),,,"J1 C - (South) Bishopthorpe Roa")&amp;":"&amp;ADDRESS(130,3+18*0+(4))),'J1 C - (South) Bishopthorpe Roa'!$A$12:$A$130,"&gt;="&amp;Diagram!$O58,'J1 C - (South) Bishopthorpe Roa'!$A$12:$A$130,"&lt;"&amp;Diagram!$P58),SUMIFS(INDIRECT(ADDRESS(12,3+18*0+(12),,,"J1 C - (South) Bishopthorpe Roa")&amp;":"&amp;ADDRESS(130,3+18*0+(12))),'J1 C - (South) Bishopthorpe Roa'!$A$12:$A$130,"&gt;="&amp;Diagram!$O58,'J1 C - (South) Bishopthorpe Roa'!$A$12:$A$130,"&lt;"&amp;Diagram!$P58)))</f>
        <v>0</v>
      </c>
      <c r="CU58" s="42">
        <f ca="1">IF(OR($I$10="",$O58="",$P58="",$J$39&lt;&gt;"Yes"),0,IF($K$10=0,SUMIFS(INDIRECT(ADDRESS(12,3+18*0+(4),,,"J1 D - South Bank Avenue")&amp;":"&amp;ADDRESS(130,3+18*0+(4))),'J1 D - South Bank Avenue'!$A$12:$A$130,"&gt;="&amp;Diagram!$O58,'J1 D - South Bank Avenue'!$A$12:$A$130,"&lt;"&amp;Diagram!$P58),SUMIFS(INDIRECT(ADDRESS(12,3+18*0+(12),,,"J1 D - South Bank Avenue")&amp;":"&amp;ADDRESS(130,3+18*0+(12))),'J1 D - South Bank Avenue'!$A$12:$A$130,"&gt;="&amp;Diagram!$O58,'J1 D - South Bank Avenue'!$A$12:$A$130,"&lt;"&amp;Diagram!$P58)))</f>
        <v>0</v>
      </c>
      <c r="CV58" s="42">
        <f ca="1">IF(OR($I$10="",$O58="",$P58="",$J$39&lt;&gt;"Yes"),0,IF($K$10=0,SUMIFS(INDIRECT(ADDRESS(12,3+18*1+(4),,,"J1 D - South Bank Avenue")&amp;":"&amp;ADDRESS(130,3+18*1+(4))),'J1 D - South Bank Avenue'!$A$12:$A$130,"&gt;="&amp;Diagram!$O58,'J1 D - South Bank Avenue'!$A$12:$A$130,"&lt;"&amp;Diagram!$P58),SUMIFS(INDIRECT(ADDRESS(12,3+18*1+(12),,,"J1 D - South Bank Avenue")&amp;":"&amp;ADDRESS(130,3+18*1+(12))),'J1 D - South Bank Avenue'!$A$12:$A$130,"&gt;="&amp;Diagram!$O58,'J1 D - South Bank Avenue'!$A$12:$A$130,"&lt;"&amp;Diagram!$P58)))</f>
        <v>0</v>
      </c>
      <c r="CW58" s="42">
        <f ca="1">IF(OR($I$10="",$O58="",$P58="",$J$39&lt;&gt;"Yes"),0,IF($K$10=0,SUMIFS(INDIRECT(ADDRESS(12,3+18*2+(4),,,"J1 D - South Bank Avenue")&amp;":"&amp;ADDRESS(130,3+18*2+(4))),'J1 D - South Bank Avenue'!$A$12:$A$130,"&gt;="&amp;Diagram!$O58,'J1 D - South Bank Avenue'!$A$12:$A$130,"&lt;"&amp;Diagram!$P58),SUMIFS(INDIRECT(ADDRESS(12,3+18*2+(12),,,"J1 D - South Bank Avenue")&amp;":"&amp;ADDRESS(130,3+18*2+(12))),'J1 D - South Bank Avenue'!$A$12:$A$130,"&gt;="&amp;Diagram!$O58,'J1 D - South Bank Avenue'!$A$12:$A$130,"&lt;"&amp;Diagram!$P58)))</f>
        <v>0</v>
      </c>
      <c r="CX58" s="42">
        <f ca="1">IF(OR($I$10="",$O58="",$P58="",$J$39&lt;&gt;"Yes"),0,IF($K$10=0,SUMIFS(INDIRECT(ADDRESS(12,3+18*3+(4),,,"J1 D - South Bank Avenue")&amp;":"&amp;ADDRESS(130,3+18*3+(4))),'J1 D - South Bank Avenue'!$A$12:$A$130,"&gt;="&amp;Diagram!$O58,'J1 D - South Bank Avenue'!$A$12:$A$130,"&lt;"&amp;Diagram!$P58),SUMIFS(INDIRECT(ADDRESS(12,3+18*3+(12),,,"J1 D - South Bank Avenue")&amp;":"&amp;ADDRESS(130,3+18*3+(12))),'J1 D - South Bank Avenue'!$A$12:$A$130,"&gt;="&amp;Diagram!$O58,'J1 D - South Bank Avenue'!$A$12:$A$130,"&lt;"&amp;Diagram!$P58)))</f>
        <v>0</v>
      </c>
      <c r="CY58" s="42">
        <f t="shared" ca="1" si="6"/>
        <v>117</v>
      </c>
      <c r="CZ58" s="42">
        <f ca="1">IF(OR($I$10="",$O58="",$P58="",$J$40&lt;&gt;"Yes"),0,IF($K$10=0,SUMIFS(INDIRECT(ADDRESS(12,3+18*3+(5),,,"J1 A - (North) Bishopthorpe Roa")&amp;":"&amp;ADDRESS(130,3+18*3+(5))),'J1 A - (North) Bishopthorpe Roa'!$A$12:$A$130,"&gt;="&amp;Diagram!$O58,'J1 A - (North) Bishopthorpe Roa'!$A$12:$A$130,"&lt;"&amp;Diagram!$P58),SUMIFS(INDIRECT(ADDRESS(12,3+18*3+(13),,,"J1 A - (North) Bishopthorpe Roa")&amp;":"&amp;ADDRESS(130,3+18*3+(13))),'J1 A - (North) Bishopthorpe Roa'!$A$12:$A$130,"&gt;="&amp;Diagram!$O58,'J1 A - (North) Bishopthorpe Roa'!$A$12:$A$130,"&lt;"&amp;Diagram!$P58)))</f>
        <v>0</v>
      </c>
      <c r="DA58" s="42">
        <f ca="1">IF(OR($I$10="",$O58="",$P58="",$J$40&lt;&gt;"Yes"),0,IF($K$10=0,SUMIFS(INDIRECT(ADDRESS(12,3+18*0+(5),,,"J1 A - (North) Bishopthorpe Roa")&amp;":"&amp;ADDRESS(130,3+18*0+(5))),'J1 A - (North) Bishopthorpe Roa'!$A$12:$A$130,"&gt;="&amp;Diagram!$O58,'J1 A - (North) Bishopthorpe Roa'!$A$12:$A$130,"&lt;"&amp;Diagram!$P58),SUMIFS(INDIRECT(ADDRESS(12,3+18*0+(13),,,"J1 A - (North) Bishopthorpe Roa")&amp;":"&amp;ADDRESS(130,3+18*0+(13))),'J1 A - (North) Bishopthorpe Roa'!$A$12:$A$130,"&gt;="&amp;Diagram!$O58,'J1 A - (North) Bishopthorpe Roa'!$A$12:$A$130,"&lt;"&amp;Diagram!$P58)))</f>
        <v>9</v>
      </c>
      <c r="DB58" s="42">
        <f ca="1">IF(OR($I$10="",$O58="",$P58="",$J$40&lt;&gt;"Yes"),0,IF($K$10=0,SUMIFS(INDIRECT(ADDRESS(12,3+18*1+(5),,,"J1 A - (North) Bishopthorpe Roa")&amp;":"&amp;ADDRESS(130,3+18*1+(5))),'J1 A - (North) Bishopthorpe Roa'!$A$12:$A$130,"&gt;="&amp;Diagram!$O58,'J1 A - (North) Bishopthorpe Roa'!$A$12:$A$130,"&lt;"&amp;Diagram!$P58),SUMIFS(INDIRECT(ADDRESS(12,3+18*1+(13),,,"J1 A - (North) Bishopthorpe Roa")&amp;":"&amp;ADDRESS(130,3+18*1+(13))),'J1 A - (North) Bishopthorpe Roa'!$A$12:$A$130,"&gt;="&amp;Diagram!$O58,'J1 A - (North) Bishopthorpe Roa'!$A$12:$A$130,"&lt;"&amp;Diagram!$P58)))</f>
        <v>13</v>
      </c>
      <c r="DC58" s="42">
        <f ca="1">IF(OR($I$10="",$O58="",$P58="",$J$40&lt;&gt;"Yes"),0,IF($K$10=0,SUMIFS(INDIRECT(ADDRESS(12,3+18*2+(5),,,"J1 A - (North) Bishopthorpe Roa")&amp;":"&amp;ADDRESS(130,3+18*2+(5))),'J1 A - (North) Bishopthorpe Roa'!$A$12:$A$130,"&gt;="&amp;Diagram!$O58,'J1 A - (North) Bishopthorpe Roa'!$A$12:$A$130,"&lt;"&amp;Diagram!$P58),SUMIFS(INDIRECT(ADDRESS(12,3+18*2+(13),,,"J1 A - (North) Bishopthorpe Roa")&amp;":"&amp;ADDRESS(130,3+18*2+(13))),'J1 A - (North) Bishopthorpe Roa'!$A$12:$A$130,"&gt;="&amp;Diagram!$O58,'J1 A - (North) Bishopthorpe Roa'!$A$12:$A$130,"&lt;"&amp;Diagram!$P58)))</f>
        <v>3</v>
      </c>
      <c r="DD58" s="42">
        <f ca="1">IF(OR($I$10="",$O58="",$P58="",$J$40&lt;&gt;"Yes"),0,IF($K$10=0,SUMIFS(INDIRECT(ADDRESS(12,3+18*2+(5),,,"J1 B - Butcher Terrace")&amp;":"&amp;ADDRESS(130,3+18*2+(5))),'J1 B - Butcher Terrace'!$A$12:$A$130,"&gt;="&amp;Diagram!$O58,'J1 B - Butcher Terrace'!$A$12:$A$130,"&lt;"&amp;Diagram!$P58),SUMIFS(INDIRECT(ADDRESS(12,3+18*2+(13),,,"J1 B - Butcher Terrace")&amp;":"&amp;ADDRESS(130,3+18*2+(13))),'J1 B - Butcher Terrace'!$A$12:$A$130,"&gt;="&amp;Diagram!$O58,'J1 B - Butcher Terrace'!$A$12:$A$130,"&lt;"&amp;Diagram!$P58)))</f>
        <v>21</v>
      </c>
      <c r="DE58" s="42">
        <f ca="1">IF(OR($I$10="",$O58="",$P58="",$J$40&lt;&gt;"Yes"),0,IF($K$10=0,SUMIFS(INDIRECT(ADDRESS(12,3+18*3+(5),,,"J1 B - Butcher Terrace")&amp;":"&amp;ADDRESS(130,3+18*3+(5))),'J1 B - Butcher Terrace'!$A$12:$A$130,"&gt;="&amp;Diagram!$O58,'J1 B - Butcher Terrace'!$A$12:$A$130,"&lt;"&amp;Diagram!$P58),SUMIFS(INDIRECT(ADDRESS(12,3+18*3+(13),,,"J1 B - Butcher Terrace")&amp;":"&amp;ADDRESS(130,3+18*3+(13))),'J1 B - Butcher Terrace'!$A$12:$A$130,"&gt;="&amp;Diagram!$O58,'J1 B - Butcher Terrace'!$A$12:$A$130,"&lt;"&amp;Diagram!$P58)))</f>
        <v>0</v>
      </c>
      <c r="DF58" s="42">
        <f ca="1">IF(OR($I$10="",$O58="",$P58="",$J$40&lt;&gt;"Yes"),0,IF($K$10=0,SUMIFS(INDIRECT(ADDRESS(12,3+18*0+(5),,,"J1 B - Butcher Terrace")&amp;":"&amp;ADDRESS(130,3+18*0+(5))),'J1 B - Butcher Terrace'!$A$12:$A$130,"&gt;="&amp;Diagram!$O58,'J1 B - Butcher Terrace'!$A$12:$A$130,"&lt;"&amp;Diagram!$P58),SUMIFS(INDIRECT(ADDRESS(12,3+18*0+(13),,,"J1 B - Butcher Terrace")&amp;":"&amp;ADDRESS(130,3+18*0+(13))),'J1 B - Butcher Terrace'!$A$12:$A$130,"&gt;="&amp;Diagram!$O58,'J1 B - Butcher Terrace'!$A$12:$A$130,"&lt;"&amp;Diagram!$P58)))</f>
        <v>10</v>
      </c>
      <c r="DG58" s="42">
        <f ca="1">IF(OR($I$10="",$O58="",$P58="",$J$40&lt;&gt;"Yes"),0,IF($K$10=0,SUMIFS(INDIRECT(ADDRESS(12,3+18*1+(5),,,"J1 B - Butcher Terrace")&amp;":"&amp;ADDRESS(130,3+18*1+(5))),'J1 B - Butcher Terrace'!$A$12:$A$130,"&gt;="&amp;Diagram!$O58,'J1 B - Butcher Terrace'!$A$12:$A$130,"&lt;"&amp;Diagram!$P58),SUMIFS(INDIRECT(ADDRESS(12,3+18*1+(13),,,"J1 B - Butcher Terrace")&amp;":"&amp;ADDRESS(130,3+18*1+(13))),'J1 B - Butcher Terrace'!$A$12:$A$130,"&gt;="&amp;Diagram!$O58,'J1 B - Butcher Terrace'!$A$12:$A$130,"&lt;"&amp;Diagram!$P58)))</f>
        <v>27</v>
      </c>
      <c r="DH58" s="42">
        <f ca="1">IF(OR($I$10="",$O58="",$P58="",$J$40&lt;&gt;"Yes"),0,IF($K$10=0,SUMIFS(INDIRECT(ADDRESS(12,3+18*1+(5),,,"J1 C - (South) Bishopthorpe Roa")&amp;":"&amp;ADDRESS(130,3+18*1+(5))),'J1 C - (South) Bishopthorpe Roa'!$A$12:$A$130,"&gt;="&amp;Diagram!$O58,'J1 C - (South) Bishopthorpe Roa'!$A$12:$A$130,"&lt;"&amp;Diagram!$P58),SUMIFS(INDIRECT(ADDRESS(12,3+18*1+(13),,,"J1 C - (South) Bishopthorpe Roa")&amp;":"&amp;ADDRESS(130,3+18*1+(13))),'J1 C - (South) Bishopthorpe Roa'!$A$12:$A$130,"&gt;="&amp;Diagram!$O58,'J1 C - (South) Bishopthorpe Roa'!$A$12:$A$130,"&lt;"&amp;Diagram!$P58)))</f>
        <v>10</v>
      </c>
      <c r="DI58" s="42">
        <f ca="1">IF(OR($I$10="",$O58="",$P58="",$J$40&lt;&gt;"Yes"),0,IF($K$10=0,SUMIFS(INDIRECT(ADDRESS(12,3+18*2+(5),,,"J1 C - (South) Bishopthorpe Roa")&amp;":"&amp;ADDRESS(130,3+18*2+(5))),'J1 C - (South) Bishopthorpe Roa'!$A$12:$A$130,"&gt;="&amp;Diagram!$O58,'J1 C - (South) Bishopthorpe Roa'!$A$12:$A$130,"&lt;"&amp;Diagram!$P58),SUMIFS(INDIRECT(ADDRESS(12,3+18*2+(13),,,"J1 C - (South) Bishopthorpe Roa")&amp;":"&amp;ADDRESS(130,3+18*2+(13))),'J1 C - (South) Bishopthorpe Roa'!$A$12:$A$130,"&gt;="&amp;Diagram!$O58,'J1 C - (South) Bishopthorpe Roa'!$A$12:$A$130,"&lt;"&amp;Diagram!$P58)))</f>
        <v>7</v>
      </c>
      <c r="DJ58" s="42">
        <f ca="1">IF(OR($I$10="",$O58="",$P58="",$J$40&lt;&gt;"Yes"),0,IF($K$10=0,SUMIFS(INDIRECT(ADDRESS(12,3+18*3+(5),,,"J1 C - (South) Bishopthorpe Roa")&amp;":"&amp;ADDRESS(130,3+18*3+(5))),'J1 C - (South) Bishopthorpe Roa'!$A$12:$A$130,"&gt;="&amp;Diagram!$O58,'J1 C - (South) Bishopthorpe Roa'!$A$12:$A$130,"&lt;"&amp;Diagram!$P58),SUMIFS(INDIRECT(ADDRESS(12,3+18*3+(13),,,"J1 C - (South) Bishopthorpe Roa")&amp;":"&amp;ADDRESS(130,3+18*3+(13))),'J1 C - (South) Bishopthorpe Roa'!$A$12:$A$130,"&gt;="&amp;Diagram!$O58,'J1 C - (South) Bishopthorpe Roa'!$A$12:$A$130,"&lt;"&amp;Diagram!$P58)))</f>
        <v>0</v>
      </c>
      <c r="DK58" s="42">
        <f ca="1">IF(OR($I$10="",$O58="",$P58="",$J$40&lt;&gt;"Yes"),0,IF($K$10=0,SUMIFS(INDIRECT(ADDRESS(12,3+18*0+(5),,,"J1 C - (South) Bishopthorpe Roa")&amp;":"&amp;ADDRESS(130,3+18*0+(5))),'J1 C - (South) Bishopthorpe Roa'!$A$12:$A$130,"&gt;="&amp;Diagram!$O58,'J1 C - (South) Bishopthorpe Roa'!$A$12:$A$130,"&lt;"&amp;Diagram!$P58),SUMIFS(INDIRECT(ADDRESS(12,3+18*0+(13),,,"J1 C - (South) Bishopthorpe Roa")&amp;":"&amp;ADDRESS(130,3+18*0+(13))),'J1 C - (South) Bishopthorpe Roa'!$A$12:$A$130,"&gt;="&amp;Diagram!$O58,'J1 C - (South) Bishopthorpe Roa'!$A$12:$A$130,"&lt;"&amp;Diagram!$P58)))</f>
        <v>0</v>
      </c>
      <c r="DL58" s="42">
        <f ca="1">IF(OR($I$10="",$O58="",$P58="",$J$40&lt;&gt;"Yes"),0,IF($K$10=0,SUMIFS(INDIRECT(ADDRESS(12,3+18*0+(5),,,"J1 D - South Bank Avenue")&amp;":"&amp;ADDRESS(130,3+18*0+(5))),'J1 D - South Bank Avenue'!$A$12:$A$130,"&gt;="&amp;Diagram!$O58,'J1 D - South Bank Avenue'!$A$12:$A$130,"&lt;"&amp;Diagram!$P58),SUMIFS(INDIRECT(ADDRESS(12,3+18*0+(13),,,"J1 D - South Bank Avenue")&amp;":"&amp;ADDRESS(130,3+18*0+(13))),'J1 D - South Bank Avenue'!$A$12:$A$130,"&gt;="&amp;Diagram!$O58,'J1 D - South Bank Avenue'!$A$12:$A$130,"&lt;"&amp;Diagram!$P58)))</f>
        <v>3</v>
      </c>
      <c r="DM58" s="42">
        <f ca="1">IF(OR($I$10="",$O58="",$P58="",$J$40&lt;&gt;"Yes"),0,IF($K$10=0,SUMIFS(INDIRECT(ADDRESS(12,3+18*1+(5),,,"J1 D - South Bank Avenue")&amp;":"&amp;ADDRESS(130,3+18*1+(5))),'J1 D - South Bank Avenue'!$A$12:$A$130,"&gt;="&amp;Diagram!$O58,'J1 D - South Bank Avenue'!$A$12:$A$130,"&lt;"&amp;Diagram!$P58),SUMIFS(INDIRECT(ADDRESS(12,3+18*1+(13),,,"J1 D - South Bank Avenue")&amp;":"&amp;ADDRESS(130,3+18*1+(13))),'J1 D - South Bank Avenue'!$A$12:$A$130,"&gt;="&amp;Diagram!$O58,'J1 D - South Bank Avenue'!$A$12:$A$130,"&lt;"&amp;Diagram!$P58)))</f>
        <v>14</v>
      </c>
      <c r="DN58" s="42">
        <f ca="1">IF(OR($I$10="",$O58="",$P58="",$J$40&lt;&gt;"Yes"),0,IF($K$10=0,SUMIFS(INDIRECT(ADDRESS(12,3+18*2+(5),,,"J1 D - South Bank Avenue")&amp;":"&amp;ADDRESS(130,3+18*2+(5))),'J1 D - South Bank Avenue'!$A$12:$A$130,"&gt;="&amp;Diagram!$O58,'J1 D - South Bank Avenue'!$A$12:$A$130,"&lt;"&amp;Diagram!$P58),SUMIFS(INDIRECT(ADDRESS(12,3+18*2+(13),,,"J1 D - South Bank Avenue")&amp;":"&amp;ADDRESS(130,3+18*2+(13))),'J1 D - South Bank Avenue'!$A$12:$A$130,"&gt;="&amp;Diagram!$O58,'J1 D - South Bank Avenue'!$A$12:$A$130,"&lt;"&amp;Diagram!$P58)))</f>
        <v>0</v>
      </c>
      <c r="DO58" s="42">
        <f ca="1">IF(OR($I$10="",$O58="",$P58="",$J$40&lt;&gt;"Yes"),0,IF($K$10=0,SUMIFS(INDIRECT(ADDRESS(12,3+18*3+(5),,,"J1 D - South Bank Avenue")&amp;":"&amp;ADDRESS(130,3+18*3+(5))),'J1 D - South Bank Avenue'!$A$12:$A$130,"&gt;="&amp;Diagram!$O58,'J1 D - South Bank Avenue'!$A$12:$A$130,"&lt;"&amp;Diagram!$P58),SUMIFS(INDIRECT(ADDRESS(12,3+18*3+(13),,,"J1 D - South Bank Avenue")&amp;":"&amp;ADDRESS(130,3+18*3+(13))),'J1 D - South Bank Avenue'!$A$12:$A$130,"&gt;="&amp;Diagram!$O58,'J1 D - South Bank Avenue'!$A$12:$A$130,"&lt;"&amp;Diagram!$P58)))</f>
        <v>0</v>
      </c>
      <c r="DP58" s="42">
        <f t="shared" ca="1" si="7"/>
        <v>14</v>
      </c>
      <c r="DQ58" s="42">
        <f ca="1">IF(OR($I$10="",$O58="",$P58="",$J$41&lt;&gt;"Yes"),0,IF($K$10=0,SUMIFS(INDIRECT(ADDRESS(12,3+18*3+(6),,,"J1 A - (North) Bishopthorpe Roa")&amp;":"&amp;ADDRESS(130,3+18*3+(6))),'J1 A - (North) Bishopthorpe Roa'!$A$12:$A$130,"&gt;="&amp;Diagram!$O58,'J1 A - (North) Bishopthorpe Roa'!$A$12:$A$130,"&lt;"&amp;Diagram!$P58),SUMIFS(INDIRECT(ADDRESS(12,3+18*3+(14),,,"J1 A - (North) Bishopthorpe Roa")&amp;":"&amp;ADDRESS(130,3+18*3+(14))),'J1 A - (North) Bishopthorpe Roa'!$A$12:$A$130,"&gt;="&amp;Diagram!$O58,'J1 A - (North) Bishopthorpe Roa'!$A$12:$A$130,"&lt;"&amp;Diagram!$P58)))</f>
        <v>0</v>
      </c>
      <c r="DR58" s="42">
        <f ca="1">IF(OR($I$10="",$O58="",$P58="",$J$41&lt;&gt;"Yes"),0,IF($K$10=0,SUMIFS(INDIRECT(ADDRESS(12,3+18*0+(6),,,"J1 A - (North) Bishopthorpe Roa")&amp;":"&amp;ADDRESS(130,3+18*0+(6))),'J1 A - (North) Bishopthorpe Roa'!$A$12:$A$130,"&gt;="&amp;Diagram!$O58,'J1 A - (North) Bishopthorpe Roa'!$A$12:$A$130,"&lt;"&amp;Diagram!$P58),SUMIFS(INDIRECT(ADDRESS(12,3+18*0+(14),,,"J1 A - (North) Bishopthorpe Roa")&amp;":"&amp;ADDRESS(130,3+18*0+(14))),'J1 A - (North) Bishopthorpe Roa'!$A$12:$A$130,"&gt;="&amp;Diagram!$O58,'J1 A - (North) Bishopthorpe Roa'!$A$12:$A$130,"&lt;"&amp;Diagram!$P58)))</f>
        <v>1</v>
      </c>
      <c r="DS58" s="42">
        <f ca="1">IF(OR($I$10="",$O58="",$P58="",$J$41&lt;&gt;"Yes"),0,IF($K$10=0,SUMIFS(INDIRECT(ADDRESS(12,3+18*1+(6),,,"J1 A - (North) Bishopthorpe Roa")&amp;":"&amp;ADDRESS(130,3+18*1+(6))),'J1 A - (North) Bishopthorpe Roa'!$A$12:$A$130,"&gt;="&amp;Diagram!$O58,'J1 A - (North) Bishopthorpe Roa'!$A$12:$A$130,"&lt;"&amp;Diagram!$P58),SUMIFS(INDIRECT(ADDRESS(12,3+18*1+(14),,,"J1 A - (North) Bishopthorpe Roa")&amp;":"&amp;ADDRESS(130,3+18*1+(14))),'J1 A - (North) Bishopthorpe Roa'!$A$12:$A$130,"&gt;="&amp;Diagram!$O58,'J1 A - (North) Bishopthorpe Roa'!$A$12:$A$130,"&lt;"&amp;Diagram!$P58)))</f>
        <v>4</v>
      </c>
      <c r="DT58" s="42">
        <f ca="1">IF(OR($I$10="",$O58="",$P58="",$J$41&lt;&gt;"Yes"),0,IF($K$10=0,SUMIFS(INDIRECT(ADDRESS(12,3+18*2+(6),,,"J1 A - (North) Bishopthorpe Roa")&amp;":"&amp;ADDRESS(130,3+18*2+(6))),'J1 A - (North) Bishopthorpe Roa'!$A$12:$A$130,"&gt;="&amp;Diagram!$O58,'J1 A - (North) Bishopthorpe Roa'!$A$12:$A$130,"&lt;"&amp;Diagram!$P58),SUMIFS(INDIRECT(ADDRESS(12,3+18*2+(14),,,"J1 A - (North) Bishopthorpe Roa")&amp;":"&amp;ADDRESS(130,3+18*2+(14))),'J1 A - (North) Bishopthorpe Roa'!$A$12:$A$130,"&gt;="&amp;Diagram!$O58,'J1 A - (North) Bishopthorpe Roa'!$A$12:$A$130,"&lt;"&amp;Diagram!$P58)))</f>
        <v>1</v>
      </c>
      <c r="DU58" s="42">
        <f ca="1">IF(OR($I$10="",$O58="",$P58="",$J$41&lt;&gt;"Yes"),0,IF($K$10=0,SUMIFS(INDIRECT(ADDRESS(12,3+18*2+(6),,,"J1 B - Butcher Terrace")&amp;":"&amp;ADDRESS(130,3+18*2+(6))),'J1 B - Butcher Terrace'!$A$12:$A$130,"&gt;="&amp;Diagram!$O58,'J1 B - Butcher Terrace'!$A$12:$A$130,"&lt;"&amp;Diagram!$P58),SUMIFS(INDIRECT(ADDRESS(12,3+18*2+(14),,,"J1 B - Butcher Terrace")&amp;":"&amp;ADDRESS(130,3+18*2+(14))),'J1 B - Butcher Terrace'!$A$12:$A$130,"&gt;="&amp;Diagram!$O58,'J1 B - Butcher Terrace'!$A$12:$A$130,"&lt;"&amp;Diagram!$P58)))</f>
        <v>1</v>
      </c>
      <c r="DV58" s="42">
        <f ca="1">IF(OR($I$10="",$O58="",$P58="",$J$41&lt;&gt;"Yes"),0,IF($K$10=0,SUMIFS(INDIRECT(ADDRESS(12,3+18*3+(6),,,"J1 B - Butcher Terrace")&amp;":"&amp;ADDRESS(130,3+18*3+(6))),'J1 B - Butcher Terrace'!$A$12:$A$130,"&gt;="&amp;Diagram!$O58,'J1 B - Butcher Terrace'!$A$12:$A$130,"&lt;"&amp;Diagram!$P58),SUMIFS(INDIRECT(ADDRESS(12,3+18*3+(14),,,"J1 B - Butcher Terrace")&amp;":"&amp;ADDRESS(130,3+18*3+(14))),'J1 B - Butcher Terrace'!$A$12:$A$130,"&gt;="&amp;Diagram!$O58,'J1 B - Butcher Terrace'!$A$12:$A$130,"&lt;"&amp;Diagram!$P58)))</f>
        <v>0</v>
      </c>
      <c r="DW58" s="42">
        <f ca="1">IF(OR($I$10="",$O58="",$P58="",$J$41&lt;&gt;"Yes"),0,IF($K$10=0,SUMIFS(INDIRECT(ADDRESS(12,3+18*0+(6),,,"J1 B - Butcher Terrace")&amp;":"&amp;ADDRESS(130,3+18*0+(6))),'J1 B - Butcher Terrace'!$A$12:$A$130,"&gt;="&amp;Diagram!$O58,'J1 B - Butcher Terrace'!$A$12:$A$130,"&lt;"&amp;Diagram!$P58),SUMIFS(INDIRECT(ADDRESS(12,3+18*0+(14),,,"J1 B - Butcher Terrace")&amp;":"&amp;ADDRESS(130,3+18*0+(14))),'J1 B - Butcher Terrace'!$A$12:$A$130,"&gt;="&amp;Diagram!$O58,'J1 B - Butcher Terrace'!$A$12:$A$130,"&lt;"&amp;Diagram!$P58)))</f>
        <v>1</v>
      </c>
      <c r="DX58" s="42">
        <f ca="1">IF(OR($I$10="",$O58="",$P58="",$J$41&lt;&gt;"Yes"),0,IF($K$10=0,SUMIFS(INDIRECT(ADDRESS(12,3+18*1+(6),,,"J1 B - Butcher Terrace")&amp;":"&amp;ADDRESS(130,3+18*1+(6))),'J1 B - Butcher Terrace'!$A$12:$A$130,"&gt;="&amp;Diagram!$O58,'J1 B - Butcher Terrace'!$A$12:$A$130,"&lt;"&amp;Diagram!$P58),SUMIFS(INDIRECT(ADDRESS(12,3+18*1+(14),,,"J1 B - Butcher Terrace")&amp;":"&amp;ADDRESS(130,3+18*1+(14))),'J1 B - Butcher Terrace'!$A$12:$A$130,"&gt;="&amp;Diagram!$O58,'J1 B - Butcher Terrace'!$A$12:$A$130,"&lt;"&amp;Diagram!$P58)))</f>
        <v>0</v>
      </c>
      <c r="DY58" s="42">
        <f ca="1">IF(OR($I$10="",$O58="",$P58="",$J$41&lt;&gt;"Yes"),0,IF($K$10=0,SUMIFS(INDIRECT(ADDRESS(12,3+18*1+(6),,,"J1 C - (South) Bishopthorpe Roa")&amp;":"&amp;ADDRESS(130,3+18*1+(6))),'J1 C - (South) Bishopthorpe Roa'!$A$12:$A$130,"&gt;="&amp;Diagram!$O58,'J1 C - (South) Bishopthorpe Roa'!$A$12:$A$130,"&lt;"&amp;Diagram!$P58),SUMIFS(INDIRECT(ADDRESS(12,3+18*1+(14),,,"J1 C - (South) Bishopthorpe Roa")&amp;":"&amp;ADDRESS(130,3+18*1+(14))),'J1 C - (South) Bishopthorpe Roa'!$A$12:$A$130,"&gt;="&amp;Diagram!$O58,'J1 C - (South) Bishopthorpe Roa'!$A$12:$A$130,"&lt;"&amp;Diagram!$P58)))</f>
        <v>4</v>
      </c>
      <c r="DZ58" s="42">
        <f ca="1">IF(OR($I$10="",$O58="",$P58="",$J$41&lt;&gt;"Yes"),0,IF($K$10=0,SUMIFS(INDIRECT(ADDRESS(12,3+18*2+(6),,,"J1 C - (South) Bishopthorpe Roa")&amp;":"&amp;ADDRESS(130,3+18*2+(6))),'J1 C - (South) Bishopthorpe Roa'!$A$12:$A$130,"&gt;="&amp;Diagram!$O58,'J1 C - (South) Bishopthorpe Roa'!$A$12:$A$130,"&lt;"&amp;Diagram!$P58),SUMIFS(INDIRECT(ADDRESS(12,3+18*2+(14),,,"J1 C - (South) Bishopthorpe Roa")&amp;":"&amp;ADDRESS(130,3+18*2+(14))),'J1 C - (South) Bishopthorpe Roa'!$A$12:$A$130,"&gt;="&amp;Diagram!$O58,'J1 C - (South) Bishopthorpe Roa'!$A$12:$A$130,"&lt;"&amp;Diagram!$P58)))</f>
        <v>0</v>
      </c>
      <c r="EA58" s="42">
        <f ca="1">IF(OR($I$10="",$O58="",$P58="",$J$41&lt;&gt;"Yes"),0,IF($K$10=0,SUMIFS(INDIRECT(ADDRESS(12,3+18*3+(6),,,"J1 C - (South) Bishopthorpe Roa")&amp;":"&amp;ADDRESS(130,3+18*3+(6))),'J1 C - (South) Bishopthorpe Roa'!$A$12:$A$130,"&gt;="&amp;Diagram!$O58,'J1 C - (South) Bishopthorpe Roa'!$A$12:$A$130,"&lt;"&amp;Diagram!$P58),SUMIFS(INDIRECT(ADDRESS(12,3+18*3+(14),,,"J1 C - (South) Bishopthorpe Roa")&amp;":"&amp;ADDRESS(130,3+18*3+(14))),'J1 C - (South) Bishopthorpe Roa'!$A$12:$A$130,"&gt;="&amp;Diagram!$O58,'J1 C - (South) Bishopthorpe Roa'!$A$12:$A$130,"&lt;"&amp;Diagram!$P58)))</f>
        <v>0</v>
      </c>
      <c r="EB58" s="42">
        <f ca="1">IF(OR($I$10="",$O58="",$P58="",$J$41&lt;&gt;"Yes"),0,IF($K$10=0,SUMIFS(INDIRECT(ADDRESS(12,3+18*0+(6),,,"J1 C - (South) Bishopthorpe Roa")&amp;":"&amp;ADDRESS(130,3+18*0+(6))),'J1 C - (South) Bishopthorpe Roa'!$A$12:$A$130,"&gt;="&amp;Diagram!$O58,'J1 C - (South) Bishopthorpe Roa'!$A$12:$A$130,"&lt;"&amp;Diagram!$P58),SUMIFS(INDIRECT(ADDRESS(12,3+18*0+(14),,,"J1 C - (South) Bishopthorpe Roa")&amp;":"&amp;ADDRESS(130,3+18*0+(14))),'J1 C - (South) Bishopthorpe Roa'!$A$12:$A$130,"&gt;="&amp;Diagram!$O58,'J1 C - (South) Bishopthorpe Roa'!$A$12:$A$130,"&lt;"&amp;Diagram!$P58)))</f>
        <v>0</v>
      </c>
      <c r="EC58" s="42">
        <f ca="1">IF(OR($I$10="",$O58="",$P58="",$J$41&lt;&gt;"Yes"),0,IF($K$10=0,SUMIFS(INDIRECT(ADDRESS(12,3+18*0+(6),,,"J1 D - South Bank Avenue")&amp;":"&amp;ADDRESS(130,3+18*0+(6))),'J1 D - South Bank Avenue'!$A$12:$A$130,"&gt;="&amp;Diagram!$O58,'J1 D - South Bank Avenue'!$A$12:$A$130,"&lt;"&amp;Diagram!$P58),SUMIFS(INDIRECT(ADDRESS(12,3+18*0+(14),,,"J1 D - South Bank Avenue")&amp;":"&amp;ADDRESS(130,3+18*0+(14))),'J1 D - South Bank Avenue'!$A$12:$A$130,"&gt;="&amp;Diagram!$O58,'J1 D - South Bank Avenue'!$A$12:$A$130,"&lt;"&amp;Diagram!$P58)))</f>
        <v>1</v>
      </c>
      <c r="ED58" s="42">
        <f ca="1">IF(OR($I$10="",$O58="",$P58="",$J$41&lt;&gt;"Yes"),0,IF($K$10=0,SUMIFS(INDIRECT(ADDRESS(12,3+18*1+(6),,,"J1 D - South Bank Avenue")&amp;":"&amp;ADDRESS(130,3+18*1+(6))),'J1 D - South Bank Avenue'!$A$12:$A$130,"&gt;="&amp;Diagram!$O58,'J1 D - South Bank Avenue'!$A$12:$A$130,"&lt;"&amp;Diagram!$P58),SUMIFS(INDIRECT(ADDRESS(12,3+18*1+(14),,,"J1 D - South Bank Avenue")&amp;":"&amp;ADDRESS(130,3+18*1+(14))),'J1 D - South Bank Avenue'!$A$12:$A$130,"&gt;="&amp;Diagram!$O58,'J1 D - South Bank Avenue'!$A$12:$A$130,"&lt;"&amp;Diagram!$P58)))</f>
        <v>1</v>
      </c>
      <c r="EE58" s="42">
        <f ca="1">IF(OR($I$10="",$O58="",$P58="",$J$41&lt;&gt;"Yes"),0,IF($K$10=0,SUMIFS(INDIRECT(ADDRESS(12,3+18*2+(6),,,"J1 D - South Bank Avenue")&amp;":"&amp;ADDRESS(130,3+18*2+(6))),'J1 D - South Bank Avenue'!$A$12:$A$130,"&gt;="&amp;Diagram!$O58,'J1 D - South Bank Avenue'!$A$12:$A$130,"&lt;"&amp;Diagram!$P58),SUMIFS(INDIRECT(ADDRESS(12,3+18*2+(14),,,"J1 D - South Bank Avenue")&amp;":"&amp;ADDRESS(130,3+18*2+(14))),'J1 D - South Bank Avenue'!$A$12:$A$130,"&gt;="&amp;Diagram!$O58,'J1 D - South Bank Avenue'!$A$12:$A$130,"&lt;"&amp;Diagram!$P58)))</f>
        <v>0</v>
      </c>
      <c r="EF58" s="42">
        <f ca="1">IF(OR($I$10="",$O58="",$P58="",$J$41&lt;&gt;"Yes"),0,IF($K$10=0,SUMIFS(INDIRECT(ADDRESS(12,3+18*3+(6),,,"J1 D - South Bank Avenue")&amp;":"&amp;ADDRESS(130,3+18*3+(6))),'J1 D - South Bank Avenue'!$A$12:$A$130,"&gt;="&amp;Diagram!$O58,'J1 D - South Bank Avenue'!$A$12:$A$130,"&lt;"&amp;Diagram!$P58),SUMIFS(INDIRECT(ADDRESS(12,3+18*3+(14),,,"J1 D - South Bank Avenue")&amp;":"&amp;ADDRESS(130,3+18*3+(14))),'J1 D - South Bank Avenue'!$A$12:$A$130,"&gt;="&amp;Diagram!$O58,'J1 D - South Bank Avenue'!$A$12:$A$130,"&lt;"&amp;Diagram!$P58)))</f>
        <v>0</v>
      </c>
      <c r="EG58" s="42">
        <f t="shared" ca="1" si="8"/>
        <v>4</v>
      </c>
      <c r="EH58" s="42">
        <f ca="1">IF(OR($I$10="",$O58="",$P58="",$J$42&lt;&gt;"Yes"),0,IF($K$10=0,SUMIFS(INDIRECT(ADDRESS(12,3+18*3+(7),,,"J1 A - (North) Bishopthorpe Roa")&amp;":"&amp;ADDRESS(130,3+18*3+(7))),'J1 A - (North) Bishopthorpe Roa'!$A$12:$A$130,"&gt;="&amp;Diagram!$O58,'J1 A - (North) Bishopthorpe Roa'!$A$12:$A$130,"&lt;"&amp;Diagram!$P58),SUMIFS(INDIRECT(ADDRESS(12,3+18*3+(15),,,"J1 A - (North) Bishopthorpe Roa")&amp;":"&amp;ADDRESS(130,3+18*3+(15))),'J1 A - (North) Bishopthorpe Roa'!$A$12:$A$130,"&gt;="&amp;Diagram!$O58,'J1 A - (North) Bishopthorpe Roa'!$A$12:$A$130,"&lt;"&amp;Diagram!$P58)))</f>
        <v>0</v>
      </c>
      <c r="EI58" s="42">
        <f ca="1">IF(OR($I$10="",$O58="",$P58="",$J$42&lt;&gt;"Yes"),0,IF($K$10=0,SUMIFS(INDIRECT(ADDRESS(12,3+18*0+(7),,,"J1 A - (North) Bishopthorpe Roa")&amp;":"&amp;ADDRESS(130,3+18*0+(7))),'J1 A - (North) Bishopthorpe Roa'!$A$12:$A$130,"&gt;="&amp;Diagram!$O58,'J1 A - (North) Bishopthorpe Roa'!$A$12:$A$130,"&lt;"&amp;Diagram!$P58),SUMIFS(INDIRECT(ADDRESS(12,3+18*0+(15),,,"J1 A - (North) Bishopthorpe Roa")&amp;":"&amp;ADDRESS(130,3+18*0+(15))),'J1 A - (North) Bishopthorpe Roa'!$A$12:$A$130,"&gt;="&amp;Diagram!$O58,'J1 A - (North) Bishopthorpe Roa'!$A$12:$A$130,"&lt;"&amp;Diagram!$P58)))</f>
        <v>3</v>
      </c>
      <c r="EJ58" s="42">
        <f ca="1">IF(OR($I$10="",$O58="",$P58="",$J$42&lt;&gt;"Yes"),0,IF($K$10=0,SUMIFS(INDIRECT(ADDRESS(12,3+18*1+(7),,,"J1 A - (North) Bishopthorpe Roa")&amp;":"&amp;ADDRESS(130,3+18*1+(7))),'J1 A - (North) Bishopthorpe Roa'!$A$12:$A$130,"&gt;="&amp;Diagram!$O58,'J1 A - (North) Bishopthorpe Roa'!$A$12:$A$130,"&lt;"&amp;Diagram!$P58),SUMIFS(INDIRECT(ADDRESS(12,3+18*1+(15),,,"J1 A - (North) Bishopthorpe Roa")&amp;":"&amp;ADDRESS(130,3+18*1+(15))),'J1 A - (North) Bishopthorpe Roa'!$A$12:$A$130,"&gt;="&amp;Diagram!$O58,'J1 A - (North) Bishopthorpe Roa'!$A$12:$A$130,"&lt;"&amp;Diagram!$P58)))</f>
        <v>0</v>
      </c>
      <c r="EK58" s="42">
        <f ca="1">IF(OR($I$10="",$O58="",$P58="",$J$42&lt;&gt;"Yes"),0,IF($K$10=0,SUMIFS(INDIRECT(ADDRESS(12,3+18*2+(7),,,"J1 A - (North) Bishopthorpe Roa")&amp;":"&amp;ADDRESS(130,3+18*2+(7))),'J1 A - (North) Bishopthorpe Roa'!$A$12:$A$130,"&gt;="&amp;Diagram!$O58,'J1 A - (North) Bishopthorpe Roa'!$A$12:$A$130,"&lt;"&amp;Diagram!$P58),SUMIFS(INDIRECT(ADDRESS(12,3+18*2+(15),,,"J1 A - (North) Bishopthorpe Roa")&amp;":"&amp;ADDRESS(130,3+18*2+(15))),'J1 A - (North) Bishopthorpe Roa'!$A$12:$A$130,"&gt;="&amp;Diagram!$O58,'J1 A - (North) Bishopthorpe Roa'!$A$12:$A$130,"&lt;"&amp;Diagram!$P58)))</f>
        <v>0</v>
      </c>
      <c r="EL58" s="42">
        <f ca="1">IF(OR($I$10="",$O58="",$P58="",$J$42&lt;&gt;"Yes"),0,IF($K$10=0,SUMIFS(INDIRECT(ADDRESS(12,3+18*2+(7),,,"J1 B - Butcher Terrace")&amp;":"&amp;ADDRESS(130,3+18*2+(7))),'J1 B - Butcher Terrace'!$A$12:$A$130,"&gt;="&amp;Diagram!$O58,'J1 B - Butcher Terrace'!$A$12:$A$130,"&lt;"&amp;Diagram!$P58),SUMIFS(INDIRECT(ADDRESS(12,3+18*2+(15),,,"J1 B - Butcher Terrace")&amp;":"&amp;ADDRESS(130,3+18*2+(15))),'J1 B - Butcher Terrace'!$A$12:$A$130,"&gt;="&amp;Diagram!$O58,'J1 B - Butcher Terrace'!$A$12:$A$130,"&lt;"&amp;Diagram!$P58)))</f>
        <v>0</v>
      </c>
      <c r="EM58" s="42">
        <f ca="1">IF(OR($I$10="",$O58="",$P58="",$J$42&lt;&gt;"Yes"),0,IF($K$10=0,SUMIFS(INDIRECT(ADDRESS(12,3+18*3+(7),,,"J1 B - Butcher Terrace")&amp;":"&amp;ADDRESS(130,3+18*3+(7))),'J1 B - Butcher Terrace'!$A$12:$A$130,"&gt;="&amp;Diagram!$O58,'J1 B - Butcher Terrace'!$A$12:$A$130,"&lt;"&amp;Diagram!$P58),SUMIFS(INDIRECT(ADDRESS(12,3+18*3+(15),,,"J1 B - Butcher Terrace")&amp;":"&amp;ADDRESS(130,3+18*3+(15))),'J1 B - Butcher Terrace'!$A$12:$A$130,"&gt;="&amp;Diagram!$O58,'J1 B - Butcher Terrace'!$A$12:$A$130,"&lt;"&amp;Diagram!$P58)))</f>
        <v>0</v>
      </c>
      <c r="EN58" s="42">
        <f ca="1">IF(OR($I$10="",$O58="",$P58="",$J$42&lt;&gt;"Yes"),0,IF($K$10=0,SUMIFS(INDIRECT(ADDRESS(12,3+18*0+(7),,,"J1 B - Butcher Terrace")&amp;":"&amp;ADDRESS(130,3+18*0+(7))),'J1 B - Butcher Terrace'!$A$12:$A$130,"&gt;="&amp;Diagram!$O58,'J1 B - Butcher Terrace'!$A$12:$A$130,"&lt;"&amp;Diagram!$P58),SUMIFS(INDIRECT(ADDRESS(12,3+18*0+(15),,,"J1 B - Butcher Terrace")&amp;":"&amp;ADDRESS(130,3+18*0+(15))),'J1 B - Butcher Terrace'!$A$12:$A$130,"&gt;="&amp;Diagram!$O58,'J1 B - Butcher Terrace'!$A$12:$A$130,"&lt;"&amp;Diagram!$P58)))</f>
        <v>0</v>
      </c>
      <c r="EO58" s="42">
        <f ca="1">IF(OR($I$10="",$O58="",$P58="",$J$42&lt;&gt;"Yes"),0,IF($K$10=0,SUMIFS(INDIRECT(ADDRESS(12,3+18*1+(7),,,"J1 B - Butcher Terrace")&amp;":"&amp;ADDRESS(130,3+18*1+(7))),'J1 B - Butcher Terrace'!$A$12:$A$130,"&gt;="&amp;Diagram!$O58,'J1 B - Butcher Terrace'!$A$12:$A$130,"&lt;"&amp;Diagram!$P58),SUMIFS(INDIRECT(ADDRESS(12,3+18*1+(15),,,"J1 B - Butcher Terrace")&amp;":"&amp;ADDRESS(130,3+18*1+(15))),'J1 B - Butcher Terrace'!$A$12:$A$130,"&gt;="&amp;Diagram!$O58,'J1 B - Butcher Terrace'!$A$12:$A$130,"&lt;"&amp;Diagram!$P58)))</f>
        <v>0</v>
      </c>
      <c r="EP58" s="42">
        <f ca="1">IF(OR($I$10="",$O58="",$P58="",$J$42&lt;&gt;"Yes"),0,IF($K$10=0,SUMIFS(INDIRECT(ADDRESS(12,3+18*1+(7),,,"J1 C - (South) Bishopthorpe Roa")&amp;":"&amp;ADDRESS(130,3+18*1+(7))),'J1 C - (South) Bishopthorpe Roa'!$A$12:$A$130,"&gt;="&amp;Diagram!$O58,'J1 C - (South) Bishopthorpe Roa'!$A$12:$A$130,"&lt;"&amp;Diagram!$P58),SUMIFS(INDIRECT(ADDRESS(12,3+18*1+(15),,,"J1 C - (South) Bishopthorpe Roa")&amp;":"&amp;ADDRESS(130,3+18*1+(15))),'J1 C - (South) Bishopthorpe Roa'!$A$12:$A$130,"&gt;="&amp;Diagram!$O58,'J1 C - (South) Bishopthorpe Roa'!$A$12:$A$130,"&lt;"&amp;Diagram!$P58)))</f>
        <v>0</v>
      </c>
      <c r="EQ58" s="42">
        <f ca="1">IF(OR($I$10="",$O58="",$P58="",$J$42&lt;&gt;"Yes"),0,IF($K$10=0,SUMIFS(INDIRECT(ADDRESS(12,3+18*2+(7),,,"J1 C - (South) Bishopthorpe Roa")&amp;":"&amp;ADDRESS(130,3+18*2+(7))),'J1 C - (South) Bishopthorpe Roa'!$A$12:$A$130,"&gt;="&amp;Diagram!$O58,'J1 C - (South) Bishopthorpe Roa'!$A$12:$A$130,"&lt;"&amp;Diagram!$P58),SUMIFS(INDIRECT(ADDRESS(12,3+18*2+(15),,,"J1 C - (South) Bishopthorpe Roa")&amp;":"&amp;ADDRESS(130,3+18*2+(15))),'J1 C - (South) Bishopthorpe Roa'!$A$12:$A$130,"&gt;="&amp;Diagram!$O58,'J1 C - (South) Bishopthorpe Roa'!$A$12:$A$130,"&lt;"&amp;Diagram!$P58)))</f>
        <v>1</v>
      </c>
      <c r="ER58" s="42">
        <f ca="1">IF(OR($I$10="",$O58="",$P58="",$J$42&lt;&gt;"Yes"),0,IF($K$10=0,SUMIFS(INDIRECT(ADDRESS(12,3+18*3+(7),,,"J1 C - (South) Bishopthorpe Roa")&amp;":"&amp;ADDRESS(130,3+18*3+(7))),'J1 C - (South) Bishopthorpe Roa'!$A$12:$A$130,"&gt;="&amp;Diagram!$O58,'J1 C - (South) Bishopthorpe Roa'!$A$12:$A$130,"&lt;"&amp;Diagram!$P58),SUMIFS(INDIRECT(ADDRESS(12,3+18*3+(15),,,"J1 C - (South) Bishopthorpe Roa")&amp;":"&amp;ADDRESS(130,3+18*3+(15))),'J1 C - (South) Bishopthorpe Roa'!$A$12:$A$130,"&gt;="&amp;Diagram!$O58,'J1 C - (South) Bishopthorpe Roa'!$A$12:$A$130,"&lt;"&amp;Diagram!$P58)))</f>
        <v>0</v>
      </c>
      <c r="ES58" s="42">
        <f ca="1">IF(OR($I$10="",$O58="",$P58="",$J$42&lt;&gt;"Yes"),0,IF($K$10=0,SUMIFS(INDIRECT(ADDRESS(12,3+18*0+(7),,,"J1 C - (South) Bishopthorpe Roa")&amp;":"&amp;ADDRESS(130,3+18*0+(7))),'J1 C - (South) Bishopthorpe Roa'!$A$12:$A$130,"&gt;="&amp;Diagram!$O58,'J1 C - (South) Bishopthorpe Roa'!$A$12:$A$130,"&lt;"&amp;Diagram!$P58),SUMIFS(INDIRECT(ADDRESS(12,3+18*0+(15),,,"J1 C - (South) Bishopthorpe Roa")&amp;":"&amp;ADDRESS(130,3+18*0+(15))),'J1 C - (South) Bishopthorpe Roa'!$A$12:$A$130,"&gt;="&amp;Diagram!$O58,'J1 C - (South) Bishopthorpe Roa'!$A$12:$A$130,"&lt;"&amp;Diagram!$P58)))</f>
        <v>0</v>
      </c>
      <c r="ET58" s="42">
        <f ca="1">IF(OR($I$10="",$O58="",$P58="",$J$42&lt;&gt;"Yes"),0,IF($K$10=0,SUMIFS(INDIRECT(ADDRESS(12,3+18*0+(7),,,"J1 D - South Bank Avenue")&amp;":"&amp;ADDRESS(130,3+18*0+(7))),'J1 D - South Bank Avenue'!$A$12:$A$130,"&gt;="&amp;Diagram!$O58,'J1 D - South Bank Avenue'!$A$12:$A$130,"&lt;"&amp;Diagram!$P58),SUMIFS(INDIRECT(ADDRESS(12,3+18*0+(15),,,"J1 D - South Bank Avenue")&amp;":"&amp;ADDRESS(130,3+18*0+(15))),'J1 D - South Bank Avenue'!$A$12:$A$130,"&gt;="&amp;Diagram!$O58,'J1 D - South Bank Avenue'!$A$12:$A$130,"&lt;"&amp;Diagram!$P58)))</f>
        <v>0</v>
      </c>
      <c r="EU58" s="42">
        <f ca="1">IF(OR($I$10="",$O58="",$P58="",$J$42&lt;&gt;"Yes"),0,IF($K$10=0,SUMIFS(INDIRECT(ADDRESS(12,3+18*1+(7),,,"J1 D - South Bank Avenue")&amp;":"&amp;ADDRESS(130,3+18*1+(7))),'J1 D - South Bank Avenue'!$A$12:$A$130,"&gt;="&amp;Diagram!$O58,'J1 D - South Bank Avenue'!$A$12:$A$130,"&lt;"&amp;Diagram!$P58),SUMIFS(INDIRECT(ADDRESS(12,3+18*1+(15),,,"J1 D - South Bank Avenue")&amp;":"&amp;ADDRESS(130,3+18*1+(15))),'J1 D - South Bank Avenue'!$A$12:$A$130,"&gt;="&amp;Diagram!$O58,'J1 D - South Bank Avenue'!$A$12:$A$130,"&lt;"&amp;Diagram!$P58)))</f>
        <v>0</v>
      </c>
      <c r="EV58" s="42">
        <f ca="1">IF(OR($I$10="",$O58="",$P58="",$J$42&lt;&gt;"Yes"),0,IF($K$10=0,SUMIFS(INDIRECT(ADDRESS(12,3+18*2+(7),,,"J1 D - South Bank Avenue")&amp;":"&amp;ADDRESS(130,3+18*2+(7))),'J1 D - South Bank Avenue'!$A$12:$A$130,"&gt;="&amp;Diagram!$O58,'J1 D - South Bank Avenue'!$A$12:$A$130,"&lt;"&amp;Diagram!$P58),SUMIFS(INDIRECT(ADDRESS(12,3+18*2+(15),,,"J1 D - South Bank Avenue")&amp;":"&amp;ADDRESS(130,3+18*2+(15))),'J1 D - South Bank Avenue'!$A$12:$A$130,"&gt;="&amp;Diagram!$O58,'J1 D - South Bank Avenue'!$A$12:$A$130,"&lt;"&amp;Diagram!$P58)))</f>
        <v>0</v>
      </c>
      <c r="EW58" s="42">
        <f ca="1">IF(OR($I$10="",$O58="",$P58="",$J$42&lt;&gt;"Yes"),0,IF($K$10=0,SUMIFS(INDIRECT(ADDRESS(12,3+18*3+(7),,,"J1 D - South Bank Avenue")&amp;":"&amp;ADDRESS(130,3+18*3+(7))),'J1 D - South Bank Avenue'!$A$12:$A$130,"&gt;="&amp;Diagram!$O58,'J1 D - South Bank Avenue'!$A$12:$A$130,"&lt;"&amp;Diagram!$P58),SUMIFS(INDIRECT(ADDRESS(12,3+18*3+(15),,,"J1 D - South Bank Avenue")&amp;":"&amp;ADDRESS(130,3+18*3+(15))),'J1 D - South Bank Avenue'!$A$12:$A$130,"&gt;="&amp;Diagram!$O58,'J1 D - South Bank Avenue'!$A$12:$A$130,"&lt;"&amp;Diagram!$P58)))</f>
        <v>0</v>
      </c>
    </row>
    <row r="59" spans="1:153">
      <c r="A59" s="1">
        <v>44395.604166666701</v>
      </c>
      <c r="B59" s="1">
        <v>44395.614583333299</v>
      </c>
      <c r="O59" s="3">
        <v>44395.604166666701</v>
      </c>
      <c r="P59" s="3">
        <v>44395.645833333299</v>
      </c>
      <c r="Q59" s="42">
        <f t="shared" ca="1" si="0"/>
        <v>745</v>
      </c>
      <c r="R59" s="42">
        <f t="shared" ca="1" si="1"/>
        <v>521</v>
      </c>
      <c r="S59" s="42">
        <f ca="1">IF(OR($I$10="",$O59="",$P59="",$J$35&lt;&gt;"Yes"),0,IF($K$10=0,SUMIFS(INDIRECT(ADDRESS(12,3+18*3+(0),,,"J1 A - (North) Bishopthorpe Roa")&amp;":"&amp;ADDRESS(130,3+18*3+(0))),'J1 A - (North) Bishopthorpe Roa'!$A$12:$A$130,"&gt;="&amp;Diagram!$O59,'J1 A - (North) Bishopthorpe Roa'!$A$12:$A$130,"&lt;"&amp;Diagram!$P59),SUMIFS(INDIRECT(ADDRESS(12,3+18*3+(8),,,"J1 A - (North) Bishopthorpe Roa")&amp;":"&amp;ADDRESS(130,3+18*3+(8))),'J1 A - (North) Bishopthorpe Roa'!$A$12:$A$130,"&gt;="&amp;Diagram!$O59,'J1 A - (North) Bishopthorpe Roa'!$A$12:$A$130,"&lt;"&amp;Diagram!$P59)))</f>
        <v>1</v>
      </c>
      <c r="T59" s="42">
        <f ca="1">IF(OR($I$10="",$O59="",$P59="",$J$35&lt;&gt;"Yes"),0,IF($K$10=0,SUMIFS(INDIRECT(ADDRESS(12,3+18*0+(0),,,"J1 A - (North) Bishopthorpe Roa")&amp;":"&amp;ADDRESS(130,3+18*0+(0))),'J1 A - (North) Bishopthorpe Roa'!$A$12:$A$130,"&gt;="&amp;Diagram!$O59,'J1 A - (North) Bishopthorpe Roa'!$A$12:$A$130,"&lt;"&amp;Diagram!$P59),SUMIFS(INDIRECT(ADDRESS(12,3+18*0+(8),,,"J1 A - (North) Bishopthorpe Roa")&amp;":"&amp;ADDRESS(130,3+18*0+(8))),'J1 A - (North) Bishopthorpe Roa'!$A$12:$A$130,"&gt;="&amp;Diagram!$O59,'J1 A - (North) Bishopthorpe Roa'!$A$12:$A$130,"&lt;"&amp;Diagram!$P59)))</f>
        <v>18</v>
      </c>
      <c r="U59" s="42">
        <f ca="1">IF(OR($I$10="",$O59="",$P59="",$J$35&lt;&gt;"Yes"),0,IF($K$10=0,SUMIFS(INDIRECT(ADDRESS(12,3+18*1+(0),,,"J1 A - (North) Bishopthorpe Roa")&amp;":"&amp;ADDRESS(130,3+18*1+(0))),'J1 A - (North) Bishopthorpe Roa'!$A$12:$A$130,"&gt;="&amp;Diagram!$O59,'J1 A - (North) Bishopthorpe Roa'!$A$12:$A$130,"&lt;"&amp;Diagram!$P59),SUMIFS(INDIRECT(ADDRESS(12,3+18*1+(8),,,"J1 A - (North) Bishopthorpe Roa")&amp;":"&amp;ADDRESS(130,3+18*1+(8))),'J1 A - (North) Bishopthorpe Roa'!$A$12:$A$130,"&gt;="&amp;Diagram!$O59,'J1 A - (North) Bishopthorpe Roa'!$A$12:$A$130,"&lt;"&amp;Diagram!$P59)))</f>
        <v>231</v>
      </c>
      <c r="V59" s="42">
        <f ca="1">IF(OR($I$10="",$O59="",$P59="",$J$35&lt;&gt;"Yes"),0,IF($K$10=0,SUMIFS(INDIRECT(ADDRESS(12,3+18*2+(0),,,"J1 A - (North) Bishopthorpe Roa")&amp;":"&amp;ADDRESS(130,3+18*2+(0))),'J1 A - (North) Bishopthorpe Roa'!$A$12:$A$130,"&gt;="&amp;Diagram!$O59,'J1 A - (North) Bishopthorpe Roa'!$A$12:$A$130,"&lt;"&amp;Diagram!$P59),SUMIFS(INDIRECT(ADDRESS(12,3+18*2+(8),,,"J1 A - (North) Bishopthorpe Roa")&amp;":"&amp;ADDRESS(130,3+18*2+(8))),'J1 A - (North) Bishopthorpe Roa'!$A$12:$A$130,"&gt;="&amp;Diagram!$O59,'J1 A - (North) Bishopthorpe Roa'!$A$12:$A$130,"&lt;"&amp;Diagram!$P59)))</f>
        <v>21</v>
      </c>
      <c r="W59" s="42">
        <f ca="1">IF(OR($I$10="",$O59="",$P59="",$J$35&lt;&gt;"Yes"),0,IF($K$10=0,SUMIFS(INDIRECT(ADDRESS(12,3+18*2+(0),,,"J1 B - Butcher Terrace")&amp;":"&amp;ADDRESS(130,3+18*2+(0))),'J1 B - Butcher Terrace'!$A$12:$A$130,"&gt;="&amp;Diagram!$O59,'J1 B - Butcher Terrace'!$A$12:$A$130,"&lt;"&amp;Diagram!$P59),SUMIFS(INDIRECT(ADDRESS(12,3+18*2+(8),,,"J1 B - Butcher Terrace")&amp;":"&amp;ADDRESS(130,3+18*2+(8))),'J1 B - Butcher Terrace'!$A$12:$A$130,"&gt;="&amp;Diagram!$O59,'J1 B - Butcher Terrace'!$A$12:$A$130,"&lt;"&amp;Diagram!$P59)))</f>
        <v>14</v>
      </c>
      <c r="X59" s="42">
        <f ca="1">IF(OR($I$10="",$O59="",$P59="",$J$35&lt;&gt;"Yes"),0,IF($K$10=0,SUMIFS(INDIRECT(ADDRESS(12,3+18*3+(0),,,"J1 B - Butcher Terrace")&amp;":"&amp;ADDRESS(130,3+18*3+(0))),'J1 B - Butcher Terrace'!$A$12:$A$130,"&gt;="&amp;Diagram!$O59,'J1 B - Butcher Terrace'!$A$12:$A$130,"&lt;"&amp;Diagram!$P59),SUMIFS(INDIRECT(ADDRESS(12,3+18*3+(8),,,"J1 B - Butcher Terrace")&amp;":"&amp;ADDRESS(130,3+18*3+(8))),'J1 B - Butcher Terrace'!$A$12:$A$130,"&gt;="&amp;Diagram!$O59,'J1 B - Butcher Terrace'!$A$12:$A$130,"&lt;"&amp;Diagram!$P59)))</f>
        <v>0</v>
      </c>
      <c r="Y59" s="42">
        <f ca="1">IF(OR($I$10="",$O59="",$P59="",$J$35&lt;&gt;"Yes"),0,IF($K$10=0,SUMIFS(INDIRECT(ADDRESS(12,3+18*0+(0),,,"J1 B - Butcher Terrace")&amp;":"&amp;ADDRESS(130,3+18*0+(0))),'J1 B - Butcher Terrace'!$A$12:$A$130,"&gt;="&amp;Diagram!$O59,'J1 B - Butcher Terrace'!$A$12:$A$130,"&lt;"&amp;Diagram!$P59),SUMIFS(INDIRECT(ADDRESS(12,3+18*0+(8),,,"J1 B - Butcher Terrace")&amp;":"&amp;ADDRESS(130,3+18*0+(8))),'J1 B - Butcher Terrace'!$A$12:$A$130,"&gt;="&amp;Diagram!$O59,'J1 B - Butcher Terrace'!$A$12:$A$130,"&lt;"&amp;Diagram!$P59)))</f>
        <v>8</v>
      </c>
      <c r="Z59" s="42">
        <f ca="1">IF(OR($I$10="",$O59="",$P59="",$J$35&lt;&gt;"Yes"),0,IF($K$10=0,SUMIFS(INDIRECT(ADDRESS(12,3+18*1+(0),,,"J1 B - Butcher Terrace")&amp;":"&amp;ADDRESS(130,3+18*1+(0))),'J1 B - Butcher Terrace'!$A$12:$A$130,"&gt;="&amp;Diagram!$O59,'J1 B - Butcher Terrace'!$A$12:$A$130,"&lt;"&amp;Diagram!$P59),SUMIFS(INDIRECT(ADDRESS(12,3+18*1+(8),,,"J1 B - Butcher Terrace")&amp;":"&amp;ADDRESS(130,3+18*1+(8))),'J1 B - Butcher Terrace'!$A$12:$A$130,"&gt;="&amp;Diagram!$O59,'J1 B - Butcher Terrace'!$A$12:$A$130,"&lt;"&amp;Diagram!$P59)))</f>
        <v>1</v>
      </c>
      <c r="AA59" s="42">
        <f ca="1">IF(OR($I$10="",$O59="",$P59="",$J$35&lt;&gt;"Yes"),0,IF($K$10=0,SUMIFS(INDIRECT(ADDRESS(12,3+18*1+(0),,,"J1 C - (South) Bishopthorpe Roa")&amp;":"&amp;ADDRESS(130,3+18*1+(0))),'J1 C - (South) Bishopthorpe Roa'!$A$12:$A$130,"&gt;="&amp;Diagram!$O59,'J1 C - (South) Bishopthorpe Roa'!$A$12:$A$130,"&lt;"&amp;Diagram!$P59),SUMIFS(INDIRECT(ADDRESS(12,3+18*1+(8),,,"J1 C - (South) Bishopthorpe Roa")&amp;":"&amp;ADDRESS(130,3+18*1+(8))),'J1 C - (South) Bishopthorpe Roa'!$A$12:$A$130,"&gt;="&amp;Diagram!$O59,'J1 C - (South) Bishopthorpe Roa'!$A$12:$A$130,"&lt;"&amp;Diagram!$P59)))</f>
        <v>184</v>
      </c>
      <c r="AB59" s="42">
        <f ca="1">IF(OR($I$10="",$O59="",$P59="",$J$35&lt;&gt;"Yes"),0,IF($K$10=0,SUMIFS(INDIRECT(ADDRESS(12,3+18*2+(0),,,"J1 C - (South) Bishopthorpe Roa")&amp;":"&amp;ADDRESS(130,3+18*2+(0))),'J1 C - (South) Bishopthorpe Roa'!$A$12:$A$130,"&gt;="&amp;Diagram!$O59,'J1 C - (South) Bishopthorpe Roa'!$A$12:$A$130,"&lt;"&amp;Diagram!$P59),SUMIFS(INDIRECT(ADDRESS(12,3+18*2+(8),,,"J1 C - (South) Bishopthorpe Roa")&amp;":"&amp;ADDRESS(130,3+18*2+(8))),'J1 C - (South) Bishopthorpe Roa'!$A$12:$A$130,"&gt;="&amp;Diagram!$O59,'J1 C - (South) Bishopthorpe Roa'!$A$12:$A$130,"&lt;"&amp;Diagram!$P59)))</f>
        <v>8</v>
      </c>
      <c r="AC59" s="42">
        <f ca="1">IF(OR($I$10="",$O59="",$P59="",$J$35&lt;&gt;"Yes"),0,IF($K$10=0,SUMIFS(INDIRECT(ADDRESS(12,3+18*3+(0),,,"J1 C - (South) Bishopthorpe Roa")&amp;":"&amp;ADDRESS(130,3+18*3+(0))),'J1 C - (South) Bishopthorpe Roa'!$A$12:$A$130,"&gt;="&amp;Diagram!$O59,'J1 C - (South) Bishopthorpe Roa'!$A$12:$A$130,"&lt;"&amp;Diagram!$P59),SUMIFS(INDIRECT(ADDRESS(12,3+18*3+(8),,,"J1 C - (South) Bishopthorpe Roa")&amp;":"&amp;ADDRESS(130,3+18*3+(8))),'J1 C - (South) Bishopthorpe Roa'!$A$12:$A$130,"&gt;="&amp;Diagram!$O59,'J1 C - (South) Bishopthorpe Roa'!$A$12:$A$130,"&lt;"&amp;Diagram!$P59)))</f>
        <v>0</v>
      </c>
      <c r="AD59" s="42">
        <f ca="1">IF(OR($I$10="",$O59="",$P59="",$J$35&lt;&gt;"Yes"),0,IF($K$10=0,SUMIFS(INDIRECT(ADDRESS(12,3+18*0+(0),,,"J1 C - (South) Bishopthorpe Roa")&amp;":"&amp;ADDRESS(130,3+18*0+(0))),'J1 C - (South) Bishopthorpe Roa'!$A$12:$A$130,"&gt;="&amp;Diagram!$O59,'J1 C - (South) Bishopthorpe Roa'!$A$12:$A$130,"&lt;"&amp;Diagram!$P59),SUMIFS(INDIRECT(ADDRESS(12,3+18*0+(8),,,"J1 C - (South) Bishopthorpe Roa")&amp;":"&amp;ADDRESS(130,3+18*0+(8))),'J1 C - (South) Bishopthorpe Roa'!$A$12:$A$130,"&gt;="&amp;Diagram!$O59,'J1 C - (South) Bishopthorpe Roa'!$A$12:$A$130,"&lt;"&amp;Diagram!$P59)))</f>
        <v>2</v>
      </c>
      <c r="AE59" s="42">
        <f ca="1">IF(OR($I$10="",$O59="",$P59="",$J$35&lt;&gt;"Yes"),0,IF($K$10=0,SUMIFS(INDIRECT(ADDRESS(12,3+18*0+(0),,,"J1 D - South Bank Avenue")&amp;":"&amp;ADDRESS(130,3+18*0+(0))),'J1 D - South Bank Avenue'!$A$12:$A$130,"&gt;="&amp;Diagram!$O59,'J1 D - South Bank Avenue'!$A$12:$A$130,"&lt;"&amp;Diagram!$P59),SUMIFS(INDIRECT(ADDRESS(12,3+18*0+(8),,,"J1 D - South Bank Avenue")&amp;":"&amp;ADDRESS(130,3+18*0+(8))),'J1 D - South Bank Avenue'!$A$12:$A$130,"&gt;="&amp;Diagram!$O59,'J1 D - South Bank Avenue'!$A$12:$A$130,"&lt;"&amp;Diagram!$P59)))</f>
        <v>24</v>
      </c>
      <c r="AF59" s="42">
        <f ca="1">IF(OR($I$10="",$O59="",$P59="",$J$35&lt;&gt;"Yes"),0,IF($K$10=0,SUMIFS(INDIRECT(ADDRESS(12,3+18*1+(0),,,"J1 D - South Bank Avenue")&amp;":"&amp;ADDRESS(130,3+18*1+(0))),'J1 D - South Bank Avenue'!$A$12:$A$130,"&gt;="&amp;Diagram!$O59,'J1 D - South Bank Avenue'!$A$12:$A$130,"&lt;"&amp;Diagram!$P59),SUMIFS(INDIRECT(ADDRESS(12,3+18*1+(8),,,"J1 D - South Bank Avenue")&amp;":"&amp;ADDRESS(130,3+18*1+(8))),'J1 D - South Bank Avenue'!$A$12:$A$130,"&gt;="&amp;Diagram!$O59,'J1 D - South Bank Avenue'!$A$12:$A$130,"&lt;"&amp;Diagram!$P59)))</f>
        <v>2</v>
      </c>
      <c r="AG59" s="42">
        <f ca="1">IF(OR($I$10="",$O59="",$P59="",$J$35&lt;&gt;"Yes"),0,IF($K$10=0,SUMIFS(INDIRECT(ADDRESS(12,3+18*2+(0),,,"J1 D - South Bank Avenue")&amp;":"&amp;ADDRESS(130,3+18*2+(0))),'J1 D - South Bank Avenue'!$A$12:$A$130,"&gt;="&amp;Diagram!$O59,'J1 D - South Bank Avenue'!$A$12:$A$130,"&lt;"&amp;Diagram!$P59),SUMIFS(INDIRECT(ADDRESS(12,3+18*2+(8),,,"J1 D - South Bank Avenue")&amp;":"&amp;ADDRESS(130,3+18*2+(8))),'J1 D - South Bank Avenue'!$A$12:$A$130,"&gt;="&amp;Diagram!$O59,'J1 D - South Bank Avenue'!$A$12:$A$130,"&lt;"&amp;Diagram!$P59)))</f>
        <v>7</v>
      </c>
      <c r="AH59" s="42">
        <f ca="1">IF(OR($I$10="",$O59="",$P59="",$J$35&lt;&gt;"Yes"),0,IF($K$10=0,SUMIFS(INDIRECT(ADDRESS(12,3+18*3+(0),,,"J1 D - South Bank Avenue")&amp;":"&amp;ADDRESS(130,3+18*3+(0))),'J1 D - South Bank Avenue'!$A$12:$A$130,"&gt;="&amp;Diagram!$O59,'J1 D - South Bank Avenue'!$A$12:$A$130,"&lt;"&amp;Diagram!$P59),SUMIFS(INDIRECT(ADDRESS(12,3+18*3+(8),,,"J1 D - South Bank Avenue")&amp;":"&amp;ADDRESS(130,3+18*3+(8))),'J1 D - South Bank Avenue'!$A$12:$A$130,"&gt;="&amp;Diagram!$O59,'J1 D - South Bank Avenue'!$A$12:$A$130,"&lt;"&amp;Diagram!$P59)))</f>
        <v>0</v>
      </c>
      <c r="AI59" s="42">
        <f t="shared" ca="1" si="2"/>
        <v>78</v>
      </c>
      <c r="AJ59" s="42">
        <f ca="1">IF(OR($I$10="",$O59="",$P59="",$J$36&lt;&gt;"Yes"),0,IF($K$10=0,SUMIFS(INDIRECT(ADDRESS(12,3+18*3+(1),,,"J1 A - (North) Bishopthorpe Roa")&amp;":"&amp;ADDRESS(130,3+18*3+(1))),'J1 A - (North) Bishopthorpe Roa'!$A$12:$A$130,"&gt;="&amp;Diagram!$O59,'J1 A - (North) Bishopthorpe Roa'!$A$12:$A$130,"&lt;"&amp;Diagram!$P59),SUMIFS(INDIRECT(ADDRESS(12,3+18*3+(9),,,"J1 A - (North) Bishopthorpe Roa")&amp;":"&amp;ADDRESS(130,3+18*3+(9))),'J1 A - (North) Bishopthorpe Roa'!$A$12:$A$130,"&gt;="&amp;Diagram!$O59,'J1 A - (North) Bishopthorpe Roa'!$A$12:$A$130,"&lt;"&amp;Diagram!$P59)))</f>
        <v>0</v>
      </c>
      <c r="AK59" s="42">
        <f ca="1">IF(OR($I$10="",$O59="",$P59="",$J$36&lt;&gt;"Yes"),0,IF($K$10=0,SUMIFS(INDIRECT(ADDRESS(12,3+18*0+(1),,,"J1 A - (North) Bishopthorpe Roa")&amp;":"&amp;ADDRESS(130,3+18*0+(1))),'J1 A - (North) Bishopthorpe Roa'!$A$12:$A$130,"&gt;="&amp;Diagram!$O59,'J1 A - (North) Bishopthorpe Roa'!$A$12:$A$130,"&lt;"&amp;Diagram!$P59),SUMIFS(INDIRECT(ADDRESS(12,3+18*0+(9),,,"J1 A - (North) Bishopthorpe Roa")&amp;":"&amp;ADDRESS(130,3+18*0+(9))),'J1 A - (North) Bishopthorpe Roa'!$A$12:$A$130,"&gt;="&amp;Diagram!$O59,'J1 A - (North) Bishopthorpe Roa'!$A$12:$A$130,"&lt;"&amp;Diagram!$P59)))</f>
        <v>3</v>
      </c>
      <c r="AL59" s="42">
        <f ca="1">IF(OR($I$10="",$O59="",$P59="",$J$36&lt;&gt;"Yes"),0,IF($K$10=0,SUMIFS(INDIRECT(ADDRESS(12,3+18*1+(1),,,"J1 A - (North) Bishopthorpe Roa")&amp;":"&amp;ADDRESS(130,3+18*1+(1))),'J1 A - (North) Bishopthorpe Roa'!$A$12:$A$130,"&gt;="&amp;Diagram!$O59,'J1 A - (North) Bishopthorpe Roa'!$A$12:$A$130,"&lt;"&amp;Diagram!$P59),SUMIFS(INDIRECT(ADDRESS(12,3+18*1+(9),,,"J1 A - (North) Bishopthorpe Roa")&amp;":"&amp;ADDRESS(130,3+18*1+(9))),'J1 A - (North) Bishopthorpe Roa'!$A$12:$A$130,"&gt;="&amp;Diagram!$O59,'J1 A - (North) Bishopthorpe Roa'!$A$12:$A$130,"&lt;"&amp;Diagram!$P59)))</f>
        <v>30</v>
      </c>
      <c r="AM59" s="42">
        <f ca="1">IF(OR($I$10="",$O59="",$P59="",$J$36&lt;&gt;"Yes"),0,IF($K$10=0,SUMIFS(INDIRECT(ADDRESS(12,3+18*2+(1),,,"J1 A - (North) Bishopthorpe Roa")&amp;":"&amp;ADDRESS(130,3+18*2+(1))),'J1 A - (North) Bishopthorpe Roa'!$A$12:$A$130,"&gt;="&amp;Diagram!$O59,'J1 A - (North) Bishopthorpe Roa'!$A$12:$A$130,"&lt;"&amp;Diagram!$P59),SUMIFS(INDIRECT(ADDRESS(12,3+18*2+(9),,,"J1 A - (North) Bishopthorpe Roa")&amp;":"&amp;ADDRESS(130,3+18*2+(9))),'J1 A - (North) Bishopthorpe Roa'!$A$12:$A$130,"&gt;="&amp;Diagram!$O59,'J1 A - (North) Bishopthorpe Roa'!$A$12:$A$130,"&lt;"&amp;Diagram!$P59)))</f>
        <v>5</v>
      </c>
      <c r="AN59" s="42">
        <f ca="1">IF(OR($I$10="",$O59="",$P59="",$J$36&lt;&gt;"Yes"),0,IF($K$10=0,SUMIFS(INDIRECT(ADDRESS(12,3+18*2+(1),,,"J1 B - Butcher Terrace")&amp;":"&amp;ADDRESS(130,3+18*2+(1))),'J1 B - Butcher Terrace'!$A$12:$A$130,"&gt;="&amp;Diagram!$O59,'J1 B - Butcher Terrace'!$A$12:$A$130,"&lt;"&amp;Diagram!$P59),SUMIFS(INDIRECT(ADDRESS(12,3+18*2+(9),,,"J1 B - Butcher Terrace")&amp;":"&amp;ADDRESS(130,3+18*2+(9))),'J1 B - Butcher Terrace'!$A$12:$A$130,"&gt;="&amp;Diagram!$O59,'J1 B - Butcher Terrace'!$A$12:$A$130,"&lt;"&amp;Diagram!$P59)))</f>
        <v>3</v>
      </c>
      <c r="AO59" s="42">
        <f ca="1">IF(OR($I$10="",$O59="",$P59="",$J$36&lt;&gt;"Yes"),0,IF($K$10=0,SUMIFS(INDIRECT(ADDRESS(12,3+18*3+(1),,,"J1 B - Butcher Terrace")&amp;":"&amp;ADDRESS(130,3+18*3+(1))),'J1 B - Butcher Terrace'!$A$12:$A$130,"&gt;="&amp;Diagram!$O59,'J1 B - Butcher Terrace'!$A$12:$A$130,"&lt;"&amp;Diagram!$P59),SUMIFS(INDIRECT(ADDRESS(12,3+18*3+(9),,,"J1 B - Butcher Terrace")&amp;":"&amp;ADDRESS(130,3+18*3+(9))),'J1 B - Butcher Terrace'!$A$12:$A$130,"&gt;="&amp;Diagram!$O59,'J1 B - Butcher Terrace'!$A$12:$A$130,"&lt;"&amp;Diagram!$P59)))</f>
        <v>0</v>
      </c>
      <c r="AP59" s="42">
        <f ca="1">IF(OR($I$10="",$O59="",$P59="",$J$36&lt;&gt;"Yes"),0,IF($K$10=0,SUMIFS(INDIRECT(ADDRESS(12,3+18*0+(1),,,"J1 B - Butcher Terrace")&amp;":"&amp;ADDRESS(130,3+18*0+(1))),'J1 B - Butcher Terrace'!$A$12:$A$130,"&gt;="&amp;Diagram!$O59,'J1 B - Butcher Terrace'!$A$12:$A$130,"&lt;"&amp;Diagram!$P59),SUMIFS(INDIRECT(ADDRESS(12,3+18*0+(9),,,"J1 B - Butcher Terrace")&amp;":"&amp;ADDRESS(130,3+18*0+(9))),'J1 B - Butcher Terrace'!$A$12:$A$130,"&gt;="&amp;Diagram!$O59,'J1 B - Butcher Terrace'!$A$12:$A$130,"&lt;"&amp;Diagram!$P59)))</f>
        <v>1</v>
      </c>
      <c r="AQ59" s="42">
        <f ca="1">IF(OR($I$10="",$O59="",$P59="",$J$36&lt;&gt;"Yes"),0,IF($K$10=0,SUMIFS(INDIRECT(ADDRESS(12,3+18*1+(1),,,"J1 B - Butcher Terrace")&amp;":"&amp;ADDRESS(130,3+18*1+(1))),'J1 B - Butcher Terrace'!$A$12:$A$130,"&gt;="&amp;Diagram!$O59,'J1 B - Butcher Terrace'!$A$12:$A$130,"&lt;"&amp;Diagram!$P59),SUMIFS(INDIRECT(ADDRESS(12,3+18*1+(9),,,"J1 B - Butcher Terrace")&amp;":"&amp;ADDRESS(130,3+18*1+(9))),'J1 B - Butcher Terrace'!$A$12:$A$130,"&gt;="&amp;Diagram!$O59,'J1 B - Butcher Terrace'!$A$12:$A$130,"&lt;"&amp;Diagram!$P59)))</f>
        <v>0</v>
      </c>
      <c r="AR59" s="42">
        <f ca="1">IF(OR($I$10="",$O59="",$P59="",$J$36&lt;&gt;"Yes"),0,IF($K$10=0,SUMIFS(INDIRECT(ADDRESS(12,3+18*1+(1),,,"J1 C - (South) Bishopthorpe Roa")&amp;":"&amp;ADDRESS(130,3+18*1+(1))),'J1 C - (South) Bishopthorpe Roa'!$A$12:$A$130,"&gt;="&amp;Diagram!$O59,'J1 C - (South) Bishopthorpe Roa'!$A$12:$A$130,"&lt;"&amp;Diagram!$P59),SUMIFS(INDIRECT(ADDRESS(12,3+18*1+(9),,,"J1 C - (South) Bishopthorpe Roa")&amp;":"&amp;ADDRESS(130,3+18*1+(9))),'J1 C - (South) Bishopthorpe Roa'!$A$12:$A$130,"&gt;="&amp;Diagram!$O59,'J1 C - (South) Bishopthorpe Roa'!$A$12:$A$130,"&lt;"&amp;Diagram!$P59)))</f>
        <v>25</v>
      </c>
      <c r="AS59" s="42">
        <f ca="1">IF(OR($I$10="",$O59="",$P59="",$J$36&lt;&gt;"Yes"),0,IF($K$10=0,SUMIFS(INDIRECT(ADDRESS(12,3+18*2+(1),,,"J1 C - (South) Bishopthorpe Roa")&amp;":"&amp;ADDRESS(130,3+18*2+(1))),'J1 C - (South) Bishopthorpe Roa'!$A$12:$A$130,"&gt;="&amp;Diagram!$O59,'J1 C - (South) Bishopthorpe Roa'!$A$12:$A$130,"&lt;"&amp;Diagram!$P59),SUMIFS(INDIRECT(ADDRESS(12,3+18*2+(9),,,"J1 C - (South) Bishopthorpe Roa")&amp;":"&amp;ADDRESS(130,3+18*2+(9))),'J1 C - (South) Bishopthorpe Roa'!$A$12:$A$130,"&gt;="&amp;Diagram!$O59,'J1 C - (South) Bishopthorpe Roa'!$A$12:$A$130,"&lt;"&amp;Diagram!$P59)))</f>
        <v>2</v>
      </c>
      <c r="AT59" s="42">
        <f ca="1">IF(OR($I$10="",$O59="",$P59="",$J$36&lt;&gt;"Yes"),0,IF($K$10=0,SUMIFS(INDIRECT(ADDRESS(12,3+18*3+(1),,,"J1 C - (South) Bishopthorpe Roa")&amp;":"&amp;ADDRESS(130,3+18*3+(1))),'J1 C - (South) Bishopthorpe Roa'!$A$12:$A$130,"&gt;="&amp;Diagram!$O59,'J1 C - (South) Bishopthorpe Roa'!$A$12:$A$130,"&lt;"&amp;Diagram!$P59),SUMIFS(INDIRECT(ADDRESS(12,3+18*3+(9),,,"J1 C - (South) Bishopthorpe Roa")&amp;":"&amp;ADDRESS(130,3+18*3+(9))),'J1 C - (South) Bishopthorpe Roa'!$A$12:$A$130,"&gt;="&amp;Diagram!$O59,'J1 C - (South) Bishopthorpe Roa'!$A$12:$A$130,"&lt;"&amp;Diagram!$P59)))</f>
        <v>0</v>
      </c>
      <c r="AU59" s="42">
        <f ca="1">IF(OR($I$10="",$O59="",$P59="",$J$36&lt;&gt;"Yes"),0,IF($K$10=0,SUMIFS(INDIRECT(ADDRESS(12,3+18*0+(1),,,"J1 C - (South) Bishopthorpe Roa")&amp;":"&amp;ADDRESS(130,3+18*0+(1))),'J1 C - (South) Bishopthorpe Roa'!$A$12:$A$130,"&gt;="&amp;Diagram!$O59,'J1 C - (South) Bishopthorpe Roa'!$A$12:$A$130,"&lt;"&amp;Diagram!$P59),SUMIFS(INDIRECT(ADDRESS(12,3+18*0+(9),,,"J1 C - (South) Bishopthorpe Roa")&amp;":"&amp;ADDRESS(130,3+18*0+(9))),'J1 C - (South) Bishopthorpe Roa'!$A$12:$A$130,"&gt;="&amp;Diagram!$O59,'J1 C - (South) Bishopthorpe Roa'!$A$12:$A$130,"&lt;"&amp;Diagram!$P59)))</f>
        <v>1</v>
      </c>
      <c r="AV59" s="42">
        <f ca="1">IF(OR($I$10="",$O59="",$P59="",$J$36&lt;&gt;"Yes"),0,IF($K$10=0,SUMIFS(INDIRECT(ADDRESS(12,3+18*0+(1),,,"J1 D - South Bank Avenue")&amp;":"&amp;ADDRESS(130,3+18*0+(1))),'J1 D - South Bank Avenue'!$A$12:$A$130,"&gt;="&amp;Diagram!$O59,'J1 D - South Bank Avenue'!$A$12:$A$130,"&lt;"&amp;Diagram!$P59),SUMIFS(INDIRECT(ADDRESS(12,3+18*0+(9),,,"J1 D - South Bank Avenue")&amp;":"&amp;ADDRESS(130,3+18*0+(9))),'J1 D - South Bank Avenue'!$A$12:$A$130,"&gt;="&amp;Diagram!$O59,'J1 D - South Bank Avenue'!$A$12:$A$130,"&lt;"&amp;Diagram!$P59)))</f>
        <v>6</v>
      </c>
      <c r="AW59" s="42">
        <f ca="1">IF(OR($I$10="",$O59="",$P59="",$J$36&lt;&gt;"Yes"),0,IF($K$10=0,SUMIFS(INDIRECT(ADDRESS(12,3+18*1+(1),,,"J1 D - South Bank Avenue")&amp;":"&amp;ADDRESS(130,3+18*1+(1))),'J1 D - South Bank Avenue'!$A$12:$A$130,"&gt;="&amp;Diagram!$O59,'J1 D - South Bank Avenue'!$A$12:$A$130,"&lt;"&amp;Diagram!$P59),SUMIFS(INDIRECT(ADDRESS(12,3+18*1+(9),,,"J1 D - South Bank Avenue")&amp;":"&amp;ADDRESS(130,3+18*1+(9))),'J1 D - South Bank Avenue'!$A$12:$A$130,"&gt;="&amp;Diagram!$O59,'J1 D - South Bank Avenue'!$A$12:$A$130,"&lt;"&amp;Diagram!$P59)))</f>
        <v>1</v>
      </c>
      <c r="AX59" s="42">
        <f ca="1">IF(OR($I$10="",$O59="",$P59="",$J$36&lt;&gt;"Yes"),0,IF($K$10=0,SUMIFS(INDIRECT(ADDRESS(12,3+18*2+(1),,,"J1 D - South Bank Avenue")&amp;":"&amp;ADDRESS(130,3+18*2+(1))),'J1 D - South Bank Avenue'!$A$12:$A$130,"&gt;="&amp;Diagram!$O59,'J1 D - South Bank Avenue'!$A$12:$A$130,"&lt;"&amp;Diagram!$P59),SUMIFS(INDIRECT(ADDRESS(12,3+18*2+(9),,,"J1 D - South Bank Avenue")&amp;":"&amp;ADDRESS(130,3+18*2+(9))),'J1 D - South Bank Avenue'!$A$12:$A$130,"&gt;="&amp;Diagram!$O59,'J1 D - South Bank Avenue'!$A$12:$A$130,"&lt;"&amp;Diagram!$P59)))</f>
        <v>1</v>
      </c>
      <c r="AY59" s="42">
        <f ca="1">IF(OR($I$10="",$O59="",$P59="",$J$36&lt;&gt;"Yes"),0,IF($K$10=0,SUMIFS(INDIRECT(ADDRESS(12,3+18*3+(1),,,"J1 D - South Bank Avenue")&amp;":"&amp;ADDRESS(130,3+18*3+(1))),'J1 D - South Bank Avenue'!$A$12:$A$130,"&gt;="&amp;Diagram!$O59,'J1 D - South Bank Avenue'!$A$12:$A$130,"&lt;"&amp;Diagram!$P59),SUMIFS(INDIRECT(ADDRESS(12,3+18*3+(9),,,"J1 D - South Bank Avenue")&amp;":"&amp;ADDRESS(130,3+18*3+(9))),'J1 D - South Bank Avenue'!$A$12:$A$130,"&gt;="&amp;Diagram!$O59,'J1 D - South Bank Avenue'!$A$12:$A$130,"&lt;"&amp;Diagram!$P59)))</f>
        <v>0</v>
      </c>
      <c r="AZ59" s="42">
        <f t="shared" ca="1" si="3"/>
        <v>7</v>
      </c>
      <c r="BA59" s="42">
        <f ca="1">IF(OR($I$10="",$O59="",$P59="",$J$37&lt;&gt;"Yes"),0,IF($K$10=0,SUMIFS(INDIRECT(ADDRESS(12,3+18*3+(2),,,"J1 A - (North) Bishopthorpe Roa")&amp;":"&amp;ADDRESS(130,3+18*3+(2))),'J1 A - (North) Bishopthorpe Roa'!$A$12:$A$130,"&gt;="&amp;Diagram!$O59,'J1 A - (North) Bishopthorpe Roa'!$A$12:$A$130,"&lt;"&amp;Diagram!$P59),SUMIFS(INDIRECT(ADDRESS(12,3+18*3+(10),,,"J1 A - (North) Bishopthorpe Roa")&amp;":"&amp;ADDRESS(130,3+18*3+(10))),'J1 A - (North) Bishopthorpe Roa'!$A$12:$A$130,"&gt;="&amp;Diagram!$O59,'J1 A - (North) Bishopthorpe Roa'!$A$12:$A$130,"&lt;"&amp;Diagram!$P59)))</f>
        <v>0</v>
      </c>
      <c r="BB59" s="42">
        <f ca="1">IF(OR($I$10="",$O59="",$P59="",$J$37&lt;&gt;"Yes"),0,IF($K$10=0,SUMIFS(INDIRECT(ADDRESS(12,3+18*0+(2),,,"J1 A - (North) Bishopthorpe Roa")&amp;":"&amp;ADDRESS(130,3+18*0+(2))),'J1 A - (North) Bishopthorpe Roa'!$A$12:$A$130,"&gt;="&amp;Diagram!$O59,'J1 A - (North) Bishopthorpe Roa'!$A$12:$A$130,"&lt;"&amp;Diagram!$P59),SUMIFS(INDIRECT(ADDRESS(12,3+18*0+(10),,,"J1 A - (North) Bishopthorpe Roa")&amp;":"&amp;ADDRESS(130,3+18*0+(10))),'J1 A - (North) Bishopthorpe Roa'!$A$12:$A$130,"&gt;="&amp;Diagram!$O59,'J1 A - (North) Bishopthorpe Roa'!$A$12:$A$130,"&lt;"&amp;Diagram!$P59)))</f>
        <v>0</v>
      </c>
      <c r="BC59" s="42">
        <f ca="1">IF(OR($I$10="",$O59="",$P59="",$J$37&lt;&gt;"Yes"),0,IF($K$10=0,SUMIFS(INDIRECT(ADDRESS(12,3+18*1+(2),,,"J1 A - (North) Bishopthorpe Roa")&amp;":"&amp;ADDRESS(130,3+18*1+(2))),'J1 A - (North) Bishopthorpe Roa'!$A$12:$A$130,"&gt;="&amp;Diagram!$O59,'J1 A - (North) Bishopthorpe Roa'!$A$12:$A$130,"&lt;"&amp;Diagram!$P59),SUMIFS(INDIRECT(ADDRESS(12,3+18*1+(10),,,"J1 A - (North) Bishopthorpe Roa")&amp;":"&amp;ADDRESS(130,3+18*1+(10))),'J1 A - (North) Bishopthorpe Roa'!$A$12:$A$130,"&gt;="&amp;Diagram!$O59,'J1 A - (North) Bishopthorpe Roa'!$A$12:$A$130,"&lt;"&amp;Diagram!$P59)))</f>
        <v>3</v>
      </c>
      <c r="BD59" s="42">
        <f ca="1">IF(OR($I$10="",$O59="",$P59="",$J$37&lt;&gt;"Yes"),0,IF($K$10=0,SUMIFS(INDIRECT(ADDRESS(12,3+18*2+(2),,,"J1 A - (North) Bishopthorpe Roa")&amp;":"&amp;ADDRESS(130,3+18*2+(2))),'J1 A - (North) Bishopthorpe Roa'!$A$12:$A$130,"&gt;="&amp;Diagram!$O59,'J1 A - (North) Bishopthorpe Roa'!$A$12:$A$130,"&lt;"&amp;Diagram!$P59),SUMIFS(INDIRECT(ADDRESS(12,3+18*2+(10),,,"J1 A - (North) Bishopthorpe Roa")&amp;":"&amp;ADDRESS(130,3+18*2+(10))),'J1 A - (North) Bishopthorpe Roa'!$A$12:$A$130,"&gt;="&amp;Diagram!$O59,'J1 A - (North) Bishopthorpe Roa'!$A$12:$A$130,"&lt;"&amp;Diagram!$P59)))</f>
        <v>0</v>
      </c>
      <c r="BE59" s="42">
        <f ca="1">IF(OR($I$10="",$O59="",$P59="",$J$37&lt;&gt;"Yes"),0,IF($K$10=0,SUMIFS(INDIRECT(ADDRESS(12,3+18*2+(2),,,"J1 B - Butcher Terrace")&amp;":"&amp;ADDRESS(130,3+18*2+(2))),'J1 B - Butcher Terrace'!$A$12:$A$130,"&gt;="&amp;Diagram!$O59,'J1 B - Butcher Terrace'!$A$12:$A$130,"&lt;"&amp;Diagram!$P59),SUMIFS(INDIRECT(ADDRESS(12,3+18*2+(10),,,"J1 B - Butcher Terrace")&amp;":"&amp;ADDRESS(130,3+18*2+(10))),'J1 B - Butcher Terrace'!$A$12:$A$130,"&gt;="&amp;Diagram!$O59,'J1 B - Butcher Terrace'!$A$12:$A$130,"&lt;"&amp;Diagram!$P59)))</f>
        <v>0</v>
      </c>
      <c r="BF59" s="42">
        <f ca="1">IF(OR($I$10="",$O59="",$P59="",$J$37&lt;&gt;"Yes"),0,IF($K$10=0,SUMIFS(INDIRECT(ADDRESS(12,3+18*3+(2),,,"J1 B - Butcher Terrace")&amp;":"&amp;ADDRESS(130,3+18*3+(2))),'J1 B - Butcher Terrace'!$A$12:$A$130,"&gt;="&amp;Diagram!$O59,'J1 B - Butcher Terrace'!$A$12:$A$130,"&lt;"&amp;Diagram!$P59),SUMIFS(INDIRECT(ADDRESS(12,3+18*3+(10),,,"J1 B - Butcher Terrace")&amp;":"&amp;ADDRESS(130,3+18*3+(10))),'J1 B - Butcher Terrace'!$A$12:$A$130,"&gt;="&amp;Diagram!$O59,'J1 B - Butcher Terrace'!$A$12:$A$130,"&lt;"&amp;Diagram!$P59)))</f>
        <v>0</v>
      </c>
      <c r="BG59" s="42">
        <f ca="1">IF(OR($I$10="",$O59="",$P59="",$J$37&lt;&gt;"Yes"),0,IF($K$10=0,SUMIFS(INDIRECT(ADDRESS(12,3+18*0+(2),,,"J1 B - Butcher Terrace")&amp;":"&amp;ADDRESS(130,3+18*0+(2))),'J1 B - Butcher Terrace'!$A$12:$A$130,"&gt;="&amp;Diagram!$O59,'J1 B - Butcher Terrace'!$A$12:$A$130,"&lt;"&amp;Diagram!$P59),SUMIFS(INDIRECT(ADDRESS(12,3+18*0+(10),,,"J1 B - Butcher Terrace")&amp;":"&amp;ADDRESS(130,3+18*0+(10))),'J1 B - Butcher Terrace'!$A$12:$A$130,"&gt;="&amp;Diagram!$O59,'J1 B - Butcher Terrace'!$A$12:$A$130,"&lt;"&amp;Diagram!$P59)))</f>
        <v>0</v>
      </c>
      <c r="BH59" s="42">
        <f ca="1">IF(OR($I$10="",$O59="",$P59="",$J$37&lt;&gt;"Yes"),0,IF($K$10=0,SUMIFS(INDIRECT(ADDRESS(12,3+18*1+(2),,,"J1 B - Butcher Terrace")&amp;":"&amp;ADDRESS(130,3+18*1+(2))),'J1 B - Butcher Terrace'!$A$12:$A$130,"&gt;="&amp;Diagram!$O59,'J1 B - Butcher Terrace'!$A$12:$A$130,"&lt;"&amp;Diagram!$P59),SUMIFS(INDIRECT(ADDRESS(12,3+18*1+(10),,,"J1 B - Butcher Terrace")&amp;":"&amp;ADDRESS(130,3+18*1+(10))),'J1 B - Butcher Terrace'!$A$12:$A$130,"&gt;="&amp;Diagram!$O59,'J1 B - Butcher Terrace'!$A$12:$A$130,"&lt;"&amp;Diagram!$P59)))</f>
        <v>0</v>
      </c>
      <c r="BI59" s="42">
        <f ca="1">IF(OR($I$10="",$O59="",$P59="",$J$37&lt;&gt;"Yes"),0,IF($K$10=0,SUMIFS(INDIRECT(ADDRESS(12,3+18*1+(2),,,"J1 C - (South) Bishopthorpe Roa")&amp;":"&amp;ADDRESS(130,3+18*1+(2))),'J1 C - (South) Bishopthorpe Roa'!$A$12:$A$130,"&gt;="&amp;Diagram!$O59,'J1 C - (South) Bishopthorpe Roa'!$A$12:$A$130,"&lt;"&amp;Diagram!$P59),SUMIFS(INDIRECT(ADDRESS(12,3+18*1+(10),,,"J1 C - (South) Bishopthorpe Roa")&amp;":"&amp;ADDRESS(130,3+18*1+(10))),'J1 C - (South) Bishopthorpe Roa'!$A$12:$A$130,"&gt;="&amp;Diagram!$O59,'J1 C - (South) Bishopthorpe Roa'!$A$12:$A$130,"&lt;"&amp;Diagram!$P59)))</f>
        <v>3</v>
      </c>
      <c r="BJ59" s="42">
        <f ca="1">IF(OR($I$10="",$O59="",$P59="",$J$37&lt;&gt;"Yes"),0,IF($K$10=0,SUMIFS(INDIRECT(ADDRESS(12,3+18*2+(2),,,"J1 C - (South) Bishopthorpe Roa")&amp;":"&amp;ADDRESS(130,3+18*2+(2))),'J1 C - (South) Bishopthorpe Roa'!$A$12:$A$130,"&gt;="&amp;Diagram!$O59,'J1 C - (South) Bishopthorpe Roa'!$A$12:$A$130,"&lt;"&amp;Diagram!$P59),SUMIFS(INDIRECT(ADDRESS(12,3+18*2+(10),,,"J1 C - (South) Bishopthorpe Roa")&amp;":"&amp;ADDRESS(130,3+18*2+(10))),'J1 C - (South) Bishopthorpe Roa'!$A$12:$A$130,"&gt;="&amp;Diagram!$O59,'J1 C - (South) Bishopthorpe Roa'!$A$12:$A$130,"&lt;"&amp;Diagram!$P59)))</f>
        <v>1</v>
      </c>
      <c r="BK59" s="42">
        <f ca="1">IF(OR($I$10="",$O59="",$P59="",$J$37&lt;&gt;"Yes"),0,IF($K$10=0,SUMIFS(INDIRECT(ADDRESS(12,3+18*3+(2),,,"J1 C - (South) Bishopthorpe Roa")&amp;":"&amp;ADDRESS(130,3+18*3+(2))),'J1 C - (South) Bishopthorpe Roa'!$A$12:$A$130,"&gt;="&amp;Diagram!$O59,'J1 C - (South) Bishopthorpe Roa'!$A$12:$A$130,"&lt;"&amp;Diagram!$P59),SUMIFS(INDIRECT(ADDRESS(12,3+18*3+(10),,,"J1 C - (South) Bishopthorpe Roa")&amp;":"&amp;ADDRESS(130,3+18*3+(10))),'J1 C - (South) Bishopthorpe Roa'!$A$12:$A$130,"&gt;="&amp;Diagram!$O59,'J1 C - (South) Bishopthorpe Roa'!$A$12:$A$130,"&lt;"&amp;Diagram!$P59)))</f>
        <v>0</v>
      </c>
      <c r="BL59" s="42">
        <f ca="1">IF(OR($I$10="",$O59="",$P59="",$J$37&lt;&gt;"Yes"),0,IF($K$10=0,SUMIFS(INDIRECT(ADDRESS(12,3+18*0+(2),,,"J1 C - (South) Bishopthorpe Roa")&amp;":"&amp;ADDRESS(130,3+18*0+(2))),'J1 C - (South) Bishopthorpe Roa'!$A$12:$A$130,"&gt;="&amp;Diagram!$O59,'J1 C - (South) Bishopthorpe Roa'!$A$12:$A$130,"&lt;"&amp;Diagram!$P59),SUMIFS(INDIRECT(ADDRESS(12,3+18*0+(10),,,"J1 C - (South) Bishopthorpe Roa")&amp;":"&amp;ADDRESS(130,3+18*0+(10))),'J1 C - (South) Bishopthorpe Roa'!$A$12:$A$130,"&gt;="&amp;Diagram!$O59,'J1 C - (South) Bishopthorpe Roa'!$A$12:$A$130,"&lt;"&amp;Diagram!$P59)))</f>
        <v>0</v>
      </c>
      <c r="BM59" s="42">
        <f ca="1">IF(OR($I$10="",$O59="",$P59="",$J$37&lt;&gt;"Yes"),0,IF($K$10=0,SUMIFS(INDIRECT(ADDRESS(12,3+18*0+(2),,,"J1 D - South Bank Avenue")&amp;":"&amp;ADDRESS(130,3+18*0+(2))),'J1 D - South Bank Avenue'!$A$12:$A$130,"&gt;="&amp;Diagram!$O59,'J1 D - South Bank Avenue'!$A$12:$A$130,"&lt;"&amp;Diagram!$P59),SUMIFS(INDIRECT(ADDRESS(12,3+18*0+(10),,,"J1 D - South Bank Avenue")&amp;":"&amp;ADDRESS(130,3+18*0+(10))),'J1 D - South Bank Avenue'!$A$12:$A$130,"&gt;="&amp;Diagram!$O59,'J1 D - South Bank Avenue'!$A$12:$A$130,"&lt;"&amp;Diagram!$P59)))</f>
        <v>0</v>
      </c>
      <c r="BN59" s="42">
        <f ca="1">IF(OR($I$10="",$O59="",$P59="",$J$37&lt;&gt;"Yes"),0,IF($K$10=0,SUMIFS(INDIRECT(ADDRESS(12,3+18*1+(2),,,"J1 D - South Bank Avenue")&amp;":"&amp;ADDRESS(130,3+18*1+(2))),'J1 D - South Bank Avenue'!$A$12:$A$130,"&gt;="&amp;Diagram!$O59,'J1 D - South Bank Avenue'!$A$12:$A$130,"&lt;"&amp;Diagram!$P59),SUMIFS(INDIRECT(ADDRESS(12,3+18*1+(10),,,"J1 D - South Bank Avenue")&amp;":"&amp;ADDRESS(130,3+18*1+(10))),'J1 D - South Bank Avenue'!$A$12:$A$130,"&gt;="&amp;Diagram!$O59,'J1 D - South Bank Avenue'!$A$12:$A$130,"&lt;"&amp;Diagram!$P59)))</f>
        <v>0</v>
      </c>
      <c r="BO59" s="42">
        <f ca="1">IF(OR($I$10="",$O59="",$P59="",$J$37&lt;&gt;"Yes"),0,IF($K$10=0,SUMIFS(INDIRECT(ADDRESS(12,3+18*2+(2),,,"J1 D - South Bank Avenue")&amp;":"&amp;ADDRESS(130,3+18*2+(2))),'J1 D - South Bank Avenue'!$A$12:$A$130,"&gt;="&amp;Diagram!$O59,'J1 D - South Bank Avenue'!$A$12:$A$130,"&lt;"&amp;Diagram!$P59),SUMIFS(INDIRECT(ADDRESS(12,3+18*2+(10),,,"J1 D - South Bank Avenue")&amp;":"&amp;ADDRESS(130,3+18*2+(10))),'J1 D - South Bank Avenue'!$A$12:$A$130,"&gt;="&amp;Diagram!$O59,'J1 D - South Bank Avenue'!$A$12:$A$130,"&lt;"&amp;Diagram!$P59)))</f>
        <v>0</v>
      </c>
      <c r="BP59" s="42">
        <f ca="1">IF(OR($I$10="",$O59="",$P59="",$J$37&lt;&gt;"Yes"),0,IF($K$10=0,SUMIFS(INDIRECT(ADDRESS(12,3+18*3+(2),,,"J1 D - South Bank Avenue")&amp;":"&amp;ADDRESS(130,3+18*3+(2))),'J1 D - South Bank Avenue'!$A$12:$A$130,"&gt;="&amp;Diagram!$O59,'J1 D - South Bank Avenue'!$A$12:$A$130,"&lt;"&amp;Diagram!$P59),SUMIFS(INDIRECT(ADDRESS(12,3+18*3+(10),,,"J1 D - South Bank Avenue")&amp;":"&amp;ADDRESS(130,3+18*3+(10))),'J1 D - South Bank Avenue'!$A$12:$A$130,"&gt;="&amp;Diagram!$O59,'J1 D - South Bank Avenue'!$A$12:$A$130,"&lt;"&amp;Diagram!$P59)))</f>
        <v>0</v>
      </c>
      <c r="BQ59" s="42">
        <f t="shared" ca="1" si="4"/>
        <v>2</v>
      </c>
      <c r="BR59" s="42">
        <f ca="1">IF(OR($I$10="",$O59="",$P59="",$J$38&lt;&gt;"Yes"),0,IF($K$10=0,SUMIFS(INDIRECT(ADDRESS(12,3+18*3+(3),,,"J1 A - (North) Bishopthorpe Roa")&amp;":"&amp;ADDRESS(130,3+18*3+(3))),'J1 A - (North) Bishopthorpe Roa'!$A$12:$A$130,"&gt;="&amp;Diagram!$O59,'J1 A - (North) Bishopthorpe Roa'!$A$12:$A$130,"&lt;"&amp;Diagram!$P59),SUMIFS(INDIRECT(ADDRESS(12,3+18*3+(11),,,"J1 A - (North) Bishopthorpe Roa")&amp;":"&amp;ADDRESS(130,3+18*3+(11))),'J1 A - (North) Bishopthorpe Roa'!$A$12:$A$130,"&gt;="&amp;Diagram!$O59,'J1 A - (North) Bishopthorpe Roa'!$A$12:$A$130,"&lt;"&amp;Diagram!$P59)))</f>
        <v>0</v>
      </c>
      <c r="BS59" s="42">
        <f ca="1">IF(OR($I$10="",$O59="",$P59="",$J$38&lt;&gt;"Yes"),0,IF($K$10=0,SUMIFS(INDIRECT(ADDRESS(12,3+18*0+(3),,,"J1 A - (North) Bishopthorpe Roa")&amp;":"&amp;ADDRESS(130,3+18*0+(3))),'J1 A - (North) Bishopthorpe Roa'!$A$12:$A$130,"&gt;="&amp;Diagram!$O59,'J1 A - (North) Bishopthorpe Roa'!$A$12:$A$130,"&lt;"&amp;Diagram!$P59),SUMIFS(INDIRECT(ADDRESS(12,3+18*0+(11),,,"J1 A - (North) Bishopthorpe Roa")&amp;":"&amp;ADDRESS(130,3+18*0+(11))),'J1 A - (North) Bishopthorpe Roa'!$A$12:$A$130,"&gt;="&amp;Diagram!$O59,'J1 A - (North) Bishopthorpe Roa'!$A$12:$A$130,"&lt;"&amp;Diagram!$P59)))</f>
        <v>0</v>
      </c>
      <c r="BT59" s="42">
        <f ca="1">IF(OR($I$10="",$O59="",$P59="",$J$38&lt;&gt;"Yes"),0,IF($K$10=0,SUMIFS(INDIRECT(ADDRESS(12,3+18*1+(3),,,"J1 A - (North) Bishopthorpe Roa")&amp;":"&amp;ADDRESS(130,3+18*1+(3))),'J1 A - (North) Bishopthorpe Roa'!$A$12:$A$130,"&gt;="&amp;Diagram!$O59,'J1 A - (North) Bishopthorpe Roa'!$A$12:$A$130,"&lt;"&amp;Diagram!$P59),SUMIFS(INDIRECT(ADDRESS(12,3+18*1+(11),,,"J1 A - (North) Bishopthorpe Roa")&amp;":"&amp;ADDRESS(130,3+18*1+(11))),'J1 A - (North) Bishopthorpe Roa'!$A$12:$A$130,"&gt;="&amp;Diagram!$O59,'J1 A - (North) Bishopthorpe Roa'!$A$12:$A$130,"&lt;"&amp;Diagram!$P59)))</f>
        <v>2</v>
      </c>
      <c r="BU59" s="42">
        <f ca="1">IF(OR($I$10="",$O59="",$P59="",$J$38&lt;&gt;"Yes"),0,IF($K$10=0,SUMIFS(INDIRECT(ADDRESS(12,3+18*2+(3),,,"J1 A - (North) Bishopthorpe Roa")&amp;":"&amp;ADDRESS(130,3+18*2+(3))),'J1 A - (North) Bishopthorpe Roa'!$A$12:$A$130,"&gt;="&amp;Diagram!$O59,'J1 A - (North) Bishopthorpe Roa'!$A$12:$A$130,"&lt;"&amp;Diagram!$P59),SUMIFS(INDIRECT(ADDRESS(12,3+18*2+(11),,,"J1 A - (North) Bishopthorpe Roa")&amp;":"&amp;ADDRESS(130,3+18*2+(11))),'J1 A - (North) Bishopthorpe Roa'!$A$12:$A$130,"&gt;="&amp;Diagram!$O59,'J1 A - (North) Bishopthorpe Roa'!$A$12:$A$130,"&lt;"&amp;Diagram!$P59)))</f>
        <v>0</v>
      </c>
      <c r="BV59" s="42">
        <f ca="1">IF(OR($I$10="",$O59="",$P59="",$J$38&lt;&gt;"Yes"),0,IF($K$10=0,SUMIFS(INDIRECT(ADDRESS(12,3+18*2+(3),,,"J1 B - Butcher Terrace")&amp;":"&amp;ADDRESS(130,3+18*2+(3))),'J1 B - Butcher Terrace'!$A$12:$A$130,"&gt;="&amp;Diagram!$O59,'J1 B - Butcher Terrace'!$A$12:$A$130,"&lt;"&amp;Diagram!$P59),SUMIFS(INDIRECT(ADDRESS(12,3+18*2+(11),,,"J1 B - Butcher Terrace")&amp;":"&amp;ADDRESS(130,3+18*2+(11))),'J1 B - Butcher Terrace'!$A$12:$A$130,"&gt;="&amp;Diagram!$O59,'J1 B - Butcher Terrace'!$A$12:$A$130,"&lt;"&amp;Diagram!$P59)))</f>
        <v>0</v>
      </c>
      <c r="BW59" s="42">
        <f ca="1">IF(OR($I$10="",$O59="",$P59="",$J$38&lt;&gt;"Yes"),0,IF($K$10=0,SUMIFS(INDIRECT(ADDRESS(12,3+18*3+(3),,,"J1 B - Butcher Terrace")&amp;":"&amp;ADDRESS(130,3+18*3+(3))),'J1 B - Butcher Terrace'!$A$12:$A$130,"&gt;="&amp;Diagram!$O59,'J1 B - Butcher Terrace'!$A$12:$A$130,"&lt;"&amp;Diagram!$P59),SUMIFS(INDIRECT(ADDRESS(12,3+18*3+(11),,,"J1 B - Butcher Terrace")&amp;":"&amp;ADDRESS(130,3+18*3+(11))),'J1 B - Butcher Terrace'!$A$12:$A$130,"&gt;="&amp;Diagram!$O59,'J1 B - Butcher Terrace'!$A$12:$A$130,"&lt;"&amp;Diagram!$P59)))</f>
        <v>0</v>
      </c>
      <c r="BX59" s="42">
        <f ca="1">IF(OR($I$10="",$O59="",$P59="",$J$38&lt;&gt;"Yes"),0,IF($K$10=0,SUMIFS(INDIRECT(ADDRESS(12,3+18*0+(3),,,"J1 B - Butcher Terrace")&amp;":"&amp;ADDRESS(130,3+18*0+(3))),'J1 B - Butcher Terrace'!$A$12:$A$130,"&gt;="&amp;Diagram!$O59,'J1 B - Butcher Terrace'!$A$12:$A$130,"&lt;"&amp;Diagram!$P59),SUMIFS(INDIRECT(ADDRESS(12,3+18*0+(11),,,"J1 B - Butcher Terrace")&amp;":"&amp;ADDRESS(130,3+18*0+(11))),'J1 B - Butcher Terrace'!$A$12:$A$130,"&gt;="&amp;Diagram!$O59,'J1 B - Butcher Terrace'!$A$12:$A$130,"&lt;"&amp;Diagram!$P59)))</f>
        <v>0</v>
      </c>
      <c r="BY59" s="42">
        <f ca="1">IF(OR($I$10="",$O59="",$P59="",$J$38&lt;&gt;"Yes"),0,IF($K$10=0,SUMIFS(INDIRECT(ADDRESS(12,3+18*1+(3),,,"J1 B - Butcher Terrace")&amp;":"&amp;ADDRESS(130,3+18*1+(3))),'J1 B - Butcher Terrace'!$A$12:$A$130,"&gt;="&amp;Diagram!$O59,'J1 B - Butcher Terrace'!$A$12:$A$130,"&lt;"&amp;Diagram!$P59),SUMIFS(INDIRECT(ADDRESS(12,3+18*1+(11),,,"J1 B - Butcher Terrace")&amp;":"&amp;ADDRESS(130,3+18*1+(11))),'J1 B - Butcher Terrace'!$A$12:$A$130,"&gt;="&amp;Diagram!$O59,'J1 B - Butcher Terrace'!$A$12:$A$130,"&lt;"&amp;Diagram!$P59)))</f>
        <v>0</v>
      </c>
      <c r="BZ59" s="42">
        <f ca="1">IF(OR($I$10="",$O59="",$P59="",$J$38&lt;&gt;"Yes"),0,IF($K$10=0,SUMIFS(INDIRECT(ADDRESS(12,3+18*1+(3),,,"J1 C - (South) Bishopthorpe Roa")&amp;":"&amp;ADDRESS(130,3+18*1+(3))),'J1 C - (South) Bishopthorpe Roa'!$A$12:$A$130,"&gt;="&amp;Diagram!$O59,'J1 C - (South) Bishopthorpe Roa'!$A$12:$A$130,"&lt;"&amp;Diagram!$P59),SUMIFS(INDIRECT(ADDRESS(12,3+18*1+(11),,,"J1 C - (South) Bishopthorpe Roa")&amp;":"&amp;ADDRESS(130,3+18*1+(11))),'J1 C - (South) Bishopthorpe Roa'!$A$12:$A$130,"&gt;="&amp;Diagram!$O59,'J1 C - (South) Bishopthorpe Roa'!$A$12:$A$130,"&lt;"&amp;Diagram!$P59)))</f>
        <v>0</v>
      </c>
      <c r="CA59" s="42">
        <f ca="1">IF(OR($I$10="",$O59="",$P59="",$J$38&lt;&gt;"Yes"),0,IF($K$10=0,SUMIFS(INDIRECT(ADDRESS(12,3+18*2+(3),,,"J1 C - (South) Bishopthorpe Roa")&amp;":"&amp;ADDRESS(130,3+18*2+(3))),'J1 C - (South) Bishopthorpe Roa'!$A$12:$A$130,"&gt;="&amp;Diagram!$O59,'J1 C - (South) Bishopthorpe Roa'!$A$12:$A$130,"&lt;"&amp;Diagram!$P59),SUMIFS(INDIRECT(ADDRESS(12,3+18*2+(11),,,"J1 C - (South) Bishopthorpe Roa")&amp;":"&amp;ADDRESS(130,3+18*2+(11))),'J1 C - (South) Bishopthorpe Roa'!$A$12:$A$130,"&gt;="&amp;Diagram!$O59,'J1 C - (South) Bishopthorpe Roa'!$A$12:$A$130,"&lt;"&amp;Diagram!$P59)))</f>
        <v>0</v>
      </c>
      <c r="CB59" s="42">
        <f ca="1">IF(OR($I$10="",$O59="",$P59="",$J$38&lt;&gt;"Yes"),0,IF($K$10=0,SUMIFS(INDIRECT(ADDRESS(12,3+18*3+(3),,,"J1 C - (South) Bishopthorpe Roa")&amp;":"&amp;ADDRESS(130,3+18*3+(3))),'J1 C - (South) Bishopthorpe Roa'!$A$12:$A$130,"&gt;="&amp;Diagram!$O59,'J1 C - (South) Bishopthorpe Roa'!$A$12:$A$130,"&lt;"&amp;Diagram!$P59),SUMIFS(INDIRECT(ADDRESS(12,3+18*3+(11),,,"J1 C - (South) Bishopthorpe Roa")&amp;":"&amp;ADDRESS(130,3+18*3+(11))),'J1 C - (South) Bishopthorpe Roa'!$A$12:$A$130,"&gt;="&amp;Diagram!$O59,'J1 C - (South) Bishopthorpe Roa'!$A$12:$A$130,"&lt;"&amp;Diagram!$P59)))</f>
        <v>0</v>
      </c>
      <c r="CC59" s="42">
        <f ca="1">IF(OR($I$10="",$O59="",$P59="",$J$38&lt;&gt;"Yes"),0,IF($K$10=0,SUMIFS(INDIRECT(ADDRESS(12,3+18*0+(3),,,"J1 C - (South) Bishopthorpe Roa")&amp;":"&amp;ADDRESS(130,3+18*0+(3))),'J1 C - (South) Bishopthorpe Roa'!$A$12:$A$130,"&gt;="&amp;Diagram!$O59,'J1 C - (South) Bishopthorpe Roa'!$A$12:$A$130,"&lt;"&amp;Diagram!$P59),SUMIFS(INDIRECT(ADDRESS(12,3+18*0+(11),,,"J1 C - (South) Bishopthorpe Roa")&amp;":"&amp;ADDRESS(130,3+18*0+(11))),'J1 C - (South) Bishopthorpe Roa'!$A$12:$A$130,"&gt;="&amp;Diagram!$O59,'J1 C - (South) Bishopthorpe Roa'!$A$12:$A$130,"&lt;"&amp;Diagram!$P59)))</f>
        <v>0</v>
      </c>
      <c r="CD59" s="42">
        <f ca="1">IF(OR($I$10="",$O59="",$P59="",$J$38&lt;&gt;"Yes"),0,IF($K$10=0,SUMIFS(INDIRECT(ADDRESS(12,3+18*0+(3),,,"J1 D - South Bank Avenue")&amp;":"&amp;ADDRESS(130,3+18*0+(3))),'J1 D - South Bank Avenue'!$A$12:$A$130,"&gt;="&amp;Diagram!$O59,'J1 D - South Bank Avenue'!$A$12:$A$130,"&lt;"&amp;Diagram!$P59),SUMIFS(INDIRECT(ADDRESS(12,3+18*0+(11),,,"J1 D - South Bank Avenue")&amp;":"&amp;ADDRESS(130,3+18*0+(11))),'J1 D - South Bank Avenue'!$A$12:$A$130,"&gt;="&amp;Diagram!$O59,'J1 D - South Bank Avenue'!$A$12:$A$130,"&lt;"&amp;Diagram!$P59)))</f>
        <v>0</v>
      </c>
      <c r="CE59" s="42">
        <f ca="1">IF(OR($I$10="",$O59="",$P59="",$J$38&lt;&gt;"Yes"),0,IF($K$10=0,SUMIFS(INDIRECT(ADDRESS(12,3+18*1+(3),,,"J1 D - South Bank Avenue")&amp;":"&amp;ADDRESS(130,3+18*1+(3))),'J1 D - South Bank Avenue'!$A$12:$A$130,"&gt;="&amp;Diagram!$O59,'J1 D - South Bank Avenue'!$A$12:$A$130,"&lt;"&amp;Diagram!$P59),SUMIFS(INDIRECT(ADDRESS(12,3+18*1+(11),,,"J1 D - South Bank Avenue")&amp;":"&amp;ADDRESS(130,3+18*1+(11))),'J1 D - South Bank Avenue'!$A$12:$A$130,"&gt;="&amp;Diagram!$O59,'J1 D - South Bank Avenue'!$A$12:$A$130,"&lt;"&amp;Diagram!$P59)))</f>
        <v>0</v>
      </c>
      <c r="CF59" s="42">
        <f ca="1">IF(OR($I$10="",$O59="",$P59="",$J$38&lt;&gt;"Yes"),0,IF($K$10=0,SUMIFS(INDIRECT(ADDRESS(12,3+18*2+(3),,,"J1 D - South Bank Avenue")&amp;":"&amp;ADDRESS(130,3+18*2+(3))),'J1 D - South Bank Avenue'!$A$12:$A$130,"&gt;="&amp;Diagram!$O59,'J1 D - South Bank Avenue'!$A$12:$A$130,"&lt;"&amp;Diagram!$P59),SUMIFS(INDIRECT(ADDRESS(12,3+18*2+(11),,,"J1 D - South Bank Avenue")&amp;":"&amp;ADDRESS(130,3+18*2+(11))),'J1 D - South Bank Avenue'!$A$12:$A$130,"&gt;="&amp;Diagram!$O59,'J1 D - South Bank Avenue'!$A$12:$A$130,"&lt;"&amp;Diagram!$P59)))</f>
        <v>0</v>
      </c>
      <c r="CG59" s="42">
        <f ca="1">IF(OR($I$10="",$O59="",$P59="",$J$38&lt;&gt;"Yes"),0,IF($K$10=0,SUMIFS(INDIRECT(ADDRESS(12,3+18*3+(3),,,"J1 D - South Bank Avenue")&amp;":"&amp;ADDRESS(130,3+18*3+(3))),'J1 D - South Bank Avenue'!$A$12:$A$130,"&gt;="&amp;Diagram!$O59,'J1 D - South Bank Avenue'!$A$12:$A$130,"&lt;"&amp;Diagram!$P59),SUMIFS(INDIRECT(ADDRESS(12,3+18*3+(11),,,"J1 D - South Bank Avenue")&amp;":"&amp;ADDRESS(130,3+18*3+(11))),'J1 D - South Bank Avenue'!$A$12:$A$130,"&gt;="&amp;Diagram!$O59,'J1 D - South Bank Avenue'!$A$12:$A$130,"&lt;"&amp;Diagram!$P59)))</f>
        <v>0</v>
      </c>
      <c r="CH59" s="42">
        <f t="shared" ca="1" si="5"/>
        <v>7</v>
      </c>
      <c r="CI59" s="42">
        <f ca="1">IF(OR($I$10="",$O59="",$P59="",$J$39&lt;&gt;"Yes"),0,IF($K$10=0,SUMIFS(INDIRECT(ADDRESS(12,3+18*3+(4),,,"J1 A - (North) Bishopthorpe Roa")&amp;":"&amp;ADDRESS(130,3+18*3+(4))),'J1 A - (North) Bishopthorpe Roa'!$A$12:$A$130,"&gt;="&amp;Diagram!$O59,'J1 A - (North) Bishopthorpe Roa'!$A$12:$A$130,"&lt;"&amp;Diagram!$P59),SUMIFS(INDIRECT(ADDRESS(12,3+18*3+(12),,,"J1 A - (North) Bishopthorpe Roa")&amp;":"&amp;ADDRESS(130,3+18*3+(12))),'J1 A - (North) Bishopthorpe Roa'!$A$12:$A$130,"&gt;="&amp;Diagram!$O59,'J1 A - (North) Bishopthorpe Roa'!$A$12:$A$130,"&lt;"&amp;Diagram!$P59)))</f>
        <v>0</v>
      </c>
      <c r="CJ59" s="42">
        <f ca="1">IF(OR($I$10="",$O59="",$P59="",$J$39&lt;&gt;"Yes"),0,IF($K$10=0,SUMIFS(INDIRECT(ADDRESS(12,3+18*0+(4),,,"J1 A - (North) Bishopthorpe Roa")&amp;":"&amp;ADDRESS(130,3+18*0+(4))),'J1 A - (North) Bishopthorpe Roa'!$A$12:$A$130,"&gt;="&amp;Diagram!$O59,'J1 A - (North) Bishopthorpe Roa'!$A$12:$A$130,"&lt;"&amp;Diagram!$P59),SUMIFS(INDIRECT(ADDRESS(12,3+18*0+(12),,,"J1 A - (North) Bishopthorpe Roa")&amp;":"&amp;ADDRESS(130,3+18*0+(12))),'J1 A - (North) Bishopthorpe Roa'!$A$12:$A$130,"&gt;="&amp;Diagram!$O59,'J1 A - (North) Bishopthorpe Roa'!$A$12:$A$130,"&lt;"&amp;Diagram!$P59)))</f>
        <v>0</v>
      </c>
      <c r="CK59" s="42">
        <f ca="1">IF(OR($I$10="",$O59="",$P59="",$J$39&lt;&gt;"Yes"),0,IF($K$10=0,SUMIFS(INDIRECT(ADDRESS(12,3+18*1+(4),,,"J1 A - (North) Bishopthorpe Roa")&amp;":"&amp;ADDRESS(130,3+18*1+(4))),'J1 A - (North) Bishopthorpe Roa'!$A$12:$A$130,"&gt;="&amp;Diagram!$O59,'J1 A - (North) Bishopthorpe Roa'!$A$12:$A$130,"&lt;"&amp;Diagram!$P59),SUMIFS(INDIRECT(ADDRESS(12,3+18*1+(12),,,"J1 A - (North) Bishopthorpe Roa")&amp;":"&amp;ADDRESS(130,3+18*1+(12))),'J1 A - (North) Bishopthorpe Roa'!$A$12:$A$130,"&gt;="&amp;Diagram!$O59,'J1 A - (North) Bishopthorpe Roa'!$A$12:$A$130,"&lt;"&amp;Diagram!$P59)))</f>
        <v>2</v>
      </c>
      <c r="CL59" s="42">
        <f ca="1">IF(OR($I$10="",$O59="",$P59="",$J$39&lt;&gt;"Yes"),0,IF($K$10=0,SUMIFS(INDIRECT(ADDRESS(12,3+18*2+(4),,,"J1 A - (North) Bishopthorpe Roa")&amp;":"&amp;ADDRESS(130,3+18*2+(4))),'J1 A - (North) Bishopthorpe Roa'!$A$12:$A$130,"&gt;="&amp;Diagram!$O59,'J1 A - (North) Bishopthorpe Roa'!$A$12:$A$130,"&lt;"&amp;Diagram!$P59),SUMIFS(INDIRECT(ADDRESS(12,3+18*2+(12),,,"J1 A - (North) Bishopthorpe Roa")&amp;":"&amp;ADDRESS(130,3+18*2+(12))),'J1 A - (North) Bishopthorpe Roa'!$A$12:$A$130,"&gt;="&amp;Diagram!$O59,'J1 A - (North) Bishopthorpe Roa'!$A$12:$A$130,"&lt;"&amp;Diagram!$P59)))</f>
        <v>0</v>
      </c>
      <c r="CM59" s="42">
        <f ca="1">IF(OR($I$10="",$O59="",$P59="",$J$39&lt;&gt;"Yes"),0,IF($K$10=0,SUMIFS(INDIRECT(ADDRESS(12,3+18*2+(4),,,"J1 B - Butcher Terrace")&amp;":"&amp;ADDRESS(130,3+18*2+(4))),'J1 B - Butcher Terrace'!$A$12:$A$130,"&gt;="&amp;Diagram!$O59,'J1 B - Butcher Terrace'!$A$12:$A$130,"&lt;"&amp;Diagram!$P59),SUMIFS(INDIRECT(ADDRESS(12,3+18*2+(12),,,"J1 B - Butcher Terrace")&amp;":"&amp;ADDRESS(130,3+18*2+(12))),'J1 B - Butcher Terrace'!$A$12:$A$130,"&gt;="&amp;Diagram!$O59,'J1 B - Butcher Terrace'!$A$12:$A$130,"&lt;"&amp;Diagram!$P59)))</f>
        <v>0</v>
      </c>
      <c r="CN59" s="42">
        <f ca="1">IF(OR($I$10="",$O59="",$P59="",$J$39&lt;&gt;"Yes"),0,IF($K$10=0,SUMIFS(INDIRECT(ADDRESS(12,3+18*3+(4),,,"J1 B - Butcher Terrace")&amp;":"&amp;ADDRESS(130,3+18*3+(4))),'J1 B - Butcher Terrace'!$A$12:$A$130,"&gt;="&amp;Diagram!$O59,'J1 B - Butcher Terrace'!$A$12:$A$130,"&lt;"&amp;Diagram!$P59),SUMIFS(INDIRECT(ADDRESS(12,3+18*3+(12),,,"J1 B - Butcher Terrace")&amp;":"&amp;ADDRESS(130,3+18*3+(12))),'J1 B - Butcher Terrace'!$A$12:$A$130,"&gt;="&amp;Diagram!$O59,'J1 B - Butcher Terrace'!$A$12:$A$130,"&lt;"&amp;Diagram!$P59)))</f>
        <v>0</v>
      </c>
      <c r="CO59" s="42">
        <f ca="1">IF(OR($I$10="",$O59="",$P59="",$J$39&lt;&gt;"Yes"),0,IF($K$10=0,SUMIFS(INDIRECT(ADDRESS(12,3+18*0+(4),,,"J1 B - Butcher Terrace")&amp;":"&amp;ADDRESS(130,3+18*0+(4))),'J1 B - Butcher Terrace'!$A$12:$A$130,"&gt;="&amp;Diagram!$O59,'J1 B - Butcher Terrace'!$A$12:$A$130,"&lt;"&amp;Diagram!$P59),SUMIFS(INDIRECT(ADDRESS(12,3+18*0+(12),,,"J1 B - Butcher Terrace")&amp;":"&amp;ADDRESS(130,3+18*0+(12))),'J1 B - Butcher Terrace'!$A$12:$A$130,"&gt;="&amp;Diagram!$O59,'J1 B - Butcher Terrace'!$A$12:$A$130,"&lt;"&amp;Diagram!$P59)))</f>
        <v>0</v>
      </c>
      <c r="CP59" s="42">
        <f ca="1">IF(OR($I$10="",$O59="",$P59="",$J$39&lt;&gt;"Yes"),0,IF($K$10=0,SUMIFS(INDIRECT(ADDRESS(12,3+18*1+(4),,,"J1 B - Butcher Terrace")&amp;":"&amp;ADDRESS(130,3+18*1+(4))),'J1 B - Butcher Terrace'!$A$12:$A$130,"&gt;="&amp;Diagram!$O59,'J1 B - Butcher Terrace'!$A$12:$A$130,"&lt;"&amp;Diagram!$P59),SUMIFS(INDIRECT(ADDRESS(12,3+18*1+(12),,,"J1 B - Butcher Terrace")&amp;":"&amp;ADDRESS(130,3+18*1+(12))),'J1 B - Butcher Terrace'!$A$12:$A$130,"&gt;="&amp;Diagram!$O59,'J1 B - Butcher Terrace'!$A$12:$A$130,"&lt;"&amp;Diagram!$P59)))</f>
        <v>0</v>
      </c>
      <c r="CQ59" s="42">
        <f ca="1">IF(OR($I$10="",$O59="",$P59="",$J$39&lt;&gt;"Yes"),0,IF($K$10=0,SUMIFS(INDIRECT(ADDRESS(12,3+18*1+(4),,,"J1 C - (South) Bishopthorpe Roa")&amp;":"&amp;ADDRESS(130,3+18*1+(4))),'J1 C - (South) Bishopthorpe Roa'!$A$12:$A$130,"&gt;="&amp;Diagram!$O59,'J1 C - (South) Bishopthorpe Roa'!$A$12:$A$130,"&lt;"&amp;Diagram!$P59),SUMIFS(INDIRECT(ADDRESS(12,3+18*1+(12),,,"J1 C - (South) Bishopthorpe Roa")&amp;":"&amp;ADDRESS(130,3+18*1+(12))),'J1 C - (South) Bishopthorpe Roa'!$A$12:$A$130,"&gt;="&amp;Diagram!$O59,'J1 C - (South) Bishopthorpe Roa'!$A$12:$A$130,"&lt;"&amp;Diagram!$P59)))</f>
        <v>5</v>
      </c>
      <c r="CR59" s="42">
        <f ca="1">IF(OR($I$10="",$O59="",$P59="",$J$39&lt;&gt;"Yes"),0,IF($K$10=0,SUMIFS(INDIRECT(ADDRESS(12,3+18*2+(4),,,"J1 C - (South) Bishopthorpe Roa")&amp;":"&amp;ADDRESS(130,3+18*2+(4))),'J1 C - (South) Bishopthorpe Roa'!$A$12:$A$130,"&gt;="&amp;Diagram!$O59,'J1 C - (South) Bishopthorpe Roa'!$A$12:$A$130,"&lt;"&amp;Diagram!$P59),SUMIFS(INDIRECT(ADDRESS(12,3+18*2+(12),,,"J1 C - (South) Bishopthorpe Roa")&amp;":"&amp;ADDRESS(130,3+18*2+(12))),'J1 C - (South) Bishopthorpe Roa'!$A$12:$A$130,"&gt;="&amp;Diagram!$O59,'J1 C - (South) Bishopthorpe Roa'!$A$12:$A$130,"&lt;"&amp;Diagram!$P59)))</f>
        <v>0</v>
      </c>
      <c r="CS59" s="42">
        <f ca="1">IF(OR($I$10="",$O59="",$P59="",$J$39&lt;&gt;"Yes"),0,IF($K$10=0,SUMIFS(INDIRECT(ADDRESS(12,3+18*3+(4),,,"J1 C - (South) Bishopthorpe Roa")&amp;":"&amp;ADDRESS(130,3+18*3+(4))),'J1 C - (South) Bishopthorpe Roa'!$A$12:$A$130,"&gt;="&amp;Diagram!$O59,'J1 C - (South) Bishopthorpe Roa'!$A$12:$A$130,"&lt;"&amp;Diagram!$P59),SUMIFS(INDIRECT(ADDRESS(12,3+18*3+(12),,,"J1 C - (South) Bishopthorpe Roa")&amp;":"&amp;ADDRESS(130,3+18*3+(12))),'J1 C - (South) Bishopthorpe Roa'!$A$12:$A$130,"&gt;="&amp;Diagram!$O59,'J1 C - (South) Bishopthorpe Roa'!$A$12:$A$130,"&lt;"&amp;Diagram!$P59)))</f>
        <v>0</v>
      </c>
      <c r="CT59" s="42">
        <f ca="1">IF(OR($I$10="",$O59="",$P59="",$J$39&lt;&gt;"Yes"),0,IF($K$10=0,SUMIFS(INDIRECT(ADDRESS(12,3+18*0+(4),,,"J1 C - (South) Bishopthorpe Roa")&amp;":"&amp;ADDRESS(130,3+18*0+(4))),'J1 C - (South) Bishopthorpe Roa'!$A$12:$A$130,"&gt;="&amp;Diagram!$O59,'J1 C - (South) Bishopthorpe Roa'!$A$12:$A$130,"&lt;"&amp;Diagram!$P59),SUMIFS(INDIRECT(ADDRESS(12,3+18*0+(12),,,"J1 C - (South) Bishopthorpe Roa")&amp;":"&amp;ADDRESS(130,3+18*0+(12))),'J1 C - (South) Bishopthorpe Roa'!$A$12:$A$130,"&gt;="&amp;Diagram!$O59,'J1 C - (South) Bishopthorpe Roa'!$A$12:$A$130,"&lt;"&amp;Diagram!$P59)))</f>
        <v>0</v>
      </c>
      <c r="CU59" s="42">
        <f ca="1">IF(OR($I$10="",$O59="",$P59="",$J$39&lt;&gt;"Yes"),0,IF($K$10=0,SUMIFS(INDIRECT(ADDRESS(12,3+18*0+(4),,,"J1 D - South Bank Avenue")&amp;":"&amp;ADDRESS(130,3+18*0+(4))),'J1 D - South Bank Avenue'!$A$12:$A$130,"&gt;="&amp;Diagram!$O59,'J1 D - South Bank Avenue'!$A$12:$A$130,"&lt;"&amp;Diagram!$P59),SUMIFS(INDIRECT(ADDRESS(12,3+18*0+(12),,,"J1 D - South Bank Avenue")&amp;":"&amp;ADDRESS(130,3+18*0+(12))),'J1 D - South Bank Avenue'!$A$12:$A$130,"&gt;="&amp;Diagram!$O59,'J1 D - South Bank Avenue'!$A$12:$A$130,"&lt;"&amp;Diagram!$P59)))</f>
        <v>0</v>
      </c>
      <c r="CV59" s="42">
        <f ca="1">IF(OR($I$10="",$O59="",$P59="",$J$39&lt;&gt;"Yes"),0,IF($K$10=0,SUMIFS(INDIRECT(ADDRESS(12,3+18*1+(4),,,"J1 D - South Bank Avenue")&amp;":"&amp;ADDRESS(130,3+18*1+(4))),'J1 D - South Bank Avenue'!$A$12:$A$130,"&gt;="&amp;Diagram!$O59,'J1 D - South Bank Avenue'!$A$12:$A$130,"&lt;"&amp;Diagram!$P59),SUMIFS(INDIRECT(ADDRESS(12,3+18*1+(12),,,"J1 D - South Bank Avenue")&amp;":"&amp;ADDRESS(130,3+18*1+(12))),'J1 D - South Bank Avenue'!$A$12:$A$130,"&gt;="&amp;Diagram!$O59,'J1 D - South Bank Avenue'!$A$12:$A$130,"&lt;"&amp;Diagram!$P59)))</f>
        <v>0</v>
      </c>
      <c r="CW59" s="42">
        <f ca="1">IF(OR($I$10="",$O59="",$P59="",$J$39&lt;&gt;"Yes"),0,IF($K$10=0,SUMIFS(INDIRECT(ADDRESS(12,3+18*2+(4),,,"J1 D - South Bank Avenue")&amp;":"&amp;ADDRESS(130,3+18*2+(4))),'J1 D - South Bank Avenue'!$A$12:$A$130,"&gt;="&amp;Diagram!$O59,'J1 D - South Bank Avenue'!$A$12:$A$130,"&lt;"&amp;Diagram!$P59),SUMIFS(INDIRECT(ADDRESS(12,3+18*2+(12),,,"J1 D - South Bank Avenue")&amp;":"&amp;ADDRESS(130,3+18*2+(12))),'J1 D - South Bank Avenue'!$A$12:$A$130,"&gt;="&amp;Diagram!$O59,'J1 D - South Bank Avenue'!$A$12:$A$130,"&lt;"&amp;Diagram!$P59)))</f>
        <v>0</v>
      </c>
      <c r="CX59" s="42">
        <f ca="1">IF(OR($I$10="",$O59="",$P59="",$J$39&lt;&gt;"Yes"),0,IF($K$10=0,SUMIFS(INDIRECT(ADDRESS(12,3+18*3+(4),,,"J1 D - South Bank Avenue")&amp;":"&amp;ADDRESS(130,3+18*3+(4))),'J1 D - South Bank Avenue'!$A$12:$A$130,"&gt;="&amp;Diagram!$O59,'J1 D - South Bank Avenue'!$A$12:$A$130,"&lt;"&amp;Diagram!$P59),SUMIFS(INDIRECT(ADDRESS(12,3+18*3+(12),,,"J1 D - South Bank Avenue")&amp;":"&amp;ADDRESS(130,3+18*3+(12))),'J1 D - South Bank Avenue'!$A$12:$A$130,"&gt;="&amp;Diagram!$O59,'J1 D - South Bank Avenue'!$A$12:$A$130,"&lt;"&amp;Diagram!$P59)))</f>
        <v>0</v>
      </c>
      <c r="CY59" s="42">
        <f t="shared" ca="1" si="6"/>
        <v>115</v>
      </c>
      <c r="CZ59" s="42">
        <f ca="1">IF(OR($I$10="",$O59="",$P59="",$J$40&lt;&gt;"Yes"),0,IF($K$10=0,SUMIFS(INDIRECT(ADDRESS(12,3+18*3+(5),,,"J1 A - (North) Bishopthorpe Roa")&amp;":"&amp;ADDRESS(130,3+18*3+(5))),'J1 A - (North) Bishopthorpe Roa'!$A$12:$A$130,"&gt;="&amp;Diagram!$O59,'J1 A - (North) Bishopthorpe Roa'!$A$12:$A$130,"&lt;"&amp;Diagram!$P59),SUMIFS(INDIRECT(ADDRESS(12,3+18*3+(13),,,"J1 A - (North) Bishopthorpe Roa")&amp;":"&amp;ADDRESS(130,3+18*3+(13))),'J1 A - (North) Bishopthorpe Roa'!$A$12:$A$130,"&gt;="&amp;Diagram!$O59,'J1 A - (North) Bishopthorpe Roa'!$A$12:$A$130,"&lt;"&amp;Diagram!$P59)))</f>
        <v>0</v>
      </c>
      <c r="DA59" s="42">
        <f ca="1">IF(OR($I$10="",$O59="",$P59="",$J$40&lt;&gt;"Yes"),0,IF($K$10=0,SUMIFS(INDIRECT(ADDRESS(12,3+18*0+(5),,,"J1 A - (North) Bishopthorpe Roa")&amp;":"&amp;ADDRESS(130,3+18*0+(5))),'J1 A - (North) Bishopthorpe Roa'!$A$12:$A$130,"&gt;="&amp;Diagram!$O59,'J1 A - (North) Bishopthorpe Roa'!$A$12:$A$130,"&lt;"&amp;Diagram!$P59),SUMIFS(INDIRECT(ADDRESS(12,3+18*0+(13),,,"J1 A - (North) Bishopthorpe Roa")&amp;":"&amp;ADDRESS(130,3+18*0+(13))),'J1 A - (North) Bishopthorpe Roa'!$A$12:$A$130,"&gt;="&amp;Diagram!$O59,'J1 A - (North) Bishopthorpe Roa'!$A$12:$A$130,"&lt;"&amp;Diagram!$P59)))</f>
        <v>9</v>
      </c>
      <c r="DB59" s="42">
        <f ca="1">IF(OR($I$10="",$O59="",$P59="",$J$40&lt;&gt;"Yes"),0,IF($K$10=0,SUMIFS(INDIRECT(ADDRESS(12,3+18*1+(5),,,"J1 A - (North) Bishopthorpe Roa")&amp;":"&amp;ADDRESS(130,3+18*1+(5))),'J1 A - (North) Bishopthorpe Roa'!$A$12:$A$130,"&gt;="&amp;Diagram!$O59,'J1 A - (North) Bishopthorpe Roa'!$A$12:$A$130,"&lt;"&amp;Diagram!$P59),SUMIFS(INDIRECT(ADDRESS(12,3+18*1+(13),,,"J1 A - (North) Bishopthorpe Roa")&amp;":"&amp;ADDRESS(130,3+18*1+(13))),'J1 A - (North) Bishopthorpe Roa'!$A$12:$A$130,"&gt;="&amp;Diagram!$O59,'J1 A - (North) Bishopthorpe Roa'!$A$12:$A$130,"&lt;"&amp;Diagram!$P59)))</f>
        <v>9</v>
      </c>
      <c r="DC59" s="42">
        <f ca="1">IF(OR($I$10="",$O59="",$P59="",$J$40&lt;&gt;"Yes"),0,IF($K$10=0,SUMIFS(INDIRECT(ADDRESS(12,3+18*2+(5),,,"J1 A - (North) Bishopthorpe Roa")&amp;":"&amp;ADDRESS(130,3+18*2+(5))),'J1 A - (North) Bishopthorpe Roa'!$A$12:$A$130,"&gt;="&amp;Diagram!$O59,'J1 A - (North) Bishopthorpe Roa'!$A$12:$A$130,"&lt;"&amp;Diagram!$P59),SUMIFS(INDIRECT(ADDRESS(12,3+18*2+(13),,,"J1 A - (North) Bishopthorpe Roa")&amp;":"&amp;ADDRESS(130,3+18*2+(13))),'J1 A - (North) Bishopthorpe Roa'!$A$12:$A$130,"&gt;="&amp;Diagram!$O59,'J1 A - (North) Bishopthorpe Roa'!$A$12:$A$130,"&lt;"&amp;Diagram!$P59)))</f>
        <v>2</v>
      </c>
      <c r="DD59" s="42">
        <f ca="1">IF(OR($I$10="",$O59="",$P59="",$J$40&lt;&gt;"Yes"),0,IF($K$10=0,SUMIFS(INDIRECT(ADDRESS(12,3+18*2+(5),,,"J1 B - Butcher Terrace")&amp;":"&amp;ADDRESS(130,3+18*2+(5))),'J1 B - Butcher Terrace'!$A$12:$A$130,"&gt;="&amp;Diagram!$O59,'J1 B - Butcher Terrace'!$A$12:$A$130,"&lt;"&amp;Diagram!$P59),SUMIFS(INDIRECT(ADDRESS(12,3+18*2+(13),,,"J1 B - Butcher Terrace")&amp;":"&amp;ADDRESS(130,3+18*2+(13))),'J1 B - Butcher Terrace'!$A$12:$A$130,"&gt;="&amp;Diagram!$O59,'J1 B - Butcher Terrace'!$A$12:$A$130,"&lt;"&amp;Diagram!$P59)))</f>
        <v>17</v>
      </c>
      <c r="DE59" s="42">
        <f ca="1">IF(OR($I$10="",$O59="",$P59="",$J$40&lt;&gt;"Yes"),0,IF($K$10=0,SUMIFS(INDIRECT(ADDRESS(12,3+18*3+(5),,,"J1 B - Butcher Terrace")&amp;":"&amp;ADDRESS(130,3+18*3+(5))),'J1 B - Butcher Terrace'!$A$12:$A$130,"&gt;="&amp;Diagram!$O59,'J1 B - Butcher Terrace'!$A$12:$A$130,"&lt;"&amp;Diagram!$P59),SUMIFS(INDIRECT(ADDRESS(12,3+18*3+(13),,,"J1 B - Butcher Terrace")&amp;":"&amp;ADDRESS(130,3+18*3+(13))),'J1 B - Butcher Terrace'!$A$12:$A$130,"&gt;="&amp;Diagram!$O59,'J1 B - Butcher Terrace'!$A$12:$A$130,"&lt;"&amp;Diagram!$P59)))</f>
        <v>0</v>
      </c>
      <c r="DF59" s="42">
        <f ca="1">IF(OR($I$10="",$O59="",$P59="",$J$40&lt;&gt;"Yes"),0,IF($K$10=0,SUMIFS(INDIRECT(ADDRESS(12,3+18*0+(5),,,"J1 B - Butcher Terrace")&amp;":"&amp;ADDRESS(130,3+18*0+(5))),'J1 B - Butcher Terrace'!$A$12:$A$130,"&gt;="&amp;Diagram!$O59,'J1 B - Butcher Terrace'!$A$12:$A$130,"&lt;"&amp;Diagram!$P59),SUMIFS(INDIRECT(ADDRESS(12,3+18*0+(13),,,"J1 B - Butcher Terrace")&amp;":"&amp;ADDRESS(130,3+18*0+(13))),'J1 B - Butcher Terrace'!$A$12:$A$130,"&gt;="&amp;Diagram!$O59,'J1 B - Butcher Terrace'!$A$12:$A$130,"&lt;"&amp;Diagram!$P59)))</f>
        <v>10</v>
      </c>
      <c r="DG59" s="42">
        <f ca="1">IF(OR($I$10="",$O59="",$P59="",$J$40&lt;&gt;"Yes"),0,IF($K$10=0,SUMIFS(INDIRECT(ADDRESS(12,3+18*1+(5),,,"J1 B - Butcher Terrace")&amp;":"&amp;ADDRESS(130,3+18*1+(5))),'J1 B - Butcher Terrace'!$A$12:$A$130,"&gt;="&amp;Diagram!$O59,'J1 B - Butcher Terrace'!$A$12:$A$130,"&lt;"&amp;Diagram!$P59),SUMIFS(INDIRECT(ADDRESS(12,3+18*1+(13),,,"J1 B - Butcher Terrace")&amp;":"&amp;ADDRESS(130,3+18*1+(13))),'J1 B - Butcher Terrace'!$A$12:$A$130,"&gt;="&amp;Diagram!$O59,'J1 B - Butcher Terrace'!$A$12:$A$130,"&lt;"&amp;Diagram!$P59)))</f>
        <v>33</v>
      </c>
      <c r="DH59" s="42">
        <f ca="1">IF(OR($I$10="",$O59="",$P59="",$J$40&lt;&gt;"Yes"),0,IF($K$10=0,SUMIFS(INDIRECT(ADDRESS(12,3+18*1+(5),,,"J1 C - (South) Bishopthorpe Roa")&amp;":"&amp;ADDRESS(130,3+18*1+(5))),'J1 C - (South) Bishopthorpe Roa'!$A$12:$A$130,"&gt;="&amp;Diagram!$O59,'J1 C - (South) Bishopthorpe Roa'!$A$12:$A$130,"&lt;"&amp;Diagram!$P59),SUMIFS(INDIRECT(ADDRESS(12,3+18*1+(13),,,"J1 C - (South) Bishopthorpe Roa")&amp;":"&amp;ADDRESS(130,3+18*1+(13))),'J1 C - (South) Bishopthorpe Roa'!$A$12:$A$130,"&gt;="&amp;Diagram!$O59,'J1 C - (South) Bishopthorpe Roa'!$A$12:$A$130,"&lt;"&amp;Diagram!$P59)))</f>
        <v>13</v>
      </c>
      <c r="DI59" s="42">
        <f ca="1">IF(OR($I$10="",$O59="",$P59="",$J$40&lt;&gt;"Yes"),0,IF($K$10=0,SUMIFS(INDIRECT(ADDRESS(12,3+18*2+(5),,,"J1 C - (South) Bishopthorpe Roa")&amp;":"&amp;ADDRESS(130,3+18*2+(5))),'J1 C - (South) Bishopthorpe Roa'!$A$12:$A$130,"&gt;="&amp;Diagram!$O59,'J1 C - (South) Bishopthorpe Roa'!$A$12:$A$130,"&lt;"&amp;Diagram!$P59),SUMIFS(INDIRECT(ADDRESS(12,3+18*2+(13),,,"J1 C - (South) Bishopthorpe Roa")&amp;":"&amp;ADDRESS(130,3+18*2+(13))),'J1 C - (South) Bishopthorpe Roa'!$A$12:$A$130,"&gt;="&amp;Diagram!$O59,'J1 C - (South) Bishopthorpe Roa'!$A$12:$A$130,"&lt;"&amp;Diagram!$P59)))</f>
        <v>6</v>
      </c>
      <c r="DJ59" s="42">
        <f ca="1">IF(OR($I$10="",$O59="",$P59="",$J$40&lt;&gt;"Yes"),0,IF($K$10=0,SUMIFS(INDIRECT(ADDRESS(12,3+18*3+(5),,,"J1 C - (South) Bishopthorpe Roa")&amp;":"&amp;ADDRESS(130,3+18*3+(5))),'J1 C - (South) Bishopthorpe Roa'!$A$12:$A$130,"&gt;="&amp;Diagram!$O59,'J1 C - (South) Bishopthorpe Roa'!$A$12:$A$130,"&lt;"&amp;Diagram!$P59),SUMIFS(INDIRECT(ADDRESS(12,3+18*3+(13),,,"J1 C - (South) Bishopthorpe Roa")&amp;":"&amp;ADDRESS(130,3+18*3+(13))),'J1 C - (South) Bishopthorpe Roa'!$A$12:$A$130,"&gt;="&amp;Diagram!$O59,'J1 C - (South) Bishopthorpe Roa'!$A$12:$A$130,"&lt;"&amp;Diagram!$P59)))</f>
        <v>0</v>
      </c>
      <c r="DK59" s="42">
        <f ca="1">IF(OR($I$10="",$O59="",$P59="",$J$40&lt;&gt;"Yes"),0,IF($K$10=0,SUMIFS(INDIRECT(ADDRESS(12,3+18*0+(5),,,"J1 C - (South) Bishopthorpe Roa")&amp;":"&amp;ADDRESS(130,3+18*0+(5))),'J1 C - (South) Bishopthorpe Roa'!$A$12:$A$130,"&gt;="&amp;Diagram!$O59,'J1 C - (South) Bishopthorpe Roa'!$A$12:$A$130,"&lt;"&amp;Diagram!$P59),SUMIFS(INDIRECT(ADDRESS(12,3+18*0+(13),,,"J1 C - (South) Bishopthorpe Roa")&amp;":"&amp;ADDRESS(130,3+18*0+(13))),'J1 C - (South) Bishopthorpe Roa'!$A$12:$A$130,"&gt;="&amp;Diagram!$O59,'J1 C - (South) Bishopthorpe Roa'!$A$12:$A$130,"&lt;"&amp;Diagram!$P59)))</f>
        <v>1</v>
      </c>
      <c r="DL59" s="42">
        <f ca="1">IF(OR($I$10="",$O59="",$P59="",$J$40&lt;&gt;"Yes"),0,IF($K$10=0,SUMIFS(INDIRECT(ADDRESS(12,3+18*0+(5),,,"J1 D - South Bank Avenue")&amp;":"&amp;ADDRESS(130,3+18*0+(5))),'J1 D - South Bank Avenue'!$A$12:$A$130,"&gt;="&amp;Diagram!$O59,'J1 D - South Bank Avenue'!$A$12:$A$130,"&lt;"&amp;Diagram!$P59),SUMIFS(INDIRECT(ADDRESS(12,3+18*0+(13),,,"J1 D - South Bank Avenue")&amp;":"&amp;ADDRESS(130,3+18*0+(13))),'J1 D - South Bank Avenue'!$A$12:$A$130,"&gt;="&amp;Diagram!$O59,'J1 D - South Bank Avenue'!$A$12:$A$130,"&lt;"&amp;Diagram!$P59)))</f>
        <v>3</v>
      </c>
      <c r="DM59" s="42">
        <f ca="1">IF(OR($I$10="",$O59="",$P59="",$J$40&lt;&gt;"Yes"),0,IF($K$10=0,SUMIFS(INDIRECT(ADDRESS(12,3+18*1+(5),,,"J1 D - South Bank Avenue")&amp;":"&amp;ADDRESS(130,3+18*1+(5))),'J1 D - South Bank Avenue'!$A$12:$A$130,"&gt;="&amp;Diagram!$O59,'J1 D - South Bank Avenue'!$A$12:$A$130,"&lt;"&amp;Diagram!$P59),SUMIFS(INDIRECT(ADDRESS(12,3+18*1+(13),,,"J1 D - South Bank Avenue")&amp;":"&amp;ADDRESS(130,3+18*1+(13))),'J1 D - South Bank Avenue'!$A$12:$A$130,"&gt;="&amp;Diagram!$O59,'J1 D - South Bank Avenue'!$A$12:$A$130,"&lt;"&amp;Diagram!$P59)))</f>
        <v>12</v>
      </c>
      <c r="DN59" s="42">
        <f ca="1">IF(OR($I$10="",$O59="",$P59="",$J$40&lt;&gt;"Yes"),0,IF($K$10=0,SUMIFS(INDIRECT(ADDRESS(12,3+18*2+(5),,,"J1 D - South Bank Avenue")&amp;":"&amp;ADDRESS(130,3+18*2+(5))),'J1 D - South Bank Avenue'!$A$12:$A$130,"&gt;="&amp;Diagram!$O59,'J1 D - South Bank Avenue'!$A$12:$A$130,"&lt;"&amp;Diagram!$P59),SUMIFS(INDIRECT(ADDRESS(12,3+18*2+(13),,,"J1 D - South Bank Avenue")&amp;":"&amp;ADDRESS(130,3+18*2+(13))),'J1 D - South Bank Avenue'!$A$12:$A$130,"&gt;="&amp;Diagram!$O59,'J1 D - South Bank Avenue'!$A$12:$A$130,"&lt;"&amp;Diagram!$P59)))</f>
        <v>0</v>
      </c>
      <c r="DO59" s="42">
        <f ca="1">IF(OR($I$10="",$O59="",$P59="",$J$40&lt;&gt;"Yes"),0,IF($K$10=0,SUMIFS(INDIRECT(ADDRESS(12,3+18*3+(5),,,"J1 D - South Bank Avenue")&amp;":"&amp;ADDRESS(130,3+18*3+(5))),'J1 D - South Bank Avenue'!$A$12:$A$130,"&gt;="&amp;Diagram!$O59,'J1 D - South Bank Avenue'!$A$12:$A$130,"&lt;"&amp;Diagram!$P59),SUMIFS(INDIRECT(ADDRESS(12,3+18*3+(13),,,"J1 D - South Bank Avenue")&amp;":"&amp;ADDRESS(130,3+18*3+(13))),'J1 D - South Bank Avenue'!$A$12:$A$130,"&gt;="&amp;Diagram!$O59,'J1 D - South Bank Avenue'!$A$12:$A$130,"&lt;"&amp;Diagram!$P59)))</f>
        <v>0</v>
      </c>
      <c r="DP59" s="42">
        <f t="shared" ca="1" si="7"/>
        <v>12</v>
      </c>
      <c r="DQ59" s="42">
        <f ca="1">IF(OR($I$10="",$O59="",$P59="",$J$41&lt;&gt;"Yes"),0,IF($K$10=0,SUMIFS(INDIRECT(ADDRESS(12,3+18*3+(6),,,"J1 A - (North) Bishopthorpe Roa")&amp;":"&amp;ADDRESS(130,3+18*3+(6))),'J1 A - (North) Bishopthorpe Roa'!$A$12:$A$130,"&gt;="&amp;Diagram!$O59,'J1 A - (North) Bishopthorpe Roa'!$A$12:$A$130,"&lt;"&amp;Diagram!$P59),SUMIFS(INDIRECT(ADDRESS(12,3+18*3+(14),,,"J1 A - (North) Bishopthorpe Roa")&amp;":"&amp;ADDRESS(130,3+18*3+(14))),'J1 A - (North) Bishopthorpe Roa'!$A$12:$A$130,"&gt;="&amp;Diagram!$O59,'J1 A - (North) Bishopthorpe Roa'!$A$12:$A$130,"&lt;"&amp;Diagram!$P59)))</f>
        <v>0</v>
      </c>
      <c r="DR59" s="42">
        <f ca="1">IF(OR($I$10="",$O59="",$P59="",$J$41&lt;&gt;"Yes"),0,IF($K$10=0,SUMIFS(INDIRECT(ADDRESS(12,3+18*0+(6),,,"J1 A - (North) Bishopthorpe Roa")&amp;":"&amp;ADDRESS(130,3+18*0+(6))),'J1 A - (North) Bishopthorpe Roa'!$A$12:$A$130,"&gt;="&amp;Diagram!$O59,'J1 A - (North) Bishopthorpe Roa'!$A$12:$A$130,"&lt;"&amp;Diagram!$P59),SUMIFS(INDIRECT(ADDRESS(12,3+18*0+(14),,,"J1 A - (North) Bishopthorpe Roa")&amp;":"&amp;ADDRESS(130,3+18*0+(14))),'J1 A - (North) Bishopthorpe Roa'!$A$12:$A$130,"&gt;="&amp;Diagram!$O59,'J1 A - (North) Bishopthorpe Roa'!$A$12:$A$130,"&lt;"&amp;Diagram!$P59)))</f>
        <v>1</v>
      </c>
      <c r="DS59" s="42">
        <f ca="1">IF(OR($I$10="",$O59="",$P59="",$J$41&lt;&gt;"Yes"),0,IF($K$10=0,SUMIFS(INDIRECT(ADDRESS(12,3+18*1+(6),,,"J1 A - (North) Bishopthorpe Roa")&amp;":"&amp;ADDRESS(130,3+18*1+(6))),'J1 A - (North) Bishopthorpe Roa'!$A$12:$A$130,"&gt;="&amp;Diagram!$O59,'J1 A - (North) Bishopthorpe Roa'!$A$12:$A$130,"&lt;"&amp;Diagram!$P59),SUMIFS(INDIRECT(ADDRESS(12,3+18*1+(14),,,"J1 A - (North) Bishopthorpe Roa")&amp;":"&amp;ADDRESS(130,3+18*1+(14))),'J1 A - (North) Bishopthorpe Roa'!$A$12:$A$130,"&gt;="&amp;Diagram!$O59,'J1 A - (North) Bishopthorpe Roa'!$A$12:$A$130,"&lt;"&amp;Diagram!$P59)))</f>
        <v>4</v>
      </c>
      <c r="DT59" s="42">
        <f ca="1">IF(OR($I$10="",$O59="",$P59="",$J$41&lt;&gt;"Yes"),0,IF($K$10=0,SUMIFS(INDIRECT(ADDRESS(12,3+18*2+(6),,,"J1 A - (North) Bishopthorpe Roa")&amp;":"&amp;ADDRESS(130,3+18*2+(6))),'J1 A - (North) Bishopthorpe Roa'!$A$12:$A$130,"&gt;="&amp;Diagram!$O59,'J1 A - (North) Bishopthorpe Roa'!$A$12:$A$130,"&lt;"&amp;Diagram!$P59),SUMIFS(INDIRECT(ADDRESS(12,3+18*2+(14),,,"J1 A - (North) Bishopthorpe Roa")&amp;":"&amp;ADDRESS(130,3+18*2+(14))),'J1 A - (North) Bishopthorpe Roa'!$A$12:$A$130,"&gt;="&amp;Diagram!$O59,'J1 A - (North) Bishopthorpe Roa'!$A$12:$A$130,"&lt;"&amp;Diagram!$P59)))</f>
        <v>1</v>
      </c>
      <c r="DU59" s="42">
        <f ca="1">IF(OR($I$10="",$O59="",$P59="",$J$41&lt;&gt;"Yes"),0,IF($K$10=0,SUMIFS(INDIRECT(ADDRESS(12,3+18*2+(6),,,"J1 B - Butcher Terrace")&amp;":"&amp;ADDRESS(130,3+18*2+(6))),'J1 B - Butcher Terrace'!$A$12:$A$130,"&gt;="&amp;Diagram!$O59,'J1 B - Butcher Terrace'!$A$12:$A$130,"&lt;"&amp;Diagram!$P59),SUMIFS(INDIRECT(ADDRESS(12,3+18*2+(14),,,"J1 B - Butcher Terrace")&amp;":"&amp;ADDRESS(130,3+18*2+(14))),'J1 B - Butcher Terrace'!$A$12:$A$130,"&gt;="&amp;Diagram!$O59,'J1 B - Butcher Terrace'!$A$12:$A$130,"&lt;"&amp;Diagram!$P59)))</f>
        <v>0</v>
      </c>
      <c r="DV59" s="42">
        <f ca="1">IF(OR($I$10="",$O59="",$P59="",$J$41&lt;&gt;"Yes"),0,IF($K$10=0,SUMIFS(INDIRECT(ADDRESS(12,3+18*3+(6),,,"J1 B - Butcher Terrace")&amp;":"&amp;ADDRESS(130,3+18*3+(6))),'J1 B - Butcher Terrace'!$A$12:$A$130,"&gt;="&amp;Diagram!$O59,'J1 B - Butcher Terrace'!$A$12:$A$130,"&lt;"&amp;Diagram!$P59),SUMIFS(INDIRECT(ADDRESS(12,3+18*3+(14),,,"J1 B - Butcher Terrace")&amp;":"&amp;ADDRESS(130,3+18*3+(14))),'J1 B - Butcher Terrace'!$A$12:$A$130,"&gt;="&amp;Diagram!$O59,'J1 B - Butcher Terrace'!$A$12:$A$130,"&lt;"&amp;Diagram!$P59)))</f>
        <v>0</v>
      </c>
      <c r="DW59" s="42">
        <f ca="1">IF(OR($I$10="",$O59="",$P59="",$J$41&lt;&gt;"Yes"),0,IF($K$10=0,SUMIFS(INDIRECT(ADDRESS(12,3+18*0+(6),,,"J1 B - Butcher Terrace")&amp;":"&amp;ADDRESS(130,3+18*0+(6))),'J1 B - Butcher Terrace'!$A$12:$A$130,"&gt;="&amp;Diagram!$O59,'J1 B - Butcher Terrace'!$A$12:$A$130,"&lt;"&amp;Diagram!$P59),SUMIFS(INDIRECT(ADDRESS(12,3+18*0+(14),,,"J1 B - Butcher Terrace")&amp;":"&amp;ADDRESS(130,3+18*0+(14))),'J1 B - Butcher Terrace'!$A$12:$A$130,"&gt;="&amp;Diagram!$O59,'J1 B - Butcher Terrace'!$A$12:$A$130,"&lt;"&amp;Diagram!$P59)))</f>
        <v>1</v>
      </c>
      <c r="DX59" s="42">
        <f ca="1">IF(OR($I$10="",$O59="",$P59="",$J$41&lt;&gt;"Yes"),0,IF($K$10=0,SUMIFS(INDIRECT(ADDRESS(12,3+18*1+(6),,,"J1 B - Butcher Terrace")&amp;":"&amp;ADDRESS(130,3+18*1+(6))),'J1 B - Butcher Terrace'!$A$12:$A$130,"&gt;="&amp;Diagram!$O59,'J1 B - Butcher Terrace'!$A$12:$A$130,"&lt;"&amp;Diagram!$P59),SUMIFS(INDIRECT(ADDRESS(12,3+18*1+(14),,,"J1 B - Butcher Terrace")&amp;":"&amp;ADDRESS(130,3+18*1+(14))),'J1 B - Butcher Terrace'!$A$12:$A$130,"&gt;="&amp;Diagram!$O59,'J1 B - Butcher Terrace'!$A$12:$A$130,"&lt;"&amp;Diagram!$P59)))</f>
        <v>0</v>
      </c>
      <c r="DY59" s="42">
        <f ca="1">IF(OR($I$10="",$O59="",$P59="",$J$41&lt;&gt;"Yes"),0,IF($K$10=0,SUMIFS(INDIRECT(ADDRESS(12,3+18*1+(6),,,"J1 C - (South) Bishopthorpe Roa")&amp;":"&amp;ADDRESS(130,3+18*1+(6))),'J1 C - (South) Bishopthorpe Roa'!$A$12:$A$130,"&gt;="&amp;Diagram!$O59,'J1 C - (South) Bishopthorpe Roa'!$A$12:$A$130,"&lt;"&amp;Diagram!$P59),SUMIFS(INDIRECT(ADDRESS(12,3+18*1+(14),,,"J1 C - (South) Bishopthorpe Roa")&amp;":"&amp;ADDRESS(130,3+18*1+(14))),'J1 C - (South) Bishopthorpe Roa'!$A$12:$A$130,"&gt;="&amp;Diagram!$O59,'J1 C - (South) Bishopthorpe Roa'!$A$12:$A$130,"&lt;"&amp;Diagram!$P59)))</f>
        <v>4</v>
      </c>
      <c r="DZ59" s="42">
        <f ca="1">IF(OR($I$10="",$O59="",$P59="",$J$41&lt;&gt;"Yes"),0,IF($K$10=0,SUMIFS(INDIRECT(ADDRESS(12,3+18*2+(6),,,"J1 C - (South) Bishopthorpe Roa")&amp;":"&amp;ADDRESS(130,3+18*2+(6))),'J1 C - (South) Bishopthorpe Roa'!$A$12:$A$130,"&gt;="&amp;Diagram!$O59,'J1 C - (South) Bishopthorpe Roa'!$A$12:$A$130,"&lt;"&amp;Diagram!$P59),SUMIFS(INDIRECT(ADDRESS(12,3+18*2+(14),,,"J1 C - (South) Bishopthorpe Roa")&amp;":"&amp;ADDRESS(130,3+18*2+(14))),'J1 C - (South) Bishopthorpe Roa'!$A$12:$A$130,"&gt;="&amp;Diagram!$O59,'J1 C - (South) Bishopthorpe Roa'!$A$12:$A$130,"&lt;"&amp;Diagram!$P59)))</f>
        <v>0</v>
      </c>
      <c r="EA59" s="42">
        <f ca="1">IF(OR($I$10="",$O59="",$P59="",$J$41&lt;&gt;"Yes"),0,IF($K$10=0,SUMIFS(INDIRECT(ADDRESS(12,3+18*3+(6),,,"J1 C - (South) Bishopthorpe Roa")&amp;":"&amp;ADDRESS(130,3+18*3+(6))),'J1 C - (South) Bishopthorpe Roa'!$A$12:$A$130,"&gt;="&amp;Diagram!$O59,'J1 C - (South) Bishopthorpe Roa'!$A$12:$A$130,"&lt;"&amp;Diagram!$P59),SUMIFS(INDIRECT(ADDRESS(12,3+18*3+(14),,,"J1 C - (South) Bishopthorpe Roa")&amp;":"&amp;ADDRESS(130,3+18*3+(14))),'J1 C - (South) Bishopthorpe Roa'!$A$12:$A$130,"&gt;="&amp;Diagram!$O59,'J1 C - (South) Bishopthorpe Roa'!$A$12:$A$130,"&lt;"&amp;Diagram!$P59)))</f>
        <v>0</v>
      </c>
      <c r="EB59" s="42">
        <f ca="1">IF(OR($I$10="",$O59="",$P59="",$J$41&lt;&gt;"Yes"),0,IF($K$10=0,SUMIFS(INDIRECT(ADDRESS(12,3+18*0+(6),,,"J1 C - (South) Bishopthorpe Roa")&amp;":"&amp;ADDRESS(130,3+18*0+(6))),'J1 C - (South) Bishopthorpe Roa'!$A$12:$A$130,"&gt;="&amp;Diagram!$O59,'J1 C - (South) Bishopthorpe Roa'!$A$12:$A$130,"&lt;"&amp;Diagram!$P59),SUMIFS(INDIRECT(ADDRESS(12,3+18*0+(14),,,"J1 C - (South) Bishopthorpe Roa")&amp;":"&amp;ADDRESS(130,3+18*0+(14))),'J1 C - (South) Bishopthorpe Roa'!$A$12:$A$130,"&gt;="&amp;Diagram!$O59,'J1 C - (South) Bishopthorpe Roa'!$A$12:$A$130,"&lt;"&amp;Diagram!$P59)))</f>
        <v>0</v>
      </c>
      <c r="EC59" s="42">
        <f ca="1">IF(OR($I$10="",$O59="",$P59="",$J$41&lt;&gt;"Yes"),0,IF($K$10=0,SUMIFS(INDIRECT(ADDRESS(12,3+18*0+(6),,,"J1 D - South Bank Avenue")&amp;":"&amp;ADDRESS(130,3+18*0+(6))),'J1 D - South Bank Avenue'!$A$12:$A$130,"&gt;="&amp;Diagram!$O59,'J1 D - South Bank Avenue'!$A$12:$A$130,"&lt;"&amp;Diagram!$P59),SUMIFS(INDIRECT(ADDRESS(12,3+18*0+(14),,,"J1 D - South Bank Avenue")&amp;":"&amp;ADDRESS(130,3+18*0+(14))),'J1 D - South Bank Avenue'!$A$12:$A$130,"&gt;="&amp;Diagram!$O59,'J1 D - South Bank Avenue'!$A$12:$A$130,"&lt;"&amp;Diagram!$P59)))</f>
        <v>0</v>
      </c>
      <c r="ED59" s="42">
        <f ca="1">IF(OR($I$10="",$O59="",$P59="",$J$41&lt;&gt;"Yes"),0,IF($K$10=0,SUMIFS(INDIRECT(ADDRESS(12,3+18*1+(6),,,"J1 D - South Bank Avenue")&amp;":"&amp;ADDRESS(130,3+18*1+(6))),'J1 D - South Bank Avenue'!$A$12:$A$130,"&gt;="&amp;Diagram!$O59,'J1 D - South Bank Avenue'!$A$12:$A$130,"&lt;"&amp;Diagram!$P59),SUMIFS(INDIRECT(ADDRESS(12,3+18*1+(14),,,"J1 D - South Bank Avenue")&amp;":"&amp;ADDRESS(130,3+18*1+(14))),'J1 D - South Bank Avenue'!$A$12:$A$130,"&gt;="&amp;Diagram!$O59,'J1 D - South Bank Avenue'!$A$12:$A$130,"&lt;"&amp;Diagram!$P59)))</f>
        <v>1</v>
      </c>
      <c r="EE59" s="42">
        <f ca="1">IF(OR($I$10="",$O59="",$P59="",$J$41&lt;&gt;"Yes"),0,IF($K$10=0,SUMIFS(INDIRECT(ADDRESS(12,3+18*2+(6),,,"J1 D - South Bank Avenue")&amp;":"&amp;ADDRESS(130,3+18*2+(6))),'J1 D - South Bank Avenue'!$A$12:$A$130,"&gt;="&amp;Diagram!$O59,'J1 D - South Bank Avenue'!$A$12:$A$130,"&lt;"&amp;Diagram!$P59),SUMIFS(INDIRECT(ADDRESS(12,3+18*2+(14),,,"J1 D - South Bank Avenue")&amp;":"&amp;ADDRESS(130,3+18*2+(14))),'J1 D - South Bank Avenue'!$A$12:$A$130,"&gt;="&amp;Diagram!$O59,'J1 D - South Bank Avenue'!$A$12:$A$130,"&lt;"&amp;Diagram!$P59)))</f>
        <v>0</v>
      </c>
      <c r="EF59" s="42">
        <f ca="1">IF(OR($I$10="",$O59="",$P59="",$J$41&lt;&gt;"Yes"),0,IF($K$10=0,SUMIFS(INDIRECT(ADDRESS(12,3+18*3+(6),,,"J1 D - South Bank Avenue")&amp;":"&amp;ADDRESS(130,3+18*3+(6))),'J1 D - South Bank Avenue'!$A$12:$A$130,"&gt;="&amp;Diagram!$O59,'J1 D - South Bank Avenue'!$A$12:$A$130,"&lt;"&amp;Diagram!$P59),SUMIFS(INDIRECT(ADDRESS(12,3+18*3+(14),,,"J1 D - South Bank Avenue")&amp;":"&amp;ADDRESS(130,3+18*3+(14))),'J1 D - South Bank Avenue'!$A$12:$A$130,"&gt;="&amp;Diagram!$O59,'J1 D - South Bank Avenue'!$A$12:$A$130,"&lt;"&amp;Diagram!$P59)))</f>
        <v>0</v>
      </c>
      <c r="EG59" s="42">
        <f t="shared" ca="1" si="8"/>
        <v>3</v>
      </c>
      <c r="EH59" s="42">
        <f ca="1">IF(OR($I$10="",$O59="",$P59="",$J$42&lt;&gt;"Yes"),0,IF($K$10=0,SUMIFS(INDIRECT(ADDRESS(12,3+18*3+(7),,,"J1 A - (North) Bishopthorpe Roa")&amp;":"&amp;ADDRESS(130,3+18*3+(7))),'J1 A - (North) Bishopthorpe Roa'!$A$12:$A$130,"&gt;="&amp;Diagram!$O59,'J1 A - (North) Bishopthorpe Roa'!$A$12:$A$130,"&lt;"&amp;Diagram!$P59),SUMIFS(INDIRECT(ADDRESS(12,3+18*3+(15),,,"J1 A - (North) Bishopthorpe Roa")&amp;":"&amp;ADDRESS(130,3+18*3+(15))),'J1 A - (North) Bishopthorpe Roa'!$A$12:$A$130,"&gt;="&amp;Diagram!$O59,'J1 A - (North) Bishopthorpe Roa'!$A$12:$A$130,"&lt;"&amp;Diagram!$P59)))</f>
        <v>0</v>
      </c>
      <c r="EI59" s="42">
        <f ca="1">IF(OR($I$10="",$O59="",$P59="",$J$42&lt;&gt;"Yes"),0,IF($K$10=0,SUMIFS(INDIRECT(ADDRESS(12,3+18*0+(7),,,"J1 A - (North) Bishopthorpe Roa")&amp;":"&amp;ADDRESS(130,3+18*0+(7))),'J1 A - (North) Bishopthorpe Roa'!$A$12:$A$130,"&gt;="&amp;Diagram!$O59,'J1 A - (North) Bishopthorpe Roa'!$A$12:$A$130,"&lt;"&amp;Diagram!$P59),SUMIFS(INDIRECT(ADDRESS(12,3+18*0+(15),,,"J1 A - (North) Bishopthorpe Roa")&amp;":"&amp;ADDRESS(130,3+18*0+(15))),'J1 A - (North) Bishopthorpe Roa'!$A$12:$A$130,"&gt;="&amp;Diagram!$O59,'J1 A - (North) Bishopthorpe Roa'!$A$12:$A$130,"&lt;"&amp;Diagram!$P59)))</f>
        <v>2</v>
      </c>
      <c r="EJ59" s="42">
        <f ca="1">IF(OR($I$10="",$O59="",$P59="",$J$42&lt;&gt;"Yes"),0,IF($K$10=0,SUMIFS(INDIRECT(ADDRESS(12,3+18*1+(7),,,"J1 A - (North) Bishopthorpe Roa")&amp;":"&amp;ADDRESS(130,3+18*1+(7))),'J1 A - (North) Bishopthorpe Roa'!$A$12:$A$130,"&gt;="&amp;Diagram!$O59,'J1 A - (North) Bishopthorpe Roa'!$A$12:$A$130,"&lt;"&amp;Diagram!$P59),SUMIFS(INDIRECT(ADDRESS(12,3+18*1+(15),,,"J1 A - (North) Bishopthorpe Roa")&amp;":"&amp;ADDRESS(130,3+18*1+(15))),'J1 A - (North) Bishopthorpe Roa'!$A$12:$A$130,"&gt;="&amp;Diagram!$O59,'J1 A - (North) Bishopthorpe Roa'!$A$12:$A$130,"&lt;"&amp;Diagram!$P59)))</f>
        <v>0</v>
      </c>
      <c r="EK59" s="42">
        <f ca="1">IF(OR($I$10="",$O59="",$P59="",$J$42&lt;&gt;"Yes"),0,IF($K$10=0,SUMIFS(INDIRECT(ADDRESS(12,3+18*2+(7),,,"J1 A - (North) Bishopthorpe Roa")&amp;":"&amp;ADDRESS(130,3+18*2+(7))),'J1 A - (North) Bishopthorpe Roa'!$A$12:$A$130,"&gt;="&amp;Diagram!$O59,'J1 A - (North) Bishopthorpe Roa'!$A$12:$A$130,"&lt;"&amp;Diagram!$P59),SUMIFS(INDIRECT(ADDRESS(12,3+18*2+(15),,,"J1 A - (North) Bishopthorpe Roa")&amp;":"&amp;ADDRESS(130,3+18*2+(15))),'J1 A - (North) Bishopthorpe Roa'!$A$12:$A$130,"&gt;="&amp;Diagram!$O59,'J1 A - (North) Bishopthorpe Roa'!$A$12:$A$130,"&lt;"&amp;Diagram!$P59)))</f>
        <v>0</v>
      </c>
      <c r="EL59" s="42">
        <f ca="1">IF(OR($I$10="",$O59="",$P59="",$J$42&lt;&gt;"Yes"),0,IF($K$10=0,SUMIFS(INDIRECT(ADDRESS(12,3+18*2+(7),,,"J1 B - Butcher Terrace")&amp;":"&amp;ADDRESS(130,3+18*2+(7))),'J1 B - Butcher Terrace'!$A$12:$A$130,"&gt;="&amp;Diagram!$O59,'J1 B - Butcher Terrace'!$A$12:$A$130,"&lt;"&amp;Diagram!$P59),SUMIFS(INDIRECT(ADDRESS(12,3+18*2+(15),,,"J1 B - Butcher Terrace")&amp;":"&amp;ADDRESS(130,3+18*2+(15))),'J1 B - Butcher Terrace'!$A$12:$A$130,"&gt;="&amp;Diagram!$O59,'J1 B - Butcher Terrace'!$A$12:$A$130,"&lt;"&amp;Diagram!$P59)))</f>
        <v>0</v>
      </c>
      <c r="EM59" s="42">
        <f ca="1">IF(OR($I$10="",$O59="",$P59="",$J$42&lt;&gt;"Yes"),0,IF($K$10=0,SUMIFS(INDIRECT(ADDRESS(12,3+18*3+(7),,,"J1 B - Butcher Terrace")&amp;":"&amp;ADDRESS(130,3+18*3+(7))),'J1 B - Butcher Terrace'!$A$12:$A$130,"&gt;="&amp;Diagram!$O59,'J1 B - Butcher Terrace'!$A$12:$A$130,"&lt;"&amp;Diagram!$P59),SUMIFS(INDIRECT(ADDRESS(12,3+18*3+(15),,,"J1 B - Butcher Terrace")&amp;":"&amp;ADDRESS(130,3+18*3+(15))),'J1 B - Butcher Terrace'!$A$12:$A$130,"&gt;="&amp;Diagram!$O59,'J1 B - Butcher Terrace'!$A$12:$A$130,"&lt;"&amp;Diagram!$P59)))</f>
        <v>0</v>
      </c>
      <c r="EN59" s="42">
        <f ca="1">IF(OR($I$10="",$O59="",$P59="",$J$42&lt;&gt;"Yes"),0,IF($K$10=0,SUMIFS(INDIRECT(ADDRESS(12,3+18*0+(7),,,"J1 B - Butcher Terrace")&amp;":"&amp;ADDRESS(130,3+18*0+(7))),'J1 B - Butcher Terrace'!$A$12:$A$130,"&gt;="&amp;Diagram!$O59,'J1 B - Butcher Terrace'!$A$12:$A$130,"&lt;"&amp;Diagram!$P59),SUMIFS(INDIRECT(ADDRESS(12,3+18*0+(15),,,"J1 B - Butcher Terrace")&amp;":"&amp;ADDRESS(130,3+18*0+(15))),'J1 B - Butcher Terrace'!$A$12:$A$130,"&gt;="&amp;Diagram!$O59,'J1 B - Butcher Terrace'!$A$12:$A$130,"&lt;"&amp;Diagram!$P59)))</f>
        <v>0</v>
      </c>
      <c r="EO59" s="42">
        <f ca="1">IF(OR($I$10="",$O59="",$P59="",$J$42&lt;&gt;"Yes"),0,IF($K$10=0,SUMIFS(INDIRECT(ADDRESS(12,3+18*1+(7),,,"J1 B - Butcher Terrace")&amp;":"&amp;ADDRESS(130,3+18*1+(7))),'J1 B - Butcher Terrace'!$A$12:$A$130,"&gt;="&amp;Diagram!$O59,'J1 B - Butcher Terrace'!$A$12:$A$130,"&lt;"&amp;Diagram!$P59),SUMIFS(INDIRECT(ADDRESS(12,3+18*1+(15),,,"J1 B - Butcher Terrace")&amp;":"&amp;ADDRESS(130,3+18*1+(15))),'J1 B - Butcher Terrace'!$A$12:$A$130,"&gt;="&amp;Diagram!$O59,'J1 B - Butcher Terrace'!$A$12:$A$130,"&lt;"&amp;Diagram!$P59)))</f>
        <v>0</v>
      </c>
      <c r="EP59" s="42">
        <f ca="1">IF(OR($I$10="",$O59="",$P59="",$J$42&lt;&gt;"Yes"),0,IF($K$10=0,SUMIFS(INDIRECT(ADDRESS(12,3+18*1+(7),,,"J1 C - (South) Bishopthorpe Roa")&amp;":"&amp;ADDRESS(130,3+18*1+(7))),'J1 C - (South) Bishopthorpe Roa'!$A$12:$A$130,"&gt;="&amp;Diagram!$O59,'J1 C - (South) Bishopthorpe Roa'!$A$12:$A$130,"&lt;"&amp;Diagram!$P59),SUMIFS(INDIRECT(ADDRESS(12,3+18*1+(15),,,"J1 C - (South) Bishopthorpe Roa")&amp;":"&amp;ADDRESS(130,3+18*1+(15))),'J1 C - (South) Bishopthorpe Roa'!$A$12:$A$130,"&gt;="&amp;Diagram!$O59,'J1 C - (South) Bishopthorpe Roa'!$A$12:$A$130,"&lt;"&amp;Diagram!$P59)))</f>
        <v>0</v>
      </c>
      <c r="EQ59" s="42">
        <f ca="1">IF(OR($I$10="",$O59="",$P59="",$J$42&lt;&gt;"Yes"),0,IF($K$10=0,SUMIFS(INDIRECT(ADDRESS(12,3+18*2+(7),,,"J1 C - (South) Bishopthorpe Roa")&amp;":"&amp;ADDRESS(130,3+18*2+(7))),'J1 C - (South) Bishopthorpe Roa'!$A$12:$A$130,"&gt;="&amp;Diagram!$O59,'J1 C - (South) Bishopthorpe Roa'!$A$12:$A$130,"&lt;"&amp;Diagram!$P59),SUMIFS(INDIRECT(ADDRESS(12,3+18*2+(15),,,"J1 C - (South) Bishopthorpe Roa")&amp;":"&amp;ADDRESS(130,3+18*2+(15))),'J1 C - (South) Bishopthorpe Roa'!$A$12:$A$130,"&gt;="&amp;Diagram!$O59,'J1 C - (South) Bishopthorpe Roa'!$A$12:$A$130,"&lt;"&amp;Diagram!$P59)))</f>
        <v>1</v>
      </c>
      <c r="ER59" s="42">
        <f ca="1">IF(OR($I$10="",$O59="",$P59="",$J$42&lt;&gt;"Yes"),0,IF($K$10=0,SUMIFS(INDIRECT(ADDRESS(12,3+18*3+(7),,,"J1 C - (South) Bishopthorpe Roa")&amp;":"&amp;ADDRESS(130,3+18*3+(7))),'J1 C - (South) Bishopthorpe Roa'!$A$12:$A$130,"&gt;="&amp;Diagram!$O59,'J1 C - (South) Bishopthorpe Roa'!$A$12:$A$130,"&lt;"&amp;Diagram!$P59),SUMIFS(INDIRECT(ADDRESS(12,3+18*3+(15),,,"J1 C - (South) Bishopthorpe Roa")&amp;":"&amp;ADDRESS(130,3+18*3+(15))),'J1 C - (South) Bishopthorpe Roa'!$A$12:$A$130,"&gt;="&amp;Diagram!$O59,'J1 C - (South) Bishopthorpe Roa'!$A$12:$A$130,"&lt;"&amp;Diagram!$P59)))</f>
        <v>0</v>
      </c>
      <c r="ES59" s="42">
        <f ca="1">IF(OR($I$10="",$O59="",$P59="",$J$42&lt;&gt;"Yes"),0,IF($K$10=0,SUMIFS(INDIRECT(ADDRESS(12,3+18*0+(7),,,"J1 C - (South) Bishopthorpe Roa")&amp;":"&amp;ADDRESS(130,3+18*0+(7))),'J1 C - (South) Bishopthorpe Roa'!$A$12:$A$130,"&gt;="&amp;Diagram!$O59,'J1 C - (South) Bishopthorpe Roa'!$A$12:$A$130,"&lt;"&amp;Diagram!$P59),SUMIFS(INDIRECT(ADDRESS(12,3+18*0+(15),,,"J1 C - (South) Bishopthorpe Roa")&amp;":"&amp;ADDRESS(130,3+18*0+(15))),'J1 C - (South) Bishopthorpe Roa'!$A$12:$A$130,"&gt;="&amp;Diagram!$O59,'J1 C - (South) Bishopthorpe Roa'!$A$12:$A$130,"&lt;"&amp;Diagram!$P59)))</f>
        <v>0</v>
      </c>
      <c r="ET59" s="42">
        <f ca="1">IF(OR($I$10="",$O59="",$P59="",$J$42&lt;&gt;"Yes"),0,IF($K$10=0,SUMIFS(INDIRECT(ADDRESS(12,3+18*0+(7),,,"J1 D - South Bank Avenue")&amp;":"&amp;ADDRESS(130,3+18*0+(7))),'J1 D - South Bank Avenue'!$A$12:$A$130,"&gt;="&amp;Diagram!$O59,'J1 D - South Bank Avenue'!$A$12:$A$130,"&lt;"&amp;Diagram!$P59),SUMIFS(INDIRECT(ADDRESS(12,3+18*0+(15),,,"J1 D - South Bank Avenue")&amp;":"&amp;ADDRESS(130,3+18*0+(15))),'J1 D - South Bank Avenue'!$A$12:$A$130,"&gt;="&amp;Diagram!$O59,'J1 D - South Bank Avenue'!$A$12:$A$130,"&lt;"&amp;Diagram!$P59)))</f>
        <v>0</v>
      </c>
      <c r="EU59" s="42">
        <f ca="1">IF(OR($I$10="",$O59="",$P59="",$J$42&lt;&gt;"Yes"),0,IF($K$10=0,SUMIFS(INDIRECT(ADDRESS(12,3+18*1+(7),,,"J1 D - South Bank Avenue")&amp;":"&amp;ADDRESS(130,3+18*1+(7))),'J1 D - South Bank Avenue'!$A$12:$A$130,"&gt;="&amp;Diagram!$O59,'J1 D - South Bank Avenue'!$A$12:$A$130,"&lt;"&amp;Diagram!$P59),SUMIFS(INDIRECT(ADDRESS(12,3+18*1+(15),,,"J1 D - South Bank Avenue")&amp;":"&amp;ADDRESS(130,3+18*1+(15))),'J1 D - South Bank Avenue'!$A$12:$A$130,"&gt;="&amp;Diagram!$O59,'J1 D - South Bank Avenue'!$A$12:$A$130,"&lt;"&amp;Diagram!$P59)))</f>
        <v>0</v>
      </c>
      <c r="EV59" s="42">
        <f ca="1">IF(OR($I$10="",$O59="",$P59="",$J$42&lt;&gt;"Yes"),0,IF($K$10=0,SUMIFS(INDIRECT(ADDRESS(12,3+18*2+(7),,,"J1 D - South Bank Avenue")&amp;":"&amp;ADDRESS(130,3+18*2+(7))),'J1 D - South Bank Avenue'!$A$12:$A$130,"&gt;="&amp;Diagram!$O59,'J1 D - South Bank Avenue'!$A$12:$A$130,"&lt;"&amp;Diagram!$P59),SUMIFS(INDIRECT(ADDRESS(12,3+18*2+(15),,,"J1 D - South Bank Avenue")&amp;":"&amp;ADDRESS(130,3+18*2+(15))),'J1 D - South Bank Avenue'!$A$12:$A$130,"&gt;="&amp;Diagram!$O59,'J1 D - South Bank Avenue'!$A$12:$A$130,"&lt;"&amp;Diagram!$P59)))</f>
        <v>0</v>
      </c>
      <c r="EW59" s="42">
        <f ca="1">IF(OR($I$10="",$O59="",$P59="",$J$42&lt;&gt;"Yes"),0,IF($K$10=0,SUMIFS(INDIRECT(ADDRESS(12,3+18*3+(7),,,"J1 D - South Bank Avenue")&amp;":"&amp;ADDRESS(130,3+18*3+(7))),'J1 D - South Bank Avenue'!$A$12:$A$130,"&gt;="&amp;Diagram!$O59,'J1 D - South Bank Avenue'!$A$12:$A$130,"&lt;"&amp;Diagram!$P59),SUMIFS(INDIRECT(ADDRESS(12,3+18*3+(15),,,"J1 D - South Bank Avenue")&amp;":"&amp;ADDRESS(130,3+18*3+(15))),'J1 D - South Bank Avenue'!$A$12:$A$130,"&gt;="&amp;Diagram!$O59,'J1 D - South Bank Avenue'!$A$12:$A$130,"&lt;"&amp;Diagram!$P59)))</f>
        <v>0</v>
      </c>
    </row>
    <row r="60" spans="1:153">
      <c r="A60" s="1">
        <v>44395.614583333299</v>
      </c>
      <c r="B60" s="1">
        <v>44395.625</v>
      </c>
      <c r="O60" s="3">
        <v>44395.614583333299</v>
      </c>
      <c r="P60" s="3">
        <v>44395.65625</v>
      </c>
      <c r="Q60" s="42">
        <f t="shared" ca="1" si="0"/>
        <v>758</v>
      </c>
      <c r="R60" s="42">
        <f t="shared" ca="1" si="1"/>
        <v>544</v>
      </c>
      <c r="S60" s="42">
        <f ca="1">IF(OR($I$10="",$O60="",$P60="",$J$35&lt;&gt;"Yes"),0,IF($K$10=0,SUMIFS(INDIRECT(ADDRESS(12,3+18*3+(0),,,"J1 A - (North) Bishopthorpe Roa")&amp;":"&amp;ADDRESS(130,3+18*3+(0))),'J1 A - (North) Bishopthorpe Roa'!$A$12:$A$130,"&gt;="&amp;Diagram!$O60,'J1 A - (North) Bishopthorpe Roa'!$A$12:$A$130,"&lt;"&amp;Diagram!$P60),SUMIFS(INDIRECT(ADDRESS(12,3+18*3+(8),,,"J1 A - (North) Bishopthorpe Roa")&amp;":"&amp;ADDRESS(130,3+18*3+(8))),'J1 A - (North) Bishopthorpe Roa'!$A$12:$A$130,"&gt;="&amp;Diagram!$O60,'J1 A - (North) Bishopthorpe Roa'!$A$12:$A$130,"&lt;"&amp;Diagram!$P60)))</f>
        <v>1</v>
      </c>
      <c r="T60" s="42">
        <f ca="1">IF(OR($I$10="",$O60="",$P60="",$J$35&lt;&gt;"Yes"),0,IF($K$10=0,SUMIFS(INDIRECT(ADDRESS(12,3+18*0+(0),,,"J1 A - (North) Bishopthorpe Roa")&amp;":"&amp;ADDRESS(130,3+18*0+(0))),'J1 A - (North) Bishopthorpe Roa'!$A$12:$A$130,"&gt;="&amp;Diagram!$O60,'J1 A - (North) Bishopthorpe Roa'!$A$12:$A$130,"&lt;"&amp;Diagram!$P60),SUMIFS(INDIRECT(ADDRESS(12,3+18*0+(8),,,"J1 A - (North) Bishopthorpe Roa")&amp;":"&amp;ADDRESS(130,3+18*0+(8))),'J1 A - (North) Bishopthorpe Roa'!$A$12:$A$130,"&gt;="&amp;Diagram!$O60,'J1 A - (North) Bishopthorpe Roa'!$A$12:$A$130,"&lt;"&amp;Diagram!$P60)))</f>
        <v>24</v>
      </c>
      <c r="U60" s="42">
        <f ca="1">IF(OR($I$10="",$O60="",$P60="",$J$35&lt;&gt;"Yes"),0,IF($K$10=0,SUMIFS(INDIRECT(ADDRESS(12,3+18*1+(0),,,"J1 A - (North) Bishopthorpe Roa")&amp;":"&amp;ADDRESS(130,3+18*1+(0))),'J1 A - (North) Bishopthorpe Roa'!$A$12:$A$130,"&gt;="&amp;Diagram!$O60,'J1 A - (North) Bishopthorpe Roa'!$A$12:$A$130,"&lt;"&amp;Diagram!$P60),SUMIFS(INDIRECT(ADDRESS(12,3+18*1+(8),,,"J1 A - (North) Bishopthorpe Roa")&amp;":"&amp;ADDRESS(130,3+18*1+(8))),'J1 A - (North) Bishopthorpe Roa'!$A$12:$A$130,"&gt;="&amp;Diagram!$O60,'J1 A - (North) Bishopthorpe Roa'!$A$12:$A$130,"&lt;"&amp;Diagram!$P60)))</f>
        <v>238</v>
      </c>
      <c r="V60" s="42">
        <f ca="1">IF(OR($I$10="",$O60="",$P60="",$J$35&lt;&gt;"Yes"),0,IF($K$10=0,SUMIFS(INDIRECT(ADDRESS(12,3+18*2+(0),,,"J1 A - (North) Bishopthorpe Roa")&amp;":"&amp;ADDRESS(130,3+18*2+(0))),'J1 A - (North) Bishopthorpe Roa'!$A$12:$A$130,"&gt;="&amp;Diagram!$O60,'J1 A - (North) Bishopthorpe Roa'!$A$12:$A$130,"&lt;"&amp;Diagram!$P60),SUMIFS(INDIRECT(ADDRESS(12,3+18*2+(8),,,"J1 A - (North) Bishopthorpe Roa")&amp;":"&amp;ADDRESS(130,3+18*2+(8))),'J1 A - (North) Bishopthorpe Roa'!$A$12:$A$130,"&gt;="&amp;Diagram!$O60,'J1 A - (North) Bishopthorpe Roa'!$A$12:$A$130,"&lt;"&amp;Diagram!$P60)))</f>
        <v>28</v>
      </c>
      <c r="W60" s="42">
        <f ca="1">IF(OR($I$10="",$O60="",$P60="",$J$35&lt;&gt;"Yes"),0,IF($K$10=0,SUMIFS(INDIRECT(ADDRESS(12,3+18*2+(0),,,"J1 B - Butcher Terrace")&amp;":"&amp;ADDRESS(130,3+18*2+(0))),'J1 B - Butcher Terrace'!$A$12:$A$130,"&gt;="&amp;Diagram!$O60,'J1 B - Butcher Terrace'!$A$12:$A$130,"&lt;"&amp;Diagram!$P60),SUMIFS(INDIRECT(ADDRESS(12,3+18*2+(8),,,"J1 B - Butcher Terrace")&amp;":"&amp;ADDRESS(130,3+18*2+(8))),'J1 B - Butcher Terrace'!$A$12:$A$130,"&gt;="&amp;Diagram!$O60,'J1 B - Butcher Terrace'!$A$12:$A$130,"&lt;"&amp;Diagram!$P60)))</f>
        <v>12</v>
      </c>
      <c r="X60" s="42">
        <f ca="1">IF(OR($I$10="",$O60="",$P60="",$J$35&lt;&gt;"Yes"),0,IF($K$10=0,SUMIFS(INDIRECT(ADDRESS(12,3+18*3+(0),,,"J1 B - Butcher Terrace")&amp;":"&amp;ADDRESS(130,3+18*3+(0))),'J1 B - Butcher Terrace'!$A$12:$A$130,"&gt;="&amp;Diagram!$O60,'J1 B - Butcher Terrace'!$A$12:$A$130,"&lt;"&amp;Diagram!$P60),SUMIFS(INDIRECT(ADDRESS(12,3+18*3+(8),,,"J1 B - Butcher Terrace")&amp;":"&amp;ADDRESS(130,3+18*3+(8))),'J1 B - Butcher Terrace'!$A$12:$A$130,"&gt;="&amp;Diagram!$O60,'J1 B - Butcher Terrace'!$A$12:$A$130,"&lt;"&amp;Diagram!$P60)))</f>
        <v>0</v>
      </c>
      <c r="Y60" s="42">
        <f ca="1">IF(OR($I$10="",$O60="",$P60="",$J$35&lt;&gt;"Yes"),0,IF($K$10=0,SUMIFS(INDIRECT(ADDRESS(12,3+18*0+(0),,,"J1 B - Butcher Terrace")&amp;":"&amp;ADDRESS(130,3+18*0+(0))),'J1 B - Butcher Terrace'!$A$12:$A$130,"&gt;="&amp;Diagram!$O60,'J1 B - Butcher Terrace'!$A$12:$A$130,"&lt;"&amp;Diagram!$P60),SUMIFS(INDIRECT(ADDRESS(12,3+18*0+(8),,,"J1 B - Butcher Terrace")&amp;":"&amp;ADDRESS(130,3+18*0+(8))),'J1 B - Butcher Terrace'!$A$12:$A$130,"&gt;="&amp;Diagram!$O60,'J1 B - Butcher Terrace'!$A$12:$A$130,"&lt;"&amp;Diagram!$P60)))</f>
        <v>7</v>
      </c>
      <c r="Z60" s="42">
        <f ca="1">IF(OR($I$10="",$O60="",$P60="",$J$35&lt;&gt;"Yes"),0,IF($K$10=0,SUMIFS(INDIRECT(ADDRESS(12,3+18*1+(0),,,"J1 B - Butcher Terrace")&amp;":"&amp;ADDRESS(130,3+18*1+(0))),'J1 B - Butcher Terrace'!$A$12:$A$130,"&gt;="&amp;Diagram!$O60,'J1 B - Butcher Terrace'!$A$12:$A$130,"&lt;"&amp;Diagram!$P60),SUMIFS(INDIRECT(ADDRESS(12,3+18*1+(8),,,"J1 B - Butcher Terrace")&amp;":"&amp;ADDRESS(130,3+18*1+(8))),'J1 B - Butcher Terrace'!$A$12:$A$130,"&gt;="&amp;Diagram!$O60,'J1 B - Butcher Terrace'!$A$12:$A$130,"&lt;"&amp;Diagram!$P60)))</f>
        <v>1</v>
      </c>
      <c r="AA60" s="42">
        <f ca="1">IF(OR($I$10="",$O60="",$P60="",$J$35&lt;&gt;"Yes"),0,IF($K$10=0,SUMIFS(INDIRECT(ADDRESS(12,3+18*1+(0),,,"J1 C - (South) Bishopthorpe Roa")&amp;":"&amp;ADDRESS(130,3+18*1+(0))),'J1 C - (South) Bishopthorpe Roa'!$A$12:$A$130,"&gt;="&amp;Diagram!$O60,'J1 C - (South) Bishopthorpe Roa'!$A$12:$A$130,"&lt;"&amp;Diagram!$P60),SUMIFS(INDIRECT(ADDRESS(12,3+18*1+(8),,,"J1 C - (South) Bishopthorpe Roa")&amp;":"&amp;ADDRESS(130,3+18*1+(8))),'J1 C - (South) Bishopthorpe Roa'!$A$12:$A$130,"&gt;="&amp;Diagram!$O60,'J1 C - (South) Bishopthorpe Roa'!$A$12:$A$130,"&lt;"&amp;Diagram!$P60)))</f>
        <v>190</v>
      </c>
      <c r="AB60" s="42">
        <f ca="1">IF(OR($I$10="",$O60="",$P60="",$J$35&lt;&gt;"Yes"),0,IF($K$10=0,SUMIFS(INDIRECT(ADDRESS(12,3+18*2+(0),,,"J1 C - (South) Bishopthorpe Roa")&amp;":"&amp;ADDRESS(130,3+18*2+(0))),'J1 C - (South) Bishopthorpe Roa'!$A$12:$A$130,"&gt;="&amp;Diagram!$O60,'J1 C - (South) Bishopthorpe Roa'!$A$12:$A$130,"&lt;"&amp;Diagram!$P60),SUMIFS(INDIRECT(ADDRESS(12,3+18*2+(8),,,"J1 C - (South) Bishopthorpe Roa")&amp;":"&amp;ADDRESS(130,3+18*2+(8))),'J1 C - (South) Bishopthorpe Roa'!$A$12:$A$130,"&gt;="&amp;Diagram!$O60,'J1 C - (South) Bishopthorpe Roa'!$A$12:$A$130,"&lt;"&amp;Diagram!$P60)))</f>
        <v>5</v>
      </c>
      <c r="AC60" s="42">
        <f ca="1">IF(OR($I$10="",$O60="",$P60="",$J$35&lt;&gt;"Yes"),0,IF($K$10=0,SUMIFS(INDIRECT(ADDRESS(12,3+18*3+(0),,,"J1 C - (South) Bishopthorpe Roa")&amp;":"&amp;ADDRESS(130,3+18*3+(0))),'J1 C - (South) Bishopthorpe Roa'!$A$12:$A$130,"&gt;="&amp;Diagram!$O60,'J1 C - (South) Bishopthorpe Roa'!$A$12:$A$130,"&lt;"&amp;Diagram!$P60),SUMIFS(INDIRECT(ADDRESS(12,3+18*3+(8),,,"J1 C - (South) Bishopthorpe Roa")&amp;":"&amp;ADDRESS(130,3+18*3+(8))),'J1 C - (South) Bishopthorpe Roa'!$A$12:$A$130,"&gt;="&amp;Diagram!$O60,'J1 C - (South) Bishopthorpe Roa'!$A$12:$A$130,"&lt;"&amp;Diagram!$P60)))</f>
        <v>0</v>
      </c>
      <c r="AD60" s="42">
        <f ca="1">IF(OR($I$10="",$O60="",$P60="",$J$35&lt;&gt;"Yes"),0,IF($K$10=0,SUMIFS(INDIRECT(ADDRESS(12,3+18*0+(0),,,"J1 C - (South) Bishopthorpe Roa")&amp;":"&amp;ADDRESS(130,3+18*0+(0))),'J1 C - (South) Bishopthorpe Roa'!$A$12:$A$130,"&gt;="&amp;Diagram!$O60,'J1 C - (South) Bishopthorpe Roa'!$A$12:$A$130,"&lt;"&amp;Diagram!$P60),SUMIFS(INDIRECT(ADDRESS(12,3+18*0+(8),,,"J1 C - (South) Bishopthorpe Roa")&amp;":"&amp;ADDRESS(130,3+18*0+(8))),'J1 C - (South) Bishopthorpe Roa'!$A$12:$A$130,"&gt;="&amp;Diagram!$O60,'J1 C - (South) Bishopthorpe Roa'!$A$12:$A$130,"&lt;"&amp;Diagram!$P60)))</f>
        <v>1</v>
      </c>
      <c r="AE60" s="42">
        <f ca="1">IF(OR($I$10="",$O60="",$P60="",$J$35&lt;&gt;"Yes"),0,IF($K$10=0,SUMIFS(INDIRECT(ADDRESS(12,3+18*0+(0),,,"J1 D - South Bank Avenue")&amp;":"&amp;ADDRESS(130,3+18*0+(0))),'J1 D - South Bank Avenue'!$A$12:$A$130,"&gt;="&amp;Diagram!$O60,'J1 D - South Bank Avenue'!$A$12:$A$130,"&lt;"&amp;Diagram!$P60),SUMIFS(INDIRECT(ADDRESS(12,3+18*0+(8),,,"J1 D - South Bank Avenue")&amp;":"&amp;ADDRESS(130,3+18*0+(8))),'J1 D - South Bank Avenue'!$A$12:$A$130,"&gt;="&amp;Diagram!$O60,'J1 D - South Bank Avenue'!$A$12:$A$130,"&lt;"&amp;Diagram!$P60)))</f>
        <v>27</v>
      </c>
      <c r="AF60" s="42">
        <f ca="1">IF(OR($I$10="",$O60="",$P60="",$J$35&lt;&gt;"Yes"),0,IF($K$10=0,SUMIFS(INDIRECT(ADDRESS(12,3+18*1+(0),,,"J1 D - South Bank Avenue")&amp;":"&amp;ADDRESS(130,3+18*1+(0))),'J1 D - South Bank Avenue'!$A$12:$A$130,"&gt;="&amp;Diagram!$O60,'J1 D - South Bank Avenue'!$A$12:$A$130,"&lt;"&amp;Diagram!$P60),SUMIFS(INDIRECT(ADDRESS(12,3+18*1+(8),,,"J1 D - South Bank Avenue")&amp;":"&amp;ADDRESS(130,3+18*1+(8))),'J1 D - South Bank Avenue'!$A$12:$A$130,"&gt;="&amp;Diagram!$O60,'J1 D - South Bank Avenue'!$A$12:$A$130,"&lt;"&amp;Diagram!$P60)))</f>
        <v>2</v>
      </c>
      <c r="AG60" s="42">
        <f ca="1">IF(OR($I$10="",$O60="",$P60="",$J$35&lt;&gt;"Yes"),0,IF($K$10=0,SUMIFS(INDIRECT(ADDRESS(12,3+18*2+(0),,,"J1 D - South Bank Avenue")&amp;":"&amp;ADDRESS(130,3+18*2+(0))),'J1 D - South Bank Avenue'!$A$12:$A$130,"&gt;="&amp;Diagram!$O60,'J1 D - South Bank Avenue'!$A$12:$A$130,"&lt;"&amp;Diagram!$P60),SUMIFS(INDIRECT(ADDRESS(12,3+18*2+(8),,,"J1 D - South Bank Avenue")&amp;":"&amp;ADDRESS(130,3+18*2+(8))),'J1 D - South Bank Avenue'!$A$12:$A$130,"&gt;="&amp;Diagram!$O60,'J1 D - South Bank Avenue'!$A$12:$A$130,"&lt;"&amp;Diagram!$P60)))</f>
        <v>8</v>
      </c>
      <c r="AH60" s="42">
        <f ca="1">IF(OR($I$10="",$O60="",$P60="",$J$35&lt;&gt;"Yes"),0,IF($K$10=0,SUMIFS(INDIRECT(ADDRESS(12,3+18*3+(0),,,"J1 D - South Bank Avenue")&amp;":"&amp;ADDRESS(130,3+18*3+(0))),'J1 D - South Bank Avenue'!$A$12:$A$130,"&gt;="&amp;Diagram!$O60,'J1 D - South Bank Avenue'!$A$12:$A$130,"&lt;"&amp;Diagram!$P60),SUMIFS(INDIRECT(ADDRESS(12,3+18*3+(8),,,"J1 D - South Bank Avenue")&amp;":"&amp;ADDRESS(130,3+18*3+(8))),'J1 D - South Bank Avenue'!$A$12:$A$130,"&gt;="&amp;Diagram!$O60,'J1 D - South Bank Avenue'!$A$12:$A$130,"&lt;"&amp;Diagram!$P60)))</f>
        <v>0</v>
      </c>
      <c r="AI60" s="42">
        <f t="shared" ca="1" si="2"/>
        <v>68</v>
      </c>
      <c r="AJ60" s="42">
        <f ca="1">IF(OR($I$10="",$O60="",$P60="",$J$36&lt;&gt;"Yes"),0,IF($K$10=0,SUMIFS(INDIRECT(ADDRESS(12,3+18*3+(1),,,"J1 A - (North) Bishopthorpe Roa")&amp;":"&amp;ADDRESS(130,3+18*3+(1))),'J1 A - (North) Bishopthorpe Roa'!$A$12:$A$130,"&gt;="&amp;Diagram!$O60,'J1 A - (North) Bishopthorpe Roa'!$A$12:$A$130,"&lt;"&amp;Diagram!$P60),SUMIFS(INDIRECT(ADDRESS(12,3+18*3+(9),,,"J1 A - (North) Bishopthorpe Roa")&amp;":"&amp;ADDRESS(130,3+18*3+(9))),'J1 A - (North) Bishopthorpe Roa'!$A$12:$A$130,"&gt;="&amp;Diagram!$O60,'J1 A - (North) Bishopthorpe Roa'!$A$12:$A$130,"&lt;"&amp;Diagram!$P60)))</f>
        <v>0</v>
      </c>
      <c r="AK60" s="42">
        <f ca="1">IF(OR($I$10="",$O60="",$P60="",$J$36&lt;&gt;"Yes"),0,IF($K$10=0,SUMIFS(INDIRECT(ADDRESS(12,3+18*0+(1),,,"J1 A - (North) Bishopthorpe Roa")&amp;":"&amp;ADDRESS(130,3+18*0+(1))),'J1 A - (North) Bishopthorpe Roa'!$A$12:$A$130,"&gt;="&amp;Diagram!$O60,'J1 A - (North) Bishopthorpe Roa'!$A$12:$A$130,"&lt;"&amp;Diagram!$P60),SUMIFS(INDIRECT(ADDRESS(12,3+18*0+(9),,,"J1 A - (North) Bishopthorpe Roa")&amp;":"&amp;ADDRESS(130,3+18*0+(9))),'J1 A - (North) Bishopthorpe Roa'!$A$12:$A$130,"&gt;="&amp;Diagram!$O60,'J1 A - (North) Bishopthorpe Roa'!$A$12:$A$130,"&lt;"&amp;Diagram!$P60)))</f>
        <v>2</v>
      </c>
      <c r="AL60" s="42">
        <f ca="1">IF(OR($I$10="",$O60="",$P60="",$J$36&lt;&gt;"Yes"),0,IF($K$10=0,SUMIFS(INDIRECT(ADDRESS(12,3+18*1+(1),,,"J1 A - (North) Bishopthorpe Roa")&amp;":"&amp;ADDRESS(130,3+18*1+(1))),'J1 A - (North) Bishopthorpe Roa'!$A$12:$A$130,"&gt;="&amp;Diagram!$O60,'J1 A - (North) Bishopthorpe Roa'!$A$12:$A$130,"&lt;"&amp;Diagram!$P60),SUMIFS(INDIRECT(ADDRESS(12,3+18*1+(9),,,"J1 A - (North) Bishopthorpe Roa")&amp;":"&amp;ADDRESS(130,3+18*1+(9))),'J1 A - (North) Bishopthorpe Roa'!$A$12:$A$130,"&gt;="&amp;Diagram!$O60,'J1 A - (North) Bishopthorpe Roa'!$A$12:$A$130,"&lt;"&amp;Diagram!$P60)))</f>
        <v>28</v>
      </c>
      <c r="AM60" s="42">
        <f ca="1">IF(OR($I$10="",$O60="",$P60="",$J$36&lt;&gt;"Yes"),0,IF($K$10=0,SUMIFS(INDIRECT(ADDRESS(12,3+18*2+(1),,,"J1 A - (North) Bishopthorpe Roa")&amp;":"&amp;ADDRESS(130,3+18*2+(1))),'J1 A - (North) Bishopthorpe Roa'!$A$12:$A$130,"&gt;="&amp;Diagram!$O60,'J1 A - (North) Bishopthorpe Roa'!$A$12:$A$130,"&lt;"&amp;Diagram!$P60),SUMIFS(INDIRECT(ADDRESS(12,3+18*2+(9),,,"J1 A - (North) Bishopthorpe Roa")&amp;":"&amp;ADDRESS(130,3+18*2+(9))),'J1 A - (North) Bishopthorpe Roa'!$A$12:$A$130,"&gt;="&amp;Diagram!$O60,'J1 A - (North) Bishopthorpe Roa'!$A$12:$A$130,"&lt;"&amp;Diagram!$P60)))</f>
        <v>4</v>
      </c>
      <c r="AN60" s="42">
        <f ca="1">IF(OR($I$10="",$O60="",$P60="",$J$36&lt;&gt;"Yes"),0,IF($K$10=0,SUMIFS(INDIRECT(ADDRESS(12,3+18*2+(1),,,"J1 B - Butcher Terrace")&amp;":"&amp;ADDRESS(130,3+18*2+(1))),'J1 B - Butcher Terrace'!$A$12:$A$130,"&gt;="&amp;Diagram!$O60,'J1 B - Butcher Terrace'!$A$12:$A$130,"&lt;"&amp;Diagram!$P60),SUMIFS(INDIRECT(ADDRESS(12,3+18*2+(9),,,"J1 B - Butcher Terrace")&amp;":"&amp;ADDRESS(130,3+18*2+(9))),'J1 B - Butcher Terrace'!$A$12:$A$130,"&gt;="&amp;Diagram!$O60,'J1 B - Butcher Terrace'!$A$12:$A$130,"&lt;"&amp;Diagram!$P60)))</f>
        <v>3</v>
      </c>
      <c r="AO60" s="42">
        <f ca="1">IF(OR($I$10="",$O60="",$P60="",$J$36&lt;&gt;"Yes"),0,IF($K$10=0,SUMIFS(INDIRECT(ADDRESS(12,3+18*3+(1),,,"J1 B - Butcher Terrace")&amp;":"&amp;ADDRESS(130,3+18*3+(1))),'J1 B - Butcher Terrace'!$A$12:$A$130,"&gt;="&amp;Diagram!$O60,'J1 B - Butcher Terrace'!$A$12:$A$130,"&lt;"&amp;Diagram!$P60),SUMIFS(INDIRECT(ADDRESS(12,3+18*3+(9),,,"J1 B - Butcher Terrace")&amp;":"&amp;ADDRESS(130,3+18*3+(9))),'J1 B - Butcher Terrace'!$A$12:$A$130,"&gt;="&amp;Diagram!$O60,'J1 B - Butcher Terrace'!$A$12:$A$130,"&lt;"&amp;Diagram!$P60)))</f>
        <v>0</v>
      </c>
      <c r="AP60" s="42">
        <f ca="1">IF(OR($I$10="",$O60="",$P60="",$J$36&lt;&gt;"Yes"),0,IF($K$10=0,SUMIFS(INDIRECT(ADDRESS(12,3+18*0+(1),,,"J1 B - Butcher Terrace")&amp;":"&amp;ADDRESS(130,3+18*0+(1))),'J1 B - Butcher Terrace'!$A$12:$A$130,"&gt;="&amp;Diagram!$O60,'J1 B - Butcher Terrace'!$A$12:$A$130,"&lt;"&amp;Diagram!$P60),SUMIFS(INDIRECT(ADDRESS(12,3+18*0+(9),,,"J1 B - Butcher Terrace")&amp;":"&amp;ADDRESS(130,3+18*0+(9))),'J1 B - Butcher Terrace'!$A$12:$A$130,"&gt;="&amp;Diagram!$O60,'J1 B - Butcher Terrace'!$A$12:$A$130,"&lt;"&amp;Diagram!$P60)))</f>
        <v>0</v>
      </c>
      <c r="AQ60" s="42">
        <f ca="1">IF(OR($I$10="",$O60="",$P60="",$J$36&lt;&gt;"Yes"),0,IF($K$10=0,SUMIFS(INDIRECT(ADDRESS(12,3+18*1+(1),,,"J1 B - Butcher Terrace")&amp;":"&amp;ADDRESS(130,3+18*1+(1))),'J1 B - Butcher Terrace'!$A$12:$A$130,"&gt;="&amp;Diagram!$O60,'J1 B - Butcher Terrace'!$A$12:$A$130,"&lt;"&amp;Diagram!$P60),SUMIFS(INDIRECT(ADDRESS(12,3+18*1+(9),,,"J1 B - Butcher Terrace")&amp;":"&amp;ADDRESS(130,3+18*1+(9))),'J1 B - Butcher Terrace'!$A$12:$A$130,"&gt;="&amp;Diagram!$O60,'J1 B - Butcher Terrace'!$A$12:$A$130,"&lt;"&amp;Diagram!$P60)))</f>
        <v>0</v>
      </c>
      <c r="AR60" s="42">
        <f ca="1">IF(OR($I$10="",$O60="",$P60="",$J$36&lt;&gt;"Yes"),0,IF($K$10=0,SUMIFS(INDIRECT(ADDRESS(12,3+18*1+(1),,,"J1 C - (South) Bishopthorpe Roa")&amp;":"&amp;ADDRESS(130,3+18*1+(1))),'J1 C - (South) Bishopthorpe Roa'!$A$12:$A$130,"&gt;="&amp;Diagram!$O60,'J1 C - (South) Bishopthorpe Roa'!$A$12:$A$130,"&lt;"&amp;Diagram!$P60),SUMIFS(INDIRECT(ADDRESS(12,3+18*1+(9),,,"J1 C - (South) Bishopthorpe Roa")&amp;":"&amp;ADDRESS(130,3+18*1+(9))),'J1 C - (South) Bishopthorpe Roa'!$A$12:$A$130,"&gt;="&amp;Diagram!$O60,'J1 C - (South) Bishopthorpe Roa'!$A$12:$A$130,"&lt;"&amp;Diagram!$P60)))</f>
        <v>22</v>
      </c>
      <c r="AS60" s="42">
        <f ca="1">IF(OR($I$10="",$O60="",$P60="",$J$36&lt;&gt;"Yes"),0,IF($K$10=0,SUMIFS(INDIRECT(ADDRESS(12,3+18*2+(1),,,"J1 C - (South) Bishopthorpe Roa")&amp;":"&amp;ADDRESS(130,3+18*2+(1))),'J1 C - (South) Bishopthorpe Roa'!$A$12:$A$130,"&gt;="&amp;Diagram!$O60,'J1 C - (South) Bishopthorpe Roa'!$A$12:$A$130,"&lt;"&amp;Diagram!$P60),SUMIFS(INDIRECT(ADDRESS(12,3+18*2+(9),,,"J1 C - (South) Bishopthorpe Roa")&amp;":"&amp;ADDRESS(130,3+18*2+(9))),'J1 C - (South) Bishopthorpe Roa'!$A$12:$A$130,"&gt;="&amp;Diagram!$O60,'J1 C - (South) Bishopthorpe Roa'!$A$12:$A$130,"&lt;"&amp;Diagram!$P60)))</f>
        <v>2</v>
      </c>
      <c r="AT60" s="42">
        <f ca="1">IF(OR($I$10="",$O60="",$P60="",$J$36&lt;&gt;"Yes"),0,IF($K$10=0,SUMIFS(INDIRECT(ADDRESS(12,3+18*3+(1),,,"J1 C - (South) Bishopthorpe Roa")&amp;":"&amp;ADDRESS(130,3+18*3+(1))),'J1 C - (South) Bishopthorpe Roa'!$A$12:$A$130,"&gt;="&amp;Diagram!$O60,'J1 C - (South) Bishopthorpe Roa'!$A$12:$A$130,"&lt;"&amp;Diagram!$P60),SUMIFS(INDIRECT(ADDRESS(12,3+18*3+(9),,,"J1 C - (South) Bishopthorpe Roa")&amp;":"&amp;ADDRESS(130,3+18*3+(9))),'J1 C - (South) Bishopthorpe Roa'!$A$12:$A$130,"&gt;="&amp;Diagram!$O60,'J1 C - (South) Bishopthorpe Roa'!$A$12:$A$130,"&lt;"&amp;Diagram!$P60)))</f>
        <v>0</v>
      </c>
      <c r="AU60" s="42">
        <f ca="1">IF(OR($I$10="",$O60="",$P60="",$J$36&lt;&gt;"Yes"),0,IF($K$10=0,SUMIFS(INDIRECT(ADDRESS(12,3+18*0+(1),,,"J1 C - (South) Bishopthorpe Roa")&amp;":"&amp;ADDRESS(130,3+18*0+(1))),'J1 C - (South) Bishopthorpe Roa'!$A$12:$A$130,"&gt;="&amp;Diagram!$O60,'J1 C - (South) Bishopthorpe Roa'!$A$12:$A$130,"&lt;"&amp;Diagram!$P60),SUMIFS(INDIRECT(ADDRESS(12,3+18*0+(9),,,"J1 C - (South) Bishopthorpe Roa")&amp;":"&amp;ADDRESS(130,3+18*0+(9))),'J1 C - (South) Bishopthorpe Roa'!$A$12:$A$130,"&gt;="&amp;Diagram!$O60,'J1 C - (South) Bishopthorpe Roa'!$A$12:$A$130,"&lt;"&amp;Diagram!$P60)))</f>
        <v>1</v>
      </c>
      <c r="AV60" s="42">
        <f ca="1">IF(OR($I$10="",$O60="",$P60="",$J$36&lt;&gt;"Yes"),0,IF($K$10=0,SUMIFS(INDIRECT(ADDRESS(12,3+18*0+(1),,,"J1 D - South Bank Avenue")&amp;":"&amp;ADDRESS(130,3+18*0+(1))),'J1 D - South Bank Avenue'!$A$12:$A$130,"&gt;="&amp;Diagram!$O60,'J1 D - South Bank Avenue'!$A$12:$A$130,"&lt;"&amp;Diagram!$P60),SUMIFS(INDIRECT(ADDRESS(12,3+18*0+(9),,,"J1 D - South Bank Avenue")&amp;":"&amp;ADDRESS(130,3+18*0+(9))),'J1 D - South Bank Avenue'!$A$12:$A$130,"&gt;="&amp;Diagram!$O60,'J1 D - South Bank Avenue'!$A$12:$A$130,"&lt;"&amp;Diagram!$P60)))</f>
        <v>5</v>
      </c>
      <c r="AW60" s="42">
        <f ca="1">IF(OR($I$10="",$O60="",$P60="",$J$36&lt;&gt;"Yes"),0,IF($K$10=0,SUMIFS(INDIRECT(ADDRESS(12,3+18*1+(1),,,"J1 D - South Bank Avenue")&amp;":"&amp;ADDRESS(130,3+18*1+(1))),'J1 D - South Bank Avenue'!$A$12:$A$130,"&gt;="&amp;Diagram!$O60,'J1 D - South Bank Avenue'!$A$12:$A$130,"&lt;"&amp;Diagram!$P60),SUMIFS(INDIRECT(ADDRESS(12,3+18*1+(9),,,"J1 D - South Bank Avenue")&amp;":"&amp;ADDRESS(130,3+18*1+(9))),'J1 D - South Bank Avenue'!$A$12:$A$130,"&gt;="&amp;Diagram!$O60,'J1 D - South Bank Avenue'!$A$12:$A$130,"&lt;"&amp;Diagram!$P60)))</f>
        <v>1</v>
      </c>
      <c r="AX60" s="42">
        <f ca="1">IF(OR($I$10="",$O60="",$P60="",$J$36&lt;&gt;"Yes"),0,IF($K$10=0,SUMIFS(INDIRECT(ADDRESS(12,3+18*2+(1),,,"J1 D - South Bank Avenue")&amp;":"&amp;ADDRESS(130,3+18*2+(1))),'J1 D - South Bank Avenue'!$A$12:$A$130,"&gt;="&amp;Diagram!$O60,'J1 D - South Bank Avenue'!$A$12:$A$130,"&lt;"&amp;Diagram!$P60),SUMIFS(INDIRECT(ADDRESS(12,3+18*2+(9),,,"J1 D - South Bank Avenue")&amp;":"&amp;ADDRESS(130,3+18*2+(9))),'J1 D - South Bank Avenue'!$A$12:$A$130,"&gt;="&amp;Diagram!$O60,'J1 D - South Bank Avenue'!$A$12:$A$130,"&lt;"&amp;Diagram!$P60)))</f>
        <v>0</v>
      </c>
      <c r="AY60" s="42">
        <f ca="1">IF(OR($I$10="",$O60="",$P60="",$J$36&lt;&gt;"Yes"),0,IF($K$10=0,SUMIFS(INDIRECT(ADDRESS(12,3+18*3+(1),,,"J1 D - South Bank Avenue")&amp;":"&amp;ADDRESS(130,3+18*3+(1))),'J1 D - South Bank Avenue'!$A$12:$A$130,"&gt;="&amp;Diagram!$O60,'J1 D - South Bank Avenue'!$A$12:$A$130,"&lt;"&amp;Diagram!$P60),SUMIFS(INDIRECT(ADDRESS(12,3+18*3+(9),,,"J1 D - South Bank Avenue")&amp;":"&amp;ADDRESS(130,3+18*3+(9))),'J1 D - South Bank Avenue'!$A$12:$A$130,"&gt;="&amp;Diagram!$O60,'J1 D - South Bank Avenue'!$A$12:$A$130,"&lt;"&amp;Diagram!$P60)))</f>
        <v>0</v>
      </c>
      <c r="AZ60" s="42">
        <f t="shared" ca="1" si="3"/>
        <v>6</v>
      </c>
      <c r="BA60" s="42">
        <f ca="1">IF(OR($I$10="",$O60="",$P60="",$J$37&lt;&gt;"Yes"),0,IF($K$10=0,SUMIFS(INDIRECT(ADDRESS(12,3+18*3+(2),,,"J1 A - (North) Bishopthorpe Roa")&amp;":"&amp;ADDRESS(130,3+18*3+(2))),'J1 A - (North) Bishopthorpe Roa'!$A$12:$A$130,"&gt;="&amp;Diagram!$O60,'J1 A - (North) Bishopthorpe Roa'!$A$12:$A$130,"&lt;"&amp;Diagram!$P60),SUMIFS(INDIRECT(ADDRESS(12,3+18*3+(10),,,"J1 A - (North) Bishopthorpe Roa")&amp;":"&amp;ADDRESS(130,3+18*3+(10))),'J1 A - (North) Bishopthorpe Roa'!$A$12:$A$130,"&gt;="&amp;Diagram!$O60,'J1 A - (North) Bishopthorpe Roa'!$A$12:$A$130,"&lt;"&amp;Diagram!$P60)))</f>
        <v>0</v>
      </c>
      <c r="BB60" s="42">
        <f ca="1">IF(OR($I$10="",$O60="",$P60="",$J$37&lt;&gt;"Yes"),0,IF($K$10=0,SUMIFS(INDIRECT(ADDRESS(12,3+18*0+(2),,,"J1 A - (North) Bishopthorpe Roa")&amp;":"&amp;ADDRESS(130,3+18*0+(2))),'J1 A - (North) Bishopthorpe Roa'!$A$12:$A$130,"&gt;="&amp;Diagram!$O60,'J1 A - (North) Bishopthorpe Roa'!$A$12:$A$130,"&lt;"&amp;Diagram!$P60),SUMIFS(INDIRECT(ADDRESS(12,3+18*0+(10),,,"J1 A - (North) Bishopthorpe Roa")&amp;":"&amp;ADDRESS(130,3+18*0+(10))),'J1 A - (North) Bishopthorpe Roa'!$A$12:$A$130,"&gt;="&amp;Diagram!$O60,'J1 A - (North) Bishopthorpe Roa'!$A$12:$A$130,"&lt;"&amp;Diagram!$P60)))</f>
        <v>0</v>
      </c>
      <c r="BC60" s="42">
        <f ca="1">IF(OR($I$10="",$O60="",$P60="",$J$37&lt;&gt;"Yes"),0,IF($K$10=0,SUMIFS(INDIRECT(ADDRESS(12,3+18*1+(2),,,"J1 A - (North) Bishopthorpe Roa")&amp;":"&amp;ADDRESS(130,3+18*1+(2))),'J1 A - (North) Bishopthorpe Roa'!$A$12:$A$130,"&gt;="&amp;Diagram!$O60,'J1 A - (North) Bishopthorpe Roa'!$A$12:$A$130,"&lt;"&amp;Diagram!$P60),SUMIFS(INDIRECT(ADDRESS(12,3+18*1+(10),,,"J1 A - (North) Bishopthorpe Roa")&amp;":"&amp;ADDRESS(130,3+18*1+(10))),'J1 A - (North) Bishopthorpe Roa'!$A$12:$A$130,"&gt;="&amp;Diagram!$O60,'J1 A - (North) Bishopthorpe Roa'!$A$12:$A$130,"&lt;"&amp;Diagram!$P60)))</f>
        <v>2</v>
      </c>
      <c r="BD60" s="42">
        <f ca="1">IF(OR($I$10="",$O60="",$P60="",$J$37&lt;&gt;"Yes"),0,IF($K$10=0,SUMIFS(INDIRECT(ADDRESS(12,3+18*2+(2),,,"J1 A - (North) Bishopthorpe Roa")&amp;":"&amp;ADDRESS(130,3+18*2+(2))),'J1 A - (North) Bishopthorpe Roa'!$A$12:$A$130,"&gt;="&amp;Diagram!$O60,'J1 A - (North) Bishopthorpe Roa'!$A$12:$A$130,"&lt;"&amp;Diagram!$P60),SUMIFS(INDIRECT(ADDRESS(12,3+18*2+(10),,,"J1 A - (North) Bishopthorpe Roa")&amp;":"&amp;ADDRESS(130,3+18*2+(10))),'J1 A - (North) Bishopthorpe Roa'!$A$12:$A$130,"&gt;="&amp;Diagram!$O60,'J1 A - (North) Bishopthorpe Roa'!$A$12:$A$130,"&lt;"&amp;Diagram!$P60)))</f>
        <v>0</v>
      </c>
      <c r="BE60" s="42">
        <f ca="1">IF(OR($I$10="",$O60="",$P60="",$J$37&lt;&gt;"Yes"),0,IF($K$10=0,SUMIFS(INDIRECT(ADDRESS(12,3+18*2+(2),,,"J1 B - Butcher Terrace")&amp;":"&amp;ADDRESS(130,3+18*2+(2))),'J1 B - Butcher Terrace'!$A$12:$A$130,"&gt;="&amp;Diagram!$O60,'J1 B - Butcher Terrace'!$A$12:$A$130,"&lt;"&amp;Diagram!$P60),SUMIFS(INDIRECT(ADDRESS(12,3+18*2+(10),,,"J1 B - Butcher Terrace")&amp;":"&amp;ADDRESS(130,3+18*2+(10))),'J1 B - Butcher Terrace'!$A$12:$A$130,"&gt;="&amp;Diagram!$O60,'J1 B - Butcher Terrace'!$A$12:$A$130,"&lt;"&amp;Diagram!$P60)))</f>
        <v>0</v>
      </c>
      <c r="BF60" s="42">
        <f ca="1">IF(OR($I$10="",$O60="",$P60="",$J$37&lt;&gt;"Yes"),0,IF($K$10=0,SUMIFS(INDIRECT(ADDRESS(12,3+18*3+(2),,,"J1 B - Butcher Terrace")&amp;":"&amp;ADDRESS(130,3+18*3+(2))),'J1 B - Butcher Terrace'!$A$12:$A$130,"&gt;="&amp;Diagram!$O60,'J1 B - Butcher Terrace'!$A$12:$A$130,"&lt;"&amp;Diagram!$P60),SUMIFS(INDIRECT(ADDRESS(12,3+18*3+(10),,,"J1 B - Butcher Terrace")&amp;":"&amp;ADDRESS(130,3+18*3+(10))),'J1 B - Butcher Terrace'!$A$12:$A$130,"&gt;="&amp;Diagram!$O60,'J1 B - Butcher Terrace'!$A$12:$A$130,"&lt;"&amp;Diagram!$P60)))</f>
        <v>0</v>
      </c>
      <c r="BG60" s="42">
        <f ca="1">IF(OR($I$10="",$O60="",$P60="",$J$37&lt;&gt;"Yes"),0,IF($K$10=0,SUMIFS(INDIRECT(ADDRESS(12,3+18*0+(2),,,"J1 B - Butcher Terrace")&amp;":"&amp;ADDRESS(130,3+18*0+(2))),'J1 B - Butcher Terrace'!$A$12:$A$130,"&gt;="&amp;Diagram!$O60,'J1 B - Butcher Terrace'!$A$12:$A$130,"&lt;"&amp;Diagram!$P60),SUMIFS(INDIRECT(ADDRESS(12,3+18*0+(10),,,"J1 B - Butcher Terrace")&amp;":"&amp;ADDRESS(130,3+18*0+(10))),'J1 B - Butcher Terrace'!$A$12:$A$130,"&gt;="&amp;Diagram!$O60,'J1 B - Butcher Terrace'!$A$12:$A$130,"&lt;"&amp;Diagram!$P60)))</f>
        <v>0</v>
      </c>
      <c r="BH60" s="42">
        <f ca="1">IF(OR($I$10="",$O60="",$P60="",$J$37&lt;&gt;"Yes"),0,IF($K$10=0,SUMIFS(INDIRECT(ADDRESS(12,3+18*1+(2),,,"J1 B - Butcher Terrace")&amp;":"&amp;ADDRESS(130,3+18*1+(2))),'J1 B - Butcher Terrace'!$A$12:$A$130,"&gt;="&amp;Diagram!$O60,'J1 B - Butcher Terrace'!$A$12:$A$130,"&lt;"&amp;Diagram!$P60),SUMIFS(INDIRECT(ADDRESS(12,3+18*1+(10),,,"J1 B - Butcher Terrace")&amp;":"&amp;ADDRESS(130,3+18*1+(10))),'J1 B - Butcher Terrace'!$A$12:$A$130,"&gt;="&amp;Diagram!$O60,'J1 B - Butcher Terrace'!$A$12:$A$130,"&lt;"&amp;Diagram!$P60)))</f>
        <v>0</v>
      </c>
      <c r="BI60" s="42">
        <f ca="1">IF(OR($I$10="",$O60="",$P60="",$J$37&lt;&gt;"Yes"),0,IF($K$10=0,SUMIFS(INDIRECT(ADDRESS(12,3+18*1+(2),,,"J1 C - (South) Bishopthorpe Roa")&amp;":"&amp;ADDRESS(130,3+18*1+(2))),'J1 C - (South) Bishopthorpe Roa'!$A$12:$A$130,"&gt;="&amp;Diagram!$O60,'J1 C - (South) Bishopthorpe Roa'!$A$12:$A$130,"&lt;"&amp;Diagram!$P60),SUMIFS(INDIRECT(ADDRESS(12,3+18*1+(10),,,"J1 C - (South) Bishopthorpe Roa")&amp;":"&amp;ADDRESS(130,3+18*1+(10))),'J1 C - (South) Bishopthorpe Roa'!$A$12:$A$130,"&gt;="&amp;Diagram!$O60,'J1 C - (South) Bishopthorpe Roa'!$A$12:$A$130,"&lt;"&amp;Diagram!$P60)))</f>
        <v>3</v>
      </c>
      <c r="BJ60" s="42">
        <f ca="1">IF(OR($I$10="",$O60="",$P60="",$J$37&lt;&gt;"Yes"),0,IF($K$10=0,SUMIFS(INDIRECT(ADDRESS(12,3+18*2+(2),,,"J1 C - (South) Bishopthorpe Roa")&amp;":"&amp;ADDRESS(130,3+18*2+(2))),'J1 C - (South) Bishopthorpe Roa'!$A$12:$A$130,"&gt;="&amp;Diagram!$O60,'J1 C - (South) Bishopthorpe Roa'!$A$12:$A$130,"&lt;"&amp;Diagram!$P60),SUMIFS(INDIRECT(ADDRESS(12,3+18*2+(10),,,"J1 C - (South) Bishopthorpe Roa")&amp;":"&amp;ADDRESS(130,3+18*2+(10))),'J1 C - (South) Bishopthorpe Roa'!$A$12:$A$130,"&gt;="&amp;Diagram!$O60,'J1 C - (South) Bishopthorpe Roa'!$A$12:$A$130,"&lt;"&amp;Diagram!$P60)))</f>
        <v>1</v>
      </c>
      <c r="BK60" s="42">
        <f ca="1">IF(OR($I$10="",$O60="",$P60="",$J$37&lt;&gt;"Yes"),0,IF($K$10=0,SUMIFS(INDIRECT(ADDRESS(12,3+18*3+(2),,,"J1 C - (South) Bishopthorpe Roa")&amp;":"&amp;ADDRESS(130,3+18*3+(2))),'J1 C - (South) Bishopthorpe Roa'!$A$12:$A$130,"&gt;="&amp;Diagram!$O60,'J1 C - (South) Bishopthorpe Roa'!$A$12:$A$130,"&lt;"&amp;Diagram!$P60),SUMIFS(INDIRECT(ADDRESS(12,3+18*3+(10),,,"J1 C - (South) Bishopthorpe Roa")&amp;":"&amp;ADDRESS(130,3+18*3+(10))),'J1 C - (South) Bishopthorpe Roa'!$A$12:$A$130,"&gt;="&amp;Diagram!$O60,'J1 C - (South) Bishopthorpe Roa'!$A$12:$A$130,"&lt;"&amp;Diagram!$P60)))</f>
        <v>0</v>
      </c>
      <c r="BL60" s="42">
        <f ca="1">IF(OR($I$10="",$O60="",$P60="",$J$37&lt;&gt;"Yes"),0,IF($K$10=0,SUMIFS(INDIRECT(ADDRESS(12,3+18*0+(2),,,"J1 C - (South) Bishopthorpe Roa")&amp;":"&amp;ADDRESS(130,3+18*0+(2))),'J1 C - (South) Bishopthorpe Roa'!$A$12:$A$130,"&gt;="&amp;Diagram!$O60,'J1 C - (South) Bishopthorpe Roa'!$A$12:$A$130,"&lt;"&amp;Diagram!$P60),SUMIFS(INDIRECT(ADDRESS(12,3+18*0+(10),,,"J1 C - (South) Bishopthorpe Roa")&amp;":"&amp;ADDRESS(130,3+18*0+(10))),'J1 C - (South) Bishopthorpe Roa'!$A$12:$A$130,"&gt;="&amp;Diagram!$O60,'J1 C - (South) Bishopthorpe Roa'!$A$12:$A$130,"&lt;"&amp;Diagram!$P60)))</f>
        <v>0</v>
      </c>
      <c r="BM60" s="42">
        <f ca="1">IF(OR($I$10="",$O60="",$P60="",$J$37&lt;&gt;"Yes"),0,IF($K$10=0,SUMIFS(INDIRECT(ADDRESS(12,3+18*0+(2),,,"J1 D - South Bank Avenue")&amp;":"&amp;ADDRESS(130,3+18*0+(2))),'J1 D - South Bank Avenue'!$A$12:$A$130,"&gt;="&amp;Diagram!$O60,'J1 D - South Bank Avenue'!$A$12:$A$130,"&lt;"&amp;Diagram!$P60),SUMIFS(INDIRECT(ADDRESS(12,3+18*0+(10),,,"J1 D - South Bank Avenue")&amp;":"&amp;ADDRESS(130,3+18*0+(10))),'J1 D - South Bank Avenue'!$A$12:$A$130,"&gt;="&amp;Diagram!$O60,'J1 D - South Bank Avenue'!$A$12:$A$130,"&lt;"&amp;Diagram!$P60)))</f>
        <v>0</v>
      </c>
      <c r="BN60" s="42">
        <f ca="1">IF(OR($I$10="",$O60="",$P60="",$J$37&lt;&gt;"Yes"),0,IF($K$10=0,SUMIFS(INDIRECT(ADDRESS(12,3+18*1+(2),,,"J1 D - South Bank Avenue")&amp;":"&amp;ADDRESS(130,3+18*1+(2))),'J1 D - South Bank Avenue'!$A$12:$A$130,"&gt;="&amp;Diagram!$O60,'J1 D - South Bank Avenue'!$A$12:$A$130,"&lt;"&amp;Diagram!$P60),SUMIFS(INDIRECT(ADDRESS(12,3+18*1+(10),,,"J1 D - South Bank Avenue")&amp;":"&amp;ADDRESS(130,3+18*1+(10))),'J1 D - South Bank Avenue'!$A$12:$A$130,"&gt;="&amp;Diagram!$O60,'J1 D - South Bank Avenue'!$A$12:$A$130,"&lt;"&amp;Diagram!$P60)))</f>
        <v>0</v>
      </c>
      <c r="BO60" s="42">
        <f ca="1">IF(OR($I$10="",$O60="",$P60="",$J$37&lt;&gt;"Yes"),0,IF($K$10=0,SUMIFS(INDIRECT(ADDRESS(12,3+18*2+(2),,,"J1 D - South Bank Avenue")&amp;":"&amp;ADDRESS(130,3+18*2+(2))),'J1 D - South Bank Avenue'!$A$12:$A$130,"&gt;="&amp;Diagram!$O60,'J1 D - South Bank Avenue'!$A$12:$A$130,"&lt;"&amp;Diagram!$P60),SUMIFS(INDIRECT(ADDRESS(12,3+18*2+(10),,,"J1 D - South Bank Avenue")&amp;":"&amp;ADDRESS(130,3+18*2+(10))),'J1 D - South Bank Avenue'!$A$12:$A$130,"&gt;="&amp;Diagram!$O60,'J1 D - South Bank Avenue'!$A$12:$A$130,"&lt;"&amp;Diagram!$P60)))</f>
        <v>0</v>
      </c>
      <c r="BP60" s="42">
        <f ca="1">IF(OR($I$10="",$O60="",$P60="",$J$37&lt;&gt;"Yes"),0,IF($K$10=0,SUMIFS(INDIRECT(ADDRESS(12,3+18*3+(2),,,"J1 D - South Bank Avenue")&amp;":"&amp;ADDRESS(130,3+18*3+(2))),'J1 D - South Bank Avenue'!$A$12:$A$130,"&gt;="&amp;Diagram!$O60,'J1 D - South Bank Avenue'!$A$12:$A$130,"&lt;"&amp;Diagram!$P60),SUMIFS(INDIRECT(ADDRESS(12,3+18*3+(10),,,"J1 D - South Bank Avenue")&amp;":"&amp;ADDRESS(130,3+18*3+(10))),'J1 D - South Bank Avenue'!$A$12:$A$130,"&gt;="&amp;Diagram!$O60,'J1 D - South Bank Avenue'!$A$12:$A$130,"&lt;"&amp;Diagram!$P60)))</f>
        <v>0</v>
      </c>
      <c r="BQ60" s="42">
        <f t="shared" ca="1" si="4"/>
        <v>0</v>
      </c>
      <c r="BR60" s="42">
        <f ca="1">IF(OR($I$10="",$O60="",$P60="",$J$38&lt;&gt;"Yes"),0,IF($K$10=0,SUMIFS(INDIRECT(ADDRESS(12,3+18*3+(3),,,"J1 A - (North) Bishopthorpe Roa")&amp;":"&amp;ADDRESS(130,3+18*3+(3))),'J1 A - (North) Bishopthorpe Roa'!$A$12:$A$130,"&gt;="&amp;Diagram!$O60,'J1 A - (North) Bishopthorpe Roa'!$A$12:$A$130,"&lt;"&amp;Diagram!$P60),SUMIFS(INDIRECT(ADDRESS(12,3+18*3+(11),,,"J1 A - (North) Bishopthorpe Roa")&amp;":"&amp;ADDRESS(130,3+18*3+(11))),'J1 A - (North) Bishopthorpe Roa'!$A$12:$A$130,"&gt;="&amp;Diagram!$O60,'J1 A - (North) Bishopthorpe Roa'!$A$12:$A$130,"&lt;"&amp;Diagram!$P60)))</f>
        <v>0</v>
      </c>
      <c r="BS60" s="42">
        <f ca="1">IF(OR($I$10="",$O60="",$P60="",$J$38&lt;&gt;"Yes"),0,IF($K$10=0,SUMIFS(INDIRECT(ADDRESS(12,3+18*0+(3),,,"J1 A - (North) Bishopthorpe Roa")&amp;":"&amp;ADDRESS(130,3+18*0+(3))),'J1 A - (North) Bishopthorpe Roa'!$A$12:$A$130,"&gt;="&amp;Diagram!$O60,'J1 A - (North) Bishopthorpe Roa'!$A$12:$A$130,"&lt;"&amp;Diagram!$P60),SUMIFS(INDIRECT(ADDRESS(12,3+18*0+(11),,,"J1 A - (North) Bishopthorpe Roa")&amp;":"&amp;ADDRESS(130,3+18*0+(11))),'J1 A - (North) Bishopthorpe Roa'!$A$12:$A$130,"&gt;="&amp;Diagram!$O60,'J1 A - (North) Bishopthorpe Roa'!$A$12:$A$130,"&lt;"&amp;Diagram!$P60)))</f>
        <v>0</v>
      </c>
      <c r="BT60" s="42">
        <f ca="1">IF(OR($I$10="",$O60="",$P60="",$J$38&lt;&gt;"Yes"),0,IF($K$10=0,SUMIFS(INDIRECT(ADDRESS(12,3+18*1+(3),,,"J1 A - (North) Bishopthorpe Roa")&amp;":"&amp;ADDRESS(130,3+18*1+(3))),'J1 A - (North) Bishopthorpe Roa'!$A$12:$A$130,"&gt;="&amp;Diagram!$O60,'J1 A - (North) Bishopthorpe Roa'!$A$12:$A$130,"&lt;"&amp;Diagram!$P60),SUMIFS(INDIRECT(ADDRESS(12,3+18*1+(11),,,"J1 A - (North) Bishopthorpe Roa")&amp;":"&amp;ADDRESS(130,3+18*1+(11))),'J1 A - (North) Bishopthorpe Roa'!$A$12:$A$130,"&gt;="&amp;Diagram!$O60,'J1 A - (North) Bishopthorpe Roa'!$A$12:$A$130,"&lt;"&amp;Diagram!$P60)))</f>
        <v>0</v>
      </c>
      <c r="BU60" s="42">
        <f ca="1">IF(OR($I$10="",$O60="",$P60="",$J$38&lt;&gt;"Yes"),0,IF($K$10=0,SUMIFS(INDIRECT(ADDRESS(12,3+18*2+(3),,,"J1 A - (North) Bishopthorpe Roa")&amp;":"&amp;ADDRESS(130,3+18*2+(3))),'J1 A - (North) Bishopthorpe Roa'!$A$12:$A$130,"&gt;="&amp;Diagram!$O60,'J1 A - (North) Bishopthorpe Roa'!$A$12:$A$130,"&lt;"&amp;Diagram!$P60),SUMIFS(INDIRECT(ADDRESS(12,3+18*2+(11),,,"J1 A - (North) Bishopthorpe Roa")&amp;":"&amp;ADDRESS(130,3+18*2+(11))),'J1 A - (North) Bishopthorpe Roa'!$A$12:$A$130,"&gt;="&amp;Diagram!$O60,'J1 A - (North) Bishopthorpe Roa'!$A$12:$A$130,"&lt;"&amp;Diagram!$P60)))</f>
        <v>0</v>
      </c>
      <c r="BV60" s="42">
        <f ca="1">IF(OR($I$10="",$O60="",$P60="",$J$38&lt;&gt;"Yes"),0,IF($K$10=0,SUMIFS(INDIRECT(ADDRESS(12,3+18*2+(3),,,"J1 B - Butcher Terrace")&amp;":"&amp;ADDRESS(130,3+18*2+(3))),'J1 B - Butcher Terrace'!$A$12:$A$130,"&gt;="&amp;Diagram!$O60,'J1 B - Butcher Terrace'!$A$12:$A$130,"&lt;"&amp;Diagram!$P60),SUMIFS(INDIRECT(ADDRESS(12,3+18*2+(11),,,"J1 B - Butcher Terrace")&amp;":"&amp;ADDRESS(130,3+18*2+(11))),'J1 B - Butcher Terrace'!$A$12:$A$130,"&gt;="&amp;Diagram!$O60,'J1 B - Butcher Terrace'!$A$12:$A$130,"&lt;"&amp;Diagram!$P60)))</f>
        <v>0</v>
      </c>
      <c r="BW60" s="42">
        <f ca="1">IF(OR($I$10="",$O60="",$P60="",$J$38&lt;&gt;"Yes"),0,IF($K$10=0,SUMIFS(INDIRECT(ADDRESS(12,3+18*3+(3),,,"J1 B - Butcher Terrace")&amp;":"&amp;ADDRESS(130,3+18*3+(3))),'J1 B - Butcher Terrace'!$A$12:$A$130,"&gt;="&amp;Diagram!$O60,'J1 B - Butcher Terrace'!$A$12:$A$130,"&lt;"&amp;Diagram!$P60),SUMIFS(INDIRECT(ADDRESS(12,3+18*3+(11),,,"J1 B - Butcher Terrace")&amp;":"&amp;ADDRESS(130,3+18*3+(11))),'J1 B - Butcher Terrace'!$A$12:$A$130,"&gt;="&amp;Diagram!$O60,'J1 B - Butcher Terrace'!$A$12:$A$130,"&lt;"&amp;Diagram!$P60)))</f>
        <v>0</v>
      </c>
      <c r="BX60" s="42">
        <f ca="1">IF(OR($I$10="",$O60="",$P60="",$J$38&lt;&gt;"Yes"),0,IF($K$10=0,SUMIFS(INDIRECT(ADDRESS(12,3+18*0+(3),,,"J1 B - Butcher Terrace")&amp;":"&amp;ADDRESS(130,3+18*0+(3))),'J1 B - Butcher Terrace'!$A$12:$A$130,"&gt;="&amp;Diagram!$O60,'J1 B - Butcher Terrace'!$A$12:$A$130,"&lt;"&amp;Diagram!$P60),SUMIFS(INDIRECT(ADDRESS(12,3+18*0+(11),,,"J1 B - Butcher Terrace")&amp;":"&amp;ADDRESS(130,3+18*0+(11))),'J1 B - Butcher Terrace'!$A$12:$A$130,"&gt;="&amp;Diagram!$O60,'J1 B - Butcher Terrace'!$A$12:$A$130,"&lt;"&amp;Diagram!$P60)))</f>
        <v>0</v>
      </c>
      <c r="BY60" s="42">
        <f ca="1">IF(OR($I$10="",$O60="",$P60="",$J$38&lt;&gt;"Yes"),0,IF($K$10=0,SUMIFS(INDIRECT(ADDRESS(12,3+18*1+(3),,,"J1 B - Butcher Terrace")&amp;":"&amp;ADDRESS(130,3+18*1+(3))),'J1 B - Butcher Terrace'!$A$12:$A$130,"&gt;="&amp;Diagram!$O60,'J1 B - Butcher Terrace'!$A$12:$A$130,"&lt;"&amp;Diagram!$P60),SUMIFS(INDIRECT(ADDRESS(12,3+18*1+(11),,,"J1 B - Butcher Terrace")&amp;":"&amp;ADDRESS(130,3+18*1+(11))),'J1 B - Butcher Terrace'!$A$12:$A$130,"&gt;="&amp;Diagram!$O60,'J1 B - Butcher Terrace'!$A$12:$A$130,"&lt;"&amp;Diagram!$P60)))</f>
        <v>0</v>
      </c>
      <c r="BZ60" s="42">
        <f ca="1">IF(OR($I$10="",$O60="",$P60="",$J$38&lt;&gt;"Yes"),0,IF($K$10=0,SUMIFS(INDIRECT(ADDRESS(12,3+18*1+(3),,,"J1 C - (South) Bishopthorpe Roa")&amp;":"&amp;ADDRESS(130,3+18*1+(3))),'J1 C - (South) Bishopthorpe Roa'!$A$12:$A$130,"&gt;="&amp;Diagram!$O60,'J1 C - (South) Bishopthorpe Roa'!$A$12:$A$130,"&lt;"&amp;Diagram!$P60),SUMIFS(INDIRECT(ADDRESS(12,3+18*1+(11),,,"J1 C - (South) Bishopthorpe Roa")&amp;":"&amp;ADDRESS(130,3+18*1+(11))),'J1 C - (South) Bishopthorpe Roa'!$A$12:$A$130,"&gt;="&amp;Diagram!$O60,'J1 C - (South) Bishopthorpe Roa'!$A$12:$A$130,"&lt;"&amp;Diagram!$P60)))</f>
        <v>0</v>
      </c>
      <c r="CA60" s="42">
        <f ca="1">IF(OR($I$10="",$O60="",$P60="",$J$38&lt;&gt;"Yes"),0,IF($K$10=0,SUMIFS(INDIRECT(ADDRESS(12,3+18*2+(3),,,"J1 C - (South) Bishopthorpe Roa")&amp;":"&amp;ADDRESS(130,3+18*2+(3))),'J1 C - (South) Bishopthorpe Roa'!$A$12:$A$130,"&gt;="&amp;Diagram!$O60,'J1 C - (South) Bishopthorpe Roa'!$A$12:$A$130,"&lt;"&amp;Diagram!$P60),SUMIFS(INDIRECT(ADDRESS(12,3+18*2+(11),,,"J1 C - (South) Bishopthorpe Roa")&amp;":"&amp;ADDRESS(130,3+18*2+(11))),'J1 C - (South) Bishopthorpe Roa'!$A$12:$A$130,"&gt;="&amp;Diagram!$O60,'J1 C - (South) Bishopthorpe Roa'!$A$12:$A$130,"&lt;"&amp;Diagram!$P60)))</f>
        <v>0</v>
      </c>
      <c r="CB60" s="42">
        <f ca="1">IF(OR($I$10="",$O60="",$P60="",$J$38&lt;&gt;"Yes"),0,IF($K$10=0,SUMIFS(INDIRECT(ADDRESS(12,3+18*3+(3),,,"J1 C - (South) Bishopthorpe Roa")&amp;":"&amp;ADDRESS(130,3+18*3+(3))),'J1 C - (South) Bishopthorpe Roa'!$A$12:$A$130,"&gt;="&amp;Diagram!$O60,'J1 C - (South) Bishopthorpe Roa'!$A$12:$A$130,"&lt;"&amp;Diagram!$P60),SUMIFS(INDIRECT(ADDRESS(12,3+18*3+(11),,,"J1 C - (South) Bishopthorpe Roa")&amp;":"&amp;ADDRESS(130,3+18*3+(11))),'J1 C - (South) Bishopthorpe Roa'!$A$12:$A$130,"&gt;="&amp;Diagram!$O60,'J1 C - (South) Bishopthorpe Roa'!$A$12:$A$130,"&lt;"&amp;Diagram!$P60)))</f>
        <v>0</v>
      </c>
      <c r="CC60" s="42">
        <f ca="1">IF(OR($I$10="",$O60="",$P60="",$J$38&lt;&gt;"Yes"),0,IF($K$10=0,SUMIFS(INDIRECT(ADDRESS(12,3+18*0+(3),,,"J1 C - (South) Bishopthorpe Roa")&amp;":"&amp;ADDRESS(130,3+18*0+(3))),'J1 C - (South) Bishopthorpe Roa'!$A$12:$A$130,"&gt;="&amp;Diagram!$O60,'J1 C - (South) Bishopthorpe Roa'!$A$12:$A$130,"&lt;"&amp;Diagram!$P60),SUMIFS(INDIRECT(ADDRESS(12,3+18*0+(11),,,"J1 C - (South) Bishopthorpe Roa")&amp;":"&amp;ADDRESS(130,3+18*0+(11))),'J1 C - (South) Bishopthorpe Roa'!$A$12:$A$130,"&gt;="&amp;Diagram!$O60,'J1 C - (South) Bishopthorpe Roa'!$A$12:$A$130,"&lt;"&amp;Diagram!$P60)))</f>
        <v>0</v>
      </c>
      <c r="CD60" s="42">
        <f ca="1">IF(OR($I$10="",$O60="",$P60="",$J$38&lt;&gt;"Yes"),0,IF($K$10=0,SUMIFS(INDIRECT(ADDRESS(12,3+18*0+(3),,,"J1 D - South Bank Avenue")&amp;":"&amp;ADDRESS(130,3+18*0+(3))),'J1 D - South Bank Avenue'!$A$12:$A$130,"&gt;="&amp;Diagram!$O60,'J1 D - South Bank Avenue'!$A$12:$A$130,"&lt;"&amp;Diagram!$P60),SUMIFS(INDIRECT(ADDRESS(12,3+18*0+(11),,,"J1 D - South Bank Avenue")&amp;":"&amp;ADDRESS(130,3+18*0+(11))),'J1 D - South Bank Avenue'!$A$12:$A$130,"&gt;="&amp;Diagram!$O60,'J1 D - South Bank Avenue'!$A$12:$A$130,"&lt;"&amp;Diagram!$P60)))</f>
        <v>0</v>
      </c>
      <c r="CE60" s="42">
        <f ca="1">IF(OR($I$10="",$O60="",$P60="",$J$38&lt;&gt;"Yes"),0,IF($K$10=0,SUMIFS(INDIRECT(ADDRESS(12,3+18*1+(3),,,"J1 D - South Bank Avenue")&amp;":"&amp;ADDRESS(130,3+18*1+(3))),'J1 D - South Bank Avenue'!$A$12:$A$130,"&gt;="&amp;Diagram!$O60,'J1 D - South Bank Avenue'!$A$12:$A$130,"&lt;"&amp;Diagram!$P60),SUMIFS(INDIRECT(ADDRESS(12,3+18*1+(11),,,"J1 D - South Bank Avenue")&amp;":"&amp;ADDRESS(130,3+18*1+(11))),'J1 D - South Bank Avenue'!$A$12:$A$130,"&gt;="&amp;Diagram!$O60,'J1 D - South Bank Avenue'!$A$12:$A$130,"&lt;"&amp;Diagram!$P60)))</f>
        <v>0</v>
      </c>
      <c r="CF60" s="42">
        <f ca="1">IF(OR($I$10="",$O60="",$P60="",$J$38&lt;&gt;"Yes"),0,IF($K$10=0,SUMIFS(INDIRECT(ADDRESS(12,3+18*2+(3),,,"J1 D - South Bank Avenue")&amp;":"&amp;ADDRESS(130,3+18*2+(3))),'J1 D - South Bank Avenue'!$A$12:$A$130,"&gt;="&amp;Diagram!$O60,'J1 D - South Bank Avenue'!$A$12:$A$130,"&lt;"&amp;Diagram!$P60),SUMIFS(INDIRECT(ADDRESS(12,3+18*2+(11),,,"J1 D - South Bank Avenue")&amp;":"&amp;ADDRESS(130,3+18*2+(11))),'J1 D - South Bank Avenue'!$A$12:$A$130,"&gt;="&amp;Diagram!$O60,'J1 D - South Bank Avenue'!$A$12:$A$130,"&lt;"&amp;Diagram!$P60)))</f>
        <v>0</v>
      </c>
      <c r="CG60" s="42">
        <f ca="1">IF(OR($I$10="",$O60="",$P60="",$J$38&lt;&gt;"Yes"),0,IF($K$10=0,SUMIFS(INDIRECT(ADDRESS(12,3+18*3+(3),,,"J1 D - South Bank Avenue")&amp;":"&amp;ADDRESS(130,3+18*3+(3))),'J1 D - South Bank Avenue'!$A$12:$A$130,"&gt;="&amp;Diagram!$O60,'J1 D - South Bank Avenue'!$A$12:$A$130,"&lt;"&amp;Diagram!$P60),SUMIFS(INDIRECT(ADDRESS(12,3+18*3+(11),,,"J1 D - South Bank Avenue")&amp;":"&amp;ADDRESS(130,3+18*3+(11))),'J1 D - South Bank Avenue'!$A$12:$A$130,"&gt;="&amp;Diagram!$O60,'J1 D - South Bank Avenue'!$A$12:$A$130,"&lt;"&amp;Diagram!$P60)))</f>
        <v>0</v>
      </c>
      <c r="CH60" s="42">
        <f t="shared" ca="1" si="5"/>
        <v>8</v>
      </c>
      <c r="CI60" s="42">
        <f ca="1">IF(OR($I$10="",$O60="",$P60="",$J$39&lt;&gt;"Yes"),0,IF($K$10=0,SUMIFS(INDIRECT(ADDRESS(12,3+18*3+(4),,,"J1 A - (North) Bishopthorpe Roa")&amp;":"&amp;ADDRESS(130,3+18*3+(4))),'J1 A - (North) Bishopthorpe Roa'!$A$12:$A$130,"&gt;="&amp;Diagram!$O60,'J1 A - (North) Bishopthorpe Roa'!$A$12:$A$130,"&lt;"&amp;Diagram!$P60),SUMIFS(INDIRECT(ADDRESS(12,3+18*3+(12),,,"J1 A - (North) Bishopthorpe Roa")&amp;":"&amp;ADDRESS(130,3+18*3+(12))),'J1 A - (North) Bishopthorpe Roa'!$A$12:$A$130,"&gt;="&amp;Diagram!$O60,'J1 A - (North) Bishopthorpe Roa'!$A$12:$A$130,"&lt;"&amp;Diagram!$P60)))</f>
        <v>0</v>
      </c>
      <c r="CJ60" s="42">
        <f ca="1">IF(OR($I$10="",$O60="",$P60="",$J$39&lt;&gt;"Yes"),0,IF($K$10=0,SUMIFS(INDIRECT(ADDRESS(12,3+18*0+(4),,,"J1 A - (North) Bishopthorpe Roa")&amp;":"&amp;ADDRESS(130,3+18*0+(4))),'J1 A - (North) Bishopthorpe Roa'!$A$12:$A$130,"&gt;="&amp;Diagram!$O60,'J1 A - (North) Bishopthorpe Roa'!$A$12:$A$130,"&lt;"&amp;Diagram!$P60),SUMIFS(INDIRECT(ADDRESS(12,3+18*0+(12),,,"J1 A - (North) Bishopthorpe Roa")&amp;":"&amp;ADDRESS(130,3+18*0+(12))),'J1 A - (North) Bishopthorpe Roa'!$A$12:$A$130,"&gt;="&amp;Diagram!$O60,'J1 A - (North) Bishopthorpe Roa'!$A$12:$A$130,"&lt;"&amp;Diagram!$P60)))</f>
        <v>0</v>
      </c>
      <c r="CK60" s="42">
        <f ca="1">IF(OR($I$10="",$O60="",$P60="",$J$39&lt;&gt;"Yes"),0,IF($K$10=0,SUMIFS(INDIRECT(ADDRESS(12,3+18*1+(4),,,"J1 A - (North) Bishopthorpe Roa")&amp;":"&amp;ADDRESS(130,3+18*1+(4))),'J1 A - (North) Bishopthorpe Roa'!$A$12:$A$130,"&gt;="&amp;Diagram!$O60,'J1 A - (North) Bishopthorpe Roa'!$A$12:$A$130,"&lt;"&amp;Diagram!$P60),SUMIFS(INDIRECT(ADDRESS(12,3+18*1+(12),,,"J1 A - (North) Bishopthorpe Roa")&amp;":"&amp;ADDRESS(130,3+18*1+(12))),'J1 A - (North) Bishopthorpe Roa'!$A$12:$A$130,"&gt;="&amp;Diagram!$O60,'J1 A - (North) Bishopthorpe Roa'!$A$12:$A$130,"&lt;"&amp;Diagram!$P60)))</f>
        <v>4</v>
      </c>
      <c r="CL60" s="42">
        <f ca="1">IF(OR($I$10="",$O60="",$P60="",$J$39&lt;&gt;"Yes"),0,IF($K$10=0,SUMIFS(INDIRECT(ADDRESS(12,3+18*2+(4),,,"J1 A - (North) Bishopthorpe Roa")&amp;":"&amp;ADDRESS(130,3+18*2+(4))),'J1 A - (North) Bishopthorpe Roa'!$A$12:$A$130,"&gt;="&amp;Diagram!$O60,'J1 A - (North) Bishopthorpe Roa'!$A$12:$A$130,"&lt;"&amp;Diagram!$P60),SUMIFS(INDIRECT(ADDRESS(12,3+18*2+(12),,,"J1 A - (North) Bishopthorpe Roa")&amp;":"&amp;ADDRESS(130,3+18*2+(12))),'J1 A - (North) Bishopthorpe Roa'!$A$12:$A$130,"&gt;="&amp;Diagram!$O60,'J1 A - (North) Bishopthorpe Roa'!$A$12:$A$130,"&lt;"&amp;Diagram!$P60)))</f>
        <v>0</v>
      </c>
      <c r="CM60" s="42">
        <f ca="1">IF(OR($I$10="",$O60="",$P60="",$J$39&lt;&gt;"Yes"),0,IF($K$10=0,SUMIFS(INDIRECT(ADDRESS(12,3+18*2+(4),,,"J1 B - Butcher Terrace")&amp;":"&amp;ADDRESS(130,3+18*2+(4))),'J1 B - Butcher Terrace'!$A$12:$A$130,"&gt;="&amp;Diagram!$O60,'J1 B - Butcher Terrace'!$A$12:$A$130,"&lt;"&amp;Diagram!$P60),SUMIFS(INDIRECT(ADDRESS(12,3+18*2+(12),,,"J1 B - Butcher Terrace")&amp;":"&amp;ADDRESS(130,3+18*2+(12))),'J1 B - Butcher Terrace'!$A$12:$A$130,"&gt;="&amp;Diagram!$O60,'J1 B - Butcher Terrace'!$A$12:$A$130,"&lt;"&amp;Diagram!$P60)))</f>
        <v>0</v>
      </c>
      <c r="CN60" s="42">
        <f ca="1">IF(OR($I$10="",$O60="",$P60="",$J$39&lt;&gt;"Yes"),0,IF($K$10=0,SUMIFS(INDIRECT(ADDRESS(12,3+18*3+(4),,,"J1 B - Butcher Terrace")&amp;":"&amp;ADDRESS(130,3+18*3+(4))),'J1 B - Butcher Terrace'!$A$12:$A$130,"&gt;="&amp;Diagram!$O60,'J1 B - Butcher Terrace'!$A$12:$A$130,"&lt;"&amp;Diagram!$P60),SUMIFS(INDIRECT(ADDRESS(12,3+18*3+(12),,,"J1 B - Butcher Terrace")&amp;":"&amp;ADDRESS(130,3+18*3+(12))),'J1 B - Butcher Terrace'!$A$12:$A$130,"&gt;="&amp;Diagram!$O60,'J1 B - Butcher Terrace'!$A$12:$A$130,"&lt;"&amp;Diagram!$P60)))</f>
        <v>0</v>
      </c>
      <c r="CO60" s="42">
        <f ca="1">IF(OR($I$10="",$O60="",$P60="",$J$39&lt;&gt;"Yes"),0,IF($K$10=0,SUMIFS(INDIRECT(ADDRESS(12,3+18*0+(4),,,"J1 B - Butcher Terrace")&amp;":"&amp;ADDRESS(130,3+18*0+(4))),'J1 B - Butcher Terrace'!$A$12:$A$130,"&gt;="&amp;Diagram!$O60,'J1 B - Butcher Terrace'!$A$12:$A$130,"&lt;"&amp;Diagram!$P60),SUMIFS(INDIRECT(ADDRESS(12,3+18*0+(12),,,"J1 B - Butcher Terrace")&amp;":"&amp;ADDRESS(130,3+18*0+(12))),'J1 B - Butcher Terrace'!$A$12:$A$130,"&gt;="&amp;Diagram!$O60,'J1 B - Butcher Terrace'!$A$12:$A$130,"&lt;"&amp;Diagram!$P60)))</f>
        <v>0</v>
      </c>
      <c r="CP60" s="42">
        <f ca="1">IF(OR($I$10="",$O60="",$P60="",$J$39&lt;&gt;"Yes"),0,IF($K$10=0,SUMIFS(INDIRECT(ADDRESS(12,3+18*1+(4),,,"J1 B - Butcher Terrace")&amp;":"&amp;ADDRESS(130,3+18*1+(4))),'J1 B - Butcher Terrace'!$A$12:$A$130,"&gt;="&amp;Diagram!$O60,'J1 B - Butcher Terrace'!$A$12:$A$130,"&lt;"&amp;Diagram!$P60),SUMIFS(INDIRECT(ADDRESS(12,3+18*1+(12),,,"J1 B - Butcher Terrace")&amp;":"&amp;ADDRESS(130,3+18*1+(12))),'J1 B - Butcher Terrace'!$A$12:$A$130,"&gt;="&amp;Diagram!$O60,'J1 B - Butcher Terrace'!$A$12:$A$130,"&lt;"&amp;Diagram!$P60)))</f>
        <v>0</v>
      </c>
      <c r="CQ60" s="42">
        <f ca="1">IF(OR($I$10="",$O60="",$P60="",$J$39&lt;&gt;"Yes"),0,IF($K$10=0,SUMIFS(INDIRECT(ADDRESS(12,3+18*1+(4),,,"J1 C - (South) Bishopthorpe Roa")&amp;":"&amp;ADDRESS(130,3+18*1+(4))),'J1 C - (South) Bishopthorpe Roa'!$A$12:$A$130,"&gt;="&amp;Diagram!$O60,'J1 C - (South) Bishopthorpe Roa'!$A$12:$A$130,"&lt;"&amp;Diagram!$P60),SUMIFS(INDIRECT(ADDRESS(12,3+18*1+(12),,,"J1 C - (South) Bishopthorpe Roa")&amp;":"&amp;ADDRESS(130,3+18*1+(12))),'J1 C - (South) Bishopthorpe Roa'!$A$12:$A$130,"&gt;="&amp;Diagram!$O60,'J1 C - (South) Bishopthorpe Roa'!$A$12:$A$130,"&lt;"&amp;Diagram!$P60)))</f>
        <v>4</v>
      </c>
      <c r="CR60" s="42">
        <f ca="1">IF(OR($I$10="",$O60="",$P60="",$J$39&lt;&gt;"Yes"),0,IF($K$10=0,SUMIFS(INDIRECT(ADDRESS(12,3+18*2+(4),,,"J1 C - (South) Bishopthorpe Roa")&amp;":"&amp;ADDRESS(130,3+18*2+(4))),'J1 C - (South) Bishopthorpe Roa'!$A$12:$A$130,"&gt;="&amp;Diagram!$O60,'J1 C - (South) Bishopthorpe Roa'!$A$12:$A$130,"&lt;"&amp;Diagram!$P60),SUMIFS(INDIRECT(ADDRESS(12,3+18*2+(12),,,"J1 C - (South) Bishopthorpe Roa")&amp;":"&amp;ADDRESS(130,3+18*2+(12))),'J1 C - (South) Bishopthorpe Roa'!$A$12:$A$130,"&gt;="&amp;Diagram!$O60,'J1 C - (South) Bishopthorpe Roa'!$A$12:$A$130,"&lt;"&amp;Diagram!$P60)))</f>
        <v>0</v>
      </c>
      <c r="CS60" s="42">
        <f ca="1">IF(OR($I$10="",$O60="",$P60="",$J$39&lt;&gt;"Yes"),0,IF($K$10=0,SUMIFS(INDIRECT(ADDRESS(12,3+18*3+(4),,,"J1 C - (South) Bishopthorpe Roa")&amp;":"&amp;ADDRESS(130,3+18*3+(4))),'J1 C - (South) Bishopthorpe Roa'!$A$12:$A$130,"&gt;="&amp;Diagram!$O60,'J1 C - (South) Bishopthorpe Roa'!$A$12:$A$130,"&lt;"&amp;Diagram!$P60),SUMIFS(INDIRECT(ADDRESS(12,3+18*3+(12),,,"J1 C - (South) Bishopthorpe Roa")&amp;":"&amp;ADDRESS(130,3+18*3+(12))),'J1 C - (South) Bishopthorpe Roa'!$A$12:$A$130,"&gt;="&amp;Diagram!$O60,'J1 C - (South) Bishopthorpe Roa'!$A$12:$A$130,"&lt;"&amp;Diagram!$P60)))</f>
        <v>0</v>
      </c>
      <c r="CT60" s="42">
        <f ca="1">IF(OR($I$10="",$O60="",$P60="",$J$39&lt;&gt;"Yes"),0,IF($K$10=0,SUMIFS(INDIRECT(ADDRESS(12,3+18*0+(4),,,"J1 C - (South) Bishopthorpe Roa")&amp;":"&amp;ADDRESS(130,3+18*0+(4))),'J1 C - (South) Bishopthorpe Roa'!$A$12:$A$130,"&gt;="&amp;Diagram!$O60,'J1 C - (South) Bishopthorpe Roa'!$A$12:$A$130,"&lt;"&amp;Diagram!$P60),SUMIFS(INDIRECT(ADDRESS(12,3+18*0+(12),,,"J1 C - (South) Bishopthorpe Roa")&amp;":"&amp;ADDRESS(130,3+18*0+(12))),'J1 C - (South) Bishopthorpe Roa'!$A$12:$A$130,"&gt;="&amp;Diagram!$O60,'J1 C - (South) Bishopthorpe Roa'!$A$12:$A$130,"&lt;"&amp;Diagram!$P60)))</f>
        <v>0</v>
      </c>
      <c r="CU60" s="42">
        <f ca="1">IF(OR($I$10="",$O60="",$P60="",$J$39&lt;&gt;"Yes"),0,IF($K$10=0,SUMIFS(INDIRECT(ADDRESS(12,3+18*0+(4),,,"J1 D - South Bank Avenue")&amp;":"&amp;ADDRESS(130,3+18*0+(4))),'J1 D - South Bank Avenue'!$A$12:$A$130,"&gt;="&amp;Diagram!$O60,'J1 D - South Bank Avenue'!$A$12:$A$130,"&lt;"&amp;Diagram!$P60),SUMIFS(INDIRECT(ADDRESS(12,3+18*0+(12),,,"J1 D - South Bank Avenue")&amp;":"&amp;ADDRESS(130,3+18*0+(12))),'J1 D - South Bank Avenue'!$A$12:$A$130,"&gt;="&amp;Diagram!$O60,'J1 D - South Bank Avenue'!$A$12:$A$130,"&lt;"&amp;Diagram!$P60)))</f>
        <v>0</v>
      </c>
      <c r="CV60" s="42">
        <f ca="1">IF(OR($I$10="",$O60="",$P60="",$J$39&lt;&gt;"Yes"),0,IF($K$10=0,SUMIFS(INDIRECT(ADDRESS(12,3+18*1+(4),,,"J1 D - South Bank Avenue")&amp;":"&amp;ADDRESS(130,3+18*1+(4))),'J1 D - South Bank Avenue'!$A$12:$A$130,"&gt;="&amp;Diagram!$O60,'J1 D - South Bank Avenue'!$A$12:$A$130,"&lt;"&amp;Diagram!$P60),SUMIFS(INDIRECT(ADDRESS(12,3+18*1+(12),,,"J1 D - South Bank Avenue")&amp;":"&amp;ADDRESS(130,3+18*1+(12))),'J1 D - South Bank Avenue'!$A$12:$A$130,"&gt;="&amp;Diagram!$O60,'J1 D - South Bank Avenue'!$A$12:$A$130,"&lt;"&amp;Diagram!$P60)))</f>
        <v>0</v>
      </c>
      <c r="CW60" s="42">
        <f ca="1">IF(OR($I$10="",$O60="",$P60="",$J$39&lt;&gt;"Yes"),0,IF($K$10=0,SUMIFS(INDIRECT(ADDRESS(12,3+18*2+(4),,,"J1 D - South Bank Avenue")&amp;":"&amp;ADDRESS(130,3+18*2+(4))),'J1 D - South Bank Avenue'!$A$12:$A$130,"&gt;="&amp;Diagram!$O60,'J1 D - South Bank Avenue'!$A$12:$A$130,"&lt;"&amp;Diagram!$P60),SUMIFS(INDIRECT(ADDRESS(12,3+18*2+(12),,,"J1 D - South Bank Avenue")&amp;":"&amp;ADDRESS(130,3+18*2+(12))),'J1 D - South Bank Avenue'!$A$12:$A$130,"&gt;="&amp;Diagram!$O60,'J1 D - South Bank Avenue'!$A$12:$A$130,"&lt;"&amp;Diagram!$P60)))</f>
        <v>0</v>
      </c>
      <c r="CX60" s="42">
        <f ca="1">IF(OR($I$10="",$O60="",$P60="",$J$39&lt;&gt;"Yes"),0,IF($K$10=0,SUMIFS(INDIRECT(ADDRESS(12,3+18*3+(4),,,"J1 D - South Bank Avenue")&amp;":"&amp;ADDRESS(130,3+18*3+(4))),'J1 D - South Bank Avenue'!$A$12:$A$130,"&gt;="&amp;Diagram!$O60,'J1 D - South Bank Avenue'!$A$12:$A$130,"&lt;"&amp;Diagram!$P60),SUMIFS(INDIRECT(ADDRESS(12,3+18*3+(12),,,"J1 D - South Bank Avenue")&amp;":"&amp;ADDRESS(130,3+18*3+(12))),'J1 D - South Bank Avenue'!$A$12:$A$130,"&gt;="&amp;Diagram!$O60,'J1 D - South Bank Avenue'!$A$12:$A$130,"&lt;"&amp;Diagram!$P60)))</f>
        <v>0</v>
      </c>
      <c r="CY60" s="42">
        <f t="shared" ca="1" si="6"/>
        <v>121</v>
      </c>
      <c r="CZ60" s="42">
        <f ca="1">IF(OR($I$10="",$O60="",$P60="",$J$40&lt;&gt;"Yes"),0,IF($K$10=0,SUMIFS(INDIRECT(ADDRESS(12,3+18*3+(5),,,"J1 A - (North) Bishopthorpe Roa")&amp;":"&amp;ADDRESS(130,3+18*3+(5))),'J1 A - (North) Bishopthorpe Roa'!$A$12:$A$130,"&gt;="&amp;Diagram!$O60,'J1 A - (North) Bishopthorpe Roa'!$A$12:$A$130,"&lt;"&amp;Diagram!$P60),SUMIFS(INDIRECT(ADDRESS(12,3+18*3+(13),,,"J1 A - (North) Bishopthorpe Roa")&amp;":"&amp;ADDRESS(130,3+18*3+(13))),'J1 A - (North) Bishopthorpe Roa'!$A$12:$A$130,"&gt;="&amp;Diagram!$O60,'J1 A - (North) Bishopthorpe Roa'!$A$12:$A$130,"&lt;"&amp;Diagram!$P60)))</f>
        <v>0</v>
      </c>
      <c r="DA60" s="42">
        <f ca="1">IF(OR($I$10="",$O60="",$P60="",$J$40&lt;&gt;"Yes"),0,IF($K$10=0,SUMIFS(INDIRECT(ADDRESS(12,3+18*0+(5),,,"J1 A - (North) Bishopthorpe Roa")&amp;":"&amp;ADDRESS(130,3+18*0+(5))),'J1 A - (North) Bishopthorpe Roa'!$A$12:$A$130,"&gt;="&amp;Diagram!$O60,'J1 A - (North) Bishopthorpe Roa'!$A$12:$A$130,"&lt;"&amp;Diagram!$P60),SUMIFS(INDIRECT(ADDRESS(12,3+18*0+(13),,,"J1 A - (North) Bishopthorpe Roa")&amp;":"&amp;ADDRESS(130,3+18*0+(13))),'J1 A - (North) Bishopthorpe Roa'!$A$12:$A$130,"&gt;="&amp;Diagram!$O60,'J1 A - (North) Bishopthorpe Roa'!$A$12:$A$130,"&lt;"&amp;Diagram!$P60)))</f>
        <v>13</v>
      </c>
      <c r="DB60" s="42">
        <f ca="1">IF(OR($I$10="",$O60="",$P60="",$J$40&lt;&gt;"Yes"),0,IF($K$10=0,SUMIFS(INDIRECT(ADDRESS(12,3+18*1+(5),,,"J1 A - (North) Bishopthorpe Roa")&amp;":"&amp;ADDRESS(130,3+18*1+(5))),'J1 A - (North) Bishopthorpe Roa'!$A$12:$A$130,"&gt;="&amp;Diagram!$O60,'J1 A - (North) Bishopthorpe Roa'!$A$12:$A$130,"&lt;"&amp;Diagram!$P60),SUMIFS(INDIRECT(ADDRESS(12,3+18*1+(13),,,"J1 A - (North) Bishopthorpe Roa")&amp;":"&amp;ADDRESS(130,3+18*1+(13))),'J1 A - (North) Bishopthorpe Roa'!$A$12:$A$130,"&gt;="&amp;Diagram!$O60,'J1 A - (North) Bishopthorpe Roa'!$A$12:$A$130,"&lt;"&amp;Diagram!$P60)))</f>
        <v>11</v>
      </c>
      <c r="DC60" s="42">
        <f ca="1">IF(OR($I$10="",$O60="",$P60="",$J$40&lt;&gt;"Yes"),0,IF($K$10=0,SUMIFS(INDIRECT(ADDRESS(12,3+18*2+(5),,,"J1 A - (North) Bishopthorpe Roa")&amp;":"&amp;ADDRESS(130,3+18*2+(5))),'J1 A - (North) Bishopthorpe Roa'!$A$12:$A$130,"&gt;="&amp;Diagram!$O60,'J1 A - (North) Bishopthorpe Roa'!$A$12:$A$130,"&lt;"&amp;Diagram!$P60),SUMIFS(INDIRECT(ADDRESS(12,3+18*2+(13),,,"J1 A - (North) Bishopthorpe Roa")&amp;":"&amp;ADDRESS(130,3+18*2+(13))),'J1 A - (North) Bishopthorpe Roa'!$A$12:$A$130,"&gt;="&amp;Diagram!$O60,'J1 A - (North) Bishopthorpe Roa'!$A$12:$A$130,"&lt;"&amp;Diagram!$P60)))</f>
        <v>2</v>
      </c>
      <c r="DD60" s="42">
        <f ca="1">IF(OR($I$10="",$O60="",$P60="",$J$40&lt;&gt;"Yes"),0,IF($K$10=0,SUMIFS(INDIRECT(ADDRESS(12,3+18*2+(5),,,"J1 B - Butcher Terrace")&amp;":"&amp;ADDRESS(130,3+18*2+(5))),'J1 B - Butcher Terrace'!$A$12:$A$130,"&gt;="&amp;Diagram!$O60,'J1 B - Butcher Terrace'!$A$12:$A$130,"&lt;"&amp;Diagram!$P60),SUMIFS(INDIRECT(ADDRESS(12,3+18*2+(13),,,"J1 B - Butcher Terrace")&amp;":"&amp;ADDRESS(130,3+18*2+(13))),'J1 B - Butcher Terrace'!$A$12:$A$130,"&gt;="&amp;Diagram!$O60,'J1 B - Butcher Terrace'!$A$12:$A$130,"&lt;"&amp;Diagram!$P60)))</f>
        <v>13</v>
      </c>
      <c r="DE60" s="42">
        <f ca="1">IF(OR($I$10="",$O60="",$P60="",$J$40&lt;&gt;"Yes"),0,IF($K$10=0,SUMIFS(INDIRECT(ADDRESS(12,3+18*3+(5),,,"J1 B - Butcher Terrace")&amp;":"&amp;ADDRESS(130,3+18*3+(5))),'J1 B - Butcher Terrace'!$A$12:$A$130,"&gt;="&amp;Diagram!$O60,'J1 B - Butcher Terrace'!$A$12:$A$130,"&lt;"&amp;Diagram!$P60),SUMIFS(INDIRECT(ADDRESS(12,3+18*3+(13),,,"J1 B - Butcher Terrace")&amp;":"&amp;ADDRESS(130,3+18*3+(13))),'J1 B - Butcher Terrace'!$A$12:$A$130,"&gt;="&amp;Diagram!$O60,'J1 B - Butcher Terrace'!$A$12:$A$130,"&lt;"&amp;Diagram!$P60)))</f>
        <v>0</v>
      </c>
      <c r="DF60" s="42">
        <f ca="1">IF(OR($I$10="",$O60="",$P60="",$J$40&lt;&gt;"Yes"),0,IF($K$10=0,SUMIFS(INDIRECT(ADDRESS(12,3+18*0+(5),,,"J1 B - Butcher Terrace")&amp;":"&amp;ADDRESS(130,3+18*0+(5))),'J1 B - Butcher Terrace'!$A$12:$A$130,"&gt;="&amp;Diagram!$O60,'J1 B - Butcher Terrace'!$A$12:$A$130,"&lt;"&amp;Diagram!$P60),SUMIFS(INDIRECT(ADDRESS(12,3+18*0+(13),,,"J1 B - Butcher Terrace")&amp;":"&amp;ADDRESS(130,3+18*0+(13))),'J1 B - Butcher Terrace'!$A$12:$A$130,"&gt;="&amp;Diagram!$O60,'J1 B - Butcher Terrace'!$A$12:$A$130,"&lt;"&amp;Diagram!$P60)))</f>
        <v>10</v>
      </c>
      <c r="DG60" s="42">
        <f ca="1">IF(OR($I$10="",$O60="",$P60="",$J$40&lt;&gt;"Yes"),0,IF($K$10=0,SUMIFS(INDIRECT(ADDRESS(12,3+18*1+(5),,,"J1 B - Butcher Terrace")&amp;":"&amp;ADDRESS(130,3+18*1+(5))),'J1 B - Butcher Terrace'!$A$12:$A$130,"&gt;="&amp;Diagram!$O60,'J1 B - Butcher Terrace'!$A$12:$A$130,"&lt;"&amp;Diagram!$P60),SUMIFS(INDIRECT(ADDRESS(12,3+18*1+(13),,,"J1 B - Butcher Terrace")&amp;":"&amp;ADDRESS(130,3+18*1+(13))),'J1 B - Butcher Terrace'!$A$12:$A$130,"&gt;="&amp;Diagram!$O60,'J1 B - Butcher Terrace'!$A$12:$A$130,"&lt;"&amp;Diagram!$P60)))</f>
        <v>39</v>
      </c>
      <c r="DH60" s="42">
        <f ca="1">IF(OR($I$10="",$O60="",$P60="",$J$40&lt;&gt;"Yes"),0,IF($K$10=0,SUMIFS(INDIRECT(ADDRESS(12,3+18*1+(5),,,"J1 C - (South) Bishopthorpe Roa")&amp;":"&amp;ADDRESS(130,3+18*1+(5))),'J1 C - (South) Bishopthorpe Roa'!$A$12:$A$130,"&gt;="&amp;Diagram!$O60,'J1 C - (South) Bishopthorpe Roa'!$A$12:$A$130,"&lt;"&amp;Diagram!$P60),SUMIFS(INDIRECT(ADDRESS(12,3+18*1+(13),,,"J1 C - (South) Bishopthorpe Roa")&amp;":"&amp;ADDRESS(130,3+18*1+(13))),'J1 C - (South) Bishopthorpe Roa'!$A$12:$A$130,"&gt;="&amp;Diagram!$O60,'J1 C - (South) Bishopthorpe Roa'!$A$12:$A$130,"&lt;"&amp;Diagram!$P60)))</f>
        <v>16</v>
      </c>
      <c r="DI60" s="42">
        <f ca="1">IF(OR($I$10="",$O60="",$P60="",$J$40&lt;&gt;"Yes"),0,IF($K$10=0,SUMIFS(INDIRECT(ADDRESS(12,3+18*2+(5),,,"J1 C - (South) Bishopthorpe Roa")&amp;":"&amp;ADDRESS(130,3+18*2+(5))),'J1 C - (South) Bishopthorpe Roa'!$A$12:$A$130,"&gt;="&amp;Diagram!$O60,'J1 C - (South) Bishopthorpe Roa'!$A$12:$A$130,"&lt;"&amp;Diagram!$P60),SUMIFS(INDIRECT(ADDRESS(12,3+18*2+(13),,,"J1 C - (South) Bishopthorpe Roa")&amp;":"&amp;ADDRESS(130,3+18*2+(13))),'J1 C - (South) Bishopthorpe Roa'!$A$12:$A$130,"&gt;="&amp;Diagram!$O60,'J1 C - (South) Bishopthorpe Roa'!$A$12:$A$130,"&lt;"&amp;Diagram!$P60)))</f>
        <v>7</v>
      </c>
      <c r="DJ60" s="42">
        <f ca="1">IF(OR($I$10="",$O60="",$P60="",$J$40&lt;&gt;"Yes"),0,IF($K$10=0,SUMIFS(INDIRECT(ADDRESS(12,3+18*3+(5),,,"J1 C - (South) Bishopthorpe Roa")&amp;":"&amp;ADDRESS(130,3+18*3+(5))),'J1 C - (South) Bishopthorpe Roa'!$A$12:$A$130,"&gt;="&amp;Diagram!$O60,'J1 C - (South) Bishopthorpe Roa'!$A$12:$A$130,"&lt;"&amp;Diagram!$P60),SUMIFS(INDIRECT(ADDRESS(12,3+18*3+(13),,,"J1 C - (South) Bishopthorpe Roa")&amp;":"&amp;ADDRESS(130,3+18*3+(13))),'J1 C - (South) Bishopthorpe Roa'!$A$12:$A$130,"&gt;="&amp;Diagram!$O60,'J1 C - (South) Bishopthorpe Roa'!$A$12:$A$130,"&lt;"&amp;Diagram!$P60)))</f>
        <v>0</v>
      </c>
      <c r="DK60" s="42">
        <f ca="1">IF(OR($I$10="",$O60="",$P60="",$J$40&lt;&gt;"Yes"),0,IF($K$10=0,SUMIFS(INDIRECT(ADDRESS(12,3+18*0+(5),,,"J1 C - (South) Bishopthorpe Roa")&amp;":"&amp;ADDRESS(130,3+18*0+(5))),'J1 C - (South) Bishopthorpe Roa'!$A$12:$A$130,"&gt;="&amp;Diagram!$O60,'J1 C - (South) Bishopthorpe Roa'!$A$12:$A$130,"&lt;"&amp;Diagram!$P60),SUMIFS(INDIRECT(ADDRESS(12,3+18*0+(13),,,"J1 C - (South) Bishopthorpe Roa")&amp;":"&amp;ADDRESS(130,3+18*0+(13))),'J1 C - (South) Bishopthorpe Roa'!$A$12:$A$130,"&gt;="&amp;Diagram!$O60,'J1 C - (South) Bishopthorpe Roa'!$A$12:$A$130,"&lt;"&amp;Diagram!$P60)))</f>
        <v>1</v>
      </c>
      <c r="DL60" s="42">
        <f ca="1">IF(OR($I$10="",$O60="",$P60="",$J$40&lt;&gt;"Yes"),0,IF($K$10=0,SUMIFS(INDIRECT(ADDRESS(12,3+18*0+(5),,,"J1 D - South Bank Avenue")&amp;":"&amp;ADDRESS(130,3+18*0+(5))),'J1 D - South Bank Avenue'!$A$12:$A$130,"&gt;="&amp;Diagram!$O60,'J1 D - South Bank Avenue'!$A$12:$A$130,"&lt;"&amp;Diagram!$P60),SUMIFS(INDIRECT(ADDRESS(12,3+18*0+(13),,,"J1 D - South Bank Avenue")&amp;":"&amp;ADDRESS(130,3+18*0+(13))),'J1 D - South Bank Avenue'!$A$12:$A$130,"&gt;="&amp;Diagram!$O60,'J1 D - South Bank Avenue'!$A$12:$A$130,"&lt;"&amp;Diagram!$P60)))</f>
        <v>3</v>
      </c>
      <c r="DM60" s="42">
        <f ca="1">IF(OR($I$10="",$O60="",$P60="",$J$40&lt;&gt;"Yes"),0,IF($K$10=0,SUMIFS(INDIRECT(ADDRESS(12,3+18*1+(5),,,"J1 D - South Bank Avenue")&amp;":"&amp;ADDRESS(130,3+18*1+(5))),'J1 D - South Bank Avenue'!$A$12:$A$130,"&gt;="&amp;Diagram!$O60,'J1 D - South Bank Avenue'!$A$12:$A$130,"&lt;"&amp;Diagram!$P60),SUMIFS(INDIRECT(ADDRESS(12,3+18*1+(13),,,"J1 D - South Bank Avenue")&amp;":"&amp;ADDRESS(130,3+18*1+(13))),'J1 D - South Bank Avenue'!$A$12:$A$130,"&gt;="&amp;Diagram!$O60,'J1 D - South Bank Avenue'!$A$12:$A$130,"&lt;"&amp;Diagram!$P60)))</f>
        <v>6</v>
      </c>
      <c r="DN60" s="42">
        <f ca="1">IF(OR($I$10="",$O60="",$P60="",$J$40&lt;&gt;"Yes"),0,IF($K$10=0,SUMIFS(INDIRECT(ADDRESS(12,3+18*2+(5),,,"J1 D - South Bank Avenue")&amp;":"&amp;ADDRESS(130,3+18*2+(5))),'J1 D - South Bank Avenue'!$A$12:$A$130,"&gt;="&amp;Diagram!$O60,'J1 D - South Bank Avenue'!$A$12:$A$130,"&lt;"&amp;Diagram!$P60),SUMIFS(INDIRECT(ADDRESS(12,3+18*2+(13),,,"J1 D - South Bank Avenue")&amp;":"&amp;ADDRESS(130,3+18*2+(13))),'J1 D - South Bank Avenue'!$A$12:$A$130,"&gt;="&amp;Diagram!$O60,'J1 D - South Bank Avenue'!$A$12:$A$130,"&lt;"&amp;Diagram!$P60)))</f>
        <v>0</v>
      </c>
      <c r="DO60" s="42">
        <f ca="1">IF(OR($I$10="",$O60="",$P60="",$J$40&lt;&gt;"Yes"),0,IF($K$10=0,SUMIFS(INDIRECT(ADDRESS(12,3+18*3+(5),,,"J1 D - South Bank Avenue")&amp;":"&amp;ADDRESS(130,3+18*3+(5))),'J1 D - South Bank Avenue'!$A$12:$A$130,"&gt;="&amp;Diagram!$O60,'J1 D - South Bank Avenue'!$A$12:$A$130,"&lt;"&amp;Diagram!$P60),SUMIFS(INDIRECT(ADDRESS(12,3+18*3+(13),,,"J1 D - South Bank Avenue")&amp;":"&amp;ADDRESS(130,3+18*3+(13))),'J1 D - South Bank Avenue'!$A$12:$A$130,"&gt;="&amp;Diagram!$O60,'J1 D - South Bank Avenue'!$A$12:$A$130,"&lt;"&amp;Diagram!$P60)))</f>
        <v>0</v>
      </c>
      <c r="DP60" s="42">
        <f t="shared" ca="1" si="7"/>
        <v>8</v>
      </c>
      <c r="DQ60" s="42">
        <f ca="1">IF(OR($I$10="",$O60="",$P60="",$J$41&lt;&gt;"Yes"),0,IF($K$10=0,SUMIFS(INDIRECT(ADDRESS(12,3+18*3+(6),,,"J1 A - (North) Bishopthorpe Roa")&amp;":"&amp;ADDRESS(130,3+18*3+(6))),'J1 A - (North) Bishopthorpe Roa'!$A$12:$A$130,"&gt;="&amp;Diagram!$O60,'J1 A - (North) Bishopthorpe Roa'!$A$12:$A$130,"&lt;"&amp;Diagram!$P60),SUMIFS(INDIRECT(ADDRESS(12,3+18*3+(14),,,"J1 A - (North) Bishopthorpe Roa")&amp;":"&amp;ADDRESS(130,3+18*3+(14))),'J1 A - (North) Bishopthorpe Roa'!$A$12:$A$130,"&gt;="&amp;Diagram!$O60,'J1 A - (North) Bishopthorpe Roa'!$A$12:$A$130,"&lt;"&amp;Diagram!$P60)))</f>
        <v>0</v>
      </c>
      <c r="DR60" s="42">
        <f ca="1">IF(OR($I$10="",$O60="",$P60="",$J$41&lt;&gt;"Yes"),0,IF($K$10=0,SUMIFS(INDIRECT(ADDRESS(12,3+18*0+(6),,,"J1 A - (North) Bishopthorpe Roa")&amp;":"&amp;ADDRESS(130,3+18*0+(6))),'J1 A - (North) Bishopthorpe Roa'!$A$12:$A$130,"&gt;="&amp;Diagram!$O60,'J1 A - (North) Bishopthorpe Roa'!$A$12:$A$130,"&lt;"&amp;Diagram!$P60),SUMIFS(INDIRECT(ADDRESS(12,3+18*0+(14),,,"J1 A - (North) Bishopthorpe Roa")&amp;":"&amp;ADDRESS(130,3+18*0+(14))),'J1 A - (North) Bishopthorpe Roa'!$A$12:$A$130,"&gt;="&amp;Diagram!$O60,'J1 A - (North) Bishopthorpe Roa'!$A$12:$A$130,"&lt;"&amp;Diagram!$P60)))</f>
        <v>1</v>
      </c>
      <c r="DS60" s="42">
        <f ca="1">IF(OR($I$10="",$O60="",$P60="",$J$41&lt;&gt;"Yes"),0,IF($K$10=0,SUMIFS(INDIRECT(ADDRESS(12,3+18*1+(6),,,"J1 A - (North) Bishopthorpe Roa")&amp;":"&amp;ADDRESS(130,3+18*1+(6))),'J1 A - (North) Bishopthorpe Roa'!$A$12:$A$130,"&gt;="&amp;Diagram!$O60,'J1 A - (North) Bishopthorpe Roa'!$A$12:$A$130,"&lt;"&amp;Diagram!$P60),SUMIFS(INDIRECT(ADDRESS(12,3+18*1+(14),,,"J1 A - (North) Bishopthorpe Roa")&amp;":"&amp;ADDRESS(130,3+18*1+(14))),'J1 A - (North) Bishopthorpe Roa'!$A$12:$A$130,"&gt;="&amp;Diagram!$O60,'J1 A - (North) Bishopthorpe Roa'!$A$12:$A$130,"&lt;"&amp;Diagram!$P60)))</f>
        <v>3</v>
      </c>
      <c r="DT60" s="42">
        <f ca="1">IF(OR($I$10="",$O60="",$P60="",$J$41&lt;&gt;"Yes"),0,IF($K$10=0,SUMIFS(INDIRECT(ADDRESS(12,3+18*2+(6),,,"J1 A - (North) Bishopthorpe Roa")&amp;":"&amp;ADDRESS(130,3+18*2+(6))),'J1 A - (North) Bishopthorpe Roa'!$A$12:$A$130,"&gt;="&amp;Diagram!$O60,'J1 A - (North) Bishopthorpe Roa'!$A$12:$A$130,"&lt;"&amp;Diagram!$P60),SUMIFS(INDIRECT(ADDRESS(12,3+18*2+(14),,,"J1 A - (North) Bishopthorpe Roa")&amp;":"&amp;ADDRESS(130,3+18*2+(14))),'J1 A - (North) Bishopthorpe Roa'!$A$12:$A$130,"&gt;="&amp;Diagram!$O60,'J1 A - (North) Bishopthorpe Roa'!$A$12:$A$130,"&lt;"&amp;Diagram!$P60)))</f>
        <v>1</v>
      </c>
      <c r="DU60" s="42">
        <f ca="1">IF(OR($I$10="",$O60="",$P60="",$J$41&lt;&gt;"Yes"),0,IF($K$10=0,SUMIFS(INDIRECT(ADDRESS(12,3+18*2+(6),,,"J1 B - Butcher Terrace")&amp;":"&amp;ADDRESS(130,3+18*2+(6))),'J1 B - Butcher Terrace'!$A$12:$A$130,"&gt;="&amp;Diagram!$O60,'J1 B - Butcher Terrace'!$A$12:$A$130,"&lt;"&amp;Diagram!$P60),SUMIFS(INDIRECT(ADDRESS(12,3+18*2+(14),,,"J1 B - Butcher Terrace")&amp;":"&amp;ADDRESS(130,3+18*2+(14))),'J1 B - Butcher Terrace'!$A$12:$A$130,"&gt;="&amp;Diagram!$O60,'J1 B - Butcher Terrace'!$A$12:$A$130,"&lt;"&amp;Diagram!$P60)))</f>
        <v>0</v>
      </c>
      <c r="DV60" s="42">
        <f ca="1">IF(OR($I$10="",$O60="",$P60="",$J$41&lt;&gt;"Yes"),0,IF($K$10=0,SUMIFS(INDIRECT(ADDRESS(12,3+18*3+(6),,,"J1 B - Butcher Terrace")&amp;":"&amp;ADDRESS(130,3+18*3+(6))),'J1 B - Butcher Terrace'!$A$12:$A$130,"&gt;="&amp;Diagram!$O60,'J1 B - Butcher Terrace'!$A$12:$A$130,"&lt;"&amp;Diagram!$P60),SUMIFS(INDIRECT(ADDRESS(12,3+18*3+(14),,,"J1 B - Butcher Terrace")&amp;":"&amp;ADDRESS(130,3+18*3+(14))),'J1 B - Butcher Terrace'!$A$12:$A$130,"&gt;="&amp;Diagram!$O60,'J1 B - Butcher Terrace'!$A$12:$A$130,"&lt;"&amp;Diagram!$P60)))</f>
        <v>0</v>
      </c>
      <c r="DW60" s="42">
        <f ca="1">IF(OR($I$10="",$O60="",$P60="",$J$41&lt;&gt;"Yes"),0,IF($K$10=0,SUMIFS(INDIRECT(ADDRESS(12,3+18*0+(6),,,"J1 B - Butcher Terrace")&amp;":"&amp;ADDRESS(130,3+18*0+(6))),'J1 B - Butcher Terrace'!$A$12:$A$130,"&gt;="&amp;Diagram!$O60,'J1 B - Butcher Terrace'!$A$12:$A$130,"&lt;"&amp;Diagram!$P60),SUMIFS(INDIRECT(ADDRESS(12,3+18*0+(14),,,"J1 B - Butcher Terrace")&amp;":"&amp;ADDRESS(130,3+18*0+(14))),'J1 B - Butcher Terrace'!$A$12:$A$130,"&gt;="&amp;Diagram!$O60,'J1 B - Butcher Terrace'!$A$12:$A$130,"&lt;"&amp;Diagram!$P60)))</f>
        <v>1</v>
      </c>
      <c r="DX60" s="42">
        <f ca="1">IF(OR($I$10="",$O60="",$P60="",$J$41&lt;&gt;"Yes"),0,IF($K$10=0,SUMIFS(INDIRECT(ADDRESS(12,3+18*1+(6),,,"J1 B - Butcher Terrace")&amp;":"&amp;ADDRESS(130,3+18*1+(6))),'J1 B - Butcher Terrace'!$A$12:$A$130,"&gt;="&amp;Diagram!$O60,'J1 B - Butcher Terrace'!$A$12:$A$130,"&lt;"&amp;Diagram!$P60),SUMIFS(INDIRECT(ADDRESS(12,3+18*1+(14),,,"J1 B - Butcher Terrace")&amp;":"&amp;ADDRESS(130,3+18*1+(14))),'J1 B - Butcher Terrace'!$A$12:$A$130,"&gt;="&amp;Diagram!$O60,'J1 B - Butcher Terrace'!$A$12:$A$130,"&lt;"&amp;Diagram!$P60)))</f>
        <v>0</v>
      </c>
      <c r="DY60" s="42">
        <f ca="1">IF(OR($I$10="",$O60="",$P60="",$J$41&lt;&gt;"Yes"),0,IF($K$10=0,SUMIFS(INDIRECT(ADDRESS(12,3+18*1+(6),,,"J1 C - (South) Bishopthorpe Roa")&amp;":"&amp;ADDRESS(130,3+18*1+(6))),'J1 C - (South) Bishopthorpe Roa'!$A$12:$A$130,"&gt;="&amp;Diagram!$O60,'J1 C - (South) Bishopthorpe Roa'!$A$12:$A$130,"&lt;"&amp;Diagram!$P60),SUMIFS(INDIRECT(ADDRESS(12,3+18*1+(14),,,"J1 C - (South) Bishopthorpe Roa")&amp;":"&amp;ADDRESS(130,3+18*1+(14))),'J1 C - (South) Bishopthorpe Roa'!$A$12:$A$130,"&gt;="&amp;Diagram!$O60,'J1 C - (South) Bishopthorpe Roa'!$A$12:$A$130,"&lt;"&amp;Diagram!$P60)))</f>
        <v>1</v>
      </c>
      <c r="DZ60" s="42">
        <f ca="1">IF(OR($I$10="",$O60="",$P60="",$J$41&lt;&gt;"Yes"),0,IF($K$10=0,SUMIFS(INDIRECT(ADDRESS(12,3+18*2+(6),,,"J1 C - (South) Bishopthorpe Roa")&amp;":"&amp;ADDRESS(130,3+18*2+(6))),'J1 C - (South) Bishopthorpe Roa'!$A$12:$A$130,"&gt;="&amp;Diagram!$O60,'J1 C - (South) Bishopthorpe Roa'!$A$12:$A$130,"&lt;"&amp;Diagram!$P60),SUMIFS(INDIRECT(ADDRESS(12,3+18*2+(14),,,"J1 C - (South) Bishopthorpe Roa")&amp;":"&amp;ADDRESS(130,3+18*2+(14))),'J1 C - (South) Bishopthorpe Roa'!$A$12:$A$130,"&gt;="&amp;Diagram!$O60,'J1 C - (South) Bishopthorpe Roa'!$A$12:$A$130,"&lt;"&amp;Diagram!$P60)))</f>
        <v>0</v>
      </c>
      <c r="EA60" s="42">
        <f ca="1">IF(OR($I$10="",$O60="",$P60="",$J$41&lt;&gt;"Yes"),0,IF($K$10=0,SUMIFS(INDIRECT(ADDRESS(12,3+18*3+(6),,,"J1 C - (South) Bishopthorpe Roa")&amp;":"&amp;ADDRESS(130,3+18*3+(6))),'J1 C - (South) Bishopthorpe Roa'!$A$12:$A$130,"&gt;="&amp;Diagram!$O60,'J1 C - (South) Bishopthorpe Roa'!$A$12:$A$130,"&lt;"&amp;Diagram!$P60),SUMIFS(INDIRECT(ADDRESS(12,3+18*3+(14),,,"J1 C - (South) Bishopthorpe Roa")&amp;":"&amp;ADDRESS(130,3+18*3+(14))),'J1 C - (South) Bishopthorpe Roa'!$A$12:$A$130,"&gt;="&amp;Diagram!$O60,'J1 C - (South) Bishopthorpe Roa'!$A$12:$A$130,"&lt;"&amp;Diagram!$P60)))</f>
        <v>0</v>
      </c>
      <c r="EB60" s="42">
        <f ca="1">IF(OR($I$10="",$O60="",$P60="",$J$41&lt;&gt;"Yes"),0,IF($K$10=0,SUMIFS(INDIRECT(ADDRESS(12,3+18*0+(6),,,"J1 C - (South) Bishopthorpe Roa")&amp;":"&amp;ADDRESS(130,3+18*0+(6))),'J1 C - (South) Bishopthorpe Roa'!$A$12:$A$130,"&gt;="&amp;Diagram!$O60,'J1 C - (South) Bishopthorpe Roa'!$A$12:$A$130,"&lt;"&amp;Diagram!$P60),SUMIFS(INDIRECT(ADDRESS(12,3+18*0+(14),,,"J1 C - (South) Bishopthorpe Roa")&amp;":"&amp;ADDRESS(130,3+18*0+(14))),'J1 C - (South) Bishopthorpe Roa'!$A$12:$A$130,"&gt;="&amp;Diagram!$O60,'J1 C - (South) Bishopthorpe Roa'!$A$12:$A$130,"&lt;"&amp;Diagram!$P60)))</f>
        <v>0</v>
      </c>
      <c r="EC60" s="42">
        <f ca="1">IF(OR($I$10="",$O60="",$P60="",$J$41&lt;&gt;"Yes"),0,IF($K$10=0,SUMIFS(INDIRECT(ADDRESS(12,3+18*0+(6),,,"J1 D - South Bank Avenue")&amp;":"&amp;ADDRESS(130,3+18*0+(6))),'J1 D - South Bank Avenue'!$A$12:$A$130,"&gt;="&amp;Diagram!$O60,'J1 D - South Bank Avenue'!$A$12:$A$130,"&lt;"&amp;Diagram!$P60),SUMIFS(INDIRECT(ADDRESS(12,3+18*0+(14),,,"J1 D - South Bank Avenue")&amp;":"&amp;ADDRESS(130,3+18*0+(14))),'J1 D - South Bank Avenue'!$A$12:$A$130,"&gt;="&amp;Diagram!$O60,'J1 D - South Bank Avenue'!$A$12:$A$130,"&lt;"&amp;Diagram!$P60)))</f>
        <v>0</v>
      </c>
      <c r="ED60" s="42">
        <f ca="1">IF(OR($I$10="",$O60="",$P60="",$J$41&lt;&gt;"Yes"),0,IF($K$10=0,SUMIFS(INDIRECT(ADDRESS(12,3+18*1+(6),,,"J1 D - South Bank Avenue")&amp;":"&amp;ADDRESS(130,3+18*1+(6))),'J1 D - South Bank Avenue'!$A$12:$A$130,"&gt;="&amp;Diagram!$O60,'J1 D - South Bank Avenue'!$A$12:$A$130,"&lt;"&amp;Diagram!$P60),SUMIFS(INDIRECT(ADDRESS(12,3+18*1+(14),,,"J1 D - South Bank Avenue")&amp;":"&amp;ADDRESS(130,3+18*1+(14))),'J1 D - South Bank Avenue'!$A$12:$A$130,"&gt;="&amp;Diagram!$O60,'J1 D - South Bank Avenue'!$A$12:$A$130,"&lt;"&amp;Diagram!$P60)))</f>
        <v>1</v>
      </c>
      <c r="EE60" s="42">
        <f ca="1">IF(OR($I$10="",$O60="",$P60="",$J$41&lt;&gt;"Yes"),0,IF($K$10=0,SUMIFS(INDIRECT(ADDRESS(12,3+18*2+(6),,,"J1 D - South Bank Avenue")&amp;":"&amp;ADDRESS(130,3+18*2+(6))),'J1 D - South Bank Avenue'!$A$12:$A$130,"&gt;="&amp;Diagram!$O60,'J1 D - South Bank Avenue'!$A$12:$A$130,"&lt;"&amp;Diagram!$P60),SUMIFS(INDIRECT(ADDRESS(12,3+18*2+(14),,,"J1 D - South Bank Avenue")&amp;":"&amp;ADDRESS(130,3+18*2+(14))),'J1 D - South Bank Avenue'!$A$12:$A$130,"&gt;="&amp;Diagram!$O60,'J1 D - South Bank Avenue'!$A$12:$A$130,"&lt;"&amp;Diagram!$P60)))</f>
        <v>0</v>
      </c>
      <c r="EF60" s="42">
        <f ca="1">IF(OR($I$10="",$O60="",$P60="",$J$41&lt;&gt;"Yes"),0,IF($K$10=0,SUMIFS(INDIRECT(ADDRESS(12,3+18*3+(6),,,"J1 D - South Bank Avenue")&amp;":"&amp;ADDRESS(130,3+18*3+(6))),'J1 D - South Bank Avenue'!$A$12:$A$130,"&gt;="&amp;Diagram!$O60,'J1 D - South Bank Avenue'!$A$12:$A$130,"&lt;"&amp;Diagram!$P60),SUMIFS(INDIRECT(ADDRESS(12,3+18*3+(14),,,"J1 D - South Bank Avenue")&amp;":"&amp;ADDRESS(130,3+18*3+(14))),'J1 D - South Bank Avenue'!$A$12:$A$130,"&gt;="&amp;Diagram!$O60,'J1 D - South Bank Avenue'!$A$12:$A$130,"&lt;"&amp;Diagram!$P60)))</f>
        <v>0</v>
      </c>
      <c r="EG60" s="42">
        <f t="shared" ca="1" si="8"/>
        <v>3</v>
      </c>
      <c r="EH60" s="42">
        <f ca="1">IF(OR($I$10="",$O60="",$P60="",$J$42&lt;&gt;"Yes"),0,IF($K$10=0,SUMIFS(INDIRECT(ADDRESS(12,3+18*3+(7),,,"J1 A - (North) Bishopthorpe Roa")&amp;":"&amp;ADDRESS(130,3+18*3+(7))),'J1 A - (North) Bishopthorpe Roa'!$A$12:$A$130,"&gt;="&amp;Diagram!$O60,'J1 A - (North) Bishopthorpe Roa'!$A$12:$A$130,"&lt;"&amp;Diagram!$P60),SUMIFS(INDIRECT(ADDRESS(12,3+18*3+(15),,,"J1 A - (North) Bishopthorpe Roa")&amp;":"&amp;ADDRESS(130,3+18*3+(15))),'J1 A - (North) Bishopthorpe Roa'!$A$12:$A$130,"&gt;="&amp;Diagram!$O60,'J1 A - (North) Bishopthorpe Roa'!$A$12:$A$130,"&lt;"&amp;Diagram!$P60)))</f>
        <v>0</v>
      </c>
      <c r="EI60" s="42">
        <f ca="1">IF(OR($I$10="",$O60="",$P60="",$J$42&lt;&gt;"Yes"),0,IF($K$10=0,SUMIFS(INDIRECT(ADDRESS(12,3+18*0+(7),,,"J1 A - (North) Bishopthorpe Roa")&amp;":"&amp;ADDRESS(130,3+18*0+(7))),'J1 A - (North) Bishopthorpe Roa'!$A$12:$A$130,"&gt;="&amp;Diagram!$O60,'J1 A - (North) Bishopthorpe Roa'!$A$12:$A$130,"&lt;"&amp;Diagram!$P60),SUMIFS(INDIRECT(ADDRESS(12,3+18*0+(15),,,"J1 A - (North) Bishopthorpe Roa")&amp;":"&amp;ADDRESS(130,3+18*0+(15))),'J1 A - (North) Bishopthorpe Roa'!$A$12:$A$130,"&gt;="&amp;Diagram!$O60,'J1 A - (North) Bishopthorpe Roa'!$A$12:$A$130,"&lt;"&amp;Diagram!$P60)))</f>
        <v>2</v>
      </c>
      <c r="EJ60" s="42">
        <f ca="1">IF(OR($I$10="",$O60="",$P60="",$J$42&lt;&gt;"Yes"),0,IF($K$10=0,SUMIFS(INDIRECT(ADDRESS(12,3+18*1+(7),,,"J1 A - (North) Bishopthorpe Roa")&amp;":"&amp;ADDRESS(130,3+18*1+(7))),'J1 A - (North) Bishopthorpe Roa'!$A$12:$A$130,"&gt;="&amp;Diagram!$O60,'J1 A - (North) Bishopthorpe Roa'!$A$12:$A$130,"&lt;"&amp;Diagram!$P60),SUMIFS(INDIRECT(ADDRESS(12,3+18*1+(15),,,"J1 A - (North) Bishopthorpe Roa")&amp;":"&amp;ADDRESS(130,3+18*1+(15))),'J1 A - (North) Bishopthorpe Roa'!$A$12:$A$130,"&gt;="&amp;Diagram!$O60,'J1 A - (North) Bishopthorpe Roa'!$A$12:$A$130,"&lt;"&amp;Diagram!$P60)))</f>
        <v>0</v>
      </c>
      <c r="EK60" s="42">
        <f ca="1">IF(OR($I$10="",$O60="",$P60="",$J$42&lt;&gt;"Yes"),0,IF($K$10=0,SUMIFS(INDIRECT(ADDRESS(12,3+18*2+(7),,,"J1 A - (North) Bishopthorpe Roa")&amp;":"&amp;ADDRESS(130,3+18*2+(7))),'J1 A - (North) Bishopthorpe Roa'!$A$12:$A$130,"&gt;="&amp;Diagram!$O60,'J1 A - (North) Bishopthorpe Roa'!$A$12:$A$130,"&lt;"&amp;Diagram!$P60),SUMIFS(INDIRECT(ADDRESS(12,3+18*2+(15),,,"J1 A - (North) Bishopthorpe Roa")&amp;":"&amp;ADDRESS(130,3+18*2+(15))),'J1 A - (North) Bishopthorpe Roa'!$A$12:$A$130,"&gt;="&amp;Diagram!$O60,'J1 A - (North) Bishopthorpe Roa'!$A$12:$A$130,"&lt;"&amp;Diagram!$P60)))</f>
        <v>0</v>
      </c>
      <c r="EL60" s="42">
        <f ca="1">IF(OR($I$10="",$O60="",$P60="",$J$42&lt;&gt;"Yes"),0,IF($K$10=0,SUMIFS(INDIRECT(ADDRESS(12,3+18*2+(7),,,"J1 B - Butcher Terrace")&amp;":"&amp;ADDRESS(130,3+18*2+(7))),'J1 B - Butcher Terrace'!$A$12:$A$130,"&gt;="&amp;Diagram!$O60,'J1 B - Butcher Terrace'!$A$12:$A$130,"&lt;"&amp;Diagram!$P60),SUMIFS(INDIRECT(ADDRESS(12,3+18*2+(15),,,"J1 B - Butcher Terrace")&amp;":"&amp;ADDRESS(130,3+18*2+(15))),'J1 B - Butcher Terrace'!$A$12:$A$130,"&gt;="&amp;Diagram!$O60,'J1 B - Butcher Terrace'!$A$12:$A$130,"&lt;"&amp;Diagram!$P60)))</f>
        <v>0</v>
      </c>
      <c r="EM60" s="42">
        <f ca="1">IF(OR($I$10="",$O60="",$P60="",$J$42&lt;&gt;"Yes"),0,IF($K$10=0,SUMIFS(INDIRECT(ADDRESS(12,3+18*3+(7),,,"J1 B - Butcher Terrace")&amp;":"&amp;ADDRESS(130,3+18*3+(7))),'J1 B - Butcher Terrace'!$A$12:$A$130,"&gt;="&amp;Diagram!$O60,'J1 B - Butcher Terrace'!$A$12:$A$130,"&lt;"&amp;Diagram!$P60),SUMIFS(INDIRECT(ADDRESS(12,3+18*3+(15),,,"J1 B - Butcher Terrace")&amp;":"&amp;ADDRESS(130,3+18*3+(15))),'J1 B - Butcher Terrace'!$A$12:$A$130,"&gt;="&amp;Diagram!$O60,'J1 B - Butcher Terrace'!$A$12:$A$130,"&lt;"&amp;Diagram!$P60)))</f>
        <v>0</v>
      </c>
      <c r="EN60" s="42">
        <f ca="1">IF(OR($I$10="",$O60="",$P60="",$J$42&lt;&gt;"Yes"),0,IF($K$10=0,SUMIFS(INDIRECT(ADDRESS(12,3+18*0+(7),,,"J1 B - Butcher Terrace")&amp;":"&amp;ADDRESS(130,3+18*0+(7))),'J1 B - Butcher Terrace'!$A$12:$A$130,"&gt;="&amp;Diagram!$O60,'J1 B - Butcher Terrace'!$A$12:$A$130,"&lt;"&amp;Diagram!$P60),SUMIFS(INDIRECT(ADDRESS(12,3+18*0+(15),,,"J1 B - Butcher Terrace")&amp;":"&amp;ADDRESS(130,3+18*0+(15))),'J1 B - Butcher Terrace'!$A$12:$A$130,"&gt;="&amp;Diagram!$O60,'J1 B - Butcher Terrace'!$A$12:$A$130,"&lt;"&amp;Diagram!$P60)))</f>
        <v>0</v>
      </c>
      <c r="EO60" s="42">
        <f ca="1">IF(OR($I$10="",$O60="",$P60="",$J$42&lt;&gt;"Yes"),0,IF($K$10=0,SUMIFS(INDIRECT(ADDRESS(12,3+18*1+(7),,,"J1 B - Butcher Terrace")&amp;":"&amp;ADDRESS(130,3+18*1+(7))),'J1 B - Butcher Terrace'!$A$12:$A$130,"&gt;="&amp;Diagram!$O60,'J1 B - Butcher Terrace'!$A$12:$A$130,"&lt;"&amp;Diagram!$P60),SUMIFS(INDIRECT(ADDRESS(12,3+18*1+(15),,,"J1 B - Butcher Terrace")&amp;":"&amp;ADDRESS(130,3+18*1+(15))),'J1 B - Butcher Terrace'!$A$12:$A$130,"&gt;="&amp;Diagram!$O60,'J1 B - Butcher Terrace'!$A$12:$A$130,"&lt;"&amp;Diagram!$P60)))</f>
        <v>0</v>
      </c>
      <c r="EP60" s="42">
        <f ca="1">IF(OR($I$10="",$O60="",$P60="",$J$42&lt;&gt;"Yes"),0,IF($K$10=0,SUMIFS(INDIRECT(ADDRESS(12,3+18*1+(7),,,"J1 C - (South) Bishopthorpe Roa")&amp;":"&amp;ADDRESS(130,3+18*1+(7))),'J1 C - (South) Bishopthorpe Roa'!$A$12:$A$130,"&gt;="&amp;Diagram!$O60,'J1 C - (South) Bishopthorpe Roa'!$A$12:$A$130,"&lt;"&amp;Diagram!$P60),SUMIFS(INDIRECT(ADDRESS(12,3+18*1+(15),,,"J1 C - (South) Bishopthorpe Roa")&amp;":"&amp;ADDRESS(130,3+18*1+(15))),'J1 C - (South) Bishopthorpe Roa'!$A$12:$A$130,"&gt;="&amp;Diagram!$O60,'J1 C - (South) Bishopthorpe Roa'!$A$12:$A$130,"&lt;"&amp;Diagram!$P60)))</f>
        <v>0</v>
      </c>
      <c r="EQ60" s="42">
        <f ca="1">IF(OR($I$10="",$O60="",$P60="",$J$42&lt;&gt;"Yes"),0,IF($K$10=0,SUMIFS(INDIRECT(ADDRESS(12,3+18*2+(7),,,"J1 C - (South) Bishopthorpe Roa")&amp;":"&amp;ADDRESS(130,3+18*2+(7))),'J1 C - (South) Bishopthorpe Roa'!$A$12:$A$130,"&gt;="&amp;Diagram!$O60,'J1 C - (South) Bishopthorpe Roa'!$A$12:$A$130,"&lt;"&amp;Diagram!$P60),SUMIFS(INDIRECT(ADDRESS(12,3+18*2+(15),,,"J1 C - (South) Bishopthorpe Roa")&amp;":"&amp;ADDRESS(130,3+18*2+(15))),'J1 C - (South) Bishopthorpe Roa'!$A$12:$A$130,"&gt;="&amp;Diagram!$O60,'J1 C - (South) Bishopthorpe Roa'!$A$12:$A$130,"&lt;"&amp;Diagram!$P60)))</f>
        <v>1</v>
      </c>
      <c r="ER60" s="42">
        <f ca="1">IF(OR($I$10="",$O60="",$P60="",$J$42&lt;&gt;"Yes"),0,IF($K$10=0,SUMIFS(INDIRECT(ADDRESS(12,3+18*3+(7),,,"J1 C - (South) Bishopthorpe Roa")&amp;":"&amp;ADDRESS(130,3+18*3+(7))),'J1 C - (South) Bishopthorpe Roa'!$A$12:$A$130,"&gt;="&amp;Diagram!$O60,'J1 C - (South) Bishopthorpe Roa'!$A$12:$A$130,"&lt;"&amp;Diagram!$P60),SUMIFS(INDIRECT(ADDRESS(12,3+18*3+(15),,,"J1 C - (South) Bishopthorpe Roa")&amp;":"&amp;ADDRESS(130,3+18*3+(15))),'J1 C - (South) Bishopthorpe Roa'!$A$12:$A$130,"&gt;="&amp;Diagram!$O60,'J1 C - (South) Bishopthorpe Roa'!$A$12:$A$130,"&lt;"&amp;Diagram!$P60)))</f>
        <v>0</v>
      </c>
      <c r="ES60" s="42">
        <f ca="1">IF(OR($I$10="",$O60="",$P60="",$J$42&lt;&gt;"Yes"),0,IF($K$10=0,SUMIFS(INDIRECT(ADDRESS(12,3+18*0+(7),,,"J1 C - (South) Bishopthorpe Roa")&amp;":"&amp;ADDRESS(130,3+18*0+(7))),'J1 C - (South) Bishopthorpe Roa'!$A$12:$A$130,"&gt;="&amp;Diagram!$O60,'J1 C - (South) Bishopthorpe Roa'!$A$12:$A$130,"&lt;"&amp;Diagram!$P60),SUMIFS(INDIRECT(ADDRESS(12,3+18*0+(15),,,"J1 C - (South) Bishopthorpe Roa")&amp;":"&amp;ADDRESS(130,3+18*0+(15))),'J1 C - (South) Bishopthorpe Roa'!$A$12:$A$130,"&gt;="&amp;Diagram!$O60,'J1 C - (South) Bishopthorpe Roa'!$A$12:$A$130,"&lt;"&amp;Diagram!$P60)))</f>
        <v>0</v>
      </c>
      <c r="ET60" s="42">
        <f ca="1">IF(OR($I$10="",$O60="",$P60="",$J$42&lt;&gt;"Yes"),0,IF($K$10=0,SUMIFS(INDIRECT(ADDRESS(12,3+18*0+(7),,,"J1 D - South Bank Avenue")&amp;":"&amp;ADDRESS(130,3+18*0+(7))),'J1 D - South Bank Avenue'!$A$12:$A$130,"&gt;="&amp;Diagram!$O60,'J1 D - South Bank Avenue'!$A$12:$A$130,"&lt;"&amp;Diagram!$P60),SUMIFS(INDIRECT(ADDRESS(12,3+18*0+(15),,,"J1 D - South Bank Avenue")&amp;":"&amp;ADDRESS(130,3+18*0+(15))),'J1 D - South Bank Avenue'!$A$12:$A$130,"&gt;="&amp;Diagram!$O60,'J1 D - South Bank Avenue'!$A$12:$A$130,"&lt;"&amp;Diagram!$P60)))</f>
        <v>0</v>
      </c>
      <c r="EU60" s="42">
        <f ca="1">IF(OR($I$10="",$O60="",$P60="",$J$42&lt;&gt;"Yes"),0,IF($K$10=0,SUMIFS(INDIRECT(ADDRESS(12,3+18*1+(7),,,"J1 D - South Bank Avenue")&amp;":"&amp;ADDRESS(130,3+18*1+(7))),'J1 D - South Bank Avenue'!$A$12:$A$130,"&gt;="&amp;Diagram!$O60,'J1 D - South Bank Avenue'!$A$12:$A$130,"&lt;"&amp;Diagram!$P60),SUMIFS(INDIRECT(ADDRESS(12,3+18*1+(15),,,"J1 D - South Bank Avenue")&amp;":"&amp;ADDRESS(130,3+18*1+(15))),'J1 D - South Bank Avenue'!$A$12:$A$130,"&gt;="&amp;Diagram!$O60,'J1 D - South Bank Avenue'!$A$12:$A$130,"&lt;"&amp;Diagram!$P60)))</f>
        <v>0</v>
      </c>
      <c r="EV60" s="42">
        <f ca="1">IF(OR($I$10="",$O60="",$P60="",$J$42&lt;&gt;"Yes"),0,IF($K$10=0,SUMIFS(INDIRECT(ADDRESS(12,3+18*2+(7),,,"J1 D - South Bank Avenue")&amp;":"&amp;ADDRESS(130,3+18*2+(7))),'J1 D - South Bank Avenue'!$A$12:$A$130,"&gt;="&amp;Diagram!$O60,'J1 D - South Bank Avenue'!$A$12:$A$130,"&lt;"&amp;Diagram!$P60),SUMIFS(INDIRECT(ADDRESS(12,3+18*2+(15),,,"J1 D - South Bank Avenue")&amp;":"&amp;ADDRESS(130,3+18*2+(15))),'J1 D - South Bank Avenue'!$A$12:$A$130,"&gt;="&amp;Diagram!$O60,'J1 D - South Bank Avenue'!$A$12:$A$130,"&lt;"&amp;Diagram!$P60)))</f>
        <v>0</v>
      </c>
      <c r="EW60" s="42">
        <f ca="1">IF(OR($I$10="",$O60="",$P60="",$J$42&lt;&gt;"Yes"),0,IF($K$10=0,SUMIFS(INDIRECT(ADDRESS(12,3+18*3+(7),,,"J1 D - South Bank Avenue")&amp;":"&amp;ADDRESS(130,3+18*3+(7))),'J1 D - South Bank Avenue'!$A$12:$A$130,"&gt;="&amp;Diagram!$O60,'J1 D - South Bank Avenue'!$A$12:$A$130,"&lt;"&amp;Diagram!$P60),SUMIFS(INDIRECT(ADDRESS(12,3+18*3+(15),,,"J1 D - South Bank Avenue")&amp;":"&amp;ADDRESS(130,3+18*3+(15))),'J1 D - South Bank Avenue'!$A$12:$A$130,"&gt;="&amp;Diagram!$O60,'J1 D - South Bank Avenue'!$A$12:$A$130,"&lt;"&amp;Diagram!$P60)))</f>
        <v>0</v>
      </c>
    </row>
    <row r="61" spans="1:153">
      <c r="A61" s="1">
        <v>44395.625</v>
      </c>
      <c r="B61" s="1">
        <v>44395.635416666701</v>
      </c>
      <c r="O61" s="3">
        <v>44395.625</v>
      </c>
      <c r="P61" s="3">
        <v>44395.666666666701</v>
      </c>
      <c r="Q61" s="42">
        <f t="shared" ca="1" si="0"/>
        <v>795</v>
      </c>
      <c r="R61" s="42">
        <f t="shared" ca="1" si="1"/>
        <v>571</v>
      </c>
      <c r="S61" s="42">
        <f ca="1">IF(OR($I$10="",$O61="",$P61="",$J$35&lt;&gt;"Yes"),0,IF($K$10=0,SUMIFS(INDIRECT(ADDRESS(12,3+18*3+(0),,,"J1 A - (North) Bishopthorpe Roa")&amp;":"&amp;ADDRESS(130,3+18*3+(0))),'J1 A - (North) Bishopthorpe Roa'!$A$12:$A$130,"&gt;="&amp;Diagram!$O61,'J1 A - (North) Bishopthorpe Roa'!$A$12:$A$130,"&lt;"&amp;Diagram!$P61),SUMIFS(INDIRECT(ADDRESS(12,3+18*3+(8),,,"J1 A - (North) Bishopthorpe Roa")&amp;":"&amp;ADDRESS(130,3+18*3+(8))),'J1 A - (North) Bishopthorpe Roa'!$A$12:$A$130,"&gt;="&amp;Diagram!$O61,'J1 A - (North) Bishopthorpe Roa'!$A$12:$A$130,"&lt;"&amp;Diagram!$P61)))</f>
        <v>1</v>
      </c>
      <c r="T61" s="42">
        <f ca="1">IF(OR($I$10="",$O61="",$P61="",$J$35&lt;&gt;"Yes"),0,IF($K$10=0,SUMIFS(INDIRECT(ADDRESS(12,3+18*0+(0),,,"J1 A - (North) Bishopthorpe Roa")&amp;":"&amp;ADDRESS(130,3+18*0+(0))),'J1 A - (North) Bishopthorpe Roa'!$A$12:$A$130,"&gt;="&amp;Diagram!$O61,'J1 A - (North) Bishopthorpe Roa'!$A$12:$A$130,"&lt;"&amp;Diagram!$P61),SUMIFS(INDIRECT(ADDRESS(12,3+18*0+(8),,,"J1 A - (North) Bishopthorpe Roa")&amp;":"&amp;ADDRESS(130,3+18*0+(8))),'J1 A - (North) Bishopthorpe Roa'!$A$12:$A$130,"&gt;="&amp;Diagram!$O61,'J1 A - (North) Bishopthorpe Roa'!$A$12:$A$130,"&lt;"&amp;Diagram!$P61)))</f>
        <v>26</v>
      </c>
      <c r="U61" s="42">
        <f ca="1">IF(OR($I$10="",$O61="",$P61="",$J$35&lt;&gt;"Yes"),0,IF($K$10=0,SUMIFS(INDIRECT(ADDRESS(12,3+18*1+(0),,,"J1 A - (North) Bishopthorpe Roa")&amp;":"&amp;ADDRESS(130,3+18*1+(0))),'J1 A - (North) Bishopthorpe Roa'!$A$12:$A$130,"&gt;="&amp;Diagram!$O61,'J1 A - (North) Bishopthorpe Roa'!$A$12:$A$130,"&lt;"&amp;Diagram!$P61),SUMIFS(INDIRECT(ADDRESS(12,3+18*1+(8),,,"J1 A - (North) Bishopthorpe Roa")&amp;":"&amp;ADDRESS(130,3+18*1+(8))),'J1 A - (North) Bishopthorpe Roa'!$A$12:$A$130,"&gt;="&amp;Diagram!$O61,'J1 A - (North) Bishopthorpe Roa'!$A$12:$A$130,"&lt;"&amp;Diagram!$P61)))</f>
        <v>243</v>
      </c>
      <c r="V61" s="42">
        <f ca="1">IF(OR($I$10="",$O61="",$P61="",$J$35&lt;&gt;"Yes"),0,IF($K$10=0,SUMIFS(INDIRECT(ADDRESS(12,3+18*2+(0),,,"J1 A - (North) Bishopthorpe Roa")&amp;":"&amp;ADDRESS(130,3+18*2+(0))),'J1 A - (North) Bishopthorpe Roa'!$A$12:$A$130,"&gt;="&amp;Diagram!$O61,'J1 A - (North) Bishopthorpe Roa'!$A$12:$A$130,"&lt;"&amp;Diagram!$P61),SUMIFS(INDIRECT(ADDRESS(12,3+18*2+(8),,,"J1 A - (North) Bishopthorpe Roa")&amp;":"&amp;ADDRESS(130,3+18*2+(8))),'J1 A - (North) Bishopthorpe Roa'!$A$12:$A$130,"&gt;="&amp;Diagram!$O61,'J1 A - (North) Bishopthorpe Roa'!$A$12:$A$130,"&lt;"&amp;Diagram!$P61)))</f>
        <v>31</v>
      </c>
      <c r="W61" s="42">
        <f ca="1">IF(OR($I$10="",$O61="",$P61="",$J$35&lt;&gt;"Yes"),0,IF($K$10=0,SUMIFS(INDIRECT(ADDRESS(12,3+18*2+(0),,,"J1 B - Butcher Terrace")&amp;":"&amp;ADDRESS(130,3+18*2+(0))),'J1 B - Butcher Terrace'!$A$12:$A$130,"&gt;="&amp;Diagram!$O61,'J1 B - Butcher Terrace'!$A$12:$A$130,"&lt;"&amp;Diagram!$P61),SUMIFS(INDIRECT(ADDRESS(12,3+18*2+(8),,,"J1 B - Butcher Terrace")&amp;":"&amp;ADDRESS(130,3+18*2+(8))),'J1 B - Butcher Terrace'!$A$12:$A$130,"&gt;="&amp;Diagram!$O61,'J1 B - Butcher Terrace'!$A$12:$A$130,"&lt;"&amp;Diagram!$P61)))</f>
        <v>10</v>
      </c>
      <c r="X61" s="42">
        <f ca="1">IF(OR($I$10="",$O61="",$P61="",$J$35&lt;&gt;"Yes"),0,IF($K$10=0,SUMIFS(INDIRECT(ADDRESS(12,3+18*3+(0),,,"J1 B - Butcher Terrace")&amp;":"&amp;ADDRESS(130,3+18*3+(0))),'J1 B - Butcher Terrace'!$A$12:$A$130,"&gt;="&amp;Diagram!$O61,'J1 B - Butcher Terrace'!$A$12:$A$130,"&lt;"&amp;Diagram!$P61),SUMIFS(INDIRECT(ADDRESS(12,3+18*3+(8),,,"J1 B - Butcher Terrace")&amp;":"&amp;ADDRESS(130,3+18*3+(8))),'J1 B - Butcher Terrace'!$A$12:$A$130,"&gt;="&amp;Diagram!$O61,'J1 B - Butcher Terrace'!$A$12:$A$130,"&lt;"&amp;Diagram!$P61)))</f>
        <v>0</v>
      </c>
      <c r="Y61" s="42">
        <f ca="1">IF(OR($I$10="",$O61="",$P61="",$J$35&lt;&gt;"Yes"),0,IF($K$10=0,SUMIFS(INDIRECT(ADDRESS(12,3+18*0+(0),,,"J1 B - Butcher Terrace")&amp;":"&amp;ADDRESS(130,3+18*0+(0))),'J1 B - Butcher Terrace'!$A$12:$A$130,"&gt;="&amp;Diagram!$O61,'J1 B - Butcher Terrace'!$A$12:$A$130,"&lt;"&amp;Diagram!$P61),SUMIFS(INDIRECT(ADDRESS(12,3+18*0+(8),,,"J1 B - Butcher Terrace")&amp;":"&amp;ADDRESS(130,3+18*0+(8))),'J1 B - Butcher Terrace'!$A$12:$A$130,"&gt;="&amp;Diagram!$O61,'J1 B - Butcher Terrace'!$A$12:$A$130,"&lt;"&amp;Diagram!$P61)))</f>
        <v>8</v>
      </c>
      <c r="Z61" s="42">
        <f ca="1">IF(OR($I$10="",$O61="",$P61="",$J$35&lt;&gt;"Yes"),0,IF($K$10=0,SUMIFS(INDIRECT(ADDRESS(12,3+18*1+(0),,,"J1 B - Butcher Terrace")&amp;":"&amp;ADDRESS(130,3+18*1+(0))),'J1 B - Butcher Terrace'!$A$12:$A$130,"&gt;="&amp;Diagram!$O61,'J1 B - Butcher Terrace'!$A$12:$A$130,"&lt;"&amp;Diagram!$P61),SUMIFS(INDIRECT(ADDRESS(12,3+18*1+(8),,,"J1 B - Butcher Terrace")&amp;":"&amp;ADDRESS(130,3+18*1+(8))),'J1 B - Butcher Terrace'!$A$12:$A$130,"&gt;="&amp;Diagram!$O61,'J1 B - Butcher Terrace'!$A$12:$A$130,"&lt;"&amp;Diagram!$P61)))</f>
        <v>1</v>
      </c>
      <c r="AA61" s="42">
        <f ca="1">IF(OR($I$10="",$O61="",$P61="",$J$35&lt;&gt;"Yes"),0,IF($K$10=0,SUMIFS(INDIRECT(ADDRESS(12,3+18*1+(0),,,"J1 C - (South) Bishopthorpe Roa")&amp;":"&amp;ADDRESS(130,3+18*1+(0))),'J1 C - (South) Bishopthorpe Roa'!$A$12:$A$130,"&gt;="&amp;Diagram!$O61,'J1 C - (South) Bishopthorpe Roa'!$A$12:$A$130,"&lt;"&amp;Diagram!$P61),SUMIFS(INDIRECT(ADDRESS(12,3+18*1+(8),,,"J1 C - (South) Bishopthorpe Roa")&amp;":"&amp;ADDRESS(130,3+18*1+(8))),'J1 C - (South) Bishopthorpe Roa'!$A$12:$A$130,"&gt;="&amp;Diagram!$O61,'J1 C - (South) Bishopthorpe Roa'!$A$12:$A$130,"&lt;"&amp;Diagram!$P61)))</f>
        <v>201</v>
      </c>
      <c r="AB61" s="42">
        <f ca="1">IF(OR($I$10="",$O61="",$P61="",$J$35&lt;&gt;"Yes"),0,IF($K$10=0,SUMIFS(INDIRECT(ADDRESS(12,3+18*2+(0),,,"J1 C - (South) Bishopthorpe Roa")&amp;":"&amp;ADDRESS(130,3+18*2+(0))),'J1 C - (South) Bishopthorpe Roa'!$A$12:$A$130,"&gt;="&amp;Diagram!$O61,'J1 C - (South) Bishopthorpe Roa'!$A$12:$A$130,"&lt;"&amp;Diagram!$P61),SUMIFS(INDIRECT(ADDRESS(12,3+18*2+(8),,,"J1 C - (South) Bishopthorpe Roa")&amp;":"&amp;ADDRESS(130,3+18*2+(8))),'J1 C - (South) Bishopthorpe Roa'!$A$12:$A$130,"&gt;="&amp;Diagram!$O61,'J1 C - (South) Bishopthorpe Roa'!$A$12:$A$130,"&lt;"&amp;Diagram!$P61)))</f>
        <v>4</v>
      </c>
      <c r="AC61" s="42">
        <f ca="1">IF(OR($I$10="",$O61="",$P61="",$J$35&lt;&gt;"Yes"),0,IF($K$10=0,SUMIFS(INDIRECT(ADDRESS(12,3+18*3+(0),,,"J1 C - (South) Bishopthorpe Roa")&amp;":"&amp;ADDRESS(130,3+18*3+(0))),'J1 C - (South) Bishopthorpe Roa'!$A$12:$A$130,"&gt;="&amp;Diagram!$O61,'J1 C - (South) Bishopthorpe Roa'!$A$12:$A$130,"&lt;"&amp;Diagram!$P61),SUMIFS(INDIRECT(ADDRESS(12,3+18*3+(8),,,"J1 C - (South) Bishopthorpe Roa")&amp;":"&amp;ADDRESS(130,3+18*3+(8))),'J1 C - (South) Bishopthorpe Roa'!$A$12:$A$130,"&gt;="&amp;Diagram!$O61,'J1 C - (South) Bishopthorpe Roa'!$A$12:$A$130,"&lt;"&amp;Diagram!$P61)))</f>
        <v>0</v>
      </c>
      <c r="AD61" s="42">
        <f ca="1">IF(OR($I$10="",$O61="",$P61="",$J$35&lt;&gt;"Yes"),0,IF($K$10=0,SUMIFS(INDIRECT(ADDRESS(12,3+18*0+(0),,,"J1 C - (South) Bishopthorpe Roa")&amp;":"&amp;ADDRESS(130,3+18*0+(0))),'J1 C - (South) Bishopthorpe Roa'!$A$12:$A$130,"&gt;="&amp;Diagram!$O61,'J1 C - (South) Bishopthorpe Roa'!$A$12:$A$130,"&lt;"&amp;Diagram!$P61),SUMIFS(INDIRECT(ADDRESS(12,3+18*0+(8),,,"J1 C - (South) Bishopthorpe Roa")&amp;":"&amp;ADDRESS(130,3+18*0+(8))),'J1 C - (South) Bishopthorpe Roa'!$A$12:$A$130,"&gt;="&amp;Diagram!$O61,'J1 C - (South) Bishopthorpe Roa'!$A$12:$A$130,"&lt;"&amp;Diagram!$P61)))</f>
        <v>4</v>
      </c>
      <c r="AE61" s="42">
        <f ca="1">IF(OR($I$10="",$O61="",$P61="",$J$35&lt;&gt;"Yes"),0,IF($K$10=0,SUMIFS(INDIRECT(ADDRESS(12,3+18*0+(0),,,"J1 D - South Bank Avenue")&amp;":"&amp;ADDRESS(130,3+18*0+(0))),'J1 D - South Bank Avenue'!$A$12:$A$130,"&gt;="&amp;Diagram!$O61,'J1 D - South Bank Avenue'!$A$12:$A$130,"&lt;"&amp;Diagram!$P61),SUMIFS(INDIRECT(ADDRESS(12,3+18*0+(8),,,"J1 D - South Bank Avenue")&amp;":"&amp;ADDRESS(130,3+18*0+(8))),'J1 D - South Bank Avenue'!$A$12:$A$130,"&gt;="&amp;Diagram!$O61,'J1 D - South Bank Avenue'!$A$12:$A$130,"&lt;"&amp;Diagram!$P61)))</f>
        <v>31</v>
      </c>
      <c r="AF61" s="42">
        <f ca="1">IF(OR($I$10="",$O61="",$P61="",$J$35&lt;&gt;"Yes"),0,IF($K$10=0,SUMIFS(INDIRECT(ADDRESS(12,3+18*1+(0),,,"J1 D - South Bank Avenue")&amp;":"&amp;ADDRESS(130,3+18*1+(0))),'J1 D - South Bank Avenue'!$A$12:$A$130,"&gt;="&amp;Diagram!$O61,'J1 D - South Bank Avenue'!$A$12:$A$130,"&lt;"&amp;Diagram!$P61),SUMIFS(INDIRECT(ADDRESS(12,3+18*1+(8),,,"J1 D - South Bank Avenue")&amp;":"&amp;ADDRESS(130,3+18*1+(8))),'J1 D - South Bank Avenue'!$A$12:$A$130,"&gt;="&amp;Diagram!$O61,'J1 D - South Bank Avenue'!$A$12:$A$130,"&lt;"&amp;Diagram!$P61)))</f>
        <v>1</v>
      </c>
      <c r="AG61" s="42">
        <f ca="1">IF(OR($I$10="",$O61="",$P61="",$J$35&lt;&gt;"Yes"),0,IF($K$10=0,SUMIFS(INDIRECT(ADDRESS(12,3+18*2+(0),,,"J1 D - South Bank Avenue")&amp;":"&amp;ADDRESS(130,3+18*2+(0))),'J1 D - South Bank Avenue'!$A$12:$A$130,"&gt;="&amp;Diagram!$O61,'J1 D - South Bank Avenue'!$A$12:$A$130,"&lt;"&amp;Diagram!$P61),SUMIFS(INDIRECT(ADDRESS(12,3+18*2+(8),,,"J1 D - South Bank Avenue")&amp;":"&amp;ADDRESS(130,3+18*2+(8))),'J1 D - South Bank Avenue'!$A$12:$A$130,"&gt;="&amp;Diagram!$O61,'J1 D - South Bank Avenue'!$A$12:$A$130,"&lt;"&amp;Diagram!$P61)))</f>
        <v>10</v>
      </c>
      <c r="AH61" s="42">
        <f ca="1">IF(OR($I$10="",$O61="",$P61="",$J$35&lt;&gt;"Yes"),0,IF($K$10=0,SUMIFS(INDIRECT(ADDRESS(12,3+18*3+(0),,,"J1 D - South Bank Avenue")&amp;":"&amp;ADDRESS(130,3+18*3+(0))),'J1 D - South Bank Avenue'!$A$12:$A$130,"&gt;="&amp;Diagram!$O61,'J1 D - South Bank Avenue'!$A$12:$A$130,"&lt;"&amp;Diagram!$P61),SUMIFS(INDIRECT(ADDRESS(12,3+18*3+(8),,,"J1 D - South Bank Avenue")&amp;":"&amp;ADDRESS(130,3+18*3+(8))),'J1 D - South Bank Avenue'!$A$12:$A$130,"&gt;="&amp;Diagram!$O61,'J1 D - South Bank Avenue'!$A$12:$A$130,"&lt;"&amp;Diagram!$P61)))</f>
        <v>0</v>
      </c>
      <c r="AI61" s="42">
        <f t="shared" ca="1" si="2"/>
        <v>71</v>
      </c>
      <c r="AJ61" s="42">
        <f ca="1">IF(OR($I$10="",$O61="",$P61="",$J$36&lt;&gt;"Yes"),0,IF($K$10=0,SUMIFS(INDIRECT(ADDRESS(12,3+18*3+(1),,,"J1 A - (North) Bishopthorpe Roa")&amp;":"&amp;ADDRESS(130,3+18*3+(1))),'J1 A - (North) Bishopthorpe Roa'!$A$12:$A$130,"&gt;="&amp;Diagram!$O61,'J1 A - (North) Bishopthorpe Roa'!$A$12:$A$130,"&lt;"&amp;Diagram!$P61),SUMIFS(INDIRECT(ADDRESS(12,3+18*3+(9),,,"J1 A - (North) Bishopthorpe Roa")&amp;":"&amp;ADDRESS(130,3+18*3+(9))),'J1 A - (North) Bishopthorpe Roa'!$A$12:$A$130,"&gt;="&amp;Diagram!$O61,'J1 A - (North) Bishopthorpe Roa'!$A$12:$A$130,"&lt;"&amp;Diagram!$P61)))</f>
        <v>0</v>
      </c>
      <c r="AK61" s="42">
        <f ca="1">IF(OR($I$10="",$O61="",$P61="",$J$36&lt;&gt;"Yes"),0,IF($K$10=0,SUMIFS(INDIRECT(ADDRESS(12,3+18*0+(1),,,"J1 A - (North) Bishopthorpe Roa")&amp;":"&amp;ADDRESS(130,3+18*0+(1))),'J1 A - (North) Bishopthorpe Roa'!$A$12:$A$130,"&gt;="&amp;Diagram!$O61,'J1 A - (North) Bishopthorpe Roa'!$A$12:$A$130,"&lt;"&amp;Diagram!$P61),SUMIFS(INDIRECT(ADDRESS(12,3+18*0+(9),,,"J1 A - (North) Bishopthorpe Roa")&amp;":"&amp;ADDRESS(130,3+18*0+(9))),'J1 A - (North) Bishopthorpe Roa'!$A$12:$A$130,"&gt;="&amp;Diagram!$O61,'J1 A - (North) Bishopthorpe Roa'!$A$12:$A$130,"&lt;"&amp;Diagram!$P61)))</f>
        <v>2</v>
      </c>
      <c r="AL61" s="42">
        <f ca="1">IF(OR($I$10="",$O61="",$P61="",$J$36&lt;&gt;"Yes"),0,IF($K$10=0,SUMIFS(INDIRECT(ADDRESS(12,3+18*1+(1),,,"J1 A - (North) Bishopthorpe Roa")&amp;":"&amp;ADDRESS(130,3+18*1+(1))),'J1 A - (North) Bishopthorpe Roa'!$A$12:$A$130,"&gt;="&amp;Diagram!$O61,'J1 A - (North) Bishopthorpe Roa'!$A$12:$A$130,"&lt;"&amp;Diagram!$P61),SUMIFS(INDIRECT(ADDRESS(12,3+18*1+(9),,,"J1 A - (North) Bishopthorpe Roa")&amp;":"&amp;ADDRESS(130,3+18*1+(9))),'J1 A - (North) Bishopthorpe Roa'!$A$12:$A$130,"&gt;="&amp;Diagram!$O61,'J1 A - (North) Bishopthorpe Roa'!$A$12:$A$130,"&lt;"&amp;Diagram!$P61)))</f>
        <v>26</v>
      </c>
      <c r="AM61" s="42">
        <f ca="1">IF(OR($I$10="",$O61="",$P61="",$J$36&lt;&gt;"Yes"),0,IF($K$10=0,SUMIFS(INDIRECT(ADDRESS(12,3+18*2+(1),,,"J1 A - (North) Bishopthorpe Roa")&amp;":"&amp;ADDRESS(130,3+18*2+(1))),'J1 A - (North) Bishopthorpe Roa'!$A$12:$A$130,"&gt;="&amp;Diagram!$O61,'J1 A - (North) Bishopthorpe Roa'!$A$12:$A$130,"&lt;"&amp;Diagram!$P61),SUMIFS(INDIRECT(ADDRESS(12,3+18*2+(9),,,"J1 A - (North) Bishopthorpe Roa")&amp;":"&amp;ADDRESS(130,3+18*2+(9))),'J1 A - (North) Bishopthorpe Roa'!$A$12:$A$130,"&gt;="&amp;Diagram!$O61,'J1 A - (North) Bishopthorpe Roa'!$A$12:$A$130,"&lt;"&amp;Diagram!$P61)))</f>
        <v>5</v>
      </c>
      <c r="AN61" s="42">
        <f ca="1">IF(OR($I$10="",$O61="",$P61="",$J$36&lt;&gt;"Yes"),0,IF($K$10=0,SUMIFS(INDIRECT(ADDRESS(12,3+18*2+(1),,,"J1 B - Butcher Terrace")&amp;":"&amp;ADDRESS(130,3+18*2+(1))),'J1 B - Butcher Terrace'!$A$12:$A$130,"&gt;="&amp;Diagram!$O61,'J1 B - Butcher Terrace'!$A$12:$A$130,"&lt;"&amp;Diagram!$P61),SUMIFS(INDIRECT(ADDRESS(12,3+18*2+(9),,,"J1 B - Butcher Terrace")&amp;":"&amp;ADDRESS(130,3+18*2+(9))),'J1 B - Butcher Terrace'!$A$12:$A$130,"&gt;="&amp;Diagram!$O61,'J1 B - Butcher Terrace'!$A$12:$A$130,"&lt;"&amp;Diagram!$P61)))</f>
        <v>3</v>
      </c>
      <c r="AO61" s="42">
        <f ca="1">IF(OR($I$10="",$O61="",$P61="",$J$36&lt;&gt;"Yes"),0,IF($K$10=0,SUMIFS(INDIRECT(ADDRESS(12,3+18*3+(1),,,"J1 B - Butcher Terrace")&amp;":"&amp;ADDRESS(130,3+18*3+(1))),'J1 B - Butcher Terrace'!$A$12:$A$130,"&gt;="&amp;Diagram!$O61,'J1 B - Butcher Terrace'!$A$12:$A$130,"&lt;"&amp;Diagram!$P61),SUMIFS(INDIRECT(ADDRESS(12,3+18*3+(9),,,"J1 B - Butcher Terrace")&amp;":"&amp;ADDRESS(130,3+18*3+(9))),'J1 B - Butcher Terrace'!$A$12:$A$130,"&gt;="&amp;Diagram!$O61,'J1 B - Butcher Terrace'!$A$12:$A$130,"&lt;"&amp;Diagram!$P61)))</f>
        <v>0</v>
      </c>
      <c r="AP61" s="42">
        <f ca="1">IF(OR($I$10="",$O61="",$P61="",$J$36&lt;&gt;"Yes"),0,IF($K$10=0,SUMIFS(INDIRECT(ADDRESS(12,3+18*0+(1),,,"J1 B - Butcher Terrace")&amp;":"&amp;ADDRESS(130,3+18*0+(1))),'J1 B - Butcher Terrace'!$A$12:$A$130,"&gt;="&amp;Diagram!$O61,'J1 B - Butcher Terrace'!$A$12:$A$130,"&lt;"&amp;Diagram!$P61),SUMIFS(INDIRECT(ADDRESS(12,3+18*0+(9),,,"J1 B - Butcher Terrace")&amp;":"&amp;ADDRESS(130,3+18*0+(9))),'J1 B - Butcher Terrace'!$A$12:$A$130,"&gt;="&amp;Diagram!$O61,'J1 B - Butcher Terrace'!$A$12:$A$130,"&lt;"&amp;Diagram!$P61)))</f>
        <v>0</v>
      </c>
      <c r="AQ61" s="42">
        <f ca="1">IF(OR($I$10="",$O61="",$P61="",$J$36&lt;&gt;"Yes"),0,IF($K$10=0,SUMIFS(INDIRECT(ADDRESS(12,3+18*1+(1),,,"J1 B - Butcher Terrace")&amp;":"&amp;ADDRESS(130,3+18*1+(1))),'J1 B - Butcher Terrace'!$A$12:$A$130,"&gt;="&amp;Diagram!$O61,'J1 B - Butcher Terrace'!$A$12:$A$130,"&lt;"&amp;Diagram!$P61),SUMIFS(INDIRECT(ADDRESS(12,3+18*1+(9),,,"J1 B - Butcher Terrace")&amp;":"&amp;ADDRESS(130,3+18*1+(9))),'J1 B - Butcher Terrace'!$A$12:$A$130,"&gt;="&amp;Diagram!$O61,'J1 B - Butcher Terrace'!$A$12:$A$130,"&lt;"&amp;Diagram!$P61)))</f>
        <v>1</v>
      </c>
      <c r="AR61" s="42">
        <f ca="1">IF(OR($I$10="",$O61="",$P61="",$J$36&lt;&gt;"Yes"),0,IF($K$10=0,SUMIFS(INDIRECT(ADDRESS(12,3+18*1+(1),,,"J1 C - (South) Bishopthorpe Roa")&amp;":"&amp;ADDRESS(130,3+18*1+(1))),'J1 C - (South) Bishopthorpe Roa'!$A$12:$A$130,"&gt;="&amp;Diagram!$O61,'J1 C - (South) Bishopthorpe Roa'!$A$12:$A$130,"&lt;"&amp;Diagram!$P61),SUMIFS(INDIRECT(ADDRESS(12,3+18*1+(9),,,"J1 C - (South) Bishopthorpe Roa")&amp;":"&amp;ADDRESS(130,3+18*1+(9))),'J1 C - (South) Bishopthorpe Roa'!$A$12:$A$130,"&gt;="&amp;Diagram!$O61,'J1 C - (South) Bishopthorpe Roa'!$A$12:$A$130,"&lt;"&amp;Diagram!$P61)))</f>
        <v>25</v>
      </c>
      <c r="AS61" s="42">
        <f ca="1">IF(OR($I$10="",$O61="",$P61="",$J$36&lt;&gt;"Yes"),0,IF($K$10=0,SUMIFS(INDIRECT(ADDRESS(12,3+18*2+(1),,,"J1 C - (South) Bishopthorpe Roa")&amp;":"&amp;ADDRESS(130,3+18*2+(1))),'J1 C - (South) Bishopthorpe Roa'!$A$12:$A$130,"&gt;="&amp;Diagram!$O61,'J1 C - (South) Bishopthorpe Roa'!$A$12:$A$130,"&lt;"&amp;Diagram!$P61),SUMIFS(INDIRECT(ADDRESS(12,3+18*2+(9),,,"J1 C - (South) Bishopthorpe Roa")&amp;":"&amp;ADDRESS(130,3+18*2+(9))),'J1 C - (South) Bishopthorpe Roa'!$A$12:$A$130,"&gt;="&amp;Diagram!$O61,'J1 C - (South) Bishopthorpe Roa'!$A$12:$A$130,"&lt;"&amp;Diagram!$P61)))</f>
        <v>2</v>
      </c>
      <c r="AT61" s="42">
        <f ca="1">IF(OR($I$10="",$O61="",$P61="",$J$36&lt;&gt;"Yes"),0,IF($K$10=0,SUMIFS(INDIRECT(ADDRESS(12,3+18*3+(1),,,"J1 C - (South) Bishopthorpe Roa")&amp;":"&amp;ADDRESS(130,3+18*3+(1))),'J1 C - (South) Bishopthorpe Roa'!$A$12:$A$130,"&gt;="&amp;Diagram!$O61,'J1 C - (South) Bishopthorpe Roa'!$A$12:$A$130,"&lt;"&amp;Diagram!$P61),SUMIFS(INDIRECT(ADDRESS(12,3+18*3+(9),,,"J1 C - (South) Bishopthorpe Roa")&amp;":"&amp;ADDRESS(130,3+18*3+(9))),'J1 C - (South) Bishopthorpe Roa'!$A$12:$A$130,"&gt;="&amp;Diagram!$O61,'J1 C - (South) Bishopthorpe Roa'!$A$12:$A$130,"&lt;"&amp;Diagram!$P61)))</f>
        <v>0</v>
      </c>
      <c r="AU61" s="42">
        <f ca="1">IF(OR($I$10="",$O61="",$P61="",$J$36&lt;&gt;"Yes"),0,IF($K$10=0,SUMIFS(INDIRECT(ADDRESS(12,3+18*0+(1),,,"J1 C - (South) Bishopthorpe Roa")&amp;":"&amp;ADDRESS(130,3+18*0+(1))),'J1 C - (South) Bishopthorpe Roa'!$A$12:$A$130,"&gt;="&amp;Diagram!$O61,'J1 C - (South) Bishopthorpe Roa'!$A$12:$A$130,"&lt;"&amp;Diagram!$P61),SUMIFS(INDIRECT(ADDRESS(12,3+18*0+(9),,,"J1 C - (South) Bishopthorpe Roa")&amp;":"&amp;ADDRESS(130,3+18*0+(9))),'J1 C - (South) Bishopthorpe Roa'!$A$12:$A$130,"&gt;="&amp;Diagram!$O61,'J1 C - (South) Bishopthorpe Roa'!$A$12:$A$130,"&lt;"&amp;Diagram!$P61)))</f>
        <v>1</v>
      </c>
      <c r="AV61" s="42">
        <f ca="1">IF(OR($I$10="",$O61="",$P61="",$J$36&lt;&gt;"Yes"),0,IF($K$10=0,SUMIFS(INDIRECT(ADDRESS(12,3+18*0+(1),,,"J1 D - South Bank Avenue")&amp;":"&amp;ADDRESS(130,3+18*0+(1))),'J1 D - South Bank Avenue'!$A$12:$A$130,"&gt;="&amp;Diagram!$O61,'J1 D - South Bank Avenue'!$A$12:$A$130,"&lt;"&amp;Diagram!$P61),SUMIFS(INDIRECT(ADDRESS(12,3+18*0+(9),,,"J1 D - South Bank Avenue")&amp;":"&amp;ADDRESS(130,3+18*0+(9))),'J1 D - South Bank Avenue'!$A$12:$A$130,"&gt;="&amp;Diagram!$O61,'J1 D - South Bank Avenue'!$A$12:$A$130,"&lt;"&amp;Diagram!$P61)))</f>
        <v>4</v>
      </c>
      <c r="AW61" s="42">
        <f ca="1">IF(OR($I$10="",$O61="",$P61="",$J$36&lt;&gt;"Yes"),0,IF($K$10=0,SUMIFS(INDIRECT(ADDRESS(12,3+18*1+(1),,,"J1 D - South Bank Avenue")&amp;":"&amp;ADDRESS(130,3+18*1+(1))),'J1 D - South Bank Avenue'!$A$12:$A$130,"&gt;="&amp;Diagram!$O61,'J1 D - South Bank Avenue'!$A$12:$A$130,"&lt;"&amp;Diagram!$P61),SUMIFS(INDIRECT(ADDRESS(12,3+18*1+(9),,,"J1 D - South Bank Avenue")&amp;":"&amp;ADDRESS(130,3+18*1+(9))),'J1 D - South Bank Avenue'!$A$12:$A$130,"&gt;="&amp;Diagram!$O61,'J1 D - South Bank Avenue'!$A$12:$A$130,"&lt;"&amp;Diagram!$P61)))</f>
        <v>1</v>
      </c>
      <c r="AX61" s="42">
        <f ca="1">IF(OR($I$10="",$O61="",$P61="",$J$36&lt;&gt;"Yes"),0,IF($K$10=0,SUMIFS(INDIRECT(ADDRESS(12,3+18*2+(1),,,"J1 D - South Bank Avenue")&amp;":"&amp;ADDRESS(130,3+18*2+(1))),'J1 D - South Bank Avenue'!$A$12:$A$130,"&gt;="&amp;Diagram!$O61,'J1 D - South Bank Avenue'!$A$12:$A$130,"&lt;"&amp;Diagram!$P61),SUMIFS(INDIRECT(ADDRESS(12,3+18*2+(9),,,"J1 D - South Bank Avenue")&amp;":"&amp;ADDRESS(130,3+18*2+(9))),'J1 D - South Bank Avenue'!$A$12:$A$130,"&gt;="&amp;Diagram!$O61,'J1 D - South Bank Avenue'!$A$12:$A$130,"&lt;"&amp;Diagram!$P61)))</f>
        <v>1</v>
      </c>
      <c r="AY61" s="42">
        <f ca="1">IF(OR($I$10="",$O61="",$P61="",$J$36&lt;&gt;"Yes"),0,IF($K$10=0,SUMIFS(INDIRECT(ADDRESS(12,3+18*3+(1),,,"J1 D - South Bank Avenue")&amp;":"&amp;ADDRESS(130,3+18*3+(1))),'J1 D - South Bank Avenue'!$A$12:$A$130,"&gt;="&amp;Diagram!$O61,'J1 D - South Bank Avenue'!$A$12:$A$130,"&lt;"&amp;Diagram!$P61),SUMIFS(INDIRECT(ADDRESS(12,3+18*3+(9),,,"J1 D - South Bank Avenue")&amp;":"&amp;ADDRESS(130,3+18*3+(9))),'J1 D - South Bank Avenue'!$A$12:$A$130,"&gt;="&amp;Diagram!$O61,'J1 D - South Bank Avenue'!$A$12:$A$130,"&lt;"&amp;Diagram!$P61)))</f>
        <v>0</v>
      </c>
      <c r="AZ61" s="42">
        <f t="shared" ca="1" si="3"/>
        <v>5</v>
      </c>
      <c r="BA61" s="42">
        <f ca="1">IF(OR($I$10="",$O61="",$P61="",$J$37&lt;&gt;"Yes"),0,IF($K$10=0,SUMIFS(INDIRECT(ADDRESS(12,3+18*3+(2),,,"J1 A - (North) Bishopthorpe Roa")&amp;":"&amp;ADDRESS(130,3+18*3+(2))),'J1 A - (North) Bishopthorpe Roa'!$A$12:$A$130,"&gt;="&amp;Diagram!$O61,'J1 A - (North) Bishopthorpe Roa'!$A$12:$A$130,"&lt;"&amp;Diagram!$P61),SUMIFS(INDIRECT(ADDRESS(12,3+18*3+(10),,,"J1 A - (North) Bishopthorpe Roa")&amp;":"&amp;ADDRESS(130,3+18*3+(10))),'J1 A - (North) Bishopthorpe Roa'!$A$12:$A$130,"&gt;="&amp;Diagram!$O61,'J1 A - (North) Bishopthorpe Roa'!$A$12:$A$130,"&lt;"&amp;Diagram!$P61)))</f>
        <v>0</v>
      </c>
      <c r="BB61" s="42">
        <f ca="1">IF(OR($I$10="",$O61="",$P61="",$J$37&lt;&gt;"Yes"),0,IF($K$10=0,SUMIFS(INDIRECT(ADDRESS(12,3+18*0+(2),,,"J1 A - (North) Bishopthorpe Roa")&amp;":"&amp;ADDRESS(130,3+18*0+(2))),'J1 A - (North) Bishopthorpe Roa'!$A$12:$A$130,"&gt;="&amp;Diagram!$O61,'J1 A - (North) Bishopthorpe Roa'!$A$12:$A$130,"&lt;"&amp;Diagram!$P61),SUMIFS(INDIRECT(ADDRESS(12,3+18*0+(10),,,"J1 A - (North) Bishopthorpe Roa")&amp;":"&amp;ADDRESS(130,3+18*0+(10))),'J1 A - (North) Bishopthorpe Roa'!$A$12:$A$130,"&gt;="&amp;Diagram!$O61,'J1 A - (North) Bishopthorpe Roa'!$A$12:$A$130,"&lt;"&amp;Diagram!$P61)))</f>
        <v>0</v>
      </c>
      <c r="BC61" s="42">
        <f ca="1">IF(OR($I$10="",$O61="",$P61="",$J$37&lt;&gt;"Yes"),0,IF($K$10=0,SUMIFS(INDIRECT(ADDRESS(12,3+18*1+(2),,,"J1 A - (North) Bishopthorpe Roa")&amp;":"&amp;ADDRESS(130,3+18*1+(2))),'J1 A - (North) Bishopthorpe Roa'!$A$12:$A$130,"&gt;="&amp;Diagram!$O61,'J1 A - (North) Bishopthorpe Roa'!$A$12:$A$130,"&lt;"&amp;Diagram!$P61),SUMIFS(INDIRECT(ADDRESS(12,3+18*1+(10),,,"J1 A - (North) Bishopthorpe Roa")&amp;":"&amp;ADDRESS(130,3+18*1+(10))),'J1 A - (North) Bishopthorpe Roa'!$A$12:$A$130,"&gt;="&amp;Diagram!$O61,'J1 A - (North) Bishopthorpe Roa'!$A$12:$A$130,"&lt;"&amp;Diagram!$P61)))</f>
        <v>1</v>
      </c>
      <c r="BD61" s="42">
        <f ca="1">IF(OR($I$10="",$O61="",$P61="",$J$37&lt;&gt;"Yes"),0,IF($K$10=0,SUMIFS(INDIRECT(ADDRESS(12,3+18*2+(2),,,"J1 A - (North) Bishopthorpe Roa")&amp;":"&amp;ADDRESS(130,3+18*2+(2))),'J1 A - (North) Bishopthorpe Roa'!$A$12:$A$130,"&gt;="&amp;Diagram!$O61,'J1 A - (North) Bishopthorpe Roa'!$A$12:$A$130,"&lt;"&amp;Diagram!$P61),SUMIFS(INDIRECT(ADDRESS(12,3+18*2+(10),,,"J1 A - (North) Bishopthorpe Roa")&amp;":"&amp;ADDRESS(130,3+18*2+(10))),'J1 A - (North) Bishopthorpe Roa'!$A$12:$A$130,"&gt;="&amp;Diagram!$O61,'J1 A - (North) Bishopthorpe Roa'!$A$12:$A$130,"&lt;"&amp;Diagram!$P61)))</f>
        <v>1</v>
      </c>
      <c r="BE61" s="42">
        <f ca="1">IF(OR($I$10="",$O61="",$P61="",$J$37&lt;&gt;"Yes"),0,IF($K$10=0,SUMIFS(INDIRECT(ADDRESS(12,3+18*2+(2),,,"J1 B - Butcher Terrace")&amp;":"&amp;ADDRESS(130,3+18*2+(2))),'J1 B - Butcher Terrace'!$A$12:$A$130,"&gt;="&amp;Diagram!$O61,'J1 B - Butcher Terrace'!$A$12:$A$130,"&lt;"&amp;Diagram!$P61),SUMIFS(INDIRECT(ADDRESS(12,3+18*2+(10),,,"J1 B - Butcher Terrace")&amp;":"&amp;ADDRESS(130,3+18*2+(10))),'J1 B - Butcher Terrace'!$A$12:$A$130,"&gt;="&amp;Diagram!$O61,'J1 B - Butcher Terrace'!$A$12:$A$130,"&lt;"&amp;Diagram!$P61)))</f>
        <v>0</v>
      </c>
      <c r="BF61" s="42">
        <f ca="1">IF(OR($I$10="",$O61="",$P61="",$J$37&lt;&gt;"Yes"),0,IF($K$10=0,SUMIFS(INDIRECT(ADDRESS(12,3+18*3+(2),,,"J1 B - Butcher Terrace")&amp;":"&amp;ADDRESS(130,3+18*3+(2))),'J1 B - Butcher Terrace'!$A$12:$A$130,"&gt;="&amp;Diagram!$O61,'J1 B - Butcher Terrace'!$A$12:$A$130,"&lt;"&amp;Diagram!$P61),SUMIFS(INDIRECT(ADDRESS(12,3+18*3+(10),,,"J1 B - Butcher Terrace")&amp;":"&amp;ADDRESS(130,3+18*3+(10))),'J1 B - Butcher Terrace'!$A$12:$A$130,"&gt;="&amp;Diagram!$O61,'J1 B - Butcher Terrace'!$A$12:$A$130,"&lt;"&amp;Diagram!$P61)))</f>
        <v>0</v>
      </c>
      <c r="BG61" s="42">
        <f ca="1">IF(OR($I$10="",$O61="",$P61="",$J$37&lt;&gt;"Yes"),0,IF($K$10=0,SUMIFS(INDIRECT(ADDRESS(12,3+18*0+(2),,,"J1 B - Butcher Terrace")&amp;":"&amp;ADDRESS(130,3+18*0+(2))),'J1 B - Butcher Terrace'!$A$12:$A$130,"&gt;="&amp;Diagram!$O61,'J1 B - Butcher Terrace'!$A$12:$A$130,"&lt;"&amp;Diagram!$P61),SUMIFS(INDIRECT(ADDRESS(12,3+18*0+(10),,,"J1 B - Butcher Terrace")&amp;":"&amp;ADDRESS(130,3+18*0+(10))),'J1 B - Butcher Terrace'!$A$12:$A$130,"&gt;="&amp;Diagram!$O61,'J1 B - Butcher Terrace'!$A$12:$A$130,"&lt;"&amp;Diagram!$P61)))</f>
        <v>0</v>
      </c>
      <c r="BH61" s="42">
        <f ca="1">IF(OR($I$10="",$O61="",$P61="",$J$37&lt;&gt;"Yes"),0,IF($K$10=0,SUMIFS(INDIRECT(ADDRESS(12,3+18*1+(2),,,"J1 B - Butcher Terrace")&amp;":"&amp;ADDRESS(130,3+18*1+(2))),'J1 B - Butcher Terrace'!$A$12:$A$130,"&gt;="&amp;Diagram!$O61,'J1 B - Butcher Terrace'!$A$12:$A$130,"&lt;"&amp;Diagram!$P61),SUMIFS(INDIRECT(ADDRESS(12,3+18*1+(10),,,"J1 B - Butcher Terrace")&amp;":"&amp;ADDRESS(130,3+18*1+(10))),'J1 B - Butcher Terrace'!$A$12:$A$130,"&gt;="&amp;Diagram!$O61,'J1 B - Butcher Terrace'!$A$12:$A$130,"&lt;"&amp;Diagram!$P61)))</f>
        <v>0</v>
      </c>
      <c r="BI61" s="42">
        <f ca="1">IF(OR($I$10="",$O61="",$P61="",$J$37&lt;&gt;"Yes"),0,IF($K$10=0,SUMIFS(INDIRECT(ADDRESS(12,3+18*1+(2),,,"J1 C - (South) Bishopthorpe Roa")&amp;":"&amp;ADDRESS(130,3+18*1+(2))),'J1 C - (South) Bishopthorpe Roa'!$A$12:$A$130,"&gt;="&amp;Diagram!$O61,'J1 C - (South) Bishopthorpe Roa'!$A$12:$A$130,"&lt;"&amp;Diagram!$P61),SUMIFS(INDIRECT(ADDRESS(12,3+18*1+(10),,,"J1 C - (South) Bishopthorpe Roa")&amp;":"&amp;ADDRESS(130,3+18*1+(10))),'J1 C - (South) Bishopthorpe Roa'!$A$12:$A$130,"&gt;="&amp;Diagram!$O61,'J1 C - (South) Bishopthorpe Roa'!$A$12:$A$130,"&lt;"&amp;Diagram!$P61)))</f>
        <v>2</v>
      </c>
      <c r="BJ61" s="42">
        <f ca="1">IF(OR($I$10="",$O61="",$P61="",$J$37&lt;&gt;"Yes"),0,IF($K$10=0,SUMIFS(INDIRECT(ADDRESS(12,3+18*2+(2),,,"J1 C - (South) Bishopthorpe Roa")&amp;":"&amp;ADDRESS(130,3+18*2+(2))),'J1 C - (South) Bishopthorpe Roa'!$A$12:$A$130,"&gt;="&amp;Diagram!$O61,'J1 C - (South) Bishopthorpe Roa'!$A$12:$A$130,"&lt;"&amp;Diagram!$P61),SUMIFS(INDIRECT(ADDRESS(12,3+18*2+(10),,,"J1 C - (South) Bishopthorpe Roa")&amp;":"&amp;ADDRESS(130,3+18*2+(10))),'J1 C - (South) Bishopthorpe Roa'!$A$12:$A$130,"&gt;="&amp;Diagram!$O61,'J1 C - (South) Bishopthorpe Roa'!$A$12:$A$130,"&lt;"&amp;Diagram!$P61)))</f>
        <v>0</v>
      </c>
      <c r="BK61" s="42">
        <f ca="1">IF(OR($I$10="",$O61="",$P61="",$J$37&lt;&gt;"Yes"),0,IF($K$10=0,SUMIFS(INDIRECT(ADDRESS(12,3+18*3+(2),,,"J1 C - (South) Bishopthorpe Roa")&amp;":"&amp;ADDRESS(130,3+18*3+(2))),'J1 C - (South) Bishopthorpe Roa'!$A$12:$A$130,"&gt;="&amp;Diagram!$O61,'J1 C - (South) Bishopthorpe Roa'!$A$12:$A$130,"&lt;"&amp;Diagram!$P61),SUMIFS(INDIRECT(ADDRESS(12,3+18*3+(10),,,"J1 C - (South) Bishopthorpe Roa")&amp;":"&amp;ADDRESS(130,3+18*3+(10))),'J1 C - (South) Bishopthorpe Roa'!$A$12:$A$130,"&gt;="&amp;Diagram!$O61,'J1 C - (South) Bishopthorpe Roa'!$A$12:$A$130,"&lt;"&amp;Diagram!$P61)))</f>
        <v>0</v>
      </c>
      <c r="BL61" s="42">
        <f ca="1">IF(OR($I$10="",$O61="",$P61="",$J$37&lt;&gt;"Yes"),0,IF($K$10=0,SUMIFS(INDIRECT(ADDRESS(12,3+18*0+(2),,,"J1 C - (South) Bishopthorpe Roa")&amp;":"&amp;ADDRESS(130,3+18*0+(2))),'J1 C - (South) Bishopthorpe Roa'!$A$12:$A$130,"&gt;="&amp;Diagram!$O61,'J1 C - (South) Bishopthorpe Roa'!$A$12:$A$130,"&lt;"&amp;Diagram!$P61),SUMIFS(INDIRECT(ADDRESS(12,3+18*0+(10),,,"J1 C - (South) Bishopthorpe Roa")&amp;":"&amp;ADDRESS(130,3+18*0+(10))),'J1 C - (South) Bishopthorpe Roa'!$A$12:$A$130,"&gt;="&amp;Diagram!$O61,'J1 C - (South) Bishopthorpe Roa'!$A$12:$A$130,"&lt;"&amp;Diagram!$P61)))</f>
        <v>1</v>
      </c>
      <c r="BM61" s="42">
        <f ca="1">IF(OR($I$10="",$O61="",$P61="",$J$37&lt;&gt;"Yes"),0,IF($K$10=0,SUMIFS(INDIRECT(ADDRESS(12,3+18*0+(2),,,"J1 D - South Bank Avenue")&amp;":"&amp;ADDRESS(130,3+18*0+(2))),'J1 D - South Bank Avenue'!$A$12:$A$130,"&gt;="&amp;Diagram!$O61,'J1 D - South Bank Avenue'!$A$12:$A$130,"&lt;"&amp;Diagram!$P61),SUMIFS(INDIRECT(ADDRESS(12,3+18*0+(10),,,"J1 D - South Bank Avenue")&amp;":"&amp;ADDRESS(130,3+18*0+(10))),'J1 D - South Bank Avenue'!$A$12:$A$130,"&gt;="&amp;Diagram!$O61,'J1 D - South Bank Avenue'!$A$12:$A$130,"&lt;"&amp;Diagram!$P61)))</f>
        <v>0</v>
      </c>
      <c r="BN61" s="42">
        <f ca="1">IF(OR($I$10="",$O61="",$P61="",$J$37&lt;&gt;"Yes"),0,IF($K$10=0,SUMIFS(INDIRECT(ADDRESS(12,3+18*1+(2),,,"J1 D - South Bank Avenue")&amp;":"&amp;ADDRESS(130,3+18*1+(2))),'J1 D - South Bank Avenue'!$A$12:$A$130,"&gt;="&amp;Diagram!$O61,'J1 D - South Bank Avenue'!$A$12:$A$130,"&lt;"&amp;Diagram!$P61),SUMIFS(INDIRECT(ADDRESS(12,3+18*1+(10),,,"J1 D - South Bank Avenue")&amp;":"&amp;ADDRESS(130,3+18*1+(10))),'J1 D - South Bank Avenue'!$A$12:$A$130,"&gt;="&amp;Diagram!$O61,'J1 D - South Bank Avenue'!$A$12:$A$130,"&lt;"&amp;Diagram!$P61)))</f>
        <v>0</v>
      </c>
      <c r="BO61" s="42">
        <f ca="1">IF(OR($I$10="",$O61="",$P61="",$J$37&lt;&gt;"Yes"),0,IF($K$10=0,SUMIFS(INDIRECT(ADDRESS(12,3+18*2+(2),,,"J1 D - South Bank Avenue")&amp;":"&amp;ADDRESS(130,3+18*2+(2))),'J1 D - South Bank Avenue'!$A$12:$A$130,"&gt;="&amp;Diagram!$O61,'J1 D - South Bank Avenue'!$A$12:$A$130,"&lt;"&amp;Diagram!$P61),SUMIFS(INDIRECT(ADDRESS(12,3+18*2+(10),,,"J1 D - South Bank Avenue")&amp;":"&amp;ADDRESS(130,3+18*2+(10))),'J1 D - South Bank Avenue'!$A$12:$A$130,"&gt;="&amp;Diagram!$O61,'J1 D - South Bank Avenue'!$A$12:$A$130,"&lt;"&amp;Diagram!$P61)))</f>
        <v>0</v>
      </c>
      <c r="BP61" s="42">
        <f ca="1">IF(OR($I$10="",$O61="",$P61="",$J$37&lt;&gt;"Yes"),0,IF($K$10=0,SUMIFS(INDIRECT(ADDRESS(12,3+18*3+(2),,,"J1 D - South Bank Avenue")&amp;":"&amp;ADDRESS(130,3+18*3+(2))),'J1 D - South Bank Avenue'!$A$12:$A$130,"&gt;="&amp;Diagram!$O61,'J1 D - South Bank Avenue'!$A$12:$A$130,"&lt;"&amp;Diagram!$P61),SUMIFS(INDIRECT(ADDRESS(12,3+18*3+(10),,,"J1 D - South Bank Avenue")&amp;":"&amp;ADDRESS(130,3+18*3+(10))),'J1 D - South Bank Avenue'!$A$12:$A$130,"&gt;="&amp;Diagram!$O61,'J1 D - South Bank Avenue'!$A$12:$A$130,"&lt;"&amp;Diagram!$P61)))</f>
        <v>0</v>
      </c>
      <c r="BQ61" s="42">
        <f t="shared" ca="1" si="4"/>
        <v>0</v>
      </c>
      <c r="BR61" s="42">
        <f ca="1">IF(OR($I$10="",$O61="",$P61="",$J$38&lt;&gt;"Yes"),0,IF($K$10=0,SUMIFS(INDIRECT(ADDRESS(12,3+18*3+(3),,,"J1 A - (North) Bishopthorpe Roa")&amp;":"&amp;ADDRESS(130,3+18*3+(3))),'J1 A - (North) Bishopthorpe Roa'!$A$12:$A$130,"&gt;="&amp;Diagram!$O61,'J1 A - (North) Bishopthorpe Roa'!$A$12:$A$130,"&lt;"&amp;Diagram!$P61),SUMIFS(INDIRECT(ADDRESS(12,3+18*3+(11),,,"J1 A - (North) Bishopthorpe Roa")&amp;":"&amp;ADDRESS(130,3+18*3+(11))),'J1 A - (North) Bishopthorpe Roa'!$A$12:$A$130,"&gt;="&amp;Diagram!$O61,'J1 A - (North) Bishopthorpe Roa'!$A$12:$A$130,"&lt;"&amp;Diagram!$P61)))</f>
        <v>0</v>
      </c>
      <c r="BS61" s="42">
        <f ca="1">IF(OR($I$10="",$O61="",$P61="",$J$38&lt;&gt;"Yes"),0,IF($K$10=0,SUMIFS(INDIRECT(ADDRESS(12,3+18*0+(3),,,"J1 A - (North) Bishopthorpe Roa")&amp;":"&amp;ADDRESS(130,3+18*0+(3))),'J1 A - (North) Bishopthorpe Roa'!$A$12:$A$130,"&gt;="&amp;Diagram!$O61,'J1 A - (North) Bishopthorpe Roa'!$A$12:$A$130,"&lt;"&amp;Diagram!$P61),SUMIFS(INDIRECT(ADDRESS(12,3+18*0+(11),,,"J1 A - (North) Bishopthorpe Roa")&amp;":"&amp;ADDRESS(130,3+18*0+(11))),'J1 A - (North) Bishopthorpe Roa'!$A$12:$A$130,"&gt;="&amp;Diagram!$O61,'J1 A - (North) Bishopthorpe Roa'!$A$12:$A$130,"&lt;"&amp;Diagram!$P61)))</f>
        <v>0</v>
      </c>
      <c r="BT61" s="42">
        <f ca="1">IF(OR($I$10="",$O61="",$P61="",$J$38&lt;&gt;"Yes"),0,IF($K$10=0,SUMIFS(INDIRECT(ADDRESS(12,3+18*1+(3),,,"J1 A - (North) Bishopthorpe Roa")&amp;":"&amp;ADDRESS(130,3+18*1+(3))),'J1 A - (North) Bishopthorpe Roa'!$A$12:$A$130,"&gt;="&amp;Diagram!$O61,'J1 A - (North) Bishopthorpe Roa'!$A$12:$A$130,"&lt;"&amp;Diagram!$P61),SUMIFS(INDIRECT(ADDRESS(12,3+18*1+(11),,,"J1 A - (North) Bishopthorpe Roa")&amp;":"&amp;ADDRESS(130,3+18*1+(11))),'J1 A - (North) Bishopthorpe Roa'!$A$12:$A$130,"&gt;="&amp;Diagram!$O61,'J1 A - (North) Bishopthorpe Roa'!$A$12:$A$130,"&lt;"&amp;Diagram!$P61)))</f>
        <v>0</v>
      </c>
      <c r="BU61" s="42">
        <f ca="1">IF(OR($I$10="",$O61="",$P61="",$J$38&lt;&gt;"Yes"),0,IF($K$10=0,SUMIFS(INDIRECT(ADDRESS(12,3+18*2+(3),,,"J1 A - (North) Bishopthorpe Roa")&amp;":"&amp;ADDRESS(130,3+18*2+(3))),'J1 A - (North) Bishopthorpe Roa'!$A$12:$A$130,"&gt;="&amp;Diagram!$O61,'J1 A - (North) Bishopthorpe Roa'!$A$12:$A$130,"&lt;"&amp;Diagram!$P61),SUMIFS(INDIRECT(ADDRESS(12,3+18*2+(11),,,"J1 A - (North) Bishopthorpe Roa")&amp;":"&amp;ADDRESS(130,3+18*2+(11))),'J1 A - (North) Bishopthorpe Roa'!$A$12:$A$130,"&gt;="&amp;Diagram!$O61,'J1 A - (North) Bishopthorpe Roa'!$A$12:$A$130,"&lt;"&amp;Diagram!$P61)))</f>
        <v>0</v>
      </c>
      <c r="BV61" s="42">
        <f ca="1">IF(OR($I$10="",$O61="",$P61="",$J$38&lt;&gt;"Yes"),0,IF($K$10=0,SUMIFS(INDIRECT(ADDRESS(12,3+18*2+(3),,,"J1 B - Butcher Terrace")&amp;":"&amp;ADDRESS(130,3+18*2+(3))),'J1 B - Butcher Terrace'!$A$12:$A$130,"&gt;="&amp;Diagram!$O61,'J1 B - Butcher Terrace'!$A$12:$A$130,"&lt;"&amp;Diagram!$P61),SUMIFS(INDIRECT(ADDRESS(12,3+18*2+(11),,,"J1 B - Butcher Terrace")&amp;":"&amp;ADDRESS(130,3+18*2+(11))),'J1 B - Butcher Terrace'!$A$12:$A$130,"&gt;="&amp;Diagram!$O61,'J1 B - Butcher Terrace'!$A$12:$A$130,"&lt;"&amp;Diagram!$P61)))</f>
        <v>0</v>
      </c>
      <c r="BW61" s="42">
        <f ca="1">IF(OR($I$10="",$O61="",$P61="",$J$38&lt;&gt;"Yes"),0,IF($K$10=0,SUMIFS(INDIRECT(ADDRESS(12,3+18*3+(3),,,"J1 B - Butcher Terrace")&amp;":"&amp;ADDRESS(130,3+18*3+(3))),'J1 B - Butcher Terrace'!$A$12:$A$130,"&gt;="&amp;Diagram!$O61,'J1 B - Butcher Terrace'!$A$12:$A$130,"&lt;"&amp;Diagram!$P61),SUMIFS(INDIRECT(ADDRESS(12,3+18*3+(11),,,"J1 B - Butcher Terrace")&amp;":"&amp;ADDRESS(130,3+18*3+(11))),'J1 B - Butcher Terrace'!$A$12:$A$130,"&gt;="&amp;Diagram!$O61,'J1 B - Butcher Terrace'!$A$12:$A$130,"&lt;"&amp;Diagram!$P61)))</f>
        <v>0</v>
      </c>
      <c r="BX61" s="42">
        <f ca="1">IF(OR($I$10="",$O61="",$P61="",$J$38&lt;&gt;"Yes"),0,IF($K$10=0,SUMIFS(INDIRECT(ADDRESS(12,3+18*0+(3),,,"J1 B - Butcher Terrace")&amp;":"&amp;ADDRESS(130,3+18*0+(3))),'J1 B - Butcher Terrace'!$A$12:$A$130,"&gt;="&amp;Diagram!$O61,'J1 B - Butcher Terrace'!$A$12:$A$130,"&lt;"&amp;Diagram!$P61),SUMIFS(INDIRECT(ADDRESS(12,3+18*0+(11),,,"J1 B - Butcher Terrace")&amp;":"&amp;ADDRESS(130,3+18*0+(11))),'J1 B - Butcher Terrace'!$A$12:$A$130,"&gt;="&amp;Diagram!$O61,'J1 B - Butcher Terrace'!$A$12:$A$130,"&lt;"&amp;Diagram!$P61)))</f>
        <v>0</v>
      </c>
      <c r="BY61" s="42">
        <f ca="1">IF(OR($I$10="",$O61="",$P61="",$J$38&lt;&gt;"Yes"),0,IF($K$10=0,SUMIFS(INDIRECT(ADDRESS(12,3+18*1+(3),,,"J1 B - Butcher Terrace")&amp;":"&amp;ADDRESS(130,3+18*1+(3))),'J1 B - Butcher Terrace'!$A$12:$A$130,"&gt;="&amp;Diagram!$O61,'J1 B - Butcher Terrace'!$A$12:$A$130,"&lt;"&amp;Diagram!$P61),SUMIFS(INDIRECT(ADDRESS(12,3+18*1+(11),,,"J1 B - Butcher Terrace")&amp;":"&amp;ADDRESS(130,3+18*1+(11))),'J1 B - Butcher Terrace'!$A$12:$A$130,"&gt;="&amp;Diagram!$O61,'J1 B - Butcher Terrace'!$A$12:$A$130,"&lt;"&amp;Diagram!$P61)))</f>
        <v>0</v>
      </c>
      <c r="BZ61" s="42">
        <f ca="1">IF(OR($I$10="",$O61="",$P61="",$J$38&lt;&gt;"Yes"),0,IF($K$10=0,SUMIFS(INDIRECT(ADDRESS(12,3+18*1+(3),,,"J1 C - (South) Bishopthorpe Roa")&amp;":"&amp;ADDRESS(130,3+18*1+(3))),'J1 C - (South) Bishopthorpe Roa'!$A$12:$A$130,"&gt;="&amp;Diagram!$O61,'J1 C - (South) Bishopthorpe Roa'!$A$12:$A$130,"&lt;"&amp;Diagram!$P61),SUMIFS(INDIRECT(ADDRESS(12,3+18*1+(11),,,"J1 C - (South) Bishopthorpe Roa")&amp;":"&amp;ADDRESS(130,3+18*1+(11))),'J1 C - (South) Bishopthorpe Roa'!$A$12:$A$130,"&gt;="&amp;Diagram!$O61,'J1 C - (South) Bishopthorpe Roa'!$A$12:$A$130,"&lt;"&amp;Diagram!$P61)))</f>
        <v>0</v>
      </c>
      <c r="CA61" s="42">
        <f ca="1">IF(OR($I$10="",$O61="",$P61="",$J$38&lt;&gt;"Yes"),0,IF($K$10=0,SUMIFS(INDIRECT(ADDRESS(12,3+18*2+(3),,,"J1 C - (South) Bishopthorpe Roa")&amp;":"&amp;ADDRESS(130,3+18*2+(3))),'J1 C - (South) Bishopthorpe Roa'!$A$12:$A$130,"&gt;="&amp;Diagram!$O61,'J1 C - (South) Bishopthorpe Roa'!$A$12:$A$130,"&lt;"&amp;Diagram!$P61),SUMIFS(INDIRECT(ADDRESS(12,3+18*2+(11),,,"J1 C - (South) Bishopthorpe Roa")&amp;":"&amp;ADDRESS(130,3+18*2+(11))),'J1 C - (South) Bishopthorpe Roa'!$A$12:$A$130,"&gt;="&amp;Diagram!$O61,'J1 C - (South) Bishopthorpe Roa'!$A$12:$A$130,"&lt;"&amp;Diagram!$P61)))</f>
        <v>0</v>
      </c>
      <c r="CB61" s="42">
        <f ca="1">IF(OR($I$10="",$O61="",$P61="",$J$38&lt;&gt;"Yes"),0,IF($K$10=0,SUMIFS(INDIRECT(ADDRESS(12,3+18*3+(3),,,"J1 C - (South) Bishopthorpe Roa")&amp;":"&amp;ADDRESS(130,3+18*3+(3))),'J1 C - (South) Bishopthorpe Roa'!$A$12:$A$130,"&gt;="&amp;Diagram!$O61,'J1 C - (South) Bishopthorpe Roa'!$A$12:$A$130,"&lt;"&amp;Diagram!$P61),SUMIFS(INDIRECT(ADDRESS(12,3+18*3+(11),,,"J1 C - (South) Bishopthorpe Roa")&amp;":"&amp;ADDRESS(130,3+18*3+(11))),'J1 C - (South) Bishopthorpe Roa'!$A$12:$A$130,"&gt;="&amp;Diagram!$O61,'J1 C - (South) Bishopthorpe Roa'!$A$12:$A$130,"&lt;"&amp;Diagram!$P61)))</f>
        <v>0</v>
      </c>
      <c r="CC61" s="42">
        <f ca="1">IF(OR($I$10="",$O61="",$P61="",$J$38&lt;&gt;"Yes"),0,IF($K$10=0,SUMIFS(INDIRECT(ADDRESS(12,3+18*0+(3),,,"J1 C - (South) Bishopthorpe Roa")&amp;":"&amp;ADDRESS(130,3+18*0+(3))),'J1 C - (South) Bishopthorpe Roa'!$A$12:$A$130,"&gt;="&amp;Diagram!$O61,'J1 C - (South) Bishopthorpe Roa'!$A$12:$A$130,"&lt;"&amp;Diagram!$P61),SUMIFS(INDIRECT(ADDRESS(12,3+18*0+(11),,,"J1 C - (South) Bishopthorpe Roa")&amp;":"&amp;ADDRESS(130,3+18*0+(11))),'J1 C - (South) Bishopthorpe Roa'!$A$12:$A$130,"&gt;="&amp;Diagram!$O61,'J1 C - (South) Bishopthorpe Roa'!$A$12:$A$130,"&lt;"&amp;Diagram!$P61)))</f>
        <v>0</v>
      </c>
      <c r="CD61" s="42">
        <f ca="1">IF(OR($I$10="",$O61="",$P61="",$J$38&lt;&gt;"Yes"),0,IF($K$10=0,SUMIFS(INDIRECT(ADDRESS(12,3+18*0+(3),,,"J1 D - South Bank Avenue")&amp;":"&amp;ADDRESS(130,3+18*0+(3))),'J1 D - South Bank Avenue'!$A$12:$A$130,"&gt;="&amp;Diagram!$O61,'J1 D - South Bank Avenue'!$A$12:$A$130,"&lt;"&amp;Diagram!$P61),SUMIFS(INDIRECT(ADDRESS(12,3+18*0+(11),,,"J1 D - South Bank Avenue")&amp;":"&amp;ADDRESS(130,3+18*0+(11))),'J1 D - South Bank Avenue'!$A$12:$A$130,"&gt;="&amp;Diagram!$O61,'J1 D - South Bank Avenue'!$A$12:$A$130,"&lt;"&amp;Diagram!$P61)))</f>
        <v>0</v>
      </c>
      <c r="CE61" s="42">
        <f ca="1">IF(OR($I$10="",$O61="",$P61="",$J$38&lt;&gt;"Yes"),0,IF($K$10=0,SUMIFS(INDIRECT(ADDRESS(12,3+18*1+(3),,,"J1 D - South Bank Avenue")&amp;":"&amp;ADDRESS(130,3+18*1+(3))),'J1 D - South Bank Avenue'!$A$12:$A$130,"&gt;="&amp;Diagram!$O61,'J1 D - South Bank Avenue'!$A$12:$A$130,"&lt;"&amp;Diagram!$P61),SUMIFS(INDIRECT(ADDRESS(12,3+18*1+(11),,,"J1 D - South Bank Avenue")&amp;":"&amp;ADDRESS(130,3+18*1+(11))),'J1 D - South Bank Avenue'!$A$12:$A$130,"&gt;="&amp;Diagram!$O61,'J1 D - South Bank Avenue'!$A$12:$A$130,"&lt;"&amp;Diagram!$P61)))</f>
        <v>0</v>
      </c>
      <c r="CF61" s="42">
        <f ca="1">IF(OR($I$10="",$O61="",$P61="",$J$38&lt;&gt;"Yes"),0,IF($K$10=0,SUMIFS(INDIRECT(ADDRESS(12,3+18*2+(3),,,"J1 D - South Bank Avenue")&amp;":"&amp;ADDRESS(130,3+18*2+(3))),'J1 D - South Bank Avenue'!$A$12:$A$130,"&gt;="&amp;Diagram!$O61,'J1 D - South Bank Avenue'!$A$12:$A$130,"&lt;"&amp;Diagram!$P61),SUMIFS(INDIRECT(ADDRESS(12,3+18*2+(11),,,"J1 D - South Bank Avenue")&amp;":"&amp;ADDRESS(130,3+18*2+(11))),'J1 D - South Bank Avenue'!$A$12:$A$130,"&gt;="&amp;Diagram!$O61,'J1 D - South Bank Avenue'!$A$12:$A$130,"&lt;"&amp;Diagram!$P61)))</f>
        <v>0</v>
      </c>
      <c r="CG61" s="42">
        <f ca="1">IF(OR($I$10="",$O61="",$P61="",$J$38&lt;&gt;"Yes"),0,IF($K$10=0,SUMIFS(INDIRECT(ADDRESS(12,3+18*3+(3),,,"J1 D - South Bank Avenue")&amp;":"&amp;ADDRESS(130,3+18*3+(3))),'J1 D - South Bank Avenue'!$A$12:$A$130,"&gt;="&amp;Diagram!$O61,'J1 D - South Bank Avenue'!$A$12:$A$130,"&lt;"&amp;Diagram!$P61),SUMIFS(INDIRECT(ADDRESS(12,3+18*3+(11),,,"J1 D - South Bank Avenue")&amp;":"&amp;ADDRESS(130,3+18*3+(11))),'J1 D - South Bank Avenue'!$A$12:$A$130,"&gt;="&amp;Diagram!$O61,'J1 D - South Bank Avenue'!$A$12:$A$130,"&lt;"&amp;Diagram!$P61)))</f>
        <v>0</v>
      </c>
      <c r="CH61" s="42">
        <f t="shared" ca="1" si="5"/>
        <v>8</v>
      </c>
      <c r="CI61" s="42">
        <f ca="1">IF(OR($I$10="",$O61="",$P61="",$J$39&lt;&gt;"Yes"),0,IF($K$10=0,SUMIFS(INDIRECT(ADDRESS(12,3+18*3+(4),,,"J1 A - (North) Bishopthorpe Roa")&amp;":"&amp;ADDRESS(130,3+18*3+(4))),'J1 A - (North) Bishopthorpe Roa'!$A$12:$A$130,"&gt;="&amp;Diagram!$O61,'J1 A - (North) Bishopthorpe Roa'!$A$12:$A$130,"&lt;"&amp;Diagram!$P61),SUMIFS(INDIRECT(ADDRESS(12,3+18*3+(12),,,"J1 A - (North) Bishopthorpe Roa")&amp;":"&amp;ADDRESS(130,3+18*3+(12))),'J1 A - (North) Bishopthorpe Roa'!$A$12:$A$130,"&gt;="&amp;Diagram!$O61,'J1 A - (North) Bishopthorpe Roa'!$A$12:$A$130,"&lt;"&amp;Diagram!$P61)))</f>
        <v>0</v>
      </c>
      <c r="CJ61" s="42">
        <f ca="1">IF(OR($I$10="",$O61="",$P61="",$J$39&lt;&gt;"Yes"),0,IF($K$10=0,SUMIFS(INDIRECT(ADDRESS(12,3+18*0+(4),,,"J1 A - (North) Bishopthorpe Roa")&amp;":"&amp;ADDRESS(130,3+18*0+(4))),'J1 A - (North) Bishopthorpe Roa'!$A$12:$A$130,"&gt;="&amp;Diagram!$O61,'J1 A - (North) Bishopthorpe Roa'!$A$12:$A$130,"&lt;"&amp;Diagram!$P61),SUMIFS(INDIRECT(ADDRESS(12,3+18*0+(12),,,"J1 A - (North) Bishopthorpe Roa")&amp;":"&amp;ADDRESS(130,3+18*0+(12))),'J1 A - (North) Bishopthorpe Roa'!$A$12:$A$130,"&gt;="&amp;Diagram!$O61,'J1 A - (North) Bishopthorpe Roa'!$A$12:$A$130,"&lt;"&amp;Diagram!$P61)))</f>
        <v>0</v>
      </c>
      <c r="CK61" s="42">
        <f ca="1">IF(OR($I$10="",$O61="",$P61="",$J$39&lt;&gt;"Yes"),0,IF($K$10=0,SUMIFS(INDIRECT(ADDRESS(12,3+18*1+(4),,,"J1 A - (North) Bishopthorpe Roa")&amp;":"&amp;ADDRESS(130,3+18*1+(4))),'J1 A - (North) Bishopthorpe Roa'!$A$12:$A$130,"&gt;="&amp;Diagram!$O61,'J1 A - (North) Bishopthorpe Roa'!$A$12:$A$130,"&lt;"&amp;Diagram!$P61),SUMIFS(INDIRECT(ADDRESS(12,3+18*1+(12),,,"J1 A - (North) Bishopthorpe Roa")&amp;":"&amp;ADDRESS(130,3+18*1+(12))),'J1 A - (North) Bishopthorpe Roa'!$A$12:$A$130,"&gt;="&amp;Diagram!$O61,'J1 A - (North) Bishopthorpe Roa'!$A$12:$A$130,"&lt;"&amp;Diagram!$P61)))</f>
        <v>4</v>
      </c>
      <c r="CL61" s="42">
        <f ca="1">IF(OR($I$10="",$O61="",$P61="",$J$39&lt;&gt;"Yes"),0,IF($K$10=0,SUMIFS(INDIRECT(ADDRESS(12,3+18*2+(4),,,"J1 A - (North) Bishopthorpe Roa")&amp;":"&amp;ADDRESS(130,3+18*2+(4))),'J1 A - (North) Bishopthorpe Roa'!$A$12:$A$130,"&gt;="&amp;Diagram!$O61,'J1 A - (North) Bishopthorpe Roa'!$A$12:$A$130,"&lt;"&amp;Diagram!$P61),SUMIFS(INDIRECT(ADDRESS(12,3+18*2+(12),,,"J1 A - (North) Bishopthorpe Roa")&amp;":"&amp;ADDRESS(130,3+18*2+(12))),'J1 A - (North) Bishopthorpe Roa'!$A$12:$A$130,"&gt;="&amp;Diagram!$O61,'J1 A - (North) Bishopthorpe Roa'!$A$12:$A$130,"&lt;"&amp;Diagram!$P61)))</f>
        <v>0</v>
      </c>
      <c r="CM61" s="42">
        <f ca="1">IF(OR($I$10="",$O61="",$P61="",$J$39&lt;&gt;"Yes"),0,IF($K$10=0,SUMIFS(INDIRECT(ADDRESS(12,3+18*2+(4),,,"J1 B - Butcher Terrace")&amp;":"&amp;ADDRESS(130,3+18*2+(4))),'J1 B - Butcher Terrace'!$A$12:$A$130,"&gt;="&amp;Diagram!$O61,'J1 B - Butcher Terrace'!$A$12:$A$130,"&lt;"&amp;Diagram!$P61),SUMIFS(INDIRECT(ADDRESS(12,3+18*2+(12),,,"J1 B - Butcher Terrace")&amp;":"&amp;ADDRESS(130,3+18*2+(12))),'J1 B - Butcher Terrace'!$A$12:$A$130,"&gt;="&amp;Diagram!$O61,'J1 B - Butcher Terrace'!$A$12:$A$130,"&lt;"&amp;Diagram!$P61)))</f>
        <v>0</v>
      </c>
      <c r="CN61" s="42">
        <f ca="1">IF(OR($I$10="",$O61="",$P61="",$J$39&lt;&gt;"Yes"),0,IF($K$10=0,SUMIFS(INDIRECT(ADDRESS(12,3+18*3+(4),,,"J1 B - Butcher Terrace")&amp;":"&amp;ADDRESS(130,3+18*3+(4))),'J1 B - Butcher Terrace'!$A$12:$A$130,"&gt;="&amp;Diagram!$O61,'J1 B - Butcher Terrace'!$A$12:$A$130,"&lt;"&amp;Diagram!$P61),SUMIFS(INDIRECT(ADDRESS(12,3+18*3+(12),,,"J1 B - Butcher Terrace")&amp;":"&amp;ADDRESS(130,3+18*3+(12))),'J1 B - Butcher Terrace'!$A$12:$A$130,"&gt;="&amp;Diagram!$O61,'J1 B - Butcher Terrace'!$A$12:$A$130,"&lt;"&amp;Diagram!$P61)))</f>
        <v>0</v>
      </c>
      <c r="CO61" s="42">
        <f ca="1">IF(OR($I$10="",$O61="",$P61="",$J$39&lt;&gt;"Yes"),0,IF($K$10=0,SUMIFS(INDIRECT(ADDRESS(12,3+18*0+(4),,,"J1 B - Butcher Terrace")&amp;":"&amp;ADDRESS(130,3+18*0+(4))),'J1 B - Butcher Terrace'!$A$12:$A$130,"&gt;="&amp;Diagram!$O61,'J1 B - Butcher Terrace'!$A$12:$A$130,"&lt;"&amp;Diagram!$P61),SUMIFS(INDIRECT(ADDRESS(12,3+18*0+(12),,,"J1 B - Butcher Terrace")&amp;":"&amp;ADDRESS(130,3+18*0+(12))),'J1 B - Butcher Terrace'!$A$12:$A$130,"&gt;="&amp;Diagram!$O61,'J1 B - Butcher Terrace'!$A$12:$A$130,"&lt;"&amp;Diagram!$P61)))</f>
        <v>0</v>
      </c>
      <c r="CP61" s="42">
        <f ca="1">IF(OR($I$10="",$O61="",$P61="",$J$39&lt;&gt;"Yes"),0,IF($K$10=0,SUMIFS(INDIRECT(ADDRESS(12,3+18*1+(4),,,"J1 B - Butcher Terrace")&amp;":"&amp;ADDRESS(130,3+18*1+(4))),'J1 B - Butcher Terrace'!$A$12:$A$130,"&gt;="&amp;Diagram!$O61,'J1 B - Butcher Terrace'!$A$12:$A$130,"&lt;"&amp;Diagram!$P61),SUMIFS(INDIRECT(ADDRESS(12,3+18*1+(12),,,"J1 B - Butcher Terrace")&amp;":"&amp;ADDRESS(130,3+18*1+(12))),'J1 B - Butcher Terrace'!$A$12:$A$130,"&gt;="&amp;Diagram!$O61,'J1 B - Butcher Terrace'!$A$12:$A$130,"&lt;"&amp;Diagram!$P61)))</f>
        <v>0</v>
      </c>
      <c r="CQ61" s="42">
        <f ca="1">IF(OR($I$10="",$O61="",$P61="",$J$39&lt;&gt;"Yes"),0,IF($K$10=0,SUMIFS(INDIRECT(ADDRESS(12,3+18*1+(4),,,"J1 C - (South) Bishopthorpe Roa")&amp;":"&amp;ADDRESS(130,3+18*1+(4))),'J1 C - (South) Bishopthorpe Roa'!$A$12:$A$130,"&gt;="&amp;Diagram!$O61,'J1 C - (South) Bishopthorpe Roa'!$A$12:$A$130,"&lt;"&amp;Diagram!$P61),SUMIFS(INDIRECT(ADDRESS(12,3+18*1+(12),,,"J1 C - (South) Bishopthorpe Roa")&amp;":"&amp;ADDRESS(130,3+18*1+(12))),'J1 C - (South) Bishopthorpe Roa'!$A$12:$A$130,"&gt;="&amp;Diagram!$O61,'J1 C - (South) Bishopthorpe Roa'!$A$12:$A$130,"&lt;"&amp;Diagram!$P61)))</f>
        <v>4</v>
      </c>
      <c r="CR61" s="42">
        <f ca="1">IF(OR($I$10="",$O61="",$P61="",$J$39&lt;&gt;"Yes"),0,IF($K$10=0,SUMIFS(INDIRECT(ADDRESS(12,3+18*2+(4),,,"J1 C - (South) Bishopthorpe Roa")&amp;":"&amp;ADDRESS(130,3+18*2+(4))),'J1 C - (South) Bishopthorpe Roa'!$A$12:$A$130,"&gt;="&amp;Diagram!$O61,'J1 C - (South) Bishopthorpe Roa'!$A$12:$A$130,"&lt;"&amp;Diagram!$P61),SUMIFS(INDIRECT(ADDRESS(12,3+18*2+(12),,,"J1 C - (South) Bishopthorpe Roa")&amp;":"&amp;ADDRESS(130,3+18*2+(12))),'J1 C - (South) Bishopthorpe Roa'!$A$12:$A$130,"&gt;="&amp;Diagram!$O61,'J1 C - (South) Bishopthorpe Roa'!$A$12:$A$130,"&lt;"&amp;Diagram!$P61)))</f>
        <v>0</v>
      </c>
      <c r="CS61" s="42">
        <f ca="1">IF(OR($I$10="",$O61="",$P61="",$J$39&lt;&gt;"Yes"),0,IF($K$10=0,SUMIFS(INDIRECT(ADDRESS(12,3+18*3+(4),,,"J1 C - (South) Bishopthorpe Roa")&amp;":"&amp;ADDRESS(130,3+18*3+(4))),'J1 C - (South) Bishopthorpe Roa'!$A$12:$A$130,"&gt;="&amp;Diagram!$O61,'J1 C - (South) Bishopthorpe Roa'!$A$12:$A$130,"&lt;"&amp;Diagram!$P61),SUMIFS(INDIRECT(ADDRESS(12,3+18*3+(12),,,"J1 C - (South) Bishopthorpe Roa")&amp;":"&amp;ADDRESS(130,3+18*3+(12))),'J1 C - (South) Bishopthorpe Roa'!$A$12:$A$130,"&gt;="&amp;Diagram!$O61,'J1 C - (South) Bishopthorpe Roa'!$A$12:$A$130,"&lt;"&amp;Diagram!$P61)))</f>
        <v>0</v>
      </c>
      <c r="CT61" s="42">
        <f ca="1">IF(OR($I$10="",$O61="",$P61="",$J$39&lt;&gt;"Yes"),0,IF($K$10=0,SUMIFS(INDIRECT(ADDRESS(12,3+18*0+(4),,,"J1 C - (South) Bishopthorpe Roa")&amp;":"&amp;ADDRESS(130,3+18*0+(4))),'J1 C - (South) Bishopthorpe Roa'!$A$12:$A$130,"&gt;="&amp;Diagram!$O61,'J1 C - (South) Bishopthorpe Roa'!$A$12:$A$130,"&lt;"&amp;Diagram!$P61),SUMIFS(INDIRECT(ADDRESS(12,3+18*0+(12),,,"J1 C - (South) Bishopthorpe Roa")&amp;":"&amp;ADDRESS(130,3+18*0+(12))),'J1 C - (South) Bishopthorpe Roa'!$A$12:$A$130,"&gt;="&amp;Diagram!$O61,'J1 C - (South) Bishopthorpe Roa'!$A$12:$A$130,"&lt;"&amp;Diagram!$P61)))</f>
        <v>0</v>
      </c>
      <c r="CU61" s="42">
        <f ca="1">IF(OR($I$10="",$O61="",$P61="",$J$39&lt;&gt;"Yes"),0,IF($K$10=0,SUMIFS(INDIRECT(ADDRESS(12,3+18*0+(4),,,"J1 D - South Bank Avenue")&amp;":"&amp;ADDRESS(130,3+18*0+(4))),'J1 D - South Bank Avenue'!$A$12:$A$130,"&gt;="&amp;Diagram!$O61,'J1 D - South Bank Avenue'!$A$12:$A$130,"&lt;"&amp;Diagram!$P61),SUMIFS(INDIRECT(ADDRESS(12,3+18*0+(12),,,"J1 D - South Bank Avenue")&amp;":"&amp;ADDRESS(130,3+18*0+(12))),'J1 D - South Bank Avenue'!$A$12:$A$130,"&gt;="&amp;Diagram!$O61,'J1 D - South Bank Avenue'!$A$12:$A$130,"&lt;"&amp;Diagram!$P61)))</f>
        <v>0</v>
      </c>
      <c r="CV61" s="42">
        <f ca="1">IF(OR($I$10="",$O61="",$P61="",$J$39&lt;&gt;"Yes"),0,IF($K$10=0,SUMIFS(INDIRECT(ADDRESS(12,3+18*1+(4),,,"J1 D - South Bank Avenue")&amp;":"&amp;ADDRESS(130,3+18*1+(4))),'J1 D - South Bank Avenue'!$A$12:$A$130,"&gt;="&amp;Diagram!$O61,'J1 D - South Bank Avenue'!$A$12:$A$130,"&lt;"&amp;Diagram!$P61),SUMIFS(INDIRECT(ADDRESS(12,3+18*1+(12),,,"J1 D - South Bank Avenue")&amp;":"&amp;ADDRESS(130,3+18*1+(12))),'J1 D - South Bank Avenue'!$A$12:$A$130,"&gt;="&amp;Diagram!$O61,'J1 D - South Bank Avenue'!$A$12:$A$130,"&lt;"&amp;Diagram!$P61)))</f>
        <v>0</v>
      </c>
      <c r="CW61" s="42">
        <f ca="1">IF(OR($I$10="",$O61="",$P61="",$J$39&lt;&gt;"Yes"),0,IF($K$10=0,SUMIFS(INDIRECT(ADDRESS(12,3+18*2+(4),,,"J1 D - South Bank Avenue")&amp;":"&amp;ADDRESS(130,3+18*2+(4))),'J1 D - South Bank Avenue'!$A$12:$A$130,"&gt;="&amp;Diagram!$O61,'J1 D - South Bank Avenue'!$A$12:$A$130,"&lt;"&amp;Diagram!$P61),SUMIFS(INDIRECT(ADDRESS(12,3+18*2+(12),,,"J1 D - South Bank Avenue")&amp;":"&amp;ADDRESS(130,3+18*2+(12))),'J1 D - South Bank Avenue'!$A$12:$A$130,"&gt;="&amp;Diagram!$O61,'J1 D - South Bank Avenue'!$A$12:$A$130,"&lt;"&amp;Diagram!$P61)))</f>
        <v>0</v>
      </c>
      <c r="CX61" s="42">
        <f ca="1">IF(OR($I$10="",$O61="",$P61="",$J$39&lt;&gt;"Yes"),0,IF($K$10=0,SUMIFS(INDIRECT(ADDRESS(12,3+18*3+(4),,,"J1 D - South Bank Avenue")&amp;":"&amp;ADDRESS(130,3+18*3+(4))),'J1 D - South Bank Avenue'!$A$12:$A$130,"&gt;="&amp;Diagram!$O61,'J1 D - South Bank Avenue'!$A$12:$A$130,"&lt;"&amp;Diagram!$P61),SUMIFS(INDIRECT(ADDRESS(12,3+18*3+(12),,,"J1 D - South Bank Avenue")&amp;":"&amp;ADDRESS(130,3+18*3+(12))),'J1 D - South Bank Avenue'!$A$12:$A$130,"&gt;="&amp;Diagram!$O61,'J1 D - South Bank Avenue'!$A$12:$A$130,"&lt;"&amp;Diagram!$P61)))</f>
        <v>0</v>
      </c>
      <c r="CY61" s="42">
        <f t="shared" ca="1" si="6"/>
        <v>131</v>
      </c>
      <c r="CZ61" s="42">
        <f ca="1">IF(OR($I$10="",$O61="",$P61="",$J$40&lt;&gt;"Yes"),0,IF($K$10=0,SUMIFS(INDIRECT(ADDRESS(12,3+18*3+(5),,,"J1 A - (North) Bishopthorpe Roa")&amp;":"&amp;ADDRESS(130,3+18*3+(5))),'J1 A - (North) Bishopthorpe Roa'!$A$12:$A$130,"&gt;="&amp;Diagram!$O61,'J1 A - (North) Bishopthorpe Roa'!$A$12:$A$130,"&lt;"&amp;Diagram!$P61),SUMIFS(INDIRECT(ADDRESS(12,3+18*3+(13),,,"J1 A - (North) Bishopthorpe Roa")&amp;":"&amp;ADDRESS(130,3+18*3+(13))),'J1 A - (North) Bishopthorpe Roa'!$A$12:$A$130,"&gt;="&amp;Diagram!$O61,'J1 A - (North) Bishopthorpe Roa'!$A$12:$A$130,"&lt;"&amp;Diagram!$P61)))</f>
        <v>0</v>
      </c>
      <c r="DA61" s="42">
        <f ca="1">IF(OR($I$10="",$O61="",$P61="",$J$40&lt;&gt;"Yes"),0,IF($K$10=0,SUMIFS(INDIRECT(ADDRESS(12,3+18*0+(5),,,"J1 A - (North) Bishopthorpe Roa")&amp;":"&amp;ADDRESS(130,3+18*0+(5))),'J1 A - (North) Bishopthorpe Roa'!$A$12:$A$130,"&gt;="&amp;Diagram!$O61,'J1 A - (North) Bishopthorpe Roa'!$A$12:$A$130,"&lt;"&amp;Diagram!$P61),SUMIFS(INDIRECT(ADDRESS(12,3+18*0+(13),,,"J1 A - (North) Bishopthorpe Roa")&amp;":"&amp;ADDRESS(130,3+18*0+(13))),'J1 A - (North) Bishopthorpe Roa'!$A$12:$A$130,"&gt;="&amp;Diagram!$O61,'J1 A - (North) Bishopthorpe Roa'!$A$12:$A$130,"&lt;"&amp;Diagram!$P61)))</f>
        <v>14</v>
      </c>
      <c r="DB61" s="42">
        <f ca="1">IF(OR($I$10="",$O61="",$P61="",$J$40&lt;&gt;"Yes"),0,IF($K$10=0,SUMIFS(INDIRECT(ADDRESS(12,3+18*1+(5),,,"J1 A - (North) Bishopthorpe Roa")&amp;":"&amp;ADDRESS(130,3+18*1+(5))),'J1 A - (North) Bishopthorpe Roa'!$A$12:$A$130,"&gt;="&amp;Diagram!$O61,'J1 A - (North) Bishopthorpe Roa'!$A$12:$A$130,"&lt;"&amp;Diagram!$P61),SUMIFS(INDIRECT(ADDRESS(12,3+18*1+(13),,,"J1 A - (North) Bishopthorpe Roa")&amp;":"&amp;ADDRESS(130,3+18*1+(13))),'J1 A - (North) Bishopthorpe Roa'!$A$12:$A$130,"&gt;="&amp;Diagram!$O61,'J1 A - (North) Bishopthorpe Roa'!$A$12:$A$130,"&lt;"&amp;Diagram!$P61)))</f>
        <v>14</v>
      </c>
      <c r="DC61" s="42">
        <f ca="1">IF(OR($I$10="",$O61="",$P61="",$J$40&lt;&gt;"Yes"),0,IF($K$10=0,SUMIFS(INDIRECT(ADDRESS(12,3+18*2+(5),,,"J1 A - (North) Bishopthorpe Roa")&amp;":"&amp;ADDRESS(130,3+18*2+(5))),'J1 A - (North) Bishopthorpe Roa'!$A$12:$A$130,"&gt;="&amp;Diagram!$O61,'J1 A - (North) Bishopthorpe Roa'!$A$12:$A$130,"&lt;"&amp;Diagram!$P61),SUMIFS(INDIRECT(ADDRESS(12,3+18*2+(13),,,"J1 A - (North) Bishopthorpe Roa")&amp;":"&amp;ADDRESS(130,3+18*2+(13))),'J1 A - (North) Bishopthorpe Roa'!$A$12:$A$130,"&gt;="&amp;Diagram!$O61,'J1 A - (North) Bishopthorpe Roa'!$A$12:$A$130,"&lt;"&amp;Diagram!$P61)))</f>
        <v>3</v>
      </c>
      <c r="DD61" s="42">
        <f ca="1">IF(OR($I$10="",$O61="",$P61="",$J$40&lt;&gt;"Yes"),0,IF($K$10=0,SUMIFS(INDIRECT(ADDRESS(12,3+18*2+(5),,,"J1 B - Butcher Terrace")&amp;":"&amp;ADDRESS(130,3+18*2+(5))),'J1 B - Butcher Terrace'!$A$12:$A$130,"&gt;="&amp;Diagram!$O61,'J1 B - Butcher Terrace'!$A$12:$A$130,"&lt;"&amp;Diagram!$P61),SUMIFS(INDIRECT(ADDRESS(12,3+18*2+(13),,,"J1 B - Butcher Terrace")&amp;":"&amp;ADDRESS(130,3+18*2+(13))),'J1 B - Butcher Terrace'!$A$12:$A$130,"&gt;="&amp;Diagram!$O61,'J1 B - Butcher Terrace'!$A$12:$A$130,"&lt;"&amp;Diagram!$P61)))</f>
        <v>14</v>
      </c>
      <c r="DE61" s="42">
        <f ca="1">IF(OR($I$10="",$O61="",$P61="",$J$40&lt;&gt;"Yes"),0,IF($K$10=0,SUMIFS(INDIRECT(ADDRESS(12,3+18*3+(5),,,"J1 B - Butcher Terrace")&amp;":"&amp;ADDRESS(130,3+18*3+(5))),'J1 B - Butcher Terrace'!$A$12:$A$130,"&gt;="&amp;Diagram!$O61,'J1 B - Butcher Terrace'!$A$12:$A$130,"&lt;"&amp;Diagram!$P61),SUMIFS(INDIRECT(ADDRESS(12,3+18*3+(13),,,"J1 B - Butcher Terrace")&amp;":"&amp;ADDRESS(130,3+18*3+(13))),'J1 B - Butcher Terrace'!$A$12:$A$130,"&gt;="&amp;Diagram!$O61,'J1 B - Butcher Terrace'!$A$12:$A$130,"&lt;"&amp;Diagram!$P61)))</f>
        <v>0</v>
      </c>
      <c r="DF61" s="42">
        <f ca="1">IF(OR($I$10="",$O61="",$P61="",$J$40&lt;&gt;"Yes"),0,IF($K$10=0,SUMIFS(INDIRECT(ADDRESS(12,3+18*0+(5),,,"J1 B - Butcher Terrace")&amp;":"&amp;ADDRESS(130,3+18*0+(5))),'J1 B - Butcher Terrace'!$A$12:$A$130,"&gt;="&amp;Diagram!$O61,'J1 B - Butcher Terrace'!$A$12:$A$130,"&lt;"&amp;Diagram!$P61),SUMIFS(INDIRECT(ADDRESS(12,3+18*0+(13),,,"J1 B - Butcher Terrace")&amp;":"&amp;ADDRESS(130,3+18*0+(13))),'J1 B - Butcher Terrace'!$A$12:$A$130,"&gt;="&amp;Diagram!$O61,'J1 B - Butcher Terrace'!$A$12:$A$130,"&lt;"&amp;Diagram!$P61)))</f>
        <v>11</v>
      </c>
      <c r="DG61" s="42">
        <f ca="1">IF(OR($I$10="",$O61="",$P61="",$J$40&lt;&gt;"Yes"),0,IF($K$10=0,SUMIFS(INDIRECT(ADDRESS(12,3+18*1+(5),,,"J1 B - Butcher Terrace")&amp;":"&amp;ADDRESS(130,3+18*1+(5))),'J1 B - Butcher Terrace'!$A$12:$A$130,"&gt;="&amp;Diagram!$O61,'J1 B - Butcher Terrace'!$A$12:$A$130,"&lt;"&amp;Diagram!$P61),SUMIFS(INDIRECT(ADDRESS(12,3+18*1+(13),,,"J1 B - Butcher Terrace")&amp;":"&amp;ADDRESS(130,3+18*1+(13))),'J1 B - Butcher Terrace'!$A$12:$A$130,"&gt;="&amp;Diagram!$O61,'J1 B - Butcher Terrace'!$A$12:$A$130,"&lt;"&amp;Diagram!$P61)))</f>
        <v>43</v>
      </c>
      <c r="DH61" s="42">
        <f ca="1">IF(OR($I$10="",$O61="",$P61="",$J$40&lt;&gt;"Yes"),0,IF($K$10=0,SUMIFS(INDIRECT(ADDRESS(12,3+18*1+(5),,,"J1 C - (South) Bishopthorpe Roa")&amp;":"&amp;ADDRESS(130,3+18*1+(5))),'J1 C - (South) Bishopthorpe Roa'!$A$12:$A$130,"&gt;="&amp;Diagram!$O61,'J1 C - (South) Bishopthorpe Roa'!$A$12:$A$130,"&lt;"&amp;Diagram!$P61),SUMIFS(INDIRECT(ADDRESS(12,3+18*1+(13),,,"J1 C - (South) Bishopthorpe Roa")&amp;":"&amp;ADDRESS(130,3+18*1+(13))),'J1 C - (South) Bishopthorpe Roa'!$A$12:$A$130,"&gt;="&amp;Diagram!$O61,'J1 C - (South) Bishopthorpe Roa'!$A$12:$A$130,"&lt;"&amp;Diagram!$P61)))</f>
        <v>13</v>
      </c>
      <c r="DI61" s="42">
        <f ca="1">IF(OR($I$10="",$O61="",$P61="",$J$40&lt;&gt;"Yes"),0,IF($K$10=0,SUMIFS(INDIRECT(ADDRESS(12,3+18*2+(5),,,"J1 C - (South) Bishopthorpe Roa")&amp;":"&amp;ADDRESS(130,3+18*2+(5))),'J1 C - (South) Bishopthorpe Roa'!$A$12:$A$130,"&gt;="&amp;Diagram!$O61,'J1 C - (South) Bishopthorpe Roa'!$A$12:$A$130,"&lt;"&amp;Diagram!$P61),SUMIFS(INDIRECT(ADDRESS(12,3+18*2+(13),,,"J1 C - (South) Bishopthorpe Roa")&amp;":"&amp;ADDRESS(130,3+18*2+(13))),'J1 C - (South) Bishopthorpe Roa'!$A$12:$A$130,"&gt;="&amp;Diagram!$O61,'J1 C - (South) Bishopthorpe Roa'!$A$12:$A$130,"&lt;"&amp;Diagram!$P61)))</f>
        <v>5</v>
      </c>
      <c r="DJ61" s="42">
        <f ca="1">IF(OR($I$10="",$O61="",$P61="",$J$40&lt;&gt;"Yes"),0,IF($K$10=0,SUMIFS(INDIRECT(ADDRESS(12,3+18*3+(5),,,"J1 C - (South) Bishopthorpe Roa")&amp;":"&amp;ADDRESS(130,3+18*3+(5))),'J1 C - (South) Bishopthorpe Roa'!$A$12:$A$130,"&gt;="&amp;Diagram!$O61,'J1 C - (South) Bishopthorpe Roa'!$A$12:$A$130,"&lt;"&amp;Diagram!$P61),SUMIFS(INDIRECT(ADDRESS(12,3+18*3+(13),,,"J1 C - (South) Bishopthorpe Roa")&amp;":"&amp;ADDRESS(130,3+18*3+(13))),'J1 C - (South) Bishopthorpe Roa'!$A$12:$A$130,"&gt;="&amp;Diagram!$O61,'J1 C - (South) Bishopthorpe Roa'!$A$12:$A$130,"&lt;"&amp;Diagram!$P61)))</f>
        <v>0</v>
      </c>
      <c r="DK61" s="42">
        <f ca="1">IF(OR($I$10="",$O61="",$P61="",$J$40&lt;&gt;"Yes"),0,IF($K$10=0,SUMIFS(INDIRECT(ADDRESS(12,3+18*0+(5),,,"J1 C - (South) Bishopthorpe Roa")&amp;":"&amp;ADDRESS(130,3+18*0+(5))),'J1 C - (South) Bishopthorpe Roa'!$A$12:$A$130,"&gt;="&amp;Diagram!$O61,'J1 C - (South) Bishopthorpe Roa'!$A$12:$A$130,"&lt;"&amp;Diagram!$P61),SUMIFS(INDIRECT(ADDRESS(12,3+18*0+(13),,,"J1 C - (South) Bishopthorpe Roa")&amp;":"&amp;ADDRESS(130,3+18*0+(13))),'J1 C - (South) Bishopthorpe Roa'!$A$12:$A$130,"&gt;="&amp;Diagram!$O61,'J1 C - (South) Bishopthorpe Roa'!$A$12:$A$130,"&lt;"&amp;Diagram!$P61)))</f>
        <v>1</v>
      </c>
      <c r="DL61" s="42">
        <f ca="1">IF(OR($I$10="",$O61="",$P61="",$J$40&lt;&gt;"Yes"),0,IF($K$10=0,SUMIFS(INDIRECT(ADDRESS(12,3+18*0+(5),,,"J1 D - South Bank Avenue")&amp;":"&amp;ADDRESS(130,3+18*0+(5))),'J1 D - South Bank Avenue'!$A$12:$A$130,"&gt;="&amp;Diagram!$O61,'J1 D - South Bank Avenue'!$A$12:$A$130,"&lt;"&amp;Diagram!$P61),SUMIFS(INDIRECT(ADDRESS(12,3+18*0+(13),,,"J1 D - South Bank Avenue")&amp;":"&amp;ADDRESS(130,3+18*0+(13))),'J1 D - South Bank Avenue'!$A$12:$A$130,"&gt;="&amp;Diagram!$O61,'J1 D - South Bank Avenue'!$A$12:$A$130,"&lt;"&amp;Diagram!$P61)))</f>
        <v>5</v>
      </c>
      <c r="DM61" s="42">
        <f ca="1">IF(OR($I$10="",$O61="",$P61="",$J$40&lt;&gt;"Yes"),0,IF($K$10=0,SUMIFS(INDIRECT(ADDRESS(12,3+18*1+(5),,,"J1 D - South Bank Avenue")&amp;":"&amp;ADDRESS(130,3+18*1+(5))),'J1 D - South Bank Avenue'!$A$12:$A$130,"&gt;="&amp;Diagram!$O61,'J1 D - South Bank Avenue'!$A$12:$A$130,"&lt;"&amp;Diagram!$P61),SUMIFS(INDIRECT(ADDRESS(12,3+18*1+(13),,,"J1 D - South Bank Avenue")&amp;":"&amp;ADDRESS(130,3+18*1+(13))),'J1 D - South Bank Avenue'!$A$12:$A$130,"&gt;="&amp;Diagram!$O61,'J1 D - South Bank Avenue'!$A$12:$A$130,"&lt;"&amp;Diagram!$P61)))</f>
        <v>8</v>
      </c>
      <c r="DN61" s="42">
        <f ca="1">IF(OR($I$10="",$O61="",$P61="",$J$40&lt;&gt;"Yes"),0,IF($K$10=0,SUMIFS(INDIRECT(ADDRESS(12,3+18*2+(5),,,"J1 D - South Bank Avenue")&amp;":"&amp;ADDRESS(130,3+18*2+(5))),'J1 D - South Bank Avenue'!$A$12:$A$130,"&gt;="&amp;Diagram!$O61,'J1 D - South Bank Avenue'!$A$12:$A$130,"&lt;"&amp;Diagram!$P61),SUMIFS(INDIRECT(ADDRESS(12,3+18*2+(13),,,"J1 D - South Bank Avenue")&amp;":"&amp;ADDRESS(130,3+18*2+(13))),'J1 D - South Bank Avenue'!$A$12:$A$130,"&gt;="&amp;Diagram!$O61,'J1 D - South Bank Avenue'!$A$12:$A$130,"&lt;"&amp;Diagram!$P61)))</f>
        <v>0</v>
      </c>
      <c r="DO61" s="42">
        <f ca="1">IF(OR($I$10="",$O61="",$P61="",$J$40&lt;&gt;"Yes"),0,IF($K$10=0,SUMIFS(INDIRECT(ADDRESS(12,3+18*3+(5),,,"J1 D - South Bank Avenue")&amp;":"&amp;ADDRESS(130,3+18*3+(5))),'J1 D - South Bank Avenue'!$A$12:$A$130,"&gt;="&amp;Diagram!$O61,'J1 D - South Bank Avenue'!$A$12:$A$130,"&lt;"&amp;Diagram!$P61),SUMIFS(INDIRECT(ADDRESS(12,3+18*3+(13),,,"J1 D - South Bank Avenue")&amp;":"&amp;ADDRESS(130,3+18*3+(13))),'J1 D - South Bank Avenue'!$A$12:$A$130,"&gt;="&amp;Diagram!$O61,'J1 D - South Bank Avenue'!$A$12:$A$130,"&lt;"&amp;Diagram!$P61)))</f>
        <v>0</v>
      </c>
      <c r="DP61" s="42">
        <f t="shared" ca="1" si="7"/>
        <v>6</v>
      </c>
      <c r="DQ61" s="42">
        <f ca="1">IF(OR($I$10="",$O61="",$P61="",$J$41&lt;&gt;"Yes"),0,IF($K$10=0,SUMIFS(INDIRECT(ADDRESS(12,3+18*3+(6),,,"J1 A - (North) Bishopthorpe Roa")&amp;":"&amp;ADDRESS(130,3+18*3+(6))),'J1 A - (North) Bishopthorpe Roa'!$A$12:$A$130,"&gt;="&amp;Diagram!$O61,'J1 A - (North) Bishopthorpe Roa'!$A$12:$A$130,"&lt;"&amp;Diagram!$P61),SUMIFS(INDIRECT(ADDRESS(12,3+18*3+(14),,,"J1 A - (North) Bishopthorpe Roa")&amp;":"&amp;ADDRESS(130,3+18*3+(14))),'J1 A - (North) Bishopthorpe Roa'!$A$12:$A$130,"&gt;="&amp;Diagram!$O61,'J1 A - (North) Bishopthorpe Roa'!$A$12:$A$130,"&lt;"&amp;Diagram!$P61)))</f>
        <v>0</v>
      </c>
      <c r="DR61" s="42">
        <f ca="1">IF(OR($I$10="",$O61="",$P61="",$J$41&lt;&gt;"Yes"),0,IF($K$10=0,SUMIFS(INDIRECT(ADDRESS(12,3+18*0+(6),,,"J1 A - (North) Bishopthorpe Roa")&amp;":"&amp;ADDRESS(130,3+18*0+(6))),'J1 A - (North) Bishopthorpe Roa'!$A$12:$A$130,"&gt;="&amp;Diagram!$O61,'J1 A - (North) Bishopthorpe Roa'!$A$12:$A$130,"&lt;"&amp;Diagram!$P61),SUMIFS(INDIRECT(ADDRESS(12,3+18*0+(14),,,"J1 A - (North) Bishopthorpe Roa")&amp;":"&amp;ADDRESS(130,3+18*0+(14))),'J1 A - (North) Bishopthorpe Roa'!$A$12:$A$130,"&gt;="&amp;Diagram!$O61,'J1 A - (North) Bishopthorpe Roa'!$A$12:$A$130,"&lt;"&amp;Diagram!$P61)))</f>
        <v>1</v>
      </c>
      <c r="DS61" s="42">
        <f ca="1">IF(OR($I$10="",$O61="",$P61="",$J$41&lt;&gt;"Yes"),0,IF($K$10=0,SUMIFS(INDIRECT(ADDRESS(12,3+18*1+(6),,,"J1 A - (North) Bishopthorpe Roa")&amp;":"&amp;ADDRESS(130,3+18*1+(6))),'J1 A - (North) Bishopthorpe Roa'!$A$12:$A$130,"&gt;="&amp;Diagram!$O61,'J1 A - (North) Bishopthorpe Roa'!$A$12:$A$130,"&lt;"&amp;Diagram!$P61),SUMIFS(INDIRECT(ADDRESS(12,3+18*1+(14),,,"J1 A - (North) Bishopthorpe Roa")&amp;":"&amp;ADDRESS(130,3+18*1+(14))),'J1 A - (North) Bishopthorpe Roa'!$A$12:$A$130,"&gt;="&amp;Diagram!$O61,'J1 A - (North) Bishopthorpe Roa'!$A$12:$A$130,"&lt;"&amp;Diagram!$P61)))</f>
        <v>1</v>
      </c>
      <c r="DT61" s="42">
        <f ca="1">IF(OR($I$10="",$O61="",$P61="",$J$41&lt;&gt;"Yes"),0,IF($K$10=0,SUMIFS(INDIRECT(ADDRESS(12,3+18*2+(6),,,"J1 A - (North) Bishopthorpe Roa")&amp;":"&amp;ADDRESS(130,3+18*2+(6))),'J1 A - (North) Bishopthorpe Roa'!$A$12:$A$130,"&gt;="&amp;Diagram!$O61,'J1 A - (North) Bishopthorpe Roa'!$A$12:$A$130,"&lt;"&amp;Diagram!$P61),SUMIFS(INDIRECT(ADDRESS(12,3+18*2+(14),,,"J1 A - (North) Bishopthorpe Roa")&amp;":"&amp;ADDRESS(130,3+18*2+(14))),'J1 A - (North) Bishopthorpe Roa'!$A$12:$A$130,"&gt;="&amp;Diagram!$O61,'J1 A - (North) Bishopthorpe Roa'!$A$12:$A$130,"&lt;"&amp;Diagram!$P61)))</f>
        <v>1</v>
      </c>
      <c r="DU61" s="42">
        <f ca="1">IF(OR($I$10="",$O61="",$P61="",$J$41&lt;&gt;"Yes"),0,IF($K$10=0,SUMIFS(INDIRECT(ADDRESS(12,3+18*2+(6),,,"J1 B - Butcher Terrace")&amp;":"&amp;ADDRESS(130,3+18*2+(6))),'J1 B - Butcher Terrace'!$A$12:$A$130,"&gt;="&amp;Diagram!$O61,'J1 B - Butcher Terrace'!$A$12:$A$130,"&lt;"&amp;Diagram!$P61),SUMIFS(INDIRECT(ADDRESS(12,3+18*2+(14),,,"J1 B - Butcher Terrace")&amp;":"&amp;ADDRESS(130,3+18*2+(14))),'J1 B - Butcher Terrace'!$A$12:$A$130,"&gt;="&amp;Diagram!$O61,'J1 B - Butcher Terrace'!$A$12:$A$130,"&lt;"&amp;Diagram!$P61)))</f>
        <v>0</v>
      </c>
      <c r="DV61" s="42">
        <f ca="1">IF(OR($I$10="",$O61="",$P61="",$J$41&lt;&gt;"Yes"),0,IF($K$10=0,SUMIFS(INDIRECT(ADDRESS(12,3+18*3+(6),,,"J1 B - Butcher Terrace")&amp;":"&amp;ADDRESS(130,3+18*3+(6))),'J1 B - Butcher Terrace'!$A$12:$A$130,"&gt;="&amp;Diagram!$O61,'J1 B - Butcher Terrace'!$A$12:$A$130,"&lt;"&amp;Diagram!$P61),SUMIFS(INDIRECT(ADDRESS(12,3+18*3+(14),,,"J1 B - Butcher Terrace")&amp;":"&amp;ADDRESS(130,3+18*3+(14))),'J1 B - Butcher Terrace'!$A$12:$A$130,"&gt;="&amp;Diagram!$O61,'J1 B - Butcher Terrace'!$A$12:$A$130,"&lt;"&amp;Diagram!$P61)))</f>
        <v>0</v>
      </c>
      <c r="DW61" s="42">
        <f ca="1">IF(OR($I$10="",$O61="",$P61="",$J$41&lt;&gt;"Yes"),0,IF($K$10=0,SUMIFS(INDIRECT(ADDRESS(12,3+18*0+(6),,,"J1 B - Butcher Terrace")&amp;":"&amp;ADDRESS(130,3+18*0+(6))),'J1 B - Butcher Terrace'!$A$12:$A$130,"&gt;="&amp;Diagram!$O61,'J1 B - Butcher Terrace'!$A$12:$A$130,"&lt;"&amp;Diagram!$P61),SUMIFS(INDIRECT(ADDRESS(12,3+18*0+(14),,,"J1 B - Butcher Terrace")&amp;":"&amp;ADDRESS(130,3+18*0+(14))),'J1 B - Butcher Terrace'!$A$12:$A$130,"&gt;="&amp;Diagram!$O61,'J1 B - Butcher Terrace'!$A$12:$A$130,"&lt;"&amp;Diagram!$P61)))</f>
        <v>1</v>
      </c>
      <c r="DX61" s="42">
        <f ca="1">IF(OR($I$10="",$O61="",$P61="",$J$41&lt;&gt;"Yes"),0,IF($K$10=0,SUMIFS(INDIRECT(ADDRESS(12,3+18*1+(6),,,"J1 B - Butcher Terrace")&amp;":"&amp;ADDRESS(130,3+18*1+(6))),'J1 B - Butcher Terrace'!$A$12:$A$130,"&gt;="&amp;Diagram!$O61,'J1 B - Butcher Terrace'!$A$12:$A$130,"&lt;"&amp;Diagram!$P61),SUMIFS(INDIRECT(ADDRESS(12,3+18*1+(14),,,"J1 B - Butcher Terrace")&amp;":"&amp;ADDRESS(130,3+18*1+(14))),'J1 B - Butcher Terrace'!$A$12:$A$130,"&gt;="&amp;Diagram!$O61,'J1 B - Butcher Terrace'!$A$12:$A$130,"&lt;"&amp;Diagram!$P61)))</f>
        <v>0</v>
      </c>
      <c r="DY61" s="42">
        <f ca="1">IF(OR($I$10="",$O61="",$P61="",$J$41&lt;&gt;"Yes"),0,IF($K$10=0,SUMIFS(INDIRECT(ADDRESS(12,3+18*1+(6),,,"J1 C - (South) Bishopthorpe Roa")&amp;":"&amp;ADDRESS(130,3+18*1+(6))),'J1 C - (South) Bishopthorpe Roa'!$A$12:$A$130,"&gt;="&amp;Diagram!$O61,'J1 C - (South) Bishopthorpe Roa'!$A$12:$A$130,"&lt;"&amp;Diagram!$P61),SUMIFS(INDIRECT(ADDRESS(12,3+18*1+(14),,,"J1 C - (South) Bishopthorpe Roa")&amp;":"&amp;ADDRESS(130,3+18*1+(14))),'J1 C - (South) Bishopthorpe Roa'!$A$12:$A$130,"&gt;="&amp;Diagram!$O61,'J1 C - (South) Bishopthorpe Roa'!$A$12:$A$130,"&lt;"&amp;Diagram!$P61)))</f>
        <v>2</v>
      </c>
      <c r="DZ61" s="42">
        <f ca="1">IF(OR($I$10="",$O61="",$P61="",$J$41&lt;&gt;"Yes"),0,IF($K$10=0,SUMIFS(INDIRECT(ADDRESS(12,3+18*2+(6),,,"J1 C - (South) Bishopthorpe Roa")&amp;":"&amp;ADDRESS(130,3+18*2+(6))),'J1 C - (South) Bishopthorpe Roa'!$A$12:$A$130,"&gt;="&amp;Diagram!$O61,'J1 C - (South) Bishopthorpe Roa'!$A$12:$A$130,"&lt;"&amp;Diagram!$P61),SUMIFS(INDIRECT(ADDRESS(12,3+18*2+(14),,,"J1 C - (South) Bishopthorpe Roa")&amp;":"&amp;ADDRESS(130,3+18*2+(14))),'J1 C - (South) Bishopthorpe Roa'!$A$12:$A$130,"&gt;="&amp;Diagram!$O61,'J1 C - (South) Bishopthorpe Roa'!$A$12:$A$130,"&lt;"&amp;Diagram!$P61)))</f>
        <v>0</v>
      </c>
      <c r="EA61" s="42">
        <f ca="1">IF(OR($I$10="",$O61="",$P61="",$J$41&lt;&gt;"Yes"),0,IF($K$10=0,SUMIFS(INDIRECT(ADDRESS(12,3+18*3+(6),,,"J1 C - (South) Bishopthorpe Roa")&amp;":"&amp;ADDRESS(130,3+18*3+(6))),'J1 C - (South) Bishopthorpe Roa'!$A$12:$A$130,"&gt;="&amp;Diagram!$O61,'J1 C - (South) Bishopthorpe Roa'!$A$12:$A$130,"&lt;"&amp;Diagram!$P61),SUMIFS(INDIRECT(ADDRESS(12,3+18*3+(14),,,"J1 C - (South) Bishopthorpe Roa")&amp;":"&amp;ADDRESS(130,3+18*3+(14))),'J1 C - (South) Bishopthorpe Roa'!$A$12:$A$130,"&gt;="&amp;Diagram!$O61,'J1 C - (South) Bishopthorpe Roa'!$A$12:$A$130,"&lt;"&amp;Diagram!$P61)))</f>
        <v>0</v>
      </c>
      <c r="EB61" s="42">
        <f ca="1">IF(OR($I$10="",$O61="",$P61="",$J$41&lt;&gt;"Yes"),0,IF($K$10=0,SUMIFS(INDIRECT(ADDRESS(12,3+18*0+(6),,,"J1 C - (South) Bishopthorpe Roa")&amp;":"&amp;ADDRESS(130,3+18*0+(6))),'J1 C - (South) Bishopthorpe Roa'!$A$12:$A$130,"&gt;="&amp;Diagram!$O61,'J1 C - (South) Bishopthorpe Roa'!$A$12:$A$130,"&lt;"&amp;Diagram!$P61),SUMIFS(INDIRECT(ADDRESS(12,3+18*0+(14),,,"J1 C - (South) Bishopthorpe Roa")&amp;":"&amp;ADDRESS(130,3+18*0+(14))),'J1 C - (South) Bishopthorpe Roa'!$A$12:$A$130,"&gt;="&amp;Diagram!$O61,'J1 C - (South) Bishopthorpe Roa'!$A$12:$A$130,"&lt;"&amp;Diagram!$P61)))</f>
        <v>0</v>
      </c>
      <c r="EC61" s="42">
        <f ca="1">IF(OR($I$10="",$O61="",$P61="",$J$41&lt;&gt;"Yes"),0,IF($K$10=0,SUMIFS(INDIRECT(ADDRESS(12,3+18*0+(6),,,"J1 D - South Bank Avenue")&amp;":"&amp;ADDRESS(130,3+18*0+(6))),'J1 D - South Bank Avenue'!$A$12:$A$130,"&gt;="&amp;Diagram!$O61,'J1 D - South Bank Avenue'!$A$12:$A$130,"&lt;"&amp;Diagram!$P61),SUMIFS(INDIRECT(ADDRESS(12,3+18*0+(14),,,"J1 D - South Bank Avenue")&amp;":"&amp;ADDRESS(130,3+18*0+(14))),'J1 D - South Bank Avenue'!$A$12:$A$130,"&gt;="&amp;Diagram!$O61,'J1 D - South Bank Avenue'!$A$12:$A$130,"&lt;"&amp;Diagram!$P61)))</f>
        <v>0</v>
      </c>
      <c r="ED61" s="42">
        <f ca="1">IF(OR($I$10="",$O61="",$P61="",$J$41&lt;&gt;"Yes"),0,IF($K$10=0,SUMIFS(INDIRECT(ADDRESS(12,3+18*1+(6),,,"J1 D - South Bank Avenue")&amp;":"&amp;ADDRESS(130,3+18*1+(6))),'J1 D - South Bank Avenue'!$A$12:$A$130,"&gt;="&amp;Diagram!$O61,'J1 D - South Bank Avenue'!$A$12:$A$130,"&lt;"&amp;Diagram!$P61),SUMIFS(INDIRECT(ADDRESS(12,3+18*1+(14),,,"J1 D - South Bank Avenue")&amp;":"&amp;ADDRESS(130,3+18*1+(14))),'J1 D - South Bank Avenue'!$A$12:$A$130,"&gt;="&amp;Diagram!$O61,'J1 D - South Bank Avenue'!$A$12:$A$130,"&lt;"&amp;Diagram!$P61)))</f>
        <v>0</v>
      </c>
      <c r="EE61" s="42">
        <f ca="1">IF(OR($I$10="",$O61="",$P61="",$J$41&lt;&gt;"Yes"),0,IF($K$10=0,SUMIFS(INDIRECT(ADDRESS(12,3+18*2+(6),,,"J1 D - South Bank Avenue")&amp;":"&amp;ADDRESS(130,3+18*2+(6))),'J1 D - South Bank Avenue'!$A$12:$A$130,"&gt;="&amp;Diagram!$O61,'J1 D - South Bank Avenue'!$A$12:$A$130,"&lt;"&amp;Diagram!$P61),SUMIFS(INDIRECT(ADDRESS(12,3+18*2+(14),,,"J1 D - South Bank Avenue")&amp;":"&amp;ADDRESS(130,3+18*2+(14))),'J1 D - South Bank Avenue'!$A$12:$A$130,"&gt;="&amp;Diagram!$O61,'J1 D - South Bank Avenue'!$A$12:$A$130,"&lt;"&amp;Diagram!$P61)))</f>
        <v>0</v>
      </c>
      <c r="EF61" s="42">
        <f ca="1">IF(OR($I$10="",$O61="",$P61="",$J$41&lt;&gt;"Yes"),0,IF($K$10=0,SUMIFS(INDIRECT(ADDRESS(12,3+18*3+(6),,,"J1 D - South Bank Avenue")&amp;":"&amp;ADDRESS(130,3+18*3+(6))),'J1 D - South Bank Avenue'!$A$12:$A$130,"&gt;="&amp;Diagram!$O61,'J1 D - South Bank Avenue'!$A$12:$A$130,"&lt;"&amp;Diagram!$P61),SUMIFS(INDIRECT(ADDRESS(12,3+18*3+(14),,,"J1 D - South Bank Avenue")&amp;":"&amp;ADDRESS(130,3+18*3+(14))),'J1 D - South Bank Avenue'!$A$12:$A$130,"&gt;="&amp;Diagram!$O61,'J1 D - South Bank Avenue'!$A$12:$A$130,"&lt;"&amp;Diagram!$P61)))</f>
        <v>0</v>
      </c>
      <c r="EG61" s="42">
        <f t="shared" ca="1" si="8"/>
        <v>3</v>
      </c>
      <c r="EH61" s="42">
        <f ca="1">IF(OR($I$10="",$O61="",$P61="",$J$42&lt;&gt;"Yes"),0,IF($K$10=0,SUMIFS(INDIRECT(ADDRESS(12,3+18*3+(7),,,"J1 A - (North) Bishopthorpe Roa")&amp;":"&amp;ADDRESS(130,3+18*3+(7))),'J1 A - (North) Bishopthorpe Roa'!$A$12:$A$130,"&gt;="&amp;Diagram!$O61,'J1 A - (North) Bishopthorpe Roa'!$A$12:$A$130,"&lt;"&amp;Diagram!$P61),SUMIFS(INDIRECT(ADDRESS(12,3+18*3+(15),,,"J1 A - (North) Bishopthorpe Roa")&amp;":"&amp;ADDRESS(130,3+18*3+(15))),'J1 A - (North) Bishopthorpe Roa'!$A$12:$A$130,"&gt;="&amp;Diagram!$O61,'J1 A - (North) Bishopthorpe Roa'!$A$12:$A$130,"&lt;"&amp;Diagram!$P61)))</f>
        <v>0</v>
      </c>
      <c r="EI61" s="42">
        <f ca="1">IF(OR($I$10="",$O61="",$P61="",$J$42&lt;&gt;"Yes"),0,IF($K$10=0,SUMIFS(INDIRECT(ADDRESS(12,3+18*0+(7),,,"J1 A - (North) Bishopthorpe Roa")&amp;":"&amp;ADDRESS(130,3+18*0+(7))),'J1 A - (North) Bishopthorpe Roa'!$A$12:$A$130,"&gt;="&amp;Diagram!$O61,'J1 A - (North) Bishopthorpe Roa'!$A$12:$A$130,"&lt;"&amp;Diagram!$P61),SUMIFS(INDIRECT(ADDRESS(12,3+18*0+(15),,,"J1 A - (North) Bishopthorpe Roa")&amp;":"&amp;ADDRESS(130,3+18*0+(15))),'J1 A - (North) Bishopthorpe Roa'!$A$12:$A$130,"&gt;="&amp;Diagram!$O61,'J1 A - (North) Bishopthorpe Roa'!$A$12:$A$130,"&lt;"&amp;Diagram!$P61)))</f>
        <v>2</v>
      </c>
      <c r="EJ61" s="42">
        <f ca="1">IF(OR($I$10="",$O61="",$P61="",$J$42&lt;&gt;"Yes"),0,IF($K$10=0,SUMIFS(INDIRECT(ADDRESS(12,3+18*1+(7),,,"J1 A - (North) Bishopthorpe Roa")&amp;":"&amp;ADDRESS(130,3+18*1+(7))),'J1 A - (North) Bishopthorpe Roa'!$A$12:$A$130,"&gt;="&amp;Diagram!$O61,'J1 A - (North) Bishopthorpe Roa'!$A$12:$A$130,"&lt;"&amp;Diagram!$P61),SUMIFS(INDIRECT(ADDRESS(12,3+18*1+(15),,,"J1 A - (North) Bishopthorpe Roa")&amp;":"&amp;ADDRESS(130,3+18*1+(15))),'J1 A - (North) Bishopthorpe Roa'!$A$12:$A$130,"&gt;="&amp;Diagram!$O61,'J1 A - (North) Bishopthorpe Roa'!$A$12:$A$130,"&lt;"&amp;Diagram!$P61)))</f>
        <v>0</v>
      </c>
      <c r="EK61" s="42">
        <f ca="1">IF(OR($I$10="",$O61="",$P61="",$J$42&lt;&gt;"Yes"),0,IF($K$10=0,SUMIFS(INDIRECT(ADDRESS(12,3+18*2+(7),,,"J1 A - (North) Bishopthorpe Roa")&amp;":"&amp;ADDRESS(130,3+18*2+(7))),'J1 A - (North) Bishopthorpe Roa'!$A$12:$A$130,"&gt;="&amp;Diagram!$O61,'J1 A - (North) Bishopthorpe Roa'!$A$12:$A$130,"&lt;"&amp;Diagram!$P61),SUMIFS(INDIRECT(ADDRESS(12,3+18*2+(15),,,"J1 A - (North) Bishopthorpe Roa")&amp;":"&amp;ADDRESS(130,3+18*2+(15))),'J1 A - (North) Bishopthorpe Roa'!$A$12:$A$130,"&gt;="&amp;Diagram!$O61,'J1 A - (North) Bishopthorpe Roa'!$A$12:$A$130,"&lt;"&amp;Diagram!$P61)))</f>
        <v>0</v>
      </c>
      <c r="EL61" s="42">
        <f ca="1">IF(OR($I$10="",$O61="",$P61="",$J$42&lt;&gt;"Yes"),0,IF($K$10=0,SUMIFS(INDIRECT(ADDRESS(12,3+18*2+(7),,,"J1 B - Butcher Terrace")&amp;":"&amp;ADDRESS(130,3+18*2+(7))),'J1 B - Butcher Terrace'!$A$12:$A$130,"&gt;="&amp;Diagram!$O61,'J1 B - Butcher Terrace'!$A$12:$A$130,"&lt;"&amp;Diagram!$P61),SUMIFS(INDIRECT(ADDRESS(12,3+18*2+(15),,,"J1 B - Butcher Terrace")&amp;":"&amp;ADDRESS(130,3+18*2+(15))),'J1 B - Butcher Terrace'!$A$12:$A$130,"&gt;="&amp;Diagram!$O61,'J1 B - Butcher Terrace'!$A$12:$A$130,"&lt;"&amp;Diagram!$P61)))</f>
        <v>0</v>
      </c>
      <c r="EM61" s="42">
        <f ca="1">IF(OR($I$10="",$O61="",$P61="",$J$42&lt;&gt;"Yes"),0,IF($K$10=0,SUMIFS(INDIRECT(ADDRESS(12,3+18*3+(7),,,"J1 B - Butcher Terrace")&amp;":"&amp;ADDRESS(130,3+18*3+(7))),'J1 B - Butcher Terrace'!$A$12:$A$130,"&gt;="&amp;Diagram!$O61,'J1 B - Butcher Terrace'!$A$12:$A$130,"&lt;"&amp;Diagram!$P61),SUMIFS(INDIRECT(ADDRESS(12,3+18*3+(15),,,"J1 B - Butcher Terrace")&amp;":"&amp;ADDRESS(130,3+18*3+(15))),'J1 B - Butcher Terrace'!$A$12:$A$130,"&gt;="&amp;Diagram!$O61,'J1 B - Butcher Terrace'!$A$12:$A$130,"&lt;"&amp;Diagram!$P61)))</f>
        <v>0</v>
      </c>
      <c r="EN61" s="42">
        <f ca="1">IF(OR($I$10="",$O61="",$P61="",$J$42&lt;&gt;"Yes"),0,IF($K$10=0,SUMIFS(INDIRECT(ADDRESS(12,3+18*0+(7),,,"J1 B - Butcher Terrace")&amp;":"&amp;ADDRESS(130,3+18*0+(7))),'J1 B - Butcher Terrace'!$A$12:$A$130,"&gt;="&amp;Diagram!$O61,'J1 B - Butcher Terrace'!$A$12:$A$130,"&lt;"&amp;Diagram!$P61),SUMIFS(INDIRECT(ADDRESS(12,3+18*0+(15),,,"J1 B - Butcher Terrace")&amp;":"&amp;ADDRESS(130,3+18*0+(15))),'J1 B - Butcher Terrace'!$A$12:$A$130,"&gt;="&amp;Diagram!$O61,'J1 B - Butcher Terrace'!$A$12:$A$130,"&lt;"&amp;Diagram!$P61)))</f>
        <v>0</v>
      </c>
      <c r="EO61" s="42">
        <f ca="1">IF(OR($I$10="",$O61="",$P61="",$J$42&lt;&gt;"Yes"),0,IF($K$10=0,SUMIFS(INDIRECT(ADDRESS(12,3+18*1+(7),,,"J1 B - Butcher Terrace")&amp;":"&amp;ADDRESS(130,3+18*1+(7))),'J1 B - Butcher Terrace'!$A$12:$A$130,"&gt;="&amp;Diagram!$O61,'J1 B - Butcher Terrace'!$A$12:$A$130,"&lt;"&amp;Diagram!$P61),SUMIFS(INDIRECT(ADDRESS(12,3+18*1+(15),,,"J1 B - Butcher Terrace")&amp;":"&amp;ADDRESS(130,3+18*1+(15))),'J1 B - Butcher Terrace'!$A$12:$A$130,"&gt;="&amp;Diagram!$O61,'J1 B - Butcher Terrace'!$A$12:$A$130,"&lt;"&amp;Diagram!$P61)))</f>
        <v>0</v>
      </c>
      <c r="EP61" s="42">
        <f ca="1">IF(OR($I$10="",$O61="",$P61="",$J$42&lt;&gt;"Yes"),0,IF($K$10=0,SUMIFS(INDIRECT(ADDRESS(12,3+18*1+(7),,,"J1 C - (South) Bishopthorpe Roa")&amp;":"&amp;ADDRESS(130,3+18*1+(7))),'J1 C - (South) Bishopthorpe Roa'!$A$12:$A$130,"&gt;="&amp;Diagram!$O61,'J1 C - (South) Bishopthorpe Roa'!$A$12:$A$130,"&lt;"&amp;Diagram!$P61),SUMIFS(INDIRECT(ADDRESS(12,3+18*1+(15),,,"J1 C - (South) Bishopthorpe Roa")&amp;":"&amp;ADDRESS(130,3+18*1+(15))),'J1 C - (South) Bishopthorpe Roa'!$A$12:$A$130,"&gt;="&amp;Diagram!$O61,'J1 C - (South) Bishopthorpe Roa'!$A$12:$A$130,"&lt;"&amp;Diagram!$P61)))</f>
        <v>0</v>
      </c>
      <c r="EQ61" s="42">
        <f ca="1">IF(OR($I$10="",$O61="",$P61="",$J$42&lt;&gt;"Yes"),0,IF($K$10=0,SUMIFS(INDIRECT(ADDRESS(12,3+18*2+(7),,,"J1 C - (South) Bishopthorpe Roa")&amp;":"&amp;ADDRESS(130,3+18*2+(7))),'J1 C - (South) Bishopthorpe Roa'!$A$12:$A$130,"&gt;="&amp;Diagram!$O61,'J1 C - (South) Bishopthorpe Roa'!$A$12:$A$130,"&lt;"&amp;Diagram!$P61),SUMIFS(INDIRECT(ADDRESS(12,3+18*2+(15),,,"J1 C - (South) Bishopthorpe Roa")&amp;":"&amp;ADDRESS(130,3+18*2+(15))),'J1 C - (South) Bishopthorpe Roa'!$A$12:$A$130,"&gt;="&amp;Diagram!$O61,'J1 C - (South) Bishopthorpe Roa'!$A$12:$A$130,"&lt;"&amp;Diagram!$P61)))</f>
        <v>1</v>
      </c>
      <c r="ER61" s="42">
        <f ca="1">IF(OR($I$10="",$O61="",$P61="",$J$42&lt;&gt;"Yes"),0,IF($K$10=0,SUMIFS(INDIRECT(ADDRESS(12,3+18*3+(7),,,"J1 C - (South) Bishopthorpe Roa")&amp;":"&amp;ADDRESS(130,3+18*3+(7))),'J1 C - (South) Bishopthorpe Roa'!$A$12:$A$130,"&gt;="&amp;Diagram!$O61,'J1 C - (South) Bishopthorpe Roa'!$A$12:$A$130,"&lt;"&amp;Diagram!$P61),SUMIFS(INDIRECT(ADDRESS(12,3+18*3+(15),,,"J1 C - (South) Bishopthorpe Roa")&amp;":"&amp;ADDRESS(130,3+18*3+(15))),'J1 C - (South) Bishopthorpe Roa'!$A$12:$A$130,"&gt;="&amp;Diagram!$O61,'J1 C - (South) Bishopthorpe Roa'!$A$12:$A$130,"&lt;"&amp;Diagram!$P61)))</f>
        <v>0</v>
      </c>
      <c r="ES61" s="42">
        <f ca="1">IF(OR($I$10="",$O61="",$P61="",$J$42&lt;&gt;"Yes"),0,IF($K$10=0,SUMIFS(INDIRECT(ADDRESS(12,3+18*0+(7),,,"J1 C - (South) Bishopthorpe Roa")&amp;":"&amp;ADDRESS(130,3+18*0+(7))),'J1 C - (South) Bishopthorpe Roa'!$A$12:$A$130,"&gt;="&amp;Diagram!$O61,'J1 C - (South) Bishopthorpe Roa'!$A$12:$A$130,"&lt;"&amp;Diagram!$P61),SUMIFS(INDIRECT(ADDRESS(12,3+18*0+(15),,,"J1 C - (South) Bishopthorpe Roa")&amp;":"&amp;ADDRESS(130,3+18*0+(15))),'J1 C - (South) Bishopthorpe Roa'!$A$12:$A$130,"&gt;="&amp;Diagram!$O61,'J1 C - (South) Bishopthorpe Roa'!$A$12:$A$130,"&lt;"&amp;Diagram!$P61)))</f>
        <v>0</v>
      </c>
      <c r="ET61" s="42">
        <f ca="1">IF(OR($I$10="",$O61="",$P61="",$J$42&lt;&gt;"Yes"),0,IF($K$10=0,SUMIFS(INDIRECT(ADDRESS(12,3+18*0+(7),,,"J1 D - South Bank Avenue")&amp;":"&amp;ADDRESS(130,3+18*0+(7))),'J1 D - South Bank Avenue'!$A$12:$A$130,"&gt;="&amp;Diagram!$O61,'J1 D - South Bank Avenue'!$A$12:$A$130,"&lt;"&amp;Diagram!$P61),SUMIFS(INDIRECT(ADDRESS(12,3+18*0+(15),,,"J1 D - South Bank Avenue")&amp;":"&amp;ADDRESS(130,3+18*0+(15))),'J1 D - South Bank Avenue'!$A$12:$A$130,"&gt;="&amp;Diagram!$O61,'J1 D - South Bank Avenue'!$A$12:$A$130,"&lt;"&amp;Diagram!$P61)))</f>
        <v>0</v>
      </c>
      <c r="EU61" s="42">
        <f ca="1">IF(OR($I$10="",$O61="",$P61="",$J$42&lt;&gt;"Yes"),0,IF($K$10=0,SUMIFS(INDIRECT(ADDRESS(12,3+18*1+(7),,,"J1 D - South Bank Avenue")&amp;":"&amp;ADDRESS(130,3+18*1+(7))),'J1 D - South Bank Avenue'!$A$12:$A$130,"&gt;="&amp;Diagram!$O61,'J1 D - South Bank Avenue'!$A$12:$A$130,"&lt;"&amp;Diagram!$P61),SUMIFS(INDIRECT(ADDRESS(12,3+18*1+(15),,,"J1 D - South Bank Avenue")&amp;":"&amp;ADDRESS(130,3+18*1+(15))),'J1 D - South Bank Avenue'!$A$12:$A$130,"&gt;="&amp;Diagram!$O61,'J1 D - South Bank Avenue'!$A$12:$A$130,"&lt;"&amp;Diagram!$P61)))</f>
        <v>0</v>
      </c>
      <c r="EV61" s="42">
        <f ca="1">IF(OR($I$10="",$O61="",$P61="",$J$42&lt;&gt;"Yes"),0,IF($K$10=0,SUMIFS(INDIRECT(ADDRESS(12,3+18*2+(7),,,"J1 D - South Bank Avenue")&amp;":"&amp;ADDRESS(130,3+18*2+(7))),'J1 D - South Bank Avenue'!$A$12:$A$130,"&gt;="&amp;Diagram!$O61,'J1 D - South Bank Avenue'!$A$12:$A$130,"&lt;"&amp;Diagram!$P61),SUMIFS(INDIRECT(ADDRESS(12,3+18*2+(15),,,"J1 D - South Bank Avenue")&amp;":"&amp;ADDRESS(130,3+18*2+(15))),'J1 D - South Bank Avenue'!$A$12:$A$130,"&gt;="&amp;Diagram!$O61,'J1 D - South Bank Avenue'!$A$12:$A$130,"&lt;"&amp;Diagram!$P61)))</f>
        <v>0</v>
      </c>
      <c r="EW61" s="42">
        <f ca="1">IF(OR($I$10="",$O61="",$P61="",$J$42&lt;&gt;"Yes"),0,IF($K$10=0,SUMIFS(INDIRECT(ADDRESS(12,3+18*3+(7),,,"J1 D - South Bank Avenue")&amp;":"&amp;ADDRESS(130,3+18*3+(7))),'J1 D - South Bank Avenue'!$A$12:$A$130,"&gt;="&amp;Diagram!$O61,'J1 D - South Bank Avenue'!$A$12:$A$130,"&lt;"&amp;Diagram!$P61),SUMIFS(INDIRECT(ADDRESS(12,3+18*3+(15),,,"J1 D - South Bank Avenue")&amp;":"&amp;ADDRESS(130,3+18*3+(15))),'J1 D - South Bank Avenue'!$A$12:$A$130,"&gt;="&amp;Diagram!$O61,'J1 D - South Bank Avenue'!$A$12:$A$130,"&lt;"&amp;Diagram!$P61)))</f>
        <v>0</v>
      </c>
    </row>
    <row r="62" spans="1:153">
      <c r="A62" s="1">
        <v>44395.635416666701</v>
      </c>
      <c r="B62" s="1">
        <v>44395.645833333299</v>
      </c>
      <c r="O62" s="3">
        <v>44395.635416666701</v>
      </c>
      <c r="P62" s="3">
        <v>44395.677083333299</v>
      </c>
      <c r="Q62" s="42">
        <f t="shared" ca="1" si="0"/>
        <v>776</v>
      </c>
      <c r="R62" s="42">
        <f t="shared" ca="1" si="1"/>
        <v>562</v>
      </c>
      <c r="S62" s="42">
        <f ca="1">IF(OR($I$10="",$O62="",$P62="",$J$35&lt;&gt;"Yes"),0,IF($K$10=0,SUMIFS(INDIRECT(ADDRESS(12,3+18*3+(0),,,"J1 A - (North) Bishopthorpe Roa")&amp;":"&amp;ADDRESS(130,3+18*3+(0))),'J1 A - (North) Bishopthorpe Roa'!$A$12:$A$130,"&gt;="&amp;Diagram!$O62,'J1 A - (North) Bishopthorpe Roa'!$A$12:$A$130,"&lt;"&amp;Diagram!$P62),SUMIFS(INDIRECT(ADDRESS(12,3+18*3+(8),,,"J1 A - (North) Bishopthorpe Roa")&amp;":"&amp;ADDRESS(130,3+18*3+(8))),'J1 A - (North) Bishopthorpe Roa'!$A$12:$A$130,"&gt;="&amp;Diagram!$O62,'J1 A - (North) Bishopthorpe Roa'!$A$12:$A$130,"&lt;"&amp;Diagram!$P62)))</f>
        <v>1</v>
      </c>
      <c r="T62" s="42">
        <f ca="1">IF(OR($I$10="",$O62="",$P62="",$J$35&lt;&gt;"Yes"),0,IF($K$10=0,SUMIFS(INDIRECT(ADDRESS(12,3+18*0+(0),,,"J1 A - (North) Bishopthorpe Roa")&amp;":"&amp;ADDRESS(130,3+18*0+(0))),'J1 A - (North) Bishopthorpe Roa'!$A$12:$A$130,"&gt;="&amp;Diagram!$O62,'J1 A - (North) Bishopthorpe Roa'!$A$12:$A$130,"&lt;"&amp;Diagram!$P62),SUMIFS(INDIRECT(ADDRESS(12,3+18*0+(8),,,"J1 A - (North) Bishopthorpe Roa")&amp;":"&amp;ADDRESS(130,3+18*0+(8))),'J1 A - (North) Bishopthorpe Roa'!$A$12:$A$130,"&gt;="&amp;Diagram!$O62,'J1 A - (North) Bishopthorpe Roa'!$A$12:$A$130,"&lt;"&amp;Diagram!$P62)))</f>
        <v>22</v>
      </c>
      <c r="U62" s="42">
        <f ca="1">IF(OR($I$10="",$O62="",$P62="",$J$35&lt;&gt;"Yes"),0,IF($K$10=0,SUMIFS(INDIRECT(ADDRESS(12,3+18*1+(0),,,"J1 A - (North) Bishopthorpe Roa")&amp;":"&amp;ADDRESS(130,3+18*1+(0))),'J1 A - (North) Bishopthorpe Roa'!$A$12:$A$130,"&gt;="&amp;Diagram!$O62,'J1 A - (North) Bishopthorpe Roa'!$A$12:$A$130,"&lt;"&amp;Diagram!$P62),SUMIFS(INDIRECT(ADDRESS(12,3+18*1+(8),,,"J1 A - (North) Bishopthorpe Roa")&amp;":"&amp;ADDRESS(130,3+18*1+(8))),'J1 A - (North) Bishopthorpe Roa'!$A$12:$A$130,"&gt;="&amp;Diagram!$O62,'J1 A - (North) Bishopthorpe Roa'!$A$12:$A$130,"&lt;"&amp;Diagram!$P62)))</f>
        <v>252</v>
      </c>
      <c r="V62" s="42">
        <f ca="1">IF(OR($I$10="",$O62="",$P62="",$J$35&lt;&gt;"Yes"),0,IF($K$10=0,SUMIFS(INDIRECT(ADDRESS(12,3+18*2+(0),,,"J1 A - (North) Bishopthorpe Roa")&amp;":"&amp;ADDRESS(130,3+18*2+(0))),'J1 A - (North) Bishopthorpe Roa'!$A$12:$A$130,"&gt;="&amp;Diagram!$O62,'J1 A - (North) Bishopthorpe Roa'!$A$12:$A$130,"&lt;"&amp;Diagram!$P62),SUMIFS(INDIRECT(ADDRESS(12,3+18*2+(8),,,"J1 A - (North) Bishopthorpe Roa")&amp;":"&amp;ADDRESS(130,3+18*2+(8))),'J1 A - (North) Bishopthorpe Roa'!$A$12:$A$130,"&gt;="&amp;Diagram!$O62,'J1 A - (North) Bishopthorpe Roa'!$A$12:$A$130,"&lt;"&amp;Diagram!$P62)))</f>
        <v>31</v>
      </c>
      <c r="W62" s="42">
        <f ca="1">IF(OR($I$10="",$O62="",$P62="",$J$35&lt;&gt;"Yes"),0,IF($K$10=0,SUMIFS(INDIRECT(ADDRESS(12,3+18*2+(0),,,"J1 B - Butcher Terrace")&amp;":"&amp;ADDRESS(130,3+18*2+(0))),'J1 B - Butcher Terrace'!$A$12:$A$130,"&gt;="&amp;Diagram!$O62,'J1 B - Butcher Terrace'!$A$12:$A$130,"&lt;"&amp;Diagram!$P62),SUMIFS(INDIRECT(ADDRESS(12,3+18*2+(8),,,"J1 B - Butcher Terrace")&amp;":"&amp;ADDRESS(130,3+18*2+(8))),'J1 B - Butcher Terrace'!$A$12:$A$130,"&gt;="&amp;Diagram!$O62,'J1 B - Butcher Terrace'!$A$12:$A$130,"&lt;"&amp;Diagram!$P62)))</f>
        <v>12</v>
      </c>
      <c r="X62" s="42">
        <f ca="1">IF(OR($I$10="",$O62="",$P62="",$J$35&lt;&gt;"Yes"),0,IF($K$10=0,SUMIFS(INDIRECT(ADDRESS(12,3+18*3+(0),,,"J1 B - Butcher Terrace")&amp;":"&amp;ADDRESS(130,3+18*3+(0))),'J1 B - Butcher Terrace'!$A$12:$A$130,"&gt;="&amp;Diagram!$O62,'J1 B - Butcher Terrace'!$A$12:$A$130,"&lt;"&amp;Diagram!$P62),SUMIFS(INDIRECT(ADDRESS(12,3+18*3+(8),,,"J1 B - Butcher Terrace")&amp;":"&amp;ADDRESS(130,3+18*3+(8))),'J1 B - Butcher Terrace'!$A$12:$A$130,"&gt;="&amp;Diagram!$O62,'J1 B - Butcher Terrace'!$A$12:$A$130,"&lt;"&amp;Diagram!$P62)))</f>
        <v>0</v>
      </c>
      <c r="Y62" s="42">
        <f ca="1">IF(OR($I$10="",$O62="",$P62="",$J$35&lt;&gt;"Yes"),0,IF($K$10=0,SUMIFS(INDIRECT(ADDRESS(12,3+18*0+(0),,,"J1 B - Butcher Terrace")&amp;":"&amp;ADDRESS(130,3+18*0+(0))),'J1 B - Butcher Terrace'!$A$12:$A$130,"&gt;="&amp;Diagram!$O62,'J1 B - Butcher Terrace'!$A$12:$A$130,"&lt;"&amp;Diagram!$P62),SUMIFS(INDIRECT(ADDRESS(12,3+18*0+(8),,,"J1 B - Butcher Terrace")&amp;":"&amp;ADDRESS(130,3+18*0+(8))),'J1 B - Butcher Terrace'!$A$12:$A$130,"&gt;="&amp;Diagram!$O62,'J1 B - Butcher Terrace'!$A$12:$A$130,"&lt;"&amp;Diagram!$P62)))</f>
        <v>4</v>
      </c>
      <c r="Z62" s="42">
        <f ca="1">IF(OR($I$10="",$O62="",$P62="",$J$35&lt;&gt;"Yes"),0,IF($K$10=0,SUMIFS(INDIRECT(ADDRESS(12,3+18*1+(0),,,"J1 B - Butcher Terrace")&amp;":"&amp;ADDRESS(130,3+18*1+(0))),'J1 B - Butcher Terrace'!$A$12:$A$130,"&gt;="&amp;Diagram!$O62,'J1 B - Butcher Terrace'!$A$12:$A$130,"&lt;"&amp;Diagram!$P62),SUMIFS(INDIRECT(ADDRESS(12,3+18*1+(8),,,"J1 B - Butcher Terrace")&amp;":"&amp;ADDRESS(130,3+18*1+(8))),'J1 B - Butcher Terrace'!$A$12:$A$130,"&gt;="&amp;Diagram!$O62,'J1 B - Butcher Terrace'!$A$12:$A$130,"&lt;"&amp;Diagram!$P62)))</f>
        <v>1</v>
      </c>
      <c r="AA62" s="42">
        <f ca="1">IF(OR($I$10="",$O62="",$P62="",$J$35&lt;&gt;"Yes"),0,IF($K$10=0,SUMIFS(INDIRECT(ADDRESS(12,3+18*1+(0),,,"J1 C - (South) Bishopthorpe Roa")&amp;":"&amp;ADDRESS(130,3+18*1+(0))),'J1 C - (South) Bishopthorpe Roa'!$A$12:$A$130,"&gt;="&amp;Diagram!$O62,'J1 C - (South) Bishopthorpe Roa'!$A$12:$A$130,"&lt;"&amp;Diagram!$P62),SUMIFS(INDIRECT(ADDRESS(12,3+18*1+(8),,,"J1 C - (South) Bishopthorpe Roa")&amp;":"&amp;ADDRESS(130,3+18*1+(8))),'J1 C - (South) Bishopthorpe Roa'!$A$12:$A$130,"&gt;="&amp;Diagram!$O62,'J1 C - (South) Bishopthorpe Roa'!$A$12:$A$130,"&lt;"&amp;Diagram!$P62)))</f>
        <v>182</v>
      </c>
      <c r="AB62" s="42">
        <f ca="1">IF(OR($I$10="",$O62="",$P62="",$J$35&lt;&gt;"Yes"),0,IF($K$10=0,SUMIFS(INDIRECT(ADDRESS(12,3+18*2+(0),,,"J1 C - (South) Bishopthorpe Roa")&amp;":"&amp;ADDRESS(130,3+18*2+(0))),'J1 C - (South) Bishopthorpe Roa'!$A$12:$A$130,"&gt;="&amp;Diagram!$O62,'J1 C - (South) Bishopthorpe Roa'!$A$12:$A$130,"&lt;"&amp;Diagram!$P62),SUMIFS(INDIRECT(ADDRESS(12,3+18*2+(8),,,"J1 C - (South) Bishopthorpe Roa")&amp;":"&amp;ADDRESS(130,3+18*2+(8))),'J1 C - (South) Bishopthorpe Roa'!$A$12:$A$130,"&gt;="&amp;Diagram!$O62,'J1 C - (South) Bishopthorpe Roa'!$A$12:$A$130,"&lt;"&amp;Diagram!$P62)))</f>
        <v>5</v>
      </c>
      <c r="AC62" s="42">
        <f ca="1">IF(OR($I$10="",$O62="",$P62="",$J$35&lt;&gt;"Yes"),0,IF($K$10=0,SUMIFS(INDIRECT(ADDRESS(12,3+18*3+(0),,,"J1 C - (South) Bishopthorpe Roa")&amp;":"&amp;ADDRESS(130,3+18*3+(0))),'J1 C - (South) Bishopthorpe Roa'!$A$12:$A$130,"&gt;="&amp;Diagram!$O62,'J1 C - (South) Bishopthorpe Roa'!$A$12:$A$130,"&lt;"&amp;Diagram!$P62),SUMIFS(INDIRECT(ADDRESS(12,3+18*3+(8),,,"J1 C - (South) Bishopthorpe Roa")&amp;":"&amp;ADDRESS(130,3+18*3+(8))),'J1 C - (South) Bishopthorpe Roa'!$A$12:$A$130,"&gt;="&amp;Diagram!$O62,'J1 C - (South) Bishopthorpe Roa'!$A$12:$A$130,"&lt;"&amp;Diagram!$P62)))</f>
        <v>0</v>
      </c>
      <c r="AD62" s="42">
        <f ca="1">IF(OR($I$10="",$O62="",$P62="",$J$35&lt;&gt;"Yes"),0,IF($K$10=0,SUMIFS(INDIRECT(ADDRESS(12,3+18*0+(0),,,"J1 C - (South) Bishopthorpe Roa")&amp;":"&amp;ADDRESS(130,3+18*0+(0))),'J1 C - (South) Bishopthorpe Roa'!$A$12:$A$130,"&gt;="&amp;Diagram!$O62,'J1 C - (South) Bishopthorpe Roa'!$A$12:$A$130,"&lt;"&amp;Diagram!$P62),SUMIFS(INDIRECT(ADDRESS(12,3+18*0+(8),,,"J1 C - (South) Bishopthorpe Roa")&amp;":"&amp;ADDRESS(130,3+18*0+(8))),'J1 C - (South) Bishopthorpe Roa'!$A$12:$A$130,"&gt;="&amp;Diagram!$O62,'J1 C - (South) Bishopthorpe Roa'!$A$12:$A$130,"&lt;"&amp;Diagram!$P62)))</f>
        <v>6</v>
      </c>
      <c r="AE62" s="42">
        <f ca="1">IF(OR($I$10="",$O62="",$P62="",$J$35&lt;&gt;"Yes"),0,IF($K$10=0,SUMIFS(INDIRECT(ADDRESS(12,3+18*0+(0),,,"J1 D - South Bank Avenue")&amp;":"&amp;ADDRESS(130,3+18*0+(0))),'J1 D - South Bank Avenue'!$A$12:$A$130,"&gt;="&amp;Diagram!$O62,'J1 D - South Bank Avenue'!$A$12:$A$130,"&lt;"&amp;Diagram!$P62),SUMIFS(INDIRECT(ADDRESS(12,3+18*0+(8),,,"J1 D - South Bank Avenue")&amp;":"&amp;ADDRESS(130,3+18*0+(8))),'J1 D - South Bank Avenue'!$A$12:$A$130,"&gt;="&amp;Diagram!$O62,'J1 D - South Bank Avenue'!$A$12:$A$130,"&lt;"&amp;Diagram!$P62)))</f>
        <v>34</v>
      </c>
      <c r="AF62" s="42">
        <f ca="1">IF(OR($I$10="",$O62="",$P62="",$J$35&lt;&gt;"Yes"),0,IF($K$10=0,SUMIFS(INDIRECT(ADDRESS(12,3+18*1+(0),,,"J1 D - South Bank Avenue")&amp;":"&amp;ADDRESS(130,3+18*1+(0))),'J1 D - South Bank Avenue'!$A$12:$A$130,"&gt;="&amp;Diagram!$O62,'J1 D - South Bank Avenue'!$A$12:$A$130,"&lt;"&amp;Diagram!$P62),SUMIFS(INDIRECT(ADDRESS(12,3+18*1+(8),,,"J1 D - South Bank Avenue")&amp;":"&amp;ADDRESS(130,3+18*1+(8))),'J1 D - South Bank Avenue'!$A$12:$A$130,"&gt;="&amp;Diagram!$O62,'J1 D - South Bank Avenue'!$A$12:$A$130,"&lt;"&amp;Diagram!$P62)))</f>
        <v>1</v>
      </c>
      <c r="AG62" s="42">
        <f ca="1">IF(OR($I$10="",$O62="",$P62="",$J$35&lt;&gt;"Yes"),0,IF($K$10=0,SUMIFS(INDIRECT(ADDRESS(12,3+18*2+(0),,,"J1 D - South Bank Avenue")&amp;":"&amp;ADDRESS(130,3+18*2+(0))),'J1 D - South Bank Avenue'!$A$12:$A$130,"&gt;="&amp;Diagram!$O62,'J1 D - South Bank Avenue'!$A$12:$A$130,"&lt;"&amp;Diagram!$P62),SUMIFS(INDIRECT(ADDRESS(12,3+18*2+(8),,,"J1 D - South Bank Avenue")&amp;":"&amp;ADDRESS(130,3+18*2+(8))),'J1 D - South Bank Avenue'!$A$12:$A$130,"&gt;="&amp;Diagram!$O62,'J1 D - South Bank Avenue'!$A$12:$A$130,"&lt;"&amp;Diagram!$P62)))</f>
        <v>11</v>
      </c>
      <c r="AH62" s="42">
        <f ca="1">IF(OR($I$10="",$O62="",$P62="",$J$35&lt;&gt;"Yes"),0,IF($K$10=0,SUMIFS(INDIRECT(ADDRESS(12,3+18*3+(0),,,"J1 D - South Bank Avenue")&amp;":"&amp;ADDRESS(130,3+18*3+(0))),'J1 D - South Bank Avenue'!$A$12:$A$130,"&gt;="&amp;Diagram!$O62,'J1 D - South Bank Avenue'!$A$12:$A$130,"&lt;"&amp;Diagram!$P62),SUMIFS(INDIRECT(ADDRESS(12,3+18*3+(8),,,"J1 D - South Bank Avenue")&amp;":"&amp;ADDRESS(130,3+18*3+(8))),'J1 D - South Bank Avenue'!$A$12:$A$130,"&gt;="&amp;Diagram!$O62,'J1 D - South Bank Avenue'!$A$12:$A$130,"&lt;"&amp;Diagram!$P62)))</f>
        <v>0</v>
      </c>
      <c r="AI62" s="42">
        <f t="shared" ca="1" si="2"/>
        <v>68</v>
      </c>
      <c r="AJ62" s="42">
        <f ca="1">IF(OR($I$10="",$O62="",$P62="",$J$36&lt;&gt;"Yes"),0,IF($K$10=0,SUMIFS(INDIRECT(ADDRESS(12,3+18*3+(1),,,"J1 A - (North) Bishopthorpe Roa")&amp;":"&amp;ADDRESS(130,3+18*3+(1))),'J1 A - (North) Bishopthorpe Roa'!$A$12:$A$130,"&gt;="&amp;Diagram!$O62,'J1 A - (North) Bishopthorpe Roa'!$A$12:$A$130,"&lt;"&amp;Diagram!$P62),SUMIFS(INDIRECT(ADDRESS(12,3+18*3+(9),,,"J1 A - (North) Bishopthorpe Roa")&amp;":"&amp;ADDRESS(130,3+18*3+(9))),'J1 A - (North) Bishopthorpe Roa'!$A$12:$A$130,"&gt;="&amp;Diagram!$O62,'J1 A - (North) Bishopthorpe Roa'!$A$12:$A$130,"&lt;"&amp;Diagram!$P62)))</f>
        <v>0</v>
      </c>
      <c r="AK62" s="42">
        <f ca="1">IF(OR($I$10="",$O62="",$P62="",$J$36&lt;&gt;"Yes"),0,IF($K$10=0,SUMIFS(INDIRECT(ADDRESS(12,3+18*0+(1),,,"J1 A - (North) Bishopthorpe Roa")&amp;":"&amp;ADDRESS(130,3+18*0+(1))),'J1 A - (North) Bishopthorpe Roa'!$A$12:$A$130,"&gt;="&amp;Diagram!$O62,'J1 A - (North) Bishopthorpe Roa'!$A$12:$A$130,"&lt;"&amp;Diagram!$P62),SUMIFS(INDIRECT(ADDRESS(12,3+18*0+(9),,,"J1 A - (North) Bishopthorpe Roa")&amp;":"&amp;ADDRESS(130,3+18*0+(9))),'J1 A - (North) Bishopthorpe Roa'!$A$12:$A$130,"&gt;="&amp;Diagram!$O62,'J1 A - (North) Bishopthorpe Roa'!$A$12:$A$130,"&lt;"&amp;Diagram!$P62)))</f>
        <v>0</v>
      </c>
      <c r="AL62" s="42">
        <f ca="1">IF(OR($I$10="",$O62="",$P62="",$J$36&lt;&gt;"Yes"),0,IF($K$10=0,SUMIFS(INDIRECT(ADDRESS(12,3+18*1+(1),,,"J1 A - (North) Bishopthorpe Roa")&amp;":"&amp;ADDRESS(130,3+18*1+(1))),'J1 A - (North) Bishopthorpe Roa'!$A$12:$A$130,"&gt;="&amp;Diagram!$O62,'J1 A - (North) Bishopthorpe Roa'!$A$12:$A$130,"&lt;"&amp;Diagram!$P62),SUMIFS(INDIRECT(ADDRESS(12,3+18*1+(9),,,"J1 A - (North) Bishopthorpe Roa")&amp;":"&amp;ADDRESS(130,3+18*1+(9))),'J1 A - (North) Bishopthorpe Roa'!$A$12:$A$130,"&gt;="&amp;Diagram!$O62,'J1 A - (North) Bishopthorpe Roa'!$A$12:$A$130,"&lt;"&amp;Diagram!$P62)))</f>
        <v>23</v>
      </c>
      <c r="AM62" s="42">
        <f ca="1">IF(OR($I$10="",$O62="",$P62="",$J$36&lt;&gt;"Yes"),0,IF($K$10=0,SUMIFS(INDIRECT(ADDRESS(12,3+18*2+(1),,,"J1 A - (North) Bishopthorpe Roa")&amp;":"&amp;ADDRESS(130,3+18*2+(1))),'J1 A - (North) Bishopthorpe Roa'!$A$12:$A$130,"&gt;="&amp;Diagram!$O62,'J1 A - (North) Bishopthorpe Roa'!$A$12:$A$130,"&lt;"&amp;Diagram!$P62),SUMIFS(INDIRECT(ADDRESS(12,3+18*2+(9),,,"J1 A - (North) Bishopthorpe Roa")&amp;":"&amp;ADDRESS(130,3+18*2+(9))),'J1 A - (North) Bishopthorpe Roa'!$A$12:$A$130,"&gt;="&amp;Diagram!$O62,'J1 A - (North) Bishopthorpe Roa'!$A$12:$A$130,"&lt;"&amp;Diagram!$P62)))</f>
        <v>6</v>
      </c>
      <c r="AN62" s="42">
        <f ca="1">IF(OR($I$10="",$O62="",$P62="",$J$36&lt;&gt;"Yes"),0,IF($K$10=0,SUMIFS(INDIRECT(ADDRESS(12,3+18*2+(1),,,"J1 B - Butcher Terrace")&amp;":"&amp;ADDRESS(130,3+18*2+(1))),'J1 B - Butcher Terrace'!$A$12:$A$130,"&gt;="&amp;Diagram!$O62,'J1 B - Butcher Terrace'!$A$12:$A$130,"&lt;"&amp;Diagram!$P62),SUMIFS(INDIRECT(ADDRESS(12,3+18*2+(9),,,"J1 B - Butcher Terrace")&amp;":"&amp;ADDRESS(130,3+18*2+(9))),'J1 B - Butcher Terrace'!$A$12:$A$130,"&gt;="&amp;Diagram!$O62,'J1 B - Butcher Terrace'!$A$12:$A$130,"&lt;"&amp;Diagram!$P62)))</f>
        <v>3</v>
      </c>
      <c r="AO62" s="42">
        <f ca="1">IF(OR($I$10="",$O62="",$P62="",$J$36&lt;&gt;"Yes"),0,IF($K$10=0,SUMIFS(INDIRECT(ADDRESS(12,3+18*3+(1),,,"J1 B - Butcher Terrace")&amp;":"&amp;ADDRESS(130,3+18*3+(1))),'J1 B - Butcher Terrace'!$A$12:$A$130,"&gt;="&amp;Diagram!$O62,'J1 B - Butcher Terrace'!$A$12:$A$130,"&lt;"&amp;Diagram!$P62),SUMIFS(INDIRECT(ADDRESS(12,3+18*3+(9),,,"J1 B - Butcher Terrace")&amp;":"&amp;ADDRESS(130,3+18*3+(9))),'J1 B - Butcher Terrace'!$A$12:$A$130,"&gt;="&amp;Diagram!$O62,'J1 B - Butcher Terrace'!$A$12:$A$130,"&lt;"&amp;Diagram!$P62)))</f>
        <v>0</v>
      </c>
      <c r="AP62" s="42">
        <f ca="1">IF(OR($I$10="",$O62="",$P62="",$J$36&lt;&gt;"Yes"),0,IF($K$10=0,SUMIFS(INDIRECT(ADDRESS(12,3+18*0+(1),,,"J1 B - Butcher Terrace")&amp;":"&amp;ADDRESS(130,3+18*0+(1))),'J1 B - Butcher Terrace'!$A$12:$A$130,"&gt;="&amp;Diagram!$O62,'J1 B - Butcher Terrace'!$A$12:$A$130,"&lt;"&amp;Diagram!$P62),SUMIFS(INDIRECT(ADDRESS(12,3+18*0+(9),,,"J1 B - Butcher Terrace")&amp;":"&amp;ADDRESS(130,3+18*0+(9))),'J1 B - Butcher Terrace'!$A$12:$A$130,"&gt;="&amp;Diagram!$O62,'J1 B - Butcher Terrace'!$A$12:$A$130,"&lt;"&amp;Diagram!$P62)))</f>
        <v>0</v>
      </c>
      <c r="AQ62" s="42">
        <f ca="1">IF(OR($I$10="",$O62="",$P62="",$J$36&lt;&gt;"Yes"),0,IF($K$10=0,SUMIFS(INDIRECT(ADDRESS(12,3+18*1+(1),,,"J1 B - Butcher Terrace")&amp;":"&amp;ADDRESS(130,3+18*1+(1))),'J1 B - Butcher Terrace'!$A$12:$A$130,"&gt;="&amp;Diagram!$O62,'J1 B - Butcher Terrace'!$A$12:$A$130,"&lt;"&amp;Diagram!$P62),SUMIFS(INDIRECT(ADDRESS(12,3+18*1+(9),,,"J1 B - Butcher Terrace")&amp;":"&amp;ADDRESS(130,3+18*1+(9))),'J1 B - Butcher Terrace'!$A$12:$A$130,"&gt;="&amp;Diagram!$O62,'J1 B - Butcher Terrace'!$A$12:$A$130,"&lt;"&amp;Diagram!$P62)))</f>
        <v>1</v>
      </c>
      <c r="AR62" s="42">
        <f ca="1">IF(OR($I$10="",$O62="",$P62="",$J$36&lt;&gt;"Yes"),0,IF($K$10=0,SUMIFS(INDIRECT(ADDRESS(12,3+18*1+(1),,,"J1 C - (South) Bishopthorpe Roa")&amp;":"&amp;ADDRESS(130,3+18*1+(1))),'J1 C - (South) Bishopthorpe Roa'!$A$12:$A$130,"&gt;="&amp;Diagram!$O62,'J1 C - (South) Bishopthorpe Roa'!$A$12:$A$130,"&lt;"&amp;Diagram!$P62),SUMIFS(INDIRECT(ADDRESS(12,3+18*1+(9),,,"J1 C - (South) Bishopthorpe Roa")&amp;":"&amp;ADDRESS(130,3+18*1+(9))),'J1 C - (South) Bishopthorpe Roa'!$A$12:$A$130,"&gt;="&amp;Diagram!$O62,'J1 C - (South) Bishopthorpe Roa'!$A$12:$A$130,"&lt;"&amp;Diagram!$P62)))</f>
        <v>24</v>
      </c>
      <c r="AS62" s="42">
        <f ca="1">IF(OR($I$10="",$O62="",$P62="",$J$36&lt;&gt;"Yes"),0,IF($K$10=0,SUMIFS(INDIRECT(ADDRESS(12,3+18*2+(1),,,"J1 C - (South) Bishopthorpe Roa")&amp;":"&amp;ADDRESS(130,3+18*2+(1))),'J1 C - (South) Bishopthorpe Roa'!$A$12:$A$130,"&gt;="&amp;Diagram!$O62,'J1 C - (South) Bishopthorpe Roa'!$A$12:$A$130,"&lt;"&amp;Diagram!$P62),SUMIFS(INDIRECT(ADDRESS(12,3+18*2+(9),,,"J1 C - (South) Bishopthorpe Roa")&amp;":"&amp;ADDRESS(130,3+18*2+(9))),'J1 C - (South) Bishopthorpe Roa'!$A$12:$A$130,"&gt;="&amp;Diagram!$O62,'J1 C - (South) Bishopthorpe Roa'!$A$12:$A$130,"&lt;"&amp;Diagram!$P62)))</f>
        <v>2</v>
      </c>
      <c r="AT62" s="42">
        <f ca="1">IF(OR($I$10="",$O62="",$P62="",$J$36&lt;&gt;"Yes"),0,IF($K$10=0,SUMIFS(INDIRECT(ADDRESS(12,3+18*3+(1),,,"J1 C - (South) Bishopthorpe Roa")&amp;":"&amp;ADDRESS(130,3+18*3+(1))),'J1 C - (South) Bishopthorpe Roa'!$A$12:$A$130,"&gt;="&amp;Diagram!$O62,'J1 C - (South) Bishopthorpe Roa'!$A$12:$A$130,"&lt;"&amp;Diagram!$P62),SUMIFS(INDIRECT(ADDRESS(12,3+18*3+(9),,,"J1 C - (South) Bishopthorpe Roa")&amp;":"&amp;ADDRESS(130,3+18*3+(9))),'J1 C - (South) Bishopthorpe Roa'!$A$12:$A$130,"&gt;="&amp;Diagram!$O62,'J1 C - (South) Bishopthorpe Roa'!$A$12:$A$130,"&lt;"&amp;Diagram!$P62)))</f>
        <v>0</v>
      </c>
      <c r="AU62" s="42">
        <f ca="1">IF(OR($I$10="",$O62="",$P62="",$J$36&lt;&gt;"Yes"),0,IF($K$10=0,SUMIFS(INDIRECT(ADDRESS(12,3+18*0+(1),,,"J1 C - (South) Bishopthorpe Roa")&amp;":"&amp;ADDRESS(130,3+18*0+(1))),'J1 C - (South) Bishopthorpe Roa'!$A$12:$A$130,"&gt;="&amp;Diagram!$O62,'J1 C - (South) Bishopthorpe Roa'!$A$12:$A$130,"&lt;"&amp;Diagram!$P62),SUMIFS(INDIRECT(ADDRESS(12,3+18*0+(9),,,"J1 C - (South) Bishopthorpe Roa")&amp;":"&amp;ADDRESS(130,3+18*0+(9))),'J1 C - (South) Bishopthorpe Roa'!$A$12:$A$130,"&gt;="&amp;Diagram!$O62,'J1 C - (South) Bishopthorpe Roa'!$A$12:$A$130,"&lt;"&amp;Diagram!$P62)))</f>
        <v>1</v>
      </c>
      <c r="AV62" s="42">
        <f ca="1">IF(OR($I$10="",$O62="",$P62="",$J$36&lt;&gt;"Yes"),0,IF($K$10=0,SUMIFS(INDIRECT(ADDRESS(12,3+18*0+(1),,,"J1 D - South Bank Avenue")&amp;":"&amp;ADDRESS(130,3+18*0+(1))),'J1 D - South Bank Avenue'!$A$12:$A$130,"&gt;="&amp;Diagram!$O62,'J1 D - South Bank Avenue'!$A$12:$A$130,"&lt;"&amp;Diagram!$P62),SUMIFS(INDIRECT(ADDRESS(12,3+18*0+(9),,,"J1 D - South Bank Avenue")&amp;":"&amp;ADDRESS(130,3+18*0+(9))),'J1 D - South Bank Avenue'!$A$12:$A$130,"&gt;="&amp;Diagram!$O62,'J1 D - South Bank Avenue'!$A$12:$A$130,"&lt;"&amp;Diagram!$P62)))</f>
        <v>6</v>
      </c>
      <c r="AW62" s="42">
        <f ca="1">IF(OR($I$10="",$O62="",$P62="",$J$36&lt;&gt;"Yes"),0,IF($K$10=0,SUMIFS(INDIRECT(ADDRESS(12,3+18*1+(1),,,"J1 D - South Bank Avenue")&amp;":"&amp;ADDRESS(130,3+18*1+(1))),'J1 D - South Bank Avenue'!$A$12:$A$130,"&gt;="&amp;Diagram!$O62,'J1 D - South Bank Avenue'!$A$12:$A$130,"&lt;"&amp;Diagram!$P62),SUMIFS(INDIRECT(ADDRESS(12,3+18*1+(9),,,"J1 D - South Bank Avenue")&amp;":"&amp;ADDRESS(130,3+18*1+(9))),'J1 D - South Bank Avenue'!$A$12:$A$130,"&gt;="&amp;Diagram!$O62,'J1 D - South Bank Avenue'!$A$12:$A$130,"&lt;"&amp;Diagram!$P62)))</f>
        <v>0</v>
      </c>
      <c r="AX62" s="42">
        <f ca="1">IF(OR($I$10="",$O62="",$P62="",$J$36&lt;&gt;"Yes"),0,IF($K$10=0,SUMIFS(INDIRECT(ADDRESS(12,3+18*2+(1),,,"J1 D - South Bank Avenue")&amp;":"&amp;ADDRESS(130,3+18*2+(1))),'J1 D - South Bank Avenue'!$A$12:$A$130,"&gt;="&amp;Diagram!$O62,'J1 D - South Bank Avenue'!$A$12:$A$130,"&lt;"&amp;Diagram!$P62),SUMIFS(INDIRECT(ADDRESS(12,3+18*2+(9),,,"J1 D - South Bank Avenue")&amp;":"&amp;ADDRESS(130,3+18*2+(9))),'J1 D - South Bank Avenue'!$A$12:$A$130,"&gt;="&amp;Diagram!$O62,'J1 D - South Bank Avenue'!$A$12:$A$130,"&lt;"&amp;Diagram!$P62)))</f>
        <v>2</v>
      </c>
      <c r="AY62" s="42">
        <f ca="1">IF(OR($I$10="",$O62="",$P62="",$J$36&lt;&gt;"Yes"),0,IF($K$10=0,SUMIFS(INDIRECT(ADDRESS(12,3+18*3+(1),,,"J1 D - South Bank Avenue")&amp;":"&amp;ADDRESS(130,3+18*3+(1))),'J1 D - South Bank Avenue'!$A$12:$A$130,"&gt;="&amp;Diagram!$O62,'J1 D - South Bank Avenue'!$A$12:$A$130,"&lt;"&amp;Diagram!$P62),SUMIFS(INDIRECT(ADDRESS(12,3+18*3+(9),,,"J1 D - South Bank Avenue")&amp;":"&amp;ADDRESS(130,3+18*3+(9))),'J1 D - South Bank Avenue'!$A$12:$A$130,"&gt;="&amp;Diagram!$O62,'J1 D - South Bank Avenue'!$A$12:$A$130,"&lt;"&amp;Diagram!$P62)))</f>
        <v>0</v>
      </c>
      <c r="AZ62" s="42">
        <f t="shared" ca="1" si="3"/>
        <v>8</v>
      </c>
      <c r="BA62" s="42">
        <f ca="1">IF(OR($I$10="",$O62="",$P62="",$J$37&lt;&gt;"Yes"),0,IF($K$10=0,SUMIFS(INDIRECT(ADDRESS(12,3+18*3+(2),,,"J1 A - (North) Bishopthorpe Roa")&amp;":"&amp;ADDRESS(130,3+18*3+(2))),'J1 A - (North) Bishopthorpe Roa'!$A$12:$A$130,"&gt;="&amp;Diagram!$O62,'J1 A - (North) Bishopthorpe Roa'!$A$12:$A$130,"&lt;"&amp;Diagram!$P62),SUMIFS(INDIRECT(ADDRESS(12,3+18*3+(10),,,"J1 A - (North) Bishopthorpe Roa")&amp;":"&amp;ADDRESS(130,3+18*3+(10))),'J1 A - (North) Bishopthorpe Roa'!$A$12:$A$130,"&gt;="&amp;Diagram!$O62,'J1 A - (North) Bishopthorpe Roa'!$A$12:$A$130,"&lt;"&amp;Diagram!$P62)))</f>
        <v>0</v>
      </c>
      <c r="BB62" s="42">
        <f ca="1">IF(OR($I$10="",$O62="",$P62="",$J$37&lt;&gt;"Yes"),0,IF($K$10=0,SUMIFS(INDIRECT(ADDRESS(12,3+18*0+(2),,,"J1 A - (North) Bishopthorpe Roa")&amp;":"&amp;ADDRESS(130,3+18*0+(2))),'J1 A - (North) Bishopthorpe Roa'!$A$12:$A$130,"&gt;="&amp;Diagram!$O62,'J1 A - (North) Bishopthorpe Roa'!$A$12:$A$130,"&lt;"&amp;Diagram!$P62),SUMIFS(INDIRECT(ADDRESS(12,3+18*0+(10),,,"J1 A - (North) Bishopthorpe Roa")&amp;":"&amp;ADDRESS(130,3+18*0+(10))),'J1 A - (North) Bishopthorpe Roa'!$A$12:$A$130,"&gt;="&amp;Diagram!$O62,'J1 A - (North) Bishopthorpe Roa'!$A$12:$A$130,"&lt;"&amp;Diagram!$P62)))</f>
        <v>0</v>
      </c>
      <c r="BC62" s="42">
        <f ca="1">IF(OR($I$10="",$O62="",$P62="",$J$37&lt;&gt;"Yes"),0,IF($K$10=0,SUMIFS(INDIRECT(ADDRESS(12,3+18*1+(2),,,"J1 A - (North) Bishopthorpe Roa")&amp;":"&amp;ADDRESS(130,3+18*1+(2))),'J1 A - (North) Bishopthorpe Roa'!$A$12:$A$130,"&gt;="&amp;Diagram!$O62,'J1 A - (North) Bishopthorpe Roa'!$A$12:$A$130,"&lt;"&amp;Diagram!$P62),SUMIFS(INDIRECT(ADDRESS(12,3+18*1+(10),,,"J1 A - (North) Bishopthorpe Roa")&amp;":"&amp;ADDRESS(130,3+18*1+(10))),'J1 A - (North) Bishopthorpe Roa'!$A$12:$A$130,"&gt;="&amp;Diagram!$O62,'J1 A - (North) Bishopthorpe Roa'!$A$12:$A$130,"&lt;"&amp;Diagram!$P62)))</f>
        <v>1</v>
      </c>
      <c r="BD62" s="42">
        <f ca="1">IF(OR($I$10="",$O62="",$P62="",$J$37&lt;&gt;"Yes"),0,IF($K$10=0,SUMIFS(INDIRECT(ADDRESS(12,3+18*2+(2),,,"J1 A - (North) Bishopthorpe Roa")&amp;":"&amp;ADDRESS(130,3+18*2+(2))),'J1 A - (North) Bishopthorpe Roa'!$A$12:$A$130,"&gt;="&amp;Diagram!$O62,'J1 A - (North) Bishopthorpe Roa'!$A$12:$A$130,"&lt;"&amp;Diagram!$P62),SUMIFS(INDIRECT(ADDRESS(12,3+18*2+(10),,,"J1 A - (North) Bishopthorpe Roa")&amp;":"&amp;ADDRESS(130,3+18*2+(10))),'J1 A - (North) Bishopthorpe Roa'!$A$12:$A$130,"&gt;="&amp;Diagram!$O62,'J1 A - (North) Bishopthorpe Roa'!$A$12:$A$130,"&lt;"&amp;Diagram!$P62)))</f>
        <v>1</v>
      </c>
      <c r="BE62" s="42">
        <f ca="1">IF(OR($I$10="",$O62="",$P62="",$J$37&lt;&gt;"Yes"),0,IF($K$10=0,SUMIFS(INDIRECT(ADDRESS(12,3+18*2+(2),,,"J1 B - Butcher Terrace")&amp;":"&amp;ADDRESS(130,3+18*2+(2))),'J1 B - Butcher Terrace'!$A$12:$A$130,"&gt;="&amp;Diagram!$O62,'J1 B - Butcher Terrace'!$A$12:$A$130,"&lt;"&amp;Diagram!$P62),SUMIFS(INDIRECT(ADDRESS(12,3+18*2+(10),,,"J1 B - Butcher Terrace")&amp;":"&amp;ADDRESS(130,3+18*2+(10))),'J1 B - Butcher Terrace'!$A$12:$A$130,"&gt;="&amp;Diagram!$O62,'J1 B - Butcher Terrace'!$A$12:$A$130,"&lt;"&amp;Diagram!$P62)))</f>
        <v>0</v>
      </c>
      <c r="BF62" s="42">
        <f ca="1">IF(OR($I$10="",$O62="",$P62="",$J$37&lt;&gt;"Yes"),0,IF($K$10=0,SUMIFS(INDIRECT(ADDRESS(12,3+18*3+(2),,,"J1 B - Butcher Terrace")&amp;":"&amp;ADDRESS(130,3+18*3+(2))),'J1 B - Butcher Terrace'!$A$12:$A$130,"&gt;="&amp;Diagram!$O62,'J1 B - Butcher Terrace'!$A$12:$A$130,"&lt;"&amp;Diagram!$P62),SUMIFS(INDIRECT(ADDRESS(12,3+18*3+(10),,,"J1 B - Butcher Terrace")&amp;":"&amp;ADDRESS(130,3+18*3+(10))),'J1 B - Butcher Terrace'!$A$12:$A$130,"&gt;="&amp;Diagram!$O62,'J1 B - Butcher Terrace'!$A$12:$A$130,"&lt;"&amp;Diagram!$P62)))</f>
        <v>0</v>
      </c>
      <c r="BG62" s="42">
        <f ca="1">IF(OR($I$10="",$O62="",$P62="",$J$37&lt;&gt;"Yes"),0,IF($K$10=0,SUMIFS(INDIRECT(ADDRESS(12,3+18*0+(2),,,"J1 B - Butcher Terrace")&amp;":"&amp;ADDRESS(130,3+18*0+(2))),'J1 B - Butcher Terrace'!$A$12:$A$130,"&gt;="&amp;Diagram!$O62,'J1 B - Butcher Terrace'!$A$12:$A$130,"&lt;"&amp;Diagram!$P62),SUMIFS(INDIRECT(ADDRESS(12,3+18*0+(10),,,"J1 B - Butcher Terrace")&amp;":"&amp;ADDRESS(130,3+18*0+(10))),'J1 B - Butcher Terrace'!$A$12:$A$130,"&gt;="&amp;Diagram!$O62,'J1 B - Butcher Terrace'!$A$12:$A$130,"&lt;"&amp;Diagram!$P62)))</f>
        <v>0</v>
      </c>
      <c r="BH62" s="42">
        <f ca="1">IF(OR($I$10="",$O62="",$P62="",$J$37&lt;&gt;"Yes"),0,IF($K$10=0,SUMIFS(INDIRECT(ADDRESS(12,3+18*1+(2),,,"J1 B - Butcher Terrace")&amp;":"&amp;ADDRESS(130,3+18*1+(2))),'J1 B - Butcher Terrace'!$A$12:$A$130,"&gt;="&amp;Diagram!$O62,'J1 B - Butcher Terrace'!$A$12:$A$130,"&lt;"&amp;Diagram!$P62),SUMIFS(INDIRECT(ADDRESS(12,3+18*1+(10),,,"J1 B - Butcher Terrace")&amp;":"&amp;ADDRESS(130,3+18*1+(10))),'J1 B - Butcher Terrace'!$A$12:$A$130,"&gt;="&amp;Diagram!$O62,'J1 B - Butcher Terrace'!$A$12:$A$130,"&lt;"&amp;Diagram!$P62)))</f>
        <v>0</v>
      </c>
      <c r="BI62" s="42">
        <f ca="1">IF(OR($I$10="",$O62="",$P62="",$J$37&lt;&gt;"Yes"),0,IF($K$10=0,SUMIFS(INDIRECT(ADDRESS(12,3+18*1+(2),,,"J1 C - (South) Bishopthorpe Roa")&amp;":"&amp;ADDRESS(130,3+18*1+(2))),'J1 C - (South) Bishopthorpe Roa'!$A$12:$A$130,"&gt;="&amp;Diagram!$O62,'J1 C - (South) Bishopthorpe Roa'!$A$12:$A$130,"&lt;"&amp;Diagram!$P62),SUMIFS(INDIRECT(ADDRESS(12,3+18*1+(10),,,"J1 C - (South) Bishopthorpe Roa")&amp;":"&amp;ADDRESS(130,3+18*1+(10))),'J1 C - (South) Bishopthorpe Roa'!$A$12:$A$130,"&gt;="&amp;Diagram!$O62,'J1 C - (South) Bishopthorpe Roa'!$A$12:$A$130,"&lt;"&amp;Diagram!$P62)))</f>
        <v>3</v>
      </c>
      <c r="BJ62" s="42">
        <f ca="1">IF(OR($I$10="",$O62="",$P62="",$J$37&lt;&gt;"Yes"),0,IF($K$10=0,SUMIFS(INDIRECT(ADDRESS(12,3+18*2+(2),,,"J1 C - (South) Bishopthorpe Roa")&amp;":"&amp;ADDRESS(130,3+18*2+(2))),'J1 C - (South) Bishopthorpe Roa'!$A$12:$A$130,"&gt;="&amp;Diagram!$O62,'J1 C - (South) Bishopthorpe Roa'!$A$12:$A$130,"&lt;"&amp;Diagram!$P62),SUMIFS(INDIRECT(ADDRESS(12,3+18*2+(10),,,"J1 C - (South) Bishopthorpe Roa")&amp;":"&amp;ADDRESS(130,3+18*2+(10))),'J1 C - (South) Bishopthorpe Roa'!$A$12:$A$130,"&gt;="&amp;Diagram!$O62,'J1 C - (South) Bishopthorpe Roa'!$A$12:$A$130,"&lt;"&amp;Diagram!$P62)))</f>
        <v>0</v>
      </c>
      <c r="BK62" s="42">
        <f ca="1">IF(OR($I$10="",$O62="",$P62="",$J$37&lt;&gt;"Yes"),0,IF($K$10=0,SUMIFS(INDIRECT(ADDRESS(12,3+18*3+(2),,,"J1 C - (South) Bishopthorpe Roa")&amp;":"&amp;ADDRESS(130,3+18*3+(2))),'J1 C - (South) Bishopthorpe Roa'!$A$12:$A$130,"&gt;="&amp;Diagram!$O62,'J1 C - (South) Bishopthorpe Roa'!$A$12:$A$130,"&lt;"&amp;Diagram!$P62),SUMIFS(INDIRECT(ADDRESS(12,3+18*3+(10),,,"J1 C - (South) Bishopthorpe Roa")&amp;":"&amp;ADDRESS(130,3+18*3+(10))),'J1 C - (South) Bishopthorpe Roa'!$A$12:$A$130,"&gt;="&amp;Diagram!$O62,'J1 C - (South) Bishopthorpe Roa'!$A$12:$A$130,"&lt;"&amp;Diagram!$P62)))</f>
        <v>0</v>
      </c>
      <c r="BL62" s="42">
        <f ca="1">IF(OR($I$10="",$O62="",$P62="",$J$37&lt;&gt;"Yes"),0,IF($K$10=0,SUMIFS(INDIRECT(ADDRESS(12,3+18*0+(2),,,"J1 C - (South) Bishopthorpe Roa")&amp;":"&amp;ADDRESS(130,3+18*0+(2))),'J1 C - (South) Bishopthorpe Roa'!$A$12:$A$130,"&gt;="&amp;Diagram!$O62,'J1 C - (South) Bishopthorpe Roa'!$A$12:$A$130,"&lt;"&amp;Diagram!$P62),SUMIFS(INDIRECT(ADDRESS(12,3+18*0+(10),,,"J1 C - (South) Bishopthorpe Roa")&amp;":"&amp;ADDRESS(130,3+18*0+(10))),'J1 C - (South) Bishopthorpe Roa'!$A$12:$A$130,"&gt;="&amp;Diagram!$O62,'J1 C - (South) Bishopthorpe Roa'!$A$12:$A$130,"&lt;"&amp;Diagram!$P62)))</f>
        <v>1</v>
      </c>
      <c r="BM62" s="42">
        <f ca="1">IF(OR($I$10="",$O62="",$P62="",$J$37&lt;&gt;"Yes"),0,IF($K$10=0,SUMIFS(INDIRECT(ADDRESS(12,3+18*0+(2),,,"J1 D - South Bank Avenue")&amp;":"&amp;ADDRESS(130,3+18*0+(2))),'J1 D - South Bank Avenue'!$A$12:$A$130,"&gt;="&amp;Diagram!$O62,'J1 D - South Bank Avenue'!$A$12:$A$130,"&lt;"&amp;Diagram!$P62),SUMIFS(INDIRECT(ADDRESS(12,3+18*0+(10),,,"J1 D - South Bank Avenue")&amp;":"&amp;ADDRESS(130,3+18*0+(10))),'J1 D - South Bank Avenue'!$A$12:$A$130,"&gt;="&amp;Diagram!$O62,'J1 D - South Bank Avenue'!$A$12:$A$130,"&lt;"&amp;Diagram!$P62)))</f>
        <v>2</v>
      </c>
      <c r="BN62" s="42">
        <f ca="1">IF(OR($I$10="",$O62="",$P62="",$J$37&lt;&gt;"Yes"),0,IF($K$10=0,SUMIFS(INDIRECT(ADDRESS(12,3+18*1+(2),,,"J1 D - South Bank Avenue")&amp;":"&amp;ADDRESS(130,3+18*1+(2))),'J1 D - South Bank Avenue'!$A$12:$A$130,"&gt;="&amp;Diagram!$O62,'J1 D - South Bank Avenue'!$A$12:$A$130,"&lt;"&amp;Diagram!$P62),SUMIFS(INDIRECT(ADDRESS(12,3+18*1+(10),,,"J1 D - South Bank Avenue")&amp;":"&amp;ADDRESS(130,3+18*1+(10))),'J1 D - South Bank Avenue'!$A$12:$A$130,"&gt;="&amp;Diagram!$O62,'J1 D - South Bank Avenue'!$A$12:$A$130,"&lt;"&amp;Diagram!$P62)))</f>
        <v>0</v>
      </c>
      <c r="BO62" s="42">
        <f ca="1">IF(OR($I$10="",$O62="",$P62="",$J$37&lt;&gt;"Yes"),0,IF($K$10=0,SUMIFS(INDIRECT(ADDRESS(12,3+18*2+(2),,,"J1 D - South Bank Avenue")&amp;":"&amp;ADDRESS(130,3+18*2+(2))),'J1 D - South Bank Avenue'!$A$12:$A$130,"&gt;="&amp;Diagram!$O62,'J1 D - South Bank Avenue'!$A$12:$A$130,"&lt;"&amp;Diagram!$P62),SUMIFS(INDIRECT(ADDRESS(12,3+18*2+(10),,,"J1 D - South Bank Avenue")&amp;":"&amp;ADDRESS(130,3+18*2+(10))),'J1 D - South Bank Avenue'!$A$12:$A$130,"&gt;="&amp;Diagram!$O62,'J1 D - South Bank Avenue'!$A$12:$A$130,"&lt;"&amp;Diagram!$P62)))</f>
        <v>0</v>
      </c>
      <c r="BP62" s="42">
        <f ca="1">IF(OR($I$10="",$O62="",$P62="",$J$37&lt;&gt;"Yes"),0,IF($K$10=0,SUMIFS(INDIRECT(ADDRESS(12,3+18*3+(2),,,"J1 D - South Bank Avenue")&amp;":"&amp;ADDRESS(130,3+18*3+(2))),'J1 D - South Bank Avenue'!$A$12:$A$130,"&gt;="&amp;Diagram!$O62,'J1 D - South Bank Avenue'!$A$12:$A$130,"&lt;"&amp;Diagram!$P62),SUMIFS(INDIRECT(ADDRESS(12,3+18*3+(10),,,"J1 D - South Bank Avenue")&amp;":"&amp;ADDRESS(130,3+18*3+(10))),'J1 D - South Bank Avenue'!$A$12:$A$130,"&gt;="&amp;Diagram!$O62,'J1 D - South Bank Avenue'!$A$12:$A$130,"&lt;"&amp;Diagram!$P62)))</f>
        <v>0</v>
      </c>
      <c r="BQ62" s="42">
        <f t="shared" ca="1" si="4"/>
        <v>0</v>
      </c>
      <c r="BR62" s="42">
        <f ca="1">IF(OR($I$10="",$O62="",$P62="",$J$38&lt;&gt;"Yes"),0,IF($K$10=0,SUMIFS(INDIRECT(ADDRESS(12,3+18*3+(3),,,"J1 A - (North) Bishopthorpe Roa")&amp;":"&amp;ADDRESS(130,3+18*3+(3))),'J1 A - (North) Bishopthorpe Roa'!$A$12:$A$130,"&gt;="&amp;Diagram!$O62,'J1 A - (North) Bishopthorpe Roa'!$A$12:$A$130,"&lt;"&amp;Diagram!$P62),SUMIFS(INDIRECT(ADDRESS(12,3+18*3+(11),,,"J1 A - (North) Bishopthorpe Roa")&amp;":"&amp;ADDRESS(130,3+18*3+(11))),'J1 A - (North) Bishopthorpe Roa'!$A$12:$A$130,"&gt;="&amp;Diagram!$O62,'J1 A - (North) Bishopthorpe Roa'!$A$12:$A$130,"&lt;"&amp;Diagram!$P62)))</f>
        <v>0</v>
      </c>
      <c r="BS62" s="42">
        <f ca="1">IF(OR($I$10="",$O62="",$P62="",$J$38&lt;&gt;"Yes"),0,IF($K$10=0,SUMIFS(INDIRECT(ADDRESS(12,3+18*0+(3),,,"J1 A - (North) Bishopthorpe Roa")&amp;":"&amp;ADDRESS(130,3+18*0+(3))),'J1 A - (North) Bishopthorpe Roa'!$A$12:$A$130,"&gt;="&amp;Diagram!$O62,'J1 A - (North) Bishopthorpe Roa'!$A$12:$A$130,"&lt;"&amp;Diagram!$P62),SUMIFS(INDIRECT(ADDRESS(12,3+18*0+(11),,,"J1 A - (North) Bishopthorpe Roa")&amp;":"&amp;ADDRESS(130,3+18*0+(11))),'J1 A - (North) Bishopthorpe Roa'!$A$12:$A$130,"&gt;="&amp;Diagram!$O62,'J1 A - (North) Bishopthorpe Roa'!$A$12:$A$130,"&lt;"&amp;Diagram!$P62)))</f>
        <v>0</v>
      </c>
      <c r="BT62" s="42">
        <f ca="1">IF(OR($I$10="",$O62="",$P62="",$J$38&lt;&gt;"Yes"),0,IF($K$10=0,SUMIFS(INDIRECT(ADDRESS(12,3+18*1+(3),,,"J1 A - (North) Bishopthorpe Roa")&amp;":"&amp;ADDRESS(130,3+18*1+(3))),'J1 A - (North) Bishopthorpe Roa'!$A$12:$A$130,"&gt;="&amp;Diagram!$O62,'J1 A - (North) Bishopthorpe Roa'!$A$12:$A$130,"&lt;"&amp;Diagram!$P62),SUMIFS(INDIRECT(ADDRESS(12,3+18*1+(11),,,"J1 A - (North) Bishopthorpe Roa")&amp;":"&amp;ADDRESS(130,3+18*1+(11))),'J1 A - (North) Bishopthorpe Roa'!$A$12:$A$130,"&gt;="&amp;Diagram!$O62,'J1 A - (North) Bishopthorpe Roa'!$A$12:$A$130,"&lt;"&amp;Diagram!$P62)))</f>
        <v>0</v>
      </c>
      <c r="BU62" s="42">
        <f ca="1">IF(OR($I$10="",$O62="",$P62="",$J$38&lt;&gt;"Yes"),0,IF($K$10=0,SUMIFS(INDIRECT(ADDRESS(12,3+18*2+(3),,,"J1 A - (North) Bishopthorpe Roa")&amp;":"&amp;ADDRESS(130,3+18*2+(3))),'J1 A - (North) Bishopthorpe Roa'!$A$12:$A$130,"&gt;="&amp;Diagram!$O62,'J1 A - (North) Bishopthorpe Roa'!$A$12:$A$130,"&lt;"&amp;Diagram!$P62),SUMIFS(INDIRECT(ADDRESS(12,3+18*2+(11),,,"J1 A - (North) Bishopthorpe Roa")&amp;":"&amp;ADDRESS(130,3+18*2+(11))),'J1 A - (North) Bishopthorpe Roa'!$A$12:$A$130,"&gt;="&amp;Diagram!$O62,'J1 A - (North) Bishopthorpe Roa'!$A$12:$A$130,"&lt;"&amp;Diagram!$P62)))</f>
        <v>0</v>
      </c>
      <c r="BV62" s="42">
        <f ca="1">IF(OR($I$10="",$O62="",$P62="",$J$38&lt;&gt;"Yes"),0,IF($K$10=0,SUMIFS(INDIRECT(ADDRESS(12,3+18*2+(3),,,"J1 B - Butcher Terrace")&amp;":"&amp;ADDRESS(130,3+18*2+(3))),'J1 B - Butcher Terrace'!$A$12:$A$130,"&gt;="&amp;Diagram!$O62,'J1 B - Butcher Terrace'!$A$12:$A$130,"&lt;"&amp;Diagram!$P62),SUMIFS(INDIRECT(ADDRESS(12,3+18*2+(11),,,"J1 B - Butcher Terrace")&amp;":"&amp;ADDRESS(130,3+18*2+(11))),'J1 B - Butcher Terrace'!$A$12:$A$130,"&gt;="&amp;Diagram!$O62,'J1 B - Butcher Terrace'!$A$12:$A$130,"&lt;"&amp;Diagram!$P62)))</f>
        <v>0</v>
      </c>
      <c r="BW62" s="42">
        <f ca="1">IF(OR($I$10="",$O62="",$P62="",$J$38&lt;&gt;"Yes"),0,IF($K$10=0,SUMIFS(INDIRECT(ADDRESS(12,3+18*3+(3),,,"J1 B - Butcher Terrace")&amp;":"&amp;ADDRESS(130,3+18*3+(3))),'J1 B - Butcher Terrace'!$A$12:$A$130,"&gt;="&amp;Diagram!$O62,'J1 B - Butcher Terrace'!$A$12:$A$130,"&lt;"&amp;Diagram!$P62),SUMIFS(INDIRECT(ADDRESS(12,3+18*3+(11),,,"J1 B - Butcher Terrace")&amp;":"&amp;ADDRESS(130,3+18*3+(11))),'J1 B - Butcher Terrace'!$A$12:$A$130,"&gt;="&amp;Diagram!$O62,'J1 B - Butcher Terrace'!$A$12:$A$130,"&lt;"&amp;Diagram!$P62)))</f>
        <v>0</v>
      </c>
      <c r="BX62" s="42">
        <f ca="1">IF(OR($I$10="",$O62="",$P62="",$J$38&lt;&gt;"Yes"),0,IF($K$10=0,SUMIFS(INDIRECT(ADDRESS(12,3+18*0+(3),,,"J1 B - Butcher Terrace")&amp;":"&amp;ADDRESS(130,3+18*0+(3))),'J1 B - Butcher Terrace'!$A$12:$A$130,"&gt;="&amp;Diagram!$O62,'J1 B - Butcher Terrace'!$A$12:$A$130,"&lt;"&amp;Diagram!$P62),SUMIFS(INDIRECT(ADDRESS(12,3+18*0+(11),,,"J1 B - Butcher Terrace")&amp;":"&amp;ADDRESS(130,3+18*0+(11))),'J1 B - Butcher Terrace'!$A$12:$A$130,"&gt;="&amp;Diagram!$O62,'J1 B - Butcher Terrace'!$A$12:$A$130,"&lt;"&amp;Diagram!$P62)))</f>
        <v>0</v>
      </c>
      <c r="BY62" s="42">
        <f ca="1">IF(OR($I$10="",$O62="",$P62="",$J$38&lt;&gt;"Yes"),0,IF($K$10=0,SUMIFS(INDIRECT(ADDRESS(12,3+18*1+(3),,,"J1 B - Butcher Terrace")&amp;":"&amp;ADDRESS(130,3+18*1+(3))),'J1 B - Butcher Terrace'!$A$12:$A$130,"&gt;="&amp;Diagram!$O62,'J1 B - Butcher Terrace'!$A$12:$A$130,"&lt;"&amp;Diagram!$P62),SUMIFS(INDIRECT(ADDRESS(12,3+18*1+(11),,,"J1 B - Butcher Terrace")&amp;":"&amp;ADDRESS(130,3+18*1+(11))),'J1 B - Butcher Terrace'!$A$12:$A$130,"&gt;="&amp;Diagram!$O62,'J1 B - Butcher Terrace'!$A$12:$A$130,"&lt;"&amp;Diagram!$P62)))</f>
        <v>0</v>
      </c>
      <c r="BZ62" s="42">
        <f ca="1">IF(OR($I$10="",$O62="",$P62="",$J$38&lt;&gt;"Yes"),0,IF($K$10=0,SUMIFS(INDIRECT(ADDRESS(12,3+18*1+(3),,,"J1 C - (South) Bishopthorpe Roa")&amp;":"&amp;ADDRESS(130,3+18*1+(3))),'J1 C - (South) Bishopthorpe Roa'!$A$12:$A$130,"&gt;="&amp;Diagram!$O62,'J1 C - (South) Bishopthorpe Roa'!$A$12:$A$130,"&lt;"&amp;Diagram!$P62),SUMIFS(INDIRECT(ADDRESS(12,3+18*1+(11),,,"J1 C - (South) Bishopthorpe Roa")&amp;":"&amp;ADDRESS(130,3+18*1+(11))),'J1 C - (South) Bishopthorpe Roa'!$A$12:$A$130,"&gt;="&amp;Diagram!$O62,'J1 C - (South) Bishopthorpe Roa'!$A$12:$A$130,"&lt;"&amp;Diagram!$P62)))</f>
        <v>0</v>
      </c>
      <c r="CA62" s="42">
        <f ca="1">IF(OR($I$10="",$O62="",$P62="",$J$38&lt;&gt;"Yes"),0,IF($K$10=0,SUMIFS(INDIRECT(ADDRESS(12,3+18*2+(3),,,"J1 C - (South) Bishopthorpe Roa")&amp;":"&amp;ADDRESS(130,3+18*2+(3))),'J1 C - (South) Bishopthorpe Roa'!$A$12:$A$130,"&gt;="&amp;Diagram!$O62,'J1 C - (South) Bishopthorpe Roa'!$A$12:$A$130,"&lt;"&amp;Diagram!$P62),SUMIFS(INDIRECT(ADDRESS(12,3+18*2+(11),,,"J1 C - (South) Bishopthorpe Roa")&amp;":"&amp;ADDRESS(130,3+18*2+(11))),'J1 C - (South) Bishopthorpe Roa'!$A$12:$A$130,"&gt;="&amp;Diagram!$O62,'J1 C - (South) Bishopthorpe Roa'!$A$12:$A$130,"&lt;"&amp;Diagram!$P62)))</f>
        <v>0</v>
      </c>
      <c r="CB62" s="42">
        <f ca="1">IF(OR($I$10="",$O62="",$P62="",$J$38&lt;&gt;"Yes"),0,IF($K$10=0,SUMIFS(INDIRECT(ADDRESS(12,3+18*3+(3),,,"J1 C - (South) Bishopthorpe Roa")&amp;":"&amp;ADDRESS(130,3+18*3+(3))),'J1 C - (South) Bishopthorpe Roa'!$A$12:$A$130,"&gt;="&amp;Diagram!$O62,'J1 C - (South) Bishopthorpe Roa'!$A$12:$A$130,"&lt;"&amp;Diagram!$P62),SUMIFS(INDIRECT(ADDRESS(12,3+18*3+(11),,,"J1 C - (South) Bishopthorpe Roa")&amp;":"&amp;ADDRESS(130,3+18*3+(11))),'J1 C - (South) Bishopthorpe Roa'!$A$12:$A$130,"&gt;="&amp;Diagram!$O62,'J1 C - (South) Bishopthorpe Roa'!$A$12:$A$130,"&lt;"&amp;Diagram!$P62)))</f>
        <v>0</v>
      </c>
      <c r="CC62" s="42">
        <f ca="1">IF(OR($I$10="",$O62="",$P62="",$J$38&lt;&gt;"Yes"),0,IF($K$10=0,SUMIFS(INDIRECT(ADDRESS(12,3+18*0+(3),,,"J1 C - (South) Bishopthorpe Roa")&amp;":"&amp;ADDRESS(130,3+18*0+(3))),'J1 C - (South) Bishopthorpe Roa'!$A$12:$A$130,"&gt;="&amp;Diagram!$O62,'J1 C - (South) Bishopthorpe Roa'!$A$12:$A$130,"&lt;"&amp;Diagram!$P62),SUMIFS(INDIRECT(ADDRESS(12,3+18*0+(11),,,"J1 C - (South) Bishopthorpe Roa")&amp;":"&amp;ADDRESS(130,3+18*0+(11))),'J1 C - (South) Bishopthorpe Roa'!$A$12:$A$130,"&gt;="&amp;Diagram!$O62,'J1 C - (South) Bishopthorpe Roa'!$A$12:$A$130,"&lt;"&amp;Diagram!$P62)))</f>
        <v>0</v>
      </c>
      <c r="CD62" s="42">
        <f ca="1">IF(OR($I$10="",$O62="",$P62="",$J$38&lt;&gt;"Yes"),0,IF($K$10=0,SUMIFS(INDIRECT(ADDRESS(12,3+18*0+(3),,,"J1 D - South Bank Avenue")&amp;":"&amp;ADDRESS(130,3+18*0+(3))),'J1 D - South Bank Avenue'!$A$12:$A$130,"&gt;="&amp;Diagram!$O62,'J1 D - South Bank Avenue'!$A$12:$A$130,"&lt;"&amp;Diagram!$P62),SUMIFS(INDIRECT(ADDRESS(12,3+18*0+(11),,,"J1 D - South Bank Avenue")&amp;":"&amp;ADDRESS(130,3+18*0+(11))),'J1 D - South Bank Avenue'!$A$12:$A$130,"&gt;="&amp;Diagram!$O62,'J1 D - South Bank Avenue'!$A$12:$A$130,"&lt;"&amp;Diagram!$P62)))</f>
        <v>0</v>
      </c>
      <c r="CE62" s="42">
        <f ca="1">IF(OR($I$10="",$O62="",$P62="",$J$38&lt;&gt;"Yes"),0,IF($K$10=0,SUMIFS(INDIRECT(ADDRESS(12,3+18*1+(3),,,"J1 D - South Bank Avenue")&amp;":"&amp;ADDRESS(130,3+18*1+(3))),'J1 D - South Bank Avenue'!$A$12:$A$130,"&gt;="&amp;Diagram!$O62,'J1 D - South Bank Avenue'!$A$12:$A$130,"&lt;"&amp;Diagram!$P62),SUMIFS(INDIRECT(ADDRESS(12,3+18*1+(11),,,"J1 D - South Bank Avenue")&amp;":"&amp;ADDRESS(130,3+18*1+(11))),'J1 D - South Bank Avenue'!$A$12:$A$130,"&gt;="&amp;Diagram!$O62,'J1 D - South Bank Avenue'!$A$12:$A$130,"&lt;"&amp;Diagram!$P62)))</f>
        <v>0</v>
      </c>
      <c r="CF62" s="42">
        <f ca="1">IF(OR($I$10="",$O62="",$P62="",$J$38&lt;&gt;"Yes"),0,IF($K$10=0,SUMIFS(INDIRECT(ADDRESS(12,3+18*2+(3),,,"J1 D - South Bank Avenue")&amp;":"&amp;ADDRESS(130,3+18*2+(3))),'J1 D - South Bank Avenue'!$A$12:$A$130,"&gt;="&amp;Diagram!$O62,'J1 D - South Bank Avenue'!$A$12:$A$130,"&lt;"&amp;Diagram!$P62),SUMIFS(INDIRECT(ADDRESS(12,3+18*2+(11),,,"J1 D - South Bank Avenue")&amp;":"&amp;ADDRESS(130,3+18*2+(11))),'J1 D - South Bank Avenue'!$A$12:$A$130,"&gt;="&amp;Diagram!$O62,'J1 D - South Bank Avenue'!$A$12:$A$130,"&lt;"&amp;Diagram!$P62)))</f>
        <v>0</v>
      </c>
      <c r="CG62" s="42">
        <f ca="1">IF(OR($I$10="",$O62="",$P62="",$J$38&lt;&gt;"Yes"),0,IF($K$10=0,SUMIFS(INDIRECT(ADDRESS(12,3+18*3+(3),,,"J1 D - South Bank Avenue")&amp;":"&amp;ADDRESS(130,3+18*3+(3))),'J1 D - South Bank Avenue'!$A$12:$A$130,"&gt;="&amp;Diagram!$O62,'J1 D - South Bank Avenue'!$A$12:$A$130,"&lt;"&amp;Diagram!$P62),SUMIFS(INDIRECT(ADDRESS(12,3+18*3+(11),,,"J1 D - South Bank Avenue")&amp;":"&amp;ADDRESS(130,3+18*3+(11))),'J1 D - South Bank Avenue'!$A$12:$A$130,"&gt;="&amp;Diagram!$O62,'J1 D - South Bank Avenue'!$A$12:$A$130,"&lt;"&amp;Diagram!$P62)))</f>
        <v>0</v>
      </c>
      <c r="CH62" s="42">
        <f t="shared" ca="1" si="5"/>
        <v>7</v>
      </c>
      <c r="CI62" s="42">
        <f ca="1">IF(OR($I$10="",$O62="",$P62="",$J$39&lt;&gt;"Yes"),0,IF($K$10=0,SUMIFS(INDIRECT(ADDRESS(12,3+18*3+(4),,,"J1 A - (North) Bishopthorpe Roa")&amp;":"&amp;ADDRESS(130,3+18*3+(4))),'J1 A - (North) Bishopthorpe Roa'!$A$12:$A$130,"&gt;="&amp;Diagram!$O62,'J1 A - (North) Bishopthorpe Roa'!$A$12:$A$130,"&lt;"&amp;Diagram!$P62),SUMIFS(INDIRECT(ADDRESS(12,3+18*3+(12),,,"J1 A - (North) Bishopthorpe Roa")&amp;":"&amp;ADDRESS(130,3+18*3+(12))),'J1 A - (North) Bishopthorpe Roa'!$A$12:$A$130,"&gt;="&amp;Diagram!$O62,'J1 A - (North) Bishopthorpe Roa'!$A$12:$A$130,"&lt;"&amp;Diagram!$P62)))</f>
        <v>0</v>
      </c>
      <c r="CJ62" s="42">
        <f ca="1">IF(OR($I$10="",$O62="",$P62="",$J$39&lt;&gt;"Yes"),0,IF($K$10=0,SUMIFS(INDIRECT(ADDRESS(12,3+18*0+(4),,,"J1 A - (North) Bishopthorpe Roa")&amp;":"&amp;ADDRESS(130,3+18*0+(4))),'J1 A - (North) Bishopthorpe Roa'!$A$12:$A$130,"&gt;="&amp;Diagram!$O62,'J1 A - (North) Bishopthorpe Roa'!$A$12:$A$130,"&lt;"&amp;Diagram!$P62),SUMIFS(INDIRECT(ADDRESS(12,3+18*0+(12),,,"J1 A - (North) Bishopthorpe Roa")&amp;":"&amp;ADDRESS(130,3+18*0+(12))),'J1 A - (North) Bishopthorpe Roa'!$A$12:$A$130,"&gt;="&amp;Diagram!$O62,'J1 A - (North) Bishopthorpe Roa'!$A$12:$A$130,"&lt;"&amp;Diagram!$P62)))</f>
        <v>0</v>
      </c>
      <c r="CK62" s="42">
        <f ca="1">IF(OR($I$10="",$O62="",$P62="",$J$39&lt;&gt;"Yes"),0,IF($K$10=0,SUMIFS(INDIRECT(ADDRESS(12,3+18*1+(4),,,"J1 A - (North) Bishopthorpe Roa")&amp;":"&amp;ADDRESS(130,3+18*1+(4))),'J1 A - (North) Bishopthorpe Roa'!$A$12:$A$130,"&gt;="&amp;Diagram!$O62,'J1 A - (North) Bishopthorpe Roa'!$A$12:$A$130,"&lt;"&amp;Diagram!$P62),SUMIFS(INDIRECT(ADDRESS(12,3+18*1+(12),,,"J1 A - (North) Bishopthorpe Roa")&amp;":"&amp;ADDRESS(130,3+18*1+(12))),'J1 A - (North) Bishopthorpe Roa'!$A$12:$A$130,"&gt;="&amp;Diagram!$O62,'J1 A - (North) Bishopthorpe Roa'!$A$12:$A$130,"&lt;"&amp;Diagram!$P62)))</f>
        <v>4</v>
      </c>
      <c r="CL62" s="42">
        <f ca="1">IF(OR($I$10="",$O62="",$P62="",$J$39&lt;&gt;"Yes"),0,IF($K$10=0,SUMIFS(INDIRECT(ADDRESS(12,3+18*2+(4),,,"J1 A - (North) Bishopthorpe Roa")&amp;":"&amp;ADDRESS(130,3+18*2+(4))),'J1 A - (North) Bishopthorpe Roa'!$A$12:$A$130,"&gt;="&amp;Diagram!$O62,'J1 A - (North) Bishopthorpe Roa'!$A$12:$A$130,"&lt;"&amp;Diagram!$P62),SUMIFS(INDIRECT(ADDRESS(12,3+18*2+(12),,,"J1 A - (North) Bishopthorpe Roa")&amp;":"&amp;ADDRESS(130,3+18*2+(12))),'J1 A - (North) Bishopthorpe Roa'!$A$12:$A$130,"&gt;="&amp;Diagram!$O62,'J1 A - (North) Bishopthorpe Roa'!$A$12:$A$130,"&lt;"&amp;Diagram!$P62)))</f>
        <v>0</v>
      </c>
      <c r="CM62" s="42">
        <f ca="1">IF(OR($I$10="",$O62="",$P62="",$J$39&lt;&gt;"Yes"),0,IF($K$10=0,SUMIFS(INDIRECT(ADDRESS(12,3+18*2+(4),,,"J1 B - Butcher Terrace")&amp;":"&amp;ADDRESS(130,3+18*2+(4))),'J1 B - Butcher Terrace'!$A$12:$A$130,"&gt;="&amp;Diagram!$O62,'J1 B - Butcher Terrace'!$A$12:$A$130,"&lt;"&amp;Diagram!$P62),SUMIFS(INDIRECT(ADDRESS(12,3+18*2+(12),,,"J1 B - Butcher Terrace")&amp;":"&amp;ADDRESS(130,3+18*2+(12))),'J1 B - Butcher Terrace'!$A$12:$A$130,"&gt;="&amp;Diagram!$O62,'J1 B - Butcher Terrace'!$A$12:$A$130,"&lt;"&amp;Diagram!$P62)))</f>
        <v>0</v>
      </c>
      <c r="CN62" s="42">
        <f ca="1">IF(OR($I$10="",$O62="",$P62="",$J$39&lt;&gt;"Yes"),0,IF($K$10=0,SUMIFS(INDIRECT(ADDRESS(12,3+18*3+(4),,,"J1 B - Butcher Terrace")&amp;":"&amp;ADDRESS(130,3+18*3+(4))),'J1 B - Butcher Terrace'!$A$12:$A$130,"&gt;="&amp;Diagram!$O62,'J1 B - Butcher Terrace'!$A$12:$A$130,"&lt;"&amp;Diagram!$P62),SUMIFS(INDIRECT(ADDRESS(12,3+18*3+(12),,,"J1 B - Butcher Terrace")&amp;":"&amp;ADDRESS(130,3+18*3+(12))),'J1 B - Butcher Terrace'!$A$12:$A$130,"&gt;="&amp;Diagram!$O62,'J1 B - Butcher Terrace'!$A$12:$A$130,"&lt;"&amp;Diagram!$P62)))</f>
        <v>0</v>
      </c>
      <c r="CO62" s="42">
        <f ca="1">IF(OR($I$10="",$O62="",$P62="",$J$39&lt;&gt;"Yes"),0,IF($K$10=0,SUMIFS(INDIRECT(ADDRESS(12,3+18*0+(4),,,"J1 B - Butcher Terrace")&amp;":"&amp;ADDRESS(130,3+18*0+(4))),'J1 B - Butcher Terrace'!$A$12:$A$130,"&gt;="&amp;Diagram!$O62,'J1 B - Butcher Terrace'!$A$12:$A$130,"&lt;"&amp;Diagram!$P62),SUMIFS(INDIRECT(ADDRESS(12,3+18*0+(12),,,"J1 B - Butcher Terrace")&amp;":"&amp;ADDRESS(130,3+18*0+(12))),'J1 B - Butcher Terrace'!$A$12:$A$130,"&gt;="&amp;Diagram!$O62,'J1 B - Butcher Terrace'!$A$12:$A$130,"&lt;"&amp;Diagram!$P62)))</f>
        <v>0</v>
      </c>
      <c r="CP62" s="42">
        <f ca="1">IF(OR($I$10="",$O62="",$P62="",$J$39&lt;&gt;"Yes"),0,IF($K$10=0,SUMIFS(INDIRECT(ADDRESS(12,3+18*1+(4),,,"J1 B - Butcher Terrace")&amp;":"&amp;ADDRESS(130,3+18*1+(4))),'J1 B - Butcher Terrace'!$A$12:$A$130,"&gt;="&amp;Diagram!$O62,'J1 B - Butcher Terrace'!$A$12:$A$130,"&lt;"&amp;Diagram!$P62),SUMIFS(INDIRECT(ADDRESS(12,3+18*1+(12),,,"J1 B - Butcher Terrace")&amp;":"&amp;ADDRESS(130,3+18*1+(12))),'J1 B - Butcher Terrace'!$A$12:$A$130,"&gt;="&amp;Diagram!$O62,'J1 B - Butcher Terrace'!$A$12:$A$130,"&lt;"&amp;Diagram!$P62)))</f>
        <v>0</v>
      </c>
      <c r="CQ62" s="42">
        <f ca="1">IF(OR($I$10="",$O62="",$P62="",$J$39&lt;&gt;"Yes"),0,IF($K$10=0,SUMIFS(INDIRECT(ADDRESS(12,3+18*1+(4),,,"J1 C - (South) Bishopthorpe Roa")&amp;":"&amp;ADDRESS(130,3+18*1+(4))),'J1 C - (South) Bishopthorpe Roa'!$A$12:$A$130,"&gt;="&amp;Diagram!$O62,'J1 C - (South) Bishopthorpe Roa'!$A$12:$A$130,"&lt;"&amp;Diagram!$P62),SUMIFS(INDIRECT(ADDRESS(12,3+18*1+(12),,,"J1 C - (South) Bishopthorpe Roa")&amp;":"&amp;ADDRESS(130,3+18*1+(12))),'J1 C - (South) Bishopthorpe Roa'!$A$12:$A$130,"&gt;="&amp;Diagram!$O62,'J1 C - (South) Bishopthorpe Roa'!$A$12:$A$130,"&lt;"&amp;Diagram!$P62)))</f>
        <v>3</v>
      </c>
      <c r="CR62" s="42">
        <f ca="1">IF(OR($I$10="",$O62="",$P62="",$J$39&lt;&gt;"Yes"),0,IF($K$10=0,SUMIFS(INDIRECT(ADDRESS(12,3+18*2+(4),,,"J1 C - (South) Bishopthorpe Roa")&amp;":"&amp;ADDRESS(130,3+18*2+(4))),'J1 C - (South) Bishopthorpe Roa'!$A$12:$A$130,"&gt;="&amp;Diagram!$O62,'J1 C - (South) Bishopthorpe Roa'!$A$12:$A$130,"&lt;"&amp;Diagram!$P62),SUMIFS(INDIRECT(ADDRESS(12,3+18*2+(12),,,"J1 C - (South) Bishopthorpe Roa")&amp;":"&amp;ADDRESS(130,3+18*2+(12))),'J1 C - (South) Bishopthorpe Roa'!$A$12:$A$130,"&gt;="&amp;Diagram!$O62,'J1 C - (South) Bishopthorpe Roa'!$A$12:$A$130,"&lt;"&amp;Diagram!$P62)))</f>
        <v>0</v>
      </c>
      <c r="CS62" s="42">
        <f ca="1">IF(OR($I$10="",$O62="",$P62="",$J$39&lt;&gt;"Yes"),0,IF($K$10=0,SUMIFS(INDIRECT(ADDRESS(12,3+18*3+(4),,,"J1 C - (South) Bishopthorpe Roa")&amp;":"&amp;ADDRESS(130,3+18*3+(4))),'J1 C - (South) Bishopthorpe Roa'!$A$12:$A$130,"&gt;="&amp;Diagram!$O62,'J1 C - (South) Bishopthorpe Roa'!$A$12:$A$130,"&lt;"&amp;Diagram!$P62),SUMIFS(INDIRECT(ADDRESS(12,3+18*3+(12),,,"J1 C - (South) Bishopthorpe Roa")&amp;":"&amp;ADDRESS(130,3+18*3+(12))),'J1 C - (South) Bishopthorpe Roa'!$A$12:$A$130,"&gt;="&amp;Diagram!$O62,'J1 C - (South) Bishopthorpe Roa'!$A$12:$A$130,"&lt;"&amp;Diagram!$P62)))</f>
        <v>0</v>
      </c>
      <c r="CT62" s="42">
        <f ca="1">IF(OR($I$10="",$O62="",$P62="",$J$39&lt;&gt;"Yes"),0,IF($K$10=0,SUMIFS(INDIRECT(ADDRESS(12,3+18*0+(4),,,"J1 C - (South) Bishopthorpe Roa")&amp;":"&amp;ADDRESS(130,3+18*0+(4))),'J1 C - (South) Bishopthorpe Roa'!$A$12:$A$130,"&gt;="&amp;Diagram!$O62,'J1 C - (South) Bishopthorpe Roa'!$A$12:$A$130,"&lt;"&amp;Diagram!$P62),SUMIFS(INDIRECT(ADDRESS(12,3+18*0+(12),,,"J1 C - (South) Bishopthorpe Roa")&amp;":"&amp;ADDRESS(130,3+18*0+(12))),'J1 C - (South) Bishopthorpe Roa'!$A$12:$A$130,"&gt;="&amp;Diagram!$O62,'J1 C - (South) Bishopthorpe Roa'!$A$12:$A$130,"&lt;"&amp;Diagram!$P62)))</f>
        <v>0</v>
      </c>
      <c r="CU62" s="42">
        <f ca="1">IF(OR($I$10="",$O62="",$P62="",$J$39&lt;&gt;"Yes"),0,IF($K$10=0,SUMIFS(INDIRECT(ADDRESS(12,3+18*0+(4),,,"J1 D - South Bank Avenue")&amp;":"&amp;ADDRESS(130,3+18*0+(4))),'J1 D - South Bank Avenue'!$A$12:$A$130,"&gt;="&amp;Diagram!$O62,'J1 D - South Bank Avenue'!$A$12:$A$130,"&lt;"&amp;Diagram!$P62),SUMIFS(INDIRECT(ADDRESS(12,3+18*0+(12),,,"J1 D - South Bank Avenue")&amp;":"&amp;ADDRESS(130,3+18*0+(12))),'J1 D - South Bank Avenue'!$A$12:$A$130,"&gt;="&amp;Diagram!$O62,'J1 D - South Bank Avenue'!$A$12:$A$130,"&lt;"&amp;Diagram!$P62)))</f>
        <v>0</v>
      </c>
      <c r="CV62" s="42">
        <f ca="1">IF(OR($I$10="",$O62="",$P62="",$J$39&lt;&gt;"Yes"),0,IF($K$10=0,SUMIFS(INDIRECT(ADDRESS(12,3+18*1+(4),,,"J1 D - South Bank Avenue")&amp;":"&amp;ADDRESS(130,3+18*1+(4))),'J1 D - South Bank Avenue'!$A$12:$A$130,"&gt;="&amp;Diagram!$O62,'J1 D - South Bank Avenue'!$A$12:$A$130,"&lt;"&amp;Diagram!$P62),SUMIFS(INDIRECT(ADDRESS(12,3+18*1+(12),,,"J1 D - South Bank Avenue")&amp;":"&amp;ADDRESS(130,3+18*1+(12))),'J1 D - South Bank Avenue'!$A$12:$A$130,"&gt;="&amp;Diagram!$O62,'J1 D - South Bank Avenue'!$A$12:$A$130,"&lt;"&amp;Diagram!$P62)))</f>
        <v>0</v>
      </c>
      <c r="CW62" s="42">
        <f ca="1">IF(OR($I$10="",$O62="",$P62="",$J$39&lt;&gt;"Yes"),0,IF($K$10=0,SUMIFS(INDIRECT(ADDRESS(12,3+18*2+(4),,,"J1 D - South Bank Avenue")&amp;":"&amp;ADDRESS(130,3+18*2+(4))),'J1 D - South Bank Avenue'!$A$12:$A$130,"&gt;="&amp;Diagram!$O62,'J1 D - South Bank Avenue'!$A$12:$A$130,"&lt;"&amp;Diagram!$P62),SUMIFS(INDIRECT(ADDRESS(12,3+18*2+(12),,,"J1 D - South Bank Avenue")&amp;":"&amp;ADDRESS(130,3+18*2+(12))),'J1 D - South Bank Avenue'!$A$12:$A$130,"&gt;="&amp;Diagram!$O62,'J1 D - South Bank Avenue'!$A$12:$A$130,"&lt;"&amp;Diagram!$P62)))</f>
        <v>0</v>
      </c>
      <c r="CX62" s="42">
        <f ca="1">IF(OR($I$10="",$O62="",$P62="",$J$39&lt;&gt;"Yes"),0,IF($K$10=0,SUMIFS(INDIRECT(ADDRESS(12,3+18*3+(4),,,"J1 D - South Bank Avenue")&amp;":"&amp;ADDRESS(130,3+18*3+(4))),'J1 D - South Bank Avenue'!$A$12:$A$130,"&gt;="&amp;Diagram!$O62,'J1 D - South Bank Avenue'!$A$12:$A$130,"&lt;"&amp;Diagram!$P62),SUMIFS(INDIRECT(ADDRESS(12,3+18*3+(12),,,"J1 D - South Bank Avenue")&amp;":"&amp;ADDRESS(130,3+18*3+(12))),'J1 D - South Bank Avenue'!$A$12:$A$130,"&gt;="&amp;Diagram!$O62,'J1 D - South Bank Avenue'!$A$12:$A$130,"&lt;"&amp;Diagram!$P62)))</f>
        <v>0</v>
      </c>
      <c r="CY62" s="42">
        <f t="shared" ca="1" si="6"/>
        <v>125</v>
      </c>
      <c r="CZ62" s="42">
        <f ca="1">IF(OR($I$10="",$O62="",$P62="",$J$40&lt;&gt;"Yes"),0,IF($K$10=0,SUMIFS(INDIRECT(ADDRESS(12,3+18*3+(5),,,"J1 A - (North) Bishopthorpe Roa")&amp;":"&amp;ADDRESS(130,3+18*3+(5))),'J1 A - (North) Bishopthorpe Roa'!$A$12:$A$130,"&gt;="&amp;Diagram!$O62,'J1 A - (North) Bishopthorpe Roa'!$A$12:$A$130,"&lt;"&amp;Diagram!$P62),SUMIFS(INDIRECT(ADDRESS(12,3+18*3+(13),,,"J1 A - (North) Bishopthorpe Roa")&amp;":"&amp;ADDRESS(130,3+18*3+(13))),'J1 A - (North) Bishopthorpe Roa'!$A$12:$A$130,"&gt;="&amp;Diagram!$O62,'J1 A - (North) Bishopthorpe Roa'!$A$12:$A$130,"&lt;"&amp;Diagram!$P62)))</f>
        <v>0</v>
      </c>
      <c r="DA62" s="42">
        <f ca="1">IF(OR($I$10="",$O62="",$P62="",$J$40&lt;&gt;"Yes"),0,IF($K$10=0,SUMIFS(INDIRECT(ADDRESS(12,3+18*0+(5),,,"J1 A - (North) Bishopthorpe Roa")&amp;":"&amp;ADDRESS(130,3+18*0+(5))),'J1 A - (North) Bishopthorpe Roa'!$A$12:$A$130,"&gt;="&amp;Diagram!$O62,'J1 A - (North) Bishopthorpe Roa'!$A$12:$A$130,"&lt;"&amp;Diagram!$P62),SUMIFS(INDIRECT(ADDRESS(12,3+18*0+(13),,,"J1 A - (North) Bishopthorpe Roa")&amp;":"&amp;ADDRESS(130,3+18*0+(13))),'J1 A - (North) Bishopthorpe Roa'!$A$12:$A$130,"&gt;="&amp;Diagram!$O62,'J1 A - (North) Bishopthorpe Roa'!$A$12:$A$130,"&lt;"&amp;Diagram!$P62)))</f>
        <v>16</v>
      </c>
      <c r="DB62" s="42">
        <f ca="1">IF(OR($I$10="",$O62="",$P62="",$J$40&lt;&gt;"Yes"),0,IF($K$10=0,SUMIFS(INDIRECT(ADDRESS(12,3+18*1+(5),,,"J1 A - (North) Bishopthorpe Roa")&amp;":"&amp;ADDRESS(130,3+18*1+(5))),'J1 A - (North) Bishopthorpe Roa'!$A$12:$A$130,"&gt;="&amp;Diagram!$O62,'J1 A - (North) Bishopthorpe Roa'!$A$12:$A$130,"&lt;"&amp;Diagram!$P62),SUMIFS(INDIRECT(ADDRESS(12,3+18*1+(13),,,"J1 A - (North) Bishopthorpe Roa")&amp;":"&amp;ADDRESS(130,3+18*1+(13))),'J1 A - (North) Bishopthorpe Roa'!$A$12:$A$130,"&gt;="&amp;Diagram!$O62,'J1 A - (North) Bishopthorpe Roa'!$A$12:$A$130,"&lt;"&amp;Diagram!$P62)))</f>
        <v>16</v>
      </c>
      <c r="DC62" s="42">
        <f ca="1">IF(OR($I$10="",$O62="",$P62="",$J$40&lt;&gt;"Yes"),0,IF($K$10=0,SUMIFS(INDIRECT(ADDRESS(12,3+18*2+(5),,,"J1 A - (North) Bishopthorpe Roa")&amp;":"&amp;ADDRESS(130,3+18*2+(5))),'J1 A - (North) Bishopthorpe Roa'!$A$12:$A$130,"&gt;="&amp;Diagram!$O62,'J1 A - (North) Bishopthorpe Roa'!$A$12:$A$130,"&lt;"&amp;Diagram!$P62),SUMIFS(INDIRECT(ADDRESS(12,3+18*2+(13),,,"J1 A - (North) Bishopthorpe Roa")&amp;":"&amp;ADDRESS(130,3+18*2+(13))),'J1 A - (North) Bishopthorpe Roa'!$A$12:$A$130,"&gt;="&amp;Diagram!$O62,'J1 A - (North) Bishopthorpe Roa'!$A$12:$A$130,"&lt;"&amp;Diagram!$P62)))</f>
        <v>3</v>
      </c>
      <c r="DD62" s="42">
        <f ca="1">IF(OR($I$10="",$O62="",$P62="",$J$40&lt;&gt;"Yes"),0,IF($K$10=0,SUMIFS(INDIRECT(ADDRESS(12,3+18*2+(5),,,"J1 B - Butcher Terrace")&amp;":"&amp;ADDRESS(130,3+18*2+(5))),'J1 B - Butcher Terrace'!$A$12:$A$130,"&gt;="&amp;Diagram!$O62,'J1 B - Butcher Terrace'!$A$12:$A$130,"&lt;"&amp;Diagram!$P62),SUMIFS(INDIRECT(ADDRESS(12,3+18*2+(13),,,"J1 B - Butcher Terrace")&amp;":"&amp;ADDRESS(130,3+18*2+(13))),'J1 B - Butcher Terrace'!$A$12:$A$130,"&gt;="&amp;Diagram!$O62,'J1 B - Butcher Terrace'!$A$12:$A$130,"&lt;"&amp;Diagram!$P62)))</f>
        <v>12</v>
      </c>
      <c r="DE62" s="42">
        <f ca="1">IF(OR($I$10="",$O62="",$P62="",$J$40&lt;&gt;"Yes"),0,IF($K$10=0,SUMIFS(INDIRECT(ADDRESS(12,3+18*3+(5),,,"J1 B - Butcher Terrace")&amp;":"&amp;ADDRESS(130,3+18*3+(5))),'J1 B - Butcher Terrace'!$A$12:$A$130,"&gt;="&amp;Diagram!$O62,'J1 B - Butcher Terrace'!$A$12:$A$130,"&lt;"&amp;Diagram!$P62),SUMIFS(INDIRECT(ADDRESS(12,3+18*3+(13),,,"J1 B - Butcher Terrace")&amp;":"&amp;ADDRESS(130,3+18*3+(13))),'J1 B - Butcher Terrace'!$A$12:$A$130,"&gt;="&amp;Diagram!$O62,'J1 B - Butcher Terrace'!$A$12:$A$130,"&lt;"&amp;Diagram!$P62)))</f>
        <v>0</v>
      </c>
      <c r="DF62" s="42">
        <f ca="1">IF(OR($I$10="",$O62="",$P62="",$J$40&lt;&gt;"Yes"),0,IF($K$10=0,SUMIFS(INDIRECT(ADDRESS(12,3+18*0+(5),,,"J1 B - Butcher Terrace")&amp;":"&amp;ADDRESS(130,3+18*0+(5))),'J1 B - Butcher Terrace'!$A$12:$A$130,"&gt;="&amp;Diagram!$O62,'J1 B - Butcher Terrace'!$A$12:$A$130,"&lt;"&amp;Diagram!$P62),SUMIFS(INDIRECT(ADDRESS(12,3+18*0+(13),,,"J1 B - Butcher Terrace")&amp;":"&amp;ADDRESS(130,3+18*0+(13))),'J1 B - Butcher Terrace'!$A$12:$A$130,"&gt;="&amp;Diagram!$O62,'J1 B - Butcher Terrace'!$A$12:$A$130,"&lt;"&amp;Diagram!$P62)))</f>
        <v>11</v>
      </c>
      <c r="DG62" s="42">
        <f ca="1">IF(OR($I$10="",$O62="",$P62="",$J$40&lt;&gt;"Yes"),0,IF($K$10=0,SUMIFS(INDIRECT(ADDRESS(12,3+18*1+(5),,,"J1 B - Butcher Terrace")&amp;":"&amp;ADDRESS(130,3+18*1+(5))),'J1 B - Butcher Terrace'!$A$12:$A$130,"&gt;="&amp;Diagram!$O62,'J1 B - Butcher Terrace'!$A$12:$A$130,"&lt;"&amp;Diagram!$P62),SUMIFS(INDIRECT(ADDRESS(12,3+18*1+(13),,,"J1 B - Butcher Terrace")&amp;":"&amp;ADDRESS(130,3+18*1+(13))),'J1 B - Butcher Terrace'!$A$12:$A$130,"&gt;="&amp;Diagram!$O62,'J1 B - Butcher Terrace'!$A$12:$A$130,"&lt;"&amp;Diagram!$P62)))</f>
        <v>35</v>
      </c>
      <c r="DH62" s="42">
        <f ca="1">IF(OR($I$10="",$O62="",$P62="",$J$40&lt;&gt;"Yes"),0,IF($K$10=0,SUMIFS(INDIRECT(ADDRESS(12,3+18*1+(5),,,"J1 C - (South) Bishopthorpe Roa")&amp;":"&amp;ADDRESS(130,3+18*1+(5))),'J1 C - (South) Bishopthorpe Roa'!$A$12:$A$130,"&gt;="&amp;Diagram!$O62,'J1 C - (South) Bishopthorpe Roa'!$A$12:$A$130,"&lt;"&amp;Diagram!$P62),SUMIFS(INDIRECT(ADDRESS(12,3+18*1+(13),,,"J1 C - (South) Bishopthorpe Roa")&amp;":"&amp;ADDRESS(130,3+18*1+(13))),'J1 C - (South) Bishopthorpe Roa'!$A$12:$A$130,"&gt;="&amp;Diagram!$O62,'J1 C - (South) Bishopthorpe Roa'!$A$12:$A$130,"&lt;"&amp;Diagram!$P62)))</f>
        <v>12</v>
      </c>
      <c r="DI62" s="42">
        <f ca="1">IF(OR($I$10="",$O62="",$P62="",$J$40&lt;&gt;"Yes"),0,IF($K$10=0,SUMIFS(INDIRECT(ADDRESS(12,3+18*2+(5),,,"J1 C - (South) Bishopthorpe Roa")&amp;":"&amp;ADDRESS(130,3+18*2+(5))),'J1 C - (South) Bishopthorpe Roa'!$A$12:$A$130,"&gt;="&amp;Diagram!$O62,'J1 C - (South) Bishopthorpe Roa'!$A$12:$A$130,"&lt;"&amp;Diagram!$P62),SUMIFS(INDIRECT(ADDRESS(12,3+18*2+(13),,,"J1 C - (South) Bishopthorpe Roa")&amp;":"&amp;ADDRESS(130,3+18*2+(13))),'J1 C - (South) Bishopthorpe Roa'!$A$12:$A$130,"&gt;="&amp;Diagram!$O62,'J1 C - (South) Bishopthorpe Roa'!$A$12:$A$130,"&lt;"&amp;Diagram!$P62)))</f>
        <v>6</v>
      </c>
      <c r="DJ62" s="42">
        <f ca="1">IF(OR($I$10="",$O62="",$P62="",$J$40&lt;&gt;"Yes"),0,IF($K$10=0,SUMIFS(INDIRECT(ADDRESS(12,3+18*3+(5),,,"J1 C - (South) Bishopthorpe Roa")&amp;":"&amp;ADDRESS(130,3+18*3+(5))),'J1 C - (South) Bishopthorpe Roa'!$A$12:$A$130,"&gt;="&amp;Diagram!$O62,'J1 C - (South) Bishopthorpe Roa'!$A$12:$A$130,"&lt;"&amp;Diagram!$P62),SUMIFS(INDIRECT(ADDRESS(12,3+18*3+(13),,,"J1 C - (South) Bishopthorpe Roa")&amp;":"&amp;ADDRESS(130,3+18*3+(13))),'J1 C - (South) Bishopthorpe Roa'!$A$12:$A$130,"&gt;="&amp;Diagram!$O62,'J1 C - (South) Bishopthorpe Roa'!$A$12:$A$130,"&lt;"&amp;Diagram!$P62)))</f>
        <v>0</v>
      </c>
      <c r="DK62" s="42">
        <f ca="1">IF(OR($I$10="",$O62="",$P62="",$J$40&lt;&gt;"Yes"),0,IF($K$10=0,SUMIFS(INDIRECT(ADDRESS(12,3+18*0+(5),,,"J1 C - (South) Bishopthorpe Roa")&amp;":"&amp;ADDRESS(130,3+18*0+(5))),'J1 C - (South) Bishopthorpe Roa'!$A$12:$A$130,"&gt;="&amp;Diagram!$O62,'J1 C - (South) Bishopthorpe Roa'!$A$12:$A$130,"&lt;"&amp;Diagram!$P62),SUMIFS(INDIRECT(ADDRESS(12,3+18*0+(13),,,"J1 C - (South) Bishopthorpe Roa")&amp;":"&amp;ADDRESS(130,3+18*0+(13))),'J1 C - (South) Bishopthorpe Roa'!$A$12:$A$130,"&gt;="&amp;Diagram!$O62,'J1 C - (South) Bishopthorpe Roa'!$A$12:$A$130,"&lt;"&amp;Diagram!$P62)))</f>
        <v>1</v>
      </c>
      <c r="DL62" s="42">
        <f ca="1">IF(OR($I$10="",$O62="",$P62="",$J$40&lt;&gt;"Yes"),0,IF($K$10=0,SUMIFS(INDIRECT(ADDRESS(12,3+18*0+(5),,,"J1 D - South Bank Avenue")&amp;":"&amp;ADDRESS(130,3+18*0+(5))),'J1 D - South Bank Avenue'!$A$12:$A$130,"&gt;="&amp;Diagram!$O62,'J1 D - South Bank Avenue'!$A$12:$A$130,"&lt;"&amp;Diagram!$P62),SUMIFS(INDIRECT(ADDRESS(12,3+18*0+(13),,,"J1 D - South Bank Avenue")&amp;":"&amp;ADDRESS(130,3+18*0+(13))),'J1 D - South Bank Avenue'!$A$12:$A$130,"&gt;="&amp;Diagram!$O62,'J1 D - South Bank Avenue'!$A$12:$A$130,"&lt;"&amp;Diagram!$P62)))</f>
        <v>6</v>
      </c>
      <c r="DM62" s="42">
        <f ca="1">IF(OR($I$10="",$O62="",$P62="",$J$40&lt;&gt;"Yes"),0,IF($K$10=0,SUMIFS(INDIRECT(ADDRESS(12,3+18*1+(5),,,"J1 D - South Bank Avenue")&amp;":"&amp;ADDRESS(130,3+18*1+(5))),'J1 D - South Bank Avenue'!$A$12:$A$130,"&gt;="&amp;Diagram!$O62,'J1 D - South Bank Avenue'!$A$12:$A$130,"&lt;"&amp;Diagram!$P62),SUMIFS(INDIRECT(ADDRESS(12,3+18*1+(13),,,"J1 D - South Bank Avenue")&amp;":"&amp;ADDRESS(130,3+18*1+(13))),'J1 D - South Bank Avenue'!$A$12:$A$130,"&gt;="&amp;Diagram!$O62,'J1 D - South Bank Avenue'!$A$12:$A$130,"&lt;"&amp;Diagram!$P62)))</f>
        <v>7</v>
      </c>
      <c r="DN62" s="42">
        <f ca="1">IF(OR($I$10="",$O62="",$P62="",$J$40&lt;&gt;"Yes"),0,IF($K$10=0,SUMIFS(INDIRECT(ADDRESS(12,3+18*2+(5),,,"J1 D - South Bank Avenue")&amp;":"&amp;ADDRESS(130,3+18*2+(5))),'J1 D - South Bank Avenue'!$A$12:$A$130,"&gt;="&amp;Diagram!$O62,'J1 D - South Bank Avenue'!$A$12:$A$130,"&lt;"&amp;Diagram!$P62),SUMIFS(INDIRECT(ADDRESS(12,3+18*2+(13),,,"J1 D - South Bank Avenue")&amp;":"&amp;ADDRESS(130,3+18*2+(13))),'J1 D - South Bank Avenue'!$A$12:$A$130,"&gt;="&amp;Diagram!$O62,'J1 D - South Bank Avenue'!$A$12:$A$130,"&lt;"&amp;Diagram!$P62)))</f>
        <v>0</v>
      </c>
      <c r="DO62" s="42">
        <f ca="1">IF(OR($I$10="",$O62="",$P62="",$J$40&lt;&gt;"Yes"),0,IF($K$10=0,SUMIFS(INDIRECT(ADDRESS(12,3+18*3+(5),,,"J1 D - South Bank Avenue")&amp;":"&amp;ADDRESS(130,3+18*3+(5))),'J1 D - South Bank Avenue'!$A$12:$A$130,"&gt;="&amp;Diagram!$O62,'J1 D - South Bank Avenue'!$A$12:$A$130,"&lt;"&amp;Diagram!$P62),SUMIFS(INDIRECT(ADDRESS(12,3+18*3+(13),,,"J1 D - South Bank Avenue")&amp;":"&amp;ADDRESS(130,3+18*3+(13))),'J1 D - South Bank Avenue'!$A$12:$A$130,"&gt;="&amp;Diagram!$O62,'J1 D - South Bank Avenue'!$A$12:$A$130,"&lt;"&amp;Diagram!$P62)))</f>
        <v>0</v>
      </c>
      <c r="DP62" s="42">
        <f t="shared" ca="1" si="7"/>
        <v>4</v>
      </c>
      <c r="DQ62" s="42">
        <f ca="1">IF(OR($I$10="",$O62="",$P62="",$J$41&lt;&gt;"Yes"),0,IF($K$10=0,SUMIFS(INDIRECT(ADDRESS(12,3+18*3+(6),,,"J1 A - (North) Bishopthorpe Roa")&amp;":"&amp;ADDRESS(130,3+18*3+(6))),'J1 A - (North) Bishopthorpe Roa'!$A$12:$A$130,"&gt;="&amp;Diagram!$O62,'J1 A - (North) Bishopthorpe Roa'!$A$12:$A$130,"&lt;"&amp;Diagram!$P62),SUMIFS(INDIRECT(ADDRESS(12,3+18*3+(14),,,"J1 A - (North) Bishopthorpe Roa")&amp;":"&amp;ADDRESS(130,3+18*3+(14))),'J1 A - (North) Bishopthorpe Roa'!$A$12:$A$130,"&gt;="&amp;Diagram!$O62,'J1 A - (North) Bishopthorpe Roa'!$A$12:$A$130,"&lt;"&amp;Diagram!$P62)))</f>
        <v>0</v>
      </c>
      <c r="DR62" s="42">
        <f ca="1">IF(OR($I$10="",$O62="",$P62="",$J$41&lt;&gt;"Yes"),0,IF($K$10=0,SUMIFS(INDIRECT(ADDRESS(12,3+18*0+(6),,,"J1 A - (North) Bishopthorpe Roa")&amp;":"&amp;ADDRESS(130,3+18*0+(6))),'J1 A - (North) Bishopthorpe Roa'!$A$12:$A$130,"&gt;="&amp;Diagram!$O62,'J1 A - (North) Bishopthorpe Roa'!$A$12:$A$130,"&lt;"&amp;Diagram!$P62),SUMIFS(INDIRECT(ADDRESS(12,3+18*0+(14),,,"J1 A - (North) Bishopthorpe Roa")&amp;":"&amp;ADDRESS(130,3+18*0+(14))),'J1 A - (North) Bishopthorpe Roa'!$A$12:$A$130,"&gt;="&amp;Diagram!$O62,'J1 A - (North) Bishopthorpe Roa'!$A$12:$A$130,"&lt;"&amp;Diagram!$P62)))</f>
        <v>1</v>
      </c>
      <c r="DS62" s="42">
        <f ca="1">IF(OR($I$10="",$O62="",$P62="",$J$41&lt;&gt;"Yes"),0,IF($K$10=0,SUMIFS(INDIRECT(ADDRESS(12,3+18*1+(6),,,"J1 A - (North) Bishopthorpe Roa")&amp;":"&amp;ADDRESS(130,3+18*1+(6))),'J1 A - (North) Bishopthorpe Roa'!$A$12:$A$130,"&gt;="&amp;Diagram!$O62,'J1 A - (North) Bishopthorpe Roa'!$A$12:$A$130,"&lt;"&amp;Diagram!$P62),SUMIFS(INDIRECT(ADDRESS(12,3+18*1+(14),,,"J1 A - (North) Bishopthorpe Roa")&amp;":"&amp;ADDRESS(130,3+18*1+(14))),'J1 A - (North) Bishopthorpe Roa'!$A$12:$A$130,"&gt;="&amp;Diagram!$O62,'J1 A - (North) Bishopthorpe Roa'!$A$12:$A$130,"&lt;"&amp;Diagram!$P62)))</f>
        <v>2</v>
      </c>
      <c r="DT62" s="42">
        <f ca="1">IF(OR($I$10="",$O62="",$P62="",$J$41&lt;&gt;"Yes"),0,IF($K$10=0,SUMIFS(INDIRECT(ADDRESS(12,3+18*2+(6),,,"J1 A - (North) Bishopthorpe Roa")&amp;":"&amp;ADDRESS(130,3+18*2+(6))),'J1 A - (North) Bishopthorpe Roa'!$A$12:$A$130,"&gt;="&amp;Diagram!$O62,'J1 A - (North) Bishopthorpe Roa'!$A$12:$A$130,"&lt;"&amp;Diagram!$P62),SUMIFS(INDIRECT(ADDRESS(12,3+18*2+(14),,,"J1 A - (North) Bishopthorpe Roa")&amp;":"&amp;ADDRESS(130,3+18*2+(14))),'J1 A - (North) Bishopthorpe Roa'!$A$12:$A$130,"&gt;="&amp;Diagram!$O62,'J1 A - (North) Bishopthorpe Roa'!$A$12:$A$130,"&lt;"&amp;Diagram!$P62)))</f>
        <v>0</v>
      </c>
      <c r="DU62" s="42">
        <f ca="1">IF(OR($I$10="",$O62="",$P62="",$J$41&lt;&gt;"Yes"),0,IF($K$10=0,SUMIFS(INDIRECT(ADDRESS(12,3+18*2+(6),,,"J1 B - Butcher Terrace")&amp;":"&amp;ADDRESS(130,3+18*2+(6))),'J1 B - Butcher Terrace'!$A$12:$A$130,"&gt;="&amp;Diagram!$O62,'J1 B - Butcher Terrace'!$A$12:$A$130,"&lt;"&amp;Diagram!$P62),SUMIFS(INDIRECT(ADDRESS(12,3+18*2+(14),,,"J1 B - Butcher Terrace")&amp;":"&amp;ADDRESS(130,3+18*2+(14))),'J1 B - Butcher Terrace'!$A$12:$A$130,"&gt;="&amp;Diagram!$O62,'J1 B - Butcher Terrace'!$A$12:$A$130,"&lt;"&amp;Diagram!$P62)))</f>
        <v>0</v>
      </c>
      <c r="DV62" s="42">
        <f ca="1">IF(OR($I$10="",$O62="",$P62="",$J$41&lt;&gt;"Yes"),0,IF($K$10=0,SUMIFS(INDIRECT(ADDRESS(12,3+18*3+(6),,,"J1 B - Butcher Terrace")&amp;":"&amp;ADDRESS(130,3+18*3+(6))),'J1 B - Butcher Terrace'!$A$12:$A$130,"&gt;="&amp;Diagram!$O62,'J1 B - Butcher Terrace'!$A$12:$A$130,"&lt;"&amp;Diagram!$P62),SUMIFS(INDIRECT(ADDRESS(12,3+18*3+(14),,,"J1 B - Butcher Terrace")&amp;":"&amp;ADDRESS(130,3+18*3+(14))),'J1 B - Butcher Terrace'!$A$12:$A$130,"&gt;="&amp;Diagram!$O62,'J1 B - Butcher Terrace'!$A$12:$A$130,"&lt;"&amp;Diagram!$P62)))</f>
        <v>0</v>
      </c>
      <c r="DW62" s="42">
        <f ca="1">IF(OR($I$10="",$O62="",$P62="",$J$41&lt;&gt;"Yes"),0,IF($K$10=0,SUMIFS(INDIRECT(ADDRESS(12,3+18*0+(6),,,"J1 B - Butcher Terrace")&amp;":"&amp;ADDRESS(130,3+18*0+(6))),'J1 B - Butcher Terrace'!$A$12:$A$130,"&gt;="&amp;Diagram!$O62,'J1 B - Butcher Terrace'!$A$12:$A$130,"&lt;"&amp;Diagram!$P62),SUMIFS(INDIRECT(ADDRESS(12,3+18*0+(14),,,"J1 B - Butcher Terrace")&amp;":"&amp;ADDRESS(130,3+18*0+(14))),'J1 B - Butcher Terrace'!$A$12:$A$130,"&gt;="&amp;Diagram!$O62,'J1 B - Butcher Terrace'!$A$12:$A$130,"&lt;"&amp;Diagram!$P62)))</f>
        <v>0</v>
      </c>
      <c r="DX62" s="42">
        <f ca="1">IF(OR($I$10="",$O62="",$P62="",$J$41&lt;&gt;"Yes"),0,IF($K$10=0,SUMIFS(INDIRECT(ADDRESS(12,3+18*1+(6),,,"J1 B - Butcher Terrace")&amp;":"&amp;ADDRESS(130,3+18*1+(6))),'J1 B - Butcher Terrace'!$A$12:$A$130,"&gt;="&amp;Diagram!$O62,'J1 B - Butcher Terrace'!$A$12:$A$130,"&lt;"&amp;Diagram!$P62),SUMIFS(INDIRECT(ADDRESS(12,3+18*1+(14),,,"J1 B - Butcher Terrace")&amp;":"&amp;ADDRESS(130,3+18*1+(14))),'J1 B - Butcher Terrace'!$A$12:$A$130,"&gt;="&amp;Diagram!$O62,'J1 B - Butcher Terrace'!$A$12:$A$130,"&lt;"&amp;Diagram!$P62)))</f>
        <v>0</v>
      </c>
      <c r="DY62" s="42">
        <f ca="1">IF(OR($I$10="",$O62="",$P62="",$J$41&lt;&gt;"Yes"),0,IF($K$10=0,SUMIFS(INDIRECT(ADDRESS(12,3+18*1+(6),,,"J1 C - (South) Bishopthorpe Roa")&amp;":"&amp;ADDRESS(130,3+18*1+(6))),'J1 C - (South) Bishopthorpe Roa'!$A$12:$A$130,"&gt;="&amp;Diagram!$O62,'J1 C - (South) Bishopthorpe Roa'!$A$12:$A$130,"&lt;"&amp;Diagram!$P62),SUMIFS(INDIRECT(ADDRESS(12,3+18*1+(14),,,"J1 C - (South) Bishopthorpe Roa")&amp;":"&amp;ADDRESS(130,3+18*1+(14))),'J1 C - (South) Bishopthorpe Roa'!$A$12:$A$130,"&gt;="&amp;Diagram!$O62,'J1 C - (South) Bishopthorpe Roa'!$A$12:$A$130,"&lt;"&amp;Diagram!$P62)))</f>
        <v>1</v>
      </c>
      <c r="DZ62" s="42">
        <f ca="1">IF(OR($I$10="",$O62="",$P62="",$J$41&lt;&gt;"Yes"),0,IF($K$10=0,SUMIFS(INDIRECT(ADDRESS(12,3+18*2+(6),,,"J1 C - (South) Bishopthorpe Roa")&amp;":"&amp;ADDRESS(130,3+18*2+(6))),'J1 C - (South) Bishopthorpe Roa'!$A$12:$A$130,"&gt;="&amp;Diagram!$O62,'J1 C - (South) Bishopthorpe Roa'!$A$12:$A$130,"&lt;"&amp;Diagram!$P62),SUMIFS(INDIRECT(ADDRESS(12,3+18*2+(14),,,"J1 C - (South) Bishopthorpe Roa")&amp;":"&amp;ADDRESS(130,3+18*2+(14))),'J1 C - (South) Bishopthorpe Roa'!$A$12:$A$130,"&gt;="&amp;Diagram!$O62,'J1 C - (South) Bishopthorpe Roa'!$A$12:$A$130,"&lt;"&amp;Diagram!$P62)))</f>
        <v>0</v>
      </c>
      <c r="EA62" s="42">
        <f ca="1">IF(OR($I$10="",$O62="",$P62="",$J$41&lt;&gt;"Yes"),0,IF($K$10=0,SUMIFS(INDIRECT(ADDRESS(12,3+18*3+(6),,,"J1 C - (South) Bishopthorpe Roa")&amp;":"&amp;ADDRESS(130,3+18*3+(6))),'J1 C - (South) Bishopthorpe Roa'!$A$12:$A$130,"&gt;="&amp;Diagram!$O62,'J1 C - (South) Bishopthorpe Roa'!$A$12:$A$130,"&lt;"&amp;Diagram!$P62),SUMIFS(INDIRECT(ADDRESS(12,3+18*3+(14),,,"J1 C - (South) Bishopthorpe Roa")&amp;":"&amp;ADDRESS(130,3+18*3+(14))),'J1 C - (South) Bishopthorpe Roa'!$A$12:$A$130,"&gt;="&amp;Diagram!$O62,'J1 C - (South) Bishopthorpe Roa'!$A$12:$A$130,"&lt;"&amp;Diagram!$P62)))</f>
        <v>0</v>
      </c>
      <c r="EB62" s="42">
        <f ca="1">IF(OR($I$10="",$O62="",$P62="",$J$41&lt;&gt;"Yes"),0,IF($K$10=0,SUMIFS(INDIRECT(ADDRESS(12,3+18*0+(6),,,"J1 C - (South) Bishopthorpe Roa")&amp;":"&amp;ADDRESS(130,3+18*0+(6))),'J1 C - (South) Bishopthorpe Roa'!$A$12:$A$130,"&gt;="&amp;Diagram!$O62,'J1 C - (South) Bishopthorpe Roa'!$A$12:$A$130,"&lt;"&amp;Diagram!$P62),SUMIFS(INDIRECT(ADDRESS(12,3+18*0+(14),,,"J1 C - (South) Bishopthorpe Roa")&amp;":"&amp;ADDRESS(130,3+18*0+(14))),'J1 C - (South) Bishopthorpe Roa'!$A$12:$A$130,"&gt;="&amp;Diagram!$O62,'J1 C - (South) Bishopthorpe Roa'!$A$12:$A$130,"&lt;"&amp;Diagram!$P62)))</f>
        <v>0</v>
      </c>
      <c r="EC62" s="42">
        <f ca="1">IF(OR($I$10="",$O62="",$P62="",$J$41&lt;&gt;"Yes"),0,IF($K$10=0,SUMIFS(INDIRECT(ADDRESS(12,3+18*0+(6),,,"J1 D - South Bank Avenue")&amp;":"&amp;ADDRESS(130,3+18*0+(6))),'J1 D - South Bank Avenue'!$A$12:$A$130,"&gt;="&amp;Diagram!$O62,'J1 D - South Bank Avenue'!$A$12:$A$130,"&lt;"&amp;Diagram!$P62),SUMIFS(INDIRECT(ADDRESS(12,3+18*0+(14),,,"J1 D - South Bank Avenue")&amp;":"&amp;ADDRESS(130,3+18*0+(14))),'J1 D - South Bank Avenue'!$A$12:$A$130,"&gt;="&amp;Diagram!$O62,'J1 D - South Bank Avenue'!$A$12:$A$130,"&lt;"&amp;Diagram!$P62)))</f>
        <v>0</v>
      </c>
      <c r="ED62" s="42">
        <f ca="1">IF(OR($I$10="",$O62="",$P62="",$J$41&lt;&gt;"Yes"),0,IF($K$10=0,SUMIFS(INDIRECT(ADDRESS(12,3+18*1+(6),,,"J1 D - South Bank Avenue")&amp;":"&amp;ADDRESS(130,3+18*1+(6))),'J1 D - South Bank Avenue'!$A$12:$A$130,"&gt;="&amp;Diagram!$O62,'J1 D - South Bank Avenue'!$A$12:$A$130,"&lt;"&amp;Diagram!$P62),SUMIFS(INDIRECT(ADDRESS(12,3+18*1+(14),,,"J1 D - South Bank Avenue")&amp;":"&amp;ADDRESS(130,3+18*1+(14))),'J1 D - South Bank Avenue'!$A$12:$A$130,"&gt;="&amp;Diagram!$O62,'J1 D - South Bank Avenue'!$A$12:$A$130,"&lt;"&amp;Diagram!$P62)))</f>
        <v>0</v>
      </c>
      <c r="EE62" s="42">
        <f ca="1">IF(OR($I$10="",$O62="",$P62="",$J$41&lt;&gt;"Yes"),0,IF($K$10=0,SUMIFS(INDIRECT(ADDRESS(12,3+18*2+(6),,,"J1 D - South Bank Avenue")&amp;":"&amp;ADDRESS(130,3+18*2+(6))),'J1 D - South Bank Avenue'!$A$12:$A$130,"&gt;="&amp;Diagram!$O62,'J1 D - South Bank Avenue'!$A$12:$A$130,"&lt;"&amp;Diagram!$P62),SUMIFS(INDIRECT(ADDRESS(12,3+18*2+(14),,,"J1 D - South Bank Avenue")&amp;":"&amp;ADDRESS(130,3+18*2+(14))),'J1 D - South Bank Avenue'!$A$12:$A$130,"&gt;="&amp;Diagram!$O62,'J1 D - South Bank Avenue'!$A$12:$A$130,"&lt;"&amp;Diagram!$P62)))</f>
        <v>0</v>
      </c>
      <c r="EF62" s="42">
        <f ca="1">IF(OR($I$10="",$O62="",$P62="",$J$41&lt;&gt;"Yes"),0,IF($K$10=0,SUMIFS(INDIRECT(ADDRESS(12,3+18*3+(6),,,"J1 D - South Bank Avenue")&amp;":"&amp;ADDRESS(130,3+18*3+(6))),'J1 D - South Bank Avenue'!$A$12:$A$130,"&gt;="&amp;Diagram!$O62,'J1 D - South Bank Avenue'!$A$12:$A$130,"&lt;"&amp;Diagram!$P62),SUMIFS(INDIRECT(ADDRESS(12,3+18*3+(14),,,"J1 D - South Bank Avenue")&amp;":"&amp;ADDRESS(130,3+18*3+(14))),'J1 D - South Bank Avenue'!$A$12:$A$130,"&gt;="&amp;Diagram!$O62,'J1 D - South Bank Avenue'!$A$12:$A$130,"&lt;"&amp;Diagram!$P62)))</f>
        <v>0</v>
      </c>
      <c r="EG62" s="42">
        <f t="shared" ca="1" si="8"/>
        <v>2</v>
      </c>
      <c r="EH62" s="42">
        <f ca="1">IF(OR($I$10="",$O62="",$P62="",$J$42&lt;&gt;"Yes"),0,IF($K$10=0,SUMIFS(INDIRECT(ADDRESS(12,3+18*3+(7),,,"J1 A - (North) Bishopthorpe Roa")&amp;":"&amp;ADDRESS(130,3+18*3+(7))),'J1 A - (North) Bishopthorpe Roa'!$A$12:$A$130,"&gt;="&amp;Diagram!$O62,'J1 A - (North) Bishopthorpe Roa'!$A$12:$A$130,"&lt;"&amp;Diagram!$P62),SUMIFS(INDIRECT(ADDRESS(12,3+18*3+(15),,,"J1 A - (North) Bishopthorpe Roa")&amp;":"&amp;ADDRESS(130,3+18*3+(15))),'J1 A - (North) Bishopthorpe Roa'!$A$12:$A$130,"&gt;="&amp;Diagram!$O62,'J1 A - (North) Bishopthorpe Roa'!$A$12:$A$130,"&lt;"&amp;Diagram!$P62)))</f>
        <v>0</v>
      </c>
      <c r="EI62" s="42">
        <f ca="1">IF(OR($I$10="",$O62="",$P62="",$J$42&lt;&gt;"Yes"),0,IF($K$10=0,SUMIFS(INDIRECT(ADDRESS(12,3+18*0+(7),,,"J1 A - (North) Bishopthorpe Roa")&amp;":"&amp;ADDRESS(130,3+18*0+(7))),'J1 A - (North) Bishopthorpe Roa'!$A$12:$A$130,"&gt;="&amp;Diagram!$O62,'J1 A - (North) Bishopthorpe Roa'!$A$12:$A$130,"&lt;"&amp;Diagram!$P62),SUMIFS(INDIRECT(ADDRESS(12,3+18*0+(15),,,"J1 A - (North) Bishopthorpe Roa")&amp;":"&amp;ADDRESS(130,3+18*0+(15))),'J1 A - (North) Bishopthorpe Roa'!$A$12:$A$130,"&gt;="&amp;Diagram!$O62,'J1 A - (North) Bishopthorpe Roa'!$A$12:$A$130,"&lt;"&amp;Diagram!$P62)))</f>
        <v>1</v>
      </c>
      <c r="EJ62" s="42">
        <f ca="1">IF(OR($I$10="",$O62="",$P62="",$J$42&lt;&gt;"Yes"),0,IF($K$10=0,SUMIFS(INDIRECT(ADDRESS(12,3+18*1+(7),,,"J1 A - (North) Bishopthorpe Roa")&amp;":"&amp;ADDRESS(130,3+18*1+(7))),'J1 A - (North) Bishopthorpe Roa'!$A$12:$A$130,"&gt;="&amp;Diagram!$O62,'J1 A - (North) Bishopthorpe Roa'!$A$12:$A$130,"&lt;"&amp;Diagram!$P62),SUMIFS(INDIRECT(ADDRESS(12,3+18*1+(15),,,"J1 A - (North) Bishopthorpe Roa")&amp;":"&amp;ADDRESS(130,3+18*1+(15))),'J1 A - (North) Bishopthorpe Roa'!$A$12:$A$130,"&gt;="&amp;Diagram!$O62,'J1 A - (North) Bishopthorpe Roa'!$A$12:$A$130,"&lt;"&amp;Diagram!$P62)))</f>
        <v>0</v>
      </c>
      <c r="EK62" s="42">
        <f ca="1">IF(OR($I$10="",$O62="",$P62="",$J$42&lt;&gt;"Yes"),0,IF($K$10=0,SUMIFS(INDIRECT(ADDRESS(12,3+18*2+(7),,,"J1 A - (North) Bishopthorpe Roa")&amp;":"&amp;ADDRESS(130,3+18*2+(7))),'J1 A - (North) Bishopthorpe Roa'!$A$12:$A$130,"&gt;="&amp;Diagram!$O62,'J1 A - (North) Bishopthorpe Roa'!$A$12:$A$130,"&lt;"&amp;Diagram!$P62),SUMIFS(INDIRECT(ADDRESS(12,3+18*2+(15),,,"J1 A - (North) Bishopthorpe Roa")&amp;":"&amp;ADDRESS(130,3+18*2+(15))),'J1 A - (North) Bishopthorpe Roa'!$A$12:$A$130,"&gt;="&amp;Diagram!$O62,'J1 A - (North) Bishopthorpe Roa'!$A$12:$A$130,"&lt;"&amp;Diagram!$P62)))</f>
        <v>0</v>
      </c>
      <c r="EL62" s="42">
        <f ca="1">IF(OR($I$10="",$O62="",$P62="",$J$42&lt;&gt;"Yes"),0,IF($K$10=0,SUMIFS(INDIRECT(ADDRESS(12,3+18*2+(7),,,"J1 B - Butcher Terrace")&amp;":"&amp;ADDRESS(130,3+18*2+(7))),'J1 B - Butcher Terrace'!$A$12:$A$130,"&gt;="&amp;Diagram!$O62,'J1 B - Butcher Terrace'!$A$12:$A$130,"&lt;"&amp;Diagram!$P62),SUMIFS(INDIRECT(ADDRESS(12,3+18*2+(15),,,"J1 B - Butcher Terrace")&amp;":"&amp;ADDRESS(130,3+18*2+(15))),'J1 B - Butcher Terrace'!$A$12:$A$130,"&gt;="&amp;Diagram!$O62,'J1 B - Butcher Terrace'!$A$12:$A$130,"&lt;"&amp;Diagram!$P62)))</f>
        <v>0</v>
      </c>
      <c r="EM62" s="42">
        <f ca="1">IF(OR($I$10="",$O62="",$P62="",$J$42&lt;&gt;"Yes"),0,IF($K$10=0,SUMIFS(INDIRECT(ADDRESS(12,3+18*3+(7),,,"J1 B - Butcher Terrace")&amp;":"&amp;ADDRESS(130,3+18*3+(7))),'J1 B - Butcher Terrace'!$A$12:$A$130,"&gt;="&amp;Diagram!$O62,'J1 B - Butcher Terrace'!$A$12:$A$130,"&lt;"&amp;Diagram!$P62),SUMIFS(INDIRECT(ADDRESS(12,3+18*3+(15),,,"J1 B - Butcher Terrace")&amp;":"&amp;ADDRESS(130,3+18*3+(15))),'J1 B - Butcher Terrace'!$A$12:$A$130,"&gt;="&amp;Diagram!$O62,'J1 B - Butcher Terrace'!$A$12:$A$130,"&lt;"&amp;Diagram!$P62)))</f>
        <v>0</v>
      </c>
      <c r="EN62" s="42">
        <f ca="1">IF(OR($I$10="",$O62="",$P62="",$J$42&lt;&gt;"Yes"),0,IF($K$10=0,SUMIFS(INDIRECT(ADDRESS(12,3+18*0+(7),,,"J1 B - Butcher Terrace")&amp;":"&amp;ADDRESS(130,3+18*0+(7))),'J1 B - Butcher Terrace'!$A$12:$A$130,"&gt;="&amp;Diagram!$O62,'J1 B - Butcher Terrace'!$A$12:$A$130,"&lt;"&amp;Diagram!$P62),SUMIFS(INDIRECT(ADDRESS(12,3+18*0+(15),,,"J1 B - Butcher Terrace")&amp;":"&amp;ADDRESS(130,3+18*0+(15))),'J1 B - Butcher Terrace'!$A$12:$A$130,"&gt;="&amp;Diagram!$O62,'J1 B - Butcher Terrace'!$A$12:$A$130,"&lt;"&amp;Diagram!$P62)))</f>
        <v>0</v>
      </c>
      <c r="EO62" s="42">
        <f ca="1">IF(OR($I$10="",$O62="",$P62="",$J$42&lt;&gt;"Yes"),0,IF($K$10=0,SUMIFS(INDIRECT(ADDRESS(12,3+18*1+(7),,,"J1 B - Butcher Terrace")&amp;":"&amp;ADDRESS(130,3+18*1+(7))),'J1 B - Butcher Terrace'!$A$12:$A$130,"&gt;="&amp;Diagram!$O62,'J1 B - Butcher Terrace'!$A$12:$A$130,"&lt;"&amp;Diagram!$P62),SUMIFS(INDIRECT(ADDRESS(12,3+18*1+(15),,,"J1 B - Butcher Terrace")&amp;":"&amp;ADDRESS(130,3+18*1+(15))),'J1 B - Butcher Terrace'!$A$12:$A$130,"&gt;="&amp;Diagram!$O62,'J1 B - Butcher Terrace'!$A$12:$A$130,"&lt;"&amp;Diagram!$P62)))</f>
        <v>0</v>
      </c>
      <c r="EP62" s="42">
        <f ca="1">IF(OR($I$10="",$O62="",$P62="",$J$42&lt;&gt;"Yes"),0,IF($K$10=0,SUMIFS(INDIRECT(ADDRESS(12,3+18*1+(7),,,"J1 C - (South) Bishopthorpe Roa")&amp;":"&amp;ADDRESS(130,3+18*1+(7))),'J1 C - (South) Bishopthorpe Roa'!$A$12:$A$130,"&gt;="&amp;Diagram!$O62,'J1 C - (South) Bishopthorpe Roa'!$A$12:$A$130,"&lt;"&amp;Diagram!$P62),SUMIFS(INDIRECT(ADDRESS(12,3+18*1+(15),,,"J1 C - (South) Bishopthorpe Roa")&amp;":"&amp;ADDRESS(130,3+18*1+(15))),'J1 C - (South) Bishopthorpe Roa'!$A$12:$A$130,"&gt;="&amp;Diagram!$O62,'J1 C - (South) Bishopthorpe Roa'!$A$12:$A$130,"&lt;"&amp;Diagram!$P62)))</f>
        <v>0</v>
      </c>
      <c r="EQ62" s="42">
        <f ca="1">IF(OR($I$10="",$O62="",$P62="",$J$42&lt;&gt;"Yes"),0,IF($K$10=0,SUMIFS(INDIRECT(ADDRESS(12,3+18*2+(7),,,"J1 C - (South) Bishopthorpe Roa")&amp;":"&amp;ADDRESS(130,3+18*2+(7))),'J1 C - (South) Bishopthorpe Roa'!$A$12:$A$130,"&gt;="&amp;Diagram!$O62,'J1 C - (South) Bishopthorpe Roa'!$A$12:$A$130,"&lt;"&amp;Diagram!$P62),SUMIFS(INDIRECT(ADDRESS(12,3+18*2+(15),,,"J1 C - (South) Bishopthorpe Roa")&amp;":"&amp;ADDRESS(130,3+18*2+(15))),'J1 C - (South) Bishopthorpe Roa'!$A$12:$A$130,"&gt;="&amp;Diagram!$O62,'J1 C - (South) Bishopthorpe Roa'!$A$12:$A$130,"&lt;"&amp;Diagram!$P62)))</f>
        <v>1</v>
      </c>
      <c r="ER62" s="42">
        <f ca="1">IF(OR($I$10="",$O62="",$P62="",$J$42&lt;&gt;"Yes"),0,IF($K$10=0,SUMIFS(INDIRECT(ADDRESS(12,3+18*3+(7),,,"J1 C - (South) Bishopthorpe Roa")&amp;":"&amp;ADDRESS(130,3+18*3+(7))),'J1 C - (South) Bishopthorpe Roa'!$A$12:$A$130,"&gt;="&amp;Diagram!$O62,'J1 C - (South) Bishopthorpe Roa'!$A$12:$A$130,"&lt;"&amp;Diagram!$P62),SUMIFS(INDIRECT(ADDRESS(12,3+18*3+(15),,,"J1 C - (South) Bishopthorpe Roa")&amp;":"&amp;ADDRESS(130,3+18*3+(15))),'J1 C - (South) Bishopthorpe Roa'!$A$12:$A$130,"&gt;="&amp;Diagram!$O62,'J1 C - (South) Bishopthorpe Roa'!$A$12:$A$130,"&lt;"&amp;Diagram!$P62)))</f>
        <v>0</v>
      </c>
      <c r="ES62" s="42">
        <f ca="1">IF(OR($I$10="",$O62="",$P62="",$J$42&lt;&gt;"Yes"),0,IF($K$10=0,SUMIFS(INDIRECT(ADDRESS(12,3+18*0+(7),,,"J1 C - (South) Bishopthorpe Roa")&amp;":"&amp;ADDRESS(130,3+18*0+(7))),'J1 C - (South) Bishopthorpe Roa'!$A$12:$A$130,"&gt;="&amp;Diagram!$O62,'J1 C - (South) Bishopthorpe Roa'!$A$12:$A$130,"&lt;"&amp;Diagram!$P62),SUMIFS(INDIRECT(ADDRESS(12,3+18*0+(15),,,"J1 C - (South) Bishopthorpe Roa")&amp;":"&amp;ADDRESS(130,3+18*0+(15))),'J1 C - (South) Bishopthorpe Roa'!$A$12:$A$130,"&gt;="&amp;Diagram!$O62,'J1 C - (South) Bishopthorpe Roa'!$A$12:$A$130,"&lt;"&amp;Diagram!$P62)))</f>
        <v>0</v>
      </c>
      <c r="ET62" s="42">
        <f ca="1">IF(OR($I$10="",$O62="",$P62="",$J$42&lt;&gt;"Yes"),0,IF($K$10=0,SUMIFS(INDIRECT(ADDRESS(12,3+18*0+(7),,,"J1 D - South Bank Avenue")&amp;":"&amp;ADDRESS(130,3+18*0+(7))),'J1 D - South Bank Avenue'!$A$12:$A$130,"&gt;="&amp;Diagram!$O62,'J1 D - South Bank Avenue'!$A$12:$A$130,"&lt;"&amp;Diagram!$P62),SUMIFS(INDIRECT(ADDRESS(12,3+18*0+(15),,,"J1 D - South Bank Avenue")&amp;":"&amp;ADDRESS(130,3+18*0+(15))),'J1 D - South Bank Avenue'!$A$12:$A$130,"&gt;="&amp;Diagram!$O62,'J1 D - South Bank Avenue'!$A$12:$A$130,"&lt;"&amp;Diagram!$P62)))</f>
        <v>0</v>
      </c>
      <c r="EU62" s="42">
        <f ca="1">IF(OR($I$10="",$O62="",$P62="",$J$42&lt;&gt;"Yes"),0,IF($K$10=0,SUMIFS(INDIRECT(ADDRESS(12,3+18*1+(7),,,"J1 D - South Bank Avenue")&amp;":"&amp;ADDRESS(130,3+18*1+(7))),'J1 D - South Bank Avenue'!$A$12:$A$130,"&gt;="&amp;Diagram!$O62,'J1 D - South Bank Avenue'!$A$12:$A$130,"&lt;"&amp;Diagram!$P62),SUMIFS(INDIRECT(ADDRESS(12,3+18*1+(15),,,"J1 D - South Bank Avenue")&amp;":"&amp;ADDRESS(130,3+18*1+(15))),'J1 D - South Bank Avenue'!$A$12:$A$130,"&gt;="&amp;Diagram!$O62,'J1 D - South Bank Avenue'!$A$12:$A$130,"&lt;"&amp;Diagram!$P62)))</f>
        <v>0</v>
      </c>
      <c r="EV62" s="42">
        <f ca="1">IF(OR($I$10="",$O62="",$P62="",$J$42&lt;&gt;"Yes"),0,IF($K$10=0,SUMIFS(INDIRECT(ADDRESS(12,3+18*2+(7),,,"J1 D - South Bank Avenue")&amp;":"&amp;ADDRESS(130,3+18*2+(7))),'J1 D - South Bank Avenue'!$A$12:$A$130,"&gt;="&amp;Diagram!$O62,'J1 D - South Bank Avenue'!$A$12:$A$130,"&lt;"&amp;Diagram!$P62),SUMIFS(INDIRECT(ADDRESS(12,3+18*2+(15),,,"J1 D - South Bank Avenue")&amp;":"&amp;ADDRESS(130,3+18*2+(15))),'J1 D - South Bank Avenue'!$A$12:$A$130,"&gt;="&amp;Diagram!$O62,'J1 D - South Bank Avenue'!$A$12:$A$130,"&lt;"&amp;Diagram!$P62)))</f>
        <v>0</v>
      </c>
      <c r="EW62" s="42">
        <f ca="1">IF(OR($I$10="",$O62="",$P62="",$J$42&lt;&gt;"Yes"),0,IF($K$10=0,SUMIFS(INDIRECT(ADDRESS(12,3+18*3+(7),,,"J1 D - South Bank Avenue")&amp;":"&amp;ADDRESS(130,3+18*3+(7))),'J1 D - South Bank Avenue'!$A$12:$A$130,"&gt;="&amp;Diagram!$O62,'J1 D - South Bank Avenue'!$A$12:$A$130,"&lt;"&amp;Diagram!$P62),SUMIFS(INDIRECT(ADDRESS(12,3+18*3+(15),,,"J1 D - South Bank Avenue")&amp;":"&amp;ADDRESS(130,3+18*3+(15))),'J1 D - South Bank Avenue'!$A$12:$A$130,"&gt;="&amp;Diagram!$O62,'J1 D - South Bank Avenue'!$A$12:$A$130,"&lt;"&amp;Diagram!$P62)))</f>
        <v>0</v>
      </c>
    </row>
    <row r="63" spans="1:153">
      <c r="A63" s="1">
        <v>44395.645833333299</v>
      </c>
      <c r="B63" s="1">
        <v>44395.65625</v>
      </c>
      <c r="O63" s="3">
        <v>44395.645833333299</v>
      </c>
      <c r="P63" s="3">
        <v>44395.6875</v>
      </c>
      <c r="Q63" s="42">
        <f t="shared" ca="1" si="0"/>
        <v>766</v>
      </c>
      <c r="R63" s="42">
        <f t="shared" ca="1" si="1"/>
        <v>557</v>
      </c>
      <c r="S63" s="42">
        <f ca="1">IF(OR($I$10="",$O63="",$P63="",$J$35&lt;&gt;"Yes"),0,IF($K$10=0,SUMIFS(INDIRECT(ADDRESS(12,3+18*3+(0),,,"J1 A - (North) Bishopthorpe Roa")&amp;":"&amp;ADDRESS(130,3+18*3+(0))),'J1 A - (North) Bishopthorpe Roa'!$A$12:$A$130,"&gt;="&amp;Diagram!$O63,'J1 A - (North) Bishopthorpe Roa'!$A$12:$A$130,"&lt;"&amp;Diagram!$P63),SUMIFS(INDIRECT(ADDRESS(12,3+18*3+(8),,,"J1 A - (North) Bishopthorpe Roa")&amp;":"&amp;ADDRESS(130,3+18*3+(8))),'J1 A - (North) Bishopthorpe Roa'!$A$12:$A$130,"&gt;="&amp;Diagram!$O63,'J1 A - (North) Bishopthorpe Roa'!$A$12:$A$130,"&lt;"&amp;Diagram!$P63)))</f>
        <v>3</v>
      </c>
      <c r="T63" s="42">
        <f ca="1">IF(OR($I$10="",$O63="",$P63="",$J$35&lt;&gt;"Yes"),0,IF($K$10=0,SUMIFS(INDIRECT(ADDRESS(12,3+18*0+(0),,,"J1 A - (North) Bishopthorpe Roa")&amp;":"&amp;ADDRESS(130,3+18*0+(0))),'J1 A - (North) Bishopthorpe Roa'!$A$12:$A$130,"&gt;="&amp;Diagram!$O63,'J1 A - (North) Bishopthorpe Roa'!$A$12:$A$130,"&lt;"&amp;Diagram!$P63),SUMIFS(INDIRECT(ADDRESS(12,3+18*0+(8),,,"J1 A - (North) Bishopthorpe Roa")&amp;":"&amp;ADDRESS(130,3+18*0+(8))),'J1 A - (North) Bishopthorpe Roa'!$A$12:$A$130,"&gt;="&amp;Diagram!$O63,'J1 A - (North) Bishopthorpe Roa'!$A$12:$A$130,"&lt;"&amp;Diagram!$P63)))</f>
        <v>20</v>
      </c>
      <c r="U63" s="42">
        <f ca="1">IF(OR($I$10="",$O63="",$P63="",$J$35&lt;&gt;"Yes"),0,IF($K$10=0,SUMIFS(INDIRECT(ADDRESS(12,3+18*1+(0),,,"J1 A - (North) Bishopthorpe Roa")&amp;":"&amp;ADDRESS(130,3+18*1+(0))),'J1 A - (North) Bishopthorpe Roa'!$A$12:$A$130,"&gt;="&amp;Diagram!$O63,'J1 A - (North) Bishopthorpe Roa'!$A$12:$A$130,"&lt;"&amp;Diagram!$P63),SUMIFS(INDIRECT(ADDRESS(12,3+18*1+(8),,,"J1 A - (North) Bishopthorpe Roa")&amp;":"&amp;ADDRESS(130,3+18*1+(8))),'J1 A - (North) Bishopthorpe Roa'!$A$12:$A$130,"&gt;="&amp;Diagram!$O63,'J1 A - (North) Bishopthorpe Roa'!$A$12:$A$130,"&lt;"&amp;Diagram!$P63)))</f>
        <v>257</v>
      </c>
      <c r="V63" s="42">
        <f ca="1">IF(OR($I$10="",$O63="",$P63="",$J$35&lt;&gt;"Yes"),0,IF($K$10=0,SUMIFS(INDIRECT(ADDRESS(12,3+18*2+(0),,,"J1 A - (North) Bishopthorpe Roa")&amp;":"&amp;ADDRESS(130,3+18*2+(0))),'J1 A - (North) Bishopthorpe Roa'!$A$12:$A$130,"&gt;="&amp;Diagram!$O63,'J1 A - (North) Bishopthorpe Roa'!$A$12:$A$130,"&lt;"&amp;Diagram!$P63),SUMIFS(INDIRECT(ADDRESS(12,3+18*2+(8),,,"J1 A - (North) Bishopthorpe Roa")&amp;":"&amp;ADDRESS(130,3+18*2+(8))),'J1 A - (North) Bishopthorpe Roa'!$A$12:$A$130,"&gt;="&amp;Diagram!$O63,'J1 A - (North) Bishopthorpe Roa'!$A$12:$A$130,"&lt;"&amp;Diagram!$P63)))</f>
        <v>29</v>
      </c>
      <c r="W63" s="42">
        <f ca="1">IF(OR($I$10="",$O63="",$P63="",$J$35&lt;&gt;"Yes"),0,IF($K$10=0,SUMIFS(INDIRECT(ADDRESS(12,3+18*2+(0),,,"J1 B - Butcher Terrace")&amp;":"&amp;ADDRESS(130,3+18*2+(0))),'J1 B - Butcher Terrace'!$A$12:$A$130,"&gt;="&amp;Diagram!$O63,'J1 B - Butcher Terrace'!$A$12:$A$130,"&lt;"&amp;Diagram!$P63),SUMIFS(INDIRECT(ADDRESS(12,3+18*2+(8),,,"J1 B - Butcher Terrace")&amp;":"&amp;ADDRESS(130,3+18*2+(8))),'J1 B - Butcher Terrace'!$A$12:$A$130,"&gt;="&amp;Diagram!$O63,'J1 B - Butcher Terrace'!$A$12:$A$130,"&lt;"&amp;Diagram!$P63)))</f>
        <v>14</v>
      </c>
      <c r="X63" s="42">
        <f ca="1">IF(OR($I$10="",$O63="",$P63="",$J$35&lt;&gt;"Yes"),0,IF($K$10=0,SUMIFS(INDIRECT(ADDRESS(12,3+18*3+(0),,,"J1 B - Butcher Terrace")&amp;":"&amp;ADDRESS(130,3+18*3+(0))),'J1 B - Butcher Terrace'!$A$12:$A$130,"&gt;="&amp;Diagram!$O63,'J1 B - Butcher Terrace'!$A$12:$A$130,"&lt;"&amp;Diagram!$P63),SUMIFS(INDIRECT(ADDRESS(12,3+18*3+(8),,,"J1 B - Butcher Terrace")&amp;":"&amp;ADDRESS(130,3+18*3+(8))),'J1 B - Butcher Terrace'!$A$12:$A$130,"&gt;="&amp;Diagram!$O63,'J1 B - Butcher Terrace'!$A$12:$A$130,"&lt;"&amp;Diagram!$P63)))</f>
        <v>0</v>
      </c>
      <c r="Y63" s="42">
        <f ca="1">IF(OR($I$10="",$O63="",$P63="",$J$35&lt;&gt;"Yes"),0,IF($K$10=0,SUMIFS(INDIRECT(ADDRESS(12,3+18*0+(0),,,"J1 B - Butcher Terrace")&amp;":"&amp;ADDRESS(130,3+18*0+(0))),'J1 B - Butcher Terrace'!$A$12:$A$130,"&gt;="&amp;Diagram!$O63,'J1 B - Butcher Terrace'!$A$12:$A$130,"&lt;"&amp;Diagram!$P63),SUMIFS(INDIRECT(ADDRESS(12,3+18*0+(8),,,"J1 B - Butcher Terrace")&amp;":"&amp;ADDRESS(130,3+18*0+(8))),'J1 B - Butcher Terrace'!$A$12:$A$130,"&gt;="&amp;Diagram!$O63,'J1 B - Butcher Terrace'!$A$12:$A$130,"&lt;"&amp;Diagram!$P63)))</f>
        <v>5</v>
      </c>
      <c r="Z63" s="42">
        <f ca="1">IF(OR($I$10="",$O63="",$P63="",$J$35&lt;&gt;"Yes"),0,IF($K$10=0,SUMIFS(INDIRECT(ADDRESS(12,3+18*1+(0),,,"J1 B - Butcher Terrace")&amp;":"&amp;ADDRESS(130,3+18*1+(0))),'J1 B - Butcher Terrace'!$A$12:$A$130,"&gt;="&amp;Diagram!$O63,'J1 B - Butcher Terrace'!$A$12:$A$130,"&lt;"&amp;Diagram!$P63),SUMIFS(INDIRECT(ADDRESS(12,3+18*1+(8),,,"J1 B - Butcher Terrace")&amp;":"&amp;ADDRESS(130,3+18*1+(8))),'J1 B - Butcher Terrace'!$A$12:$A$130,"&gt;="&amp;Diagram!$O63,'J1 B - Butcher Terrace'!$A$12:$A$130,"&lt;"&amp;Diagram!$P63)))</f>
        <v>1</v>
      </c>
      <c r="AA63" s="42">
        <f ca="1">IF(OR($I$10="",$O63="",$P63="",$J$35&lt;&gt;"Yes"),0,IF($K$10=0,SUMIFS(INDIRECT(ADDRESS(12,3+18*1+(0),,,"J1 C - (South) Bishopthorpe Roa")&amp;":"&amp;ADDRESS(130,3+18*1+(0))),'J1 C - (South) Bishopthorpe Roa'!$A$12:$A$130,"&gt;="&amp;Diagram!$O63,'J1 C - (South) Bishopthorpe Roa'!$A$12:$A$130,"&lt;"&amp;Diagram!$P63),SUMIFS(INDIRECT(ADDRESS(12,3+18*1+(8),,,"J1 C - (South) Bishopthorpe Roa")&amp;":"&amp;ADDRESS(130,3+18*1+(8))),'J1 C - (South) Bishopthorpe Roa'!$A$12:$A$130,"&gt;="&amp;Diagram!$O63,'J1 C - (South) Bishopthorpe Roa'!$A$12:$A$130,"&lt;"&amp;Diagram!$P63)))</f>
        <v>170</v>
      </c>
      <c r="AB63" s="42">
        <f ca="1">IF(OR($I$10="",$O63="",$P63="",$J$35&lt;&gt;"Yes"),0,IF($K$10=0,SUMIFS(INDIRECT(ADDRESS(12,3+18*2+(0),,,"J1 C - (South) Bishopthorpe Roa")&amp;":"&amp;ADDRESS(130,3+18*2+(0))),'J1 C - (South) Bishopthorpe Roa'!$A$12:$A$130,"&gt;="&amp;Diagram!$O63,'J1 C - (South) Bishopthorpe Roa'!$A$12:$A$130,"&lt;"&amp;Diagram!$P63),SUMIFS(INDIRECT(ADDRESS(12,3+18*2+(8),,,"J1 C - (South) Bishopthorpe Roa")&amp;":"&amp;ADDRESS(130,3+18*2+(8))),'J1 C - (South) Bishopthorpe Roa'!$A$12:$A$130,"&gt;="&amp;Diagram!$O63,'J1 C - (South) Bishopthorpe Roa'!$A$12:$A$130,"&lt;"&amp;Diagram!$P63)))</f>
        <v>5</v>
      </c>
      <c r="AC63" s="42">
        <f ca="1">IF(OR($I$10="",$O63="",$P63="",$J$35&lt;&gt;"Yes"),0,IF($K$10=0,SUMIFS(INDIRECT(ADDRESS(12,3+18*3+(0),,,"J1 C - (South) Bishopthorpe Roa")&amp;":"&amp;ADDRESS(130,3+18*3+(0))),'J1 C - (South) Bishopthorpe Roa'!$A$12:$A$130,"&gt;="&amp;Diagram!$O63,'J1 C - (South) Bishopthorpe Roa'!$A$12:$A$130,"&lt;"&amp;Diagram!$P63),SUMIFS(INDIRECT(ADDRESS(12,3+18*3+(8),,,"J1 C - (South) Bishopthorpe Roa")&amp;":"&amp;ADDRESS(130,3+18*3+(8))),'J1 C - (South) Bishopthorpe Roa'!$A$12:$A$130,"&gt;="&amp;Diagram!$O63,'J1 C - (South) Bishopthorpe Roa'!$A$12:$A$130,"&lt;"&amp;Diagram!$P63)))</f>
        <v>0</v>
      </c>
      <c r="AD63" s="42">
        <f ca="1">IF(OR($I$10="",$O63="",$P63="",$J$35&lt;&gt;"Yes"),0,IF($K$10=0,SUMIFS(INDIRECT(ADDRESS(12,3+18*0+(0),,,"J1 C - (South) Bishopthorpe Roa")&amp;":"&amp;ADDRESS(130,3+18*0+(0))),'J1 C - (South) Bishopthorpe Roa'!$A$12:$A$130,"&gt;="&amp;Diagram!$O63,'J1 C - (South) Bishopthorpe Roa'!$A$12:$A$130,"&lt;"&amp;Diagram!$P63),SUMIFS(INDIRECT(ADDRESS(12,3+18*0+(8),,,"J1 C - (South) Bishopthorpe Roa")&amp;":"&amp;ADDRESS(130,3+18*0+(8))),'J1 C - (South) Bishopthorpe Roa'!$A$12:$A$130,"&gt;="&amp;Diagram!$O63,'J1 C - (South) Bishopthorpe Roa'!$A$12:$A$130,"&lt;"&amp;Diagram!$P63)))</f>
        <v>10</v>
      </c>
      <c r="AE63" s="42">
        <f ca="1">IF(OR($I$10="",$O63="",$P63="",$J$35&lt;&gt;"Yes"),0,IF($K$10=0,SUMIFS(INDIRECT(ADDRESS(12,3+18*0+(0),,,"J1 D - South Bank Avenue")&amp;":"&amp;ADDRESS(130,3+18*0+(0))),'J1 D - South Bank Avenue'!$A$12:$A$130,"&gt;="&amp;Diagram!$O63,'J1 D - South Bank Avenue'!$A$12:$A$130,"&lt;"&amp;Diagram!$P63),SUMIFS(INDIRECT(ADDRESS(12,3+18*0+(8),,,"J1 D - South Bank Avenue")&amp;":"&amp;ADDRESS(130,3+18*0+(8))),'J1 D - South Bank Avenue'!$A$12:$A$130,"&gt;="&amp;Diagram!$O63,'J1 D - South Bank Avenue'!$A$12:$A$130,"&lt;"&amp;Diagram!$P63)))</f>
        <v>32</v>
      </c>
      <c r="AF63" s="42">
        <f ca="1">IF(OR($I$10="",$O63="",$P63="",$J$35&lt;&gt;"Yes"),0,IF($K$10=0,SUMIFS(INDIRECT(ADDRESS(12,3+18*1+(0),,,"J1 D - South Bank Avenue")&amp;":"&amp;ADDRESS(130,3+18*1+(0))),'J1 D - South Bank Avenue'!$A$12:$A$130,"&gt;="&amp;Diagram!$O63,'J1 D - South Bank Avenue'!$A$12:$A$130,"&lt;"&amp;Diagram!$P63),SUMIFS(INDIRECT(ADDRESS(12,3+18*1+(8),,,"J1 D - South Bank Avenue")&amp;":"&amp;ADDRESS(130,3+18*1+(8))),'J1 D - South Bank Avenue'!$A$12:$A$130,"&gt;="&amp;Diagram!$O63,'J1 D - South Bank Avenue'!$A$12:$A$130,"&lt;"&amp;Diagram!$P63)))</f>
        <v>1</v>
      </c>
      <c r="AG63" s="42">
        <f ca="1">IF(OR($I$10="",$O63="",$P63="",$J$35&lt;&gt;"Yes"),0,IF($K$10=0,SUMIFS(INDIRECT(ADDRESS(12,3+18*2+(0),,,"J1 D - South Bank Avenue")&amp;":"&amp;ADDRESS(130,3+18*2+(0))),'J1 D - South Bank Avenue'!$A$12:$A$130,"&gt;="&amp;Diagram!$O63,'J1 D - South Bank Avenue'!$A$12:$A$130,"&lt;"&amp;Diagram!$P63),SUMIFS(INDIRECT(ADDRESS(12,3+18*2+(8),,,"J1 D - South Bank Avenue")&amp;":"&amp;ADDRESS(130,3+18*2+(8))),'J1 D - South Bank Avenue'!$A$12:$A$130,"&gt;="&amp;Diagram!$O63,'J1 D - South Bank Avenue'!$A$12:$A$130,"&lt;"&amp;Diagram!$P63)))</f>
        <v>10</v>
      </c>
      <c r="AH63" s="42">
        <f ca="1">IF(OR($I$10="",$O63="",$P63="",$J$35&lt;&gt;"Yes"),0,IF($K$10=0,SUMIFS(INDIRECT(ADDRESS(12,3+18*3+(0),,,"J1 D - South Bank Avenue")&amp;":"&amp;ADDRESS(130,3+18*3+(0))),'J1 D - South Bank Avenue'!$A$12:$A$130,"&gt;="&amp;Diagram!$O63,'J1 D - South Bank Avenue'!$A$12:$A$130,"&lt;"&amp;Diagram!$P63),SUMIFS(INDIRECT(ADDRESS(12,3+18*3+(8),,,"J1 D - South Bank Avenue")&amp;":"&amp;ADDRESS(130,3+18*3+(8))),'J1 D - South Bank Avenue'!$A$12:$A$130,"&gt;="&amp;Diagram!$O63,'J1 D - South Bank Avenue'!$A$12:$A$130,"&lt;"&amp;Diagram!$P63)))</f>
        <v>0</v>
      </c>
      <c r="AI63" s="42">
        <f t="shared" ca="1" si="2"/>
        <v>58</v>
      </c>
      <c r="AJ63" s="42">
        <f ca="1">IF(OR($I$10="",$O63="",$P63="",$J$36&lt;&gt;"Yes"),0,IF($K$10=0,SUMIFS(INDIRECT(ADDRESS(12,3+18*3+(1),,,"J1 A - (North) Bishopthorpe Roa")&amp;":"&amp;ADDRESS(130,3+18*3+(1))),'J1 A - (North) Bishopthorpe Roa'!$A$12:$A$130,"&gt;="&amp;Diagram!$O63,'J1 A - (North) Bishopthorpe Roa'!$A$12:$A$130,"&lt;"&amp;Diagram!$P63),SUMIFS(INDIRECT(ADDRESS(12,3+18*3+(9),,,"J1 A - (North) Bishopthorpe Roa")&amp;":"&amp;ADDRESS(130,3+18*3+(9))),'J1 A - (North) Bishopthorpe Roa'!$A$12:$A$130,"&gt;="&amp;Diagram!$O63,'J1 A - (North) Bishopthorpe Roa'!$A$12:$A$130,"&lt;"&amp;Diagram!$P63)))</f>
        <v>0</v>
      </c>
      <c r="AK63" s="42">
        <f ca="1">IF(OR($I$10="",$O63="",$P63="",$J$36&lt;&gt;"Yes"),0,IF($K$10=0,SUMIFS(INDIRECT(ADDRESS(12,3+18*0+(1),,,"J1 A - (North) Bishopthorpe Roa")&amp;":"&amp;ADDRESS(130,3+18*0+(1))),'J1 A - (North) Bishopthorpe Roa'!$A$12:$A$130,"&gt;="&amp;Diagram!$O63,'J1 A - (North) Bishopthorpe Roa'!$A$12:$A$130,"&lt;"&amp;Diagram!$P63),SUMIFS(INDIRECT(ADDRESS(12,3+18*0+(9),,,"J1 A - (North) Bishopthorpe Roa")&amp;":"&amp;ADDRESS(130,3+18*0+(9))),'J1 A - (North) Bishopthorpe Roa'!$A$12:$A$130,"&gt;="&amp;Diagram!$O63,'J1 A - (North) Bishopthorpe Roa'!$A$12:$A$130,"&lt;"&amp;Diagram!$P63)))</f>
        <v>0</v>
      </c>
      <c r="AL63" s="42">
        <f ca="1">IF(OR($I$10="",$O63="",$P63="",$J$36&lt;&gt;"Yes"),0,IF($K$10=0,SUMIFS(INDIRECT(ADDRESS(12,3+18*1+(1),,,"J1 A - (North) Bishopthorpe Roa")&amp;":"&amp;ADDRESS(130,3+18*1+(1))),'J1 A - (North) Bishopthorpe Roa'!$A$12:$A$130,"&gt;="&amp;Diagram!$O63,'J1 A - (North) Bishopthorpe Roa'!$A$12:$A$130,"&lt;"&amp;Diagram!$P63),SUMIFS(INDIRECT(ADDRESS(12,3+18*1+(9),,,"J1 A - (North) Bishopthorpe Roa")&amp;":"&amp;ADDRESS(130,3+18*1+(9))),'J1 A - (North) Bishopthorpe Roa'!$A$12:$A$130,"&gt;="&amp;Diagram!$O63,'J1 A - (North) Bishopthorpe Roa'!$A$12:$A$130,"&lt;"&amp;Diagram!$P63)))</f>
        <v>24</v>
      </c>
      <c r="AM63" s="42">
        <f ca="1">IF(OR($I$10="",$O63="",$P63="",$J$36&lt;&gt;"Yes"),0,IF($K$10=0,SUMIFS(INDIRECT(ADDRESS(12,3+18*2+(1),,,"J1 A - (North) Bishopthorpe Roa")&amp;":"&amp;ADDRESS(130,3+18*2+(1))),'J1 A - (North) Bishopthorpe Roa'!$A$12:$A$130,"&gt;="&amp;Diagram!$O63,'J1 A - (North) Bishopthorpe Roa'!$A$12:$A$130,"&lt;"&amp;Diagram!$P63),SUMIFS(INDIRECT(ADDRESS(12,3+18*2+(9),,,"J1 A - (North) Bishopthorpe Roa")&amp;":"&amp;ADDRESS(130,3+18*2+(9))),'J1 A - (North) Bishopthorpe Roa'!$A$12:$A$130,"&gt;="&amp;Diagram!$O63,'J1 A - (North) Bishopthorpe Roa'!$A$12:$A$130,"&lt;"&amp;Diagram!$P63)))</f>
        <v>6</v>
      </c>
      <c r="AN63" s="42">
        <f ca="1">IF(OR($I$10="",$O63="",$P63="",$J$36&lt;&gt;"Yes"),0,IF($K$10=0,SUMIFS(INDIRECT(ADDRESS(12,3+18*2+(1),,,"J1 B - Butcher Terrace")&amp;":"&amp;ADDRESS(130,3+18*2+(1))),'J1 B - Butcher Terrace'!$A$12:$A$130,"&gt;="&amp;Diagram!$O63,'J1 B - Butcher Terrace'!$A$12:$A$130,"&lt;"&amp;Diagram!$P63),SUMIFS(INDIRECT(ADDRESS(12,3+18*2+(9),,,"J1 B - Butcher Terrace")&amp;":"&amp;ADDRESS(130,3+18*2+(9))),'J1 B - Butcher Terrace'!$A$12:$A$130,"&gt;="&amp;Diagram!$O63,'J1 B - Butcher Terrace'!$A$12:$A$130,"&lt;"&amp;Diagram!$P63)))</f>
        <v>2</v>
      </c>
      <c r="AO63" s="42">
        <f ca="1">IF(OR($I$10="",$O63="",$P63="",$J$36&lt;&gt;"Yes"),0,IF($K$10=0,SUMIFS(INDIRECT(ADDRESS(12,3+18*3+(1),,,"J1 B - Butcher Terrace")&amp;":"&amp;ADDRESS(130,3+18*3+(1))),'J1 B - Butcher Terrace'!$A$12:$A$130,"&gt;="&amp;Diagram!$O63,'J1 B - Butcher Terrace'!$A$12:$A$130,"&lt;"&amp;Diagram!$P63),SUMIFS(INDIRECT(ADDRESS(12,3+18*3+(9),,,"J1 B - Butcher Terrace")&amp;":"&amp;ADDRESS(130,3+18*3+(9))),'J1 B - Butcher Terrace'!$A$12:$A$130,"&gt;="&amp;Diagram!$O63,'J1 B - Butcher Terrace'!$A$12:$A$130,"&lt;"&amp;Diagram!$P63)))</f>
        <v>0</v>
      </c>
      <c r="AP63" s="42">
        <f ca="1">IF(OR($I$10="",$O63="",$P63="",$J$36&lt;&gt;"Yes"),0,IF($K$10=0,SUMIFS(INDIRECT(ADDRESS(12,3+18*0+(1),,,"J1 B - Butcher Terrace")&amp;":"&amp;ADDRESS(130,3+18*0+(1))),'J1 B - Butcher Terrace'!$A$12:$A$130,"&gt;="&amp;Diagram!$O63,'J1 B - Butcher Terrace'!$A$12:$A$130,"&lt;"&amp;Diagram!$P63),SUMIFS(INDIRECT(ADDRESS(12,3+18*0+(9),,,"J1 B - Butcher Terrace")&amp;":"&amp;ADDRESS(130,3+18*0+(9))),'J1 B - Butcher Terrace'!$A$12:$A$130,"&gt;="&amp;Diagram!$O63,'J1 B - Butcher Terrace'!$A$12:$A$130,"&lt;"&amp;Diagram!$P63)))</f>
        <v>0</v>
      </c>
      <c r="AQ63" s="42">
        <f ca="1">IF(OR($I$10="",$O63="",$P63="",$J$36&lt;&gt;"Yes"),0,IF($K$10=0,SUMIFS(INDIRECT(ADDRESS(12,3+18*1+(1),,,"J1 B - Butcher Terrace")&amp;":"&amp;ADDRESS(130,3+18*1+(1))),'J1 B - Butcher Terrace'!$A$12:$A$130,"&gt;="&amp;Diagram!$O63,'J1 B - Butcher Terrace'!$A$12:$A$130,"&lt;"&amp;Diagram!$P63),SUMIFS(INDIRECT(ADDRESS(12,3+18*1+(9),,,"J1 B - Butcher Terrace")&amp;":"&amp;ADDRESS(130,3+18*1+(9))),'J1 B - Butcher Terrace'!$A$12:$A$130,"&gt;="&amp;Diagram!$O63,'J1 B - Butcher Terrace'!$A$12:$A$130,"&lt;"&amp;Diagram!$P63)))</f>
        <v>1</v>
      </c>
      <c r="AR63" s="42">
        <f ca="1">IF(OR($I$10="",$O63="",$P63="",$J$36&lt;&gt;"Yes"),0,IF($K$10=0,SUMIFS(INDIRECT(ADDRESS(12,3+18*1+(1),,,"J1 C - (South) Bishopthorpe Roa")&amp;":"&amp;ADDRESS(130,3+18*1+(1))),'J1 C - (South) Bishopthorpe Roa'!$A$12:$A$130,"&gt;="&amp;Diagram!$O63,'J1 C - (South) Bishopthorpe Roa'!$A$12:$A$130,"&lt;"&amp;Diagram!$P63),SUMIFS(INDIRECT(ADDRESS(12,3+18*1+(9),,,"J1 C - (South) Bishopthorpe Roa")&amp;":"&amp;ADDRESS(130,3+18*1+(9))),'J1 C - (South) Bishopthorpe Roa'!$A$12:$A$130,"&gt;="&amp;Diagram!$O63,'J1 C - (South) Bishopthorpe Roa'!$A$12:$A$130,"&lt;"&amp;Diagram!$P63)))</f>
        <v>19</v>
      </c>
      <c r="AS63" s="42">
        <f ca="1">IF(OR($I$10="",$O63="",$P63="",$J$36&lt;&gt;"Yes"),0,IF($K$10=0,SUMIFS(INDIRECT(ADDRESS(12,3+18*2+(1),,,"J1 C - (South) Bishopthorpe Roa")&amp;":"&amp;ADDRESS(130,3+18*2+(1))),'J1 C - (South) Bishopthorpe Roa'!$A$12:$A$130,"&gt;="&amp;Diagram!$O63,'J1 C - (South) Bishopthorpe Roa'!$A$12:$A$130,"&lt;"&amp;Diagram!$P63),SUMIFS(INDIRECT(ADDRESS(12,3+18*2+(9),,,"J1 C - (South) Bishopthorpe Roa")&amp;":"&amp;ADDRESS(130,3+18*2+(9))),'J1 C - (South) Bishopthorpe Roa'!$A$12:$A$130,"&gt;="&amp;Diagram!$O63,'J1 C - (South) Bishopthorpe Roa'!$A$12:$A$130,"&lt;"&amp;Diagram!$P63)))</f>
        <v>1</v>
      </c>
      <c r="AT63" s="42">
        <f ca="1">IF(OR($I$10="",$O63="",$P63="",$J$36&lt;&gt;"Yes"),0,IF($K$10=0,SUMIFS(INDIRECT(ADDRESS(12,3+18*3+(1),,,"J1 C - (South) Bishopthorpe Roa")&amp;":"&amp;ADDRESS(130,3+18*3+(1))),'J1 C - (South) Bishopthorpe Roa'!$A$12:$A$130,"&gt;="&amp;Diagram!$O63,'J1 C - (South) Bishopthorpe Roa'!$A$12:$A$130,"&lt;"&amp;Diagram!$P63),SUMIFS(INDIRECT(ADDRESS(12,3+18*3+(9),,,"J1 C - (South) Bishopthorpe Roa")&amp;":"&amp;ADDRESS(130,3+18*3+(9))),'J1 C - (South) Bishopthorpe Roa'!$A$12:$A$130,"&gt;="&amp;Diagram!$O63,'J1 C - (South) Bishopthorpe Roa'!$A$12:$A$130,"&lt;"&amp;Diagram!$P63)))</f>
        <v>0</v>
      </c>
      <c r="AU63" s="42">
        <f ca="1">IF(OR($I$10="",$O63="",$P63="",$J$36&lt;&gt;"Yes"),0,IF($K$10=0,SUMIFS(INDIRECT(ADDRESS(12,3+18*0+(1),,,"J1 C - (South) Bishopthorpe Roa")&amp;":"&amp;ADDRESS(130,3+18*0+(1))),'J1 C - (South) Bishopthorpe Roa'!$A$12:$A$130,"&gt;="&amp;Diagram!$O63,'J1 C - (South) Bishopthorpe Roa'!$A$12:$A$130,"&lt;"&amp;Diagram!$P63),SUMIFS(INDIRECT(ADDRESS(12,3+18*0+(9),,,"J1 C - (South) Bishopthorpe Roa")&amp;":"&amp;ADDRESS(130,3+18*0+(9))),'J1 C - (South) Bishopthorpe Roa'!$A$12:$A$130,"&gt;="&amp;Diagram!$O63,'J1 C - (South) Bishopthorpe Roa'!$A$12:$A$130,"&lt;"&amp;Diagram!$P63)))</f>
        <v>1</v>
      </c>
      <c r="AV63" s="42">
        <f ca="1">IF(OR($I$10="",$O63="",$P63="",$J$36&lt;&gt;"Yes"),0,IF($K$10=0,SUMIFS(INDIRECT(ADDRESS(12,3+18*0+(1),,,"J1 D - South Bank Avenue")&amp;":"&amp;ADDRESS(130,3+18*0+(1))),'J1 D - South Bank Avenue'!$A$12:$A$130,"&gt;="&amp;Diagram!$O63,'J1 D - South Bank Avenue'!$A$12:$A$130,"&lt;"&amp;Diagram!$P63),SUMIFS(INDIRECT(ADDRESS(12,3+18*0+(9),,,"J1 D - South Bank Avenue")&amp;":"&amp;ADDRESS(130,3+18*0+(9))),'J1 D - South Bank Avenue'!$A$12:$A$130,"&gt;="&amp;Diagram!$O63,'J1 D - South Bank Avenue'!$A$12:$A$130,"&lt;"&amp;Diagram!$P63)))</f>
        <v>2</v>
      </c>
      <c r="AW63" s="42">
        <f ca="1">IF(OR($I$10="",$O63="",$P63="",$J$36&lt;&gt;"Yes"),0,IF($K$10=0,SUMIFS(INDIRECT(ADDRESS(12,3+18*1+(1),,,"J1 D - South Bank Avenue")&amp;":"&amp;ADDRESS(130,3+18*1+(1))),'J1 D - South Bank Avenue'!$A$12:$A$130,"&gt;="&amp;Diagram!$O63,'J1 D - South Bank Avenue'!$A$12:$A$130,"&lt;"&amp;Diagram!$P63),SUMIFS(INDIRECT(ADDRESS(12,3+18*1+(9),,,"J1 D - South Bank Avenue")&amp;":"&amp;ADDRESS(130,3+18*1+(9))),'J1 D - South Bank Avenue'!$A$12:$A$130,"&gt;="&amp;Diagram!$O63,'J1 D - South Bank Avenue'!$A$12:$A$130,"&lt;"&amp;Diagram!$P63)))</f>
        <v>0</v>
      </c>
      <c r="AX63" s="42">
        <f ca="1">IF(OR($I$10="",$O63="",$P63="",$J$36&lt;&gt;"Yes"),0,IF($K$10=0,SUMIFS(INDIRECT(ADDRESS(12,3+18*2+(1),,,"J1 D - South Bank Avenue")&amp;":"&amp;ADDRESS(130,3+18*2+(1))),'J1 D - South Bank Avenue'!$A$12:$A$130,"&gt;="&amp;Diagram!$O63,'J1 D - South Bank Avenue'!$A$12:$A$130,"&lt;"&amp;Diagram!$P63),SUMIFS(INDIRECT(ADDRESS(12,3+18*2+(9),,,"J1 D - South Bank Avenue")&amp;":"&amp;ADDRESS(130,3+18*2+(9))),'J1 D - South Bank Avenue'!$A$12:$A$130,"&gt;="&amp;Diagram!$O63,'J1 D - South Bank Avenue'!$A$12:$A$130,"&lt;"&amp;Diagram!$P63)))</f>
        <v>2</v>
      </c>
      <c r="AY63" s="42">
        <f ca="1">IF(OR($I$10="",$O63="",$P63="",$J$36&lt;&gt;"Yes"),0,IF($K$10=0,SUMIFS(INDIRECT(ADDRESS(12,3+18*3+(1),,,"J1 D - South Bank Avenue")&amp;":"&amp;ADDRESS(130,3+18*3+(1))),'J1 D - South Bank Avenue'!$A$12:$A$130,"&gt;="&amp;Diagram!$O63,'J1 D - South Bank Avenue'!$A$12:$A$130,"&lt;"&amp;Diagram!$P63),SUMIFS(INDIRECT(ADDRESS(12,3+18*3+(9),,,"J1 D - South Bank Avenue")&amp;":"&amp;ADDRESS(130,3+18*3+(9))),'J1 D - South Bank Avenue'!$A$12:$A$130,"&gt;="&amp;Diagram!$O63,'J1 D - South Bank Avenue'!$A$12:$A$130,"&lt;"&amp;Diagram!$P63)))</f>
        <v>0</v>
      </c>
      <c r="AZ63" s="42">
        <f t="shared" ca="1" si="3"/>
        <v>6</v>
      </c>
      <c r="BA63" s="42">
        <f ca="1">IF(OR($I$10="",$O63="",$P63="",$J$37&lt;&gt;"Yes"),0,IF($K$10=0,SUMIFS(INDIRECT(ADDRESS(12,3+18*3+(2),,,"J1 A - (North) Bishopthorpe Roa")&amp;":"&amp;ADDRESS(130,3+18*3+(2))),'J1 A - (North) Bishopthorpe Roa'!$A$12:$A$130,"&gt;="&amp;Diagram!$O63,'J1 A - (North) Bishopthorpe Roa'!$A$12:$A$130,"&lt;"&amp;Diagram!$P63),SUMIFS(INDIRECT(ADDRESS(12,3+18*3+(10),,,"J1 A - (North) Bishopthorpe Roa")&amp;":"&amp;ADDRESS(130,3+18*3+(10))),'J1 A - (North) Bishopthorpe Roa'!$A$12:$A$130,"&gt;="&amp;Diagram!$O63,'J1 A - (North) Bishopthorpe Roa'!$A$12:$A$130,"&lt;"&amp;Diagram!$P63)))</f>
        <v>0</v>
      </c>
      <c r="BB63" s="42">
        <f ca="1">IF(OR($I$10="",$O63="",$P63="",$J$37&lt;&gt;"Yes"),0,IF($K$10=0,SUMIFS(INDIRECT(ADDRESS(12,3+18*0+(2),,,"J1 A - (North) Bishopthorpe Roa")&amp;":"&amp;ADDRESS(130,3+18*0+(2))),'J1 A - (North) Bishopthorpe Roa'!$A$12:$A$130,"&gt;="&amp;Diagram!$O63,'J1 A - (North) Bishopthorpe Roa'!$A$12:$A$130,"&lt;"&amp;Diagram!$P63),SUMIFS(INDIRECT(ADDRESS(12,3+18*0+(10),,,"J1 A - (North) Bishopthorpe Roa")&amp;":"&amp;ADDRESS(130,3+18*0+(10))),'J1 A - (North) Bishopthorpe Roa'!$A$12:$A$130,"&gt;="&amp;Diagram!$O63,'J1 A - (North) Bishopthorpe Roa'!$A$12:$A$130,"&lt;"&amp;Diagram!$P63)))</f>
        <v>0</v>
      </c>
      <c r="BC63" s="42">
        <f ca="1">IF(OR($I$10="",$O63="",$P63="",$J$37&lt;&gt;"Yes"),0,IF($K$10=0,SUMIFS(INDIRECT(ADDRESS(12,3+18*1+(2),,,"J1 A - (North) Bishopthorpe Roa")&amp;":"&amp;ADDRESS(130,3+18*1+(2))),'J1 A - (North) Bishopthorpe Roa'!$A$12:$A$130,"&gt;="&amp;Diagram!$O63,'J1 A - (North) Bishopthorpe Roa'!$A$12:$A$130,"&lt;"&amp;Diagram!$P63),SUMIFS(INDIRECT(ADDRESS(12,3+18*1+(10),,,"J1 A - (North) Bishopthorpe Roa")&amp;":"&amp;ADDRESS(130,3+18*1+(10))),'J1 A - (North) Bishopthorpe Roa'!$A$12:$A$130,"&gt;="&amp;Diagram!$O63,'J1 A - (North) Bishopthorpe Roa'!$A$12:$A$130,"&lt;"&amp;Diagram!$P63)))</f>
        <v>1</v>
      </c>
      <c r="BD63" s="42">
        <f ca="1">IF(OR($I$10="",$O63="",$P63="",$J$37&lt;&gt;"Yes"),0,IF($K$10=0,SUMIFS(INDIRECT(ADDRESS(12,3+18*2+(2),,,"J1 A - (North) Bishopthorpe Roa")&amp;":"&amp;ADDRESS(130,3+18*2+(2))),'J1 A - (North) Bishopthorpe Roa'!$A$12:$A$130,"&gt;="&amp;Diagram!$O63,'J1 A - (North) Bishopthorpe Roa'!$A$12:$A$130,"&lt;"&amp;Diagram!$P63),SUMIFS(INDIRECT(ADDRESS(12,3+18*2+(10),,,"J1 A - (North) Bishopthorpe Roa")&amp;":"&amp;ADDRESS(130,3+18*2+(10))),'J1 A - (North) Bishopthorpe Roa'!$A$12:$A$130,"&gt;="&amp;Diagram!$O63,'J1 A - (North) Bishopthorpe Roa'!$A$12:$A$130,"&lt;"&amp;Diagram!$P63)))</f>
        <v>1</v>
      </c>
      <c r="BE63" s="42">
        <f ca="1">IF(OR($I$10="",$O63="",$P63="",$J$37&lt;&gt;"Yes"),0,IF($K$10=0,SUMIFS(INDIRECT(ADDRESS(12,3+18*2+(2),,,"J1 B - Butcher Terrace")&amp;":"&amp;ADDRESS(130,3+18*2+(2))),'J1 B - Butcher Terrace'!$A$12:$A$130,"&gt;="&amp;Diagram!$O63,'J1 B - Butcher Terrace'!$A$12:$A$130,"&lt;"&amp;Diagram!$P63),SUMIFS(INDIRECT(ADDRESS(12,3+18*2+(10),,,"J1 B - Butcher Terrace")&amp;":"&amp;ADDRESS(130,3+18*2+(10))),'J1 B - Butcher Terrace'!$A$12:$A$130,"&gt;="&amp;Diagram!$O63,'J1 B - Butcher Terrace'!$A$12:$A$130,"&lt;"&amp;Diagram!$P63)))</f>
        <v>0</v>
      </c>
      <c r="BF63" s="42">
        <f ca="1">IF(OR($I$10="",$O63="",$P63="",$J$37&lt;&gt;"Yes"),0,IF($K$10=0,SUMIFS(INDIRECT(ADDRESS(12,3+18*3+(2),,,"J1 B - Butcher Terrace")&amp;":"&amp;ADDRESS(130,3+18*3+(2))),'J1 B - Butcher Terrace'!$A$12:$A$130,"&gt;="&amp;Diagram!$O63,'J1 B - Butcher Terrace'!$A$12:$A$130,"&lt;"&amp;Diagram!$P63),SUMIFS(INDIRECT(ADDRESS(12,3+18*3+(10),,,"J1 B - Butcher Terrace")&amp;":"&amp;ADDRESS(130,3+18*3+(10))),'J1 B - Butcher Terrace'!$A$12:$A$130,"&gt;="&amp;Diagram!$O63,'J1 B - Butcher Terrace'!$A$12:$A$130,"&lt;"&amp;Diagram!$P63)))</f>
        <v>0</v>
      </c>
      <c r="BG63" s="42">
        <f ca="1">IF(OR($I$10="",$O63="",$P63="",$J$37&lt;&gt;"Yes"),0,IF($K$10=0,SUMIFS(INDIRECT(ADDRESS(12,3+18*0+(2),,,"J1 B - Butcher Terrace")&amp;":"&amp;ADDRESS(130,3+18*0+(2))),'J1 B - Butcher Terrace'!$A$12:$A$130,"&gt;="&amp;Diagram!$O63,'J1 B - Butcher Terrace'!$A$12:$A$130,"&lt;"&amp;Diagram!$P63),SUMIFS(INDIRECT(ADDRESS(12,3+18*0+(10),,,"J1 B - Butcher Terrace")&amp;":"&amp;ADDRESS(130,3+18*0+(10))),'J1 B - Butcher Terrace'!$A$12:$A$130,"&gt;="&amp;Diagram!$O63,'J1 B - Butcher Terrace'!$A$12:$A$130,"&lt;"&amp;Diagram!$P63)))</f>
        <v>0</v>
      </c>
      <c r="BH63" s="42">
        <f ca="1">IF(OR($I$10="",$O63="",$P63="",$J$37&lt;&gt;"Yes"),0,IF($K$10=0,SUMIFS(INDIRECT(ADDRESS(12,3+18*1+(2),,,"J1 B - Butcher Terrace")&amp;":"&amp;ADDRESS(130,3+18*1+(2))),'J1 B - Butcher Terrace'!$A$12:$A$130,"&gt;="&amp;Diagram!$O63,'J1 B - Butcher Terrace'!$A$12:$A$130,"&lt;"&amp;Diagram!$P63),SUMIFS(INDIRECT(ADDRESS(12,3+18*1+(10),,,"J1 B - Butcher Terrace")&amp;":"&amp;ADDRESS(130,3+18*1+(10))),'J1 B - Butcher Terrace'!$A$12:$A$130,"&gt;="&amp;Diagram!$O63,'J1 B - Butcher Terrace'!$A$12:$A$130,"&lt;"&amp;Diagram!$P63)))</f>
        <v>0</v>
      </c>
      <c r="BI63" s="42">
        <f ca="1">IF(OR($I$10="",$O63="",$P63="",$J$37&lt;&gt;"Yes"),0,IF($K$10=0,SUMIFS(INDIRECT(ADDRESS(12,3+18*1+(2),,,"J1 C - (South) Bishopthorpe Roa")&amp;":"&amp;ADDRESS(130,3+18*1+(2))),'J1 C - (South) Bishopthorpe Roa'!$A$12:$A$130,"&gt;="&amp;Diagram!$O63,'J1 C - (South) Bishopthorpe Roa'!$A$12:$A$130,"&lt;"&amp;Diagram!$P63),SUMIFS(INDIRECT(ADDRESS(12,3+18*1+(10),,,"J1 C - (South) Bishopthorpe Roa")&amp;":"&amp;ADDRESS(130,3+18*1+(10))),'J1 C - (South) Bishopthorpe Roa'!$A$12:$A$130,"&gt;="&amp;Diagram!$O63,'J1 C - (South) Bishopthorpe Roa'!$A$12:$A$130,"&lt;"&amp;Diagram!$P63)))</f>
        <v>1</v>
      </c>
      <c r="BJ63" s="42">
        <f ca="1">IF(OR($I$10="",$O63="",$P63="",$J$37&lt;&gt;"Yes"),0,IF($K$10=0,SUMIFS(INDIRECT(ADDRESS(12,3+18*2+(2),,,"J1 C - (South) Bishopthorpe Roa")&amp;":"&amp;ADDRESS(130,3+18*2+(2))),'J1 C - (South) Bishopthorpe Roa'!$A$12:$A$130,"&gt;="&amp;Diagram!$O63,'J1 C - (South) Bishopthorpe Roa'!$A$12:$A$130,"&lt;"&amp;Diagram!$P63),SUMIFS(INDIRECT(ADDRESS(12,3+18*2+(10),,,"J1 C - (South) Bishopthorpe Roa")&amp;":"&amp;ADDRESS(130,3+18*2+(10))),'J1 C - (South) Bishopthorpe Roa'!$A$12:$A$130,"&gt;="&amp;Diagram!$O63,'J1 C - (South) Bishopthorpe Roa'!$A$12:$A$130,"&lt;"&amp;Diagram!$P63)))</f>
        <v>0</v>
      </c>
      <c r="BK63" s="42">
        <f ca="1">IF(OR($I$10="",$O63="",$P63="",$J$37&lt;&gt;"Yes"),0,IF($K$10=0,SUMIFS(INDIRECT(ADDRESS(12,3+18*3+(2),,,"J1 C - (South) Bishopthorpe Roa")&amp;":"&amp;ADDRESS(130,3+18*3+(2))),'J1 C - (South) Bishopthorpe Roa'!$A$12:$A$130,"&gt;="&amp;Diagram!$O63,'J1 C - (South) Bishopthorpe Roa'!$A$12:$A$130,"&lt;"&amp;Diagram!$P63),SUMIFS(INDIRECT(ADDRESS(12,3+18*3+(10),,,"J1 C - (South) Bishopthorpe Roa")&amp;":"&amp;ADDRESS(130,3+18*3+(10))),'J1 C - (South) Bishopthorpe Roa'!$A$12:$A$130,"&gt;="&amp;Diagram!$O63,'J1 C - (South) Bishopthorpe Roa'!$A$12:$A$130,"&lt;"&amp;Diagram!$P63)))</f>
        <v>0</v>
      </c>
      <c r="BL63" s="42">
        <f ca="1">IF(OR($I$10="",$O63="",$P63="",$J$37&lt;&gt;"Yes"),0,IF($K$10=0,SUMIFS(INDIRECT(ADDRESS(12,3+18*0+(2),,,"J1 C - (South) Bishopthorpe Roa")&amp;":"&amp;ADDRESS(130,3+18*0+(2))),'J1 C - (South) Bishopthorpe Roa'!$A$12:$A$130,"&gt;="&amp;Diagram!$O63,'J1 C - (South) Bishopthorpe Roa'!$A$12:$A$130,"&lt;"&amp;Diagram!$P63),SUMIFS(INDIRECT(ADDRESS(12,3+18*0+(10),,,"J1 C - (South) Bishopthorpe Roa")&amp;":"&amp;ADDRESS(130,3+18*0+(10))),'J1 C - (South) Bishopthorpe Roa'!$A$12:$A$130,"&gt;="&amp;Diagram!$O63,'J1 C - (South) Bishopthorpe Roa'!$A$12:$A$130,"&lt;"&amp;Diagram!$P63)))</f>
        <v>1</v>
      </c>
      <c r="BM63" s="42">
        <f ca="1">IF(OR($I$10="",$O63="",$P63="",$J$37&lt;&gt;"Yes"),0,IF($K$10=0,SUMIFS(INDIRECT(ADDRESS(12,3+18*0+(2),,,"J1 D - South Bank Avenue")&amp;":"&amp;ADDRESS(130,3+18*0+(2))),'J1 D - South Bank Avenue'!$A$12:$A$130,"&gt;="&amp;Diagram!$O63,'J1 D - South Bank Avenue'!$A$12:$A$130,"&lt;"&amp;Diagram!$P63),SUMIFS(INDIRECT(ADDRESS(12,3+18*0+(10),,,"J1 D - South Bank Avenue")&amp;":"&amp;ADDRESS(130,3+18*0+(10))),'J1 D - South Bank Avenue'!$A$12:$A$130,"&gt;="&amp;Diagram!$O63,'J1 D - South Bank Avenue'!$A$12:$A$130,"&lt;"&amp;Diagram!$P63)))</f>
        <v>2</v>
      </c>
      <c r="BN63" s="42">
        <f ca="1">IF(OR($I$10="",$O63="",$P63="",$J$37&lt;&gt;"Yes"),0,IF($K$10=0,SUMIFS(INDIRECT(ADDRESS(12,3+18*1+(2),,,"J1 D - South Bank Avenue")&amp;":"&amp;ADDRESS(130,3+18*1+(2))),'J1 D - South Bank Avenue'!$A$12:$A$130,"&gt;="&amp;Diagram!$O63,'J1 D - South Bank Avenue'!$A$12:$A$130,"&lt;"&amp;Diagram!$P63),SUMIFS(INDIRECT(ADDRESS(12,3+18*1+(10),,,"J1 D - South Bank Avenue")&amp;":"&amp;ADDRESS(130,3+18*1+(10))),'J1 D - South Bank Avenue'!$A$12:$A$130,"&gt;="&amp;Diagram!$O63,'J1 D - South Bank Avenue'!$A$12:$A$130,"&lt;"&amp;Diagram!$P63)))</f>
        <v>0</v>
      </c>
      <c r="BO63" s="42">
        <f ca="1">IF(OR($I$10="",$O63="",$P63="",$J$37&lt;&gt;"Yes"),0,IF($K$10=0,SUMIFS(INDIRECT(ADDRESS(12,3+18*2+(2),,,"J1 D - South Bank Avenue")&amp;":"&amp;ADDRESS(130,3+18*2+(2))),'J1 D - South Bank Avenue'!$A$12:$A$130,"&gt;="&amp;Diagram!$O63,'J1 D - South Bank Avenue'!$A$12:$A$130,"&lt;"&amp;Diagram!$P63),SUMIFS(INDIRECT(ADDRESS(12,3+18*2+(10),,,"J1 D - South Bank Avenue")&amp;":"&amp;ADDRESS(130,3+18*2+(10))),'J1 D - South Bank Avenue'!$A$12:$A$130,"&gt;="&amp;Diagram!$O63,'J1 D - South Bank Avenue'!$A$12:$A$130,"&lt;"&amp;Diagram!$P63)))</f>
        <v>0</v>
      </c>
      <c r="BP63" s="42">
        <f ca="1">IF(OR($I$10="",$O63="",$P63="",$J$37&lt;&gt;"Yes"),0,IF($K$10=0,SUMIFS(INDIRECT(ADDRESS(12,3+18*3+(2),,,"J1 D - South Bank Avenue")&amp;":"&amp;ADDRESS(130,3+18*3+(2))),'J1 D - South Bank Avenue'!$A$12:$A$130,"&gt;="&amp;Diagram!$O63,'J1 D - South Bank Avenue'!$A$12:$A$130,"&lt;"&amp;Diagram!$P63),SUMIFS(INDIRECT(ADDRESS(12,3+18*3+(10),,,"J1 D - South Bank Avenue")&amp;":"&amp;ADDRESS(130,3+18*3+(10))),'J1 D - South Bank Avenue'!$A$12:$A$130,"&gt;="&amp;Diagram!$O63,'J1 D - South Bank Avenue'!$A$12:$A$130,"&lt;"&amp;Diagram!$P63)))</f>
        <v>0</v>
      </c>
      <c r="BQ63" s="42">
        <f t="shared" ca="1" si="4"/>
        <v>0</v>
      </c>
      <c r="BR63" s="42">
        <f ca="1">IF(OR($I$10="",$O63="",$P63="",$J$38&lt;&gt;"Yes"),0,IF($K$10=0,SUMIFS(INDIRECT(ADDRESS(12,3+18*3+(3),,,"J1 A - (North) Bishopthorpe Roa")&amp;":"&amp;ADDRESS(130,3+18*3+(3))),'J1 A - (North) Bishopthorpe Roa'!$A$12:$A$130,"&gt;="&amp;Diagram!$O63,'J1 A - (North) Bishopthorpe Roa'!$A$12:$A$130,"&lt;"&amp;Diagram!$P63),SUMIFS(INDIRECT(ADDRESS(12,3+18*3+(11),,,"J1 A - (North) Bishopthorpe Roa")&amp;":"&amp;ADDRESS(130,3+18*3+(11))),'J1 A - (North) Bishopthorpe Roa'!$A$12:$A$130,"&gt;="&amp;Diagram!$O63,'J1 A - (North) Bishopthorpe Roa'!$A$12:$A$130,"&lt;"&amp;Diagram!$P63)))</f>
        <v>0</v>
      </c>
      <c r="BS63" s="42">
        <f ca="1">IF(OR($I$10="",$O63="",$P63="",$J$38&lt;&gt;"Yes"),0,IF($K$10=0,SUMIFS(INDIRECT(ADDRESS(12,3+18*0+(3),,,"J1 A - (North) Bishopthorpe Roa")&amp;":"&amp;ADDRESS(130,3+18*0+(3))),'J1 A - (North) Bishopthorpe Roa'!$A$12:$A$130,"&gt;="&amp;Diagram!$O63,'J1 A - (North) Bishopthorpe Roa'!$A$12:$A$130,"&lt;"&amp;Diagram!$P63),SUMIFS(INDIRECT(ADDRESS(12,3+18*0+(11),,,"J1 A - (North) Bishopthorpe Roa")&amp;":"&amp;ADDRESS(130,3+18*0+(11))),'J1 A - (North) Bishopthorpe Roa'!$A$12:$A$130,"&gt;="&amp;Diagram!$O63,'J1 A - (North) Bishopthorpe Roa'!$A$12:$A$130,"&lt;"&amp;Diagram!$P63)))</f>
        <v>0</v>
      </c>
      <c r="BT63" s="42">
        <f ca="1">IF(OR($I$10="",$O63="",$P63="",$J$38&lt;&gt;"Yes"),0,IF($K$10=0,SUMIFS(INDIRECT(ADDRESS(12,3+18*1+(3),,,"J1 A - (North) Bishopthorpe Roa")&amp;":"&amp;ADDRESS(130,3+18*1+(3))),'J1 A - (North) Bishopthorpe Roa'!$A$12:$A$130,"&gt;="&amp;Diagram!$O63,'J1 A - (North) Bishopthorpe Roa'!$A$12:$A$130,"&lt;"&amp;Diagram!$P63),SUMIFS(INDIRECT(ADDRESS(12,3+18*1+(11),,,"J1 A - (North) Bishopthorpe Roa")&amp;":"&amp;ADDRESS(130,3+18*1+(11))),'J1 A - (North) Bishopthorpe Roa'!$A$12:$A$130,"&gt;="&amp;Diagram!$O63,'J1 A - (North) Bishopthorpe Roa'!$A$12:$A$130,"&lt;"&amp;Diagram!$P63)))</f>
        <v>0</v>
      </c>
      <c r="BU63" s="42">
        <f ca="1">IF(OR($I$10="",$O63="",$P63="",$J$38&lt;&gt;"Yes"),0,IF($K$10=0,SUMIFS(INDIRECT(ADDRESS(12,3+18*2+(3),,,"J1 A - (North) Bishopthorpe Roa")&amp;":"&amp;ADDRESS(130,3+18*2+(3))),'J1 A - (North) Bishopthorpe Roa'!$A$12:$A$130,"&gt;="&amp;Diagram!$O63,'J1 A - (North) Bishopthorpe Roa'!$A$12:$A$130,"&lt;"&amp;Diagram!$P63),SUMIFS(INDIRECT(ADDRESS(12,3+18*2+(11),,,"J1 A - (North) Bishopthorpe Roa")&amp;":"&amp;ADDRESS(130,3+18*2+(11))),'J1 A - (North) Bishopthorpe Roa'!$A$12:$A$130,"&gt;="&amp;Diagram!$O63,'J1 A - (North) Bishopthorpe Roa'!$A$12:$A$130,"&lt;"&amp;Diagram!$P63)))</f>
        <v>0</v>
      </c>
      <c r="BV63" s="42">
        <f ca="1">IF(OR($I$10="",$O63="",$P63="",$J$38&lt;&gt;"Yes"),0,IF($K$10=0,SUMIFS(INDIRECT(ADDRESS(12,3+18*2+(3),,,"J1 B - Butcher Terrace")&amp;":"&amp;ADDRESS(130,3+18*2+(3))),'J1 B - Butcher Terrace'!$A$12:$A$130,"&gt;="&amp;Diagram!$O63,'J1 B - Butcher Terrace'!$A$12:$A$130,"&lt;"&amp;Diagram!$P63),SUMIFS(INDIRECT(ADDRESS(12,3+18*2+(11),,,"J1 B - Butcher Terrace")&amp;":"&amp;ADDRESS(130,3+18*2+(11))),'J1 B - Butcher Terrace'!$A$12:$A$130,"&gt;="&amp;Diagram!$O63,'J1 B - Butcher Terrace'!$A$12:$A$130,"&lt;"&amp;Diagram!$P63)))</f>
        <v>0</v>
      </c>
      <c r="BW63" s="42">
        <f ca="1">IF(OR($I$10="",$O63="",$P63="",$J$38&lt;&gt;"Yes"),0,IF($K$10=0,SUMIFS(INDIRECT(ADDRESS(12,3+18*3+(3),,,"J1 B - Butcher Terrace")&amp;":"&amp;ADDRESS(130,3+18*3+(3))),'J1 B - Butcher Terrace'!$A$12:$A$130,"&gt;="&amp;Diagram!$O63,'J1 B - Butcher Terrace'!$A$12:$A$130,"&lt;"&amp;Diagram!$P63),SUMIFS(INDIRECT(ADDRESS(12,3+18*3+(11),,,"J1 B - Butcher Terrace")&amp;":"&amp;ADDRESS(130,3+18*3+(11))),'J1 B - Butcher Terrace'!$A$12:$A$130,"&gt;="&amp;Diagram!$O63,'J1 B - Butcher Terrace'!$A$12:$A$130,"&lt;"&amp;Diagram!$P63)))</f>
        <v>0</v>
      </c>
      <c r="BX63" s="42">
        <f ca="1">IF(OR($I$10="",$O63="",$P63="",$J$38&lt;&gt;"Yes"),0,IF($K$10=0,SUMIFS(INDIRECT(ADDRESS(12,3+18*0+(3),,,"J1 B - Butcher Terrace")&amp;":"&amp;ADDRESS(130,3+18*0+(3))),'J1 B - Butcher Terrace'!$A$12:$A$130,"&gt;="&amp;Diagram!$O63,'J1 B - Butcher Terrace'!$A$12:$A$130,"&lt;"&amp;Diagram!$P63),SUMIFS(INDIRECT(ADDRESS(12,3+18*0+(11),,,"J1 B - Butcher Terrace")&amp;":"&amp;ADDRESS(130,3+18*0+(11))),'J1 B - Butcher Terrace'!$A$12:$A$130,"&gt;="&amp;Diagram!$O63,'J1 B - Butcher Terrace'!$A$12:$A$130,"&lt;"&amp;Diagram!$P63)))</f>
        <v>0</v>
      </c>
      <c r="BY63" s="42">
        <f ca="1">IF(OR($I$10="",$O63="",$P63="",$J$38&lt;&gt;"Yes"),0,IF($K$10=0,SUMIFS(INDIRECT(ADDRESS(12,3+18*1+(3),,,"J1 B - Butcher Terrace")&amp;":"&amp;ADDRESS(130,3+18*1+(3))),'J1 B - Butcher Terrace'!$A$12:$A$130,"&gt;="&amp;Diagram!$O63,'J1 B - Butcher Terrace'!$A$12:$A$130,"&lt;"&amp;Diagram!$P63),SUMIFS(INDIRECT(ADDRESS(12,3+18*1+(11),,,"J1 B - Butcher Terrace")&amp;":"&amp;ADDRESS(130,3+18*1+(11))),'J1 B - Butcher Terrace'!$A$12:$A$130,"&gt;="&amp;Diagram!$O63,'J1 B - Butcher Terrace'!$A$12:$A$130,"&lt;"&amp;Diagram!$P63)))</f>
        <v>0</v>
      </c>
      <c r="BZ63" s="42">
        <f ca="1">IF(OR($I$10="",$O63="",$P63="",$J$38&lt;&gt;"Yes"),0,IF($K$10=0,SUMIFS(INDIRECT(ADDRESS(12,3+18*1+(3),,,"J1 C - (South) Bishopthorpe Roa")&amp;":"&amp;ADDRESS(130,3+18*1+(3))),'J1 C - (South) Bishopthorpe Roa'!$A$12:$A$130,"&gt;="&amp;Diagram!$O63,'J1 C - (South) Bishopthorpe Roa'!$A$12:$A$130,"&lt;"&amp;Diagram!$P63),SUMIFS(INDIRECT(ADDRESS(12,3+18*1+(11),,,"J1 C - (South) Bishopthorpe Roa")&amp;":"&amp;ADDRESS(130,3+18*1+(11))),'J1 C - (South) Bishopthorpe Roa'!$A$12:$A$130,"&gt;="&amp;Diagram!$O63,'J1 C - (South) Bishopthorpe Roa'!$A$12:$A$130,"&lt;"&amp;Diagram!$P63)))</f>
        <v>0</v>
      </c>
      <c r="CA63" s="42">
        <f ca="1">IF(OR($I$10="",$O63="",$P63="",$J$38&lt;&gt;"Yes"),0,IF($K$10=0,SUMIFS(INDIRECT(ADDRESS(12,3+18*2+(3),,,"J1 C - (South) Bishopthorpe Roa")&amp;":"&amp;ADDRESS(130,3+18*2+(3))),'J1 C - (South) Bishopthorpe Roa'!$A$12:$A$130,"&gt;="&amp;Diagram!$O63,'J1 C - (South) Bishopthorpe Roa'!$A$12:$A$130,"&lt;"&amp;Diagram!$P63),SUMIFS(INDIRECT(ADDRESS(12,3+18*2+(11),,,"J1 C - (South) Bishopthorpe Roa")&amp;":"&amp;ADDRESS(130,3+18*2+(11))),'J1 C - (South) Bishopthorpe Roa'!$A$12:$A$130,"&gt;="&amp;Diagram!$O63,'J1 C - (South) Bishopthorpe Roa'!$A$12:$A$130,"&lt;"&amp;Diagram!$P63)))</f>
        <v>0</v>
      </c>
      <c r="CB63" s="42">
        <f ca="1">IF(OR($I$10="",$O63="",$P63="",$J$38&lt;&gt;"Yes"),0,IF($K$10=0,SUMIFS(INDIRECT(ADDRESS(12,3+18*3+(3),,,"J1 C - (South) Bishopthorpe Roa")&amp;":"&amp;ADDRESS(130,3+18*3+(3))),'J1 C - (South) Bishopthorpe Roa'!$A$12:$A$130,"&gt;="&amp;Diagram!$O63,'J1 C - (South) Bishopthorpe Roa'!$A$12:$A$130,"&lt;"&amp;Diagram!$P63),SUMIFS(INDIRECT(ADDRESS(12,3+18*3+(11),,,"J1 C - (South) Bishopthorpe Roa")&amp;":"&amp;ADDRESS(130,3+18*3+(11))),'J1 C - (South) Bishopthorpe Roa'!$A$12:$A$130,"&gt;="&amp;Diagram!$O63,'J1 C - (South) Bishopthorpe Roa'!$A$12:$A$130,"&lt;"&amp;Diagram!$P63)))</f>
        <v>0</v>
      </c>
      <c r="CC63" s="42">
        <f ca="1">IF(OR($I$10="",$O63="",$P63="",$J$38&lt;&gt;"Yes"),0,IF($K$10=0,SUMIFS(INDIRECT(ADDRESS(12,3+18*0+(3),,,"J1 C - (South) Bishopthorpe Roa")&amp;":"&amp;ADDRESS(130,3+18*0+(3))),'J1 C - (South) Bishopthorpe Roa'!$A$12:$A$130,"&gt;="&amp;Diagram!$O63,'J1 C - (South) Bishopthorpe Roa'!$A$12:$A$130,"&lt;"&amp;Diagram!$P63),SUMIFS(INDIRECT(ADDRESS(12,3+18*0+(11),,,"J1 C - (South) Bishopthorpe Roa")&amp;":"&amp;ADDRESS(130,3+18*0+(11))),'J1 C - (South) Bishopthorpe Roa'!$A$12:$A$130,"&gt;="&amp;Diagram!$O63,'J1 C - (South) Bishopthorpe Roa'!$A$12:$A$130,"&lt;"&amp;Diagram!$P63)))</f>
        <v>0</v>
      </c>
      <c r="CD63" s="42">
        <f ca="1">IF(OR($I$10="",$O63="",$P63="",$J$38&lt;&gt;"Yes"),0,IF($K$10=0,SUMIFS(INDIRECT(ADDRESS(12,3+18*0+(3),,,"J1 D - South Bank Avenue")&amp;":"&amp;ADDRESS(130,3+18*0+(3))),'J1 D - South Bank Avenue'!$A$12:$A$130,"&gt;="&amp;Diagram!$O63,'J1 D - South Bank Avenue'!$A$12:$A$130,"&lt;"&amp;Diagram!$P63),SUMIFS(INDIRECT(ADDRESS(12,3+18*0+(11),,,"J1 D - South Bank Avenue")&amp;":"&amp;ADDRESS(130,3+18*0+(11))),'J1 D - South Bank Avenue'!$A$12:$A$130,"&gt;="&amp;Diagram!$O63,'J1 D - South Bank Avenue'!$A$12:$A$130,"&lt;"&amp;Diagram!$P63)))</f>
        <v>0</v>
      </c>
      <c r="CE63" s="42">
        <f ca="1">IF(OR($I$10="",$O63="",$P63="",$J$38&lt;&gt;"Yes"),0,IF($K$10=0,SUMIFS(INDIRECT(ADDRESS(12,3+18*1+(3),,,"J1 D - South Bank Avenue")&amp;":"&amp;ADDRESS(130,3+18*1+(3))),'J1 D - South Bank Avenue'!$A$12:$A$130,"&gt;="&amp;Diagram!$O63,'J1 D - South Bank Avenue'!$A$12:$A$130,"&lt;"&amp;Diagram!$P63),SUMIFS(INDIRECT(ADDRESS(12,3+18*1+(11),,,"J1 D - South Bank Avenue")&amp;":"&amp;ADDRESS(130,3+18*1+(11))),'J1 D - South Bank Avenue'!$A$12:$A$130,"&gt;="&amp;Diagram!$O63,'J1 D - South Bank Avenue'!$A$12:$A$130,"&lt;"&amp;Diagram!$P63)))</f>
        <v>0</v>
      </c>
      <c r="CF63" s="42">
        <f ca="1">IF(OR($I$10="",$O63="",$P63="",$J$38&lt;&gt;"Yes"),0,IF($K$10=0,SUMIFS(INDIRECT(ADDRESS(12,3+18*2+(3),,,"J1 D - South Bank Avenue")&amp;":"&amp;ADDRESS(130,3+18*2+(3))),'J1 D - South Bank Avenue'!$A$12:$A$130,"&gt;="&amp;Diagram!$O63,'J1 D - South Bank Avenue'!$A$12:$A$130,"&lt;"&amp;Diagram!$P63),SUMIFS(INDIRECT(ADDRESS(12,3+18*2+(11),,,"J1 D - South Bank Avenue")&amp;":"&amp;ADDRESS(130,3+18*2+(11))),'J1 D - South Bank Avenue'!$A$12:$A$130,"&gt;="&amp;Diagram!$O63,'J1 D - South Bank Avenue'!$A$12:$A$130,"&lt;"&amp;Diagram!$P63)))</f>
        <v>0</v>
      </c>
      <c r="CG63" s="42">
        <f ca="1">IF(OR($I$10="",$O63="",$P63="",$J$38&lt;&gt;"Yes"),0,IF($K$10=0,SUMIFS(INDIRECT(ADDRESS(12,3+18*3+(3),,,"J1 D - South Bank Avenue")&amp;":"&amp;ADDRESS(130,3+18*3+(3))),'J1 D - South Bank Avenue'!$A$12:$A$130,"&gt;="&amp;Diagram!$O63,'J1 D - South Bank Avenue'!$A$12:$A$130,"&lt;"&amp;Diagram!$P63),SUMIFS(INDIRECT(ADDRESS(12,3+18*3+(11),,,"J1 D - South Bank Avenue")&amp;":"&amp;ADDRESS(130,3+18*3+(11))),'J1 D - South Bank Avenue'!$A$12:$A$130,"&gt;="&amp;Diagram!$O63,'J1 D - South Bank Avenue'!$A$12:$A$130,"&lt;"&amp;Diagram!$P63)))</f>
        <v>0</v>
      </c>
      <c r="CH63" s="42">
        <f t="shared" ca="1" si="5"/>
        <v>6</v>
      </c>
      <c r="CI63" s="42">
        <f ca="1">IF(OR($I$10="",$O63="",$P63="",$J$39&lt;&gt;"Yes"),0,IF($K$10=0,SUMIFS(INDIRECT(ADDRESS(12,3+18*3+(4),,,"J1 A - (North) Bishopthorpe Roa")&amp;":"&amp;ADDRESS(130,3+18*3+(4))),'J1 A - (North) Bishopthorpe Roa'!$A$12:$A$130,"&gt;="&amp;Diagram!$O63,'J1 A - (North) Bishopthorpe Roa'!$A$12:$A$130,"&lt;"&amp;Diagram!$P63),SUMIFS(INDIRECT(ADDRESS(12,3+18*3+(12),,,"J1 A - (North) Bishopthorpe Roa")&amp;":"&amp;ADDRESS(130,3+18*3+(12))),'J1 A - (North) Bishopthorpe Roa'!$A$12:$A$130,"&gt;="&amp;Diagram!$O63,'J1 A - (North) Bishopthorpe Roa'!$A$12:$A$130,"&lt;"&amp;Diagram!$P63)))</f>
        <v>0</v>
      </c>
      <c r="CJ63" s="42">
        <f ca="1">IF(OR($I$10="",$O63="",$P63="",$J$39&lt;&gt;"Yes"),0,IF($K$10=0,SUMIFS(INDIRECT(ADDRESS(12,3+18*0+(4),,,"J1 A - (North) Bishopthorpe Roa")&amp;":"&amp;ADDRESS(130,3+18*0+(4))),'J1 A - (North) Bishopthorpe Roa'!$A$12:$A$130,"&gt;="&amp;Diagram!$O63,'J1 A - (North) Bishopthorpe Roa'!$A$12:$A$130,"&lt;"&amp;Diagram!$P63),SUMIFS(INDIRECT(ADDRESS(12,3+18*0+(12),,,"J1 A - (North) Bishopthorpe Roa")&amp;":"&amp;ADDRESS(130,3+18*0+(12))),'J1 A - (North) Bishopthorpe Roa'!$A$12:$A$130,"&gt;="&amp;Diagram!$O63,'J1 A - (North) Bishopthorpe Roa'!$A$12:$A$130,"&lt;"&amp;Diagram!$P63)))</f>
        <v>0</v>
      </c>
      <c r="CK63" s="42">
        <f ca="1">IF(OR($I$10="",$O63="",$P63="",$J$39&lt;&gt;"Yes"),0,IF($K$10=0,SUMIFS(INDIRECT(ADDRESS(12,3+18*1+(4),,,"J1 A - (North) Bishopthorpe Roa")&amp;":"&amp;ADDRESS(130,3+18*1+(4))),'J1 A - (North) Bishopthorpe Roa'!$A$12:$A$130,"&gt;="&amp;Diagram!$O63,'J1 A - (North) Bishopthorpe Roa'!$A$12:$A$130,"&lt;"&amp;Diagram!$P63),SUMIFS(INDIRECT(ADDRESS(12,3+18*1+(12),,,"J1 A - (North) Bishopthorpe Roa")&amp;":"&amp;ADDRESS(130,3+18*1+(12))),'J1 A - (North) Bishopthorpe Roa'!$A$12:$A$130,"&gt;="&amp;Diagram!$O63,'J1 A - (North) Bishopthorpe Roa'!$A$12:$A$130,"&lt;"&amp;Diagram!$P63)))</f>
        <v>3</v>
      </c>
      <c r="CL63" s="42">
        <f ca="1">IF(OR($I$10="",$O63="",$P63="",$J$39&lt;&gt;"Yes"),0,IF($K$10=0,SUMIFS(INDIRECT(ADDRESS(12,3+18*2+(4),,,"J1 A - (North) Bishopthorpe Roa")&amp;":"&amp;ADDRESS(130,3+18*2+(4))),'J1 A - (North) Bishopthorpe Roa'!$A$12:$A$130,"&gt;="&amp;Diagram!$O63,'J1 A - (North) Bishopthorpe Roa'!$A$12:$A$130,"&lt;"&amp;Diagram!$P63),SUMIFS(INDIRECT(ADDRESS(12,3+18*2+(12),,,"J1 A - (North) Bishopthorpe Roa")&amp;":"&amp;ADDRESS(130,3+18*2+(12))),'J1 A - (North) Bishopthorpe Roa'!$A$12:$A$130,"&gt;="&amp;Diagram!$O63,'J1 A - (North) Bishopthorpe Roa'!$A$12:$A$130,"&lt;"&amp;Diagram!$P63)))</f>
        <v>0</v>
      </c>
      <c r="CM63" s="42">
        <f ca="1">IF(OR($I$10="",$O63="",$P63="",$J$39&lt;&gt;"Yes"),0,IF($K$10=0,SUMIFS(INDIRECT(ADDRESS(12,3+18*2+(4),,,"J1 B - Butcher Terrace")&amp;":"&amp;ADDRESS(130,3+18*2+(4))),'J1 B - Butcher Terrace'!$A$12:$A$130,"&gt;="&amp;Diagram!$O63,'J1 B - Butcher Terrace'!$A$12:$A$130,"&lt;"&amp;Diagram!$P63),SUMIFS(INDIRECT(ADDRESS(12,3+18*2+(12),,,"J1 B - Butcher Terrace")&amp;":"&amp;ADDRESS(130,3+18*2+(12))),'J1 B - Butcher Terrace'!$A$12:$A$130,"&gt;="&amp;Diagram!$O63,'J1 B - Butcher Terrace'!$A$12:$A$130,"&lt;"&amp;Diagram!$P63)))</f>
        <v>0</v>
      </c>
      <c r="CN63" s="42">
        <f ca="1">IF(OR($I$10="",$O63="",$P63="",$J$39&lt;&gt;"Yes"),0,IF($K$10=0,SUMIFS(INDIRECT(ADDRESS(12,3+18*3+(4),,,"J1 B - Butcher Terrace")&amp;":"&amp;ADDRESS(130,3+18*3+(4))),'J1 B - Butcher Terrace'!$A$12:$A$130,"&gt;="&amp;Diagram!$O63,'J1 B - Butcher Terrace'!$A$12:$A$130,"&lt;"&amp;Diagram!$P63),SUMIFS(INDIRECT(ADDRESS(12,3+18*3+(12),,,"J1 B - Butcher Terrace")&amp;":"&amp;ADDRESS(130,3+18*3+(12))),'J1 B - Butcher Terrace'!$A$12:$A$130,"&gt;="&amp;Diagram!$O63,'J1 B - Butcher Terrace'!$A$12:$A$130,"&lt;"&amp;Diagram!$P63)))</f>
        <v>0</v>
      </c>
      <c r="CO63" s="42">
        <f ca="1">IF(OR($I$10="",$O63="",$P63="",$J$39&lt;&gt;"Yes"),0,IF($K$10=0,SUMIFS(INDIRECT(ADDRESS(12,3+18*0+(4),,,"J1 B - Butcher Terrace")&amp;":"&amp;ADDRESS(130,3+18*0+(4))),'J1 B - Butcher Terrace'!$A$12:$A$130,"&gt;="&amp;Diagram!$O63,'J1 B - Butcher Terrace'!$A$12:$A$130,"&lt;"&amp;Diagram!$P63),SUMIFS(INDIRECT(ADDRESS(12,3+18*0+(12),,,"J1 B - Butcher Terrace")&amp;":"&amp;ADDRESS(130,3+18*0+(12))),'J1 B - Butcher Terrace'!$A$12:$A$130,"&gt;="&amp;Diagram!$O63,'J1 B - Butcher Terrace'!$A$12:$A$130,"&lt;"&amp;Diagram!$P63)))</f>
        <v>0</v>
      </c>
      <c r="CP63" s="42">
        <f ca="1">IF(OR($I$10="",$O63="",$P63="",$J$39&lt;&gt;"Yes"),0,IF($K$10=0,SUMIFS(INDIRECT(ADDRESS(12,3+18*1+(4),,,"J1 B - Butcher Terrace")&amp;":"&amp;ADDRESS(130,3+18*1+(4))),'J1 B - Butcher Terrace'!$A$12:$A$130,"&gt;="&amp;Diagram!$O63,'J1 B - Butcher Terrace'!$A$12:$A$130,"&lt;"&amp;Diagram!$P63),SUMIFS(INDIRECT(ADDRESS(12,3+18*1+(12),,,"J1 B - Butcher Terrace")&amp;":"&amp;ADDRESS(130,3+18*1+(12))),'J1 B - Butcher Terrace'!$A$12:$A$130,"&gt;="&amp;Diagram!$O63,'J1 B - Butcher Terrace'!$A$12:$A$130,"&lt;"&amp;Diagram!$P63)))</f>
        <v>0</v>
      </c>
      <c r="CQ63" s="42">
        <f ca="1">IF(OR($I$10="",$O63="",$P63="",$J$39&lt;&gt;"Yes"),0,IF($K$10=0,SUMIFS(INDIRECT(ADDRESS(12,3+18*1+(4),,,"J1 C - (South) Bishopthorpe Roa")&amp;":"&amp;ADDRESS(130,3+18*1+(4))),'J1 C - (South) Bishopthorpe Roa'!$A$12:$A$130,"&gt;="&amp;Diagram!$O63,'J1 C - (South) Bishopthorpe Roa'!$A$12:$A$130,"&lt;"&amp;Diagram!$P63),SUMIFS(INDIRECT(ADDRESS(12,3+18*1+(12),,,"J1 C - (South) Bishopthorpe Roa")&amp;":"&amp;ADDRESS(130,3+18*1+(12))),'J1 C - (South) Bishopthorpe Roa'!$A$12:$A$130,"&gt;="&amp;Diagram!$O63,'J1 C - (South) Bishopthorpe Roa'!$A$12:$A$130,"&lt;"&amp;Diagram!$P63)))</f>
        <v>3</v>
      </c>
      <c r="CR63" s="42">
        <f ca="1">IF(OR($I$10="",$O63="",$P63="",$J$39&lt;&gt;"Yes"),0,IF($K$10=0,SUMIFS(INDIRECT(ADDRESS(12,3+18*2+(4),,,"J1 C - (South) Bishopthorpe Roa")&amp;":"&amp;ADDRESS(130,3+18*2+(4))),'J1 C - (South) Bishopthorpe Roa'!$A$12:$A$130,"&gt;="&amp;Diagram!$O63,'J1 C - (South) Bishopthorpe Roa'!$A$12:$A$130,"&lt;"&amp;Diagram!$P63),SUMIFS(INDIRECT(ADDRESS(12,3+18*2+(12),,,"J1 C - (South) Bishopthorpe Roa")&amp;":"&amp;ADDRESS(130,3+18*2+(12))),'J1 C - (South) Bishopthorpe Roa'!$A$12:$A$130,"&gt;="&amp;Diagram!$O63,'J1 C - (South) Bishopthorpe Roa'!$A$12:$A$130,"&lt;"&amp;Diagram!$P63)))</f>
        <v>0</v>
      </c>
      <c r="CS63" s="42">
        <f ca="1">IF(OR($I$10="",$O63="",$P63="",$J$39&lt;&gt;"Yes"),0,IF($K$10=0,SUMIFS(INDIRECT(ADDRESS(12,3+18*3+(4),,,"J1 C - (South) Bishopthorpe Roa")&amp;":"&amp;ADDRESS(130,3+18*3+(4))),'J1 C - (South) Bishopthorpe Roa'!$A$12:$A$130,"&gt;="&amp;Diagram!$O63,'J1 C - (South) Bishopthorpe Roa'!$A$12:$A$130,"&lt;"&amp;Diagram!$P63),SUMIFS(INDIRECT(ADDRESS(12,3+18*3+(12),,,"J1 C - (South) Bishopthorpe Roa")&amp;":"&amp;ADDRESS(130,3+18*3+(12))),'J1 C - (South) Bishopthorpe Roa'!$A$12:$A$130,"&gt;="&amp;Diagram!$O63,'J1 C - (South) Bishopthorpe Roa'!$A$12:$A$130,"&lt;"&amp;Diagram!$P63)))</f>
        <v>0</v>
      </c>
      <c r="CT63" s="42">
        <f ca="1">IF(OR($I$10="",$O63="",$P63="",$J$39&lt;&gt;"Yes"),0,IF($K$10=0,SUMIFS(INDIRECT(ADDRESS(12,3+18*0+(4),,,"J1 C - (South) Bishopthorpe Roa")&amp;":"&amp;ADDRESS(130,3+18*0+(4))),'J1 C - (South) Bishopthorpe Roa'!$A$12:$A$130,"&gt;="&amp;Diagram!$O63,'J1 C - (South) Bishopthorpe Roa'!$A$12:$A$130,"&lt;"&amp;Diagram!$P63),SUMIFS(INDIRECT(ADDRESS(12,3+18*0+(12),,,"J1 C - (South) Bishopthorpe Roa")&amp;":"&amp;ADDRESS(130,3+18*0+(12))),'J1 C - (South) Bishopthorpe Roa'!$A$12:$A$130,"&gt;="&amp;Diagram!$O63,'J1 C - (South) Bishopthorpe Roa'!$A$12:$A$130,"&lt;"&amp;Diagram!$P63)))</f>
        <v>0</v>
      </c>
      <c r="CU63" s="42">
        <f ca="1">IF(OR($I$10="",$O63="",$P63="",$J$39&lt;&gt;"Yes"),0,IF($K$10=0,SUMIFS(INDIRECT(ADDRESS(12,3+18*0+(4),,,"J1 D - South Bank Avenue")&amp;":"&amp;ADDRESS(130,3+18*0+(4))),'J1 D - South Bank Avenue'!$A$12:$A$130,"&gt;="&amp;Diagram!$O63,'J1 D - South Bank Avenue'!$A$12:$A$130,"&lt;"&amp;Diagram!$P63),SUMIFS(INDIRECT(ADDRESS(12,3+18*0+(12),,,"J1 D - South Bank Avenue")&amp;":"&amp;ADDRESS(130,3+18*0+(12))),'J1 D - South Bank Avenue'!$A$12:$A$130,"&gt;="&amp;Diagram!$O63,'J1 D - South Bank Avenue'!$A$12:$A$130,"&lt;"&amp;Diagram!$P63)))</f>
        <v>0</v>
      </c>
      <c r="CV63" s="42">
        <f ca="1">IF(OR($I$10="",$O63="",$P63="",$J$39&lt;&gt;"Yes"),0,IF($K$10=0,SUMIFS(INDIRECT(ADDRESS(12,3+18*1+(4),,,"J1 D - South Bank Avenue")&amp;":"&amp;ADDRESS(130,3+18*1+(4))),'J1 D - South Bank Avenue'!$A$12:$A$130,"&gt;="&amp;Diagram!$O63,'J1 D - South Bank Avenue'!$A$12:$A$130,"&lt;"&amp;Diagram!$P63),SUMIFS(INDIRECT(ADDRESS(12,3+18*1+(12),,,"J1 D - South Bank Avenue")&amp;":"&amp;ADDRESS(130,3+18*1+(12))),'J1 D - South Bank Avenue'!$A$12:$A$130,"&gt;="&amp;Diagram!$O63,'J1 D - South Bank Avenue'!$A$12:$A$130,"&lt;"&amp;Diagram!$P63)))</f>
        <v>0</v>
      </c>
      <c r="CW63" s="42">
        <f ca="1">IF(OR($I$10="",$O63="",$P63="",$J$39&lt;&gt;"Yes"),0,IF($K$10=0,SUMIFS(INDIRECT(ADDRESS(12,3+18*2+(4),,,"J1 D - South Bank Avenue")&amp;":"&amp;ADDRESS(130,3+18*2+(4))),'J1 D - South Bank Avenue'!$A$12:$A$130,"&gt;="&amp;Diagram!$O63,'J1 D - South Bank Avenue'!$A$12:$A$130,"&lt;"&amp;Diagram!$P63),SUMIFS(INDIRECT(ADDRESS(12,3+18*2+(12),,,"J1 D - South Bank Avenue")&amp;":"&amp;ADDRESS(130,3+18*2+(12))),'J1 D - South Bank Avenue'!$A$12:$A$130,"&gt;="&amp;Diagram!$O63,'J1 D - South Bank Avenue'!$A$12:$A$130,"&lt;"&amp;Diagram!$P63)))</f>
        <v>0</v>
      </c>
      <c r="CX63" s="42">
        <f ca="1">IF(OR($I$10="",$O63="",$P63="",$J$39&lt;&gt;"Yes"),0,IF($K$10=0,SUMIFS(INDIRECT(ADDRESS(12,3+18*3+(4),,,"J1 D - South Bank Avenue")&amp;":"&amp;ADDRESS(130,3+18*3+(4))),'J1 D - South Bank Avenue'!$A$12:$A$130,"&gt;="&amp;Diagram!$O63,'J1 D - South Bank Avenue'!$A$12:$A$130,"&lt;"&amp;Diagram!$P63),SUMIFS(INDIRECT(ADDRESS(12,3+18*3+(12),,,"J1 D - South Bank Avenue")&amp;":"&amp;ADDRESS(130,3+18*3+(12))),'J1 D - South Bank Avenue'!$A$12:$A$130,"&gt;="&amp;Diagram!$O63,'J1 D - South Bank Avenue'!$A$12:$A$130,"&lt;"&amp;Diagram!$P63)))</f>
        <v>0</v>
      </c>
      <c r="CY63" s="42">
        <f t="shared" ca="1" si="6"/>
        <v>131</v>
      </c>
      <c r="CZ63" s="42">
        <f ca="1">IF(OR($I$10="",$O63="",$P63="",$J$40&lt;&gt;"Yes"),0,IF($K$10=0,SUMIFS(INDIRECT(ADDRESS(12,3+18*3+(5),,,"J1 A - (North) Bishopthorpe Roa")&amp;":"&amp;ADDRESS(130,3+18*3+(5))),'J1 A - (North) Bishopthorpe Roa'!$A$12:$A$130,"&gt;="&amp;Diagram!$O63,'J1 A - (North) Bishopthorpe Roa'!$A$12:$A$130,"&lt;"&amp;Diagram!$P63),SUMIFS(INDIRECT(ADDRESS(12,3+18*3+(13),,,"J1 A - (North) Bishopthorpe Roa")&amp;":"&amp;ADDRESS(130,3+18*3+(13))),'J1 A - (North) Bishopthorpe Roa'!$A$12:$A$130,"&gt;="&amp;Diagram!$O63,'J1 A - (North) Bishopthorpe Roa'!$A$12:$A$130,"&lt;"&amp;Diagram!$P63)))</f>
        <v>0</v>
      </c>
      <c r="DA63" s="42">
        <f ca="1">IF(OR($I$10="",$O63="",$P63="",$J$40&lt;&gt;"Yes"),0,IF($K$10=0,SUMIFS(INDIRECT(ADDRESS(12,3+18*0+(5),,,"J1 A - (North) Bishopthorpe Roa")&amp;":"&amp;ADDRESS(130,3+18*0+(5))),'J1 A - (North) Bishopthorpe Roa'!$A$12:$A$130,"&gt;="&amp;Diagram!$O63,'J1 A - (North) Bishopthorpe Roa'!$A$12:$A$130,"&lt;"&amp;Diagram!$P63),SUMIFS(INDIRECT(ADDRESS(12,3+18*0+(13),,,"J1 A - (North) Bishopthorpe Roa")&amp;":"&amp;ADDRESS(130,3+18*0+(13))),'J1 A - (North) Bishopthorpe Roa'!$A$12:$A$130,"&gt;="&amp;Diagram!$O63,'J1 A - (North) Bishopthorpe Roa'!$A$12:$A$130,"&lt;"&amp;Diagram!$P63)))</f>
        <v>20</v>
      </c>
      <c r="DB63" s="42">
        <f ca="1">IF(OR($I$10="",$O63="",$P63="",$J$40&lt;&gt;"Yes"),0,IF($K$10=0,SUMIFS(INDIRECT(ADDRESS(12,3+18*1+(5),,,"J1 A - (North) Bishopthorpe Roa")&amp;":"&amp;ADDRESS(130,3+18*1+(5))),'J1 A - (North) Bishopthorpe Roa'!$A$12:$A$130,"&gt;="&amp;Diagram!$O63,'J1 A - (North) Bishopthorpe Roa'!$A$12:$A$130,"&lt;"&amp;Diagram!$P63),SUMIFS(INDIRECT(ADDRESS(12,3+18*1+(13),,,"J1 A - (North) Bishopthorpe Roa")&amp;":"&amp;ADDRESS(130,3+18*1+(13))),'J1 A - (North) Bishopthorpe Roa'!$A$12:$A$130,"&gt;="&amp;Diagram!$O63,'J1 A - (North) Bishopthorpe Roa'!$A$12:$A$130,"&lt;"&amp;Diagram!$P63)))</f>
        <v>21</v>
      </c>
      <c r="DC63" s="42">
        <f ca="1">IF(OR($I$10="",$O63="",$P63="",$J$40&lt;&gt;"Yes"),0,IF($K$10=0,SUMIFS(INDIRECT(ADDRESS(12,3+18*2+(5),,,"J1 A - (North) Bishopthorpe Roa")&amp;":"&amp;ADDRESS(130,3+18*2+(5))),'J1 A - (North) Bishopthorpe Roa'!$A$12:$A$130,"&gt;="&amp;Diagram!$O63,'J1 A - (North) Bishopthorpe Roa'!$A$12:$A$130,"&lt;"&amp;Diagram!$P63),SUMIFS(INDIRECT(ADDRESS(12,3+18*2+(13),,,"J1 A - (North) Bishopthorpe Roa")&amp;":"&amp;ADDRESS(130,3+18*2+(13))),'J1 A - (North) Bishopthorpe Roa'!$A$12:$A$130,"&gt;="&amp;Diagram!$O63,'J1 A - (North) Bishopthorpe Roa'!$A$12:$A$130,"&lt;"&amp;Diagram!$P63)))</f>
        <v>5</v>
      </c>
      <c r="DD63" s="42">
        <f ca="1">IF(OR($I$10="",$O63="",$P63="",$J$40&lt;&gt;"Yes"),0,IF($K$10=0,SUMIFS(INDIRECT(ADDRESS(12,3+18*2+(5),,,"J1 B - Butcher Terrace")&amp;":"&amp;ADDRESS(130,3+18*2+(5))),'J1 B - Butcher Terrace'!$A$12:$A$130,"&gt;="&amp;Diagram!$O63,'J1 B - Butcher Terrace'!$A$12:$A$130,"&lt;"&amp;Diagram!$P63),SUMIFS(INDIRECT(ADDRESS(12,3+18*2+(13),,,"J1 B - Butcher Terrace")&amp;":"&amp;ADDRESS(130,3+18*2+(13))),'J1 B - Butcher Terrace'!$A$12:$A$130,"&gt;="&amp;Diagram!$O63,'J1 B - Butcher Terrace'!$A$12:$A$130,"&lt;"&amp;Diagram!$P63)))</f>
        <v>12</v>
      </c>
      <c r="DE63" s="42">
        <f ca="1">IF(OR($I$10="",$O63="",$P63="",$J$40&lt;&gt;"Yes"),0,IF($K$10=0,SUMIFS(INDIRECT(ADDRESS(12,3+18*3+(5),,,"J1 B - Butcher Terrace")&amp;":"&amp;ADDRESS(130,3+18*3+(5))),'J1 B - Butcher Terrace'!$A$12:$A$130,"&gt;="&amp;Diagram!$O63,'J1 B - Butcher Terrace'!$A$12:$A$130,"&lt;"&amp;Diagram!$P63),SUMIFS(INDIRECT(ADDRESS(12,3+18*3+(13),,,"J1 B - Butcher Terrace")&amp;":"&amp;ADDRESS(130,3+18*3+(13))),'J1 B - Butcher Terrace'!$A$12:$A$130,"&gt;="&amp;Diagram!$O63,'J1 B - Butcher Terrace'!$A$12:$A$130,"&lt;"&amp;Diagram!$P63)))</f>
        <v>0</v>
      </c>
      <c r="DF63" s="42">
        <f ca="1">IF(OR($I$10="",$O63="",$P63="",$J$40&lt;&gt;"Yes"),0,IF($K$10=0,SUMIFS(INDIRECT(ADDRESS(12,3+18*0+(5),,,"J1 B - Butcher Terrace")&amp;":"&amp;ADDRESS(130,3+18*0+(5))),'J1 B - Butcher Terrace'!$A$12:$A$130,"&gt;="&amp;Diagram!$O63,'J1 B - Butcher Terrace'!$A$12:$A$130,"&lt;"&amp;Diagram!$P63),SUMIFS(INDIRECT(ADDRESS(12,3+18*0+(13),,,"J1 B - Butcher Terrace")&amp;":"&amp;ADDRESS(130,3+18*0+(13))),'J1 B - Butcher Terrace'!$A$12:$A$130,"&gt;="&amp;Diagram!$O63,'J1 B - Butcher Terrace'!$A$12:$A$130,"&lt;"&amp;Diagram!$P63)))</f>
        <v>9</v>
      </c>
      <c r="DG63" s="42">
        <f ca="1">IF(OR($I$10="",$O63="",$P63="",$J$40&lt;&gt;"Yes"),0,IF($K$10=0,SUMIFS(INDIRECT(ADDRESS(12,3+18*1+(5),,,"J1 B - Butcher Terrace")&amp;":"&amp;ADDRESS(130,3+18*1+(5))),'J1 B - Butcher Terrace'!$A$12:$A$130,"&gt;="&amp;Diagram!$O63,'J1 B - Butcher Terrace'!$A$12:$A$130,"&lt;"&amp;Diagram!$P63),SUMIFS(INDIRECT(ADDRESS(12,3+18*1+(13),,,"J1 B - Butcher Terrace")&amp;":"&amp;ADDRESS(130,3+18*1+(13))),'J1 B - Butcher Terrace'!$A$12:$A$130,"&gt;="&amp;Diagram!$O63,'J1 B - Butcher Terrace'!$A$12:$A$130,"&lt;"&amp;Diagram!$P63)))</f>
        <v>34</v>
      </c>
      <c r="DH63" s="42">
        <f ca="1">IF(OR($I$10="",$O63="",$P63="",$J$40&lt;&gt;"Yes"),0,IF($K$10=0,SUMIFS(INDIRECT(ADDRESS(12,3+18*1+(5),,,"J1 C - (South) Bishopthorpe Roa")&amp;":"&amp;ADDRESS(130,3+18*1+(5))),'J1 C - (South) Bishopthorpe Roa'!$A$12:$A$130,"&gt;="&amp;Diagram!$O63,'J1 C - (South) Bishopthorpe Roa'!$A$12:$A$130,"&lt;"&amp;Diagram!$P63),SUMIFS(INDIRECT(ADDRESS(12,3+18*1+(13),,,"J1 C - (South) Bishopthorpe Roa")&amp;":"&amp;ADDRESS(130,3+18*1+(13))),'J1 C - (South) Bishopthorpe Roa'!$A$12:$A$130,"&gt;="&amp;Diagram!$O63,'J1 C - (South) Bishopthorpe Roa'!$A$12:$A$130,"&lt;"&amp;Diagram!$P63)))</f>
        <v>11</v>
      </c>
      <c r="DI63" s="42">
        <f ca="1">IF(OR($I$10="",$O63="",$P63="",$J$40&lt;&gt;"Yes"),0,IF($K$10=0,SUMIFS(INDIRECT(ADDRESS(12,3+18*2+(5),,,"J1 C - (South) Bishopthorpe Roa")&amp;":"&amp;ADDRESS(130,3+18*2+(5))),'J1 C - (South) Bishopthorpe Roa'!$A$12:$A$130,"&gt;="&amp;Diagram!$O63,'J1 C - (South) Bishopthorpe Roa'!$A$12:$A$130,"&lt;"&amp;Diagram!$P63),SUMIFS(INDIRECT(ADDRESS(12,3+18*2+(13),,,"J1 C - (South) Bishopthorpe Roa")&amp;":"&amp;ADDRESS(130,3+18*2+(13))),'J1 C - (South) Bishopthorpe Roa'!$A$12:$A$130,"&gt;="&amp;Diagram!$O63,'J1 C - (South) Bishopthorpe Roa'!$A$12:$A$130,"&lt;"&amp;Diagram!$P63)))</f>
        <v>5</v>
      </c>
      <c r="DJ63" s="42">
        <f ca="1">IF(OR($I$10="",$O63="",$P63="",$J$40&lt;&gt;"Yes"),0,IF($K$10=0,SUMIFS(INDIRECT(ADDRESS(12,3+18*3+(5),,,"J1 C - (South) Bishopthorpe Roa")&amp;":"&amp;ADDRESS(130,3+18*3+(5))),'J1 C - (South) Bishopthorpe Roa'!$A$12:$A$130,"&gt;="&amp;Diagram!$O63,'J1 C - (South) Bishopthorpe Roa'!$A$12:$A$130,"&lt;"&amp;Diagram!$P63),SUMIFS(INDIRECT(ADDRESS(12,3+18*3+(13),,,"J1 C - (South) Bishopthorpe Roa")&amp;":"&amp;ADDRESS(130,3+18*3+(13))),'J1 C - (South) Bishopthorpe Roa'!$A$12:$A$130,"&gt;="&amp;Diagram!$O63,'J1 C - (South) Bishopthorpe Roa'!$A$12:$A$130,"&lt;"&amp;Diagram!$P63)))</f>
        <v>0</v>
      </c>
      <c r="DK63" s="42">
        <f ca="1">IF(OR($I$10="",$O63="",$P63="",$J$40&lt;&gt;"Yes"),0,IF($K$10=0,SUMIFS(INDIRECT(ADDRESS(12,3+18*0+(5),,,"J1 C - (South) Bishopthorpe Roa")&amp;":"&amp;ADDRESS(130,3+18*0+(5))),'J1 C - (South) Bishopthorpe Roa'!$A$12:$A$130,"&gt;="&amp;Diagram!$O63,'J1 C - (South) Bishopthorpe Roa'!$A$12:$A$130,"&lt;"&amp;Diagram!$P63),SUMIFS(INDIRECT(ADDRESS(12,3+18*0+(13),,,"J1 C - (South) Bishopthorpe Roa")&amp;":"&amp;ADDRESS(130,3+18*0+(13))),'J1 C - (South) Bishopthorpe Roa'!$A$12:$A$130,"&gt;="&amp;Diagram!$O63,'J1 C - (South) Bishopthorpe Roa'!$A$12:$A$130,"&lt;"&amp;Diagram!$P63)))</f>
        <v>0</v>
      </c>
      <c r="DL63" s="42">
        <f ca="1">IF(OR($I$10="",$O63="",$P63="",$J$40&lt;&gt;"Yes"),0,IF($K$10=0,SUMIFS(INDIRECT(ADDRESS(12,3+18*0+(5),,,"J1 D - South Bank Avenue")&amp;":"&amp;ADDRESS(130,3+18*0+(5))),'J1 D - South Bank Avenue'!$A$12:$A$130,"&gt;="&amp;Diagram!$O63,'J1 D - South Bank Avenue'!$A$12:$A$130,"&lt;"&amp;Diagram!$P63),SUMIFS(INDIRECT(ADDRESS(12,3+18*0+(13),,,"J1 D - South Bank Avenue")&amp;":"&amp;ADDRESS(130,3+18*0+(13))),'J1 D - South Bank Avenue'!$A$12:$A$130,"&gt;="&amp;Diagram!$O63,'J1 D - South Bank Avenue'!$A$12:$A$130,"&lt;"&amp;Diagram!$P63)))</f>
        <v>6</v>
      </c>
      <c r="DM63" s="42">
        <f ca="1">IF(OR($I$10="",$O63="",$P63="",$J$40&lt;&gt;"Yes"),0,IF($K$10=0,SUMIFS(INDIRECT(ADDRESS(12,3+18*1+(5),,,"J1 D - South Bank Avenue")&amp;":"&amp;ADDRESS(130,3+18*1+(5))),'J1 D - South Bank Avenue'!$A$12:$A$130,"&gt;="&amp;Diagram!$O63,'J1 D - South Bank Avenue'!$A$12:$A$130,"&lt;"&amp;Diagram!$P63),SUMIFS(INDIRECT(ADDRESS(12,3+18*1+(13),,,"J1 D - South Bank Avenue")&amp;":"&amp;ADDRESS(130,3+18*1+(13))),'J1 D - South Bank Avenue'!$A$12:$A$130,"&gt;="&amp;Diagram!$O63,'J1 D - South Bank Avenue'!$A$12:$A$130,"&lt;"&amp;Diagram!$P63)))</f>
        <v>8</v>
      </c>
      <c r="DN63" s="42">
        <f ca="1">IF(OR($I$10="",$O63="",$P63="",$J$40&lt;&gt;"Yes"),0,IF($K$10=0,SUMIFS(INDIRECT(ADDRESS(12,3+18*2+(5),,,"J1 D - South Bank Avenue")&amp;":"&amp;ADDRESS(130,3+18*2+(5))),'J1 D - South Bank Avenue'!$A$12:$A$130,"&gt;="&amp;Diagram!$O63,'J1 D - South Bank Avenue'!$A$12:$A$130,"&lt;"&amp;Diagram!$P63),SUMIFS(INDIRECT(ADDRESS(12,3+18*2+(13),,,"J1 D - South Bank Avenue")&amp;":"&amp;ADDRESS(130,3+18*2+(13))),'J1 D - South Bank Avenue'!$A$12:$A$130,"&gt;="&amp;Diagram!$O63,'J1 D - South Bank Avenue'!$A$12:$A$130,"&lt;"&amp;Diagram!$P63)))</f>
        <v>0</v>
      </c>
      <c r="DO63" s="42">
        <f ca="1">IF(OR($I$10="",$O63="",$P63="",$J$40&lt;&gt;"Yes"),0,IF($K$10=0,SUMIFS(INDIRECT(ADDRESS(12,3+18*3+(5),,,"J1 D - South Bank Avenue")&amp;":"&amp;ADDRESS(130,3+18*3+(5))),'J1 D - South Bank Avenue'!$A$12:$A$130,"&gt;="&amp;Diagram!$O63,'J1 D - South Bank Avenue'!$A$12:$A$130,"&lt;"&amp;Diagram!$P63),SUMIFS(INDIRECT(ADDRESS(12,3+18*3+(13),,,"J1 D - South Bank Avenue")&amp;":"&amp;ADDRESS(130,3+18*3+(13))),'J1 D - South Bank Avenue'!$A$12:$A$130,"&gt;="&amp;Diagram!$O63,'J1 D - South Bank Avenue'!$A$12:$A$130,"&lt;"&amp;Diagram!$P63)))</f>
        <v>0</v>
      </c>
      <c r="DP63" s="42">
        <f t="shared" ca="1" si="7"/>
        <v>6</v>
      </c>
      <c r="DQ63" s="42">
        <f ca="1">IF(OR($I$10="",$O63="",$P63="",$J$41&lt;&gt;"Yes"),0,IF($K$10=0,SUMIFS(INDIRECT(ADDRESS(12,3+18*3+(6),,,"J1 A - (North) Bishopthorpe Roa")&amp;":"&amp;ADDRESS(130,3+18*3+(6))),'J1 A - (North) Bishopthorpe Roa'!$A$12:$A$130,"&gt;="&amp;Diagram!$O63,'J1 A - (North) Bishopthorpe Roa'!$A$12:$A$130,"&lt;"&amp;Diagram!$P63),SUMIFS(INDIRECT(ADDRESS(12,3+18*3+(14),,,"J1 A - (North) Bishopthorpe Roa")&amp;":"&amp;ADDRESS(130,3+18*3+(14))),'J1 A - (North) Bishopthorpe Roa'!$A$12:$A$130,"&gt;="&amp;Diagram!$O63,'J1 A - (North) Bishopthorpe Roa'!$A$12:$A$130,"&lt;"&amp;Diagram!$P63)))</f>
        <v>0</v>
      </c>
      <c r="DR63" s="42">
        <f ca="1">IF(OR($I$10="",$O63="",$P63="",$J$41&lt;&gt;"Yes"),0,IF($K$10=0,SUMIFS(INDIRECT(ADDRESS(12,3+18*0+(6),,,"J1 A - (North) Bishopthorpe Roa")&amp;":"&amp;ADDRESS(130,3+18*0+(6))),'J1 A - (North) Bishopthorpe Roa'!$A$12:$A$130,"&gt;="&amp;Diagram!$O63,'J1 A - (North) Bishopthorpe Roa'!$A$12:$A$130,"&lt;"&amp;Diagram!$P63),SUMIFS(INDIRECT(ADDRESS(12,3+18*0+(14),,,"J1 A - (North) Bishopthorpe Roa")&amp;":"&amp;ADDRESS(130,3+18*0+(14))),'J1 A - (North) Bishopthorpe Roa'!$A$12:$A$130,"&gt;="&amp;Diagram!$O63,'J1 A - (North) Bishopthorpe Roa'!$A$12:$A$130,"&lt;"&amp;Diagram!$P63)))</f>
        <v>1</v>
      </c>
      <c r="DS63" s="42">
        <f ca="1">IF(OR($I$10="",$O63="",$P63="",$J$41&lt;&gt;"Yes"),0,IF($K$10=0,SUMIFS(INDIRECT(ADDRESS(12,3+18*1+(6),,,"J1 A - (North) Bishopthorpe Roa")&amp;":"&amp;ADDRESS(130,3+18*1+(6))),'J1 A - (North) Bishopthorpe Roa'!$A$12:$A$130,"&gt;="&amp;Diagram!$O63,'J1 A - (North) Bishopthorpe Roa'!$A$12:$A$130,"&lt;"&amp;Diagram!$P63),SUMIFS(INDIRECT(ADDRESS(12,3+18*1+(14),,,"J1 A - (North) Bishopthorpe Roa")&amp;":"&amp;ADDRESS(130,3+18*1+(14))),'J1 A - (North) Bishopthorpe Roa'!$A$12:$A$130,"&gt;="&amp;Diagram!$O63,'J1 A - (North) Bishopthorpe Roa'!$A$12:$A$130,"&lt;"&amp;Diagram!$P63)))</f>
        <v>3</v>
      </c>
      <c r="DT63" s="42">
        <f ca="1">IF(OR($I$10="",$O63="",$P63="",$J$41&lt;&gt;"Yes"),0,IF($K$10=0,SUMIFS(INDIRECT(ADDRESS(12,3+18*2+(6),,,"J1 A - (North) Bishopthorpe Roa")&amp;":"&amp;ADDRESS(130,3+18*2+(6))),'J1 A - (North) Bishopthorpe Roa'!$A$12:$A$130,"&gt;="&amp;Diagram!$O63,'J1 A - (North) Bishopthorpe Roa'!$A$12:$A$130,"&lt;"&amp;Diagram!$P63),SUMIFS(INDIRECT(ADDRESS(12,3+18*2+(14),,,"J1 A - (North) Bishopthorpe Roa")&amp;":"&amp;ADDRESS(130,3+18*2+(14))),'J1 A - (North) Bishopthorpe Roa'!$A$12:$A$130,"&gt;="&amp;Diagram!$O63,'J1 A - (North) Bishopthorpe Roa'!$A$12:$A$130,"&lt;"&amp;Diagram!$P63)))</f>
        <v>0</v>
      </c>
      <c r="DU63" s="42">
        <f ca="1">IF(OR($I$10="",$O63="",$P63="",$J$41&lt;&gt;"Yes"),0,IF($K$10=0,SUMIFS(INDIRECT(ADDRESS(12,3+18*2+(6),,,"J1 B - Butcher Terrace")&amp;":"&amp;ADDRESS(130,3+18*2+(6))),'J1 B - Butcher Terrace'!$A$12:$A$130,"&gt;="&amp;Diagram!$O63,'J1 B - Butcher Terrace'!$A$12:$A$130,"&lt;"&amp;Diagram!$P63),SUMIFS(INDIRECT(ADDRESS(12,3+18*2+(14),,,"J1 B - Butcher Terrace")&amp;":"&amp;ADDRESS(130,3+18*2+(14))),'J1 B - Butcher Terrace'!$A$12:$A$130,"&gt;="&amp;Diagram!$O63,'J1 B - Butcher Terrace'!$A$12:$A$130,"&lt;"&amp;Diagram!$P63)))</f>
        <v>0</v>
      </c>
      <c r="DV63" s="42">
        <f ca="1">IF(OR($I$10="",$O63="",$P63="",$J$41&lt;&gt;"Yes"),0,IF($K$10=0,SUMIFS(INDIRECT(ADDRESS(12,3+18*3+(6),,,"J1 B - Butcher Terrace")&amp;":"&amp;ADDRESS(130,3+18*3+(6))),'J1 B - Butcher Terrace'!$A$12:$A$130,"&gt;="&amp;Diagram!$O63,'J1 B - Butcher Terrace'!$A$12:$A$130,"&lt;"&amp;Diagram!$P63),SUMIFS(INDIRECT(ADDRESS(12,3+18*3+(14),,,"J1 B - Butcher Terrace")&amp;":"&amp;ADDRESS(130,3+18*3+(14))),'J1 B - Butcher Terrace'!$A$12:$A$130,"&gt;="&amp;Diagram!$O63,'J1 B - Butcher Terrace'!$A$12:$A$130,"&lt;"&amp;Diagram!$P63)))</f>
        <v>0</v>
      </c>
      <c r="DW63" s="42">
        <f ca="1">IF(OR($I$10="",$O63="",$P63="",$J$41&lt;&gt;"Yes"),0,IF($K$10=0,SUMIFS(INDIRECT(ADDRESS(12,3+18*0+(6),,,"J1 B - Butcher Terrace")&amp;":"&amp;ADDRESS(130,3+18*0+(6))),'J1 B - Butcher Terrace'!$A$12:$A$130,"&gt;="&amp;Diagram!$O63,'J1 B - Butcher Terrace'!$A$12:$A$130,"&lt;"&amp;Diagram!$P63),SUMIFS(INDIRECT(ADDRESS(12,3+18*0+(14),,,"J1 B - Butcher Terrace")&amp;":"&amp;ADDRESS(130,3+18*0+(14))),'J1 B - Butcher Terrace'!$A$12:$A$130,"&gt;="&amp;Diagram!$O63,'J1 B - Butcher Terrace'!$A$12:$A$130,"&lt;"&amp;Diagram!$P63)))</f>
        <v>0</v>
      </c>
      <c r="DX63" s="42">
        <f ca="1">IF(OR($I$10="",$O63="",$P63="",$J$41&lt;&gt;"Yes"),0,IF($K$10=0,SUMIFS(INDIRECT(ADDRESS(12,3+18*1+(6),,,"J1 B - Butcher Terrace")&amp;":"&amp;ADDRESS(130,3+18*1+(6))),'J1 B - Butcher Terrace'!$A$12:$A$130,"&gt;="&amp;Diagram!$O63,'J1 B - Butcher Terrace'!$A$12:$A$130,"&lt;"&amp;Diagram!$P63),SUMIFS(INDIRECT(ADDRESS(12,3+18*1+(14),,,"J1 B - Butcher Terrace")&amp;":"&amp;ADDRESS(130,3+18*1+(14))),'J1 B - Butcher Terrace'!$A$12:$A$130,"&gt;="&amp;Diagram!$O63,'J1 B - Butcher Terrace'!$A$12:$A$130,"&lt;"&amp;Diagram!$P63)))</f>
        <v>0</v>
      </c>
      <c r="DY63" s="42">
        <f ca="1">IF(OR($I$10="",$O63="",$P63="",$J$41&lt;&gt;"Yes"),0,IF($K$10=0,SUMIFS(INDIRECT(ADDRESS(12,3+18*1+(6),,,"J1 C - (South) Bishopthorpe Roa")&amp;":"&amp;ADDRESS(130,3+18*1+(6))),'J1 C - (South) Bishopthorpe Roa'!$A$12:$A$130,"&gt;="&amp;Diagram!$O63,'J1 C - (South) Bishopthorpe Roa'!$A$12:$A$130,"&lt;"&amp;Diagram!$P63),SUMIFS(INDIRECT(ADDRESS(12,3+18*1+(14),,,"J1 C - (South) Bishopthorpe Roa")&amp;":"&amp;ADDRESS(130,3+18*1+(14))),'J1 C - (South) Bishopthorpe Roa'!$A$12:$A$130,"&gt;="&amp;Diagram!$O63,'J1 C - (South) Bishopthorpe Roa'!$A$12:$A$130,"&lt;"&amp;Diagram!$P63)))</f>
        <v>2</v>
      </c>
      <c r="DZ63" s="42">
        <f ca="1">IF(OR($I$10="",$O63="",$P63="",$J$41&lt;&gt;"Yes"),0,IF($K$10=0,SUMIFS(INDIRECT(ADDRESS(12,3+18*2+(6),,,"J1 C - (South) Bishopthorpe Roa")&amp;":"&amp;ADDRESS(130,3+18*2+(6))),'J1 C - (South) Bishopthorpe Roa'!$A$12:$A$130,"&gt;="&amp;Diagram!$O63,'J1 C - (South) Bishopthorpe Roa'!$A$12:$A$130,"&lt;"&amp;Diagram!$P63),SUMIFS(INDIRECT(ADDRESS(12,3+18*2+(14),,,"J1 C - (South) Bishopthorpe Roa")&amp;":"&amp;ADDRESS(130,3+18*2+(14))),'J1 C - (South) Bishopthorpe Roa'!$A$12:$A$130,"&gt;="&amp;Diagram!$O63,'J1 C - (South) Bishopthorpe Roa'!$A$12:$A$130,"&lt;"&amp;Diagram!$P63)))</f>
        <v>0</v>
      </c>
      <c r="EA63" s="42">
        <f ca="1">IF(OR($I$10="",$O63="",$P63="",$J$41&lt;&gt;"Yes"),0,IF($K$10=0,SUMIFS(INDIRECT(ADDRESS(12,3+18*3+(6),,,"J1 C - (South) Bishopthorpe Roa")&amp;":"&amp;ADDRESS(130,3+18*3+(6))),'J1 C - (South) Bishopthorpe Roa'!$A$12:$A$130,"&gt;="&amp;Diagram!$O63,'J1 C - (South) Bishopthorpe Roa'!$A$12:$A$130,"&lt;"&amp;Diagram!$P63),SUMIFS(INDIRECT(ADDRESS(12,3+18*3+(14),,,"J1 C - (South) Bishopthorpe Roa")&amp;":"&amp;ADDRESS(130,3+18*3+(14))),'J1 C - (South) Bishopthorpe Roa'!$A$12:$A$130,"&gt;="&amp;Diagram!$O63,'J1 C - (South) Bishopthorpe Roa'!$A$12:$A$130,"&lt;"&amp;Diagram!$P63)))</f>
        <v>0</v>
      </c>
      <c r="EB63" s="42">
        <f ca="1">IF(OR($I$10="",$O63="",$P63="",$J$41&lt;&gt;"Yes"),0,IF($K$10=0,SUMIFS(INDIRECT(ADDRESS(12,3+18*0+(6),,,"J1 C - (South) Bishopthorpe Roa")&amp;":"&amp;ADDRESS(130,3+18*0+(6))),'J1 C - (South) Bishopthorpe Roa'!$A$12:$A$130,"&gt;="&amp;Diagram!$O63,'J1 C - (South) Bishopthorpe Roa'!$A$12:$A$130,"&lt;"&amp;Diagram!$P63),SUMIFS(INDIRECT(ADDRESS(12,3+18*0+(14),,,"J1 C - (South) Bishopthorpe Roa")&amp;":"&amp;ADDRESS(130,3+18*0+(14))),'J1 C - (South) Bishopthorpe Roa'!$A$12:$A$130,"&gt;="&amp;Diagram!$O63,'J1 C - (South) Bishopthorpe Roa'!$A$12:$A$130,"&lt;"&amp;Diagram!$P63)))</f>
        <v>0</v>
      </c>
      <c r="EC63" s="42">
        <f ca="1">IF(OR($I$10="",$O63="",$P63="",$J$41&lt;&gt;"Yes"),0,IF($K$10=0,SUMIFS(INDIRECT(ADDRESS(12,3+18*0+(6),,,"J1 D - South Bank Avenue")&amp;":"&amp;ADDRESS(130,3+18*0+(6))),'J1 D - South Bank Avenue'!$A$12:$A$130,"&gt;="&amp;Diagram!$O63,'J1 D - South Bank Avenue'!$A$12:$A$130,"&lt;"&amp;Diagram!$P63),SUMIFS(INDIRECT(ADDRESS(12,3+18*0+(14),,,"J1 D - South Bank Avenue")&amp;":"&amp;ADDRESS(130,3+18*0+(14))),'J1 D - South Bank Avenue'!$A$12:$A$130,"&gt;="&amp;Diagram!$O63,'J1 D - South Bank Avenue'!$A$12:$A$130,"&lt;"&amp;Diagram!$P63)))</f>
        <v>0</v>
      </c>
      <c r="ED63" s="42">
        <f ca="1">IF(OR($I$10="",$O63="",$P63="",$J$41&lt;&gt;"Yes"),0,IF($K$10=0,SUMIFS(INDIRECT(ADDRESS(12,3+18*1+(6),,,"J1 D - South Bank Avenue")&amp;":"&amp;ADDRESS(130,3+18*1+(6))),'J1 D - South Bank Avenue'!$A$12:$A$130,"&gt;="&amp;Diagram!$O63,'J1 D - South Bank Avenue'!$A$12:$A$130,"&lt;"&amp;Diagram!$P63),SUMIFS(INDIRECT(ADDRESS(12,3+18*1+(14),,,"J1 D - South Bank Avenue")&amp;":"&amp;ADDRESS(130,3+18*1+(14))),'J1 D - South Bank Avenue'!$A$12:$A$130,"&gt;="&amp;Diagram!$O63,'J1 D - South Bank Avenue'!$A$12:$A$130,"&lt;"&amp;Diagram!$P63)))</f>
        <v>0</v>
      </c>
      <c r="EE63" s="42">
        <f ca="1">IF(OR($I$10="",$O63="",$P63="",$J$41&lt;&gt;"Yes"),0,IF($K$10=0,SUMIFS(INDIRECT(ADDRESS(12,3+18*2+(6),,,"J1 D - South Bank Avenue")&amp;":"&amp;ADDRESS(130,3+18*2+(6))),'J1 D - South Bank Avenue'!$A$12:$A$130,"&gt;="&amp;Diagram!$O63,'J1 D - South Bank Avenue'!$A$12:$A$130,"&lt;"&amp;Diagram!$P63),SUMIFS(INDIRECT(ADDRESS(12,3+18*2+(14),,,"J1 D - South Bank Avenue")&amp;":"&amp;ADDRESS(130,3+18*2+(14))),'J1 D - South Bank Avenue'!$A$12:$A$130,"&gt;="&amp;Diagram!$O63,'J1 D - South Bank Avenue'!$A$12:$A$130,"&lt;"&amp;Diagram!$P63)))</f>
        <v>0</v>
      </c>
      <c r="EF63" s="42">
        <f ca="1">IF(OR($I$10="",$O63="",$P63="",$J$41&lt;&gt;"Yes"),0,IF($K$10=0,SUMIFS(INDIRECT(ADDRESS(12,3+18*3+(6),,,"J1 D - South Bank Avenue")&amp;":"&amp;ADDRESS(130,3+18*3+(6))),'J1 D - South Bank Avenue'!$A$12:$A$130,"&gt;="&amp;Diagram!$O63,'J1 D - South Bank Avenue'!$A$12:$A$130,"&lt;"&amp;Diagram!$P63),SUMIFS(INDIRECT(ADDRESS(12,3+18*3+(14),,,"J1 D - South Bank Avenue")&amp;":"&amp;ADDRESS(130,3+18*3+(14))),'J1 D - South Bank Avenue'!$A$12:$A$130,"&gt;="&amp;Diagram!$O63,'J1 D - South Bank Avenue'!$A$12:$A$130,"&lt;"&amp;Diagram!$P63)))</f>
        <v>0</v>
      </c>
      <c r="EG63" s="42">
        <f t="shared" ca="1" si="8"/>
        <v>2</v>
      </c>
      <c r="EH63" s="42">
        <f ca="1">IF(OR($I$10="",$O63="",$P63="",$J$42&lt;&gt;"Yes"),0,IF($K$10=0,SUMIFS(INDIRECT(ADDRESS(12,3+18*3+(7),,,"J1 A - (North) Bishopthorpe Roa")&amp;":"&amp;ADDRESS(130,3+18*3+(7))),'J1 A - (North) Bishopthorpe Roa'!$A$12:$A$130,"&gt;="&amp;Diagram!$O63,'J1 A - (North) Bishopthorpe Roa'!$A$12:$A$130,"&lt;"&amp;Diagram!$P63),SUMIFS(INDIRECT(ADDRESS(12,3+18*3+(15),,,"J1 A - (North) Bishopthorpe Roa")&amp;":"&amp;ADDRESS(130,3+18*3+(15))),'J1 A - (North) Bishopthorpe Roa'!$A$12:$A$130,"&gt;="&amp;Diagram!$O63,'J1 A - (North) Bishopthorpe Roa'!$A$12:$A$130,"&lt;"&amp;Diagram!$P63)))</f>
        <v>0</v>
      </c>
      <c r="EI63" s="42">
        <f ca="1">IF(OR($I$10="",$O63="",$P63="",$J$42&lt;&gt;"Yes"),0,IF($K$10=0,SUMIFS(INDIRECT(ADDRESS(12,3+18*0+(7),,,"J1 A - (North) Bishopthorpe Roa")&amp;":"&amp;ADDRESS(130,3+18*0+(7))),'J1 A - (North) Bishopthorpe Roa'!$A$12:$A$130,"&gt;="&amp;Diagram!$O63,'J1 A - (North) Bishopthorpe Roa'!$A$12:$A$130,"&lt;"&amp;Diagram!$P63),SUMIFS(INDIRECT(ADDRESS(12,3+18*0+(15),,,"J1 A - (North) Bishopthorpe Roa")&amp;":"&amp;ADDRESS(130,3+18*0+(15))),'J1 A - (North) Bishopthorpe Roa'!$A$12:$A$130,"&gt;="&amp;Diagram!$O63,'J1 A - (North) Bishopthorpe Roa'!$A$12:$A$130,"&lt;"&amp;Diagram!$P63)))</f>
        <v>2</v>
      </c>
      <c r="EJ63" s="42">
        <f ca="1">IF(OR($I$10="",$O63="",$P63="",$J$42&lt;&gt;"Yes"),0,IF($K$10=0,SUMIFS(INDIRECT(ADDRESS(12,3+18*1+(7),,,"J1 A - (North) Bishopthorpe Roa")&amp;":"&amp;ADDRESS(130,3+18*1+(7))),'J1 A - (North) Bishopthorpe Roa'!$A$12:$A$130,"&gt;="&amp;Diagram!$O63,'J1 A - (North) Bishopthorpe Roa'!$A$12:$A$130,"&lt;"&amp;Diagram!$P63),SUMIFS(INDIRECT(ADDRESS(12,3+18*1+(15),,,"J1 A - (North) Bishopthorpe Roa")&amp;":"&amp;ADDRESS(130,3+18*1+(15))),'J1 A - (North) Bishopthorpe Roa'!$A$12:$A$130,"&gt;="&amp;Diagram!$O63,'J1 A - (North) Bishopthorpe Roa'!$A$12:$A$130,"&lt;"&amp;Diagram!$P63)))</f>
        <v>0</v>
      </c>
      <c r="EK63" s="42">
        <f ca="1">IF(OR($I$10="",$O63="",$P63="",$J$42&lt;&gt;"Yes"),0,IF($K$10=0,SUMIFS(INDIRECT(ADDRESS(12,3+18*2+(7),,,"J1 A - (North) Bishopthorpe Roa")&amp;":"&amp;ADDRESS(130,3+18*2+(7))),'J1 A - (North) Bishopthorpe Roa'!$A$12:$A$130,"&gt;="&amp;Diagram!$O63,'J1 A - (North) Bishopthorpe Roa'!$A$12:$A$130,"&lt;"&amp;Diagram!$P63),SUMIFS(INDIRECT(ADDRESS(12,3+18*2+(15),,,"J1 A - (North) Bishopthorpe Roa")&amp;":"&amp;ADDRESS(130,3+18*2+(15))),'J1 A - (North) Bishopthorpe Roa'!$A$12:$A$130,"&gt;="&amp;Diagram!$O63,'J1 A - (North) Bishopthorpe Roa'!$A$12:$A$130,"&lt;"&amp;Diagram!$P63)))</f>
        <v>0</v>
      </c>
      <c r="EL63" s="42">
        <f ca="1">IF(OR($I$10="",$O63="",$P63="",$J$42&lt;&gt;"Yes"),0,IF($K$10=0,SUMIFS(INDIRECT(ADDRESS(12,3+18*2+(7),,,"J1 B - Butcher Terrace")&amp;":"&amp;ADDRESS(130,3+18*2+(7))),'J1 B - Butcher Terrace'!$A$12:$A$130,"&gt;="&amp;Diagram!$O63,'J1 B - Butcher Terrace'!$A$12:$A$130,"&lt;"&amp;Diagram!$P63),SUMIFS(INDIRECT(ADDRESS(12,3+18*2+(15),,,"J1 B - Butcher Terrace")&amp;":"&amp;ADDRESS(130,3+18*2+(15))),'J1 B - Butcher Terrace'!$A$12:$A$130,"&gt;="&amp;Diagram!$O63,'J1 B - Butcher Terrace'!$A$12:$A$130,"&lt;"&amp;Diagram!$P63)))</f>
        <v>0</v>
      </c>
      <c r="EM63" s="42">
        <f ca="1">IF(OR($I$10="",$O63="",$P63="",$J$42&lt;&gt;"Yes"),0,IF($K$10=0,SUMIFS(INDIRECT(ADDRESS(12,3+18*3+(7),,,"J1 B - Butcher Terrace")&amp;":"&amp;ADDRESS(130,3+18*3+(7))),'J1 B - Butcher Terrace'!$A$12:$A$130,"&gt;="&amp;Diagram!$O63,'J1 B - Butcher Terrace'!$A$12:$A$130,"&lt;"&amp;Diagram!$P63),SUMIFS(INDIRECT(ADDRESS(12,3+18*3+(15),,,"J1 B - Butcher Terrace")&amp;":"&amp;ADDRESS(130,3+18*3+(15))),'J1 B - Butcher Terrace'!$A$12:$A$130,"&gt;="&amp;Diagram!$O63,'J1 B - Butcher Terrace'!$A$12:$A$130,"&lt;"&amp;Diagram!$P63)))</f>
        <v>0</v>
      </c>
      <c r="EN63" s="42">
        <f ca="1">IF(OR($I$10="",$O63="",$P63="",$J$42&lt;&gt;"Yes"),0,IF($K$10=0,SUMIFS(INDIRECT(ADDRESS(12,3+18*0+(7),,,"J1 B - Butcher Terrace")&amp;":"&amp;ADDRESS(130,3+18*0+(7))),'J1 B - Butcher Terrace'!$A$12:$A$130,"&gt;="&amp;Diagram!$O63,'J1 B - Butcher Terrace'!$A$12:$A$130,"&lt;"&amp;Diagram!$P63),SUMIFS(INDIRECT(ADDRESS(12,3+18*0+(15),,,"J1 B - Butcher Terrace")&amp;":"&amp;ADDRESS(130,3+18*0+(15))),'J1 B - Butcher Terrace'!$A$12:$A$130,"&gt;="&amp;Diagram!$O63,'J1 B - Butcher Terrace'!$A$12:$A$130,"&lt;"&amp;Diagram!$P63)))</f>
        <v>0</v>
      </c>
      <c r="EO63" s="42">
        <f ca="1">IF(OR($I$10="",$O63="",$P63="",$J$42&lt;&gt;"Yes"),0,IF($K$10=0,SUMIFS(INDIRECT(ADDRESS(12,3+18*1+(7),,,"J1 B - Butcher Terrace")&amp;":"&amp;ADDRESS(130,3+18*1+(7))),'J1 B - Butcher Terrace'!$A$12:$A$130,"&gt;="&amp;Diagram!$O63,'J1 B - Butcher Terrace'!$A$12:$A$130,"&lt;"&amp;Diagram!$P63),SUMIFS(INDIRECT(ADDRESS(12,3+18*1+(15),,,"J1 B - Butcher Terrace")&amp;":"&amp;ADDRESS(130,3+18*1+(15))),'J1 B - Butcher Terrace'!$A$12:$A$130,"&gt;="&amp;Diagram!$O63,'J1 B - Butcher Terrace'!$A$12:$A$130,"&lt;"&amp;Diagram!$P63)))</f>
        <v>0</v>
      </c>
      <c r="EP63" s="42">
        <f ca="1">IF(OR($I$10="",$O63="",$P63="",$J$42&lt;&gt;"Yes"),0,IF($K$10=0,SUMIFS(INDIRECT(ADDRESS(12,3+18*1+(7),,,"J1 C - (South) Bishopthorpe Roa")&amp;":"&amp;ADDRESS(130,3+18*1+(7))),'J1 C - (South) Bishopthorpe Roa'!$A$12:$A$130,"&gt;="&amp;Diagram!$O63,'J1 C - (South) Bishopthorpe Roa'!$A$12:$A$130,"&lt;"&amp;Diagram!$P63),SUMIFS(INDIRECT(ADDRESS(12,3+18*1+(15),,,"J1 C - (South) Bishopthorpe Roa")&amp;":"&amp;ADDRESS(130,3+18*1+(15))),'J1 C - (South) Bishopthorpe Roa'!$A$12:$A$130,"&gt;="&amp;Diagram!$O63,'J1 C - (South) Bishopthorpe Roa'!$A$12:$A$130,"&lt;"&amp;Diagram!$P63)))</f>
        <v>0</v>
      </c>
      <c r="EQ63" s="42">
        <f ca="1">IF(OR($I$10="",$O63="",$P63="",$J$42&lt;&gt;"Yes"),0,IF($K$10=0,SUMIFS(INDIRECT(ADDRESS(12,3+18*2+(7),,,"J1 C - (South) Bishopthorpe Roa")&amp;":"&amp;ADDRESS(130,3+18*2+(7))),'J1 C - (South) Bishopthorpe Roa'!$A$12:$A$130,"&gt;="&amp;Diagram!$O63,'J1 C - (South) Bishopthorpe Roa'!$A$12:$A$130,"&lt;"&amp;Diagram!$P63),SUMIFS(INDIRECT(ADDRESS(12,3+18*2+(15),,,"J1 C - (South) Bishopthorpe Roa")&amp;":"&amp;ADDRESS(130,3+18*2+(15))),'J1 C - (South) Bishopthorpe Roa'!$A$12:$A$130,"&gt;="&amp;Diagram!$O63,'J1 C - (South) Bishopthorpe Roa'!$A$12:$A$130,"&lt;"&amp;Diagram!$P63)))</f>
        <v>0</v>
      </c>
      <c r="ER63" s="42">
        <f ca="1">IF(OR($I$10="",$O63="",$P63="",$J$42&lt;&gt;"Yes"),0,IF($K$10=0,SUMIFS(INDIRECT(ADDRESS(12,3+18*3+(7),,,"J1 C - (South) Bishopthorpe Roa")&amp;":"&amp;ADDRESS(130,3+18*3+(7))),'J1 C - (South) Bishopthorpe Roa'!$A$12:$A$130,"&gt;="&amp;Diagram!$O63,'J1 C - (South) Bishopthorpe Roa'!$A$12:$A$130,"&lt;"&amp;Diagram!$P63),SUMIFS(INDIRECT(ADDRESS(12,3+18*3+(15),,,"J1 C - (South) Bishopthorpe Roa")&amp;":"&amp;ADDRESS(130,3+18*3+(15))),'J1 C - (South) Bishopthorpe Roa'!$A$12:$A$130,"&gt;="&amp;Diagram!$O63,'J1 C - (South) Bishopthorpe Roa'!$A$12:$A$130,"&lt;"&amp;Diagram!$P63)))</f>
        <v>0</v>
      </c>
      <c r="ES63" s="42">
        <f ca="1">IF(OR($I$10="",$O63="",$P63="",$J$42&lt;&gt;"Yes"),0,IF($K$10=0,SUMIFS(INDIRECT(ADDRESS(12,3+18*0+(7),,,"J1 C - (South) Bishopthorpe Roa")&amp;":"&amp;ADDRESS(130,3+18*0+(7))),'J1 C - (South) Bishopthorpe Roa'!$A$12:$A$130,"&gt;="&amp;Diagram!$O63,'J1 C - (South) Bishopthorpe Roa'!$A$12:$A$130,"&lt;"&amp;Diagram!$P63),SUMIFS(INDIRECT(ADDRESS(12,3+18*0+(15),,,"J1 C - (South) Bishopthorpe Roa")&amp;":"&amp;ADDRESS(130,3+18*0+(15))),'J1 C - (South) Bishopthorpe Roa'!$A$12:$A$130,"&gt;="&amp;Diagram!$O63,'J1 C - (South) Bishopthorpe Roa'!$A$12:$A$130,"&lt;"&amp;Diagram!$P63)))</f>
        <v>0</v>
      </c>
      <c r="ET63" s="42">
        <f ca="1">IF(OR($I$10="",$O63="",$P63="",$J$42&lt;&gt;"Yes"),0,IF($K$10=0,SUMIFS(INDIRECT(ADDRESS(12,3+18*0+(7),,,"J1 D - South Bank Avenue")&amp;":"&amp;ADDRESS(130,3+18*0+(7))),'J1 D - South Bank Avenue'!$A$12:$A$130,"&gt;="&amp;Diagram!$O63,'J1 D - South Bank Avenue'!$A$12:$A$130,"&lt;"&amp;Diagram!$P63),SUMIFS(INDIRECT(ADDRESS(12,3+18*0+(15),,,"J1 D - South Bank Avenue")&amp;":"&amp;ADDRESS(130,3+18*0+(15))),'J1 D - South Bank Avenue'!$A$12:$A$130,"&gt;="&amp;Diagram!$O63,'J1 D - South Bank Avenue'!$A$12:$A$130,"&lt;"&amp;Diagram!$P63)))</f>
        <v>0</v>
      </c>
      <c r="EU63" s="42">
        <f ca="1">IF(OR($I$10="",$O63="",$P63="",$J$42&lt;&gt;"Yes"),0,IF($K$10=0,SUMIFS(INDIRECT(ADDRESS(12,3+18*1+(7),,,"J1 D - South Bank Avenue")&amp;":"&amp;ADDRESS(130,3+18*1+(7))),'J1 D - South Bank Avenue'!$A$12:$A$130,"&gt;="&amp;Diagram!$O63,'J1 D - South Bank Avenue'!$A$12:$A$130,"&lt;"&amp;Diagram!$P63),SUMIFS(INDIRECT(ADDRESS(12,3+18*1+(15),,,"J1 D - South Bank Avenue")&amp;":"&amp;ADDRESS(130,3+18*1+(15))),'J1 D - South Bank Avenue'!$A$12:$A$130,"&gt;="&amp;Diagram!$O63,'J1 D - South Bank Avenue'!$A$12:$A$130,"&lt;"&amp;Diagram!$P63)))</f>
        <v>0</v>
      </c>
      <c r="EV63" s="42">
        <f ca="1">IF(OR($I$10="",$O63="",$P63="",$J$42&lt;&gt;"Yes"),0,IF($K$10=0,SUMIFS(INDIRECT(ADDRESS(12,3+18*2+(7),,,"J1 D - South Bank Avenue")&amp;":"&amp;ADDRESS(130,3+18*2+(7))),'J1 D - South Bank Avenue'!$A$12:$A$130,"&gt;="&amp;Diagram!$O63,'J1 D - South Bank Avenue'!$A$12:$A$130,"&lt;"&amp;Diagram!$P63),SUMIFS(INDIRECT(ADDRESS(12,3+18*2+(15),,,"J1 D - South Bank Avenue")&amp;":"&amp;ADDRESS(130,3+18*2+(15))),'J1 D - South Bank Avenue'!$A$12:$A$130,"&gt;="&amp;Diagram!$O63,'J1 D - South Bank Avenue'!$A$12:$A$130,"&lt;"&amp;Diagram!$P63)))</f>
        <v>0</v>
      </c>
      <c r="EW63" s="42">
        <f ca="1">IF(OR($I$10="",$O63="",$P63="",$J$42&lt;&gt;"Yes"),0,IF($K$10=0,SUMIFS(INDIRECT(ADDRESS(12,3+18*3+(7),,,"J1 D - South Bank Avenue")&amp;":"&amp;ADDRESS(130,3+18*3+(7))),'J1 D - South Bank Avenue'!$A$12:$A$130,"&gt;="&amp;Diagram!$O63,'J1 D - South Bank Avenue'!$A$12:$A$130,"&lt;"&amp;Diagram!$P63),SUMIFS(INDIRECT(ADDRESS(12,3+18*3+(15),,,"J1 D - South Bank Avenue")&amp;":"&amp;ADDRESS(130,3+18*3+(15))),'J1 D - South Bank Avenue'!$A$12:$A$130,"&gt;="&amp;Diagram!$O63,'J1 D - South Bank Avenue'!$A$12:$A$130,"&lt;"&amp;Diagram!$P63)))</f>
        <v>0</v>
      </c>
    </row>
    <row r="64" spans="1:153">
      <c r="A64" s="1">
        <v>44395.65625</v>
      </c>
      <c r="B64" s="1">
        <v>44395.666666666701</v>
      </c>
      <c r="O64" s="3">
        <v>44395.65625</v>
      </c>
      <c r="P64" s="3">
        <v>44395.697916666701</v>
      </c>
      <c r="Q64" s="42">
        <f t="shared" ca="1" si="0"/>
        <v>761</v>
      </c>
      <c r="R64" s="42">
        <f t="shared" ca="1" si="1"/>
        <v>548</v>
      </c>
      <c r="S64" s="42">
        <f ca="1">IF(OR($I$10="",$O64="",$P64="",$J$35&lt;&gt;"Yes"),0,IF($K$10=0,SUMIFS(INDIRECT(ADDRESS(12,3+18*3+(0),,,"J1 A - (North) Bishopthorpe Roa")&amp;":"&amp;ADDRESS(130,3+18*3+(0))),'J1 A - (North) Bishopthorpe Roa'!$A$12:$A$130,"&gt;="&amp;Diagram!$O64,'J1 A - (North) Bishopthorpe Roa'!$A$12:$A$130,"&lt;"&amp;Diagram!$P64),SUMIFS(INDIRECT(ADDRESS(12,3+18*3+(8),,,"J1 A - (North) Bishopthorpe Roa")&amp;":"&amp;ADDRESS(130,3+18*3+(8))),'J1 A - (North) Bishopthorpe Roa'!$A$12:$A$130,"&gt;="&amp;Diagram!$O64,'J1 A - (North) Bishopthorpe Roa'!$A$12:$A$130,"&lt;"&amp;Diagram!$P64)))</f>
        <v>3</v>
      </c>
      <c r="T64" s="42">
        <f ca="1">IF(OR($I$10="",$O64="",$P64="",$J$35&lt;&gt;"Yes"),0,IF($K$10=0,SUMIFS(INDIRECT(ADDRESS(12,3+18*0+(0),,,"J1 A - (North) Bishopthorpe Roa")&amp;":"&amp;ADDRESS(130,3+18*0+(0))),'J1 A - (North) Bishopthorpe Roa'!$A$12:$A$130,"&gt;="&amp;Diagram!$O64,'J1 A - (North) Bishopthorpe Roa'!$A$12:$A$130,"&lt;"&amp;Diagram!$P64),SUMIFS(INDIRECT(ADDRESS(12,3+18*0+(8),,,"J1 A - (North) Bishopthorpe Roa")&amp;":"&amp;ADDRESS(130,3+18*0+(8))),'J1 A - (North) Bishopthorpe Roa'!$A$12:$A$130,"&gt;="&amp;Diagram!$O64,'J1 A - (North) Bishopthorpe Roa'!$A$12:$A$130,"&lt;"&amp;Diagram!$P64)))</f>
        <v>15</v>
      </c>
      <c r="U64" s="42">
        <f ca="1">IF(OR($I$10="",$O64="",$P64="",$J$35&lt;&gt;"Yes"),0,IF($K$10=0,SUMIFS(INDIRECT(ADDRESS(12,3+18*1+(0),,,"J1 A - (North) Bishopthorpe Roa")&amp;":"&amp;ADDRESS(130,3+18*1+(0))),'J1 A - (North) Bishopthorpe Roa'!$A$12:$A$130,"&gt;="&amp;Diagram!$O64,'J1 A - (North) Bishopthorpe Roa'!$A$12:$A$130,"&lt;"&amp;Diagram!$P64),SUMIFS(INDIRECT(ADDRESS(12,3+18*1+(8),,,"J1 A - (North) Bishopthorpe Roa")&amp;":"&amp;ADDRESS(130,3+18*1+(8))),'J1 A - (North) Bishopthorpe Roa'!$A$12:$A$130,"&gt;="&amp;Diagram!$O64,'J1 A - (North) Bishopthorpe Roa'!$A$12:$A$130,"&lt;"&amp;Diagram!$P64)))</f>
        <v>245</v>
      </c>
      <c r="V64" s="42">
        <f ca="1">IF(OR($I$10="",$O64="",$P64="",$J$35&lt;&gt;"Yes"),0,IF($K$10=0,SUMIFS(INDIRECT(ADDRESS(12,3+18*2+(0),,,"J1 A - (North) Bishopthorpe Roa")&amp;":"&amp;ADDRESS(130,3+18*2+(0))),'J1 A - (North) Bishopthorpe Roa'!$A$12:$A$130,"&gt;="&amp;Diagram!$O64,'J1 A - (North) Bishopthorpe Roa'!$A$12:$A$130,"&lt;"&amp;Diagram!$P64),SUMIFS(INDIRECT(ADDRESS(12,3+18*2+(8),,,"J1 A - (North) Bishopthorpe Roa")&amp;":"&amp;ADDRESS(130,3+18*2+(8))),'J1 A - (North) Bishopthorpe Roa'!$A$12:$A$130,"&gt;="&amp;Diagram!$O64,'J1 A - (North) Bishopthorpe Roa'!$A$12:$A$130,"&lt;"&amp;Diagram!$P64)))</f>
        <v>29</v>
      </c>
      <c r="W64" s="42">
        <f ca="1">IF(OR($I$10="",$O64="",$P64="",$J$35&lt;&gt;"Yes"),0,IF($K$10=0,SUMIFS(INDIRECT(ADDRESS(12,3+18*2+(0),,,"J1 B - Butcher Terrace")&amp;":"&amp;ADDRESS(130,3+18*2+(0))),'J1 B - Butcher Terrace'!$A$12:$A$130,"&gt;="&amp;Diagram!$O64,'J1 B - Butcher Terrace'!$A$12:$A$130,"&lt;"&amp;Diagram!$P64),SUMIFS(INDIRECT(ADDRESS(12,3+18*2+(8),,,"J1 B - Butcher Terrace")&amp;":"&amp;ADDRESS(130,3+18*2+(8))),'J1 B - Butcher Terrace'!$A$12:$A$130,"&gt;="&amp;Diagram!$O64,'J1 B - Butcher Terrace'!$A$12:$A$130,"&lt;"&amp;Diagram!$P64)))</f>
        <v>18</v>
      </c>
      <c r="X64" s="42">
        <f ca="1">IF(OR($I$10="",$O64="",$P64="",$J$35&lt;&gt;"Yes"),0,IF($K$10=0,SUMIFS(INDIRECT(ADDRESS(12,3+18*3+(0),,,"J1 B - Butcher Terrace")&amp;":"&amp;ADDRESS(130,3+18*3+(0))),'J1 B - Butcher Terrace'!$A$12:$A$130,"&gt;="&amp;Diagram!$O64,'J1 B - Butcher Terrace'!$A$12:$A$130,"&lt;"&amp;Diagram!$P64),SUMIFS(INDIRECT(ADDRESS(12,3+18*3+(8),,,"J1 B - Butcher Terrace")&amp;":"&amp;ADDRESS(130,3+18*3+(8))),'J1 B - Butcher Terrace'!$A$12:$A$130,"&gt;="&amp;Diagram!$O64,'J1 B - Butcher Terrace'!$A$12:$A$130,"&lt;"&amp;Diagram!$P64)))</f>
        <v>0</v>
      </c>
      <c r="Y64" s="42">
        <f ca="1">IF(OR($I$10="",$O64="",$P64="",$J$35&lt;&gt;"Yes"),0,IF($K$10=0,SUMIFS(INDIRECT(ADDRESS(12,3+18*0+(0),,,"J1 B - Butcher Terrace")&amp;":"&amp;ADDRESS(130,3+18*0+(0))),'J1 B - Butcher Terrace'!$A$12:$A$130,"&gt;="&amp;Diagram!$O64,'J1 B - Butcher Terrace'!$A$12:$A$130,"&lt;"&amp;Diagram!$P64),SUMIFS(INDIRECT(ADDRESS(12,3+18*0+(8),,,"J1 B - Butcher Terrace")&amp;":"&amp;ADDRESS(130,3+18*0+(8))),'J1 B - Butcher Terrace'!$A$12:$A$130,"&gt;="&amp;Diagram!$O64,'J1 B - Butcher Terrace'!$A$12:$A$130,"&lt;"&amp;Diagram!$P64)))</f>
        <v>6</v>
      </c>
      <c r="Z64" s="42">
        <f ca="1">IF(OR($I$10="",$O64="",$P64="",$J$35&lt;&gt;"Yes"),0,IF($K$10=0,SUMIFS(INDIRECT(ADDRESS(12,3+18*1+(0),,,"J1 B - Butcher Terrace")&amp;":"&amp;ADDRESS(130,3+18*1+(0))),'J1 B - Butcher Terrace'!$A$12:$A$130,"&gt;="&amp;Diagram!$O64,'J1 B - Butcher Terrace'!$A$12:$A$130,"&lt;"&amp;Diagram!$P64),SUMIFS(INDIRECT(ADDRESS(12,3+18*1+(8),,,"J1 B - Butcher Terrace")&amp;":"&amp;ADDRESS(130,3+18*1+(8))),'J1 B - Butcher Terrace'!$A$12:$A$130,"&gt;="&amp;Diagram!$O64,'J1 B - Butcher Terrace'!$A$12:$A$130,"&lt;"&amp;Diagram!$P64)))</f>
        <v>0</v>
      </c>
      <c r="AA64" s="42">
        <f ca="1">IF(OR($I$10="",$O64="",$P64="",$J$35&lt;&gt;"Yes"),0,IF($K$10=0,SUMIFS(INDIRECT(ADDRESS(12,3+18*1+(0),,,"J1 C - (South) Bishopthorpe Roa")&amp;":"&amp;ADDRESS(130,3+18*1+(0))),'J1 C - (South) Bishopthorpe Roa'!$A$12:$A$130,"&gt;="&amp;Diagram!$O64,'J1 C - (South) Bishopthorpe Roa'!$A$12:$A$130,"&lt;"&amp;Diagram!$P64),SUMIFS(INDIRECT(ADDRESS(12,3+18*1+(8),,,"J1 C - (South) Bishopthorpe Roa")&amp;":"&amp;ADDRESS(130,3+18*1+(8))),'J1 C - (South) Bishopthorpe Roa'!$A$12:$A$130,"&gt;="&amp;Diagram!$O64,'J1 C - (South) Bishopthorpe Roa'!$A$12:$A$130,"&lt;"&amp;Diagram!$P64)))</f>
        <v>168</v>
      </c>
      <c r="AB64" s="42">
        <f ca="1">IF(OR($I$10="",$O64="",$P64="",$J$35&lt;&gt;"Yes"),0,IF($K$10=0,SUMIFS(INDIRECT(ADDRESS(12,3+18*2+(0),,,"J1 C - (South) Bishopthorpe Roa")&amp;":"&amp;ADDRESS(130,3+18*2+(0))),'J1 C - (South) Bishopthorpe Roa'!$A$12:$A$130,"&gt;="&amp;Diagram!$O64,'J1 C - (South) Bishopthorpe Roa'!$A$12:$A$130,"&lt;"&amp;Diagram!$P64),SUMIFS(INDIRECT(ADDRESS(12,3+18*2+(8),,,"J1 C - (South) Bishopthorpe Roa")&amp;":"&amp;ADDRESS(130,3+18*2+(8))),'J1 C - (South) Bishopthorpe Roa'!$A$12:$A$130,"&gt;="&amp;Diagram!$O64,'J1 C - (South) Bishopthorpe Roa'!$A$12:$A$130,"&lt;"&amp;Diagram!$P64)))</f>
        <v>5</v>
      </c>
      <c r="AC64" s="42">
        <f ca="1">IF(OR($I$10="",$O64="",$P64="",$J$35&lt;&gt;"Yes"),0,IF($K$10=0,SUMIFS(INDIRECT(ADDRESS(12,3+18*3+(0),,,"J1 C - (South) Bishopthorpe Roa")&amp;":"&amp;ADDRESS(130,3+18*3+(0))),'J1 C - (South) Bishopthorpe Roa'!$A$12:$A$130,"&gt;="&amp;Diagram!$O64,'J1 C - (South) Bishopthorpe Roa'!$A$12:$A$130,"&lt;"&amp;Diagram!$P64),SUMIFS(INDIRECT(ADDRESS(12,3+18*3+(8),,,"J1 C - (South) Bishopthorpe Roa")&amp;":"&amp;ADDRESS(130,3+18*3+(8))),'J1 C - (South) Bishopthorpe Roa'!$A$12:$A$130,"&gt;="&amp;Diagram!$O64,'J1 C - (South) Bishopthorpe Roa'!$A$12:$A$130,"&lt;"&amp;Diagram!$P64)))</f>
        <v>1</v>
      </c>
      <c r="AD64" s="42">
        <f ca="1">IF(OR($I$10="",$O64="",$P64="",$J$35&lt;&gt;"Yes"),0,IF($K$10=0,SUMIFS(INDIRECT(ADDRESS(12,3+18*0+(0),,,"J1 C - (South) Bishopthorpe Roa")&amp;":"&amp;ADDRESS(130,3+18*0+(0))),'J1 C - (South) Bishopthorpe Roa'!$A$12:$A$130,"&gt;="&amp;Diagram!$O64,'J1 C - (South) Bishopthorpe Roa'!$A$12:$A$130,"&lt;"&amp;Diagram!$P64),SUMIFS(INDIRECT(ADDRESS(12,3+18*0+(8),,,"J1 C - (South) Bishopthorpe Roa")&amp;":"&amp;ADDRESS(130,3+18*0+(8))),'J1 C - (South) Bishopthorpe Roa'!$A$12:$A$130,"&gt;="&amp;Diagram!$O64,'J1 C - (South) Bishopthorpe Roa'!$A$12:$A$130,"&lt;"&amp;Diagram!$P64)))</f>
        <v>15</v>
      </c>
      <c r="AE64" s="42">
        <f ca="1">IF(OR($I$10="",$O64="",$P64="",$J$35&lt;&gt;"Yes"),0,IF($K$10=0,SUMIFS(INDIRECT(ADDRESS(12,3+18*0+(0),,,"J1 D - South Bank Avenue")&amp;":"&amp;ADDRESS(130,3+18*0+(0))),'J1 D - South Bank Avenue'!$A$12:$A$130,"&gt;="&amp;Diagram!$O64,'J1 D - South Bank Avenue'!$A$12:$A$130,"&lt;"&amp;Diagram!$P64),SUMIFS(INDIRECT(ADDRESS(12,3+18*0+(8),,,"J1 D - South Bank Avenue")&amp;":"&amp;ADDRESS(130,3+18*0+(8))),'J1 D - South Bank Avenue'!$A$12:$A$130,"&gt;="&amp;Diagram!$O64,'J1 D - South Bank Avenue'!$A$12:$A$130,"&lt;"&amp;Diagram!$P64)))</f>
        <v>30</v>
      </c>
      <c r="AF64" s="42">
        <f ca="1">IF(OR($I$10="",$O64="",$P64="",$J$35&lt;&gt;"Yes"),0,IF($K$10=0,SUMIFS(INDIRECT(ADDRESS(12,3+18*1+(0),,,"J1 D - South Bank Avenue")&amp;":"&amp;ADDRESS(130,3+18*1+(0))),'J1 D - South Bank Avenue'!$A$12:$A$130,"&gt;="&amp;Diagram!$O64,'J1 D - South Bank Avenue'!$A$12:$A$130,"&lt;"&amp;Diagram!$P64),SUMIFS(INDIRECT(ADDRESS(12,3+18*1+(8),,,"J1 D - South Bank Avenue")&amp;":"&amp;ADDRESS(130,3+18*1+(8))),'J1 D - South Bank Avenue'!$A$12:$A$130,"&gt;="&amp;Diagram!$O64,'J1 D - South Bank Avenue'!$A$12:$A$130,"&lt;"&amp;Diagram!$P64)))</f>
        <v>1</v>
      </c>
      <c r="AG64" s="42">
        <f ca="1">IF(OR($I$10="",$O64="",$P64="",$J$35&lt;&gt;"Yes"),0,IF($K$10=0,SUMIFS(INDIRECT(ADDRESS(12,3+18*2+(0),,,"J1 D - South Bank Avenue")&amp;":"&amp;ADDRESS(130,3+18*2+(0))),'J1 D - South Bank Avenue'!$A$12:$A$130,"&gt;="&amp;Diagram!$O64,'J1 D - South Bank Avenue'!$A$12:$A$130,"&lt;"&amp;Diagram!$P64),SUMIFS(INDIRECT(ADDRESS(12,3+18*2+(8),,,"J1 D - South Bank Avenue")&amp;":"&amp;ADDRESS(130,3+18*2+(8))),'J1 D - South Bank Avenue'!$A$12:$A$130,"&gt;="&amp;Diagram!$O64,'J1 D - South Bank Avenue'!$A$12:$A$130,"&lt;"&amp;Diagram!$P64)))</f>
        <v>12</v>
      </c>
      <c r="AH64" s="42">
        <f ca="1">IF(OR($I$10="",$O64="",$P64="",$J$35&lt;&gt;"Yes"),0,IF($K$10=0,SUMIFS(INDIRECT(ADDRESS(12,3+18*3+(0),,,"J1 D - South Bank Avenue")&amp;":"&amp;ADDRESS(130,3+18*3+(0))),'J1 D - South Bank Avenue'!$A$12:$A$130,"&gt;="&amp;Diagram!$O64,'J1 D - South Bank Avenue'!$A$12:$A$130,"&lt;"&amp;Diagram!$P64),SUMIFS(INDIRECT(ADDRESS(12,3+18*3+(8),,,"J1 D - South Bank Avenue")&amp;":"&amp;ADDRESS(130,3+18*3+(8))),'J1 D - South Bank Avenue'!$A$12:$A$130,"&gt;="&amp;Diagram!$O64,'J1 D - South Bank Avenue'!$A$12:$A$130,"&lt;"&amp;Diagram!$P64)))</f>
        <v>0</v>
      </c>
      <c r="AI64" s="42">
        <f t="shared" ca="1" si="2"/>
        <v>54</v>
      </c>
      <c r="AJ64" s="42">
        <f ca="1">IF(OR($I$10="",$O64="",$P64="",$J$36&lt;&gt;"Yes"),0,IF($K$10=0,SUMIFS(INDIRECT(ADDRESS(12,3+18*3+(1),,,"J1 A - (North) Bishopthorpe Roa")&amp;":"&amp;ADDRESS(130,3+18*3+(1))),'J1 A - (North) Bishopthorpe Roa'!$A$12:$A$130,"&gt;="&amp;Diagram!$O64,'J1 A - (North) Bishopthorpe Roa'!$A$12:$A$130,"&lt;"&amp;Diagram!$P64),SUMIFS(INDIRECT(ADDRESS(12,3+18*3+(9),,,"J1 A - (North) Bishopthorpe Roa")&amp;":"&amp;ADDRESS(130,3+18*3+(9))),'J1 A - (North) Bishopthorpe Roa'!$A$12:$A$130,"&gt;="&amp;Diagram!$O64,'J1 A - (North) Bishopthorpe Roa'!$A$12:$A$130,"&lt;"&amp;Diagram!$P64)))</f>
        <v>0</v>
      </c>
      <c r="AK64" s="42">
        <f ca="1">IF(OR($I$10="",$O64="",$P64="",$J$36&lt;&gt;"Yes"),0,IF($K$10=0,SUMIFS(INDIRECT(ADDRESS(12,3+18*0+(1),,,"J1 A - (North) Bishopthorpe Roa")&amp;":"&amp;ADDRESS(130,3+18*0+(1))),'J1 A - (North) Bishopthorpe Roa'!$A$12:$A$130,"&gt;="&amp;Diagram!$O64,'J1 A - (North) Bishopthorpe Roa'!$A$12:$A$130,"&lt;"&amp;Diagram!$P64),SUMIFS(INDIRECT(ADDRESS(12,3+18*0+(9),,,"J1 A - (North) Bishopthorpe Roa")&amp;":"&amp;ADDRESS(130,3+18*0+(9))),'J1 A - (North) Bishopthorpe Roa'!$A$12:$A$130,"&gt;="&amp;Diagram!$O64,'J1 A - (North) Bishopthorpe Roa'!$A$12:$A$130,"&lt;"&amp;Diagram!$P64)))</f>
        <v>0</v>
      </c>
      <c r="AL64" s="42">
        <f ca="1">IF(OR($I$10="",$O64="",$P64="",$J$36&lt;&gt;"Yes"),0,IF($K$10=0,SUMIFS(INDIRECT(ADDRESS(12,3+18*1+(1),,,"J1 A - (North) Bishopthorpe Roa")&amp;":"&amp;ADDRESS(130,3+18*1+(1))),'J1 A - (North) Bishopthorpe Roa'!$A$12:$A$130,"&gt;="&amp;Diagram!$O64,'J1 A - (North) Bishopthorpe Roa'!$A$12:$A$130,"&lt;"&amp;Diagram!$P64),SUMIFS(INDIRECT(ADDRESS(12,3+18*1+(9),,,"J1 A - (North) Bishopthorpe Roa")&amp;":"&amp;ADDRESS(130,3+18*1+(9))),'J1 A - (North) Bishopthorpe Roa'!$A$12:$A$130,"&gt;="&amp;Diagram!$O64,'J1 A - (North) Bishopthorpe Roa'!$A$12:$A$130,"&lt;"&amp;Diagram!$P64)))</f>
        <v>20</v>
      </c>
      <c r="AM64" s="42">
        <f ca="1">IF(OR($I$10="",$O64="",$P64="",$J$36&lt;&gt;"Yes"),0,IF($K$10=0,SUMIFS(INDIRECT(ADDRESS(12,3+18*2+(1),,,"J1 A - (North) Bishopthorpe Roa")&amp;":"&amp;ADDRESS(130,3+18*2+(1))),'J1 A - (North) Bishopthorpe Roa'!$A$12:$A$130,"&gt;="&amp;Diagram!$O64,'J1 A - (North) Bishopthorpe Roa'!$A$12:$A$130,"&lt;"&amp;Diagram!$P64),SUMIFS(INDIRECT(ADDRESS(12,3+18*2+(9),,,"J1 A - (North) Bishopthorpe Roa")&amp;":"&amp;ADDRESS(130,3+18*2+(9))),'J1 A - (North) Bishopthorpe Roa'!$A$12:$A$130,"&gt;="&amp;Diagram!$O64,'J1 A - (North) Bishopthorpe Roa'!$A$12:$A$130,"&lt;"&amp;Diagram!$P64)))</f>
        <v>6</v>
      </c>
      <c r="AN64" s="42">
        <f ca="1">IF(OR($I$10="",$O64="",$P64="",$J$36&lt;&gt;"Yes"),0,IF($K$10=0,SUMIFS(INDIRECT(ADDRESS(12,3+18*2+(1),,,"J1 B - Butcher Terrace")&amp;":"&amp;ADDRESS(130,3+18*2+(1))),'J1 B - Butcher Terrace'!$A$12:$A$130,"&gt;="&amp;Diagram!$O64,'J1 B - Butcher Terrace'!$A$12:$A$130,"&lt;"&amp;Diagram!$P64),SUMIFS(INDIRECT(ADDRESS(12,3+18*2+(9),,,"J1 B - Butcher Terrace")&amp;":"&amp;ADDRESS(130,3+18*2+(9))),'J1 B - Butcher Terrace'!$A$12:$A$130,"&gt;="&amp;Diagram!$O64,'J1 B - Butcher Terrace'!$A$12:$A$130,"&lt;"&amp;Diagram!$P64)))</f>
        <v>2</v>
      </c>
      <c r="AO64" s="42">
        <f ca="1">IF(OR($I$10="",$O64="",$P64="",$J$36&lt;&gt;"Yes"),0,IF($K$10=0,SUMIFS(INDIRECT(ADDRESS(12,3+18*3+(1),,,"J1 B - Butcher Terrace")&amp;":"&amp;ADDRESS(130,3+18*3+(1))),'J1 B - Butcher Terrace'!$A$12:$A$130,"&gt;="&amp;Diagram!$O64,'J1 B - Butcher Terrace'!$A$12:$A$130,"&lt;"&amp;Diagram!$P64),SUMIFS(INDIRECT(ADDRESS(12,3+18*3+(9),,,"J1 B - Butcher Terrace")&amp;":"&amp;ADDRESS(130,3+18*3+(9))),'J1 B - Butcher Terrace'!$A$12:$A$130,"&gt;="&amp;Diagram!$O64,'J1 B - Butcher Terrace'!$A$12:$A$130,"&lt;"&amp;Diagram!$P64)))</f>
        <v>0</v>
      </c>
      <c r="AP64" s="42">
        <f ca="1">IF(OR($I$10="",$O64="",$P64="",$J$36&lt;&gt;"Yes"),0,IF($K$10=0,SUMIFS(INDIRECT(ADDRESS(12,3+18*0+(1),,,"J1 B - Butcher Terrace")&amp;":"&amp;ADDRESS(130,3+18*0+(1))),'J1 B - Butcher Terrace'!$A$12:$A$130,"&gt;="&amp;Diagram!$O64,'J1 B - Butcher Terrace'!$A$12:$A$130,"&lt;"&amp;Diagram!$P64),SUMIFS(INDIRECT(ADDRESS(12,3+18*0+(9),,,"J1 B - Butcher Terrace")&amp;":"&amp;ADDRESS(130,3+18*0+(9))),'J1 B - Butcher Terrace'!$A$12:$A$130,"&gt;="&amp;Diagram!$O64,'J1 B - Butcher Terrace'!$A$12:$A$130,"&lt;"&amp;Diagram!$P64)))</f>
        <v>1</v>
      </c>
      <c r="AQ64" s="42">
        <f ca="1">IF(OR($I$10="",$O64="",$P64="",$J$36&lt;&gt;"Yes"),0,IF($K$10=0,SUMIFS(INDIRECT(ADDRESS(12,3+18*1+(1),,,"J1 B - Butcher Terrace")&amp;":"&amp;ADDRESS(130,3+18*1+(1))),'J1 B - Butcher Terrace'!$A$12:$A$130,"&gt;="&amp;Diagram!$O64,'J1 B - Butcher Terrace'!$A$12:$A$130,"&lt;"&amp;Diagram!$P64),SUMIFS(INDIRECT(ADDRESS(12,3+18*1+(9),,,"J1 B - Butcher Terrace")&amp;":"&amp;ADDRESS(130,3+18*1+(9))),'J1 B - Butcher Terrace'!$A$12:$A$130,"&gt;="&amp;Diagram!$O64,'J1 B - Butcher Terrace'!$A$12:$A$130,"&lt;"&amp;Diagram!$P64)))</f>
        <v>1</v>
      </c>
      <c r="AR64" s="42">
        <f ca="1">IF(OR($I$10="",$O64="",$P64="",$J$36&lt;&gt;"Yes"),0,IF($K$10=0,SUMIFS(INDIRECT(ADDRESS(12,3+18*1+(1),,,"J1 C - (South) Bishopthorpe Roa")&amp;":"&amp;ADDRESS(130,3+18*1+(1))),'J1 C - (South) Bishopthorpe Roa'!$A$12:$A$130,"&gt;="&amp;Diagram!$O64,'J1 C - (South) Bishopthorpe Roa'!$A$12:$A$130,"&lt;"&amp;Diagram!$P64),SUMIFS(INDIRECT(ADDRESS(12,3+18*1+(9),,,"J1 C - (South) Bishopthorpe Roa")&amp;":"&amp;ADDRESS(130,3+18*1+(9))),'J1 C - (South) Bishopthorpe Roa'!$A$12:$A$130,"&gt;="&amp;Diagram!$O64,'J1 C - (South) Bishopthorpe Roa'!$A$12:$A$130,"&lt;"&amp;Diagram!$P64)))</f>
        <v>17</v>
      </c>
      <c r="AS64" s="42">
        <f ca="1">IF(OR($I$10="",$O64="",$P64="",$J$36&lt;&gt;"Yes"),0,IF($K$10=0,SUMIFS(INDIRECT(ADDRESS(12,3+18*2+(1),,,"J1 C - (South) Bishopthorpe Roa")&amp;":"&amp;ADDRESS(130,3+18*2+(1))),'J1 C - (South) Bishopthorpe Roa'!$A$12:$A$130,"&gt;="&amp;Diagram!$O64,'J1 C - (South) Bishopthorpe Roa'!$A$12:$A$130,"&lt;"&amp;Diagram!$P64),SUMIFS(INDIRECT(ADDRESS(12,3+18*2+(9),,,"J1 C - (South) Bishopthorpe Roa")&amp;":"&amp;ADDRESS(130,3+18*2+(9))),'J1 C - (South) Bishopthorpe Roa'!$A$12:$A$130,"&gt;="&amp;Diagram!$O64,'J1 C - (South) Bishopthorpe Roa'!$A$12:$A$130,"&lt;"&amp;Diagram!$P64)))</f>
        <v>2</v>
      </c>
      <c r="AT64" s="42">
        <f ca="1">IF(OR($I$10="",$O64="",$P64="",$J$36&lt;&gt;"Yes"),0,IF($K$10=0,SUMIFS(INDIRECT(ADDRESS(12,3+18*3+(1),,,"J1 C - (South) Bishopthorpe Roa")&amp;":"&amp;ADDRESS(130,3+18*3+(1))),'J1 C - (South) Bishopthorpe Roa'!$A$12:$A$130,"&gt;="&amp;Diagram!$O64,'J1 C - (South) Bishopthorpe Roa'!$A$12:$A$130,"&lt;"&amp;Diagram!$P64),SUMIFS(INDIRECT(ADDRESS(12,3+18*3+(9),,,"J1 C - (South) Bishopthorpe Roa")&amp;":"&amp;ADDRESS(130,3+18*3+(9))),'J1 C - (South) Bishopthorpe Roa'!$A$12:$A$130,"&gt;="&amp;Diagram!$O64,'J1 C - (South) Bishopthorpe Roa'!$A$12:$A$130,"&lt;"&amp;Diagram!$P64)))</f>
        <v>0</v>
      </c>
      <c r="AU64" s="42">
        <f ca="1">IF(OR($I$10="",$O64="",$P64="",$J$36&lt;&gt;"Yes"),0,IF($K$10=0,SUMIFS(INDIRECT(ADDRESS(12,3+18*0+(1),,,"J1 C - (South) Bishopthorpe Roa")&amp;":"&amp;ADDRESS(130,3+18*0+(1))),'J1 C - (South) Bishopthorpe Roa'!$A$12:$A$130,"&gt;="&amp;Diagram!$O64,'J1 C - (South) Bishopthorpe Roa'!$A$12:$A$130,"&lt;"&amp;Diagram!$P64),SUMIFS(INDIRECT(ADDRESS(12,3+18*0+(9),,,"J1 C - (South) Bishopthorpe Roa")&amp;":"&amp;ADDRESS(130,3+18*0+(9))),'J1 C - (South) Bishopthorpe Roa'!$A$12:$A$130,"&gt;="&amp;Diagram!$O64,'J1 C - (South) Bishopthorpe Roa'!$A$12:$A$130,"&lt;"&amp;Diagram!$P64)))</f>
        <v>1</v>
      </c>
      <c r="AV64" s="42">
        <f ca="1">IF(OR($I$10="",$O64="",$P64="",$J$36&lt;&gt;"Yes"),0,IF($K$10=0,SUMIFS(INDIRECT(ADDRESS(12,3+18*0+(1),,,"J1 D - South Bank Avenue")&amp;":"&amp;ADDRESS(130,3+18*0+(1))),'J1 D - South Bank Avenue'!$A$12:$A$130,"&gt;="&amp;Diagram!$O64,'J1 D - South Bank Avenue'!$A$12:$A$130,"&lt;"&amp;Diagram!$P64),SUMIFS(INDIRECT(ADDRESS(12,3+18*0+(9),,,"J1 D - South Bank Avenue")&amp;":"&amp;ADDRESS(130,3+18*0+(9))),'J1 D - South Bank Avenue'!$A$12:$A$130,"&gt;="&amp;Diagram!$O64,'J1 D - South Bank Avenue'!$A$12:$A$130,"&lt;"&amp;Diagram!$P64)))</f>
        <v>2</v>
      </c>
      <c r="AW64" s="42">
        <f ca="1">IF(OR($I$10="",$O64="",$P64="",$J$36&lt;&gt;"Yes"),0,IF($K$10=0,SUMIFS(INDIRECT(ADDRESS(12,3+18*1+(1),,,"J1 D - South Bank Avenue")&amp;":"&amp;ADDRESS(130,3+18*1+(1))),'J1 D - South Bank Avenue'!$A$12:$A$130,"&gt;="&amp;Diagram!$O64,'J1 D - South Bank Avenue'!$A$12:$A$130,"&lt;"&amp;Diagram!$P64),SUMIFS(INDIRECT(ADDRESS(12,3+18*1+(9),,,"J1 D - South Bank Avenue")&amp;":"&amp;ADDRESS(130,3+18*1+(9))),'J1 D - South Bank Avenue'!$A$12:$A$130,"&gt;="&amp;Diagram!$O64,'J1 D - South Bank Avenue'!$A$12:$A$130,"&lt;"&amp;Diagram!$P64)))</f>
        <v>0</v>
      </c>
      <c r="AX64" s="42">
        <f ca="1">IF(OR($I$10="",$O64="",$P64="",$J$36&lt;&gt;"Yes"),0,IF($K$10=0,SUMIFS(INDIRECT(ADDRESS(12,3+18*2+(1),,,"J1 D - South Bank Avenue")&amp;":"&amp;ADDRESS(130,3+18*2+(1))),'J1 D - South Bank Avenue'!$A$12:$A$130,"&gt;="&amp;Diagram!$O64,'J1 D - South Bank Avenue'!$A$12:$A$130,"&lt;"&amp;Diagram!$P64),SUMIFS(INDIRECT(ADDRESS(12,3+18*2+(9),,,"J1 D - South Bank Avenue")&amp;":"&amp;ADDRESS(130,3+18*2+(9))),'J1 D - South Bank Avenue'!$A$12:$A$130,"&gt;="&amp;Diagram!$O64,'J1 D - South Bank Avenue'!$A$12:$A$130,"&lt;"&amp;Diagram!$P64)))</f>
        <v>2</v>
      </c>
      <c r="AY64" s="42">
        <f ca="1">IF(OR($I$10="",$O64="",$P64="",$J$36&lt;&gt;"Yes"),0,IF($K$10=0,SUMIFS(INDIRECT(ADDRESS(12,3+18*3+(1),,,"J1 D - South Bank Avenue")&amp;":"&amp;ADDRESS(130,3+18*3+(1))),'J1 D - South Bank Avenue'!$A$12:$A$130,"&gt;="&amp;Diagram!$O64,'J1 D - South Bank Avenue'!$A$12:$A$130,"&lt;"&amp;Diagram!$P64),SUMIFS(INDIRECT(ADDRESS(12,3+18*3+(9),,,"J1 D - South Bank Avenue")&amp;":"&amp;ADDRESS(130,3+18*3+(9))),'J1 D - South Bank Avenue'!$A$12:$A$130,"&gt;="&amp;Diagram!$O64,'J1 D - South Bank Avenue'!$A$12:$A$130,"&lt;"&amp;Diagram!$P64)))</f>
        <v>0</v>
      </c>
      <c r="AZ64" s="42">
        <f t="shared" ca="1" si="3"/>
        <v>7</v>
      </c>
      <c r="BA64" s="42">
        <f ca="1">IF(OR($I$10="",$O64="",$P64="",$J$37&lt;&gt;"Yes"),0,IF($K$10=0,SUMIFS(INDIRECT(ADDRESS(12,3+18*3+(2),,,"J1 A - (North) Bishopthorpe Roa")&amp;":"&amp;ADDRESS(130,3+18*3+(2))),'J1 A - (North) Bishopthorpe Roa'!$A$12:$A$130,"&gt;="&amp;Diagram!$O64,'J1 A - (North) Bishopthorpe Roa'!$A$12:$A$130,"&lt;"&amp;Diagram!$P64),SUMIFS(INDIRECT(ADDRESS(12,3+18*3+(10),,,"J1 A - (North) Bishopthorpe Roa")&amp;":"&amp;ADDRESS(130,3+18*3+(10))),'J1 A - (North) Bishopthorpe Roa'!$A$12:$A$130,"&gt;="&amp;Diagram!$O64,'J1 A - (North) Bishopthorpe Roa'!$A$12:$A$130,"&lt;"&amp;Diagram!$P64)))</f>
        <v>0</v>
      </c>
      <c r="BB64" s="42">
        <f ca="1">IF(OR($I$10="",$O64="",$P64="",$J$37&lt;&gt;"Yes"),0,IF($K$10=0,SUMIFS(INDIRECT(ADDRESS(12,3+18*0+(2),,,"J1 A - (North) Bishopthorpe Roa")&amp;":"&amp;ADDRESS(130,3+18*0+(2))),'J1 A - (North) Bishopthorpe Roa'!$A$12:$A$130,"&gt;="&amp;Diagram!$O64,'J1 A - (North) Bishopthorpe Roa'!$A$12:$A$130,"&lt;"&amp;Diagram!$P64),SUMIFS(INDIRECT(ADDRESS(12,3+18*0+(10),,,"J1 A - (North) Bishopthorpe Roa")&amp;":"&amp;ADDRESS(130,3+18*0+(10))),'J1 A - (North) Bishopthorpe Roa'!$A$12:$A$130,"&gt;="&amp;Diagram!$O64,'J1 A - (North) Bishopthorpe Roa'!$A$12:$A$130,"&lt;"&amp;Diagram!$P64)))</f>
        <v>0</v>
      </c>
      <c r="BC64" s="42">
        <f ca="1">IF(OR($I$10="",$O64="",$P64="",$J$37&lt;&gt;"Yes"),0,IF($K$10=0,SUMIFS(INDIRECT(ADDRESS(12,3+18*1+(2),,,"J1 A - (North) Bishopthorpe Roa")&amp;":"&amp;ADDRESS(130,3+18*1+(2))),'J1 A - (North) Bishopthorpe Roa'!$A$12:$A$130,"&gt;="&amp;Diagram!$O64,'J1 A - (North) Bishopthorpe Roa'!$A$12:$A$130,"&lt;"&amp;Diagram!$P64),SUMIFS(INDIRECT(ADDRESS(12,3+18*1+(10),,,"J1 A - (North) Bishopthorpe Roa")&amp;":"&amp;ADDRESS(130,3+18*1+(10))),'J1 A - (North) Bishopthorpe Roa'!$A$12:$A$130,"&gt;="&amp;Diagram!$O64,'J1 A - (North) Bishopthorpe Roa'!$A$12:$A$130,"&lt;"&amp;Diagram!$P64)))</f>
        <v>1</v>
      </c>
      <c r="BD64" s="42">
        <f ca="1">IF(OR($I$10="",$O64="",$P64="",$J$37&lt;&gt;"Yes"),0,IF($K$10=0,SUMIFS(INDIRECT(ADDRESS(12,3+18*2+(2),,,"J1 A - (North) Bishopthorpe Roa")&amp;":"&amp;ADDRESS(130,3+18*2+(2))),'J1 A - (North) Bishopthorpe Roa'!$A$12:$A$130,"&gt;="&amp;Diagram!$O64,'J1 A - (North) Bishopthorpe Roa'!$A$12:$A$130,"&lt;"&amp;Diagram!$P64),SUMIFS(INDIRECT(ADDRESS(12,3+18*2+(10),,,"J1 A - (North) Bishopthorpe Roa")&amp;":"&amp;ADDRESS(130,3+18*2+(10))),'J1 A - (North) Bishopthorpe Roa'!$A$12:$A$130,"&gt;="&amp;Diagram!$O64,'J1 A - (North) Bishopthorpe Roa'!$A$12:$A$130,"&lt;"&amp;Diagram!$P64)))</f>
        <v>1</v>
      </c>
      <c r="BE64" s="42">
        <f ca="1">IF(OR($I$10="",$O64="",$P64="",$J$37&lt;&gt;"Yes"),0,IF($K$10=0,SUMIFS(INDIRECT(ADDRESS(12,3+18*2+(2),,,"J1 B - Butcher Terrace")&amp;":"&amp;ADDRESS(130,3+18*2+(2))),'J1 B - Butcher Terrace'!$A$12:$A$130,"&gt;="&amp;Diagram!$O64,'J1 B - Butcher Terrace'!$A$12:$A$130,"&lt;"&amp;Diagram!$P64),SUMIFS(INDIRECT(ADDRESS(12,3+18*2+(10),,,"J1 B - Butcher Terrace")&amp;":"&amp;ADDRESS(130,3+18*2+(10))),'J1 B - Butcher Terrace'!$A$12:$A$130,"&gt;="&amp;Diagram!$O64,'J1 B - Butcher Terrace'!$A$12:$A$130,"&lt;"&amp;Diagram!$P64)))</f>
        <v>0</v>
      </c>
      <c r="BF64" s="42">
        <f ca="1">IF(OR($I$10="",$O64="",$P64="",$J$37&lt;&gt;"Yes"),0,IF($K$10=0,SUMIFS(INDIRECT(ADDRESS(12,3+18*3+(2),,,"J1 B - Butcher Terrace")&amp;":"&amp;ADDRESS(130,3+18*3+(2))),'J1 B - Butcher Terrace'!$A$12:$A$130,"&gt;="&amp;Diagram!$O64,'J1 B - Butcher Terrace'!$A$12:$A$130,"&lt;"&amp;Diagram!$P64),SUMIFS(INDIRECT(ADDRESS(12,3+18*3+(10),,,"J1 B - Butcher Terrace")&amp;":"&amp;ADDRESS(130,3+18*3+(10))),'J1 B - Butcher Terrace'!$A$12:$A$130,"&gt;="&amp;Diagram!$O64,'J1 B - Butcher Terrace'!$A$12:$A$130,"&lt;"&amp;Diagram!$P64)))</f>
        <v>0</v>
      </c>
      <c r="BG64" s="42">
        <f ca="1">IF(OR($I$10="",$O64="",$P64="",$J$37&lt;&gt;"Yes"),0,IF($K$10=0,SUMIFS(INDIRECT(ADDRESS(12,3+18*0+(2),,,"J1 B - Butcher Terrace")&amp;":"&amp;ADDRESS(130,3+18*0+(2))),'J1 B - Butcher Terrace'!$A$12:$A$130,"&gt;="&amp;Diagram!$O64,'J1 B - Butcher Terrace'!$A$12:$A$130,"&lt;"&amp;Diagram!$P64),SUMIFS(INDIRECT(ADDRESS(12,3+18*0+(10),,,"J1 B - Butcher Terrace")&amp;":"&amp;ADDRESS(130,3+18*0+(10))),'J1 B - Butcher Terrace'!$A$12:$A$130,"&gt;="&amp;Diagram!$O64,'J1 B - Butcher Terrace'!$A$12:$A$130,"&lt;"&amp;Diagram!$P64)))</f>
        <v>0</v>
      </c>
      <c r="BH64" s="42">
        <f ca="1">IF(OR($I$10="",$O64="",$P64="",$J$37&lt;&gt;"Yes"),0,IF($K$10=0,SUMIFS(INDIRECT(ADDRESS(12,3+18*1+(2),,,"J1 B - Butcher Terrace")&amp;":"&amp;ADDRESS(130,3+18*1+(2))),'J1 B - Butcher Terrace'!$A$12:$A$130,"&gt;="&amp;Diagram!$O64,'J1 B - Butcher Terrace'!$A$12:$A$130,"&lt;"&amp;Diagram!$P64),SUMIFS(INDIRECT(ADDRESS(12,3+18*1+(10),,,"J1 B - Butcher Terrace")&amp;":"&amp;ADDRESS(130,3+18*1+(10))),'J1 B - Butcher Terrace'!$A$12:$A$130,"&gt;="&amp;Diagram!$O64,'J1 B - Butcher Terrace'!$A$12:$A$130,"&lt;"&amp;Diagram!$P64)))</f>
        <v>0</v>
      </c>
      <c r="BI64" s="42">
        <f ca="1">IF(OR($I$10="",$O64="",$P64="",$J$37&lt;&gt;"Yes"),0,IF($K$10=0,SUMIFS(INDIRECT(ADDRESS(12,3+18*1+(2),,,"J1 C - (South) Bishopthorpe Roa")&amp;":"&amp;ADDRESS(130,3+18*1+(2))),'J1 C - (South) Bishopthorpe Roa'!$A$12:$A$130,"&gt;="&amp;Diagram!$O64,'J1 C - (South) Bishopthorpe Roa'!$A$12:$A$130,"&lt;"&amp;Diagram!$P64),SUMIFS(INDIRECT(ADDRESS(12,3+18*1+(10),,,"J1 C - (South) Bishopthorpe Roa")&amp;":"&amp;ADDRESS(130,3+18*1+(10))),'J1 C - (South) Bishopthorpe Roa'!$A$12:$A$130,"&gt;="&amp;Diagram!$O64,'J1 C - (South) Bishopthorpe Roa'!$A$12:$A$130,"&lt;"&amp;Diagram!$P64)))</f>
        <v>2</v>
      </c>
      <c r="BJ64" s="42">
        <f ca="1">IF(OR($I$10="",$O64="",$P64="",$J$37&lt;&gt;"Yes"),0,IF($K$10=0,SUMIFS(INDIRECT(ADDRESS(12,3+18*2+(2),,,"J1 C - (South) Bishopthorpe Roa")&amp;":"&amp;ADDRESS(130,3+18*2+(2))),'J1 C - (South) Bishopthorpe Roa'!$A$12:$A$130,"&gt;="&amp;Diagram!$O64,'J1 C - (South) Bishopthorpe Roa'!$A$12:$A$130,"&lt;"&amp;Diagram!$P64),SUMIFS(INDIRECT(ADDRESS(12,3+18*2+(10),,,"J1 C - (South) Bishopthorpe Roa")&amp;":"&amp;ADDRESS(130,3+18*2+(10))),'J1 C - (South) Bishopthorpe Roa'!$A$12:$A$130,"&gt;="&amp;Diagram!$O64,'J1 C - (South) Bishopthorpe Roa'!$A$12:$A$130,"&lt;"&amp;Diagram!$P64)))</f>
        <v>0</v>
      </c>
      <c r="BK64" s="42">
        <f ca="1">IF(OR($I$10="",$O64="",$P64="",$J$37&lt;&gt;"Yes"),0,IF($K$10=0,SUMIFS(INDIRECT(ADDRESS(12,3+18*3+(2),,,"J1 C - (South) Bishopthorpe Roa")&amp;":"&amp;ADDRESS(130,3+18*3+(2))),'J1 C - (South) Bishopthorpe Roa'!$A$12:$A$130,"&gt;="&amp;Diagram!$O64,'J1 C - (South) Bishopthorpe Roa'!$A$12:$A$130,"&lt;"&amp;Diagram!$P64),SUMIFS(INDIRECT(ADDRESS(12,3+18*3+(10),,,"J1 C - (South) Bishopthorpe Roa")&amp;":"&amp;ADDRESS(130,3+18*3+(10))),'J1 C - (South) Bishopthorpe Roa'!$A$12:$A$130,"&gt;="&amp;Diagram!$O64,'J1 C - (South) Bishopthorpe Roa'!$A$12:$A$130,"&lt;"&amp;Diagram!$P64)))</f>
        <v>0</v>
      </c>
      <c r="BL64" s="42">
        <f ca="1">IF(OR($I$10="",$O64="",$P64="",$J$37&lt;&gt;"Yes"),0,IF($K$10=0,SUMIFS(INDIRECT(ADDRESS(12,3+18*0+(2),,,"J1 C - (South) Bishopthorpe Roa")&amp;":"&amp;ADDRESS(130,3+18*0+(2))),'J1 C - (South) Bishopthorpe Roa'!$A$12:$A$130,"&gt;="&amp;Diagram!$O64,'J1 C - (South) Bishopthorpe Roa'!$A$12:$A$130,"&lt;"&amp;Diagram!$P64),SUMIFS(INDIRECT(ADDRESS(12,3+18*0+(10),,,"J1 C - (South) Bishopthorpe Roa")&amp;":"&amp;ADDRESS(130,3+18*0+(10))),'J1 C - (South) Bishopthorpe Roa'!$A$12:$A$130,"&gt;="&amp;Diagram!$O64,'J1 C - (South) Bishopthorpe Roa'!$A$12:$A$130,"&lt;"&amp;Diagram!$P64)))</f>
        <v>1</v>
      </c>
      <c r="BM64" s="42">
        <f ca="1">IF(OR($I$10="",$O64="",$P64="",$J$37&lt;&gt;"Yes"),0,IF($K$10=0,SUMIFS(INDIRECT(ADDRESS(12,3+18*0+(2),,,"J1 D - South Bank Avenue")&amp;":"&amp;ADDRESS(130,3+18*0+(2))),'J1 D - South Bank Avenue'!$A$12:$A$130,"&gt;="&amp;Diagram!$O64,'J1 D - South Bank Avenue'!$A$12:$A$130,"&lt;"&amp;Diagram!$P64),SUMIFS(INDIRECT(ADDRESS(12,3+18*0+(10),,,"J1 D - South Bank Avenue")&amp;":"&amp;ADDRESS(130,3+18*0+(10))),'J1 D - South Bank Avenue'!$A$12:$A$130,"&gt;="&amp;Diagram!$O64,'J1 D - South Bank Avenue'!$A$12:$A$130,"&lt;"&amp;Diagram!$P64)))</f>
        <v>2</v>
      </c>
      <c r="BN64" s="42">
        <f ca="1">IF(OR($I$10="",$O64="",$P64="",$J$37&lt;&gt;"Yes"),0,IF($K$10=0,SUMIFS(INDIRECT(ADDRESS(12,3+18*1+(2),,,"J1 D - South Bank Avenue")&amp;":"&amp;ADDRESS(130,3+18*1+(2))),'J1 D - South Bank Avenue'!$A$12:$A$130,"&gt;="&amp;Diagram!$O64,'J1 D - South Bank Avenue'!$A$12:$A$130,"&lt;"&amp;Diagram!$P64),SUMIFS(INDIRECT(ADDRESS(12,3+18*1+(10),,,"J1 D - South Bank Avenue")&amp;":"&amp;ADDRESS(130,3+18*1+(10))),'J1 D - South Bank Avenue'!$A$12:$A$130,"&gt;="&amp;Diagram!$O64,'J1 D - South Bank Avenue'!$A$12:$A$130,"&lt;"&amp;Diagram!$P64)))</f>
        <v>0</v>
      </c>
      <c r="BO64" s="42">
        <f ca="1">IF(OR($I$10="",$O64="",$P64="",$J$37&lt;&gt;"Yes"),0,IF($K$10=0,SUMIFS(INDIRECT(ADDRESS(12,3+18*2+(2),,,"J1 D - South Bank Avenue")&amp;":"&amp;ADDRESS(130,3+18*2+(2))),'J1 D - South Bank Avenue'!$A$12:$A$130,"&gt;="&amp;Diagram!$O64,'J1 D - South Bank Avenue'!$A$12:$A$130,"&lt;"&amp;Diagram!$P64),SUMIFS(INDIRECT(ADDRESS(12,3+18*2+(10),,,"J1 D - South Bank Avenue")&amp;":"&amp;ADDRESS(130,3+18*2+(10))),'J1 D - South Bank Avenue'!$A$12:$A$130,"&gt;="&amp;Diagram!$O64,'J1 D - South Bank Avenue'!$A$12:$A$130,"&lt;"&amp;Diagram!$P64)))</f>
        <v>0</v>
      </c>
      <c r="BP64" s="42">
        <f ca="1">IF(OR($I$10="",$O64="",$P64="",$J$37&lt;&gt;"Yes"),0,IF($K$10=0,SUMIFS(INDIRECT(ADDRESS(12,3+18*3+(2),,,"J1 D - South Bank Avenue")&amp;":"&amp;ADDRESS(130,3+18*3+(2))),'J1 D - South Bank Avenue'!$A$12:$A$130,"&gt;="&amp;Diagram!$O64,'J1 D - South Bank Avenue'!$A$12:$A$130,"&lt;"&amp;Diagram!$P64),SUMIFS(INDIRECT(ADDRESS(12,3+18*3+(10),,,"J1 D - South Bank Avenue")&amp;":"&amp;ADDRESS(130,3+18*3+(10))),'J1 D - South Bank Avenue'!$A$12:$A$130,"&gt;="&amp;Diagram!$O64,'J1 D - South Bank Avenue'!$A$12:$A$130,"&lt;"&amp;Diagram!$P64)))</f>
        <v>0</v>
      </c>
      <c r="BQ64" s="42">
        <f t="shared" ca="1" si="4"/>
        <v>0</v>
      </c>
      <c r="BR64" s="42">
        <f ca="1">IF(OR($I$10="",$O64="",$P64="",$J$38&lt;&gt;"Yes"),0,IF($K$10=0,SUMIFS(INDIRECT(ADDRESS(12,3+18*3+(3),,,"J1 A - (North) Bishopthorpe Roa")&amp;":"&amp;ADDRESS(130,3+18*3+(3))),'J1 A - (North) Bishopthorpe Roa'!$A$12:$A$130,"&gt;="&amp;Diagram!$O64,'J1 A - (North) Bishopthorpe Roa'!$A$12:$A$130,"&lt;"&amp;Diagram!$P64),SUMIFS(INDIRECT(ADDRESS(12,3+18*3+(11),,,"J1 A - (North) Bishopthorpe Roa")&amp;":"&amp;ADDRESS(130,3+18*3+(11))),'J1 A - (North) Bishopthorpe Roa'!$A$12:$A$130,"&gt;="&amp;Diagram!$O64,'J1 A - (North) Bishopthorpe Roa'!$A$12:$A$130,"&lt;"&amp;Diagram!$P64)))</f>
        <v>0</v>
      </c>
      <c r="BS64" s="42">
        <f ca="1">IF(OR($I$10="",$O64="",$P64="",$J$38&lt;&gt;"Yes"),0,IF($K$10=0,SUMIFS(INDIRECT(ADDRESS(12,3+18*0+(3),,,"J1 A - (North) Bishopthorpe Roa")&amp;":"&amp;ADDRESS(130,3+18*0+(3))),'J1 A - (North) Bishopthorpe Roa'!$A$12:$A$130,"&gt;="&amp;Diagram!$O64,'J1 A - (North) Bishopthorpe Roa'!$A$12:$A$130,"&lt;"&amp;Diagram!$P64),SUMIFS(INDIRECT(ADDRESS(12,3+18*0+(11),,,"J1 A - (North) Bishopthorpe Roa")&amp;":"&amp;ADDRESS(130,3+18*0+(11))),'J1 A - (North) Bishopthorpe Roa'!$A$12:$A$130,"&gt;="&amp;Diagram!$O64,'J1 A - (North) Bishopthorpe Roa'!$A$12:$A$130,"&lt;"&amp;Diagram!$P64)))</f>
        <v>0</v>
      </c>
      <c r="BT64" s="42">
        <f ca="1">IF(OR($I$10="",$O64="",$P64="",$J$38&lt;&gt;"Yes"),0,IF($K$10=0,SUMIFS(INDIRECT(ADDRESS(12,3+18*1+(3),,,"J1 A - (North) Bishopthorpe Roa")&amp;":"&amp;ADDRESS(130,3+18*1+(3))),'J1 A - (North) Bishopthorpe Roa'!$A$12:$A$130,"&gt;="&amp;Diagram!$O64,'J1 A - (North) Bishopthorpe Roa'!$A$12:$A$130,"&lt;"&amp;Diagram!$P64),SUMIFS(INDIRECT(ADDRESS(12,3+18*1+(11),,,"J1 A - (North) Bishopthorpe Roa")&amp;":"&amp;ADDRESS(130,3+18*1+(11))),'J1 A - (North) Bishopthorpe Roa'!$A$12:$A$130,"&gt;="&amp;Diagram!$O64,'J1 A - (North) Bishopthorpe Roa'!$A$12:$A$130,"&lt;"&amp;Diagram!$P64)))</f>
        <v>0</v>
      </c>
      <c r="BU64" s="42">
        <f ca="1">IF(OR($I$10="",$O64="",$P64="",$J$38&lt;&gt;"Yes"),0,IF($K$10=0,SUMIFS(INDIRECT(ADDRESS(12,3+18*2+(3),,,"J1 A - (North) Bishopthorpe Roa")&amp;":"&amp;ADDRESS(130,3+18*2+(3))),'J1 A - (North) Bishopthorpe Roa'!$A$12:$A$130,"&gt;="&amp;Diagram!$O64,'J1 A - (North) Bishopthorpe Roa'!$A$12:$A$130,"&lt;"&amp;Diagram!$P64),SUMIFS(INDIRECT(ADDRESS(12,3+18*2+(11),,,"J1 A - (North) Bishopthorpe Roa")&amp;":"&amp;ADDRESS(130,3+18*2+(11))),'J1 A - (North) Bishopthorpe Roa'!$A$12:$A$130,"&gt;="&amp;Diagram!$O64,'J1 A - (North) Bishopthorpe Roa'!$A$12:$A$130,"&lt;"&amp;Diagram!$P64)))</f>
        <v>0</v>
      </c>
      <c r="BV64" s="42">
        <f ca="1">IF(OR($I$10="",$O64="",$P64="",$J$38&lt;&gt;"Yes"),0,IF($K$10=0,SUMIFS(INDIRECT(ADDRESS(12,3+18*2+(3),,,"J1 B - Butcher Terrace")&amp;":"&amp;ADDRESS(130,3+18*2+(3))),'J1 B - Butcher Terrace'!$A$12:$A$130,"&gt;="&amp;Diagram!$O64,'J1 B - Butcher Terrace'!$A$12:$A$130,"&lt;"&amp;Diagram!$P64),SUMIFS(INDIRECT(ADDRESS(12,3+18*2+(11),,,"J1 B - Butcher Terrace")&amp;":"&amp;ADDRESS(130,3+18*2+(11))),'J1 B - Butcher Terrace'!$A$12:$A$130,"&gt;="&amp;Diagram!$O64,'J1 B - Butcher Terrace'!$A$12:$A$130,"&lt;"&amp;Diagram!$P64)))</f>
        <v>0</v>
      </c>
      <c r="BW64" s="42">
        <f ca="1">IF(OR($I$10="",$O64="",$P64="",$J$38&lt;&gt;"Yes"),0,IF($K$10=0,SUMIFS(INDIRECT(ADDRESS(12,3+18*3+(3),,,"J1 B - Butcher Terrace")&amp;":"&amp;ADDRESS(130,3+18*3+(3))),'J1 B - Butcher Terrace'!$A$12:$A$130,"&gt;="&amp;Diagram!$O64,'J1 B - Butcher Terrace'!$A$12:$A$130,"&lt;"&amp;Diagram!$P64),SUMIFS(INDIRECT(ADDRESS(12,3+18*3+(11),,,"J1 B - Butcher Terrace")&amp;":"&amp;ADDRESS(130,3+18*3+(11))),'J1 B - Butcher Terrace'!$A$12:$A$130,"&gt;="&amp;Diagram!$O64,'J1 B - Butcher Terrace'!$A$12:$A$130,"&lt;"&amp;Diagram!$P64)))</f>
        <v>0</v>
      </c>
      <c r="BX64" s="42">
        <f ca="1">IF(OR($I$10="",$O64="",$P64="",$J$38&lt;&gt;"Yes"),0,IF($K$10=0,SUMIFS(INDIRECT(ADDRESS(12,3+18*0+(3),,,"J1 B - Butcher Terrace")&amp;":"&amp;ADDRESS(130,3+18*0+(3))),'J1 B - Butcher Terrace'!$A$12:$A$130,"&gt;="&amp;Diagram!$O64,'J1 B - Butcher Terrace'!$A$12:$A$130,"&lt;"&amp;Diagram!$P64),SUMIFS(INDIRECT(ADDRESS(12,3+18*0+(11),,,"J1 B - Butcher Terrace")&amp;":"&amp;ADDRESS(130,3+18*0+(11))),'J1 B - Butcher Terrace'!$A$12:$A$130,"&gt;="&amp;Diagram!$O64,'J1 B - Butcher Terrace'!$A$12:$A$130,"&lt;"&amp;Diagram!$P64)))</f>
        <v>0</v>
      </c>
      <c r="BY64" s="42">
        <f ca="1">IF(OR($I$10="",$O64="",$P64="",$J$38&lt;&gt;"Yes"),0,IF($K$10=0,SUMIFS(INDIRECT(ADDRESS(12,3+18*1+(3),,,"J1 B - Butcher Terrace")&amp;":"&amp;ADDRESS(130,3+18*1+(3))),'J1 B - Butcher Terrace'!$A$12:$A$130,"&gt;="&amp;Diagram!$O64,'J1 B - Butcher Terrace'!$A$12:$A$130,"&lt;"&amp;Diagram!$P64),SUMIFS(INDIRECT(ADDRESS(12,3+18*1+(11),,,"J1 B - Butcher Terrace")&amp;":"&amp;ADDRESS(130,3+18*1+(11))),'J1 B - Butcher Terrace'!$A$12:$A$130,"&gt;="&amp;Diagram!$O64,'J1 B - Butcher Terrace'!$A$12:$A$130,"&lt;"&amp;Diagram!$P64)))</f>
        <v>0</v>
      </c>
      <c r="BZ64" s="42">
        <f ca="1">IF(OR($I$10="",$O64="",$P64="",$J$38&lt;&gt;"Yes"),0,IF($K$10=0,SUMIFS(INDIRECT(ADDRESS(12,3+18*1+(3),,,"J1 C - (South) Bishopthorpe Roa")&amp;":"&amp;ADDRESS(130,3+18*1+(3))),'J1 C - (South) Bishopthorpe Roa'!$A$12:$A$130,"&gt;="&amp;Diagram!$O64,'J1 C - (South) Bishopthorpe Roa'!$A$12:$A$130,"&lt;"&amp;Diagram!$P64),SUMIFS(INDIRECT(ADDRESS(12,3+18*1+(11),,,"J1 C - (South) Bishopthorpe Roa")&amp;":"&amp;ADDRESS(130,3+18*1+(11))),'J1 C - (South) Bishopthorpe Roa'!$A$12:$A$130,"&gt;="&amp;Diagram!$O64,'J1 C - (South) Bishopthorpe Roa'!$A$12:$A$130,"&lt;"&amp;Diagram!$P64)))</f>
        <v>0</v>
      </c>
      <c r="CA64" s="42">
        <f ca="1">IF(OR($I$10="",$O64="",$P64="",$J$38&lt;&gt;"Yes"),0,IF($K$10=0,SUMIFS(INDIRECT(ADDRESS(12,3+18*2+(3),,,"J1 C - (South) Bishopthorpe Roa")&amp;":"&amp;ADDRESS(130,3+18*2+(3))),'J1 C - (South) Bishopthorpe Roa'!$A$12:$A$130,"&gt;="&amp;Diagram!$O64,'J1 C - (South) Bishopthorpe Roa'!$A$12:$A$130,"&lt;"&amp;Diagram!$P64),SUMIFS(INDIRECT(ADDRESS(12,3+18*2+(11),,,"J1 C - (South) Bishopthorpe Roa")&amp;":"&amp;ADDRESS(130,3+18*2+(11))),'J1 C - (South) Bishopthorpe Roa'!$A$12:$A$130,"&gt;="&amp;Diagram!$O64,'J1 C - (South) Bishopthorpe Roa'!$A$12:$A$130,"&lt;"&amp;Diagram!$P64)))</f>
        <v>0</v>
      </c>
      <c r="CB64" s="42">
        <f ca="1">IF(OR($I$10="",$O64="",$P64="",$J$38&lt;&gt;"Yes"),0,IF($K$10=0,SUMIFS(INDIRECT(ADDRESS(12,3+18*3+(3),,,"J1 C - (South) Bishopthorpe Roa")&amp;":"&amp;ADDRESS(130,3+18*3+(3))),'J1 C - (South) Bishopthorpe Roa'!$A$12:$A$130,"&gt;="&amp;Diagram!$O64,'J1 C - (South) Bishopthorpe Roa'!$A$12:$A$130,"&lt;"&amp;Diagram!$P64),SUMIFS(INDIRECT(ADDRESS(12,3+18*3+(11),,,"J1 C - (South) Bishopthorpe Roa")&amp;":"&amp;ADDRESS(130,3+18*3+(11))),'J1 C - (South) Bishopthorpe Roa'!$A$12:$A$130,"&gt;="&amp;Diagram!$O64,'J1 C - (South) Bishopthorpe Roa'!$A$12:$A$130,"&lt;"&amp;Diagram!$P64)))</f>
        <v>0</v>
      </c>
      <c r="CC64" s="42">
        <f ca="1">IF(OR($I$10="",$O64="",$P64="",$J$38&lt;&gt;"Yes"),0,IF($K$10=0,SUMIFS(INDIRECT(ADDRESS(12,3+18*0+(3),,,"J1 C - (South) Bishopthorpe Roa")&amp;":"&amp;ADDRESS(130,3+18*0+(3))),'J1 C - (South) Bishopthorpe Roa'!$A$12:$A$130,"&gt;="&amp;Diagram!$O64,'J1 C - (South) Bishopthorpe Roa'!$A$12:$A$130,"&lt;"&amp;Diagram!$P64),SUMIFS(INDIRECT(ADDRESS(12,3+18*0+(11),,,"J1 C - (South) Bishopthorpe Roa")&amp;":"&amp;ADDRESS(130,3+18*0+(11))),'J1 C - (South) Bishopthorpe Roa'!$A$12:$A$130,"&gt;="&amp;Diagram!$O64,'J1 C - (South) Bishopthorpe Roa'!$A$12:$A$130,"&lt;"&amp;Diagram!$P64)))</f>
        <v>0</v>
      </c>
      <c r="CD64" s="42">
        <f ca="1">IF(OR($I$10="",$O64="",$P64="",$J$38&lt;&gt;"Yes"),0,IF($K$10=0,SUMIFS(INDIRECT(ADDRESS(12,3+18*0+(3),,,"J1 D - South Bank Avenue")&amp;":"&amp;ADDRESS(130,3+18*0+(3))),'J1 D - South Bank Avenue'!$A$12:$A$130,"&gt;="&amp;Diagram!$O64,'J1 D - South Bank Avenue'!$A$12:$A$130,"&lt;"&amp;Diagram!$P64),SUMIFS(INDIRECT(ADDRESS(12,3+18*0+(11),,,"J1 D - South Bank Avenue")&amp;":"&amp;ADDRESS(130,3+18*0+(11))),'J1 D - South Bank Avenue'!$A$12:$A$130,"&gt;="&amp;Diagram!$O64,'J1 D - South Bank Avenue'!$A$12:$A$130,"&lt;"&amp;Diagram!$P64)))</f>
        <v>0</v>
      </c>
      <c r="CE64" s="42">
        <f ca="1">IF(OR($I$10="",$O64="",$P64="",$J$38&lt;&gt;"Yes"),0,IF($K$10=0,SUMIFS(INDIRECT(ADDRESS(12,3+18*1+(3),,,"J1 D - South Bank Avenue")&amp;":"&amp;ADDRESS(130,3+18*1+(3))),'J1 D - South Bank Avenue'!$A$12:$A$130,"&gt;="&amp;Diagram!$O64,'J1 D - South Bank Avenue'!$A$12:$A$130,"&lt;"&amp;Diagram!$P64),SUMIFS(INDIRECT(ADDRESS(12,3+18*1+(11),,,"J1 D - South Bank Avenue")&amp;":"&amp;ADDRESS(130,3+18*1+(11))),'J1 D - South Bank Avenue'!$A$12:$A$130,"&gt;="&amp;Diagram!$O64,'J1 D - South Bank Avenue'!$A$12:$A$130,"&lt;"&amp;Diagram!$P64)))</f>
        <v>0</v>
      </c>
      <c r="CF64" s="42">
        <f ca="1">IF(OR($I$10="",$O64="",$P64="",$J$38&lt;&gt;"Yes"),0,IF($K$10=0,SUMIFS(INDIRECT(ADDRESS(12,3+18*2+(3),,,"J1 D - South Bank Avenue")&amp;":"&amp;ADDRESS(130,3+18*2+(3))),'J1 D - South Bank Avenue'!$A$12:$A$130,"&gt;="&amp;Diagram!$O64,'J1 D - South Bank Avenue'!$A$12:$A$130,"&lt;"&amp;Diagram!$P64),SUMIFS(INDIRECT(ADDRESS(12,3+18*2+(11),,,"J1 D - South Bank Avenue")&amp;":"&amp;ADDRESS(130,3+18*2+(11))),'J1 D - South Bank Avenue'!$A$12:$A$130,"&gt;="&amp;Diagram!$O64,'J1 D - South Bank Avenue'!$A$12:$A$130,"&lt;"&amp;Diagram!$P64)))</f>
        <v>0</v>
      </c>
      <c r="CG64" s="42">
        <f ca="1">IF(OR($I$10="",$O64="",$P64="",$J$38&lt;&gt;"Yes"),0,IF($K$10=0,SUMIFS(INDIRECT(ADDRESS(12,3+18*3+(3),,,"J1 D - South Bank Avenue")&amp;":"&amp;ADDRESS(130,3+18*3+(3))),'J1 D - South Bank Avenue'!$A$12:$A$130,"&gt;="&amp;Diagram!$O64,'J1 D - South Bank Avenue'!$A$12:$A$130,"&lt;"&amp;Diagram!$P64),SUMIFS(INDIRECT(ADDRESS(12,3+18*3+(11),,,"J1 D - South Bank Avenue")&amp;":"&amp;ADDRESS(130,3+18*3+(11))),'J1 D - South Bank Avenue'!$A$12:$A$130,"&gt;="&amp;Diagram!$O64,'J1 D - South Bank Avenue'!$A$12:$A$130,"&lt;"&amp;Diagram!$P64)))</f>
        <v>0</v>
      </c>
      <c r="CH64" s="42">
        <f t="shared" ca="1" si="5"/>
        <v>6</v>
      </c>
      <c r="CI64" s="42">
        <f ca="1">IF(OR($I$10="",$O64="",$P64="",$J$39&lt;&gt;"Yes"),0,IF($K$10=0,SUMIFS(INDIRECT(ADDRESS(12,3+18*3+(4),,,"J1 A - (North) Bishopthorpe Roa")&amp;":"&amp;ADDRESS(130,3+18*3+(4))),'J1 A - (North) Bishopthorpe Roa'!$A$12:$A$130,"&gt;="&amp;Diagram!$O64,'J1 A - (North) Bishopthorpe Roa'!$A$12:$A$130,"&lt;"&amp;Diagram!$P64),SUMIFS(INDIRECT(ADDRESS(12,3+18*3+(12),,,"J1 A - (North) Bishopthorpe Roa")&amp;":"&amp;ADDRESS(130,3+18*3+(12))),'J1 A - (North) Bishopthorpe Roa'!$A$12:$A$130,"&gt;="&amp;Diagram!$O64,'J1 A - (North) Bishopthorpe Roa'!$A$12:$A$130,"&lt;"&amp;Diagram!$P64)))</f>
        <v>0</v>
      </c>
      <c r="CJ64" s="42">
        <f ca="1">IF(OR($I$10="",$O64="",$P64="",$J$39&lt;&gt;"Yes"),0,IF($K$10=0,SUMIFS(INDIRECT(ADDRESS(12,3+18*0+(4),,,"J1 A - (North) Bishopthorpe Roa")&amp;":"&amp;ADDRESS(130,3+18*0+(4))),'J1 A - (North) Bishopthorpe Roa'!$A$12:$A$130,"&gt;="&amp;Diagram!$O64,'J1 A - (North) Bishopthorpe Roa'!$A$12:$A$130,"&lt;"&amp;Diagram!$P64),SUMIFS(INDIRECT(ADDRESS(12,3+18*0+(12),,,"J1 A - (North) Bishopthorpe Roa")&amp;":"&amp;ADDRESS(130,3+18*0+(12))),'J1 A - (North) Bishopthorpe Roa'!$A$12:$A$130,"&gt;="&amp;Diagram!$O64,'J1 A - (North) Bishopthorpe Roa'!$A$12:$A$130,"&lt;"&amp;Diagram!$P64)))</f>
        <v>0</v>
      </c>
      <c r="CK64" s="42">
        <f ca="1">IF(OR($I$10="",$O64="",$P64="",$J$39&lt;&gt;"Yes"),0,IF($K$10=0,SUMIFS(INDIRECT(ADDRESS(12,3+18*1+(4),,,"J1 A - (North) Bishopthorpe Roa")&amp;":"&amp;ADDRESS(130,3+18*1+(4))),'J1 A - (North) Bishopthorpe Roa'!$A$12:$A$130,"&gt;="&amp;Diagram!$O64,'J1 A - (North) Bishopthorpe Roa'!$A$12:$A$130,"&lt;"&amp;Diagram!$P64),SUMIFS(INDIRECT(ADDRESS(12,3+18*1+(12),,,"J1 A - (North) Bishopthorpe Roa")&amp;":"&amp;ADDRESS(130,3+18*1+(12))),'J1 A - (North) Bishopthorpe Roa'!$A$12:$A$130,"&gt;="&amp;Diagram!$O64,'J1 A - (North) Bishopthorpe Roa'!$A$12:$A$130,"&lt;"&amp;Diagram!$P64)))</f>
        <v>2</v>
      </c>
      <c r="CL64" s="42">
        <f ca="1">IF(OR($I$10="",$O64="",$P64="",$J$39&lt;&gt;"Yes"),0,IF($K$10=0,SUMIFS(INDIRECT(ADDRESS(12,3+18*2+(4),,,"J1 A - (North) Bishopthorpe Roa")&amp;":"&amp;ADDRESS(130,3+18*2+(4))),'J1 A - (North) Bishopthorpe Roa'!$A$12:$A$130,"&gt;="&amp;Diagram!$O64,'J1 A - (North) Bishopthorpe Roa'!$A$12:$A$130,"&lt;"&amp;Diagram!$P64),SUMIFS(INDIRECT(ADDRESS(12,3+18*2+(12),,,"J1 A - (North) Bishopthorpe Roa")&amp;":"&amp;ADDRESS(130,3+18*2+(12))),'J1 A - (North) Bishopthorpe Roa'!$A$12:$A$130,"&gt;="&amp;Diagram!$O64,'J1 A - (North) Bishopthorpe Roa'!$A$12:$A$130,"&lt;"&amp;Diagram!$P64)))</f>
        <v>0</v>
      </c>
      <c r="CM64" s="42">
        <f ca="1">IF(OR($I$10="",$O64="",$P64="",$J$39&lt;&gt;"Yes"),0,IF($K$10=0,SUMIFS(INDIRECT(ADDRESS(12,3+18*2+(4),,,"J1 B - Butcher Terrace")&amp;":"&amp;ADDRESS(130,3+18*2+(4))),'J1 B - Butcher Terrace'!$A$12:$A$130,"&gt;="&amp;Diagram!$O64,'J1 B - Butcher Terrace'!$A$12:$A$130,"&lt;"&amp;Diagram!$P64),SUMIFS(INDIRECT(ADDRESS(12,3+18*2+(12),,,"J1 B - Butcher Terrace")&amp;":"&amp;ADDRESS(130,3+18*2+(12))),'J1 B - Butcher Terrace'!$A$12:$A$130,"&gt;="&amp;Diagram!$O64,'J1 B - Butcher Terrace'!$A$12:$A$130,"&lt;"&amp;Diagram!$P64)))</f>
        <v>0</v>
      </c>
      <c r="CN64" s="42">
        <f ca="1">IF(OR($I$10="",$O64="",$P64="",$J$39&lt;&gt;"Yes"),0,IF($K$10=0,SUMIFS(INDIRECT(ADDRESS(12,3+18*3+(4),,,"J1 B - Butcher Terrace")&amp;":"&amp;ADDRESS(130,3+18*3+(4))),'J1 B - Butcher Terrace'!$A$12:$A$130,"&gt;="&amp;Diagram!$O64,'J1 B - Butcher Terrace'!$A$12:$A$130,"&lt;"&amp;Diagram!$P64),SUMIFS(INDIRECT(ADDRESS(12,3+18*3+(12),,,"J1 B - Butcher Terrace")&amp;":"&amp;ADDRESS(130,3+18*3+(12))),'J1 B - Butcher Terrace'!$A$12:$A$130,"&gt;="&amp;Diagram!$O64,'J1 B - Butcher Terrace'!$A$12:$A$130,"&lt;"&amp;Diagram!$P64)))</f>
        <v>0</v>
      </c>
      <c r="CO64" s="42">
        <f ca="1">IF(OR($I$10="",$O64="",$P64="",$J$39&lt;&gt;"Yes"),0,IF($K$10=0,SUMIFS(INDIRECT(ADDRESS(12,3+18*0+(4),,,"J1 B - Butcher Terrace")&amp;":"&amp;ADDRESS(130,3+18*0+(4))),'J1 B - Butcher Terrace'!$A$12:$A$130,"&gt;="&amp;Diagram!$O64,'J1 B - Butcher Terrace'!$A$12:$A$130,"&lt;"&amp;Diagram!$P64),SUMIFS(INDIRECT(ADDRESS(12,3+18*0+(12),,,"J1 B - Butcher Terrace")&amp;":"&amp;ADDRESS(130,3+18*0+(12))),'J1 B - Butcher Terrace'!$A$12:$A$130,"&gt;="&amp;Diagram!$O64,'J1 B - Butcher Terrace'!$A$12:$A$130,"&lt;"&amp;Diagram!$P64)))</f>
        <v>0</v>
      </c>
      <c r="CP64" s="42">
        <f ca="1">IF(OR($I$10="",$O64="",$P64="",$J$39&lt;&gt;"Yes"),0,IF($K$10=0,SUMIFS(INDIRECT(ADDRESS(12,3+18*1+(4),,,"J1 B - Butcher Terrace")&amp;":"&amp;ADDRESS(130,3+18*1+(4))),'J1 B - Butcher Terrace'!$A$12:$A$130,"&gt;="&amp;Diagram!$O64,'J1 B - Butcher Terrace'!$A$12:$A$130,"&lt;"&amp;Diagram!$P64),SUMIFS(INDIRECT(ADDRESS(12,3+18*1+(12),,,"J1 B - Butcher Terrace")&amp;":"&amp;ADDRESS(130,3+18*1+(12))),'J1 B - Butcher Terrace'!$A$12:$A$130,"&gt;="&amp;Diagram!$O64,'J1 B - Butcher Terrace'!$A$12:$A$130,"&lt;"&amp;Diagram!$P64)))</f>
        <v>0</v>
      </c>
      <c r="CQ64" s="42">
        <f ca="1">IF(OR($I$10="",$O64="",$P64="",$J$39&lt;&gt;"Yes"),0,IF($K$10=0,SUMIFS(INDIRECT(ADDRESS(12,3+18*1+(4),,,"J1 C - (South) Bishopthorpe Roa")&amp;":"&amp;ADDRESS(130,3+18*1+(4))),'J1 C - (South) Bishopthorpe Roa'!$A$12:$A$130,"&gt;="&amp;Diagram!$O64,'J1 C - (South) Bishopthorpe Roa'!$A$12:$A$130,"&lt;"&amp;Diagram!$P64),SUMIFS(INDIRECT(ADDRESS(12,3+18*1+(12),,,"J1 C - (South) Bishopthorpe Roa")&amp;":"&amp;ADDRESS(130,3+18*1+(12))),'J1 C - (South) Bishopthorpe Roa'!$A$12:$A$130,"&gt;="&amp;Diagram!$O64,'J1 C - (South) Bishopthorpe Roa'!$A$12:$A$130,"&lt;"&amp;Diagram!$P64)))</f>
        <v>4</v>
      </c>
      <c r="CR64" s="42">
        <f ca="1">IF(OR($I$10="",$O64="",$P64="",$J$39&lt;&gt;"Yes"),0,IF($K$10=0,SUMIFS(INDIRECT(ADDRESS(12,3+18*2+(4),,,"J1 C - (South) Bishopthorpe Roa")&amp;":"&amp;ADDRESS(130,3+18*2+(4))),'J1 C - (South) Bishopthorpe Roa'!$A$12:$A$130,"&gt;="&amp;Diagram!$O64,'J1 C - (South) Bishopthorpe Roa'!$A$12:$A$130,"&lt;"&amp;Diagram!$P64),SUMIFS(INDIRECT(ADDRESS(12,3+18*2+(12),,,"J1 C - (South) Bishopthorpe Roa")&amp;":"&amp;ADDRESS(130,3+18*2+(12))),'J1 C - (South) Bishopthorpe Roa'!$A$12:$A$130,"&gt;="&amp;Diagram!$O64,'J1 C - (South) Bishopthorpe Roa'!$A$12:$A$130,"&lt;"&amp;Diagram!$P64)))</f>
        <v>0</v>
      </c>
      <c r="CS64" s="42">
        <f ca="1">IF(OR($I$10="",$O64="",$P64="",$J$39&lt;&gt;"Yes"),0,IF($K$10=0,SUMIFS(INDIRECT(ADDRESS(12,3+18*3+(4),,,"J1 C - (South) Bishopthorpe Roa")&amp;":"&amp;ADDRESS(130,3+18*3+(4))),'J1 C - (South) Bishopthorpe Roa'!$A$12:$A$130,"&gt;="&amp;Diagram!$O64,'J1 C - (South) Bishopthorpe Roa'!$A$12:$A$130,"&lt;"&amp;Diagram!$P64),SUMIFS(INDIRECT(ADDRESS(12,3+18*3+(12),,,"J1 C - (South) Bishopthorpe Roa")&amp;":"&amp;ADDRESS(130,3+18*3+(12))),'J1 C - (South) Bishopthorpe Roa'!$A$12:$A$130,"&gt;="&amp;Diagram!$O64,'J1 C - (South) Bishopthorpe Roa'!$A$12:$A$130,"&lt;"&amp;Diagram!$P64)))</f>
        <v>0</v>
      </c>
      <c r="CT64" s="42">
        <f ca="1">IF(OR($I$10="",$O64="",$P64="",$J$39&lt;&gt;"Yes"),0,IF($K$10=0,SUMIFS(INDIRECT(ADDRESS(12,3+18*0+(4),,,"J1 C - (South) Bishopthorpe Roa")&amp;":"&amp;ADDRESS(130,3+18*0+(4))),'J1 C - (South) Bishopthorpe Roa'!$A$12:$A$130,"&gt;="&amp;Diagram!$O64,'J1 C - (South) Bishopthorpe Roa'!$A$12:$A$130,"&lt;"&amp;Diagram!$P64),SUMIFS(INDIRECT(ADDRESS(12,3+18*0+(12),,,"J1 C - (South) Bishopthorpe Roa")&amp;":"&amp;ADDRESS(130,3+18*0+(12))),'J1 C - (South) Bishopthorpe Roa'!$A$12:$A$130,"&gt;="&amp;Diagram!$O64,'J1 C - (South) Bishopthorpe Roa'!$A$12:$A$130,"&lt;"&amp;Diagram!$P64)))</f>
        <v>0</v>
      </c>
      <c r="CU64" s="42">
        <f ca="1">IF(OR($I$10="",$O64="",$P64="",$J$39&lt;&gt;"Yes"),0,IF($K$10=0,SUMIFS(INDIRECT(ADDRESS(12,3+18*0+(4),,,"J1 D - South Bank Avenue")&amp;":"&amp;ADDRESS(130,3+18*0+(4))),'J1 D - South Bank Avenue'!$A$12:$A$130,"&gt;="&amp;Diagram!$O64,'J1 D - South Bank Avenue'!$A$12:$A$130,"&lt;"&amp;Diagram!$P64),SUMIFS(INDIRECT(ADDRESS(12,3+18*0+(12),,,"J1 D - South Bank Avenue")&amp;":"&amp;ADDRESS(130,3+18*0+(12))),'J1 D - South Bank Avenue'!$A$12:$A$130,"&gt;="&amp;Diagram!$O64,'J1 D - South Bank Avenue'!$A$12:$A$130,"&lt;"&amp;Diagram!$P64)))</f>
        <v>0</v>
      </c>
      <c r="CV64" s="42">
        <f ca="1">IF(OR($I$10="",$O64="",$P64="",$J$39&lt;&gt;"Yes"),0,IF($K$10=0,SUMIFS(INDIRECT(ADDRESS(12,3+18*1+(4),,,"J1 D - South Bank Avenue")&amp;":"&amp;ADDRESS(130,3+18*1+(4))),'J1 D - South Bank Avenue'!$A$12:$A$130,"&gt;="&amp;Diagram!$O64,'J1 D - South Bank Avenue'!$A$12:$A$130,"&lt;"&amp;Diagram!$P64),SUMIFS(INDIRECT(ADDRESS(12,3+18*1+(12),,,"J1 D - South Bank Avenue")&amp;":"&amp;ADDRESS(130,3+18*1+(12))),'J1 D - South Bank Avenue'!$A$12:$A$130,"&gt;="&amp;Diagram!$O64,'J1 D - South Bank Avenue'!$A$12:$A$130,"&lt;"&amp;Diagram!$P64)))</f>
        <v>0</v>
      </c>
      <c r="CW64" s="42">
        <f ca="1">IF(OR($I$10="",$O64="",$P64="",$J$39&lt;&gt;"Yes"),0,IF($K$10=0,SUMIFS(INDIRECT(ADDRESS(12,3+18*2+(4),,,"J1 D - South Bank Avenue")&amp;":"&amp;ADDRESS(130,3+18*2+(4))),'J1 D - South Bank Avenue'!$A$12:$A$130,"&gt;="&amp;Diagram!$O64,'J1 D - South Bank Avenue'!$A$12:$A$130,"&lt;"&amp;Diagram!$P64),SUMIFS(INDIRECT(ADDRESS(12,3+18*2+(12),,,"J1 D - South Bank Avenue")&amp;":"&amp;ADDRESS(130,3+18*2+(12))),'J1 D - South Bank Avenue'!$A$12:$A$130,"&gt;="&amp;Diagram!$O64,'J1 D - South Bank Avenue'!$A$12:$A$130,"&lt;"&amp;Diagram!$P64)))</f>
        <v>0</v>
      </c>
      <c r="CX64" s="42">
        <f ca="1">IF(OR($I$10="",$O64="",$P64="",$J$39&lt;&gt;"Yes"),0,IF($K$10=0,SUMIFS(INDIRECT(ADDRESS(12,3+18*3+(4),,,"J1 D - South Bank Avenue")&amp;":"&amp;ADDRESS(130,3+18*3+(4))),'J1 D - South Bank Avenue'!$A$12:$A$130,"&gt;="&amp;Diagram!$O64,'J1 D - South Bank Avenue'!$A$12:$A$130,"&lt;"&amp;Diagram!$P64),SUMIFS(INDIRECT(ADDRESS(12,3+18*3+(12),,,"J1 D - South Bank Avenue")&amp;":"&amp;ADDRESS(130,3+18*3+(12))),'J1 D - South Bank Avenue'!$A$12:$A$130,"&gt;="&amp;Diagram!$O64,'J1 D - South Bank Avenue'!$A$12:$A$130,"&lt;"&amp;Diagram!$P64)))</f>
        <v>0</v>
      </c>
      <c r="CY64" s="42">
        <f t="shared" ca="1" si="6"/>
        <v>138</v>
      </c>
      <c r="CZ64" s="42">
        <f ca="1">IF(OR($I$10="",$O64="",$P64="",$J$40&lt;&gt;"Yes"),0,IF($K$10=0,SUMIFS(INDIRECT(ADDRESS(12,3+18*3+(5),,,"J1 A - (North) Bishopthorpe Roa")&amp;":"&amp;ADDRESS(130,3+18*3+(5))),'J1 A - (North) Bishopthorpe Roa'!$A$12:$A$130,"&gt;="&amp;Diagram!$O64,'J1 A - (North) Bishopthorpe Roa'!$A$12:$A$130,"&lt;"&amp;Diagram!$P64),SUMIFS(INDIRECT(ADDRESS(12,3+18*3+(13),,,"J1 A - (North) Bishopthorpe Roa")&amp;":"&amp;ADDRESS(130,3+18*3+(13))),'J1 A - (North) Bishopthorpe Roa'!$A$12:$A$130,"&gt;="&amp;Diagram!$O64,'J1 A - (North) Bishopthorpe Roa'!$A$12:$A$130,"&lt;"&amp;Diagram!$P64)))</f>
        <v>0</v>
      </c>
      <c r="DA64" s="42">
        <f ca="1">IF(OR($I$10="",$O64="",$P64="",$J$40&lt;&gt;"Yes"),0,IF($K$10=0,SUMIFS(INDIRECT(ADDRESS(12,3+18*0+(5),,,"J1 A - (North) Bishopthorpe Roa")&amp;":"&amp;ADDRESS(130,3+18*0+(5))),'J1 A - (North) Bishopthorpe Roa'!$A$12:$A$130,"&gt;="&amp;Diagram!$O64,'J1 A - (North) Bishopthorpe Roa'!$A$12:$A$130,"&lt;"&amp;Diagram!$P64),SUMIFS(INDIRECT(ADDRESS(12,3+18*0+(13),,,"J1 A - (North) Bishopthorpe Roa")&amp;":"&amp;ADDRESS(130,3+18*0+(13))),'J1 A - (North) Bishopthorpe Roa'!$A$12:$A$130,"&gt;="&amp;Diagram!$O64,'J1 A - (North) Bishopthorpe Roa'!$A$12:$A$130,"&lt;"&amp;Diagram!$P64)))</f>
        <v>16</v>
      </c>
      <c r="DB64" s="42">
        <f ca="1">IF(OR($I$10="",$O64="",$P64="",$J$40&lt;&gt;"Yes"),0,IF($K$10=0,SUMIFS(INDIRECT(ADDRESS(12,3+18*1+(5),,,"J1 A - (North) Bishopthorpe Roa")&amp;":"&amp;ADDRESS(130,3+18*1+(5))),'J1 A - (North) Bishopthorpe Roa'!$A$12:$A$130,"&gt;="&amp;Diagram!$O64,'J1 A - (North) Bishopthorpe Roa'!$A$12:$A$130,"&lt;"&amp;Diagram!$P64),SUMIFS(INDIRECT(ADDRESS(12,3+18*1+(13),,,"J1 A - (North) Bishopthorpe Roa")&amp;":"&amp;ADDRESS(130,3+18*1+(13))),'J1 A - (North) Bishopthorpe Roa'!$A$12:$A$130,"&gt;="&amp;Diagram!$O64,'J1 A - (North) Bishopthorpe Roa'!$A$12:$A$130,"&lt;"&amp;Diagram!$P64)))</f>
        <v>20</v>
      </c>
      <c r="DC64" s="42">
        <f ca="1">IF(OR($I$10="",$O64="",$P64="",$J$40&lt;&gt;"Yes"),0,IF($K$10=0,SUMIFS(INDIRECT(ADDRESS(12,3+18*2+(5),,,"J1 A - (North) Bishopthorpe Roa")&amp;":"&amp;ADDRESS(130,3+18*2+(5))),'J1 A - (North) Bishopthorpe Roa'!$A$12:$A$130,"&gt;="&amp;Diagram!$O64,'J1 A - (North) Bishopthorpe Roa'!$A$12:$A$130,"&lt;"&amp;Diagram!$P64),SUMIFS(INDIRECT(ADDRESS(12,3+18*2+(13),,,"J1 A - (North) Bishopthorpe Roa")&amp;":"&amp;ADDRESS(130,3+18*2+(13))),'J1 A - (North) Bishopthorpe Roa'!$A$12:$A$130,"&gt;="&amp;Diagram!$O64,'J1 A - (North) Bishopthorpe Roa'!$A$12:$A$130,"&lt;"&amp;Diagram!$P64)))</f>
        <v>6</v>
      </c>
      <c r="DD64" s="42">
        <f ca="1">IF(OR($I$10="",$O64="",$P64="",$J$40&lt;&gt;"Yes"),0,IF($K$10=0,SUMIFS(INDIRECT(ADDRESS(12,3+18*2+(5),,,"J1 B - Butcher Terrace")&amp;":"&amp;ADDRESS(130,3+18*2+(5))),'J1 B - Butcher Terrace'!$A$12:$A$130,"&gt;="&amp;Diagram!$O64,'J1 B - Butcher Terrace'!$A$12:$A$130,"&lt;"&amp;Diagram!$P64),SUMIFS(INDIRECT(ADDRESS(12,3+18*2+(13),,,"J1 B - Butcher Terrace")&amp;":"&amp;ADDRESS(130,3+18*2+(13))),'J1 B - Butcher Terrace'!$A$12:$A$130,"&gt;="&amp;Diagram!$O64,'J1 B - Butcher Terrace'!$A$12:$A$130,"&lt;"&amp;Diagram!$P64)))</f>
        <v>13</v>
      </c>
      <c r="DE64" s="42">
        <f ca="1">IF(OR($I$10="",$O64="",$P64="",$J$40&lt;&gt;"Yes"),0,IF($K$10=0,SUMIFS(INDIRECT(ADDRESS(12,3+18*3+(5),,,"J1 B - Butcher Terrace")&amp;":"&amp;ADDRESS(130,3+18*3+(5))),'J1 B - Butcher Terrace'!$A$12:$A$130,"&gt;="&amp;Diagram!$O64,'J1 B - Butcher Terrace'!$A$12:$A$130,"&lt;"&amp;Diagram!$P64),SUMIFS(INDIRECT(ADDRESS(12,3+18*3+(13),,,"J1 B - Butcher Terrace")&amp;":"&amp;ADDRESS(130,3+18*3+(13))),'J1 B - Butcher Terrace'!$A$12:$A$130,"&gt;="&amp;Diagram!$O64,'J1 B - Butcher Terrace'!$A$12:$A$130,"&lt;"&amp;Diagram!$P64)))</f>
        <v>0</v>
      </c>
      <c r="DF64" s="42">
        <f ca="1">IF(OR($I$10="",$O64="",$P64="",$J$40&lt;&gt;"Yes"),0,IF($K$10=0,SUMIFS(INDIRECT(ADDRESS(12,3+18*0+(5),,,"J1 B - Butcher Terrace")&amp;":"&amp;ADDRESS(130,3+18*0+(5))),'J1 B - Butcher Terrace'!$A$12:$A$130,"&gt;="&amp;Diagram!$O64,'J1 B - Butcher Terrace'!$A$12:$A$130,"&lt;"&amp;Diagram!$P64),SUMIFS(INDIRECT(ADDRESS(12,3+18*0+(13),,,"J1 B - Butcher Terrace")&amp;":"&amp;ADDRESS(130,3+18*0+(13))),'J1 B - Butcher Terrace'!$A$12:$A$130,"&gt;="&amp;Diagram!$O64,'J1 B - Butcher Terrace'!$A$12:$A$130,"&lt;"&amp;Diagram!$P64)))</f>
        <v>6</v>
      </c>
      <c r="DG64" s="42">
        <f ca="1">IF(OR($I$10="",$O64="",$P64="",$J$40&lt;&gt;"Yes"),0,IF($K$10=0,SUMIFS(INDIRECT(ADDRESS(12,3+18*1+(5),,,"J1 B - Butcher Terrace")&amp;":"&amp;ADDRESS(130,3+18*1+(5))),'J1 B - Butcher Terrace'!$A$12:$A$130,"&gt;="&amp;Diagram!$O64,'J1 B - Butcher Terrace'!$A$12:$A$130,"&lt;"&amp;Diagram!$P64),SUMIFS(INDIRECT(ADDRESS(12,3+18*1+(13),,,"J1 B - Butcher Terrace")&amp;":"&amp;ADDRESS(130,3+18*1+(13))),'J1 B - Butcher Terrace'!$A$12:$A$130,"&gt;="&amp;Diagram!$O64,'J1 B - Butcher Terrace'!$A$12:$A$130,"&lt;"&amp;Diagram!$P64)))</f>
        <v>37</v>
      </c>
      <c r="DH64" s="42">
        <f ca="1">IF(OR($I$10="",$O64="",$P64="",$J$40&lt;&gt;"Yes"),0,IF($K$10=0,SUMIFS(INDIRECT(ADDRESS(12,3+18*1+(5),,,"J1 C - (South) Bishopthorpe Roa")&amp;":"&amp;ADDRESS(130,3+18*1+(5))),'J1 C - (South) Bishopthorpe Roa'!$A$12:$A$130,"&gt;="&amp;Diagram!$O64,'J1 C - (South) Bishopthorpe Roa'!$A$12:$A$130,"&lt;"&amp;Diagram!$P64),SUMIFS(INDIRECT(ADDRESS(12,3+18*1+(13),,,"J1 C - (South) Bishopthorpe Roa")&amp;":"&amp;ADDRESS(130,3+18*1+(13))),'J1 C - (South) Bishopthorpe Roa'!$A$12:$A$130,"&gt;="&amp;Diagram!$O64,'J1 C - (South) Bishopthorpe Roa'!$A$12:$A$130,"&lt;"&amp;Diagram!$P64)))</f>
        <v>11</v>
      </c>
      <c r="DI64" s="42">
        <f ca="1">IF(OR($I$10="",$O64="",$P64="",$J$40&lt;&gt;"Yes"),0,IF($K$10=0,SUMIFS(INDIRECT(ADDRESS(12,3+18*2+(5),,,"J1 C - (South) Bishopthorpe Roa")&amp;":"&amp;ADDRESS(130,3+18*2+(5))),'J1 C - (South) Bishopthorpe Roa'!$A$12:$A$130,"&gt;="&amp;Diagram!$O64,'J1 C - (South) Bishopthorpe Roa'!$A$12:$A$130,"&lt;"&amp;Diagram!$P64),SUMIFS(INDIRECT(ADDRESS(12,3+18*2+(13),,,"J1 C - (South) Bishopthorpe Roa")&amp;":"&amp;ADDRESS(130,3+18*2+(13))),'J1 C - (South) Bishopthorpe Roa'!$A$12:$A$130,"&gt;="&amp;Diagram!$O64,'J1 C - (South) Bishopthorpe Roa'!$A$12:$A$130,"&lt;"&amp;Diagram!$P64)))</f>
        <v>5</v>
      </c>
      <c r="DJ64" s="42">
        <f ca="1">IF(OR($I$10="",$O64="",$P64="",$J$40&lt;&gt;"Yes"),0,IF($K$10=0,SUMIFS(INDIRECT(ADDRESS(12,3+18*3+(5),,,"J1 C - (South) Bishopthorpe Roa")&amp;":"&amp;ADDRESS(130,3+18*3+(5))),'J1 C - (South) Bishopthorpe Roa'!$A$12:$A$130,"&gt;="&amp;Diagram!$O64,'J1 C - (South) Bishopthorpe Roa'!$A$12:$A$130,"&lt;"&amp;Diagram!$P64),SUMIFS(INDIRECT(ADDRESS(12,3+18*3+(13),,,"J1 C - (South) Bishopthorpe Roa")&amp;":"&amp;ADDRESS(130,3+18*3+(13))),'J1 C - (South) Bishopthorpe Roa'!$A$12:$A$130,"&gt;="&amp;Diagram!$O64,'J1 C - (South) Bishopthorpe Roa'!$A$12:$A$130,"&lt;"&amp;Diagram!$P64)))</f>
        <v>0</v>
      </c>
      <c r="DK64" s="42">
        <f ca="1">IF(OR($I$10="",$O64="",$P64="",$J$40&lt;&gt;"Yes"),0,IF($K$10=0,SUMIFS(INDIRECT(ADDRESS(12,3+18*0+(5),,,"J1 C - (South) Bishopthorpe Roa")&amp;":"&amp;ADDRESS(130,3+18*0+(5))),'J1 C - (South) Bishopthorpe Roa'!$A$12:$A$130,"&gt;="&amp;Diagram!$O64,'J1 C - (South) Bishopthorpe Roa'!$A$12:$A$130,"&lt;"&amp;Diagram!$P64),SUMIFS(INDIRECT(ADDRESS(12,3+18*0+(13),,,"J1 C - (South) Bishopthorpe Roa")&amp;":"&amp;ADDRESS(130,3+18*0+(13))),'J1 C - (South) Bishopthorpe Roa'!$A$12:$A$130,"&gt;="&amp;Diagram!$O64,'J1 C - (South) Bishopthorpe Roa'!$A$12:$A$130,"&lt;"&amp;Diagram!$P64)))</f>
        <v>2</v>
      </c>
      <c r="DL64" s="42">
        <f ca="1">IF(OR($I$10="",$O64="",$P64="",$J$40&lt;&gt;"Yes"),0,IF($K$10=0,SUMIFS(INDIRECT(ADDRESS(12,3+18*0+(5),,,"J1 D - South Bank Avenue")&amp;":"&amp;ADDRESS(130,3+18*0+(5))),'J1 D - South Bank Avenue'!$A$12:$A$130,"&gt;="&amp;Diagram!$O64,'J1 D - South Bank Avenue'!$A$12:$A$130,"&lt;"&amp;Diagram!$P64),SUMIFS(INDIRECT(ADDRESS(12,3+18*0+(13),,,"J1 D - South Bank Avenue")&amp;":"&amp;ADDRESS(130,3+18*0+(13))),'J1 D - South Bank Avenue'!$A$12:$A$130,"&gt;="&amp;Diagram!$O64,'J1 D - South Bank Avenue'!$A$12:$A$130,"&lt;"&amp;Diagram!$P64)))</f>
        <v>6</v>
      </c>
      <c r="DM64" s="42">
        <f ca="1">IF(OR($I$10="",$O64="",$P64="",$J$40&lt;&gt;"Yes"),0,IF($K$10=0,SUMIFS(INDIRECT(ADDRESS(12,3+18*1+(5),,,"J1 D - South Bank Avenue")&amp;":"&amp;ADDRESS(130,3+18*1+(5))),'J1 D - South Bank Avenue'!$A$12:$A$130,"&gt;="&amp;Diagram!$O64,'J1 D - South Bank Avenue'!$A$12:$A$130,"&lt;"&amp;Diagram!$P64),SUMIFS(INDIRECT(ADDRESS(12,3+18*1+(13),,,"J1 D - South Bank Avenue")&amp;":"&amp;ADDRESS(130,3+18*1+(13))),'J1 D - South Bank Avenue'!$A$12:$A$130,"&gt;="&amp;Diagram!$O64,'J1 D - South Bank Avenue'!$A$12:$A$130,"&lt;"&amp;Diagram!$P64)))</f>
        <v>16</v>
      </c>
      <c r="DN64" s="42">
        <f ca="1">IF(OR($I$10="",$O64="",$P64="",$J$40&lt;&gt;"Yes"),0,IF($K$10=0,SUMIFS(INDIRECT(ADDRESS(12,3+18*2+(5),,,"J1 D - South Bank Avenue")&amp;":"&amp;ADDRESS(130,3+18*2+(5))),'J1 D - South Bank Avenue'!$A$12:$A$130,"&gt;="&amp;Diagram!$O64,'J1 D - South Bank Avenue'!$A$12:$A$130,"&lt;"&amp;Diagram!$P64),SUMIFS(INDIRECT(ADDRESS(12,3+18*2+(13),,,"J1 D - South Bank Avenue")&amp;":"&amp;ADDRESS(130,3+18*2+(13))),'J1 D - South Bank Avenue'!$A$12:$A$130,"&gt;="&amp;Diagram!$O64,'J1 D - South Bank Avenue'!$A$12:$A$130,"&lt;"&amp;Diagram!$P64)))</f>
        <v>0</v>
      </c>
      <c r="DO64" s="42">
        <f ca="1">IF(OR($I$10="",$O64="",$P64="",$J$40&lt;&gt;"Yes"),0,IF($K$10=0,SUMIFS(INDIRECT(ADDRESS(12,3+18*3+(5),,,"J1 D - South Bank Avenue")&amp;":"&amp;ADDRESS(130,3+18*3+(5))),'J1 D - South Bank Avenue'!$A$12:$A$130,"&gt;="&amp;Diagram!$O64,'J1 D - South Bank Avenue'!$A$12:$A$130,"&lt;"&amp;Diagram!$P64),SUMIFS(INDIRECT(ADDRESS(12,3+18*3+(13),,,"J1 D - South Bank Avenue")&amp;":"&amp;ADDRESS(130,3+18*3+(13))),'J1 D - South Bank Avenue'!$A$12:$A$130,"&gt;="&amp;Diagram!$O64,'J1 D - South Bank Avenue'!$A$12:$A$130,"&lt;"&amp;Diagram!$P64)))</f>
        <v>0</v>
      </c>
      <c r="DP64" s="42">
        <f t="shared" ca="1" si="7"/>
        <v>5</v>
      </c>
      <c r="DQ64" s="42">
        <f ca="1">IF(OR($I$10="",$O64="",$P64="",$J$41&lt;&gt;"Yes"),0,IF($K$10=0,SUMIFS(INDIRECT(ADDRESS(12,3+18*3+(6),,,"J1 A - (North) Bishopthorpe Roa")&amp;":"&amp;ADDRESS(130,3+18*3+(6))),'J1 A - (North) Bishopthorpe Roa'!$A$12:$A$130,"&gt;="&amp;Diagram!$O64,'J1 A - (North) Bishopthorpe Roa'!$A$12:$A$130,"&lt;"&amp;Diagram!$P64),SUMIFS(INDIRECT(ADDRESS(12,3+18*3+(14),,,"J1 A - (North) Bishopthorpe Roa")&amp;":"&amp;ADDRESS(130,3+18*3+(14))),'J1 A - (North) Bishopthorpe Roa'!$A$12:$A$130,"&gt;="&amp;Diagram!$O64,'J1 A - (North) Bishopthorpe Roa'!$A$12:$A$130,"&lt;"&amp;Diagram!$P64)))</f>
        <v>0</v>
      </c>
      <c r="DR64" s="42">
        <f ca="1">IF(OR($I$10="",$O64="",$P64="",$J$41&lt;&gt;"Yes"),0,IF($K$10=0,SUMIFS(INDIRECT(ADDRESS(12,3+18*0+(6),,,"J1 A - (North) Bishopthorpe Roa")&amp;":"&amp;ADDRESS(130,3+18*0+(6))),'J1 A - (North) Bishopthorpe Roa'!$A$12:$A$130,"&gt;="&amp;Diagram!$O64,'J1 A - (North) Bishopthorpe Roa'!$A$12:$A$130,"&lt;"&amp;Diagram!$P64),SUMIFS(INDIRECT(ADDRESS(12,3+18*0+(14),,,"J1 A - (North) Bishopthorpe Roa")&amp;":"&amp;ADDRESS(130,3+18*0+(14))),'J1 A - (North) Bishopthorpe Roa'!$A$12:$A$130,"&gt;="&amp;Diagram!$O64,'J1 A - (North) Bishopthorpe Roa'!$A$12:$A$130,"&lt;"&amp;Diagram!$P64)))</f>
        <v>1</v>
      </c>
      <c r="DS64" s="42">
        <f ca="1">IF(OR($I$10="",$O64="",$P64="",$J$41&lt;&gt;"Yes"),0,IF($K$10=0,SUMIFS(INDIRECT(ADDRESS(12,3+18*1+(6),,,"J1 A - (North) Bishopthorpe Roa")&amp;":"&amp;ADDRESS(130,3+18*1+(6))),'J1 A - (North) Bishopthorpe Roa'!$A$12:$A$130,"&gt;="&amp;Diagram!$O64,'J1 A - (North) Bishopthorpe Roa'!$A$12:$A$130,"&lt;"&amp;Diagram!$P64),SUMIFS(INDIRECT(ADDRESS(12,3+18*1+(14),,,"J1 A - (North) Bishopthorpe Roa")&amp;":"&amp;ADDRESS(130,3+18*1+(14))),'J1 A - (North) Bishopthorpe Roa'!$A$12:$A$130,"&gt;="&amp;Diagram!$O64,'J1 A - (North) Bishopthorpe Roa'!$A$12:$A$130,"&lt;"&amp;Diagram!$P64)))</f>
        <v>2</v>
      </c>
      <c r="DT64" s="42">
        <f ca="1">IF(OR($I$10="",$O64="",$P64="",$J$41&lt;&gt;"Yes"),0,IF($K$10=0,SUMIFS(INDIRECT(ADDRESS(12,3+18*2+(6),,,"J1 A - (North) Bishopthorpe Roa")&amp;":"&amp;ADDRESS(130,3+18*2+(6))),'J1 A - (North) Bishopthorpe Roa'!$A$12:$A$130,"&gt;="&amp;Diagram!$O64,'J1 A - (North) Bishopthorpe Roa'!$A$12:$A$130,"&lt;"&amp;Diagram!$P64),SUMIFS(INDIRECT(ADDRESS(12,3+18*2+(14),,,"J1 A - (North) Bishopthorpe Roa")&amp;":"&amp;ADDRESS(130,3+18*2+(14))),'J1 A - (North) Bishopthorpe Roa'!$A$12:$A$130,"&gt;="&amp;Diagram!$O64,'J1 A - (North) Bishopthorpe Roa'!$A$12:$A$130,"&lt;"&amp;Diagram!$P64)))</f>
        <v>0</v>
      </c>
      <c r="DU64" s="42">
        <f ca="1">IF(OR($I$10="",$O64="",$P64="",$J$41&lt;&gt;"Yes"),0,IF($K$10=0,SUMIFS(INDIRECT(ADDRESS(12,3+18*2+(6),,,"J1 B - Butcher Terrace")&amp;":"&amp;ADDRESS(130,3+18*2+(6))),'J1 B - Butcher Terrace'!$A$12:$A$130,"&gt;="&amp;Diagram!$O64,'J1 B - Butcher Terrace'!$A$12:$A$130,"&lt;"&amp;Diagram!$P64),SUMIFS(INDIRECT(ADDRESS(12,3+18*2+(14),,,"J1 B - Butcher Terrace")&amp;":"&amp;ADDRESS(130,3+18*2+(14))),'J1 B - Butcher Terrace'!$A$12:$A$130,"&gt;="&amp;Diagram!$O64,'J1 B - Butcher Terrace'!$A$12:$A$130,"&lt;"&amp;Diagram!$P64)))</f>
        <v>0</v>
      </c>
      <c r="DV64" s="42">
        <f ca="1">IF(OR($I$10="",$O64="",$P64="",$J$41&lt;&gt;"Yes"),0,IF($K$10=0,SUMIFS(INDIRECT(ADDRESS(12,3+18*3+(6),,,"J1 B - Butcher Terrace")&amp;":"&amp;ADDRESS(130,3+18*3+(6))),'J1 B - Butcher Terrace'!$A$12:$A$130,"&gt;="&amp;Diagram!$O64,'J1 B - Butcher Terrace'!$A$12:$A$130,"&lt;"&amp;Diagram!$P64),SUMIFS(INDIRECT(ADDRESS(12,3+18*3+(14),,,"J1 B - Butcher Terrace")&amp;":"&amp;ADDRESS(130,3+18*3+(14))),'J1 B - Butcher Terrace'!$A$12:$A$130,"&gt;="&amp;Diagram!$O64,'J1 B - Butcher Terrace'!$A$12:$A$130,"&lt;"&amp;Diagram!$P64)))</f>
        <v>0</v>
      </c>
      <c r="DW64" s="42">
        <f ca="1">IF(OR($I$10="",$O64="",$P64="",$J$41&lt;&gt;"Yes"),0,IF($K$10=0,SUMIFS(INDIRECT(ADDRESS(12,3+18*0+(6),,,"J1 B - Butcher Terrace")&amp;":"&amp;ADDRESS(130,3+18*0+(6))),'J1 B - Butcher Terrace'!$A$12:$A$130,"&gt;="&amp;Diagram!$O64,'J1 B - Butcher Terrace'!$A$12:$A$130,"&lt;"&amp;Diagram!$P64),SUMIFS(INDIRECT(ADDRESS(12,3+18*0+(14),,,"J1 B - Butcher Terrace")&amp;":"&amp;ADDRESS(130,3+18*0+(14))),'J1 B - Butcher Terrace'!$A$12:$A$130,"&gt;="&amp;Diagram!$O64,'J1 B - Butcher Terrace'!$A$12:$A$130,"&lt;"&amp;Diagram!$P64)))</f>
        <v>0</v>
      </c>
      <c r="DX64" s="42">
        <f ca="1">IF(OR($I$10="",$O64="",$P64="",$J$41&lt;&gt;"Yes"),0,IF($K$10=0,SUMIFS(INDIRECT(ADDRESS(12,3+18*1+(6),,,"J1 B - Butcher Terrace")&amp;":"&amp;ADDRESS(130,3+18*1+(6))),'J1 B - Butcher Terrace'!$A$12:$A$130,"&gt;="&amp;Diagram!$O64,'J1 B - Butcher Terrace'!$A$12:$A$130,"&lt;"&amp;Diagram!$P64),SUMIFS(INDIRECT(ADDRESS(12,3+18*1+(14),,,"J1 B - Butcher Terrace")&amp;":"&amp;ADDRESS(130,3+18*1+(14))),'J1 B - Butcher Terrace'!$A$12:$A$130,"&gt;="&amp;Diagram!$O64,'J1 B - Butcher Terrace'!$A$12:$A$130,"&lt;"&amp;Diagram!$P64)))</f>
        <v>0</v>
      </c>
      <c r="DY64" s="42">
        <f ca="1">IF(OR($I$10="",$O64="",$P64="",$J$41&lt;&gt;"Yes"),0,IF($K$10=0,SUMIFS(INDIRECT(ADDRESS(12,3+18*1+(6),,,"J1 C - (South) Bishopthorpe Roa")&amp;":"&amp;ADDRESS(130,3+18*1+(6))),'J1 C - (South) Bishopthorpe Roa'!$A$12:$A$130,"&gt;="&amp;Diagram!$O64,'J1 C - (South) Bishopthorpe Roa'!$A$12:$A$130,"&lt;"&amp;Diagram!$P64),SUMIFS(INDIRECT(ADDRESS(12,3+18*1+(14),,,"J1 C - (South) Bishopthorpe Roa")&amp;":"&amp;ADDRESS(130,3+18*1+(14))),'J1 C - (South) Bishopthorpe Roa'!$A$12:$A$130,"&gt;="&amp;Diagram!$O64,'J1 C - (South) Bishopthorpe Roa'!$A$12:$A$130,"&lt;"&amp;Diagram!$P64)))</f>
        <v>2</v>
      </c>
      <c r="DZ64" s="42">
        <f ca="1">IF(OR($I$10="",$O64="",$P64="",$J$41&lt;&gt;"Yes"),0,IF($K$10=0,SUMIFS(INDIRECT(ADDRESS(12,3+18*2+(6),,,"J1 C - (South) Bishopthorpe Roa")&amp;":"&amp;ADDRESS(130,3+18*2+(6))),'J1 C - (South) Bishopthorpe Roa'!$A$12:$A$130,"&gt;="&amp;Diagram!$O64,'J1 C - (South) Bishopthorpe Roa'!$A$12:$A$130,"&lt;"&amp;Diagram!$P64),SUMIFS(INDIRECT(ADDRESS(12,3+18*2+(14),,,"J1 C - (South) Bishopthorpe Roa")&amp;":"&amp;ADDRESS(130,3+18*2+(14))),'J1 C - (South) Bishopthorpe Roa'!$A$12:$A$130,"&gt;="&amp;Diagram!$O64,'J1 C - (South) Bishopthorpe Roa'!$A$12:$A$130,"&lt;"&amp;Diagram!$P64)))</f>
        <v>0</v>
      </c>
      <c r="EA64" s="42">
        <f ca="1">IF(OR($I$10="",$O64="",$P64="",$J$41&lt;&gt;"Yes"),0,IF($K$10=0,SUMIFS(INDIRECT(ADDRESS(12,3+18*3+(6),,,"J1 C - (South) Bishopthorpe Roa")&amp;":"&amp;ADDRESS(130,3+18*3+(6))),'J1 C - (South) Bishopthorpe Roa'!$A$12:$A$130,"&gt;="&amp;Diagram!$O64,'J1 C - (South) Bishopthorpe Roa'!$A$12:$A$130,"&lt;"&amp;Diagram!$P64),SUMIFS(INDIRECT(ADDRESS(12,3+18*3+(14),,,"J1 C - (South) Bishopthorpe Roa")&amp;":"&amp;ADDRESS(130,3+18*3+(14))),'J1 C - (South) Bishopthorpe Roa'!$A$12:$A$130,"&gt;="&amp;Diagram!$O64,'J1 C - (South) Bishopthorpe Roa'!$A$12:$A$130,"&lt;"&amp;Diagram!$P64)))</f>
        <v>0</v>
      </c>
      <c r="EB64" s="42">
        <f ca="1">IF(OR($I$10="",$O64="",$P64="",$J$41&lt;&gt;"Yes"),0,IF($K$10=0,SUMIFS(INDIRECT(ADDRESS(12,3+18*0+(6),,,"J1 C - (South) Bishopthorpe Roa")&amp;":"&amp;ADDRESS(130,3+18*0+(6))),'J1 C - (South) Bishopthorpe Roa'!$A$12:$A$130,"&gt;="&amp;Diagram!$O64,'J1 C - (South) Bishopthorpe Roa'!$A$12:$A$130,"&lt;"&amp;Diagram!$P64),SUMIFS(INDIRECT(ADDRESS(12,3+18*0+(14),,,"J1 C - (South) Bishopthorpe Roa")&amp;":"&amp;ADDRESS(130,3+18*0+(14))),'J1 C - (South) Bishopthorpe Roa'!$A$12:$A$130,"&gt;="&amp;Diagram!$O64,'J1 C - (South) Bishopthorpe Roa'!$A$12:$A$130,"&lt;"&amp;Diagram!$P64)))</f>
        <v>0</v>
      </c>
      <c r="EC64" s="42">
        <f ca="1">IF(OR($I$10="",$O64="",$P64="",$J$41&lt;&gt;"Yes"),0,IF($K$10=0,SUMIFS(INDIRECT(ADDRESS(12,3+18*0+(6),,,"J1 D - South Bank Avenue")&amp;":"&amp;ADDRESS(130,3+18*0+(6))),'J1 D - South Bank Avenue'!$A$12:$A$130,"&gt;="&amp;Diagram!$O64,'J1 D - South Bank Avenue'!$A$12:$A$130,"&lt;"&amp;Diagram!$P64),SUMIFS(INDIRECT(ADDRESS(12,3+18*0+(14),,,"J1 D - South Bank Avenue")&amp;":"&amp;ADDRESS(130,3+18*0+(14))),'J1 D - South Bank Avenue'!$A$12:$A$130,"&gt;="&amp;Diagram!$O64,'J1 D - South Bank Avenue'!$A$12:$A$130,"&lt;"&amp;Diagram!$P64)))</f>
        <v>0</v>
      </c>
      <c r="ED64" s="42">
        <f ca="1">IF(OR($I$10="",$O64="",$P64="",$J$41&lt;&gt;"Yes"),0,IF($K$10=0,SUMIFS(INDIRECT(ADDRESS(12,3+18*1+(6),,,"J1 D - South Bank Avenue")&amp;":"&amp;ADDRESS(130,3+18*1+(6))),'J1 D - South Bank Avenue'!$A$12:$A$130,"&gt;="&amp;Diagram!$O64,'J1 D - South Bank Avenue'!$A$12:$A$130,"&lt;"&amp;Diagram!$P64),SUMIFS(INDIRECT(ADDRESS(12,3+18*1+(14),,,"J1 D - South Bank Avenue")&amp;":"&amp;ADDRESS(130,3+18*1+(14))),'J1 D - South Bank Avenue'!$A$12:$A$130,"&gt;="&amp;Diagram!$O64,'J1 D - South Bank Avenue'!$A$12:$A$130,"&lt;"&amp;Diagram!$P64)))</f>
        <v>0</v>
      </c>
      <c r="EE64" s="42">
        <f ca="1">IF(OR($I$10="",$O64="",$P64="",$J$41&lt;&gt;"Yes"),0,IF($K$10=0,SUMIFS(INDIRECT(ADDRESS(12,3+18*2+(6),,,"J1 D - South Bank Avenue")&amp;":"&amp;ADDRESS(130,3+18*2+(6))),'J1 D - South Bank Avenue'!$A$12:$A$130,"&gt;="&amp;Diagram!$O64,'J1 D - South Bank Avenue'!$A$12:$A$130,"&lt;"&amp;Diagram!$P64),SUMIFS(INDIRECT(ADDRESS(12,3+18*2+(14),,,"J1 D - South Bank Avenue")&amp;":"&amp;ADDRESS(130,3+18*2+(14))),'J1 D - South Bank Avenue'!$A$12:$A$130,"&gt;="&amp;Diagram!$O64,'J1 D - South Bank Avenue'!$A$12:$A$130,"&lt;"&amp;Diagram!$P64)))</f>
        <v>0</v>
      </c>
      <c r="EF64" s="42">
        <f ca="1">IF(OR($I$10="",$O64="",$P64="",$J$41&lt;&gt;"Yes"),0,IF($K$10=0,SUMIFS(INDIRECT(ADDRESS(12,3+18*3+(6),,,"J1 D - South Bank Avenue")&amp;":"&amp;ADDRESS(130,3+18*3+(6))),'J1 D - South Bank Avenue'!$A$12:$A$130,"&gt;="&amp;Diagram!$O64,'J1 D - South Bank Avenue'!$A$12:$A$130,"&lt;"&amp;Diagram!$P64),SUMIFS(INDIRECT(ADDRESS(12,3+18*3+(14),,,"J1 D - South Bank Avenue")&amp;":"&amp;ADDRESS(130,3+18*3+(14))),'J1 D - South Bank Avenue'!$A$12:$A$130,"&gt;="&amp;Diagram!$O64,'J1 D - South Bank Avenue'!$A$12:$A$130,"&lt;"&amp;Diagram!$P64)))</f>
        <v>0</v>
      </c>
      <c r="EG64" s="42">
        <f t="shared" ca="1" si="8"/>
        <v>3</v>
      </c>
      <c r="EH64" s="42">
        <f ca="1">IF(OR($I$10="",$O64="",$P64="",$J$42&lt;&gt;"Yes"),0,IF($K$10=0,SUMIFS(INDIRECT(ADDRESS(12,3+18*3+(7),,,"J1 A - (North) Bishopthorpe Roa")&amp;":"&amp;ADDRESS(130,3+18*3+(7))),'J1 A - (North) Bishopthorpe Roa'!$A$12:$A$130,"&gt;="&amp;Diagram!$O64,'J1 A - (North) Bishopthorpe Roa'!$A$12:$A$130,"&lt;"&amp;Diagram!$P64),SUMIFS(INDIRECT(ADDRESS(12,3+18*3+(15),,,"J1 A - (North) Bishopthorpe Roa")&amp;":"&amp;ADDRESS(130,3+18*3+(15))),'J1 A - (North) Bishopthorpe Roa'!$A$12:$A$130,"&gt;="&amp;Diagram!$O64,'J1 A - (North) Bishopthorpe Roa'!$A$12:$A$130,"&lt;"&amp;Diagram!$P64)))</f>
        <v>0</v>
      </c>
      <c r="EI64" s="42">
        <f ca="1">IF(OR($I$10="",$O64="",$P64="",$J$42&lt;&gt;"Yes"),0,IF($K$10=0,SUMIFS(INDIRECT(ADDRESS(12,3+18*0+(7),,,"J1 A - (North) Bishopthorpe Roa")&amp;":"&amp;ADDRESS(130,3+18*0+(7))),'J1 A - (North) Bishopthorpe Roa'!$A$12:$A$130,"&gt;="&amp;Diagram!$O64,'J1 A - (North) Bishopthorpe Roa'!$A$12:$A$130,"&lt;"&amp;Diagram!$P64),SUMIFS(INDIRECT(ADDRESS(12,3+18*0+(15),,,"J1 A - (North) Bishopthorpe Roa")&amp;":"&amp;ADDRESS(130,3+18*0+(15))),'J1 A - (North) Bishopthorpe Roa'!$A$12:$A$130,"&gt;="&amp;Diagram!$O64,'J1 A - (North) Bishopthorpe Roa'!$A$12:$A$130,"&lt;"&amp;Diagram!$P64)))</f>
        <v>3</v>
      </c>
      <c r="EJ64" s="42">
        <f ca="1">IF(OR($I$10="",$O64="",$P64="",$J$42&lt;&gt;"Yes"),0,IF($K$10=0,SUMIFS(INDIRECT(ADDRESS(12,3+18*1+(7),,,"J1 A - (North) Bishopthorpe Roa")&amp;":"&amp;ADDRESS(130,3+18*1+(7))),'J1 A - (North) Bishopthorpe Roa'!$A$12:$A$130,"&gt;="&amp;Diagram!$O64,'J1 A - (North) Bishopthorpe Roa'!$A$12:$A$130,"&lt;"&amp;Diagram!$P64),SUMIFS(INDIRECT(ADDRESS(12,3+18*1+(15),,,"J1 A - (North) Bishopthorpe Roa")&amp;":"&amp;ADDRESS(130,3+18*1+(15))),'J1 A - (North) Bishopthorpe Roa'!$A$12:$A$130,"&gt;="&amp;Diagram!$O64,'J1 A - (North) Bishopthorpe Roa'!$A$12:$A$130,"&lt;"&amp;Diagram!$P64)))</f>
        <v>0</v>
      </c>
      <c r="EK64" s="42">
        <f ca="1">IF(OR($I$10="",$O64="",$P64="",$J$42&lt;&gt;"Yes"),0,IF($K$10=0,SUMIFS(INDIRECT(ADDRESS(12,3+18*2+(7),,,"J1 A - (North) Bishopthorpe Roa")&amp;":"&amp;ADDRESS(130,3+18*2+(7))),'J1 A - (North) Bishopthorpe Roa'!$A$12:$A$130,"&gt;="&amp;Diagram!$O64,'J1 A - (North) Bishopthorpe Roa'!$A$12:$A$130,"&lt;"&amp;Diagram!$P64),SUMIFS(INDIRECT(ADDRESS(12,3+18*2+(15),,,"J1 A - (North) Bishopthorpe Roa")&amp;":"&amp;ADDRESS(130,3+18*2+(15))),'J1 A - (North) Bishopthorpe Roa'!$A$12:$A$130,"&gt;="&amp;Diagram!$O64,'J1 A - (North) Bishopthorpe Roa'!$A$12:$A$130,"&lt;"&amp;Diagram!$P64)))</f>
        <v>0</v>
      </c>
      <c r="EL64" s="42">
        <f ca="1">IF(OR($I$10="",$O64="",$P64="",$J$42&lt;&gt;"Yes"),0,IF($K$10=0,SUMIFS(INDIRECT(ADDRESS(12,3+18*2+(7),,,"J1 B - Butcher Terrace")&amp;":"&amp;ADDRESS(130,3+18*2+(7))),'J1 B - Butcher Terrace'!$A$12:$A$130,"&gt;="&amp;Diagram!$O64,'J1 B - Butcher Terrace'!$A$12:$A$130,"&lt;"&amp;Diagram!$P64),SUMIFS(INDIRECT(ADDRESS(12,3+18*2+(15),,,"J1 B - Butcher Terrace")&amp;":"&amp;ADDRESS(130,3+18*2+(15))),'J1 B - Butcher Terrace'!$A$12:$A$130,"&gt;="&amp;Diagram!$O64,'J1 B - Butcher Terrace'!$A$12:$A$130,"&lt;"&amp;Diagram!$P64)))</f>
        <v>0</v>
      </c>
      <c r="EM64" s="42">
        <f ca="1">IF(OR($I$10="",$O64="",$P64="",$J$42&lt;&gt;"Yes"),0,IF($K$10=0,SUMIFS(INDIRECT(ADDRESS(12,3+18*3+(7),,,"J1 B - Butcher Terrace")&amp;":"&amp;ADDRESS(130,3+18*3+(7))),'J1 B - Butcher Terrace'!$A$12:$A$130,"&gt;="&amp;Diagram!$O64,'J1 B - Butcher Terrace'!$A$12:$A$130,"&lt;"&amp;Diagram!$P64),SUMIFS(INDIRECT(ADDRESS(12,3+18*3+(15),,,"J1 B - Butcher Terrace")&amp;":"&amp;ADDRESS(130,3+18*3+(15))),'J1 B - Butcher Terrace'!$A$12:$A$130,"&gt;="&amp;Diagram!$O64,'J1 B - Butcher Terrace'!$A$12:$A$130,"&lt;"&amp;Diagram!$P64)))</f>
        <v>0</v>
      </c>
      <c r="EN64" s="42">
        <f ca="1">IF(OR($I$10="",$O64="",$P64="",$J$42&lt;&gt;"Yes"),0,IF($K$10=0,SUMIFS(INDIRECT(ADDRESS(12,3+18*0+(7),,,"J1 B - Butcher Terrace")&amp;":"&amp;ADDRESS(130,3+18*0+(7))),'J1 B - Butcher Terrace'!$A$12:$A$130,"&gt;="&amp;Diagram!$O64,'J1 B - Butcher Terrace'!$A$12:$A$130,"&lt;"&amp;Diagram!$P64),SUMIFS(INDIRECT(ADDRESS(12,3+18*0+(15),,,"J1 B - Butcher Terrace")&amp;":"&amp;ADDRESS(130,3+18*0+(15))),'J1 B - Butcher Terrace'!$A$12:$A$130,"&gt;="&amp;Diagram!$O64,'J1 B - Butcher Terrace'!$A$12:$A$130,"&lt;"&amp;Diagram!$P64)))</f>
        <v>0</v>
      </c>
      <c r="EO64" s="42">
        <f ca="1">IF(OR($I$10="",$O64="",$P64="",$J$42&lt;&gt;"Yes"),0,IF($K$10=0,SUMIFS(INDIRECT(ADDRESS(12,3+18*1+(7),,,"J1 B - Butcher Terrace")&amp;":"&amp;ADDRESS(130,3+18*1+(7))),'J1 B - Butcher Terrace'!$A$12:$A$130,"&gt;="&amp;Diagram!$O64,'J1 B - Butcher Terrace'!$A$12:$A$130,"&lt;"&amp;Diagram!$P64),SUMIFS(INDIRECT(ADDRESS(12,3+18*1+(15),,,"J1 B - Butcher Terrace")&amp;":"&amp;ADDRESS(130,3+18*1+(15))),'J1 B - Butcher Terrace'!$A$12:$A$130,"&gt;="&amp;Diagram!$O64,'J1 B - Butcher Terrace'!$A$12:$A$130,"&lt;"&amp;Diagram!$P64)))</f>
        <v>0</v>
      </c>
      <c r="EP64" s="42">
        <f ca="1">IF(OR($I$10="",$O64="",$P64="",$J$42&lt;&gt;"Yes"),0,IF($K$10=0,SUMIFS(INDIRECT(ADDRESS(12,3+18*1+(7),,,"J1 C - (South) Bishopthorpe Roa")&amp;":"&amp;ADDRESS(130,3+18*1+(7))),'J1 C - (South) Bishopthorpe Roa'!$A$12:$A$130,"&gt;="&amp;Diagram!$O64,'J1 C - (South) Bishopthorpe Roa'!$A$12:$A$130,"&lt;"&amp;Diagram!$P64),SUMIFS(INDIRECT(ADDRESS(12,3+18*1+(15),,,"J1 C - (South) Bishopthorpe Roa")&amp;":"&amp;ADDRESS(130,3+18*1+(15))),'J1 C - (South) Bishopthorpe Roa'!$A$12:$A$130,"&gt;="&amp;Diagram!$O64,'J1 C - (South) Bishopthorpe Roa'!$A$12:$A$130,"&lt;"&amp;Diagram!$P64)))</f>
        <v>0</v>
      </c>
      <c r="EQ64" s="42">
        <f ca="1">IF(OR($I$10="",$O64="",$P64="",$J$42&lt;&gt;"Yes"),0,IF($K$10=0,SUMIFS(INDIRECT(ADDRESS(12,3+18*2+(7),,,"J1 C - (South) Bishopthorpe Roa")&amp;":"&amp;ADDRESS(130,3+18*2+(7))),'J1 C - (South) Bishopthorpe Roa'!$A$12:$A$130,"&gt;="&amp;Diagram!$O64,'J1 C - (South) Bishopthorpe Roa'!$A$12:$A$130,"&lt;"&amp;Diagram!$P64),SUMIFS(INDIRECT(ADDRESS(12,3+18*2+(15),,,"J1 C - (South) Bishopthorpe Roa")&amp;":"&amp;ADDRESS(130,3+18*2+(15))),'J1 C - (South) Bishopthorpe Roa'!$A$12:$A$130,"&gt;="&amp;Diagram!$O64,'J1 C - (South) Bishopthorpe Roa'!$A$12:$A$130,"&lt;"&amp;Diagram!$P64)))</f>
        <v>0</v>
      </c>
      <c r="ER64" s="42">
        <f ca="1">IF(OR($I$10="",$O64="",$P64="",$J$42&lt;&gt;"Yes"),0,IF($K$10=0,SUMIFS(INDIRECT(ADDRESS(12,3+18*3+(7),,,"J1 C - (South) Bishopthorpe Roa")&amp;":"&amp;ADDRESS(130,3+18*3+(7))),'J1 C - (South) Bishopthorpe Roa'!$A$12:$A$130,"&gt;="&amp;Diagram!$O64,'J1 C - (South) Bishopthorpe Roa'!$A$12:$A$130,"&lt;"&amp;Diagram!$P64),SUMIFS(INDIRECT(ADDRESS(12,3+18*3+(15),,,"J1 C - (South) Bishopthorpe Roa")&amp;":"&amp;ADDRESS(130,3+18*3+(15))),'J1 C - (South) Bishopthorpe Roa'!$A$12:$A$130,"&gt;="&amp;Diagram!$O64,'J1 C - (South) Bishopthorpe Roa'!$A$12:$A$130,"&lt;"&amp;Diagram!$P64)))</f>
        <v>0</v>
      </c>
      <c r="ES64" s="42">
        <f ca="1">IF(OR($I$10="",$O64="",$P64="",$J$42&lt;&gt;"Yes"),0,IF($K$10=0,SUMIFS(INDIRECT(ADDRESS(12,3+18*0+(7),,,"J1 C - (South) Bishopthorpe Roa")&amp;":"&amp;ADDRESS(130,3+18*0+(7))),'J1 C - (South) Bishopthorpe Roa'!$A$12:$A$130,"&gt;="&amp;Diagram!$O64,'J1 C - (South) Bishopthorpe Roa'!$A$12:$A$130,"&lt;"&amp;Diagram!$P64),SUMIFS(INDIRECT(ADDRESS(12,3+18*0+(15),,,"J1 C - (South) Bishopthorpe Roa")&amp;":"&amp;ADDRESS(130,3+18*0+(15))),'J1 C - (South) Bishopthorpe Roa'!$A$12:$A$130,"&gt;="&amp;Diagram!$O64,'J1 C - (South) Bishopthorpe Roa'!$A$12:$A$130,"&lt;"&amp;Diagram!$P64)))</f>
        <v>0</v>
      </c>
      <c r="ET64" s="42">
        <f ca="1">IF(OR($I$10="",$O64="",$P64="",$J$42&lt;&gt;"Yes"),0,IF($K$10=0,SUMIFS(INDIRECT(ADDRESS(12,3+18*0+(7),,,"J1 D - South Bank Avenue")&amp;":"&amp;ADDRESS(130,3+18*0+(7))),'J1 D - South Bank Avenue'!$A$12:$A$130,"&gt;="&amp;Diagram!$O64,'J1 D - South Bank Avenue'!$A$12:$A$130,"&lt;"&amp;Diagram!$P64),SUMIFS(INDIRECT(ADDRESS(12,3+18*0+(15),,,"J1 D - South Bank Avenue")&amp;":"&amp;ADDRESS(130,3+18*0+(15))),'J1 D - South Bank Avenue'!$A$12:$A$130,"&gt;="&amp;Diagram!$O64,'J1 D - South Bank Avenue'!$A$12:$A$130,"&lt;"&amp;Diagram!$P64)))</f>
        <v>0</v>
      </c>
      <c r="EU64" s="42">
        <f ca="1">IF(OR($I$10="",$O64="",$P64="",$J$42&lt;&gt;"Yes"),0,IF($K$10=0,SUMIFS(INDIRECT(ADDRESS(12,3+18*1+(7),,,"J1 D - South Bank Avenue")&amp;":"&amp;ADDRESS(130,3+18*1+(7))),'J1 D - South Bank Avenue'!$A$12:$A$130,"&gt;="&amp;Diagram!$O64,'J1 D - South Bank Avenue'!$A$12:$A$130,"&lt;"&amp;Diagram!$P64),SUMIFS(INDIRECT(ADDRESS(12,3+18*1+(15),,,"J1 D - South Bank Avenue")&amp;":"&amp;ADDRESS(130,3+18*1+(15))),'J1 D - South Bank Avenue'!$A$12:$A$130,"&gt;="&amp;Diagram!$O64,'J1 D - South Bank Avenue'!$A$12:$A$130,"&lt;"&amp;Diagram!$P64)))</f>
        <v>0</v>
      </c>
      <c r="EV64" s="42">
        <f ca="1">IF(OR($I$10="",$O64="",$P64="",$J$42&lt;&gt;"Yes"),0,IF($K$10=0,SUMIFS(INDIRECT(ADDRESS(12,3+18*2+(7),,,"J1 D - South Bank Avenue")&amp;":"&amp;ADDRESS(130,3+18*2+(7))),'J1 D - South Bank Avenue'!$A$12:$A$130,"&gt;="&amp;Diagram!$O64,'J1 D - South Bank Avenue'!$A$12:$A$130,"&lt;"&amp;Diagram!$P64),SUMIFS(INDIRECT(ADDRESS(12,3+18*2+(15),,,"J1 D - South Bank Avenue")&amp;":"&amp;ADDRESS(130,3+18*2+(15))),'J1 D - South Bank Avenue'!$A$12:$A$130,"&gt;="&amp;Diagram!$O64,'J1 D - South Bank Avenue'!$A$12:$A$130,"&lt;"&amp;Diagram!$P64)))</f>
        <v>0</v>
      </c>
      <c r="EW64" s="42">
        <f ca="1">IF(OR($I$10="",$O64="",$P64="",$J$42&lt;&gt;"Yes"),0,IF($K$10=0,SUMIFS(INDIRECT(ADDRESS(12,3+18*3+(7),,,"J1 D - South Bank Avenue")&amp;":"&amp;ADDRESS(130,3+18*3+(7))),'J1 D - South Bank Avenue'!$A$12:$A$130,"&gt;="&amp;Diagram!$O64,'J1 D - South Bank Avenue'!$A$12:$A$130,"&lt;"&amp;Diagram!$P64),SUMIFS(INDIRECT(ADDRESS(12,3+18*3+(15),,,"J1 D - South Bank Avenue")&amp;":"&amp;ADDRESS(130,3+18*3+(15))),'J1 D - South Bank Avenue'!$A$12:$A$130,"&gt;="&amp;Diagram!$O64,'J1 D - South Bank Avenue'!$A$12:$A$130,"&lt;"&amp;Diagram!$P64)))</f>
        <v>0</v>
      </c>
    </row>
    <row r="65" spans="1:153">
      <c r="A65" s="1">
        <v>44395.666666666701</v>
      </c>
      <c r="B65" s="1">
        <v>44395.677083333299</v>
      </c>
      <c r="O65" s="3">
        <v>44395.666666666701</v>
      </c>
      <c r="P65" s="3">
        <v>44395.708333333299</v>
      </c>
      <c r="Q65" s="42">
        <f t="shared" ca="1" si="0"/>
        <v>754</v>
      </c>
      <c r="R65" s="42">
        <f t="shared" ca="1" si="1"/>
        <v>552</v>
      </c>
      <c r="S65" s="42">
        <f ca="1">IF(OR($I$10="",$O65="",$P65="",$J$35&lt;&gt;"Yes"),0,IF($K$10=0,SUMIFS(INDIRECT(ADDRESS(12,3+18*3+(0),,,"J1 A - (North) Bishopthorpe Roa")&amp;":"&amp;ADDRESS(130,3+18*3+(0))),'J1 A - (North) Bishopthorpe Roa'!$A$12:$A$130,"&gt;="&amp;Diagram!$O65,'J1 A - (North) Bishopthorpe Roa'!$A$12:$A$130,"&lt;"&amp;Diagram!$P65),SUMIFS(INDIRECT(ADDRESS(12,3+18*3+(8),,,"J1 A - (North) Bishopthorpe Roa")&amp;":"&amp;ADDRESS(130,3+18*3+(8))),'J1 A - (North) Bishopthorpe Roa'!$A$12:$A$130,"&gt;="&amp;Diagram!$O65,'J1 A - (North) Bishopthorpe Roa'!$A$12:$A$130,"&lt;"&amp;Diagram!$P65)))</f>
        <v>2</v>
      </c>
      <c r="T65" s="42">
        <f ca="1">IF(OR($I$10="",$O65="",$P65="",$J$35&lt;&gt;"Yes"),0,IF($K$10=0,SUMIFS(INDIRECT(ADDRESS(12,3+18*0+(0),,,"J1 A - (North) Bishopthorpe Roa")&amp;":"&amp;ADDRESS(130,3+18*0+(0))),'J1 A - (North) Bishopthorpe Roa'!$A$12:$A$130,"&gt;="&amp;Diagram!$O65,'J1 A - (North) Bishopthorpe Roa'!$A$12:$A$130,"&lt;"&amp;Diagram!$P65),SUMIFS(INDIRECT(ADDRESS(12,3+18*0+(8),,,"J1 A - (North) Bishopthorpe Roa")&amp;":"&amp;ADDRESS(130,3+18*0+(8))),'J1 A - (North) Bishopthorpe Roa'!$A$12:$A$130,"&gt;="&amp;Diagram!$O65,'J1 A - (North) Bishopthorpe Roa'!$A$12:$A$130,"&lt;"&amp;Diagram!$P65)))</f>
        <v>14</v>
      </c>
      <c r="U65" s="42">
        <f ca="1">IF(OR($I$10="",$O65="",$P65="",$J$35&lt;&gt;"Yes"),0,IF($K$10=0,SUMIFS(INDIRECT(ADDRESS(12,3+18*1+(0),,,"J1 A - (North) Bishopthorpe Roa")&amp;":"&amp;ADDRESS(130,3+18*1+(0))),'J1 A - (North) Bishopthorpe Roa'!$A$12:$A$130,"&gt;="&amp;Diagram!$O65,'J1 A - (North) Bishopthorpe Roa'!$A$12:$A$130,"&lt;"&amp;Diagram!$P65),SUMIFS(INDIRECT(ADDRESS(12,3+18*1+(8),,,"J1 A - (North) Bishopthorpe Roa")&amp;":"&amp;ADDRESS(130,3+18*1+(8))),'J1 A - (North) Bishopthorpe Roa'!$A$12:$A$130,"&gt;="&amp;Diagram!$O65,'J1 A - (North) Bishopthorpe Roa'!$A$12:$A$130,"&lt;"&amp;Diagram!$P65)))</f>
        <v>267</v>
      </c>
      <c r="V65" s="42">
        <f ca="1">IF(OR($I$10="",$O65="",$P65="",$J$35&lt;&gt;"Yes"),0,IF($K$10=0,SUMIFS(INDIRECT(ADDRESS(12,3+18*2+(0),,,"J1 A - (North) Bishopthorpe Roa")&amp;":"&amp;ADDRESS(130,3+18*2+(0))),'J1 A - (North) Bishopthorpe Roa'!$A$12:$A$130,"&gt;="&amp;Diagram!$O65,'J1 A - (North) Bishopthorpe Roa'!$A$12:$A$130,"&lt;"&amp;Diagram!$P65),SUMIFS(INDIRECT(ADDRESS(12,3+18*2+(8),,,"J1 A - (North) Bishopthorpe Roa")&amp;":"&amp;ADDRESS(130,3+18*2+(8))),'J1 A - (North) Bishopthorpe Roa'!$A$12:$A$130,"&gt;="&amp;Diagram!$O65,'J1 A - (North) Bishopthorpe Roa'!$A$12:$A$130,"&lt;"&amp;Diagram!$P65)))</f>
        <v>28</v>
      </c>
      <c r="W65" s="42">
        <f ca="1">IF(OR($I$10="",$O65="",$P65="",$J$35&lt;&gt;"Yes"),0,IF($K$10=0,SUMIFS(INDIRECT(ADDRESS(12,3+18*2+(0),,,"J1 B - Butcher Terrace")&amp;":"&amp;ADDRESS(130,3+18*2+(0))),'J1 B - Butcher Terrace'!$A$12:$A$130,"&gt;="&amp;Diagram!$O65,'J1 B - Butcher Terrace'!$A$12:$A$130,"&lt;"&amp;Diagram!$P65),SUMIFS(INDIRECT(ADDRESS(12,3+18*2+(8),,,"J1 B - Butcher Terrace")&amp;":"&amp;ADDRESS(130,3+18*2+(8))),'J1 B - Butcher Terrace'!$A$12:$A$130,"&gt;="&amp;Diagram!$O65,'J1 B - Butcher Terrace'!$A$12:$A$130,"&lt;"&amp;Diagram!$P65)))</f>
        <v>18</v>
      </c>
      <c r="X65" s="42">
        <f ca="1">IF(OR($I$10="",$O65="",$P65="",$J$35&lt;&gt;"Yes"),0,IF($K$10=0,SUMIFS(INDIRECT(ADDRESS(12,3+18*3+(0),,,"J1 B - Butcher Terrace")&amp;":"&amp;ADDRESS(130,3+18*3+(0))),'J1 B - Butcher Terrace'!$A$12:$A$130,"&gt;="&amp;Diagram!$O65,'J1 B - Butcher Terrace'!$A$12:$A$130,"&lt;"&amp;Diagram!$P65),SUMIFS(INDIRECT(ADDRESS(12,3+18*3+(8),,,"J1 B - Butcher Terrace")&amp;":"&amp;ADDRESS(130,3+18*3+(8))),'J1 B - Butcher Terrace'!$A$12:$A$130,"&gt;="&amp;Diagram!$O65,'J1 B - Butcher Terrace'!$A$12:$A$130,"&lt;"&amp;Diagram!$P65)))</f>
        <v>0</v>
      </c>
      <c r="Y65" s="42">
        <f ca="1">IF(OR($I$10="",$O65="",$P65="",$J$35&lt;&gt;"Yes"),0,IF($K$10=0,SUMIFS(INDIRECT(ADDRESS(12,3+18*0+(0),,,"J1 B - Butcher Terrace")&amp;":"&amp;ADDRESS(130,3+18*0+(0))),'J1 B - Butcher Terrace'!$A$12:$A$130,"&gt;="&amp;Diagram!$O65,'J1 B - Butcher Terrace'!$A$12:$A$130,"&lt;"&amp;Diagram!$P65),SUMIFS(INDIRECT(ADDRESS(12,3+18*0+(8),,,"J1 B - Butcher Terrace")&amp;":"&amp;ADDRESS(130,3+18*0+(8))),'J1 B - Butcher Terrace'!$A$12:$A$130,"&gt;="&amp;Diagram!$O65,'J1 B - Butcher Terrace'!$A$12:$A$130,"&lt;"&amp;Diagram!$P65)))</f>
        <v>8</v>
      </c>
      <c r="Z65" s="42">
        <f ca="1">IF(OR($I$10="",$O65="",$P65="",$J$35&lt;&gt;"Yes"),0,IF($K$10=0,SUMIFS(INDIRECT(ADDRESS(12,3+18*1+(0),,,"J1 B - Butcher Terrace")&amp;":"&amp;ADDRESS(130,3+18*1+(0))),'J1 B - Butcher Terrace'!$A$12:$A$130,"&gt;="&amp;Diagram!$O65,'J1 B - Butcher Terrace'!$A$12:$A$130,"&lt;"&amp;Diagram!$P65),SUMIFS(INDIRECT(ADDRESS(12,3+18*1+(8),,,"J1 B - Butcher Terrace")&amp;":"&amp;ADDRESS(130,3+18*1+(8))),'J1 B - Butcher Terrace'!$A$12:$A$130,"&gt;="&amp;Diagram!$O65,'J1 B - Butcher Terrace'!$A$12:$A$130,"&lt;"&amp;Diagram!$P65)))</f>
        <v>0</v>
      </c>
      <c r="AA65" s="42">
        <f ca="1">IF(OR($I$10="",$O65="",$P65="",$J$35&lt;&gt;"Yes"),0,IF($K$10=0,SUMIFS(INDIRECT(ADDRESS(12,3+18*1+(0),,,"J1 C - (South) Bishopthorpe Roa")&amp;":"&amp;ADDRESS(130,3+18*1+(0))),'J1 C - (South) Bishopthorpe Roa'!$A$12:$A$130,"&gt;="&amp;Diagram!$O65,'J1 C - (South) Bishopthorpe Roa'!$A$12:$A$130,"&lt;"&amp;Diagram!$P65),SUMIFS(INDIRECT(ADDRESS(12,3+18*1+(8),,,"J1 C - (South) Bishopthorpe Roa")&amp;":"&amp;ADDRESS(130,3+18*1+(8))),'J1 C - (South) Bishopthorpe Roa'!$A$12:$A$130,"&gt;="&amp;Diagram!$O65,'J1 C - (South) Bishopthorpe Roa'!$A$12:$A$130,"&lt;"&amp;Diagram!$P65)))</f>
        <v>157</v>
      </c>
      <c r="AB65" s="42">
        <f ca="1">IF(OR($I$10="",$O65="",$P65="",$J$35&lt;&gt;"Yes"),0,IF($K$10=0,SUMIFS(INDIRECT(ADDRESS(12,3+18*2+(0),,,"J1 C - (South) Bishopthorpe Roa")&amp;":"&amp;ADDRESS(130,3+18*2+(0))),'J1 C - (South) Bishopthorpe Roa'!$A$12:$A$130,"&gt;="&amp;Diagram!$O65,'J1 C - (South) Bishopthorpe Roa'!$A$12:$A$130,"&lt;"&amp;Diagram!$P65),SUMIFS(INDIRECT(ADDRESS(12,3+18*2+(8),,,"J1 C - (South) Bishopthorpe Roa")&amp;":"&amp;ADDRESS(130,3+18*2+(8))),'J1 C - (South) Bishopthorpe Roa'!$A$12:$A$130,"&gt;="&amp;Diagram!$O65,'J1 C - (South) Bishopthorpe Roa'!$A$12:$A$130,"&lt;"&amp;Diagram!$P65)))</f>
        <v>6</v>
      </c>
      <c r="AC65" s="42">
        <f ca="1">IF(OR($I$10="",$O65="",$P65="",$J$35&lt;&gt;"Yes"),0,IF($K$10=0,SUMIFS(INDIRECT(ADDRESS(12,3+18*3+(0),,,"J1 C - (South) Bishopthorpe Roa")&amp;":"&amp;ADDRESS(130,3+18*3+(0))),'J1 C - (South) Bishopthorpe Roa'!$A$12:$A$130,"&gt;="&amp;Diagram!$O65,'J1 C - (South) Bishopthorpe Roa'!$A$12:$A$130,"&lt;"&amp;Diagram!$P65),SUMIFS(INDIRECT(ADDRESS(12,3+18*3+(8),,,"J1 C - (South) Bishopthorpe Roa")&amp;":"&amp;ADDRESS(130,3+18*3+(8))),'J1 C - (South) Bishopthorpe Roa'!$A$12:$A$130,"&gt;="&amp;Diagram!$O65,'J1 C - (South) Bishopthorpe Roa'!$A$12:$A$130,"&lt;"&amp;Diagram!$P65)))</f>
        <v>1</v>
      </c>
      <c r="AD65" s="42">
        <f ca="1">IF(OR($I$10="",$O65="",$P65="",$J$35&lt;&gt;"Yes"),0,IF($K$10=0,SUMIFS(INDIRECT(ADDRESS(12,3+18*0+(0),,,"J1 C - (South) Bishopthorpe Roa")&amp;":"&amp;ADDRESS(130,3+18*0+(0))),'J1 C - (South) Bishopthorpe Roa'!$A$12:$A$130,"&gt;="&amp;Diagram!$O65,'J1 C - (South) Bishopthorpe Roa'!$A$12:$A$130,"&lt;"&amp;Diagram!$P65),SUMIFS(INDIRECT(ADDRESS(12,3+18*0+(8),,,"J1 C - (South) Bishopthorpe Roa")&amp;":"&amp;ADDRESS(130,3+18*0+(8))),'J1 C - (South) Bishopthorpe Roa'!$A$12:$A$130,"&gt;="&amp;Diagram!$O65,'J1 C - (South) Bishopthorpe Roa'!$A$12:$A$130,"&lt;"&amp;Diagram!$P65)))</f>
        <v>16</v>
      </c>
      <c r="AE65" s="42">
        <f ca="1">IF(OR($I$10="",$O65="",$P65="",$J$35&lt;&gt;"Yes"),0,IF($K$10=0,SUMIFS(INDIRECT(ADDRESS(12,3+18*0+(0),,,"J1 D - South Bank Avenue")&amp;":"&amp;ADDRESS(130,3+18*0+(0))),'J1 D - South Bank Avenue'!$A$12:$A$130,"&gt;="&amp;Diagram!$O65,'J1 D - South Bank Avenue'!$A$12:$A$130,"&lt;"&amp;Diagram!$P65),SUMIFS(INDIRECT(ADDRESS(12,3+18*0+(8),,,"J1 D - South Bank Avenue")&amp;":"&amp;ADDRESS(130,3+18*0+(8))),'J1 D - South Bank Avenue'!$A$12:$A$130,"&gt;="&amp;Diagram!$O65,'J1 D - South Bank Avenue'!$A$12:$A$130,"&lt;"&amp;Diagram!$P65)))</f>
        <v>21</v>
      </c>
      <c r="AF65" s="42">
        <f ca="1">IF(OR($I$10="",$O65="",$P65="",$J$35&lt;&gt;"Yes"),0,IF($K$10=0,SUMIFS(INDIRECT(ADDRESS(12,3+18*1+(0),,,"J1 D - South Bank Avenue")&amp;":"&amp;ADDRESS(130,3+18*1+(0))),'J1 D - South Bank Avenue'!$A$12:$A$130,"&gt;="&amp;Diagram!$O65,'J1 D - South Bank Avenue'!$A$12:$A$130,"&lt;"&amp;Diagram!$P65),SUMIFS(INDIRECT(ADDRESS(12,3+18*1+(8),,,"J1 D - South Bank Avenue")&amp;":"&amp;ADDRESS(130,3+18*1+(8))),'J1 D - South Bank Avenue'!$A$12:$A$130,"&gt;="&amp;Diagram!$O65,'J1 D - South Bank Avenue'!$A$12:$A$130,"&lt;"&amp;Diagram!$P65)))</f>
        <v>1</v>
      </c>
      <c r="AG65" s="42">
        <f ca="1">IF(OR($I$10="",$O65="",$P65="",$J$35&lt;&gt;"Yes"),0,IF($K$10=0,SUMIFS(INDIRECT(ADDRESS(12,3+18*2+(0),,,"J1 D - South Bank Avenue")&amp;":"&amp;ADDRESS(130,3+18*2+(0))),'J1 D - South Bank Avenue'!$A$12:$A$130,"&gt;="&amp;Diagram!$O65,'J1 D - South Bank Avenue'!$A$12:$A$130,"&lt;"&amp;Diagram!$P65),SUMIFS(INDIRECT(ADDRESS(12,3+18*2+(8),,,"J1 D - South Bank Avenue")&amp;":"&amp;ADDRESS(130,3+18*2+(8))),'J1 D - South Bank Avenue'!$A$12:$A$130,"&gt;="&amp;Diagram!$O65,'J1 D - South Bank Avenue'!$A$12:$A$130,"&lt;"&amp;Diagram!$P65)))</f>
        <v>13</v>
      </c>
      <c r="AH65" s="42">
        <f ca="1">IF(OR($I$10="",$O65="",$P65="",$J$35&lt;&gt;"Yes"),0,IF($K$10=0,SUMIFS(INDIRECT(ADDRESS(12,3+18*3+(0),,,"J1 D - South Bank Avenue")&amp;":"&amp;ADDRESS(130,3+18*3+(0))),'J1 D - South Bank Avenue'!$A$12:$A$130,"&gt;="&amp;Diagram!$O65,'J1 D - South Bank Avenue'!$A$12:$A$130,"&lt;"&amp;Diagram!$P65),SUMIFS(INDIRECT(ADDRESS(12,3+18*3+(8),,,"J1 D - South Bank Avenue")&amp;":"&amp;ADDRESS(130,3+18*3+(8))),'J1 D - South Bank Avenue'!$A$12:$A$130,"&gt;="&amp;Diagram!$O65,'J1 D - South Bank Avenue'!$A$12:$A$130,"&lt;"&amp;Diagram!$P65)))</f>
        <v>0</v>
      </c>
      <c r="AI65" s="42">
        <f t="shared" ca="1" si="2"/>
        <v>46</v>
      </c>
      <c r="AJ65" s="42">
        <f ca="1">IF(OR($I$10="",$O65="",$P65="",$J$36&lt;&gt;"Yes"),0,IF($K$10=0,SUMIFS(INDIRECT(ADDRESS(12,3+18*3+(1),,,"J1 A - (North) Bishopthorpe Roa")&amp;":"&amp;ADDRESS(130,3+18*3+(1))),'J1 A - (North) Bishopthorpe Roa'!$A$12:$A$130,"&gt;="&amp;Diagram!$O65,'J1 A - (North) Bishopthorpe Roa'!$A$12:$A$130,"&lt;"&amp;Diagram!$P65),SUMIFS(INDIRECT(ADDRESS(12,3+18*3+(9),,,"J1 A - (North) Bishopthorpe Roa")&amp;":"&amp;ADDRESS(130,3+18*3+(9))),'J1 A - (North) Bishopthorpe Roa'!$A$12:$A$130,"&gt;="&amp;Diagram!$O65,'J1 A - (North) Bishopthorpe Roa'!$A$12:$A$130,"&lt;"&amp;Diagram!$P65)))</f>
        <v>0</v>
      </c>
      <c r="AK65" s="42">
        <f ca="1">IF(OR($I$10="",$O65="",$P65="",$J$36&lt;&gt;"Yes"),0,IF($K$10=0,SUMIFS(INDIRECT(ADDRESS(12,3+18*0+(1),,,"J1 A - (North) Bishopthorpe Roa")&amp;":"&amp;ADDRESS(130,3+18*0+(1))),'J1 A - (North) Bishopthorpe Roa'!$A$12:$A$130,"&gt;="&amp;Diagram!$O65,'J1 A - (North) Bishopthorpe Roa'!$A$12:$A$130,"&lt;"&amp;Diagram!$P65),SUMIFS(INDIRECT(ADDRESS(12,3+18*0+(9),,,"J1 A - (North) Bishopthorpe Roa")&amp;":"&amp;ADDRESS(130,3+18*0+(9))),'J1 A - (North) Bishopthorpe Roa'!$A$12:$A$130,"&gt;="&amp;Diagram!$O65,'J1 A - (North) Bishopthorpe Roa'!$A$12:$A$130,"&lt;"&amp;Diagram!$P65)))</f>
        <v>1</v>
      </c>
      <c r="AL65" s="42">
        <f ca="1">IF(OR($I$10="",$O65="",$P65="",$J$36&lt;&gt;"Yes"),0,IF($K$10=0,SUMIFS(INDIRECT(ADDRESS(12,3+18*1+(1),,,"J1 A - (North) Bishopthorpe Roa")&amp;":"&amp;ADDRESS(130,3+18*1+(1))),'J1 A - (North) Bishopthorpe Roa'!$A$12:$A$130,"&gt;="&amp;Diagram!$O65,'J1 A - (North) Bishopthorpe Roa'!$A$12:$A$130,"&lt;"&amp;Diagram!$P65),SUMIFS(INDIRECT(ADDRESS(12,3+18*1+(9),,,"J1 A - (North) Bishopthorpe Roa")&amp;":"&amp;ADDRESS(130,3+18*1+(9))),'J1 A - (North) Bishopthorpe Roa'!$A$12:$A$130,"&gt;="&amp;Diagram!$O65,'J1 A - (North) Bishopthorpe Roa'!$A$12:$A$130,"&lt;"&amp;Diagram!$P65)))</f>
        <v>21</v>
      </c>
      <c r="AM65" s="42">
        <f ca="1">IF(OR($I$10="",$O65="",$P65="",$J$36&lt;&gt;"Yes"),0,IF($K$10=0,SUMIFS(INDIRECT(ADDRESS(12,3+18*2+(1),,,"J1 A - (North) Bishopthorpe Roa")&amp;":"&amp;ADDRESS(130,3+18*2+(1))),'J1 A - (North) Bishopthorpe Roa'!$A$12:$A$130,"&gt;="&amp;Diagram!$O65,'J1 A - (North) Bishopthorpe Roa'!$A$12:$A$130,"&lt;"&amp;Diagram!$P65),SUMIFS(INDIRECT(ADDRESS(12,3+18*2+(9),,,"J1 A - (North) Bishopthorpe Roa")&amp;":"&amp;ADDRESS(130,3+18*2+(9))),'J1 A - (North) Bishopthorpe Roa'!$A$12:$A$130,"&gt;="&amp;Diagram!$O65,'J1 A - (North) Bishopthorpe Roa'!$A$12:$A$130,"&lt;"&amp;Diagram!$P65)))</f>
        <v>5</v>
      </c>
      <c r="AN65" s="42">
        <f ca="1">IF(OR($I$10="",$O65="",$P65="",$J$36&lt;&gt;"Yes"),0,IF($K$10=0,SUMIFS(INDIRECT(ADDRESS(12,3+18*2+(1),,,"J1 B - Butcher Terrace")&amp;":"&amp;ADDRESS(130,3+18*2+(1))),'J1 B - Butcher Terrace'!$A$12:$A$130,"&gt;="&amp;Diagram!$O65,'J1 B - Butcher Terrace'!$A$12:$A$130,"&lt;"&amp;Diagram!$P65),SUMIFS(INDIRECT(ADDRESS(12,3+18*2+(9),,,"J1 B - Butcher Terrace")&amp;":"&amp;ADDRESS(130,3+18*2+(9))),'J1 B - Butcher Terrace'!$A$12:$A$130,"&gt;="&amp;Diagram!$O65,'J1 B - Butcher Terrace'!$A$12:$A$130,"&lt;"&amp;Diagram!$P65)))</f>
        <v>1</v>
      </c>
      <c r="AO65" s="42">
        <f ca="1">IF(OR($I$10="",$O65="",$P65="",$J$36&lt;&gt;"Yes"),0,IF($K$10=0,SUMIFS(INDIRECT(ADDRESS(12,3+18*3+(1),,,"J1 B - Butcher Terrace")&amp;":"&amp;ADDRESS(130,3+18*3+(1))),'J1 B - Butcher Terrace'!$A$12:$A$130,"&gt;="&amp;Diagram!$O65,'J1 B - Butcher Terrace'!$A$12:$A$130,"&lt;"&amp;Diagram!$P65),SUMIFS(INDIRECT(ADDRESS(12,3+18*3+(9),,,"J1 B - Butcher Terrace")&amp;":"&amp;ADDRESS(130,3+18*3+(9))),'J1 B - Butcher Terrace'!$A$12:$A$130,"&gt;="&amp;Diagram!$O65,'J1 B - Butcher Terrace'!$A$12:$A$130,"&lt;"&amp;Diagram!$P65)))</f>
        <v>0</v>
      </c>
      <c r="AP65" s="42">
        <f ca="1">IF(OR($I$10="",$O65="",$P65="",$J$36&lt;&gt;"Yes"),0,IF($K$10=0,SUMIFS(INDIRECT(ADDRESS(12,3+18*0+(1),,,"J1 B - Butcher Terrace")&amp;":"&amp;ADDRESS(130,3+18*0+(1))),'J1 B - Butcher Terrace'!$A$12:$A$130,"&gt;="&amp;Diagram!$O65,'J1 B - Butcher Terrace'!$A$12:$A$130,"&lt;"&amp;Diagram!$P65),SUMIFS(INDIRECT(ADDRESS(12,3+18*0+(9),,,"J1 B - Butcher Terrace")&amp;":"&amp;ADDRESS(130,3+18*0+(9))),'J1 B - Butcher Terrace'!$A$12:$A$130,"&gt;="&amp;Diagram!$O65,'J1 B - Butcher Terrace'!$A$12:$A$130,"&lt;"&amp;Diagram!$P65)))</f>
        <v>1</v>
      </c>
      <c r="AQ65" s="42">
        <f ca="1">IF(OR($I$10="",$O65="",$P65="",$J$36&lt;&gt;"Yes"),0,IF($K$10=0,SUMIFS(INDIRECT(ADDRESS(12,3+18*1+(1),,,"J1 B - Butcher Terrace")&amp;":"&amp;ADDRESS(130,3+18*1+(1))),'J1 B - Butcher Terrace'!$A$12:$A$130,"&gt;="&amp;Diagram!$O65,'J1 B - Butcher Terrace'!$A$12:$A$130,"&lt;"&amp;Diagram!$P65),SUMIFS(INDIRECT(ADDRESS(12,3+18*1+(9),,,"J1 B - Butcher Terrace")&amp;":"&amp;ADDRESS(130,3+18*1+(9))),'J1 B - Butcher Terrace'!$A$12:$A$130,"&gt;="&amp;Diagram!$O65,'J1 B - Butcher Terrace'!$A$12:$A$130,"&lt;"&amp;Diagram!$P65)))</f>
        <v>0</v>
      </c>
      <c r="AR65" s="42">
        <f ca="1">IF(OR($I$10="",$O65="",$P65="",$J$36&lt;&gt;"Yes"),0,IF($K$10=0,SUMIFS(INDIRECT(ADDRESS(12,3+18*1+(1),,,"J1 C - (South) Bishopthorpe Roa")&amp;":"&amp;ADDRESS(130,3+18*1+(1))),'J1 C - (South) Bishopthorpe Roa'!$A$12:$A$130,"&gt;="&amp;Diagram!$O65,'J1 C - (South) Bishopthorpe Roa'!$A$12:$A$130,"&lt;"&amp;Diagram!$P65),SUMIFS(INDIRECT(ADDRESS(12,3+18*1+(9),,,"J1 C - (South) Bishopthorpe Roa")&amp;":"&amp;ADDRESS(130,3+18*1+(9))),'J1 C - (South) Bishopthorpe Roa'!$A$12:$A$130,"&gt;="&amp;Diagram!$O65,'J1 C - (South) Bishopthorpe Roa'!$A$12:$A$130,"&lt;"&amp;Diagram!$P65)))</f>
        <v>11</v>
      </c>
      <c r="AS65" s="42">
        <f ca="1">IF(OR($I$10="",$O65="",$P65="",$J$36&lt;&gt;"Yes"),0,IF($K$10=0,SUMIFS(INDIRECT(ADDRESS(12,3+18*2+(1),,,"J1 C - (South) Bishopthorpe Roa")&amp;":"&amp;ADDRESS(130,3+18*2+(1))),'J1 C - (South) Bishopthorpe Roa'!$A$12:$A$130,"&gt;="&amp;Diagram!$O65,'J1 C - (South) Bishopthorpe Roa'!$A$12:$A$130,"&lt;"&amp;Diagram!$P65),SUMIFS(INDIRECT(ADDRESS(12,3+18*2+(9),,,"J1 C - (South) Bishopthorpe Roa")&amp;":"&amp;ADDRESS(130,3+18*2+(9))),'J1 C - (South) Bishopthorpe Roa'!$A$12:$A$130,"&gt;="&amp;Diagram!$O65,'J1 C - (South) Bishopthorpe Roa'!$A$12:$A$130,"&lt;"&amp;Diagram!$P65)))</f>
        <v>2</v>
      </c>
      <c r="AT65" s="42">
        <f ca="1">IF(OR($I$10="",$O65="",$P65="",$J$36&lt;&gt;"Yes"),0,IF($K$10=0,SUMIFS(INDIRECT(ADDRESS(12,3+18*3+(1),,,"J1 C - (South) Bishopthorpe Roa")&amp;":"&amp;ADDRESS(130,3+18*3+(1))),'J1 C - (South) Bishopthorpe Roa'!$A$12:$A$130,"&gt;="&amp;Diagram!$O65,'J1 C - (South) Bishopthorpe Roa'!$A$12:$A$130,"&lt;"&amp;Diagram!$P65),SUMIFS(INDIRECT(ADDRESS(12,3+18*3+(9),,,"J1 C - (South) Bishopthorpe Roa")&amp;":"&amp;ADDRESS(130,3+18*3+(9))),'J1 C - (South) Bishopthorpe Roa'!$A$12:$A$130,"&gt;="&amp;Diagram!$O65,'J1 C - (South) Bishopthorpe Roa'!$A$12:$A$130,"&lt;"&amp;Diagram!$P65)))</f>
        <v>0</v>
      </c>
      <c r="AU65" s="42">
        <f ca="1">IF(OR($I$10="",$O65="",$P65="",$J$36&lt;&gt;"Yes"),0,IF($K$10=0,SUMIFS(INDIRECT(ADDRESS(12,3+18*0+(1),,,"J1 C - (South) Bishopthorpe Roa")&amp;":"&amp;ADDRESS(130,3+18*0+(1))),'J1 C - (South) Bishopthorpe Roa'!$A$12:$A$130,"&gt;="&amp;Diagram!$O65,'J1 C - (South) Bishopthorpe Roa'!$A$12:$A$130,"&lt;"&amp;Diagram!$P65),SUMIFS(INDIRECT(ADDRESS(12,3+18*0+(9),,,"J1 C - (South) Bishopthorpe Roa")&amp;":"&amp;ADDRESS(130,3+18*0+(9))),'J1 C - (South) Bishopthorpe Roa'!$A$12:$A$130,"&gt;="&amp;Diagram!$O65,'J1 C - (South) Bishopthorpe Roa'!$A$12:$A$130,"&lt;"&amp;Diagram!$P65)))</f>
        <v>1</v>
      </c>
      <c r="AV65" s="42">
        <f ca="1">IF(OR($I$10="",$O65="",$P65="",$J$36&lt;&gt;"Yes"),0,IF($K$10=0,SUMIFS(INDIRECT(ADDRESS(12,3+18*0+(1),,,"J1 D - South Bank Avenue")&amp;":"&amp;ADDRESS(130,3+18*0+(1))),'J1 D - South Bank Avenue'!$A$12:$A$130,"&gt;="&amp;Diagram!$O65,'J1 D - South Bank Avenue'!$A$12:$A$130,"&lt;"&amp;Diagram!$P65),SUMIFS(INDIRECT(ADDRESS(12,3+18*0+(9),,,"J1 D - South Bank Avenue")&amp;":"&amp;ADDRESS(130,3+18*0+(9))),'J1 D - South Bank Avenue'!$A$12:$A$130,"&gt;="&amp;Diagram!$O65,'J1 D - South Bank Avenue'!$A$12:$A$130,"&lt;"&amp;Diagram!$P65)))</f>
        <v>2</v>
      </c>
      <c r="AW65" s="42">
        <f ca="1">IF(OR($I$10="",$O65="",$P65="",$J$36&lt;&gt;"Yes"),0,IF($K$10=0,SUMIFS(INDIRECT(ADDRESS(12,3+18*1+(1),,,"J1 D - South Bank Avenue")&amp;":"&amp;ADDRESS(130,3+18*1+(1))),'J1 D - South Bank Avenue'!$A$12:$A$130,"&gt;="&amp;Diagram!$O65,'J1 D - South Bank Avenue'!$A$12:$A$130,"&lt;"&amp;Diagram!$P65),SUMIFS(INDIRECT(ADDRESS(12,3+18*1+(9),,,"J1 D - South Bank Avenue")&amp;":"&amp;ADDRESS(130,3+18*1+(9))),'J1 D - South Bank Avenue'!$A$12:$A$130,"&gt;="&amp;Diagram!$O65,'J1 D - South Bank Avenue'!$A$12:$A$130,"&lt;"&amp;Diagram!$P65)))</f>
        <v>0</v>
      </c>
      <c r="AX65" s="42">
        <f ca="1">IF(OR($I$10="",$O65="",$P65="",$J$36&lt;&gt;"Yes"),0,IF($K$10=0,SUMIFS(INDIRECT(ADDRESS(12,3+18*2+(1),,,"J1 D - South Bank Avenue")&amp;":"&amp;ADDRESS(130,3+18*2+(1))),'J1 D - South Bank Avenue'!$A$12:$A$130,"&gt;="&amp;Diagram!$O65,'J1 D - South Bank Avenue'!$A$12:$A$130,"&lt;"&amp;Diagram!$P65),SUMIFS(INDIRECT(ADDRESS(12,3+18*2+(9),,,"J1 D - South Bank Avenue")&amp;":"&amp;ADDRESS(130,3+18*2+(9))),'J1 D - South Bank Avenue'!$A$12:$A$130,"&gt;="&amp;Diagram!$O65,'J1 D - South Bank Avenue'!$A$12:$A$130,"&lt;"&amp;Diagram!$P65)))</f>
        <v>1</v>
      </c>
      <c r="AY65" s="42">
        <f ca="1">IF(OR($I$10="",$O65="",$P65="",$J$36&lt;&gt;"Yes"),0,IF($K$10=0,SUMIFS(INDIRECT(ADDRESS(12,3+18*3+(1),,,"J1 D - South Bank Avenue")&amp;":"&amp;ADDRESS(130,3+18*3+(1))),'J1 D - South Bank Avenue'!$A$12:$A$130,"&gt;="&amp;Diagram!$O65,'J1 D - South Bank Avenue'!$A$12:$A$130,"&lt;"&amp;Diagram!$P65),SUMIFS(INDIRECT(ADDRESS(12,3+18*3+(9),,,"J1 D - South Bank Avenue")&amp;":"&amp;ADDRESS(130,3+18*3+(9))),'J1 D - South Bank Avenue'!$A$12:$A$130,"&gt;="&amp;Diagram!$O65,'J1 D - South Bank Avenue'!$A$12:$A$130,"&lt;"&amp;Diagram!$P65)))</f>
        <v>0</v>
      </c>
      <c r="AZ65" s="42">
        <f t="shared" ca="1" si="3"/>
        <v>5</v>
      </c>
      <c r="BA65" s="42">
        <f ca="1">IF(OR($I$10="",$O65="",$P65="",$J$37&lt;&gt;"Yes"),0,IF($K$10=0,SUMIFS(INDIRECT(ADDRESS(12,3+18*3+(2),,,"J1 A - (North) Bishopthorpe Roa")&amp;":"&amp;ADDRESS(130,3+18*3+(2))),'J1 A - (North) Bishopthorpe Roa'!$A$12:$A$130,"&gt;="&amp;Diagram!$O65,'J1 A - (North) Bishopthorpe Roa'!$A$12:$A$130,"&lt;"&amp;Diagram!$P65),SUMIFS(INDIRECT(ADDRESS(12,3+18*3+(10),,,"J1 A - (North) Bishopthorpe Roa")&amp;":"&amp;ADDRESS(130,3+18*3+(10))),'J1 A - (North) Bishopthorpe Roa'!$A$12:$A$130,"&gt;="&amp;Diagram!$O65,'J1 A - (North) Bishopthorpe Roa'!$A$12:$A$130,"&lt;"&amp;Diagram!$P65)))</f>
        <v>0</v>
      </c>
      <c r="BB65" s="42">
        <f ca="1">IF(OR($I$10="",$O65="",$P65="",$J$37&lt;&gt;"Yes"),0,IF($K$10=0,SUMIFS(INDIRECT(ADDRESS(12,3+18*0+(2),,,"J1 A - (North) Bishopthorpe Roa")&amp;":"&amp;ADDRESS(130,3+18*0+(2))),'J1 A - (North) Bishopthorpe Roa'!$A$12:$A$130,"&gt;="&amp;Diagram!$O65,'J1 A - (North) Bishopthorpe Roa'!$A$12:$A$130,"&lt;"&amp;Diagram!$P65),SUMIFS(INDIRECT(ADDRESS(12,3+18*0+(10),,,"J1 A - (North) Bishopthorpe Roa")&amp;":"&amp;ADDRESS(130,3+18*0+(10))),'J1 A - (North) Bishopthorpe Roa'!$A$12:$A$130,"&gt;="&amp;Diagram!$O65,'J1 A - (North) Bishopthorpe Roa'!$A$12:$A$130,"&lt;"&amp;Diagram!$P65)))</f>
        <v>0</v>
      </c>
      <c r="BC65" s="42">
        <f ca="1">IF(OR($I$10="",$O65="",$P65="",$J$37&lt;&gt;"Yes"),0,IF($K$10=0,SUMIFS(INDIRECT(ADDRESS(12,3+18*1+(2),,,"J1 A - (North) Bishopthorpe Roa")&amp;":"&amp;ADDRESS(130,3+18*1+(2))),'J1 A - (North) Bishopthorpe Roa'!$A$12:$A$130,"&gt;="&amp;Diagram!$O65,'J1 A - (North) Bishopthorpe Roa'!$A$12:$A$130,"&lt;"&amp;Diagram!$P65),SUMIFS(INDIRECT(ADDRESS(12,3+18*1+(10),,,"J1 A - (North) Bishopthorpe Roa")&amp;":"&amp;ADDRESS(130,3+18*1+(10))),'J1 A - (North) Bishopthorpe Roa'!$A$12:$A$130,"&gt;="&amp;Diagram!$O65,'J1 A - (North) Bishopthorpe Roa'!$A$12:$A$130,"&lt;"&amp;Diagram!$P65)))</f>
        <v>1</v>
      </c>
      <c r="BD65" s="42">
        <f ca="1">IF(OR($I$10="",$O65="",$P65="",$J$37&lt;&gt;"Yes"),0,IF($K$10=0,SUMIFS(INDIRECT(ADDRESS(12,3+18*2+(2),,,"J1 A - (North) Bishopthorpe Roa")&amp;":"&amp;ADDRESS(130,3+18*2+(2))),'J1 A - (North) Bishopthorpe Roa'!$A$12:$A$130,"&gt;="&amp;Diagram!$O65,'J1 A - (North) Bishopthorpe Roa'!$A$12:$A$130,"&lt;"&amp;Diagram!$P65),SUMIFS(INDIRECT(ADDRESS(12,3+18*2+(10),,,"J1 A - (North) Bishopthorpe Roa")&amp;":"&amp;ADDRESS(130,3+18*2+(10))),'J1 A - (North) Bishopthorpe Roa'!$A$12:$A$130,"&gt;="&amp;Diagram!$O65,'J1 A - (North) Bishopthorpe Roa'!$A$12:$A$130,"&lt;"&amp;Diagram!$P65)))</f>
        <v>0</v>
      </c>
      <c r="BE65" s="42">
        <f ca="1">IF(OR($I$10="",$O65="",$P65="",$J$37&lt;&gt;"Yes"),0,IF($K$10=0,SUMIFS(INDIRECT(ADDRESS(12,3+18*2+(2),,,"J1 B - Butcher Terrace")&amp;":"&amp;ADDRESS(130,3+18*2+(2))),'J1 B - Butcher Terrace'!$A$12:$A$130,"&gt;="&amp;Diagram!$O65,'J1 B - Butcher Terrace'!$A$12:$A$130,"&lt;"&amp;Diagram!$P65),SUMIFS(INDIRECT(ADDRESS(12,3+18*2+(10),,,"J1 B - Butcher Terrace")&amp;":"&amp;ADDRESS(130,3+18*2+(10))),'J1 B - Butcher Terrace'!$A$12:$A$130,"&gt;="&amp;Diagram!$O65,'J1 B - Butcher Terrace'!$A$12:$A$130,"&lt;"&amp;Diagram!$P65)))</f>
        <v>0</v>
      </c>
      <c r="BF65" s="42">
        <f ca="1">IF(OR($I$10="",$O65="",$P65="",$J$37&lt;&gt;"Yes"),0,IF($K$10=0,SUMIFS(INDIRECT(ADDRESS(12,3+18*3+(2),,,"J1 B - Butcher Terrace")&amp;":"&amp;ADDRESS(130,3+18*3+(2))),'J1 B - Butcher Terrace'!$A$12:$A$130,"&gt;="&amp;Diagram!$O65,'J1 B - Butcher Terrace'!$A$12:$A$130,"&lt;"&amp;Diagram!$P65),SUMIFS(INDIRECT(ADDRESS(12,3+18*3+(10),,,"J1 B - Butcher Terrace")&amp;":"&amp;ADDRESS(130,3+18*3+(10))),'J1 B - Butcher Terrace'!$A$12:$A$130,"&gt;="&amp;Diagram!$O65,'J1 B - Butcher Terrace'!$A$12:$A$130,"&lt;"&amp;Diagram!$P65)))</f>
        <v>0</v>
      </c>
      <c r="BG65" s="42">
        <f ca="1">IF(OR($I$10="",$O65="",$P65="",$J$37&lt;&gt;"Yes"),0,IF($K$10=0,SUMIFS(INDIRECT(ADDRESS(12,3+18*0+(2),,,"J1 B - Butcher Terrace")&amp;":"&amp;ADDRESS(130,3+18*0+(2))),'J1 B - Butcher Terrace'!$A$12:$A$130,"&gt;="&amp;Diagram!$O65,'J1 B - Butcher Terrace'!$A$12:$A$130,"&lt;"&amp;Diagram!$P65),SUMIFS(INDIRECT(ADDRESS(12,3+18*0+(10),,,"J1 B - Butcher Terrace")&amp;":"&amp;ADDRESS(130,3+18*0+(10))),'J1 B - Butcher Terrace'!$A$12:$A$130,"&gt;="&amp;Diagram!$O65,'J1 B - Butcher Terrace'!$A$12:$A$130,"&lt;"&amp;Diagram!$P65)))</f>
        <v>0</v>
      </c>
      <c r="BH65" s="42">
        <f ca="1">IF(OR($I$10="",$O65="",$P65="",$J$37&lt;&gt;"Yes"),0,IF($K$10=0,SUMIFS(INDIRECT(ADDRESS(12,3+18*1+(2),,,"J1 B - Butcher Terrace")&amp;":"&amp;ADDRESS(130,3+18*1+(2))),'J1 B - Butcher Terrace'!$A$12:$A$130,"&gt;="&amp;Diagram!$O65,'J1 B - Butcher Terrace'!$A$12:$A$130,"&lt;"&amp;Diagram!$P65),SUMIFS(INDIRECT(ADDRESS(12,3+18*1+(10),,,"J1 B - Butcher Terrace")&amp;":"&amp;ADDRESS(130,3+18*1+(10))),'J1 B - Butcher Terrace'!$A$12:$A$130,"&gt;="&amp;Diagram!$O65,'J1 B - Butcher Terrace'!$A$12:$A$130,"&lt;"&amp;Diagram!$P65)))</f>
        <v>0</v>
      </c>
      <c r="BI65" s="42">
        <f ca="1">IF(OR($I$10="",$O65="",$P65="",$J$37&lt;&gt;"Yes"),0,IF($K$10=0,SUMIFS(INDIRECT(ADDRESS(12,3+18*1+(2),,,"J1 C - (South) Bishopthorpe Roa")&amp;":"&amp;ADDRESS(130,3+18*1+(2))),'J1 C - (South) Bishopthorpe Roa'!$A$12:$A$130,"&gt;="&amp;Diagram!$O65,'J1 C - (South) Bishopthorpe Roa'!$A$12:$A$130,"&lt;"&amp;Diagram!$P65),SUMIFS(INDIRECT(ADDRESS(12,3+18*1+(10),,,"J1 C - (South) Bishopthorpe Roa")&amp;":"&amp;ADDRESS(130,3+18*1+(10))),'J1 C - (South) Bishopthorpe Roa'!$A$12:$A$130,"&gt;="&amp;Diagram!$O65,'J1 C - (South) Bishopthorpe Roa'!$A$12:$A$130,"&lt;"&amp;Diagram!$P65)))</f>
        <v>2</v>
      </c>
      <c r="BJ65" s="42">
        <f ca="1">IF(OR($I$10="",$O65="",$P65="",$J$37&lt;&gt;"Yes"),0,IF($K$10=0,SUMIFS(INDIRECT(ADDRESS(12,3+18*2+(2),,,"J1 C - (South) Bishopthorpe Roa")&amp;":"&amp;ADDRESS(130,3+18*2+(2))),'J1 C - (South) Bishopthorpe Roa'!$A$12:$A$130,"&gt;="&amp;Diagram!$O65,'J1 C - (South) Bishopthorpe Roa'!$A$12:$A$130,"&lt;"&amp;Diagram!$P65),SUMIFS(INDIRECT(ADDRESS(12,3+18*2+(10),,,"J1 C - (South) Bishopthorpe Roa")&amp;":"&amp;ADDRESS(130,3+18*2+(10))),'J1 C - (South) Bishopthorpe Roa'!$A$12:$A$130,"&gt;="&amp;Diagram!$O65,'J1 C - (South) Bishopthorpe Roa'!$A$12:$A$130,"&lt;"&amp;Diagram!$P65)))</f>
        <v>0</v>
      </c>
      <c r="BK65" s="42">
        <f ca="1">IF(OR($I$10="",$O65="",$P65="",$J$37&lt;&gt;"Yes"),0,IF($K$10=0,SUMIFS(INDIRECT(ADDRESS(12,3+18*3+(2),,,"J1 C - (South) Bishopthorpe Roa")&amp;":"&amp;ADDRESS(130,3+18*3+(2))),'J1 C - (South) Bishopthorpe Roa'!$A$12:$A$130,"&gt;="&amp;Diagram!$O65,'J1 C - (South) Bishopthorpe Roa'!$A$12:$A$130,"&lt;"&amp;Diagram!$P65),SUMIFS(INDIRECT(ADDRESS(12,3+18*3+(10),,,"J1 C - (South) Bishopthorpe Roa")&amp;":"&amp;ADDRESS(130,3+18*3+(10))),'J1 C - (South) Bishopthorpe Roa'!$A$12:$A$130,"&gt;="&amp;Diagram!$O65,'J1 C - (South) Bishopthorpe Roa'!$A$12:$A$130,"&lt;"&amp;Diagram!$P65)))</f>
        <v>0</v>
      </c>
      <c r="BL65" s="42">
        <f ca="1">IF(OR($I$10="",$O65="",$P65="",$J$37&lt;&gt;"Yes"),0,IF($K$10=0,SUMIFS(INDIRECT(ADDRESS(12,3+18*0+(2),,,"J1 C - (South) Bishopthorpe Roa")&amp;":"&amp;ADDRESS(130,3+18*0+(2))),'J1 C - (South) Bishopthorpe Roa'!$A$12:$A$130,"&gt;="&amp;Diagram!$O65,'J1 C - (South) Bishopthorpe Roa'!$A$12:$A$130,"&lt;"&amp;Diagram!$P65),SUMIFS(INDIRECT(ADDRESS(12,3+18*0+(10),,,"J1 C - (South) Bishopthorpe Roa")&amp;":"&amp;ADDRESS(130,3+18*0+(10))),'J1 C - (South) Bishopthorpe Roa'!$A$12:$A$130,"&gt;="&amp;Diagram!$O65,'J1 C - (South) Bishopthorpe Roa'!$A$12:$A$130,"&lt;"&amp;Diagram!$P65)))</f>
        <v>0</v>
      </c>
      <c r="BM65" s="42">
        <f ca="1">IF(OR($I$10="",$O65="",$P65="",$J$37&lt;&gt;"Yes"),0,IF($K$10=0,SUMIFS(INDIRECT(ADDRESS(12,3+18*0+(2),,,"J1 D - South Bank Avenue")&amp;":"&amp;ADDRESS(130,3+18*0+(2))),'J1 D - South Bank Avenue'!$A$12:$A$130,"&gt;="&amp;Diagram!$O65,'J1 D - South Bank Avenue'!$A$12:$A$130,"&lt;"&amp;Diagram!$P65),SUMIFS(INDIRECT(ADDRESS(12,3+18*0+(10),,,"J1 D - South Bank Avenue")&amp;":"&amp;ADDRESS(130,3+18*0+(10))),'J1 D - South Bank Avenue'!$A$12:$A$130,"&gt;="&amp;Diagram!$O65,'J1 D - South Bank Avenue'!$A$12:$A$130,"&lt;"&amp;Diagram!$P65)))</f>
        <v>2</v>
      </c>
      <c r="BN65" s="42">
        <f ca="1">IF(OR($I$10="",$O65="",$P65="",$J$37&lt;&gt;"Yes"),0,IF($K$10=0,SUMIFS(INDIRECT(ADDRESS(12,3+18*1+(2),,,"J1 D - South Bank Avenue")&amp;":"&amp;ADDRESS(130,3+18*1+(2))),'J1 D - South Bank Avenue'!$A$12:$A$130,"&gt;="&amp;Diagram!$O65,'J1 D - South Bank Avenue'!$A$12:$A$130,"&lt;"&amp;Diagram!$P65),SUMIFS(INDIRECT(ADDRESS(12,3+18*1+(10),,,"J1 D - South Bank Avenue")&amp;":"&amp;ADDRESS(130,3+18*1+(10))),'J1 D - South Bank Avenue'!$A$12:$A$130,"&gt;="&amp;Diagram!$O65,'J1 D - South Bank Avenue'!$A$12:$A$130,"&lt;"&amp;Diagram!$P65)))</f>
        <v>0</v>
      </c>
      <c r="BO65" s="42">
        <f ca="1">IF(OR($I$10="",$O65="",$P65="",$J$37&lt;&gt;"Yes"),0,IF($K$10=0,SUMIFS(INDIRECT(ADDRESS(12,3+18*2+(2),,,"J1 D - South Bank Avenue")&amp;":"&amp;ADDRESS(130,3+18*2+(2))),'J1 D - South Bank Avenue'!$A$12:$A$130,"&gt;="&amp;Diagram!$O65,'J1 D - South Bank Avenue'!$A$12:$A$130,"&lt;"&amp;Diagram!$P65),SUMIFS(INDIRECT(ADDRESS(12,3+18*2+(10),,,"J1 D - South Bank Avenue")&amp;":"&amp;ADDRESS(130,3+18*2+(10))),'J1 D - South Bank Avenue'!$A$12:$A$130,"&gt;="&amp;Diagram!$O65,'J1 D - South Bank Avenue'!$A$12:$A$130,"&lt;"&amp;Diagram!$P65)))</f>
        <v>0</v>
      </c>
      <c r="BP65" s="42">
        <f ca="1">IF(OR($I$10="",$O65="",$P65="",$J$37&lt;&gt;"Yes"),0,IF($K$10=0,SUMIFS(INDIRECT(ADDRESS(12,3+18*3+(2),,,"J1 D - South Bank Avenue")&amp;":"&amp;ADDRESS(130,3+18*3+(2))),'J1 D - South Bank Avenue'!$A$12:$A$130,"&gt;="&amp;Diagram!$O65,'J1 D - South Bank Avenue'!$A$12:$A$130,"&lt;"&amp;Diagram!$P65),SUMIFS(INDIRECT(ADDRESS(12,3+18*3+(10),,,"J1 D - South Bank Avenue")&amp;":"&amp;ADDRESS(130,3+18*3+(10))),'J1 D - South Bank Avenue'!$A$12:$A$130,"&gt;="&amp;Diagram!$O65,'J1 D - South Bank Avenue'!$A$12:$A$130,"&lt;"&amp;Diagram!$P65)))</f>
        <v>0</v>
      </c>
      <c r="BQ65" s="42">
        <f t="shared" ca="1" si="4"/>
        <v>0</v>
      </c>
      <c r="BR65" s="42">
        <f ca="1">IF(OR($I$10="",$O65="",$P65="",$J$38&lt;&gt;"Yes"),0,IF($K$10=0,SUMIFS(INDIRECT(ADDRESS(12,3+18*3+(3),,,"J1 A - (North) Bishopthorpe Roa")&amp;":"&amp;ADDRESS(130,3+18*3+(3))),'J1 A - (North) Bishopthorpe Roa'!$A$12:$A$130,"&gt;="&amp;Diagram!$O65,'J1 A - (North) Bishopthorpe Roa'!$A$12:$A$130,"&lt;"&amp;Diagram!$P65),SUMIFS(INDIRECT(ADDRESS(12,3+18*3+(11),,,"J1 A - (North) Bishopthorpe Roa")&amp;":"&amp;ADDRESS(130,3+18*3+(11))),'J1 A - (North) Bishopthorpe Roa'!$A$12:$A$130,"&gt;="&amp;Diagram!$O65,'J1 A - (North) Bishopthorpe Roa'!$A$12:$A$130,"&lt;"&amp;Diagram!$P65)))</f>
        <v>0</v>
      </c>
      <c r="BS65" s="42">
        <f ca="1">IF(OR($I$10="",$O65="",$P65="",$J$38&lt;&gt;"Yes"),0,IF($K$10=0,SUMIFS(INDIRECT(ADDRESS(12,3+18*0+(3),,,"J1 A - (North) Bishopthorpe Roa")&amp;":"&amp;ADDRESS(130,3+18*0+(3))),'J1 A - (North) Bishopthorpe Roa'!$A$12:$A$130,"&gt;="&amp;Diagram!$O65,'J1 A - (North) Bishopthorpe Roa'!$A$12:$A$130,"&lt;"&amp;Diagram!$P65),SUMIFS(INDIRECT(ADDRESS(12,3+18*0+(11),,,"J1 A - (North) Bishopthorpe Roa")&amp;":"&amp;ADDRESS(130,3+18*0+(11))),'J1 A - (North) Bishopthorpe Roa'!$A$12:$A$130,"&gt;="&amp;Diagram!$O65,'J1 A - (North) Bishopthorpe Roa'!$A$12:$A$130,"&lt;"&amp;Diagram!$P65)))</f>
        <v>0</v>
      </c>
      <c r="BT65" s="42">
        <f ca="1">IF(OR($I$10="",$O65="",$P65="",$J$38&lt;&gt;"Yes"),0,IF($K$10=0,SUMIFS(INDIRECT(ADDRESS(12,3+18*1+(3),,,"J1 A - (North) Bishopthorpe Roa")&amp;":"&amp;ADDRESS(130,3+18*1+(3))),'J1 A - (North) Bishopthorpe Roa'!$A$12:$A$130,"&gt;="&amp;Diagram!$O65,'J1 A - (North) Bishopthorpe Roa'!$A$12:$A$130,"&lt;"&amp;Diagram!$P65),SUMIFS(INDIRECT(ADDRESS(12,3+18*1+(11),,,"J1 A - (North) Bishopthorpe Roa")&amp;":"&amp;ADDRESS(130,3+18*1+(11))),'J1 A - (North) Bishopthorpe Roa'!$A$12:$A$130,"&gt;="&amp;Diagram!$O65,'J1 A - (North) Bishopthorpe Roa'!$A$12:$A$130,"&lt;"&amp;Diagram!$P65)))</f>
        <v>0</v>
      </c>
      <c r="BU65" s="42">
        <f ca="1">IF(OR($I$10="",$O65="",$P65="",$J$38&lt;&gt;"Yes"),0,IF($K$10=0,SUMIFS(INDIRECT(ADDRESS(12,3+18*2+(3),,,"J1 A - (North) Bishopthorpe Roa")&amp;":"&amp;ADDRESS(130,3+18*2+(3))),'J1 A - (North) Bishopthorpe Roa'!$A$12:$A$130,"&gt;="&amp;Diagram!$O65,'J1 A - (North) Bishopthorpe Roa'!$A$12:$A$130,"&lt;"&amp;Diagram!$P65),SUMIFS(INDIRECT(ADDRESS(12,3+18*2+(11),,,"J1 A - (North) Bishopthorpe Roa")&amp;":"&amp;ADDRESS(130,3+18*2+(11))),'J1 A - (North) Bishopthorpe Roa'!$A$12:$A$130,"&gt;="&amp;Diagram!$O65,'J1 A - (North) Bishopthorpe Roa'!$A$12:$A$130,"&lt;"&amp;Diagram!$P65)))</f>
        <v>0</v>
      </c>
      <c r="BV65" s="42">
        <f ca="1">IF(OR($I$10="",$O65="",$P65="",$J$38&lt;&gt;"Yes"),0,IF($K$10=0,SUMIFS(INDIRECT(ADDRESS(12,3+18*2+(3),,,"J1 B - Butcher Terrace")&amp;":"&amp;ADDRESS(130,3+18*2+(3))),'J1 B - Butcher Terrace'!$A$12:$A$130,"&gt;="&amp;Diagram!$O65,'J1 B - Butcher Terrace'!$A$12:$A$130,"&lt;"&amp;Diagram!$P65),SUMIFS(INDIRECT(ADDRESS(12,3+18*2+(11),,,"J1 B - Butcher Terrace")&amp;":"&amp;ADDRESS(130,3+18*2+(11))),'J1 B - Butcher Terrace'!$A$12:$A$130,"&gt;="&amp;Diagram!$O65,'J1 B - Butcher Terrace'!$A$12:$A$130,"&lt;"&amp;Diagram!$P65)))</f>
        <v>0</v>
      </c>
      <c r="BW65" s="42">
        <f ca="1">IF(OR($I$10="",$O65="",$P65="",$J$38&lt;&gt;"Yes"),0,IF($K$10=0,SUMIFS(INDIRECT(ADDRESS(12,3+18*3+(3),,,"J1 B - Butcher Terrace")&amp;":"&amp;ADDRESS(130,3+18*3+(3))),'J1 B - Butcher Terrace'!$A$12:$A$130,"&gt;="&amp;Diagram!$O65,'J1 B - Butcher Terrace'!$A$12:$A$130,"&lt;"&amp;Diagram!$P65),SUMIFS(INDIRECT(ADDRESS(12,3+18*3+(11),,,"J1 B - Butcher Terrace")&amp;":"&amp;ADDRESS(130,3+18*3+(11))),'J1 B - Butcher Terrace'!$A$12:$A$130,"&gt;="&amp;Diagram!$O65,'J1 B - Butcher Terrace'!$A$12:$A$130,"&lt;"&amp;Diagram!$P65)))</f>
        <v>0</v>
      </c>
      <c r="BX65" s="42">
        <f ca="1">IF(OR($I$10="",$O65="",$P65="",$J$38&lt;&gt;"Yes"),0,IF($K$10=0,SUMIFS(INDIRECT(ADDRESS(12,3+18*0+(3),,,"J1 B - Butcher Terrace")&amp;":"&amp;ADDRESS(130,3+18*0+(3))),'J1 B - Butcher Terrace'!$A$12:$A$130,"&gt;="&amp;Diagram!$O65,'J1 B - Butcher Terrace'!$A$12:$A$130,"&lt;"&amp;Diagram!$P65),SUMIFS(INDIRECT(ADDRESS(12,3+18*0+(11),,,"J1 B - Butcher Terrace")&amp;":"&amp;ADDRESS(130,3+18*0+(11))),'J1 B - Butcher Terrace'!$A$12:$A$130,"&gt;="&amp;Diagram!$O65,'J1 B - Butcher Terrace'!$A$12:$A$130,"&lt;"&amp;Diagram!$P65)))</f>
        <v>0</v>
      </c>
      <c r="BY65" s="42">
        <f ca="1">IF(OR($I$10="",$O65="",$P65="",$J$38&lt;&gt;"Yes"),0,IF($K$10=0,SUMIFS(INDIRECT(ADDRESS(12,3+18*1+(3),,,"J1 B - Butcher Terrace")&amp;":"&amp;ADDRESS(130,3+18*1+(3))),'J1 B - Butcher Terrace'!$A$12:$A$130,"&gt;="&amp;Diagram!$O65,'J1 B - Butcher Terrace'!$A$12:$A$130,"&lt;"&amp;Diagram!$P65),SUMIFS(INDIRECT(ADDRESS(12,3+18*1+(11),,,"J1 B - Butcher Terrace")&amp;":"&amp;ADDRESS(130,3+18*1+(11))),'J1 B - Butcher Terrace'!$A$12:$A$130,"&gt;="&amp;Diagram!$O65,'J1 B - Butcher Terrace'!$A$12:$A$130,"&lt;"&amp;Diagram!$P65)))</f>
        <v>0</v>
      </c>
      <c r="BZ65" s="42">
        <f ca="1">IF(OR($I$10="",$O65="",$P65="",$J$38&lt;&gt;"Yes"),0,IF($K$10=0,SUMIFS(INDIRECT(ADDRESS(12,3+18*1+(3),,,"J1 C - (South) Bishopthorpe Roa")&amp;":"&amp;ADDRESS(130,3+18*1+(3))),'J1 C - (South) Bishopthorpe Roa'!$A$12:$A$130,"&gt;="&amp;Diagram!$O65,'J1 C - (South) Bishopthorpe Roa'!$A$12:$A$130,"&lt;"&amp;Diagram!$P65),SUMIFS(INDIRECT(ADDRESS(12,3+18*1+(11),,,"J1 C - (South) Bishopthorpe Roa")&amp;":"&amp;ADDRESS(130,3+18*1+(11))),'J1 C - (South) Bishopthorpe Roa'!$A$12:$A$130,"&gt;="&amp;Diagram!$O65,'J1 C - (South) Bishopthorpe Roa'!$A$12:$A$130,"&lt;"&amp;Diagram!$P65)))</f>
        <v>0</v>
      </c>
      <c r="CA65" s="42">
        <f ca="1">IF(OR($I$10="",$O65="",$P65="",$J$38&lt;&gt;"Yes"),0,IF($K$10=0,SUMIFS(INDIRECT(ADDRESS(12,3+18*2+(3),,,"J1 C - (South) Bishopthorpe Roa")&amp;":"&amp;ADDRESS(130,3+18*2+(3))),'J1 C - (South) Bishopthorpe Roa'!$A$12:$A$130,"&gt;="&amp;Diagram!$O65,'J1 C - (South) Bishopthorpe Roa'!$A$12:$A$130,"&lt;"&amp;Diagram!$P65),SUMIFS(INDIRECT(ADDRESS(12,3+18*2+(11),,,"J1 C - (South) Bishopthorpe Roa")&amp;":"&amp;ADDRESS(130,3+18*2+(11))),'J1 C - (South) Bishopthorpe Roa'!$A$12:$A$130,"&gt;="&amp;Diagram!$O65,'J1 C - (South) Bishopthorpe Roa'!$A$12:$A$130,"&lt;"&amp;Diagram!$P65)))</f>
        <v>0</v>
      </c>
      <c r="CB65" s="42">
        <f ca="1">IF(OR($I$10="",$O65="",$P65="",$J$38&lt;&gt;"Yes"),0,IF($K$10=0,SUMIFS(INDIRECT(ADDRESS(12,3+18*3+(3),,,"J1 C - (South) Bishopthorpe Roa")&amp;":"&amp;ADDRESS(130,3+18*3+(3))),'J1 C - (South) Bishopthorpe Roa'!$A$12:$A$130,"&gt;="&amp;Diagram!$O65,'J1 C - (South) Bishopthorpe Roa'!$A$12:$A$130,"&lt;"&amp;Diagram!$P65),SUMIFS(INDIRECT(ADDRESS(12,3+18*3+(11),,,"J1 C - (South) Bishopthorpe Roa")&amp;":"&amp;ADDRESS(130,3+18*3+(11))),'J1 C - (South) Bishopthorpe Roa'!$A$12:$A$130,"&gt;="&amp;Diagram!$O65,'J1 C - (South) Bishopthorpe Roa'!$A$12:$A$130,"&lt;"&amp;Diagram!$P65)))</f>
        <v>0</v>
      </c>
      <c r="CC65" s="42">
        <f ca="1">IF(OR($I$10="",$O65="",$P65="",$J$38&lt;&gt;"Yes"),0,IF($K$10=0,SUMIFS(INDIRECT(ADDRESS(12,3+18*0+(3),,,"J1 C - (South) Bishopthorpe Roa")&amp;":"&amp;ADDRESS(130,3+18*0+(3))),'J1 C - (South) Bishopthorpe Roa'!$A$12:$A$130,"&gt;="&amp;Diagram!$O65,'J1 C - (South) Bishopthorpe Roa'!$A$12:$A$130,"&lt;"&amp;Diagram!$P65),SUMIFS(INDIRECT(ADDRESS(12,3+18*0+(11),,,"J1 C - (South) Bishopthorpe Roa")&amp;":"&amp;ADDRESS(130,3+18*0+(11))),'J1 C - (South) Bishopthorpe Roa'!$A$12:$A$130,"&gt;="&amp;Diagram!$O65,'J1 C - (South) Bishopthorpe Roa'!$A$12:$A$130,"&lt;"&amp;Diagram!$P65)))</f>
        <v>0</v>
      </c>
      <c r="CD65" s="42">
        <f ca="1">IF(OR($I$10="",$O65="",$P65="",$J$38&lt;&gt;"Yes"),0,IF($K$10=0,SUMIFS(INDIRECT(ADDRESS(12,3+18*0+(3),,,"J1 D - South Bank Avenue")&amp;":"&amp;ADDRESS(130,3+18*0+(3))),'J1 D - South Bank Avenue'!$A$12:$A$130,"&gt;="&amp;Diagram!$O65,'J1 D - South Bank Avenue'!$A$12:$A$130,"&lt;"&amp;Diagram!$P65),SUMIFS(INDIRECT(ADDRESS(12,3+18*0+(11),,,"J1 D - South Bank Avenue")&amp;":"&amp;ADDRESS(130,3+18*0+(11))),'J1 D - South Bank Avenue'!$A$12:$A$130,"&gt;="&amp;Diagram!$O65,'J1 D - South Bank Avenue'!$A$12:$A$130,"&lt;"&amp;Diagram!$P65)))</f>
        <v>0</v>
      </c>
      <c r="CE65" s="42">
        <f ca="1">IF(OR($I$10="",$O65="",$P65="",$J$38&lt;&gt;"Yes"),0,IF($K$10=0,SUMIFS(INDIRECT(ADDRESS(12,3+18*1+(3),,,"J1 D - South Bank Avenue")&amp;":"&amp;ADDRESS(130,3+18*1+(3))),'J1 D - South Bank Avenue'!$A$12:$A$130,"&gt;="&amp;Diagram!$O65,'J1 D - South Bank Avenue'!$A$12:$A$130,"&lt;"&amp;Diagram!$P65),SUMIFS(INDIRECT(ADDRESS(12,3+18*1+(11),,,"J1 D - South Bank Avenue")&amp;":"&amp;ADDRESS(130,3+18*1+(11))),'J1 D - South Bank Avenue'!$A$12:$A$130,"&gt;="&amp;Diagram!$O65,'J1 D - South Bank Avenue'!$A$12:$A$130,"&lt;"&amp;Diagram!$P65)))</f>
        <v>0</v>
      </c>
      <c r="CF65" s="42">
        <f ca="1">IF(OR($I$10="",$O65="",$P65="",$J$38&lt;&gt;"Yes"),0,IF($K$10=0,SUMIFS(INDIRECT(ADDRESS(12,3+18*2+(3),,,"J1 D - South Bank Avenue")&amp;":"&amp;ADDRESS(130,3+18*2+(3))),'J1 D - South Bank Avenue'!$A$12:$A$130,"&gt;="&amp;Diagram!$O65,'J1 D - South Bank Avenue'!$A$12:$A$130,"&lt;"&amp;Diagram!$P65),SUMIFS(INDIRECT(ADDRESS(12,3+18*2+(11),,,"J1 D - South Bank Avenue")&amp;":"&amp;ADDRESS(130,3+18*2+(11))),'J1 D - South Bank Avenue'!$A$12:$A$130,"&gt;="&amp;Diagram!$O65,'J1 D - South Bank Avenue'!$A$12:$A$130,"&lt;"&amp;Diagram!$P65)))</f>
        <v>0</v>
      </c>
      <c r="CG65" s="42">
        <f ca="1">IF(OR($I$10="",$O65="",$P65="",$J$38&lt;&gt;"Yes"),0,IF($K$10=0,SUMIFS(INDIRECT(ADDRESS(12,3+18*3+(3),,,"J1 D - South Bank Avenue")&amp;":"&amp;ADDRESS(130,3+18*3+(3))),'J1 D - South Bank Avenue'!$A$12:$A$130,"&gt;="&amp;Diagram!$O65,'J1 D - South Bank Avenue'!$A$12:$A$130,"&lt;"&amp;Diagram!$P65),SUMIFS(INDIRECT(ADDRESS(12,3+18*3+(11),,,"J1 D - South Bank Avenue")&amp;":"&amp;ADDRESS(130,3+18*3+(11))),'J1 D - South Bank Avenue'!$A$12:$A$130,"&gt;="&amp;Diagram!$O65,'J1 D - South Bank Avenue'!$A$12:$A$130,"&lt;"&amp;Diagram!$P65)))</f>
        <v>0</v>
      </c>
      <c r="CH65" s="42">
        <f t="shared" ca="1" si="5"/>
        <v>7</v>
      </c>
      <c r="CI65" s="42">
        <f ca="1">IF(OR($I$10="",$O65="",$P65="",$J$39&lt;&gt;"Yes"),0,IF($K$10=0,SUMIFS(INDIRECT(ADDRESS(12,3+18*3+(4),,,"J1 A - (North) Bishopthorpe Roa")&amp;":"&amp;ADDRESS(130,3+18*3+(4))),'J1 A - (North) Bishopthorpe Roa'!$A$12:$A$130,"&gt;="&amp;Diagram!$O65,'J1 A - (North) Bishopthorpe Roa'!$A$12:$A$130,"&lt;"&amp;Diagram!$P65),SUMIFS(INDIRECT(ADDRESS(12,3+18*3+(12),,,"J1 A - (North) Bishopthorpe Roa")&amp;":"&amp;ADDRESS(130,3+18*3+(12))),'J1 A - (North) Bishopthorpe Roa'!$A$12:$A$130,"&gt;="&amp;Diagram!$O65,'J1 A - (North) Bishopthorpe Roa'!$A$12:$A$130,"&lt;"&amp;Diagram!$P65)))</f>
        <v>0</v>
      </c>
      <c r="CJ65" s="42">
        <f ca="1">IF(OR($I$10="",$O65="",$P65="",$J$39&lt;&gt;"Yes"),0,IF($K$10=0,SUMIFS(INDIRECT(ADDRESS(12,3+18*0+(4),,,"J1 A - (North) Bishopthorpe Roa")&amp;":"&amp;ADDRESS(130,3+18*0+(4))),'J1 A - (North) Bishopthorpe Roa'!$A$12:$A$130,"&gt;="&amp;Diagram!$O65,'J1 A - (North) Bishopthorpe Roa'!$A$12:$A$130,"&lt;"&amp;Diagram!$P65),SUMIFS(INDIRECT(ADDRESS(12,3+18*0+(12),,,"J1 A - (North) Bishopthorpe Roa")&amp;":"&amp;ADDRESS(130,3+18*0+(12))),'J1 A - (North) Bishopthorpe Roa'!$A$12:$A$130,"&gt;="&amp;Diagram!$O65,'J1 A - (North) Bishopthorpe Roa'!$A$12:$A$130,"&lt;"&amp;Diagram!$P65)))</f>
        <v>0</v>
      </c>
      <c r="CK65" s="42">
        <f ca="1">IF(OR($I$10="",$O65="",$P65="",$J$39&lt;&gt;"Yes"),0,IF($K$10=0,SUMIFS(INDIRECT(ADDRESS(12,3+18*1+(4),,,"J1 A - (North) Bishopthorpe Roa")&amp;":"&amp;ADDRESS(130,3+18*1+(4))),'J1 A - (North) Bishopthorpe Roa'!$A$12:$A$130,"&gt;="&amp;Diagram!$O65,'J1 A - (North) Bishopthorpe Roa'!$A$12:$A$130,"&lt;"&amp;Diagram!$P65),SUMIFS(INDIRECT(ADDRESS(12,3+18*1+(12),,,"J1 A - (North) Bishopthorpe Roa")&amp;":"&amp;ADDRESS(130,3+18*1+(12))),'J1 A - (North) Bishopthorpe Roa'!$A$12:$A$130,"&gt;="&amp;Diagram!$O65,'J1 A - (North) Bishopthorpe Roa'!$A$12:$A$130,"&lt;"&amp;Diagram!$P65)))</f>
        <v>3</v>
      </c>
      <c r="CL65" s="42">
        <f ca="1">IF(OR($I$10="",$O65="",$P65="",$J$39&lt;&gt;"Yes"),0,IF($K$10=0,SUMIFS(INDIRECT(ADDRESS(12,3+18*2+(4),,,"J1 A - (North) Bishopthorpe Roa")&amp;":"&amp;ADDRESS(130,3+18*2+(4))),'J1 A - (North) Bishopthorpe Roa'!$A$12:$A$130,"&gt;="&amp;Diagram!$O65,'J1 A - (North) Bishopthorpe Roa'!$A$12:$A$130,"&lt;"&amp;Diagram!$P65),SUMIFS(INDIRECT(ADDRESS(12,3+18*2+(12),,,"J1 A - (North) Bishopthorpe Roa")&amp;":"&amp;ADDRESS(130,3+18*2+(12))),'J1 A - (North) Bishopthorpe Roa'!$A$12:$A$130,"&gt;="&amp;Diagram!$O65,'J1 A - (North) Bishopthorpe Roa'!$A$12:$A$130,"&lt;"&amp;Diagram!$P65)))</f>
        <v>0</v>
      </c>
      <c r="CM65" s="42">
        <f ca="1">IF(OR($I$10="",$O65="",$P65="",$J$39&lt;&gt;"Yes"),0,IF($K$10=0,SUMIFS(INDIRECT(ADDRESS(12,3+18*2+(4),,,"J1 B - Butcher Terrace")&amp;":"&amp;ADDRESS(130,3+18*2+(4))),'J1 B - Butcher Terrace'!$A$12:$A$130,"&gt;="&amp;Diagram!$O65,'J1 B - Butcher Terrace'!$A$12:$A$130,"&lt;"&amp;Diagram!$P65),SUMIFS(INDIRECT(ADDRESS(12,3+18*2+(12),,,"J1 B - Butcher Terrace")&amp;":"&amp;ADDRESS(130,3+18*2+(12))),'J1 B - Butcher Terrace'!$A$12:$A$130,"&gt;="&amp;Diagram!$O65,'J1 B - Butcher Terrace'!$A$12:$A$130,"&lt;"&amp;Diagram!$P65)))</f>
        <v>0</v>
      </c>
      <c r="CN65" s="42">
        <f ca="1">IF(OR($I$10="",$O65="",$P65="",$J$39&lt;&gt;"Yes"),0,IF($K$10=0,SUMIFS(INDIRECT(ADDRESS(12,3+18*3+(4),,,"J1 B - Butcher Terrace")&amp;":"&amp;ADDRESS(130,3+18*3+(4))),'J1 B - Butcher Terrace'!$A$12:$A$130,"&gt;="&amp;Diagram!$O65,'J1 B - Butcher Terrace'!$A$12:$A$130,"&lt;"&amp;Diagram!$P65),SUMIFS(INDIRECT(ADDRESS(12,3+18*3+(12),,,"J1 B - Butcher Terrace")&amp;":"&amp;ADDRESS(130,3+18*3+(12))),'J1 B - Butcher Terrace'!$A$12:$A$130,"&gt;="&amp;Diagram!$O65,'J1 B - Butcher Terrace'!$A$12:$A$130,"&lt;"&amp;Diagram!$P65)))</f>
        <v>0</v>
      </c>
      <c r="CO65" s="42">
        <f ca="1">IF(OR($I$10="",$O65="",$P65="",$J$39&lt;&gt;"Yes"),0,IF($K$10=0,SUMIFS(INDIRECT(ADDRESS(12,3+18*0+(4),,,"J1 B - Butcher Terrace")&amp;":"&amp;ADDRESS(130,3+18*0+(4))),'J1 B - Butcher Terrace'!$A$12:$A$130,"&gt;="&amp;Diagram!$O65,'J1 B - Butcher Terrace'!$A$12:$A$130,"&lt;"&amp;Diagram!$P65),SUMIFS(INDIRECT(ADDRESS(12,3+18*0+(12),,,"J1 B - Butcher Terrace")&amp;":"&amp;ADDRESS(130,3+18*0+(12))),'J1 B - Butcher Terrace'!$A$12:$A$130,"&gt;="&amp;Diagram!$O65,'J1 B - Butcher Terrace'!$A$12:$A$130,"&lt;"&amp;Diagram!$P65)))</f>
        <v>0</v>
      </c>
      <c r="CP65" s="42">
        <f ca="1">IF(OR($I$10="",$O65="",$P65="",$J$39&lt;&gt;"Yes"),0,IF($K$10=0,SUMIFS(INDIRECT(ADDRESS(12,3+18*1+(4),,,"J1 B - Butcher Terrace")&amp;":"&amp;ADDRESS(130,3+18*1+(4))),'J1 B - Butcher Terrace'!$A$12:$A$130,"&gt;="&amp;Diagram!$O65,'J1 B - Butcher Terrace'!$A$12:$A$130,"&lt;"&amp;Diagram!$P65),SUMIFS(INDIRECT(ADDRESS(12,3+18*1+(12),,,"J1 B - Butcher Terrace")&amp;":"&amp;ADDRESS(130,3+18*1+(12))),'J1 B - Butcher Terrace'!$A$12:$A$130,"&gt;="&amp;Diagram!$O65,'J1 B - Butcher Terrace'!$A$12:$A$130,"&lt;"&amp;Diagram!$P65)))</f>
        <v>0</v>
      </c>
      <c r="CQ65" s="42">
        <f ca="1">IF(OR($I$10="",$O65="",$P65="",$J$39&lt;&gt;"Yes"),0,IF($K$10=0,SUMIFS(INDIRECT(ADDRESS(12,3+18*1+(4),,,"J1 C - (South) Bishopthorpe Roa")&amp;":"&amp;ADDRESS(130,3+18*1+(4))),'J1 C - (South) Bishopthorpe Roa'!$A$12:$A$130,"&gt;="&amp;Diagram!$O65,'J1 C - (South) Bishopthorpe Roa'!$A$12:$A$130,"&lt;"&amp;Diagram!$P65),SUMIFS(INDIRECT(ADDRESS(12,3+18*1+(12),,,"J1 C - (South) Bishopthorpe Roa")&amp;":"&amp;ADDRESS(130,3+18*1+(12))),'J1 C - (South) Bishopthorpe Roa'!$A$12:$A$130,"&gt;="&amp;Diagram!$O65,'J1 C - (South) Bishopthorpe Roa'!$A$12:$A$130,"&lt;"&amp;Diagram!$P65)))</f>
        <v>4</v>
      </c>
      <c r="CR65" s="42">
        <f ca="1">IF(OR($I$10="",$O65="",$P65="",$J$39&lt;&gt;"Yes"),0,IF($K$10=0,SUMIFS(INDIRECT(ADDRESS(12,3+18*2+(4),,,"J1 C - (South) Bishopthorpe Roa")&amp;":"&amp;ADDRESS(130,3+18*2+(4))),'J1 C - (South) Bishopthorpe Roa'!$A$12:$A$130,"&gt;="&amp;Diagram!$O65,'J1 C - (South) Bishopthorpe Roa'!$A$12:$A$130,"&lt;"&amp;Diagram!$P65),SUMIFS(INDIRECT(ADDRESS(12,3+18*2+(12),,,"J1 C - (South) Bishopthorpe Roa")&amp;":"&amp;ADDRESS(130,3+18*2+(12))),'J1 C - (South) Bishopthorpe Roa'!$A$12:$A$130,"&gt;="&amp;Diagram!$O65,'J1 C - (South) Bishopthorpe Roa'!$A$12:$A$130,"&lt;"&amp;Diagram!$P65)))</f>
        <v>0</v>
      </c>
      <c r="CS65" s="42">
        <f ca="1">IF(OR($I$10="",$O65="",$P65="",$J$39&lt;&gt;"Yes"),0,IF($K$10=0,SUMIFS(INDIRECT(ADDRESS(12,3+18*3+(4),,,"J1 C - (South) Bishopthorpe Roa")&amp;":"&amp;ADDRESS(130,3+18*3+(4))),'J1 C - (South) Bishopthorpe Roa'!$A$12:$A$130,"&gt;="&amp;Diagram!$O65,'J1 C - (South) Bishopthorpe Roa'!$A$12:$A$130,"&lt;"&amp;Diagram!$P65),SUMIFS(INDIRECT(ADDRESS(12,3+18*3+(12),,,"J1 C - (South) Bishopthorpe Roa")&amp;":"&amp;ADDRESS(130,3+18*3+(12))),'J1 C - (South) Bishopthorpe Roa'!$A$12:$A$130,"&gt;="&amp;Diagram!$O65,'J1 C - (South) Bishopthorpe Roa'!$A$12:$A$130,"&lt;"&amp;Diagram!$P65)))</f>
        <v>0</v>
      </c>
      <c r="CT65" s="42">
        <f ca="1">IF(OR($I$10="",$O65="",$P65="",$J$39&lt;&gt;"Yes"),0,IF($K$10=0,SUMIFS(INDIRECT(ADDRESS(12,3+18*0+(4),,,"J1 C - (South) Bishopthorpe Roa")&amp;":"&amp;ADDRESS(130,3+18*0+(4))),'J1 C - (South) Bishopthorpe Roa'!$A$12:$A$130,"&gt;="&amp;Diagram!$O65,'J1 C - (South) Bishopthorpe Roa'!$A$12:$A$130,"&lt;"&amp;Diagram!$P65),SUMIFS(INDIRECT(ADDRESS(12,3+18*0+(12),,,"J1 C - (South) Bishopthorpe Roa")&amp;":"&amp;ADDRESS(130,3+18*0+(12))),'J1 C - (South) Bishopthorpe Roa'!$A$12:$A$130,"&gt;="&amp;Diagram!$O65,'J1 C - (South) Bishopthorpe Roa'!$A$12:$A$130,"&lt;"&amp;Diagram!$P65)))</f>
        <v>0</v>
      </c>
      <c r="CU65" s="42">
        <f ca="1">IF(OR($I$10="",$O65="",$P65="",$J$39&lt;&gt;"Yes"),0,IF($K$10=0,SUMIFS(INDIRECT(ADDRESS(12,3+18*0+(4),,,"J1 D - South Bank Avenue")&amp;":"&amp;ADDRESS(130,3+18*0+(4))),'J1 D - South Bank Avenue'!$A$12:$A$130,"&gt;="&amp;Diagram!$O65,'J1 D - South Bank Avenue'!$A$12:$A$130,"&lt;"&amp;Diagram!$P65),SUMIFS(INDIRECT(ADDRESS(12,3+18*0+(12),,,"J1 D - South Bank Avenue")&amp;":"&amp;ADDRESS(130,3+18*0+(12))),'J1 D - South Bank Avenue'!$A$12:$A$130,"&gt;="&amp;Diagram!$O65,'J1 D - South Bank Avenue'!$A$12:$A$130,"&lt;"&amp;Diagram!$P65)))</f>
        <v>0</v>
      </c>
      <c r="CV65" s="42">
        <f ca="1">IF(OR($I$10="",$O65="",$P65="",$J$39&lt;&gt;"Yes"),0,IF($K$10=0,SUMIFS(INDIRECT(ADDRESS(12,3+18*1+(4),,,"J1 D - South Bank Avenue")&amp;":"&amp;ADDRESS(130,3+18*1+(4))),'J1 D - South Bank Avenue'!$A$12:$A$130,"&gt;="&amp;Diagram!$O65,'J1 D - South Bank Avenue'!$A$12:$A$130,"&lt;"&amp;Diagram!$P65),SUMIFS(INDIRECT(ADDRESS(12,3+18*1+(12),,,"J1 D - South Bank Avenue")&amp;":"&amp;ADDRESS(130,3+18*1+(12))),'J1 D - South Bank Avenue'!$A$12:$A$130,"&gt;="&amp;Diagram!$O65,'J1 D - South Bank Avenue'!$A$12:$A$130,"&lt;"&amp;Diagram!$P65)))</f>
        <v>0</v>
      </c>
      <c r="CW65" s="42">
        <f ca="1">IF(OR($I$10="",$O65="",$P65="",$J$39&lt;&gt;"Yes"),0,IF($K$10=0,SUMIFS(INDIRECT(ADDRESS(12,3+18*2+(4),,,"J1 D - South Bank Avenue")&amp;":"&amp;ADDRESS(130,3+18*2+(4))),'J1 D - South Bank Avenue'!$A$12:$A$130,"&gt;="&amp;Diagram!$O65,'J1 D - South Bank Avenue'!$A$12:$A$130,"&lt;"&amp;Diagram!$P65),SUMIFS(INDIRECT(ADDRESS(12,3+18*2+(12),,,"J1 D - South Bank Avenue")&amp;":"&amp;ADDRESS(130,3+18*2+(12))),'J1 D - South Bank Avenue'!$A$12:$A$130,"&gt;="&amp;Diagram!$O65,'J1 D - South Bank Avenue'!$A$12:$A$130,"&lt;"&amp;Diagram!$P65)))</f>
        <v>0</v>
      </c>
      <c r="CX65" s="42">
        <f ca="1">IF(OR($I$10="",$O65="",$P65="",$J$39&lt;&gt;"Yes"),0,IF($K$10=0,SUMIFS(INDIRECT(ADDRESS(12,3+18*3+(4),,,"J1 D - South Bank Avenue")&amp;":"&amp;ADDRESS(130,3+18*3+(4))),'J1 D - South Bank Avenue'!$A$12:$A$130,"&gt;="&amp;Diagram!$O65,'J1 D - South Bank Avenue'!$A$12:$A$130,"&lt;"&amp;Diagram!$P65),SUMIFS(INDIRECT(ADDRESS(12,3+18*3+(12),,,"J1 D - South Bank Avenue")&amp;":"&amp;ADDRESS(130,3+18*3+(12))),'J1 D - South Bank Avenue'!$A$12:$A$130,"&gt;="&amp;Diagram!$O65,'J1 D - South Bank Avenue'!$A$12:$A$130,"&lt;"&amp;Diagram!$P65)))</f>
        <v>0</v>
      </c>
      <c r="CY65" s="42">
        <f t="shared" ca="1" si="6"/>
        <v>136</v>
      </c>
      <c r="CZ65" s="42">
        <f ca="1">IF(OR($I$10="",$O65="",$P65="",$J$40&lt;&gt;"Yes"),0,IF($K$10=0,SUMIFS(INDIRECT(ADDRESS(12,3+18*3+(5),,,"J1 A - (North) Bishopthorpe Roa")&amp;":"&amp;ADDRESS(130,3+18*3+(5))),'J1 A - (North) Bishopthorpe Roa'!$A$12:$A$130,"&gt;="&amp;Diagram!$O65,'J1 A - (North) Bishopthorpe Roa'!$A$12:$A$130,"&lt;"&amp;Diagram!$P65),SUMIFS(INDIRECT(ADDRESS(12,3+18*3+(13),,,"J1 A - (North) Bishopthorpe Roa")&amp;":"&amp;ADDRESS(130,3+18*3+(13))),'J1 A - (North) Bishopthorpe Roa'!$A$12:$A$130,"&gt;="&amp;Diagram!$O65,'J1 A - (North) Bishopthorpe Roa'!$A$12:$A$130,"&lt;"&amp;Diagram!$P65)))</f>
        <v>0</v>
      </c>
      <c r="DA65" s="42">
        <f ca="1">IF(OR($I$10="",$O65="",$P65="",$J$40&lt;&gt;"Yes"),0,IF($K$10=0,SUMIFS(INDIRECT(ADDRESS(12,3+18*0+(5),,,"J1 A - (North) Bishopthorpe Roa")&amp;":"&amp;ADDRESS(130,3+18*0+(5))),'J1 A - (North) Bishopthorpe Roa'!$A$12:$A$130,"&gt;="&amp;Diagram!$O65,'J1 A - (North) Bishopthorpe Roa'!$A$12:$A$130,"&lt;"&amp;Diagram!$P65),SUMIFS(INDIRECT(ADDRESS(12,3+18*0+(13),,,"J1 A - (North) Bishopthorpe Roa")&amp;":"&amp;ADDRESS(130,3+18*0+(13))),'J1 A - (North) Bishopthorpe Roa'!$A$12:$A$130,"&gt;="&amp;Diagram!$O65,'J1 A - (North) Bishopthorpe Roa'!$A$12:$A$130,"&lt;"&amp;Diagram!$P65)))</f>
        <v>12</v>
      </c>
      <c r="DB65" s="42">
        <f ca="1">IF(OR($I$10="",$O65="",$P65="",$J$40&lt;&gt;"Yes"),0,IF($K$10=0,SUMIFS(INDIRECT(ADDRESS(12,3+18*1+(5),,,"J1 A - (North) Bishopthorpe Roa")&amp;":"&amp;ADDRESS(130,3+18*1+(5))),'J1 A - (North) Bishopthorpe Roa'!$A$12:$A$130,"&gt;="&amp;Diagram!$O65,'J1 A - (North) Bishopthorpe Roa'!$A$12:$A$130,"&lt;"&amp;Diagram!$P65),SUMIFS(INDIRECT(ADDRESS(12,3+18*1+(13),,,"J1 A - (North) Bishopthorpe Roa")&amp;":"&amp;ADDRESS(130,3+18*1+(13))),'J1 A - (North) Bishopthorpe Roa'!$A$12:$A$130,"&gt;="&amp;Diagram!$O65,'J1 A - (North) Bishopthorpe Roa'!$A$12:$A$130,"&lt;"&amp;Diagram!$P65)))</f>
        <v>21</v>
      </c>
      <c r="DC65" s="42">
        <f ca="1">IF(OR($I$10="",$O65="",$P65="",$J$40&lt;&gt;"Yes"),0,IF($K$10=0,SUMIFS(INDIRECT(ADDRESS(12,3+18*2+(5),,,"J1 A - (North) Bishopthorpe Roa")&amp;":"&amp;ADDRESS(130,3+18*2+(5))),'J1 A - (North) Bishopthorpe Roa'!$A$12:$A$130,"&gt;="&amp;Diagram!$O65,'J1 A - (North) Bishopthorpe Roa'!$A$12:$A$130,"&lt;"&amp;Diagram!$P65),SUMIFS(INDIRECT(ADDRESS(12,3+18*2+(13),,,"J1 A - (North) Bishopthorpe Roa")&amp;":"&amp;ADDRESS(130,3+18*2+(13))),'J1 A - (North) Bishopthorpe Roa'!$A$12:$A$130,"&gt;="&amp;Diagram!$O65,'J1 A - (North) Bishopthorpe Roa'!$A$12:$A$130,"&lt;"&amp;Diagram!$P65)))</f>
        <v>5</v>
      </c>
      <c r="DD65" s="42">
        <f ca="1">IF(OR($I$10="",$O65="",$P65="",$J$40&lt;&gt;"Yes"),0,IF($K$10=0,SUMIFS(INDIRECT(ADDRESS(12,3+18*2+(5),,,"J1 B - Butcher Terrace")&amp;":"&amp;ADDRESS(130,3+18*2+(5))),'J1 B - Butcher Terrace'!$A$12:$A$130,"&gt;="&amp;Diagram!$O65,'J1 B - Butcher Terrace'!$A$12:$A$130,"&lt;"&amp;Diagram!$P65),SUMIFS(INDIRECT(ADDRESS(12,3+18*2+(13),,,"J1 B - Butcher Terrace")&amp;":"&amp;ADDRESS(130,3+18*2+(13))),'J1 B - Butcher Terrace'!$A$12:$A$130,"&gt;="&amp;Diagram!$O65,'J1 B - Butcher Terrace'!$A$12:$A$130,"&lt;"&amp;Diagram!$P65)))</f>
        <v>8</v>
      </c>
      <c r="DE65" s="42">
        <f ca="1">IF(OR($I$10="",$O65="",$P65="",$J$40&lt;&gt;"Yes"),0,IF($K$10=0,SUMIFS(INDIRECT(ADDRESS(12,3+18*3+(5),,,"J1 B - Butcher Terrace")&amp;":"&amp;ADDRESS(130,3+18*3+(5))),'J1 B - Butcher Terrace'!$A$12:$A$130,"&gt;="&amp;Diagram!$O65,'J1 B - Butcher Terrace'!$A$12:$A$130,"&lt;"&amp;Diagram!$P65),SUMIFS(INDIRECT(ADDRESS(12,3+18*3+(13),,,"J1 B - Butcher Terrace")&amp;":"&amp;ADDRESS(130,3+18*3+(13))),'J1 B - Butcher Terrace'!$A$12:$A$130,"&gt;="&amp;Diagram!$O65,'J1 B - Butcher Terrace'!$A$12:$A$130,"&lt;"&amp;Diagram!$P65)))</f>
        <v>0</v>
      </c>
      <c r="DF65" s="42">
        <f ca="1">IF(OR($I$10="",$O65="",$P65="",$J$40&lt;&gt;"Yes"),0,IF($K$10=0,SUMIFS(INDIRECT(ADDRESS(12,3+18*0+(5),,,"J1 B - Butcher Terrace")&amp;":"&amp;ADDRESS(130,3+18*0+(5))),'J1 B - Butcher Terrace'!$A$12:$A$130,"&gt;="&amp;Diagram!$O65,'J1 B - Butcher Terrace'!$A$12:$A$130,"&lt;"&amp;Diagram!$P65),SUMIFS(INDIRECT(ADDRESS(12,3+18*0+(13),,,"J1 B - Butcher Terrace")&amp;":"&amp;ADDRESS(130,3+18*0+(13))),'J1 B - Butcher Terrace'!$A$12:$A$130,"&gt;="&amp;Diagram!$O65,'J1 B - Butcher Terrace'!$A$12:$A$130,"&lt;"&amp;Diagram!$P65)))</f>
        <v>6</v>
      </c>
      <c r="DG65" s="42">
        <f ca="1">IF(OR($I$10="",$O65="",$P65="",$J$40&lt;&gt;"Yes"),0,IF($K$10=0,SUMIFS(INDIRECT(ADDRESS(12,3+18*1+(5),,,"J1 B - Butcher Terrace")&amp;":"&amp;ADDRESS(130,3+18*1+(5))),'J1 B - Butcher Terrace'!$A$12:$A$130,"&gt;="&amp;Diagram!$O65,'J1 B - Butcher Terrace'!$A$12:$A$130,"&lt;"&amp;Diagram!$P65),SUMIFS(INDIRECT(ADDRESS(12,3+18*1+(13),,,"J1 B - Butcher Terrace")&amp;":"&amp;ADDRESS(130,3+18*1+(13))),'J1 B - Butcher Terrace'!$A$12:$A$130,"&gt;="&amp;Diagram!$O65,'J1 B - Butcher Terrace'!$A$12:$A$130,"&lt;"&amp;Diagram!$P65)))</f>
        <v>39</v>
      </c>
      <c r="DH65" s="42">
        <f ca="1">IF(OR($I$10="",$O65="",$P65="",$J$40&lt;&gt;"Yes"),0,IF($K$10=0,SUMIFS(INDIRECT(ADDRESS(12,3+18*1+(5),,,"J1 C - (South) Bishopthorpe Roa")&amp;":"&amp;ADDRESS(130,3+18*1+(5))),'J1 C - (South) Bishopthorpe Roa'!$A$12:$A$130,"&gt;="&amp;Diagram!$O65,'J1 C - (South) Bishopthorpe Roa'!$A$12:$A$130,"&lt;"&amp;Diagram!$P65),SUMIFS(INDIRECT(ADDRESS(12,3+18*1+(13),,,"J1 C - (South) Bishopthorpe Roa")&amp;":"&amp;ADDRESS(130,3+18*1+(13))),'J1 C - (South) Bishopthorpe Roa'!$A$12:$A$130,"&gt;="&amp;Diagram!$O65,'J1 C - (South) Bishopthorpe Roa'!$A$12:$A$130,"&lt;"&amp;Diagram!$P65)))</f>
        <v>13</v>
      </c>
      <c r="DI65" s="42">
        <f ca="1">IF(OR($I$10="",$O65="",$P65="",$J$40&lt;&gt;"Yes"),0,IF($K$10=0,SUMIFS(INDIRECT(ADDRESS(12,3+18*2+(5),,,"J1 C - (South) Bishopthorpe Roa")&amp;":"&amp;ADDRESS(130,3+18*2+(5))),'J1 C - (South) Bishopthorpe Roa'!$A$12:$A$130,"&gt;="&amp;Diagram!$O65,'J1 C - (South) Bishopthorpe Roa'!$A$12:$A$130,"&lt;"&amp;Diagram!$P65),SUMIFS(INDIRECT(ADDRESS(12,3+18*2+(13),,,"J1 C - (South) Bishopthorpe Roa")&amp;":"&amp;ADDRESS(130,3+18*2+(13))),'J1 C - (South) Bishopthorpe Roa'!$A$12:$A$130,"&gt;="&amp;Diagram!$O65,'J1 C - (South) Bishopthorpe Roa'!$A$12:$A$130,"&lt;"&amp;Diagram!$P65)))</f>
        <v>7</v>
      </c>
      <c r="DJ65" s="42">
        <f ca="1">IF(OR($I$10="",$O65="",$P65="",$J$40&lt;&gt;"Yes"),0,IF($K$10=0,SUMIFS(INDIRECT(ADDRESS(12,3+18*3+(5),,,"J1 C - (South) Bishopthorpe Roa")&amp;":"&amp;ADDRESS(130,3+18*3+(5))),'J1 C - (South) Bishopthorpe Roa'!$A$12:$A$130,"&gt;="&amp;Diagram!$O65,'J1 C - (South) Bishopthorpe Roa'!$A$12:$A$130,"&lt;"&amp;Diagram!$P65),SUMIFS(INDIRECT(ADDRESS(12,3+18*3+(13),,,"J1 C - (South) Bishopthorpe Roa")&amp;":"&amp;ADDRESS(130,3+18*3+(13))),'J1 C - (South) Bishopthorpe Roa'!$A$12:$A$130,"&gt;="&amp;Diagram!$O65,'J1 C - (South) Bishopthorpe Roa'!$A$12:$A$130,"&lt;"&amp;Diagram!$P65)))</f>
        <v>0</v>
      </c>
      <c r="DK65" s="42">
        <f ca="1">IF(OR($I$10="",$O65="",$P65="",$J$40&lt;&gt;"Yes"),0,IF($K$10=0,SUMIFS(INDIRECT(ADDRESS(12,3+18*0+(5),,,"J1 C - (South) Bishopthorpe Roa")&amp;":"&amp;ADDRESS(130,3+18*0+(5))),'J1 C - (South) Bishopthorpe Roa'!$A$12:$A$130,"&gt;="&amp;Diagram!$O65,'J1 C - (South) Bishopthorpe Roa'!$A$12:$A$130,"&lt;"&amp;Diagram!$P65),SUMIFS(INDIRECT(ADDRESS(12,3+18*0+(13),,,"J1 C - (South) Bishopthorpe Roa")&amp;":"&amp;ADDRESS(130,3+18*0+(13))),'J1 C - (South) Bishopthorpe Roa'!$A$12:$A$130,"&gt;="&amp;Diagram!$O65,'J1 C - (South) Bishopthorpe Roa'!$A$12:$A$130,"&lt;"&amp;Diagram!$P65)))</f>
        <v>2</v>
      </c>
      <c r="DL65" s="42">
        <f ca="1">IF(OR($I$10="",$O65="",$P65="",$J$40&lt;&gt;"Yes"),0,IF($K$10=0,SUMIFS(INDIRECT(ADDRESS(12,3+18*0+(5),,,"J1 D - South Bank Avenue")&amp;":"&amp;ADDRESS(130,3+18*0+(5))),'J1 D - South Bank Avenue'!$A$12:$A$130,"&gt;="&amp;Diagram!$O65,'J1 D - South Bank Avenue'!$A$12:$A$130,"&lt;"&amp;Diagram!$P65),SUMIFS(INDIRECT(ADDRESS(12,3+18*0+(13),,,"J1 D - South Bank Avenue")&amp;":"&amp;ADDRESS(130,3+18*0+(13))),'J1 D - South Bank Avenue'!$A$12:$A$130,"&gt;="&amp;Diagram!$O65,'J1 D - South Bank Avenue'!$A$12:$A$130,"&lt;"&amp;Diagram!$P65)))</f>
        <v>5</v>
      </c>
      <c r="DM65" s="42">
        <f ca="1">IF(OR($I$10="",$O65="",$P65="",$J$40&lt;&gt;"Yes"),0,IF($K$10=0,SUMIFS(INDIRECT(ADDRESS(12,3+18*1+(5),,,"J1 D - South Bank Avenue")&amp;":"&amp;ADDRESS(130,3+18*1+(5))),'J1 D - South Bank Avenue'!$A$12:$A$130,"&gt;="&amp;Diagram!$O65,'J1 D - South Bank Avenue'!$A$12:$A$130,"&lt;"&amp;Diagram!$P65),SUMIFS(INDIRECT(ADDRESS(12,3+18*1+(13),,,"J1 D - South Bank Avenue")&amp;":"&amp;ADDRESS(130,3+18*1+(13))),'J1 D - South Bank Avenue'!$A$12:$A$130,"&gt;="&amp;Diagram!$O65,'J1 D - South Bank Avenue'!$A$12:$A$130,"&lt;"&amp;Diagram!$P65)))</f>
        <v>17</v>
      </c>
      <c r="DN65" s="42">
        <f ca="1">IF(OR($I$10="",$O65="",$P65="",$J$40&lt;&gt;"Yes"),0,IF($K$10=0,SUMIFS(INDIRECT(ADDRESS(12,3+18*2+(5),,,"J1 D - South Bank Avenue")&amp;":"&amp;ADDRESS(130,3+18*2+(5))),'J1 D - South Bank Avenue'!$A$12:$A$130,"&gt;="&amp;Diagram!$O65,'J1 D - South Bank Avenue'!$A$12:$A$130,"&lt;"&amp;Diagram!$P65),SUMIFS(INDIRECT(ADDRESS(12,3+18*2+(13),,,"J1 D - South Bank Avenue")&amp;":"&amp;ADDRESS(130,3+18*2+(13))),'J1 D - South Bank Avenue'!$A$12:$A$130,"&gt;="&amp;Diagram!$O65,'J1 D - South Bank Avenue'!$A$12:$A$130,"&lt;"&amp;Diagram!$P65)))</f>
        <v>1</v>
      </c>
      <c r="DO65" s="42">
        <f ca="1">IF(OR($I$10="",$O65="",$P65="",$J$40&lt;&gt;"Yes"),0,IF($K$10=0,SUMIFS(INDIRECT(ADDRESS(12,3+18*3+(5),,,"J1 D - South Bank Avenue")&amp;":"&amp;ADDRESS(130,3+18*3+(5))),'J1 D - South Bank Avenue'!$A$12:$A$130,"&gt;="&amp;Diagram!$O65,'J1 D - South Bank Avenue'!$A$12:$A$130,"&lt;"&amp;Diagram!$P65),SUMIFS(INDIRECT(ADDRESS(12,3+18*3+(13),,,"J1 D - South Bank Avenue")&amp;":"&amp;ADDRESS(130,3+18*3+(13))),'J1 D - South Bank Avenue'!$A$12:$A$130,"&gt;="&amp;Diagram!$O65,'J1 D - South Bank Avenue'!$A$12:$A$130,"&lt;"&amp;Diagram!$P65)))</f>
        <v>0</v>
      </c>
      <c r="DP65" s="42">
        <f t="shared" ca="1" si="7"/>
        <v>6</v>
      </c>
      <c r="DQ65" s="42">
        <f ca="1">IF(OR($I$10="",$O65="",$P65="",$J$41&lt;&gt;"Yes"),0,IF($K$10=0,SUMIFS(INDIRECT(ADDRESS(12,3+18*3+(6),,,"J1 A - (North) Bishopthorpe Roa")&amp;":"&amp;ADDRESS(130,3+18*3+(6))),'J1 A - (North) Bishopthorpe Roa'!$A$12:$A$130,"&gt;="&amp;Diagram!$O65,'J1 A - (North) Bishopthorpe Roa'!$A$12:$A$130,"&lt;"&amp;Diagram!$P65),SUMIFS(INDIRECT(ADDRESS(12,3+18*3+(14),,,"J1 A - (North) Bishopthorpe Roa")&amp;":"&amp;ADDRESS(130,3+18*3+(14))),'J1 A - (North) Bishopthorpe Roa'!$A$12:$A$130,"&gt;="&amp;Diagram!$O65,'J1 A - (North) Bishopthorpe Roa'!$A$12:$A$130,"&lt;"&amp;Diagram!$P65)))</f>
        <v>0</v>
      </c>
      <c r="DR65" s="42">
        <f ca="1">IF(OR($I$10="",$O65="",$P65="",$J$41&lt;&gt;"Yes"),0,IF($K$10=0,SUMIFS(INDIRECT(ADDRESS(12,3+18*0+(6),,,"J1 A - (North) Bishopthorpe Roa")&amp;":"&amp;ADDRESS(130,3+18*0+(6))),'J1 A - (North) Bishopthorpe Roa'!$A$12:$A$130,"&gt;="&amp;Diagram!$O65,'J1 A - (North) Bishopthorpe Roa'!$A$12:$A$130,"&lt;"&amp;Diagram!$P65),SUMIFS(INDIRECT(ADDRESS(12,3+18*0+(14),,,"J1 A - (North) Bishopthorpe Roa")&amp;":"&amp;ADDRESS(130,3+18*0+(14))),'J1 A - (North) Bishopthorpe Roa'!$A$12:$A$130,"&gt;="&amp;Diagram!$O65,'J1 A - (North) Bishopthorpe Roa'!$A$12:$A$130,"&lt;"&amp;Diagram!$P65)))</f>
        <v>1</v>
      </c>
      <c r="DS65" s="42">
        <f ca="1">IF(OR($I$10="",$O65="",$P65="",$J$41&lt;&gt;"Yes"),0,IF($K$10=0,SUMIFS(INDIRECT(ADDRESS(12,3+18*1+(6),,,"J1 A - (North) Bishopthorpe Roa")&amp;":"&amp;ADDRESS(130,3+18*1+(6))),'J1 A - (North) Bishopthorpe Roa'!$A$12:$A$130,"&gt;="&amp;Diagram!$O65,'J1 A - (North) Bishopthorpe Roa'!$A$12:$A$130,"&lt;"&amp;Diagram!$P65),SUMIFS(INDIRECT(ADDRESS(12,3+18*1+(14),,,"J1 A - (North) Bishopthorpe Roa")&amp;":"&amp;ADDRESS(130,3+18*1+(14))),'J1 A - (North) Bishopthorpe Roa'!$A$12:$A$130,"&gt;="&amp;Diagram!$O65,'J1 A - (North) Bishopthorpe Roa'!$A$12:$A$130,"&lt;"&amp;Diagram!$P65)))</f>
        <v>3</v>
      </c>
      <c r="DT65" s="42">
        <f ca="1">IF(OR($I$10="",$O65="",$P65="",$J$41&lt;&gt;"Yes"),0,IF($K$10=0,SUMIFS(INDIRECT(ADDRESS(12,3+18*2+(6),,,"J1 A - (North) Bishopthorpe Roa")&amp;":"&amp;ADDRESS(130,3+18*2+(6))),'J1 A - (North) Bishopthorpe Roa'!$A$12:$A$130,"&gt;="&amp;Diagram!$O65,'J1 A - (North) Bishopthorpe Roa'!$A$12:$A$130,"&lt;"&amp;Diagram!$P65),SUMIFS(INDIRECT(ADDRESS(12,3+18*2+(14),,,"J1 A - (North) Bishopthorpe Roa")&amp;":"&amp;ADDRESS(130,3+18*2+(14))),'J1 A - (North) Bishopthorpe Roa'!$A$12:$A$130,"&gt;="&amp;Diagram!$O65,'J1 A - (North) Bishopthorpe Roa'!$A$12:$A$130,"&lt;"&amp;Diagram!$P65)))</f>
        <v>0</v>
      </c>
      <c r="DU65" s="42">
        <f ca="1">IF(OR($I$10="",$O65="",$P65="",$J$41&lt;&gt;"Yes"),0,IF($K$10=0,SUMIFS(INDIRECT(ADDRESS(12,3+18*2+(6),,,"J1 B - Butcher Terrace")&amp;":"&amp;ADDRESS(130,3+18*2+(6))),'J1 B - Butcher Terrace'!$A$12:$A$130,"&gt;="&amp;Diagram!$O65,'J1 B - Butcher Terrace'!$A$12:$A$130,"&lt;"&amp;Diagram!$P65),SUMIFS(INDIRECT(ADDRESS(12,3+18*2+(14),,,"J1 B - Butcher Terrace")&amp;":"&amp;ADDRESS(130,3+18*2+(14))),'J1 B - Butcher Terrace'!$A$12:$A$130,"&gt;="&amp;Diagram!$O65,'J1 B - Butcher Terrace'!$A$12:$A$130,"&lt;"&amp;Diagram!$P65)))</f>
        <v>0</v>
      </c>
      <c r="DV65" s="42">
        <f ca="1">IF(OR($I$10="",$O65="",$P65="",$J$41&lt;&gt;"Yes"),0,IF($K$10=0,SUMIFS(INDIRECT(ADDRESS(12,3+18*3+(6),,,"J1 B - Butcher Terrace")&amp;":"&amp;ADDRESS(130,3+18*3+(6))),'J1 B - Butcher Terrace'!$A$12:$A$130,"&gt;="&amp;Diagram!$O65,'J1 B - Butcher Terrace'!$A$12:$A$130,"&lt;"&amp;Diagram!$P65),SUMIFS(INDIRECT(ADDRESS(12,3+18*3+(14),,,"J1 B - Butcher Terrace")&amp;":"&amp;ADDRESS(130,3+18*3+(14))),'J1 B - Butcher Terrace'!$A$12:$A$130,"&gt;="&amp;Diagram!$O65,'J1 B - Butcher Terrace'!$A$12:$A$130,"&lt;"&amp;Diagram!$P65)))</f>
        <v>0</v>
      </c>
      <c r="DW65" s="42">
        <f ca="1">IF(OR($I$10="",$O65="",$P65="",$J$41&lt;&gt;"Yes"),0,IF($K$10=0,SUMIFS(INDIRECT(ADDRESS(12,3+18*0+(6),,,"J1 B - Butcher Terrace")&amp;":"&amp;ADDRESS(130,3+18*0+(6))),'J1 B - Butcher Terrace'!$A$12:$A$130,"&gt;="&amp;Diagram!$O65,'J1 B - Butcher Terrace'!$A$12:$A$130,"&lt;"&amp;Diagram!$P65),SUMIFS(INDIRECT(ADDRESS(12,3+18*0+(14),,,"J1 B - Butcher Terrace")&amp;":"&amp;ADDRESS(130,3+18*0+(14))),'J1 B - Butcher Terrace'!$A$12:$A$130,"&gt;="&amp;Diagram!$O65,'J1 B - Butcher Terrace'!$A$12:$A$130,"&lt;"&amp;Diagram!$P65)))</f>
        <v>0</v>
      </c>
      <c r="DX65" s="42">
        <f ca="1">IF(OR($I$10="",$O65="",$P65="",$J$41&lt;&gt;"Yes"),0,IF($K$10=0,SUMIFS(INDIRECT(ADDRESS(12,3+18*1+(6),,,"J1 B - Butcher Terrace")&amp;":"&amp;ADDRESS(130,3+18*1+(6))),'J1 B - Butcher Terrace'!$A$12:$A$130,"&gt;="&amp;Diagram!$O65,'J1 B - Butcher Terrace'!$A$12:$A$130,"&lt;"&amp;Diagram!$P65),SUMIFS(INDIRECT(ADDRESS(12,3+18*1+(14),,,"J1 B - Butcher Terrace")&amp;":"&amp;ADDRESS(130,3+18*1+(14))),'J1 B - Butcher Terrace'!$A$12:$A$130,"&gt;="&amp;Diagram!$O65,'J1 B - Butcher Terrace'!$A$12:$A$130,"&lt;"&amp;Diagram!$P65)))</f>
        <v>1</v>
      </c>
      <c r="DY65" s="42">
        <f ca="1">IF(OR($I$10="",$O65="",$P65="",$J$41&lt;&gt;"Yes"),0,IF($K$10=0,SUMIFS(INDIRECT(ADDRESS(12,3+18*1+(6),,,"J1 C - (South) Bishopthorpe Roa")&amp;":"&amp;ADDRESS(130,3+18*1+(6))),'J1 C - (South) Bishopthorpe Roa'!$A$12:$A$130,"&gt;="&amp;Diagram!$O65,'J1 C - (South) Bishopthorpe Roa'!$A$12:$A$130,"&lt;"&amp;Diagram!$P65),SUMIFS(INDIRECT(ADDRESS(12,3+18*1+(14),,,"J1 C - (South) Bishopthorpe Roa")&amp;":"&amp;ADDRESS(130,3+18*1+(14))),'J1 C - (South) Bishopthorpe Roa'!$A$12:$A$130,"&gt;="&amp;Diagram!$O65,'J1 C - (South) Bishopthorpe Roa'!$A$12:$A$130,"&lt;"&amp;Diagram!$P65)))</f>
        <v>1</v>
      </c>
      <c r="DZ65" s="42">
        <f ca="1">IF(OR($I$10="",$O65="",$P65="",$J$41&lt;&gt;"Yes"),0,IF($K$10=0,SUMIFS(INDIRECT(ADDRESS(12,3+18*2+(6),,,"J1 C - (South) Bishopthorpe Roa")&amp;":"&amp;ADDRESS(130,3+18*2+(6))),'J1 C - (South) Bishopthorpe Roa'!$A$12:$A$130,"&gt;="&amp;Diagram!$O65,'J1 C - (South) Bishopthorpe Roa'!$A$12:$A$130,"&lt;"&amp;Diagram!$P65),SUMIFS(INDIRECT(ADDRESS(12,3+18*2+(14),,,"J1 C - (South) Bishopthorpe Roa")&amp;":"&amp;ADDRESS(130,3+18*2+(14))),'J1 C - (South) Bishopthorpe Roa'!$A$12:$A$130,"&gt;="&amp;Diagram!$O65,'J1 C - (South) Bishopthorpe Roa'!$A$12:$A$130,"&lt;"&amp;Diagram!$P65)))</f>
        <v>0</v>
      </c>
      <c r="EA65" s="42">
        <f ca="1">IF(OR($I$10="",$O65="",$P65="",$J$41&lt;&gt;"Yes"),0,IF($K$10=0,SUMIFS(INDIRECT(ADDRESS(12,3+18*3+(6),,,"J1 C - (South) Bishopthorpe Roa")&amp;":"&amp;ADDRESS(130,3+18*3+(6))),'J1 C - (South) Bishopthorpe Roa'!$A$12:$A$130,"&gt;="&amp;Diagram!$O65,'J1 C - (South) Bishopthorpe Roa'!$A$12:$A$130,"&lt;"&amp;Diagram!$P65),SUMIFS(INDIRECT(ADDRESS(12,3+18*3+(14),,,"J1 C - (South) Bishopthorpe Roa")&amp;":"&amp;ADDRESS(130,3+18*3+(14))),'J1 C - (South) Bishopthorpe Roa'!$A$12:$A$130,"&gt;="&amp;Diagram!$O65,'J1 C - (South) Bishopthorpe Roa'!$A$12:$A$130,"&lt;"&amp;Diagram!$P65)))</f>
        <v>0</v>
      </c>
      <c r="EB65" s="42">
        <f ca="1">IF(OR($I$10="",$O65="",$P65="",$J$41&lt;&gt;"Yes"),0,IF($K$10=0,SUMIFS(INDIRECT(ADDRESS(12,3+18*0+(6),,,"J1 C - (South) Bishopthorpe Roa")&amp;":"&amp;ADDRESS(130,3+18*0+(6))),'J1 C - (South) Bishopthorpe Roa'!$A$12:$A$130,"&gt;="&amp;Diagram!$O65,'J1 C - (South) Bishopthorpe Roa'!$A$12:$A$130,"&lt;"&amp;Diagram!$P65),SUMIFS(INDIRECT(ADDRESS(12,3+18*0+(14),,,"J1 C - (South) Bishopthorpe Roa")&amp;":"&amp;ADDRESS(130,3+18*0+(14))),'J1 C - (South) Bishopthorpe Roa'!$A$12:$A$130,"&gt;="&amp;Diagram!$O65,'J1 C - (South) Bishopthorpe Roa'!$A$12:$A$130,"&lt;"&amp;Diagram!$P65)))</f>
        <v>0</v>
      </c>
      <c r="EC65" s="42">
        <f ca="1">IF(OR($I$10="",$O65="",$P65="",$J$41&lt;&gt;"Yes"),0,IF($K$10=0,SUMIFS(INDIRECT(ADDRESS(12,3+18*0+(6),,,"J1 D - South Bank Avenue")&amp;":"&amp;ADDRESS(130,3+18*0+(6))),'J1 D - South Bank Avenue'!$A$12:$A$130,"&gt;="&amp;Diagram!$O65,'J1 D - South Bank Avenue'!$A$12:$A$130,"&lt;"&amp;Diagram!$P65),SUMIFS(INDIRECT(ADDRESS(12,3+18*0+(14),,,"J1 D - South Bank Avenue")&amp;":"&amp;ADDRESS(130,3+18*0+(14))),'J1 D - South Bank Avenue'!$A$12:$A$130,"&gt;="&amp;Diagram!$O65,'J1 D - South Bank Avenue'!$A$12:$A$130,"&lt;"&amp;Diagram!$P65)))</f>
        <v>0</v>
      </c>
      <c r="ED65" s="42">
        <f ca="1">IF(OR($I$10="",$O65="",$P65="",$J$41&lt;&gt;"Yes"),0,IF($K$10=0,SUMIFS(INDIRECT(ADDRESS(12,3+18*1+(6),,,"J1 D - South Bank Avenue")&amp;":"&amp;ADDRESS(130,3+18*1+(6))),'J1 D - South Bank Avenue'!$A$12:$A$130,"&gt;="&amp;Diagram!$O65,'J1 D - South Bank Avenue'!$A$12:$A$130,"&lt;"&amp;Diagram!$P65),SUMIFS(INDIRECT(ADDRESS(12,3+18*1+(14),,,"J1 D - South Bank Avenue")&amp;":"&amp;ADDRESS(130,3+18*1+(14))),'J1 D - South Bank Avenue'!$A$12:$A$130,"&gt;="&amp;Diagram!$O65,'J1 D - South Bank Avenue'!$A$12:$A$130,"&lt;"&amp;Diagram!$P65)))</f>
        <v>0</v>
      </c>
      <c r="EE65" s="42">
        <f ca="1">IF(OR($I$10="",$O65="",$P65="",$J$41&lt;&gt;"Yes"),0,IF($K$10=0,SUMIFS(INDIRECT(ADDRESS(12,3+18*2+(6),,,"J1 D - South Bank Avenue")&amp;":"&amp;ADDRESS(130,3+18*2+(6))),'J1 D - South Bank Avenue'!$A$12:$A$130,"&gt;="&amp;Diagram!$O65,'J1 D - South Bank Avenue'!$A$12:$A$130,"&lt;"&amp;Diagram!$P65),SUMIFS(INDIRECT(ADDRESS(12,3+18*2+(14),,,"J1 D - South Bank Avenue")&amp;":"&amp;ADDRESS(130,3+18*2+(14))),'J1 D - South Bank Avenue'!$A$12:$A$130,"&gt;="&amp;Diagram!$O65,'J1 D - South Bank Avenue'!$A$12:$A$130,"&lt;"&amp;Diagram!$P65)))</f>
        <v>0</v>
      </c>
      <c r="EF65" s="42">
        <f ca="1">IF(OR($I$10="",$O65="",$P65="",$J$41&lt;&gt;"Yes"),0,IF($K$10=0,SUMIFS(INDIRECT(ADDRESS(12,3+18*3+(6),,,"J1 D - South Bank Avenue")&amp;":"&amp;ADDRESS(130,3+18*3+(6))),'J1 D - South Bank Avenue'!$A$12:$A$130,"&gt;="&amp;Diagram!$O65,'J1 D - South Bank Avenue'!$A$12:$A$130,"&lt;"&amp;Diagram!$P65),SUMIFS(INDIRECT(ADDRESS(12,3+18*3+(14),,,"J1 D - South Bank Avenue")&amp;":"&amp;ADDRESS(130,3+18*3+(14))),'J1 D - South Bank Avenue'!$A$12:$A$130,"&gt;="&amp;Diagram!$O65,'J1 D - South Bank Avenue'!$A$12:$A$130,"&lt;"&amp;Diagram!$P65)))</f>
        <v>0</v>
      </c>
      <c r="EG65" s="42">
        <f t="shared" ca="1" si="8"/>
        <v>2</v>
      </c>
      <c r="EH65" s="42">
        <f ca="1">IF(OR($I$10="",$O65="",$P65="",$J$42&lt;&gt;"Yes"),0,IF($K$10=0,SUMIFS(INDIRECT(ADDRESS(12,3+18*3+(7),,,"J1 A - (North) Bishopthorpe Roa")&amp;":"&amp;ADDRESS(130,3+18*3+(7))),'J1 A - (North) Bishopthorpe Roa'!$A$12:$A$130,"&gt;="&amp;Diagram!$O65,'J1 A - (North) Bishopthorpe Roa'!$A$12:$A$130,"&lt;"&amp;Diagram!$P65),SUMIFS(INDIRECT(ADDRESS(12,3+18*3+(15),,,"J1 A - (North) Bishopthorpe Roa")&amp;":"&amp;ADDRESS(130,3+18*3+(15))),'J1 A - (North) Bishopthorpe Roa'!$A$12:$A$130,"&gt;="&amp;Diagram!$O65,'J1 A - (North) Bishopthorpe Roa'!$A$12:$A$130,"&lt;"&amp;Diagram!$P65)))</f>
        <v>0</v>
      </c>
      <c r="EI65" s="42">
        <f ca="1">IF(OR($I$10="",$O65="",$P65="",$J$42&lt;&gt;"Yes"),0,IF($K$10=0,SUMIFS(INDIRECT(ADDRESS(12,3+18*0+(7),,,"J1 A - (North) Bishopthorpe Roa")&amp;":"&amp;ADDRESS(130,3+18*0+(7))),'J1 A - (North) Bishopthorpe Roa'!$A$12:$A$130,"&gt;="&amp;Diagram!$O65,'J1 A - (North) Bishopthorpe Roa'!$A$12:$A$130,"&lt;"&amp;Diagram!$P65),SUMIFS(INDIRECT(ADDRESS(12,3+18*0+(15),,,"J1 A - (North) Bishopthorpe Roa")&amp;":"&amp;ADDRESS(130,3+18*0+(15))),'J1 A - (North) Bishopthorpe Roa'!$A$12:$A$130,"&gt;="&amp;Diagram!$O65,'J1 A - (North) Bishopthorpe Roa'!$A$12:$A$130,"&lt;"&amp;Diagram!$P65)))</f>
        <v>2</v>
      </c>
      <c r="EJ65" s="42">
        <f ca="1">IF(OR($I$10="",$O65="",$P65="",$J$42&lt;&gt;"Yes"),0,IF($K$10=0,SUMIFS(INDIRECT(ADDRESS(12,3+18*1+(7),,,"J1 A - (North) Bishopthorpe Roa")&amp;":"&amp;ADDRESS(130,3+18*1+(7))),'J1 A - (North) Bishopthorpe Roa'!$A$12:$A$130,"&gt;="&amp;Diagram!$O65,'J1 A - (North) Bishopthorpe Roa'!$A$12:$A$130,"&lt;"&amp;Diagram!$P65),SUMIFS(INDIRECT(ADDRESS(12,3+18*1+(15),,,"J1 A - (North) Bishopthorpe Roa")&amp;":"&amp;ADDRESS(130,3+18*1+(15))),'J1 A - (North) Bishopthorpe Roa'!$A$12:$A$130,"&gt;="&amp;Diagram!$O65,'J1 A - (North) Bishopthorpe Roa'!$A$12:$A$130,"&lt;"&amp;Diagram!$P65)))</f>
        <v>0</v>
      </c>
      <c r="EK65" s="42">
        <f ca="1">IF(OR($I$10="",$O65="",$P65="",$J$42&lt;&gt;"Yes"),0,IF($K$10=0,SUMIFS(INDIRECT(ADDRESS(12,3+18*2+(7),,,"J1 A - (North) Bishopthorpe Roa")&amp;":"&amp;ADDRESS(130,3+18*2+(7))),'J1 A - (North) Bishopthorpe Roa'!$A$12:$A$130,"&gt;="&amp;Diagram!$O65,'J1 A - (North) Bishopthorpe Roa'!$A$12:$A$130,"&lt;"&amp;Diagram!$P65),SUMIFS(INDIRECT(ADDRESS(12,3+18*2+(15),,,"J1 A - (North) Bishopthorpe Roa")&amp;":"&amp;ADDRESS(130,3+18*2+(15))),'J1 A - (North) Bishopthorpe Roa'!$A$12:$A$130,"&gt;="&amp;Diagram!$O65,'J1 A - (North) Bishopthorpe Roa'!$A$12:$A$130,"&lt;"&amp;Diagram!$P65)))</f>
        <v>0</v>
      </c>
      <c r="EL65" s="42">
        <f ca="1">IF(OR($I$10="",$O65="",$P65="",$J$42&lt;&gt;"Yes"),0,IF($K$10=0,SUMIFS(INDIRECT(ADDRESS(12,3+18*2+(7),,,"J1 B - Butcher Terrace")&amp;":"&amp;ADDRESS(130,3+18*2+(7))),'J1 B - Butcher Terrace'!$A$12:$A$130,"&gt;="&amp;Diagram!$O65,'J1 B - Butcher Terrace'!$A$12:$A$130,"&lt;"&amp;Diagram!$P65),SUMIFS(INDIRECT(ADDRESS(12,3+18*2+(15),,,"J1 B - Butcher Terrace")&amp;":"&amp;ADDRESS(130,3+18*2+(15))),'J1 B - Butcher Terrace'!$A$12:$A$130,"&gt;="&amp;Diagram!$O65,'J1 B - Butcher Terrace'!$A$12:$A$130,"&lt;"&amp;Diagram!$P65)))</f>
        <v>0</v>
      </c>
      <c r="EM65" s="42">
        <f ca="1">IF(OR($I$10="",$O65="",$P65="",$J$42&lt;&gt;"Yes"),0,IF($K$10=0,SUMIFS(INDIRECT(ADDRESS(12,3+18*3+(7),,,"J1 B - Butcher Terrace")&amp;":"&amp;ADDRESS(130,3+18*3+(7))),'J1 B - Butcher Terrace'!$A$12:$A$130,"&gt;="&amp;Diagram!$O65,'J1 B - Butcher Terrace'!$A$12:$A$130,"&lt;"&amp;Diagram!$P65),SUMIFS(INDIRECT(ADDRESS(12,3+18*3+(15),,,"J1 B - Butcher Terrace")&amp;":"&amp;ADDRESS(130,3+18*3+(15))),'J1 B - Butcher Terrace'!$A$12:$A$130,"&gt;="&amp;Diagram!$O65,'J1 B - Butcher Terrace'!$A$12:$A$130,"&lt;"&amp;Diagram!$P65)))</f>
        <v>0</v>
      </c>
      <c r="EN65" s="42">
        <f ca="1">IF(OR($I$10="",$O65="",$P65="",$J$42&lt;&gt;"Yes"),0,IF($K$10=0,SUMIFS(INDIRECT(ADDRESS(12,3+18*0+(7),,,"J1 B - Butcher Terrace")&amp;":"&amp;ADDRESS(130,3+18*0+(7))),'J1 B - Butcher Terrace'!$A$12:$A$130,"&gt;="&amp;Diagram!$O65,'J1 B - Butcher Terrace'!$A$12:$A$130,"&lt;"&amp;Diagram!$P65),SUMIFS(INDIRECT(ADDRESS(12,3+18*0+(15),,,"J1 B - Butcher Terrace")&amp;":"&amp;ADDRESS(130,3+18*0+(15))),'J1 B - Butcher Terrace'!$A$12:$A$130,"&gt;="&amp;Diagram!$O65,'J1 B - Butcher Terrace'!$A$12:$A$130,"&lt;"&amp;Diagram!$P65)))</f>
        <v>0</v>
      </c>
      <c r="EO65" s="42">
        <f ca="1">IF(OR($I$10="",$O65="",$P65="",$J$42&lt;&gt;"Yes"),0,IF($K$10=0,SUMIFS(INDIRECT(ADDRESS(12,3+18*1+(7),,,"J1 B - Butcher Terrace")&amp;":"&amp;ADDRESS(130,3+18*1+(7))),'J1 B - Butcher Terrace'!$A$12:$A$130,"&gt;="&amp;Diagram!$O65,'J1 B - Butcher Terrace'!$A$12:$A$130,"&lt;"&amp;Diagram!$P65),SUMIFS(INDIRECT(ADDRESS(12,3+18*1+(15),,,"J1 B - Butcher Terrace")&amp;":"&amp;ADDRESS(130,3+18*1+(15))),'J1 B - Butcher Terrace'!$A$12:$A$130,"&gt;="&amp;Diagram!$O65,'J1 B - Butcher Terrace'!$A$12:$A$130,"&lt;"&amp;Diagram!$P65)))</f>
        <v>0</v>
      </c>
      <c r="EP65" s="42">
        <f ca="1">IF(OR($I$10="",$O65="",$P65="",$J$42&lt;&gt;"Yes"),0,IF($K$10=0,SUMIFS(INDIRECT(ADDRESS(12,3+18*1+(7),,,"J1 C - (South) Bishopthorpe Roa")&amp;":"&amp;ADDRESS(130,3+18*1+(7))),'J1 C - (South) Bishopthorpe Roa'!$A$12:$A$130,"&gt;="&amp;Diagram!$O65,'J1 C - (South) Bishopthorpe Roa'!$A$12:$A$130,"&lt;"&amp;Diagram!$P65),SUMIFS(INDIRECT(ADDRESS(12,3+18*1+(15),,,"J1 C - (South) Bishopthorpe Roa")&amp;":"&amp;ADDRESS(130,3+18*1+(15))),'J1 C - (South) Bishopthorpe Roa'!$A$12:$A$130,"&gt;="&amp;Diagram!$O65,'J1 C - (South) Bishopthorpe Roa'!$A$12:$A$130,"&lt;"&amp;Diagram!$P65)))</f>
        <v>0</v>
      </c>
      <c r="EQ65" s="42">
        <f ca="1">IF(OR($I$10="",$O65="",$P65="",$J$42&lt;&gt;"Yes"),0,IF($K$10=0,SUMIFS(INDIRECT(ADDRESS(12,3+18*2+(7),,,"J1 C - (South) Bishopthorpe Roa")&amp;":"&amp;ADDRESS(130,3+18*2+(7))),'J1 C - (South) Bishopthorpe Roa'!$A$12:$A$130,"&gt;="&amp;Diagram!$O65,'J1 C - (South) Bishopthorpe Roa'!$A$12:$A$130,"&lt;"&amp;Diagram!$P65),SUMIFS(INDIRECT(ADDRESS(12,3+18*2+(15),,,"J1 C - (South) Bishopthorpe Roa")&amp;":"&amp;ADDRESS(130,3+18*2+(15))),'J1 C - (South) Bishopthorpe Roa'!$A$12:$A$130,"&gt;="&amp;Diagram!$O65,'J1 C - (South) Bishopthorpe Roa'!$A$12:$A$130,"&lt;"&amp;Diagram!$P65)))</f>
        <v>0</v>
      </c>
      <c r="ER65" s="42">
        <f ca="1">IF(OR($I$10="",$O65="",$P65="",$J$42&lt;&gt;"Yes"),0,IF($K$10=0,SUMIFS(INDIRECT(ADDRESS(12,3+18*3+(7),,,"J1 C - (South) Bishopthorpe Roa")&amp;":"&amp;ADDRESS(130,3+18*3+(7))),'J1 C - (South) Bishopthorpe Roa'!$A$12:$A$130,"&gt;="&amp;Diagram!$O65,'J1 C - (South) Bishopthorpe Roa'!$A$12:$A$130,"&lt;"&amp;Diagram!$P65),SUMIFS(INDIRECT(ADDRESS(12,3+18*3+(15),,,"J1 C - (South) Bishopthorpe Roa")&amp;":"&amp;ADDRESS(130,3+18*3+(15))),'J1 C - (South) Bishopthorpe Roa'!$A$12:$A$130,"&gt;="&amp;Diagram!$O65,'J1 C - (South) Bishopthorpe Roa'!$A$12:$A$130,"&lt;"&amp;Diagram!$P65)))</f>
        <v>0</v>
      </c>
      <c r="ES65" s="42">
        <f ca="1">IF(OR($I$10="",$O65="",$P65="",$J$42&lt;&gt;"Yes"),0,IF($K$10=0,SUMIFS(INDIRECT(ADDRESS(12,3+18*0+(7),,,"J1 C - (South) Bishopthorpe Roa")&amp;":"&amp;ADDRESS(130,3+18*0+(7))),'J1 C - (South) Bishopthorpe Roa'!$A$12:$A$130,"&gt;="&amp;Diagram!$O65,'J1 C - (South) Bishopthorpe Roa'!$A$12:$A$130,"&lt;"&amp;Diagram!$P65),SUMIFS(INDIRECT(ADDRESS(12,3+18*0+(15),,,"J1 C - (South) Bishopthorpe Roa")&amp;":"&amp;ADDRESS(130,3+18*0+(15))),'J1 C - (South) Bishopthorpe Roa'!$A$12:$A$130,"&gt;="&amp;Diagram!$O65,'J1 C - (South) Bishopthorpe Roa'!$A$12:$A$130,"&lt;"&amp;Diagram!$P65)))</f>
        <v>0</v>
      </c>
      <c r="ET65" s="42">
        <f ca="1">IF(OR($I$10="",$O65="",$P65="",$J$42&lt;&gt;"Yes"),0,IF($K$10=0,SUMIFS(INDIRECT(ADDRESS(12,3+18*0+(7),,,"J1 D - South Bank Avenue")&amp;":"&amp;ADDRESS(130,3+18*0+(7))),'J1 D - South Bank Avenue'!$A$12:$A$130,"&gt;="&amp;Diagram!$O65,'J1 D - South Bank Avenue'!$A$12:$A$130,"&lt;"&amp;Diagram!$P65),SUMIFS(INDIRECT(ADDRESS(12,3+18*0+(15),,,"J1 D - South Bank Avenue")&amp;":"&amp;ADDRESS(130,3+18*0+(15))),'J1 D - South Bank Avenue'!$A$12:$A$130,"&gt;="&amp;Diagram!$O65,'J1 D - South Bank Avenue'!$A$12:$A$130,"&lt;"&amp;Diagram!$P65)))</f>
        <v>0</v>
      </c>
      <c r="EU65" s="42">
        <f ca="1">IF(OR($I$10="",$O65="",$P65="",$J$42&lt;&gt;"Yes"),0,IF($K$10=0,SUMIFS(INDIRECT(ADDRESS(12,3+18*1+(7),,,"J1 D - South Bank Avenue")&amp;":"&amp;ADDRESS(130,3+18*1+(7))),'J1 D - South Bank Avenue'!$A$12:$A$130,"&gt;="&amp;Diagram!$O65,'J1 D - South Bank Avenue'!$A$12:$A$130,"&lt;"&amp;Diagram!$P65),SUMIFS(INDIRECT(ADDRESS(12,3+18*1+(15),,,"J1 D - South Bank Avenue")&amp;":"&amp;ADDRESS(130,3+18*1+(15))),'J1 D - South Bank Avenue'!$A$12:$A$130,"&gt;="&amp;Diagram!$O65,'J1 D - South Bank Avenue'!$A$12:$A$130,"&lt;"&amp;Diagram!$P65)))</f>
        <v>0</v>
      </c>
      <c r="EV65" s="42">
        <f ca="1">IF(OR($I$10="",$O65="",$P65="",$J$42&lt;&gt;"Yes"),0,IF($K$10=0,SUMIFS(INDIRECT(ADDRESS(12,3+18*2+(7),,,"J1 D - South Bank Avenue")&amp;":"&amp;ADDRESS(130,3+18*2+(7))),'J1 D - South Bank Avenue'!$A$12:$A$130,"&gt;="&amp;Diagram!$O65,'J1 D - South Bank Avenue'!$A$12:$A$130,"&lt;"&amp;Diagram!$P65),SUMIFS(INDIRECT(ADDRESS(12,3+18*2+(15),,,"J1 D - South Bank Avenue")&amp;":"&amp;ADDRESS(130,3+18*2+(15))),'J1 D - South Bank Avenue'!$A$12:$A$130,"&gt;="&amp;Diagram!$O65,'J1 D - South Bank Avenue'!$A$12:$A$130,"&lt;"&amp;Diagram!$P65)))</f>
        <v>0</v>
      </c>
      <c r="EW65" s="42">
        <f ca="1">IF(OR($I$10="",$O65="",$P65="",$J$42&lt;&gt;"Yes"),0,IF($K$10=0,SUMIFS(INDIRECT(ADDRESS(12,3+18*3+(7),,,"J1 D - South Bank Avenue")&amp;":"&amp;ADDRESS(130,3+18*3+(7))),'J1 D - South Bank Avenue'!$A$12:$A$130,"&gt;="&amp;Diagram!$O65,'J1 D - South Bank Avenue'!$A$12:$A$130,"&lt;"&amp;Diagram!$P65),SUMIFS(INDIRECT(ADDRESS(12,3+18*3+(15),,,"J1 D - South Bank Avenue")&amp;":"&amp;ADDRESS(130,3+18*3+(15))),'J1 D - South Bank Avenue'!$A$12:$A$130,"&gt;="&amp;Diagram!$O65,'J1 D - South Bank Avenue'!$A$12:$A$130,"&lt;"&amp;Diagram!$P65)))</f>
        <v>0</v>
      </c>
    </row>
    <row r="66" spans="1:153">
      <c r="A66" s="1">
        <v>44395.677083333299</v>
      </c>
      <c r="B66" s="1">
        <v>44395.6875</v>
      </c>
      <c r="O66" s="3">
        <v>44395.677083333299</v>
      </c>
      <c r="P66" s="3">
        <v>44395.71875</v>
      </c>
      <c r="Q66" s="42">
        <f t="shared" ref="Q66:Q96" ca="1" si="10">IF($O66="",0,SUM($R66,$AI66,$AZ66,$BQ66,$CH66,$CY66,$DP66,$EG66))</f>
        <v>767</v>
      </c>
      <c r="R66" s="42">
        <f t="shared" ref="R66:R96" ca="1" si="11">SUM($S66,$T66,$U66,$V66,$W66,$X66,$Y66,$Z66,$AA66,$AB66,$AC66,$AD66,$AE66,$AF66,$AG66,$AH66)</f>
        <v>564</v>
      </c>
      <c r="S66" s="42">
        <f ca="1">IF(OR($I$10="",$O66="",$P66="",$J$35&lt;&gt;"Yes"),0,IF($K$10=0,SUMIFS(INDIRECT(ADDRESS(12,3+18*3+(0),,,"J1 A - (North) Bishopthorpe Roa")&amp;":"&amp;ADDRESS(130,3+18*3+(0))),'J1 A - (North) Bishopthorpe Roa'!$A$12:$A$130,"&gt;="&amp;Diagram!$O66,'J1 A - (North) Bishopthorpe Roa'!$A$12:$A$130,"&lt;"&amp;Diagram!$P66),SUMIFS(INDIRECT(ADDRESS(12,3+18*3+(8),,,"J1 A - (North) Bishopthorpe Roa")&amp;":"&amp;ADDRESS(130,3+18*3+(8))),'J1 A - (North) Bishopthorpe Roa'!$A$12:$A$130,"&gt;="&amp;Diagram!$O66,'J1 A - (North) Bishopthorpe Roa'!$A$12:$A$130,"&lt;"&amp;Diagram!$P66)))</f>
        <v>2</v>
      </c>
      <c r="T66" s="42">
        <f ca="1">IF(OR($I$10="",$O66="",$P66="",$J$35&lt;&gt;"Yes"),0,IF($K$10=0,SUMIFS(INDIRECT(ADDRESS(12,3+18*0+(0),,,"J1 A - (North) Bishopthorpe Roa")&amp;":"&amp;ADDRESS(130,3+18*0+(0))),'J1 A - (North) Bishopthorpe Roa'!$A$12:$A$130,"&gt;="&amp;Diagram!$O66,'J1 A - (North) Bishopthorpe Roa'!$A$12:$A$130,"&lt;"&amp;Diagram!$P66),SUMIFS(INDIRECT(ADDRESS(12,3+18*0+(8),,,"J1 A - (North) Bishopthorpe Roa")&amp;":"&amp;ADDRESS(130,3+18*0+(8))),'J1 A - (North) Bishopthorpe Roa'!$A$12:$A$130,"&gt;="&amp;Diagram!$O66,'J1 A - (North) Bishopthorpe Roa'!$A$12:$A$130,"&lt;"&amp;Diagram!$P66)))</f>
        <v>15</v>
      </c>
      <c r="U66" s="42">
        <f ca="1">IF(OR($I$10="",$O66="",$P66="",$J$35&lt;&gt;"Yes"),0,IF($K$10=0,SUMIFS(INDIRECT(ADDRESS(12,3+18*1+(0),,,"J1 A - (North) Bishopthorpe Roa")&amp;":"&amp;ADDRESS(130,3+18*1+(0))),'J1 A - (North) Bishopthorpe Roa'!$A$12:$A$130,"&gt;="&amp;Diagram!$O66,'J1 A - (North) Bishopthorpe Roa'!$A$12:$A$130,"&lt;"&amp;Diagram!$P66),SUMIFS(INDIRECT(ADDRESS(12,3+18*1+(8),,,"J1 A - (North) Bishopthorpe Roa")&amp;":"&amp;ADDRESS(130,3+18*1+(8))),'J1 A - (North) Bishopthorpe Roa'!$A$12:$A$130,"&gt;="&amp;Diagram!$O66,'J1 A - (North) Bishopthorpe Roa'!$A$12:$A$130,"&lt;"&amp;Diagram!$P66)))</f>
        <v>266</v>
      </c>
      <c r="V66" s="42">
        <f ca="1">IF(OR($I$10="",$O66="",$P66="",$J$35&lt;&gt;"Yes"),0,IF($K$10=0,SUMIFS(INDIRECT(ADDRESS(12,3+18*2+(0),,,"J1 A - (North) Bishopthorpe Roa")&amp;":"&amp;ADDRESS(130,3+18*2+(0))),'J1 A - (North) Bishopthorpe Roa'!$A$12:$A$130,"&gt;="&amp;Diagram!$O66,'J1 A - (North) Bishopthorpe Roa'!$A$12:$A$130,"&lt;"&amp;Diagram!$P66),SUMIFS(INDIRECT(ADDRESS(12,3+18*2+(8),,,"J1 A - (North) Bishopthorpe Roa")&amp;":"&amp;ADDRESS(130,3+18*2+(8))),'J1 A - (North) Bishopthorpe Roa'!$A$12:$A$130,"&gt;="&amp;Diagram!$O66,'J1 A - (North) Bishopthorpe Roa'!$A$12:$A$130,"&lt;"&amp;Diagram!$P66)))</f>
        <v>32</v>
      </c>
      <c r="W66" s="42">
        <f ca="1">IF(OR($I$10="",$O66="",$P66="",$J$35&lt;&gt;"Yes"),0,IF($K$10=0,SUMIFS(INDIRECT(ADDRESS(12,3+18*2+(0),,,"J1 B - Butcher Terrace")&amp;":"&amp;ADDRESS(130,3+18*2+(0))),'J1 B - Butcher Terrace'!$A$12:$A$130,"&gt;="&amp;Diagram!$O66,'J1 B - Butcher Terrace'!$A$12:$A$130,"&lt;"&amp;Diagram!$P66),SUMIFS(INDIRECT(ADDRESS(12,3+18*2+(8),,,"J1 B - Butcher Terrace")&amp;":"&amp;ADDRESS(130,3+18*2+(8))),'J1 B - Butcher Terrace'!$A$12:$A$130,"&gt;="&amp;Diagram!$O66,'J1 B - Butcher Terrace'!$A$12:$A$130,"&lt;"&amp;Diagram!$P66)))</f>
        <v>15</v>
      </c>
      <c r="X66" s="42">
        <f ca="1">IF(OR($I$10="",$O66="",$P66="",$J$35&lt;&gt;"Yes"),0,IF($K$10=0,SUMIFS(INDIRECT(ADDRESS(12,3+18*3+(0),,,"J1 B - Butcher Terrace")&amp;":"&amp;ADDRESS(130,3+18*3+(0))),'J1 B - Butcher Terrace'!$A$12:$A$130,"&gt;="&amp;Diagram!$O66,'J1 B - Butcher Terrace'!$A$12:$A$130,"&lt;"&amp;Diagram!$P66),SUMIFS(INDIRECT(ADDRESS(12,3+18*3+(8),,,"J1 B - Butcher Terrace")&amp;":"&amp;ADDRESS(130,3+18*3+(8))),'J1 B - Butcher Terrace'!$A$12:$A$130,"&gt;="&amp;Diagram!$O66,'J1 B - Butcher Terrace'!$A$12:$A$130,"&lt;"&amp;Diagram!$P66)))</f>
        <v>0</v>
      </c>
      <c r="Y66" s="42">
        <f ca="1">IF(OR($I$10="",$O66="",$P66="",$J$35&lt;&gt;"Yes"),0,IF($K$10=0,SUMIFS(INDIRECT(ADDRESS(12,3+18*0+(0),,,"J1 B - Butcher Terrace")&amp;":"&amp;ADDRESS(130,3+18*0+(0))),'J1 B - Butcher Terrace'!$A$12:$A$130,"&gt;="&amp;Diagram!$O66,'J1 B - Butcher Terrace'!$A$12:$A$130,"&lt;"&amp;Diagram!$P66),SUMIFS(INDIRECT(ADDRESS(12,3+18*0+(8),,,"J1 B - Butcher Terrace")&amp;":"&amp;ADDRESS(130,3+18*0+(8))),'J1 B - Butcher Terrace'!$A$12:$A$130,"&gt;="&amp;Diagram!$O66,'J1 B - Butcher Terrace'!$A$12:$A$130,"&lt;"&amp;Diagram!$P66)))</f>
        <v>9</v>
      </c>
      <c r="Z66" s="42">
        <f ca="1">IF(OR($I$10="",$O66="",$P66="",$J$35&lt;&gt;"Yes"),0,IF($K$10=0,SUMIFS(INDIRECT(ADDRESS(12,3+18*1+(0),,,"J1 B - Butcher Terrace")&amp;":"&amp;ADDRESS(130,3+18*1+(0))),'J1 B - Butcher Terrace'!$A$12:$A$130,"&gt;="&amp;Diagram!$O66,'J1 B - Butcher Terrace'!$A$12:$A$130,"&lt;"&amp;Diagram!$P66),SUMIFS(INDIRECT(ADDRESS(12,3+18*1+(8),,,"J1 B - Butcher Terrace")&amp;":"&amp;ADDRESS(130,3+18*1+(8))),'J1 B - Butcher Terrace'!$A$12:$A$130,"&gt;="&amp;Diagram!$O66,'J1 B - Butcher Terrace'!$A$12:$A$130,"&lt;"&amp;Diagram!$P66)))</f>
        <v>0</v>
      </c>
      <c r="AA66" s="42">
        <f ca="1">IF(OR($I$10="",$O66="",$P66="",$J$35&lt;&gt;"Yes"),0,IF($K$10=0,SUMIFS(INDIRECT(ADDRESS(12,3+18*1+(0),,,"J1 C - (South) Bishopthorpe Roa")&amp;":"&amp;ADDRESS(130,3+18*1+(0))),'J1 C - (South) Bishopthorpe Roa'!$A$12:$A$130,"&gt;="&amp;Diagram!$O66,'J1 C - (South) Bishopthorpe Roa'!$A$12:$A$130,"&lt;"&amp;Diagram!$P66),SUMIFS(INDIRECT(ADDRESS(12,3+18*1+(8),,,"J1 C - (South) Bishopthorpe Roa")&amp;":"&amp;ADDRESS(130,3+18*1+(8))),'J1 C - (South) Bishopthorpe Roa'!$A$12:$A$130,"&gt;="&amp;Diagram!$O66,'J1 C - (South) Bishopthorpe Roa'!$A$12:$A$130,"&lt;"&amp;Diagram!$P66)))</f>
        <v>173</v>
      </c>
      <c r="AB66" s="42">
        <f ca="1">IF(OR($I$10="",$O66="",$P66="",$J$35&lt;&gt;"Yes"),0,IF($K$10=0,SUMIFS(INDIRECT(ADDRESS(12,3+18*2+(0),,,"J1 C - (South) Bishopthorpe Roa")&amp;":"&amp;ADDRESS(130,3+18*2+(0))),'J1 C - (South) Bishopthorpe Roa'!$A$12:$A$130,"&gt;="&amp;Diagram!$O66,'J1 C - (South) Bishopthorpe Roa'!$A$12:$A$130,"&lt;"&amp;Diagram!$P66),SUMIFS(INDIRECT(ADDRESS(12,3+18*2+(8),,,"J1 C - (South) Bishopthorpe Roa")&amp;":"&amp;ADDRESS(130,3+18*2+(8))),'J1 C - (South) Bishopthorpe Roa'!$A$12:$A$130,"&gt;="&amp;Diagram!$O66,'J1 C - (South) Bishopthorpe Roa'!$A$12:$A$130,"&lt;"&amp;Diagram!$P66)))</f>
        <v>5</v>
      </c>
      <c r="AC66" s="42">
        <f ca="1">IF(OR($I$10="",$O66="",$P66="",$J$35&lt;&gt;"Yes"),0,IF($K$10=0,SUMIFS(INDIRECT(ADDRESS(12,3+18*3+(0),,,"J1 C - (South) Bishopthorpe Roa")&amp;":"&amp;ADDRESS(130,3+18*3+(0))),'J1 C - (South) Bishopthorpe Roa'!$A$12:$A$130,"&gt;="&amp;Diagram!$O66,'J1 C - (South) Bishopthorpe Roa'!$A$12:$A$130,"&lt;"&amp;Diagram!$P66),SUMIFS(INDIRECT(ADDRESS(12,3+18*3+(8),,,"J1 C - (South) Bishopthorpe Roa")&amp;":"&amp;ADDRESS(130,3+18*3+(8))),'J1 C - (South) Bishopthorpe Roa'!$A$12:$A$130,"&gt;="&amp;Diagram!$O66,'J1 C - (South) Bishopthorpe Roa'!$A$12:$A$130,"&lt;"&amp;Diagram!$P66)))</f>
        <v>2</v>
      </c>
      <c r="AD66" s="42">
        <f ca="1">IF(OR($I$10="",$O66="",$P66="",$J$35&lt;&gt;"Yes"),0,IF($K$10=0,SUMIFS(INDIRECT(ADDRESS(12,3+18*0+(0),,,"J1 C - (South) Bishopthorpe Roa")&amp;":"&amp;ADDRESS(130,3+18*0+(0))),'J1 C - (South) Bishopthorpe Roa'!$A$12:$A$130,"&gt;="&amp;Diagram!$O66,'J1 C - (South) Bishopthorpe Roa'!$A$12:$A$130,"&lt;"&amp;Diagram!$P66),SUMIFS(INDIRECT(ADDRESS(12,3+18*0+(8),,,"J1 C - (South) Bishopthorpe Roa")&amp;":"&amp;ADDRESS(130,3+18*0+(8))),'J1 C - (South) Bishopthorpe Roa'!$A$12:$A$130,"&gt;="&amp;Diagram!$O66,'J1 C - (South) Bishopthorpe Roa'!$A$12:$A$130,"&lt;"&amp;Diagram!$P66)))</f>
        <v>16</v>
      </c>
      <c r="AE66" s="42">
        <f ca="1">IF(OR($I$10="",$O66="",$P66="",$J$35&lt;&gt;"Yes"),0,IF($K$10=0,SUMIFS(INDIRECT(ADDRESS(12,3+18*0+(0),,,"J1 D - South Bank Avenue")&amp;":"&amp;ADDRESS(130,3+18*0+(0))),'J1 D - South Bank Avenue'!$A$12:$A$130,"&gt;="&amp;Diagram!$O66,'J1 D - South Bank Avenue'!$A$12:$A$130,"&lt;"&amp;Diagram!$P66),SUMIFS(INDIRECT(ADDRESS(12,3+18*0+(8),,,"J1 D - South Bank Avenue")&amp;":"&amp;ADDRESS(130,3+18*0+(8))),'J1 D - South Bank Avenue'!$A$12:$A$130,"&gt;="&amp;Diagram!$O66,'J1 D - South Bank Avenue'!$A$12:$A$130,"&lt;"&amp;Diagram!$P66)))</f>
        <v>18</v>
      </c>
      <c r="AF66" s="42">
        <f ca="1">IF(OR($I$10="",$O66="",$P66="",$J$35&lt;&gt;"Yes"),0,IF($K$10=0,SUMIFS(INDIRECT(ADDRESS(12,3+18*1+(0),,,"J1 D - South Bank Avenue")&amp;":"&amp;ADDRESS(130,3+18*1+(0))),'J1 D - South Bank Avenue'!$A$12:$A$130,"&gt;="&amp;Diagram!$O66,'J1 D - South Bank Avenue'!$A$12:$A$130,"&lt;"&amp;Diagram!$P66),SUMIFS(INDIRECT(ADDRESS(12,3+18*1+(8),,,"J1 D - South Bank Avenue")&amp;":"&amp;ADDRESS(130,3+18*1+(8))),'J1 D - South Bank Avenue'!$A$12:$A$130,"&gt;="&amp;Diagram!$O66,'J1 D - South Bank Avenue'!$A$12:$A$130,"&lt;"&amp;Diagram!$P66)))</f>
        <v>1</v>
      </c>
      <c r="AG66" s="42">
        <f ca="1">IF(OR($I$10="",$O66="",$P66="",$J$35&lt;&gt;"Yes"),0,IF($K$10=0,SUMIFS(INDIRECT(ADDRESS(12,3+18*2+(0),,,"J1 D - South Bank Avenue")&amp;":"&amp;ADDRESS(130,3+18*2+(0))),'J1 D - South Bank Avenue'!$A$12:$A$130,"&gt;="&amp;Diagram!$O66,'J1 D - South Bank Avenue'!$A$12:$A$130,"&lt;"&amp;Diagram!$P66),SUMIFS(INDIRECT(ADDRESS(12,3+18*2+(8),,,"J1 D - South Bank Avenue")&amp;":"&amp;ADDRESS(130,3+18*2+(8))),'J1 D - South Bank Avenue'!$A$12:$A$130,"&gt;="&amp;Diagram!$O66,'J1 D - South Bank Avenue'!$A$12:$A$130,"&lt;"&amp;Diagram!$P66)))</f>
        <v>10</v>
      </c>
      <c r="AH66" s="42">
        <f ca="1">IF(OR($I$10="",$O66="",$P66="",$J$35&lt;&gt;"Yes"),0,IF($K$10=0,SUMIFS(INDIRECT(ADDRESS(12,3+18*3+(0),,,"J1 D - South Bank Avenue")&amp;":"&amp;ADDRESS(130,3+18*3+(0))),'J1 D - South Bank Avenue'!$A$12:$A$130,"&gt;="&amp;Diagram!$O66,'J1 D - South Bank Avenue'!$A$12:$A$130,"&lt;"&amp;Diagram!$P66),SUMIFS(INDIRECT(ADDRESS(12,3+18*3+(8),,,"J1 D - South Bank Avenue")&amp;":"&amp;ADDRESS(130,3+18*3+(8))),'J1 D - South Bank Avenue'!$A$12:$A$130,"&gt;="&amp;Diagram!$O66,'J1 D - South Bank Avenue'!$A$12:$A$130,"&lt;"&amp;Diagram!$P66)))</f>
        <v>0</v>
      </c>
      <c r="AI66" s="42">
        <f t="shared" ref="AI66:AI96" ca="1" si="12">SUM($AJ66,$AK66,$AL66,$AM66,$AN66,$AO66,$AP66,$AQ66,$AR66,$AS66,$AT66,$AU66,$AV66,$AW66,$AX66,$AY66)</f>
        <v>43</v>
      </c>
      <c r="AJ66" s="42">
        <f ca="1">IF(OR($I$10="",$O66="",$P66="",$J$36&lt;&gt;"Yes"),0,IF($K$10=0,SUMIFS(INDIRECT(ADDRESS(12,3+18*3+(1),,,"J1 A - (North) Bishopthorpe Roa")&amp;":"&amp;ADDRESS(130,3+18*3+(1))),'J1 A - (North) Bishopthorpe Roa'!$A$12:$A$130,"&gt;="&amp;Diagram!$O66,'J1 A - (North) Bishopthorpe Roa'!$A$12:$A$130,"&lt;"&amp;Diagram!$P66),SUMIFS(INDIRECT(ADDRESS(12,3+18*3+(9),,,"J1 A - (North) Bishopthorpe Roa")&amp;":"&amp;ADDRESS(130,3+18*3+(9))),'J1 A - (North) Bishopthorpe Roa'!$A$12:$A$130,"&gt;="&amp;Diagram!$O66,'J1 A - (North) Bishopthorpe Roa'!$A$12:$A$130,"&lt;"&amp;Diagram!$P66)))</f>
        <v>0</v>
      </c>
      <c r="AK66" s="42">
        <f ca="1">IF(OR($I$10="",$O66="",$P66="",$J$36&lt;&gt;"Yes"),0,IF($K$10=0,SUMIFS(INDIRECT(ADDRESS(12,3+18*0+(1),,,"J1 A - (North) Bishopthorpe Roa")&amp;":"&amp;ADDRESS(130,3+18*0+(1))),'J1 A - (North) Bishopthorpe Roa'!$A$12:$A$130,"&gt;="&amp;Diagram!$O66,'J1 A - (North) Bishopthorpe Roa'!$A$12:$A$130,"&lt;"&amp;Diagram!$P66),SUMIFS(INDIRECT(ADDRESS(12,3+18*0+(9),,,"J1 A - (North) Bishopthorpe Roa")&amp;":"&amp;ADDRESS(130,3+18*0+(9))),'J1 A - (North) Bishopthorpe Roa'!$A$12:$A$130,"&gt;="&amp;Diagram!$O66,'J1 A - (North) Bishopthorpe Roa'!$A$12:$A$130,"&lt;"&amp;Diagram!$P66)))</f>
        <v>1</v>
      </c>
      <c r="AL66" s="42">
        <f ca="1">IF(OR($I$10="",$O66="",$P66="",$J$36&lt;&gt;"Yes"),0,IF($K$10=0,SUMIFS(INDIRECT(ADDRESS(12,3+18*1+(1),,,"J1 A - (North) Bishopthorpe Roa")&amp;":"&amp;ADDRESS(130,3+18*1+(1))),'J1 A - (North) Bishopthorpe Roa'!$A$12:$A$130,"&gt;="&amp;Diagram!$O66,'J1 A - (North) Bishopthorpe Roa'!$A$12:$A$130,"&lt;"&amp;Diagram!$P66),SUMIFS(INDIRECT(ADDRESS(12,3+18*1+(9),,,"J1 A - (North) Bishopthorpe Roa")&amp;":"&amp;ADDRESS(130,3+18*1+(9))),'J1 A - (North) Bishopthorpe Roa'!$A$12:$A$130,"&gt;="&amp;Diagram!$O66,'J1 A - (North) Bishopthorpe Roa'!$A$12:$A$130,"&lt;"&amp;Diagram!$P66)))</f>
        <v>18</v>
      </c>
      <c r="AM66" s="42">
        <f ca="1">IF(OR($I$10="",$O66="",$P66="",$J$36&lt;&gt;"Yes"),0,IF($K$10=0,SUMIFS(INDIRECT(ADDRESS(12,3+18*2+(1),,,"J1 A - (North) Bishopthorpe Roa")&amp;":"&amp;ADDRESS(130,3+18*2+(1))),'J1 A - (North) Bishopthorpe Roa'!$A$12:$A$130,"&gt;="&amp;Diagram!$O66,'J1 A - (North) Bishopthorpe Roa'!$A$12:$A$130,"&lt;"&amp;Diagram!$P66),SUMIFS(INDIRECT(ADDRESS(12,3+18*2+(9),,,"J1 A - (North) Bishopthorpe Roa")&amp;":"&amp;ADDRESS(130,3+18*2+(9))),'J1 A - (North) Bishopthorpe Roa'!$A$12:$A$130,"&gt;="&amp;Diagram!$O66,'J1 A - (North) Bishopthorpe Roa'!$A$12:$A$130,"&lt;"&amp;Diagram!$P66)))</f>
        <v>4</v>
      </c>
      <c r="AN66" s="42">
        <f ca="1">IF(OR($I$10="",$O66="",$P66="",$J$36&lt;&gt;"Yes"),0,IF($K$10=0,SUMIFS(INDIRECT(ADDRESS(12,3+18*2+(1),,,"J1 B - Butcher Terrace")&amp;":"&amp;ADDRESS(130,3+18*2+(1))),'J1 B - Butcher Terrace'!$A$12:$A$130,"&gt;="&amp;Diagram!$O66,'J1 B - Butcher Terrace'!$A$12:$A$130,"&lt;"&amp;Diagram!$P66),SUMIFS(INDIRECT(ADDRESS(12,3+18*2+(9),,,"J1 B - Butcher Terrace")&amp;":"&amp;ADDRESS(130,3+18*2+(9))),'J1 B - Butcher Terrace'!$A$12:$A$130,"&gt;="&amp;Diagram!$O66,'J1 B - Butcher Terrace'!$A$12:$A$130,"&lt;"&amp;Diagram!$P66)))</f>
        <v>1</v>
      </c>
      <c r="AO66" s="42">
        <f ca="1">IF(OR($I$10="",$O66="",$P66="",$J$36&lt;&gt;"Yes"),0,IF($K$10=0,SUMIFS(INDIRECT(ADDRESS(12,3+18*3+(1),,,"J1 B - Butcher Terrace")&amp;":"&amp;ADDRESS(130,3+18*3+(1))),'J1 B - Butcher Terrace'!$A$12:$A$130,"&gt;="&amp;Diagram!$O66,'J1 B - Butcher Terrace'!$A$12:$A$130,"&lt;"&amp;Diagram!$P66),SUMIFS(INDIRECT(ADDRESS(12,3+18*3+(9),,,"J1 B - Butcher Terrace")&amp;":"&amp;ADDRESS(130,3+18*3+(9))),'J1 B - Butcher Terrace'!$A$12:$A$130,"&gt;="&amp;Diagram!$O66,'J1 B - Butcher Terrace'!$A$12:$A$130,"&lt;"&amp;Diagram!$P66)))</f>
        <v>0</v>
      </c>
      <c r="AP66" s="42">
        <f ca="1">IF(OR($I$10="",$O66="",$P66="",$J$36&lt;&gt;"Yes"),0,IF($K$10=0,SUMIFS(INDIRECT(ADDRESS(12,3+18*0+(1),,,"J1 B - Butcher Terrace")&amp;":"&amp;ADDRESS(130,3+18*0+(1))),'J1 B - Butcher Terrace'!$A$12:$A$130,"&gt;="&amp;Diagram!$O66,'J1 B - Butcher Terrace'!$A$12:$A$130,"&lt;"&amp;Diagram!$P66),SUMIFS(INDIRECT(ADDRESS(12,3+18*0+(9),,,"J1 B - Butcher Terrace")&amp;":"&amp;ADDRESS(130,3+18*0+(9))),'J1 B - Butcher Terrace'!$A$12:$A$130,"&gt;="&amp;Diagram!$O66,'J1 B - Butcher Terrace'!$A$12:$A$130,"&lt;"&amp;Diagram!$P66)))</f>
        <v>2</v>
      </c>
      <c r="AQ66" s="42">
        <f ca="1">IF(OR($I$10="",$O66="",$P66="",$J$36&lt;&gt;"Yes"),0,IF($K$10=0,SUMIFS(INDIRECT(ADDRESS(12,3+18*1+(1),,,"J1 B - Butcher Terrace")&amp;":"&amp;ADDRESS(130,3+18*1+(1))),'J1 B - Butcher Terrace'!$A$12:$A$130,"&gt;="&amp;Diagram!$O66,'J1 B - Butcher Terrace'!$A$12:$A$130,"&lt;"&amp;Diagram!$P66),SUMIFS(INDIRECT(ADDRESS(12,3+18*1+(9),,,"J1 B - Butcher Terrace")&amp;":"&amp;ADDRESS(130,3+18*1+(9))),'J1 B - Butcher Terrace'!$A$12:$A$130,"&gt;="&amp;Diagram!$O66,'J1 B - Butcher Terrace'!$A$12:$A$130,"&lt;"&amp;Diagram!$P66)))</f>
        <v>0</v>
      </c>
      <c r="AR66" s="42">
        <f ca="1">IF(OR($I$10="",$O66="",$P66="",$J$36&lt;&gt;"Yes"),0,IF($K$10=0,SUMIFS(INDIRECT(ADDRESS(12,3+18*1+(1),,,"J1 C - (South) Bishopthorpe Roa")&amp;":"&amp;ADDRESS(130,3+18*1+(1))),'J1 C - (South) Bishopthorpe Roa'!$A$12:$A$130,"&gt;="&amp;Diagram!$O66,'J1 C - (South) Bishopthorpe Roa'!$A$12:$A$130,"&lt;"&amp;Diagram!$P66),SUMIFS(INDIRECT(ADDRESS(12,3+18*1+(9),,,"J1 C - (South) Bishopthorpe Roa")&amp;":"&amp;ADDRESS(130,3+18*1+(9))),'J1 C - (South) Bishopthorpe Roa'!$A$12:$A$130,"&gt;="&amp;Diagram!$O66,'J1 C - (South) Bishopthorpe Roa'!$A$12:$A$130,"&lt;"&amp;Diagram!$P66)))</f>
        <v>14</v>
      </c>
      <c r="AS66" s="42">
        <f ca="1">IF(OR($I$10="",$O66="",$P66="",$J$36&lt;&gt;"Yes"),0,IF($K$10=0,SUMIFS(INDIRECT(ADDRESS(12,3+18*2+(1),,,"J1 C - (South) Bishopthorpe Roa")&amp;":"&amp;ADDRESS(130,3+18*2+(1))),'J1 C - (South) Bishopthorpe Roa'!$A$12:$A$130,"&gt;="&amp;Diagram!$O66,'J1 C - (South) Bishopthorpe Roa'!$A$12:$A$130,"&lt;"&amp;Diagram!$P66),SUMIFS(INDIRECT(ADDRESS(12,3+18*2+(9),,,"J1 C - (South) Bishopthorpe Roa")&amp;":"&amp;ADDRESS(130,3+18*2+(9))),'J1 C - (South) Bishopthorpe Roa'!$A$12:$A$130,"&gt;="&amp;Diagram!$O66,'J1 C - (South) Bishopthorpe Roa'!$A$12:$A$130,"&lt;"&amp;Diagram!$P66)))</f>
        <v>1</v>
      </c>
      <c r="AT66" s="42">
        <f ca="1">IF(OR($I$10="",$O66="",$P66="",$J$36&lt;&gt;"Yes"),0,IF($K$10=0,SUMIFS(INDIRECT(ADDRESS(12,3+18*3+(1),,,"J1 C - (South) Bishopthorpe Roa")&amp;":"&amp;ADDRESS(130,3+18*3+(1))),'J1 C - (South) Bishopthorpe Roa'!$A$12:$A$130,"&gt;="&amp;Diagram!$O66,'J1 C - (South) Bishopthorpe Roa'!$A$12:$A$130,"&lt;"&amp;Diagram!$P66),SUMIFS(INDIRECT(ADDRESS(12,3+18*3+(9),,,"J1 C - (South) Bishopthorpe Roa")&amp;":"&amp;ADDRESS(130,3+18*3+(9))),'J1 C - (South) Bishopthorpe Roa'!$A$12:$A$130,"&gt;="&amp;Diagram!$O66,'J1 C - (South) Bishopthorpe Roa'!$A$12:$A$130,"&lt;"&amp;Diagram!$P66)))</f>
        <v>0</v>
      </c>
      <c r="AU66" s="42">
        <f ca="1">IF(OR($I$10="",$O66="",$P66="",$J$36&lt;&gt;"Yes"),0,IF($K$10=0,SUMIFS(INDIRECT(ADDRESS(12,3+18*0+(1),,,"J1 C - (South) Bishopthorpe Roa")&amp;":"&amp;ADDRESS(130,3+18*0+(1))),'J1 C - (South) Bishopthorpe Roa'!$A$12:$A$130,"&gt;="&amp;Diagram!$O66,'J1 C - (South) Bishopthorpe Roa'!$A$12:$A$130,"&lt;"&amp;Diagram!$P66),SUMIFS(INDIRECT(ADDRESS(12,3+18*0+(9),,,"J1 C - (South) Bishopthorpe Roa")&amp;":"&amp;ADDRESS(130,3+18*0+(9))),'J1 C - (South) Bishopthorpe Roa'!$A$12:$A$130,"&gt;="&amp;Diagram!$O66,'J1 C - (South) Bishopthorpe Roa'!$A$12:$A$130,"&lt;"&amp;Diagram!$P66)))</f>
        <v>2</v>
      </c>
      <c r="AV66" s="42">
        <f ca="1">IF(OR($I$10="",$O66="",$P66="",$J$36&lt;&gt;"Yes"),0,IF($K$10=0,SUMIFS(INDIRECT(ADDRESS(12,3+18*0+(1),,,"J1 D - South Bank Avenue")&amp;":"&amp;ADDRESS(130,3+18*0+(1))),'J1 D - South Bank Avenue'!$A$12:$A$130,"&gt;="&amp;Diagram!$O66,'J1 D - South Bank Avenue'!$A$12:$A$130,"&lt;"&amp;Diagram!$P66),SUMIFS(INDIRECT(ADDRESS(12,3+18*0+(9),,,"J1 D - South Bank Avenue")&amp;":"&amp;ADDRESS(130,3+18*0+(9))),'J1 D - South Bank Avenue'!$A$12:$A$130,"&gt;="&amp;Diagram!$O66,'J1 D - South Bank Avenue'!$A$12:$A$130,"&lt;"&amp;Diagram!$P66)))</f>
        <v>0</v>
      </c>
      <c r="AW66" s="42">
        <f ca="1">IF(OR($I$10="",$O66="",$P66="",$J$36&lt;&gt;"Yes"),0,IF($K$10=0,SUMIFS(INDIRECT(ADDRESS(12,3+18*1+(1),,,"J1 D - South Bank Avenue")&amp;":"&amp;ADDRESS(130,3+18*1+(1))),'J1 D - South Bank Avenue'!$A$12:$A$130,"&gt;="&amp;Diagram!$O66,'J1 D - South Bank Avenue'!$A$12:$A$130,"&lt;"&amp;Diagram!$P66),SUMIFS(INDIRECT(ADDRESS(12,3+18*1+(9),,,"J1 D - South Bank Avenue")&amp;":"&amp;ADDRESS(130,3+18*1+(9))),'J1 D - South Bank Avenue'!$A$12:$A$130,"&gt;="&amp;Diagram!$O66,'J1 D - South Bank Avenue'!$A$12:$A$130,"&lt;"&amp;Diagram!$P66)))</f>
        <v>0</v>
      </c>
      <c r="AX66" s="42">
        <f ca="1">IF(OR($I$10="",$O66="",$P66="",$J$36&lt;&gt;"Yes"),0,IF($K$10=0,SUMIFS(INDIRECT(ADDRESS(12,3+18*2+(1),,,"J1 D - South Bank Avenue")&amp;":"&amp;ADDRESS(130,3+18*2+(1))),'J1 D - South Bank Avenue'!$A$12:$A$130,"&gt;="&amp;Diagram!$O66,'J1 D - South Bank Avenue'!$A$12:$A$130,"&lt;"&amp;Diagram!$P66),SUMIFS(INDIRECT(ADDRESS(12,3+18*2+(9),,,"J1 D - South Bank Avenue")&amp;":"&amp;ADDRESS(130,3+18*2+(9))),'J1 D - South Bank Avenue'!$A$12:$A$130,"&gt;="&amp;Diagram!$O66,'J1 D - South Bank Avenue'!$A$12:$A$130,"&lt;"&amp;Diagram!$P66)))</f>
        <v>0</v>
      </c>
      <c r="AY66" s="42">
        <f ca="1">IF(OR($I$10="",$O66="",$P66="",$J$36&lt;&gt;"Yes"),0,IF($K$10=0,SUMIFS(INDIRECT(ADDRESS(12,3+18*3+(1),,,"J1 D - South Bank Avenue")&amp;":"&amp;ADDRESS(130,3+18*3+(1))),'J1 D - South Bank Avenue'!$A$12:$A$130,"&gt;="&amp;Diagram!$O66,'J1 D - South Bank Avenue'!$A$12:$A$130,"&lt;"&amp;Diagram!$P66),SUMIFS(INDIRECT(ADDRESS(12,3+18*3+(9),,,"J1 D - South Bank Avenue")&amp;":"&amp;ADDRESS(130,3+18*3+(9))),'J1 D - South Bank Avenue'!$A$12:$A$130,"&gt;="&amp;Diagram!$O66,'J1 D - South Bank Avenue'!$A$12:$A$130,"&lt;"&amp;Diagram!$P66)))</f>
        <v>0</v>
      </c>
      <c r="AZ66" s="42">
        <f t="shared" ref="AZ66:AZ96" ca="1" si="13">SUM($BA66,$BB66,$BC66,$BD66,$BE66,$BF66,$BG66,$BH66,$BI66,$BJ66,$BK66,$BL66,$BM66,$BN66,$BO66,$BP66)</f>
        <v>2</v>
      </c>
      <c r="BA66" s="42">
        <f ca="1">IF(OR($I$10="",$O66="",$P66="",$J$37&lt;&gt;"Yes"),0,IF($K$10=0,SUMIFS(INDIRECT(ADDRESS(12,3+18*3+(2),,,"J1 A - (North) Bishopthorpe Roa")&amp;":"&amp;ADDRESS(130,3+18*3+(2))),'J1 A - (North) Bishopthorpe Roa'!$A$12:$A$130,"&gt;="&amp;Diagram!$O66,'J1 A - (North) Bishopthorpe Roa'!$A$12:$A$130,"&lt;"&amp;Diagram!$P66),SUMIFS(INDIRECT(ADDRESS(12,3+18*3+(10),,,"J1 A - (North) Bishopthorpe Roa")&amp;":"&amp;ADDRESS(130,3+18*3+(10))),'J1 A - (North) Bishopthorpe Roa'!$A$12:$A$130,"&gt;="&amp;Diagram!$O66,'J1 A - (North) Bishopthorpe Roa'!$A$12:$A$130,"&lt;"&amp;Diagram!$P66)))</f>
        <v>0</v>
      </c>
      <c r="BB66" s="42">
        <f ca="1">IF(OR($I$10="",$O66="",$P66="",$J$37&lt;&gt;"Yes"),0,IF($K$10=0,SUMIFS(INDIRECT(ADDRESS(12,3+18*0+(2),,,"J1 A - (North) Bishopthorpe Roa")&amp;":"&amp;ADDRESS(130,3+18*0+(2))),'J1 A - (North) Bishopthorpe Roa'!$A$12:$A$130,"&gt;="&amp;Diagram!$O66,'J1 A - (North) Bishopthorpe Roa'!$A$12:$A$130,"&lt;"&amp;Diagram!$P66),SUMIFS(INDIRECT(ADDRESS(12,3+18*0+(10),,,"J1 A - (North) Bishopthorpe Roa")&amp;":"&amp;ADDRESS(130,3+18*0+(10))),'J1 A - (North) Bishopthorpe Roa'!$A$12:$A$130,"&gt;="&amp;Diagram!$O66,'J1 A - (North) Bishopthorpe Roa'!$A$12:$A$130,"&lt;"&amp;Diagram!$P66)))</f>
        <v>0</v>
      </c>
      <c r="BC66" s="42">
        <f ca="1">IF(OR($I$10="",$O66="",$P66="",$J$37&lt;&gt;"Yes"),0,IF($K$10=0,SUMIFS(INDIRECT(ADDRESS(12,3+18*1+(2),,,"J1 A - (North) Bishopthorpe Roa")&amp;":"&amp;ADDRESS(130,3+18*1+(2))),'J1 A - (North) Bishopthorpe Roa'!$A$12:$A$130,"&gt;="&amp;Diagram!$O66,'J1 A - (North) Bishopthorpe Roa'!$A$12:$A$130,"&lt;"&amp;Diagram!$P66),SUMIFS(INDIRECT(ADDRESS(12,3+18*1+(10),,,"J1 A - (North) Bishopthorpe Roa")&amp;":"&amp;ADDRESS(130,3+18*1+(10))),'J1 A - (North) Bishopthorpe Roa'!$A$12:$A$130,"&gt;="&amp;Diagram!$O66,'J1 A - (North) Bishopthorpe Roa'!$A$12:$A$130,"&lt;"&amp;Diagram!$P66)))</f>
        <v>0</v>
      </c>
      <c r="BD66" s="42">
        <f ca="1">IF(OR($I$10="",$O66="",$P66="",$J$37&lt;&gt;"Yes"),0,IF($K$10=0,SUMIFS(INDIRECT(ADDRESS(12,3+18*2+(2),,,"J1 A - (North) Bishopthorpe Roa")&amp;":"&amp;ADDRESS(130,3+18*2+(2))),'J1 A - (North) Bishopthorpe Roa'!$A$12:$A$130,"&gt;="&amp;Diagram!$O66,'J1 A - (North) Bishopthorpe Roa'!$A$12:$A$130,"&lt;"&amp;Diagram!$P66),SUMIFS(INDIRECT(ADDRESS(12,3+18*2+(10),,,"J1 A - (North) Bishopthorpe Roa")&amp;":"&amp;ADDRESS(130,3+18*2+(10))),'J1 A - (North) Bishopthorpe Roa'!$A$12:$A$130,"&gt;="&amp;Diagram!$O66,'J1 A - (North) Bishopthorpe Roa'!$A$12:$A$130,"&lt;"&amp;Diagram!$P66)))</f>
        <v>0</v>
      </c>
      <c r="BE66" s="42">
        <f ca="1">IF(OR($I$10="",$O66="",$P66="",$J$37&lt;&gt;"Yes"),0,IF($K$10=0,SUMIFS(INDIRECT(ADDRESS(12,3+18*2+(2),,,"J1 B - Butcher Terrace")&amp;":"&amp;ADDRESS(130,3+18*2+(2))),'J1 B - Butcher Terrace'!$A$12:$A$130,"&gt;="&amp;Diagram!$O66,'J1 B - Butcher Terrace'!$A$12:$A$130,"&lt;"&amp;Diagram!$P66),SUMIFS(INDIRECT(ADDRESS(12,3+18*2+(10),,,"J1 B - Butcher Terrace")&amp;":"&amp;ADDRESS(130,3+18*2+(10))),'J1 B - Butcher Terrace'!$A$12:$A$130,"&gt;="&amp;Diagram!$O66,'J1 B - Butcher Terrace'!$A$12:$A$130,"&lt;"&amp;Diagram!$P66)))</f>
        <v>0</v>
      </c>
      <c r="BF66" s="42">
        <f ca="1">IF(OR($I$10="",$O66="",$P66="",$J$37&lt;&gt;"Yes"),0,IF($K$10=0,SUMIFS(INDIRECT(ADDRESS(12,3+18*3+(2),,,"J1 B - Butcher Terrace")&amp;":"&amp;ADDRESS(130,3+18*3+(2))),'J1 B - Butcher Terrace'!$A$12:$A$130,"&gt;="&amp;Diagram!$O66,'J1 B - Butcher Terrace'!$A$12:$A$130,"&lt;"&amp;Diagram!$P66),SUMIFS(INDIRECT(ADDRESS(12,3+18*3+(10),,,"J1 B - Butcher Terrace")&amp;":"&amp;ADDRESS(130,3+18*3+(10))),'J1 B - Butcher Terrace'!$A$12:$A$130,"&gt;="&amp;Diagram!$O66,'J1 B - Butcher Terrace'!$A$12:$A$130,"&lt;"&amp;Diagram!$P66)))</f>
        <v>0</v>
      </c>
      <c r="BG66" s="42">
        <f ca="1">IF(OR($I$10="",$O66="",$P66="",$J$37&lt;&gt;"Yes"),0,IF($K$10=0,SUMIFS(INDIRECT(ADDRESS(12,3+18*0+(2),,,"J1 B - Butcher Terrace")&amp;":"&amp;ADDRESS(130,3+18*0+(2))),'J1 B - Butcher Terrace'!$A$12:$A$130,"&gt;="&amp;Diagram!$O66,'J1 B - Butcher Terrace'!$A$12:$A$130,"&lt;"&amp;Diagram!$P66),SUMIFS(INDIRECT(ADDRESS(12,3+18*0+(10),,,"J1 B - Butcher Terrace")&amp;":"&amp;ADDRESS(130,3+18*0+(10))),'J1 B - Butcher Terrace'!$A$12:$A$130,"&gt;="&amp;Diagram!$O66,'J1 B - Butcher Terrace'!$A$12:$A$130,"&lt;"&amp;Diagram!$P66)))</f>
        <v>0</v>
      </c>
      <c r="BH66" s="42">
        <f ca="1">IF(OR($I$10="",$O66="",$P66="",$J$37&lt;&gt;"Yes"),0,IF($K$10=0,SUMIFS(INDIRECT(ADDRESS(12,3+18*1+(2),,,"J1 B - Butcher Terrace")&amp;":"&amp;ADDRESS(130,3+18*1+(2))),'J1 B - Butcher Terrace'!$A$12:$A$130,"&gt;="&amp;Diagram!$O66,'J1 B - Butcher Terrace'!$A$12:$A$130,"&lt;"&amp;Diagram!$P66),SUMIFS(INDIRECT(ADDRESS(12,3+18*1+(10),,,"J1 B - Butcher Terrace")&amp;":"&amp;ADDRESS(130,3+18*1+(10))),'J1 B - Butcher Terrace'!$A$12:$A$130,"&gt;="&amp;Diagram!$O66,'J1 B - Butcher Terrace'!$A$12:$A$130,"&lt;"&amp;Diagram!$P66)))</f>
        <v>0</v>
      </c>
      <c r="BI66" s="42">
        <f ca="1">IF(OR($I$10="",$O66="",$P66="",$J$37&lt;&gt;"Yes"),0,IF($K$10=0,SUMIFS(INDIRECT(ADDRESS(12,3+18*1+(2),,,"J1 C - (South) Bishopthorpe Roa")&amp;":"&amp;ADDRESS(130,3+18*1+(2))),'J1 C - (South) Bishopthorpe Roa'!$A$12:$A$130,"&gt;="&amp;Diagram!$O66,'J1 C - (South) Bishopthorpe Roa'!$A$12:$A$130,"&lt;"&amp;Diagram!$P66),SUMIFS(INDIRECT(ADDRESS(12,3+18*1+(10),,,"J1 C - (South) Bishopthorpe Roa")&amp;":"&amp;ADDRESS(130,3+18*1+(10))),'J1 C - (South) Bishopthorpe Roa'!$A$12:$A$130,"&gt;="&amp;Diagram!$O66,'J1 C - (South) Bishopthorpe Roa'!$A$12:$A$130,"&lt;"&amp;Diagram!$P66)))</f>
        <v>2</v>
      </c>
      <c r="BJ66" s="42">
        <f ca="1">IF(OR($I$10="",$O66="",$P66="",$J$37&lt;&gt;"Yes"),0,IF($K$10=0,SUMIFS(INDIRECT(ADDRESS(12,3+18*2+(2),,,"J1 C - (South) Bishopthorpe Roa")&amp;":"&amp;ADDRESS(130,3+18*2+(2))),'J1 C - (South) Bishopthorpe Roa'!$A$12:$A$130,"&gt;="&amp;Diagram!$O66,'J1 C - (South) Bishopthorpe Roa'!$A$12:$A$130,"&lt;"&amp;Diagram!$P66),SUMIFS(INDIRECT(ADDRESS(12,3+18*2+(10),,,"J1 C - (South) Bishopthorpe Roa")&amp;":"&amp;ADDRESS(130,3+18*2+(10))),'J1 C - (South) Bishopthorpe Roa'!$A$12:$A$130,"&gt;="&amp;Diagram!$O66,'J1 C - (South) Bishopthorpe Roa'!$A$12:$A$130,"&lt;"&amp;Diagram!$P66)))</f>
        <v>0</v>
      </c>
      <c r="BK66" s="42">
        <f ca="1">IF(OR($I$10="",$O66="",$P66="",$J$37&lt;&gt;"Yes"),0,IF($K$10=0,SUMIFS(INDIRECT(ADDRESS(12,3+18*3+(2),,,"J1 C - (South) Bishopthorpe Roa")&amp;":"&amp;ADDRESS(130,3+18*3+(2))),'J1 C - (South) Bishopthorpe Roa'!$A$12:$A$130,"&gt;="&amp;Diagram!$O66,'J1 C - (South) Bishopthorpe Roa'!$A$12:$A$130,"&lt;"&amp;Diagram!$P66),SUMIFS(INDIRECT(ADDRESS(12,3+18*3+(10),,,"J1 C - (South) Bishopthorpe Roa")&amp;":"&amp;ADDRESS(130,3+18*3+(10))),'J1 C - (South) Bishopthorpe Roa'!$A$12:$A$130,"&gt;="&amp;Diagram!$O66,'J1 C - (South) Bishopthorpe Roa'!$A$12:$A$130,"&lt;"&amp;Diagram!$P66)))</f>
        <v>0</v>
      </c>
      <c r="BL66" s="42">
        <f ca="1">IF(OR($I$10="",$O66="",$P66="",$J$37&lt;&gt;"Yes"),0,IF($K$10=0,SUMIFS(INDIRECT(ADDRESS(12,3+18*0+(2),,,"J1 C - (South) Bishopthorpe Roa")&amp;":"&amp;ADDRESS(130,3+18*0+(2))),'J1 C - (South) Bishopthorpe Roa'!$A$12:$A$130,"&gt;="&amp;Diagram!$O66,'J1 C - (South) Bishopthorpe Roa'!$A$12:$A$130,"&lt;"&amp;Diagram!$P66),SUMIFS(INDIRECT(ADDRESS(12,3+18*0+(10),,,"J1 C - (South) Bishopthorpe Roa")&amp;":"&amp;ADDRESS(130,3+18*0+(10))),'J1 C - (South) Bishopthorpe Roa'!$A$12:$A$130,"&gt;="&amp;Diagram!$O66,'J1 C - (South) Bishopthorpe Roa'!$A$12:$A$130,"&lt;"&amp;Diagram!$P66)))</f>
        <v>0</v>
      </c>
      <c r="BM66" s="42">
        <f ca="1">IF(OR($I$10="",$O66="",$P66="",$J$37&lt;&gt;"Yes"),0,IF($K$10=0,SUMIFS(INDIRECT(ADDRESS(12,3+18*0+(2),,,"J1 D - South Bank Avenue")&amp;":"&amp;ADDRESS(130,3+18*0+(2))),'J1 D - South Bank Avenue'!$A$12:$A$130,"&gt;="&amp;Diagram!$O66,'J1 D - South Bank Avenue'!$A$12:$A$130,"&lt;"&amp;Diagram!$P66),SUMIFS(INDIRECT(ADDRESS(12,3+18*0+(10),,,"J1 D - South Bank Avenue")&amp;":"&amp;ADDRESS(130,3+18*0+(10))),'J1 D - South Bank Avenue'!$A$12:$A$130,"&gt;="&amp;Diagram!$O66,'J1 D - South Bank Avenue'!$A$12:$A$130,"&lt;"&amp;Diagram!$P66)))</f>
        <v>0</v>
      </c>
      <c r="BN66" s="42">
        <f ca="1">IF(OR($I$10="",$O66="",$P66="",$J$37&lt;&gt;"Yes"),0,IF($K$10=0,SUMIFS(INDIRECT(ADDRESS(12,3+18*1+(2),,,"J1 D - South Bank Avenue")&amp;":"&amp;ADDRESS(130,3+18*1+(2))),'J1 D - South Bank Avenue'!$A$12:$A$130,"&gt;="&amp;Diagram!$O66,'J1 D - South Bank Avenue'!$A$12:$A$130,"&lt;"&amp;Diagram!$P66),SUMIFS(INDIRECT(ADDRESS(12,3+18*1+(10),,,"J1 D - South Bank Avenue")&amp;":"&amp;ADDRESS(130,3+18*1+(10))),'J1 D - South Bank Avenue'!$A$12:$A$130,"&gt;="&amp;Diagram!$O66,'J1 D - South Bank Avenue'!$A$12:$A$130,"&lt;"&amp;Diagram!$P66)))</f>
        <v>0</v>
      </c>
      <c r="BO66" s="42">
        <f ca="1">IF(OR($I$10="",$O66="",$P66="",$J$37&lt;&gt;"Yes"),0,IF($K$10=0,SUMIFS(INDIRECT(ADDRESS(12,3+18*2+(2),,,"J1 D - South Bank Avenue")&amp;":"&amp;ADDRESS(130,3+18*2+(2))),'J1 D - South Bank Avenue'!$A$12:$A$130,"&gt;="&amp;Diagram!$O66,'J1 D - South Bank Avenue'!$A$12:$A$130,"&lt;"&amp;Diagram!$P66),SUMIFS(INDIRECT(ADDRESS(12,3+18*2+(10),,,"J1 D - South Bank Avenue")&amp;":"&amp;ADDRESS(130,3+18*2+(10))),'J1 D - South Bank Avenue'!$A$12:$A$130,"&gt;="&amp;Diagram!$O66,'J1 D - South Bank Avenue'!$A$12:$A$130,"&lt;"&amp;Diagram!$P66)))</f>
        <v>0</v>
      </c>
      <c r="BP66" s="42">
        <f ca="1">IF(OR($I$10="",$O66="",$P66="",$J$37&lt;&gt;"Yes"),0,IF($K$10=0,SUMIFS(INDIRECT(ADDRESS(12,3+18*3+(2),,,"J1 D - South Bank Avenue")&amp;":"&amp;ADDRESS(130,3+18*3+(2))),'J1 D - South Bank Avenue'!$A$12:$A$130,"&gt;="&amp;Diagram!$O66,'J1 D - South Bank Avenue'!$A$12:$A$130,"&lt;"&amp;Diagram!$P66),SUMIFS(INDIRECT(ADDRESS(12,3+18*3+(10),,,"J1 D - South Bank Avenue")&amp;":"&amp;ADDRESS(130,3+18*3+(10))),'J1 D - South Bank Avenue'!$A$12:$A$130,"&gt;="&amp;Diagram!$O66,'J1 D - South Bank Avenue'!$A$12:$A$130,"&lt;"&amp;Diagram!$P66)))</f>
        <v>0</v>
      </c>
      <c r="BQ66" s="42">
        <f t="shared" ref="BQ66:BQ96" ca="1" si="14">SUM($BR66,$BS66,$BT66,$BU66,$BV66,$BW66,$BX66,$BY66,$BZ66,$CA66,$CB66,$CC66,$CD66,$CE66,$CF66,$CG66)</f>
        <v>0</v>
      </c>
      <c r="BR66" s="42">
        <f ca="1">IF(OR($I$10="",$O66="",$P66="",$J$38&lt;&gt;"Yes"),0,IF($K$10=0,SUMIFS(INDIRECT(ADDRESS(12,3+18*3+(3),,,"J1 A - (North) Bishopthorpe Roa")&amp;":"&amp;ADDRESS(130,3+18*3+(3))),'J1 A - (North) Bishopthorpe Roa'!$A$12:$A$130,"&gt;="&amp;Diagram!$O66,'J1 A - (North) Bishopthorpe Roa'!$A$12:$A$130,"&lt;"&amp;Diagram!$P66),SUMIFS(INDIRECT(ADDRESS(12,3+18*3+(11),,,"J1 A - (North) Bishopthorpe Roa")&amp;":"&amp;ADDRESS(130,3+18*3+(11))),'J1 A - (North) Bishopthorpe Roa'!$A$12:$A$130,"&gt;="&amp;Diagram!$O66,'J1 A - (North) Bishopthorpe Roa'!$A$12:$A$130,"&lt;"&amp;Diagram!$P66)))</f>
        <v>0</v>
      </c>
      <c r="BS66" s="42">
        <f ca="1">IF(OR($I$10="",$O66="",$P66="",$J$38&lt;&gt;"Yes"),0,IF($K$10=0,SUMIFS(INDIRECT(ADDRESS(12,3+18*0+(3),,,"J1 A - (North) Bishopthorpe Roa")&amp;":"&amp;ADDRESS(130,3+18*0+(3))),'J1 A - (North) Bishopthorpe Roa'!$A$12:$A$130,"&gt;="&amp;Diagram!$O66,'J1 A - (North) Bishopthorpe Roa'!$A$12:$A$130,"&lt;"&amp;Diagram!$P66),SUMIFS(INDIRECT(ADDRESS(12,3+18*0+(11),,,"J1 A - (North) Bishopthorpe Roa")&amp;":"&amp;ADDRESS(130,3+18*0+(11))),'J1 A - (North) Bishopthorpe Roa'!$A$12:$A$130,"&gt;="&amp;Diagram!$O66,'J1 A - (North) Bishopthorpe Roa'!$A$12:$A$130,"&lt;"&amp;Diagram!$P66)))</f>
        <v>0</v>
      </c>
      <c r="BT66" s="42">
        <f ca="1">IF(OR($I$10="",$O66="",$P66="",$J$38&lt;&gt;"Yes"),0,IF($K$10=0,SUMIFS(INDIRECT(ADDRESS(12,3+18*1+(3),,,"J1 A - (North) Bishopthorpe Roa")&amp;":"&amp;ADDRESS(130,3+18*1+(3))),'J1 A - (North) Bishopthorpe Roa'!$A$12:$A$130,"&gt;="&amp;Diagram!$O66,'J1 A - (North) Bishopthorpe Roa'!$A$12:$A$130,"&lt;"&amp;Diagram!$P66),SUMIFS(INDIRECT(ADDRESS(12,3+18*1+(11),,,"J1 A - (North) Bishopthorpe Roa")&amp;":"&amp;ADDRESS(130,3+18*1+(11))),'J1 A - (North) Bishopthorpe Roa'!$A$12:$A$130,"&gt;="&amp;Diagram!$O66,'J1 A - (North) Bishopthorpe Roa'!$A$12:$A$130,"&lt;"&amp;Diagram!$P66)))</f>
        <v>0</v>
      </c>
      <c r="BU66" s="42">
        <f ca="1">IF(OR($I$10="",$O66="",$P66="",$J$38&lt;&gt;"Yes"),0,IF($K$10=0,SUMIFS(INDIRECT(ADDRESS(12,3+18*2+(3),,,"J1 A - (North) Bishopthorpe Roa")&amp;":"&amp;ADDRESS(130,3+18*2+(3))),'J1 A - (North) Bishopthorpe Roa'!$A$12:$A$130,"&gt;="&amp;Diagram!$O66,'J1 A - (North) Bishopthorpe Roa'!$A$12:$A$130,"&lt;"&amp;Diagram!$P66),SUMIFS(INDIRECT(ADDRESS(12,3+18*2+(11),,,"J1 A - (North) Bishopthorpe Roa")&amp;":"&amp;ADDRESS(130,3+18*2+(11))),'J1 A - (North) Bishopthorpe Roa'!$A$12:$A$130,"&gt;="&amp;Diagram!$O66,'J1 A - (North) Bishopthorpe Roa'!$A$12:$A$130,"&lt;"&amp;Diagram!$P66)))</f>
        <v>0</v>
      </c>
      <c r="BV66" s="42">
        <f ca="1">IF(OR($I$10="",$O66="",$P66="",$J$38&lt;&gt;"Yes"),0,IF($K$10=0,SUMIFS(INDIRECT(ADDRESS(12,3+18*2+(3),,,"J1 B - Butcher Terrace")&amp;":"&amp;ADDRESS(130,3+18*2+(3))),'J1 B - Butcher Terrace'!$A$12:$A$130,"&gt;="&amp;Diagram!$O66,'J1 B - Butcher Terrace'!$A$12:$A$130,"&lt;"&amp;Diagram!$P66),SUMIFS(INDIRECT(ADDRESS(12,3+18*2+(11),,,"J1 B - Butcher Terrace")&amp;":"&amp;ADDRESS(130,3+18*2+(11))),'J1 B - Butcher Terrace'!$A$12:$A$130,"&gt;="&amp;Diagram!$O66,'J1 B - Butcher Terrace'!$A$12:$A$130,"&lt;"&amp;Diagram!$P66)))</f>
        <v>0</v>
      </c>
      <c r="BW66" s="42">
        <f ca="1">IF(OR($I$10="",$O66="",$P66="",$J$38&lt;&gt;"Yes"),0,IF($K$10=0,SUMIFS(INDIRECT(ADDRESS(12,3+18*3+(3),,,"J1 B - Butcher Terrace")&amp;":"&amp;ADDRESS(130,3+18*3+(3))),'J1 B - Butcher Terrace'!$A$12:$A$130,"&gt;="&amp;Diagram!$O66,'J1 B - Butcher Terrace'!$A$12:$A$130,"&lt;"&amp;Diagram!$P66),SUMIFS(INDIRECT(ADDRESS(12,3+18*3+(11),,,"J1 B - Butcher Terrace")&amp;":"&amp;ADDRESS(130,3+18*3+(11))),'J1 B - Butcher Terrace'!$A$12:$A$130,"&gt;="&amp;Diagram!$O66,'J1 B - Butcher Terrace'!$A$12:$A$130,"&lt;"&amp;Diagram!$P66)))</f>
        <v>0</v>
      </c>
      <c r="BX66" s="42">
        <f ca="1">IF(OR($I$10="",$O66="",$P66="",$J$38&lt;&gt;"Yes"),0,IF($K$10=0,SUMIFS(INDIRECT(ADDRESS(12,3+18*0+(3),,,"J1 B - Butcher Terrace")&amp;":"&amp;ADDRESS(130,3+18*0+(3))),'J1 B - Butcher Terrace'!$A$12:$A$130,"&gt;="&amp;Diagram!$O66,'J1 B - Butcher Terrace'!$A$12:$A$130,"&lt;"&amp;Diagram!$P66),SUMIFS(INDIRECT(ADDRESS(12,3+18*0+(11),,,"J1 B - Butcher Terrace")&amp;":"&amp;ADDRESS(130,3+18*0+(11))),'J1 B - Butcher Terrace'!$A$12:$A$130,"&gt;="&amp;Diagram!$O66,'J1 B - Butcher Terrace'!$A$12:$A$130,"&lt;"&amp;Diagram!$P66)))</f>
        <v>0</v>
      </c>
      <c r="BY66" s="42">
        <f ca="1">IF(OR($I$10="",$O66="",$P66="",$J$38&lt;&gt;"Yes"),0,IF($K$10=0,SUMIFS(INDIRECT(ADDRESS(12,3+18*1+(3),,,"J1 B - Butcher Terrace")&amp;":"&amp;ADDRESS(130,3+18*1+(3))),'J1 B - Butcher Terrace'!$A$12:$A$130,"&gt;="&amp;Diagram!$O66,'J1 B - Butcher Terrace'!$A$12:$A$130,"&lt;"&amp;Diagram!$P66),SUMIFS(INDIRECT(ADDRESS(12,3+18*1+(11),,,"J1 B - Butcher Terrace")&amp;":"&amp;ADDRESS(130,3+18*1+(11))),'J1 B - Butcher Terrace'!$A$12:$A$130,"&gt;="&amp;Diagram!$O66,'J1 B - Butcher Terrace'!$A$12:$A$130,"&lt;"&amp;Diagram!$P66)))</f>
        <v>0</v>
      </c>
      <c r="BZ66" s="42">
        <f ca="1">IF(OR($I$10="",$O66="",$P66="",$J$38&lt;&gt;"Yes"),0,IF($K$10=0,SUMIFS(INDIRECT(ADDRESS(12,3+18*1+(3),,,"J1 C - (South) Bishopthorpe Roa")&amp;":"&amp;ADDRESS(130,3+18*1+(3))),'J1 C - (South) Bishopthorpe Roa'!$A$12:$A$130,"&gt;="&amp;Diagram!$O66,'J1 C - (South) Bishopthorpe Roa'!$A$12:$A$130,"&lt;"&amp;Diagram!$P66),SUMIFS(INDIRECT(ADDRESS(12,3+18*1+(11),,,"J1 C - (South) Bishopthorpe Roa")&amp;":"&amp;ADDRESS(130,3+18*1+(11))),'J1 C - (South) Bishopthorpe Roa'!$A$12:$A$130,"&gt;="&amp;Diagram!$O66,'J1 C - (South) Bishopthorpe Roa'!$A$12:$A$130,"&lt;"&amp;Diagram!$P66)))</f>
        <v>0</v>
      </c>
      <c r="CA66" s="42">
        <f ca="1">IF(OR($I$10="",$O66="",$P66="",$J$38&lt;&gt;"Yes"),0,IF($K$10=0,SUMIFS(INDIRECT(ADDRESS(12,3+18*2+(3),,,"J1 C - (South) Bishopthorpe Roa")&amp;":"&amp;ADDRESS(130,3+18*2+(3))),'J1 C - (South) Bishopthorpe Roa'!$A$12:$A$130,"&gt;="&amp;Diagram!$O66,'J1 C - (South) Bishopthorpe Roa'!$A$12:$A$130,"&lt;"&amp;Diagram!$P66),SUMIFS(INDIRECT(ADDRESS(12,3+18*2+(11),,,"J1 C - (South) Bishopthorpe Roa")&amp;":"&amp;ADDRESS(130,3+18*2+(11))),'J1 C - (South) Bishopthorpe Roa'!$A$12:$A$130,"&gt;="&amp;Diagram!$O66,'J1 C - (South) Bishopthorpe Roa'!$A$12:$A$130,"&lt;"&amp;Diagram!$P66)))</f>
        <v>0</v>
      </c>
      <c r="CB66" s="42">
        <f ca="1">IF(OR($I$10="",$O66="",$P66="",$J$38&lt;&gt;"Yes"),0,IF($K$10=0,SUMIFS(INDIRECT(ADDRESS(12,3+18*3+(3),,,"J1 C - (South) Bishopthorpe Roa")&amp;":"&amp;ADDRESS(130,3+18*3+(3))),'J1 C - (South) Bishopthorpe Roa'!$A$12:$A$130,"&gt;="&amp;Diagram!$O66,'J1 C - (South) Bishopthorpe Roa'!$A$12:$A$130,"&lt;"&amp;Diagram!$P66),SUMIFS(INDIRECT(ADDRESS(12,3+18*3+(11),,,"J1 C - (South) Bishopthorpe Roa")&amp;":"&amp;ADDRESS(130,3+18*3+(11))),'J1 C - (South) Bishopthorpe Roa'!$A$12:$A$130,"&gt;="&amp;Diagram!$O66,'J1 C - (South) Bishopthorpe Roa'!$A$12:$A$130,"&lt;"&amp;Diagram!$P66)))</f>
        <v>0</v>
      </c>
      <c r="CC66" s="42">
        <f ca="1">IF(OR($I$10="",$O66="",$P66="",$J$38&lt;&gt;"Yes"),0,IF($K$10=0,SUMIFS(INDIRECT(ADDRESS(12,3+18*0+(3),,,"J1 C - (South) Bishopthorpe Roa")&amp;":"&amp;ADDRESS(130,3+18*0+(3))),'J1 C - (South) Bishopthorpe Roa'!$A$12:$A$130,"&gt;="&amp;Diagram!$O66,'J1 C - (South) Bishopthorpe Roa'!$A$12:$A$130,"&lt;"&amp;Diagram!$P66),SUMIFS(INDIRECT(ADDRESS(12,3+18*0+(11),,,"J1 C - (South) Bishopthorpe Roa")&amp;":"&amp;ADDRESS(130,3+18*0+(11))),'J1 C - (South) Bishopthorpe Roa'!$A$12:$A$130,"&gt;="&amp;Diagram!$O66,'J1 C - (South) Bishopthorpe Roa'!$A$12:$A$130,"&lt;"&amp;Diagram!$P66)))</f>
        <v>0</v>
      </c>
      <c r="CD66" s="42">
        <f ca="1">IF(OR($I$10="",$O66="",$P66="",$J$38&lt;&gt;"Yes"),0,IF($K$10=0,SUMIFS(INDIRECT(ADDRESS(12,3+18*0+(3),,,"J1 D - South Bank Avenue")&amp;":"&amp;ADDRESS(130,3+18*0+(3))),'J1 D - South Bank Avenue'!$A$12:$A$130,"&gt;="&amp;Diagram!$O66,'J1 D - South Bank Avenue'!$A$12:$A$130,"&lt;"&amp;Diagram!$P66),SUMIFS(INDIRECT(ADDRESS(12,3+18*0+(11),,,"J1 D - South Bank Avenue")&amp;":"&amp;ADDRESS(130,3+18*0+(11))),'J1 D - South Bank Avenue'!$A$12:$A$130,"&gt;="&amp;Diagram!$O66,'J1 D - South Bank Avenue'!$A$12:$A$130,"&lt;"&amp;Diagram!$P66)))</f>
        <v>0</v>
      </c>
      <c r="CE66" s="42">
        <f ca="1">IF(OR($I$10="",$O66="",$P66="",$J$38&lt;&gt;"Yes"),0,IF($K$10=0,SUMIFS(INDIRECT(ADDRESS(12,3+18*1+(3),,,"J1 D - South Bank Avenue")&amp;":"&amp;ADDRESS(130,3+18*1+(3))),'J1 D - South Bank Avenue'!$A$12:$A$130,"&gt;="&amp;Diagram!$O66,'J1 D - South Bank Avenue'!$A$12:$A$130,"&lt;"&amp;Diagram!$P66),SUMIFS(INDIRECT(ADDRESS(12,3+18*1+(11),,,"J1 D - South Bank Avenue")&amp;":"&amp;ADDRESS(130,3+18*1+(11))),'J1 D - South Bank Avenue'!$A$12:$A$130,"&gt;="&amp;Diagram!$O66,'J1 D - South Bank Avenue'!$A$12:$A$130,"&lt;"&amp;Diagram!$P66)))</f>
        <v>0</v>
      </c>
      <c r="CF66" s="42">
        <f ca="1">IF(OR($I$10="",$O66="",$P66="",$J$38&lt;&gt;"Yes"),0,IF($K$10=0,SUMIFS(INDIRECT(ADDRESS(12,3+18*2+(3),,,"J1 D - South Bank Avenue")&amp;":"&amp;ADDRESS(130,3+18*2+(3))),'J1 D - South Bank Avenue'!$A$12:$A$130,"&gt;="&amp;Diagram!$O66,'J1 D - South Bank Avenue'!$A$12:$A$130,"&lt;"&amp;Diagram!$P66),SUMIFS(INDIRECT(ADDRESS(12,3+18*2+(11),,,"J1 D - South Bank Avenue")&amp;":"&amp;ADDRESS(130,3+18*2+(11))),'J1 D - South Bank Avenue'!$A$12:$A$130,"&gt;="&amp;Diagram!$O66,'J1 D - South Bank Avenue'!$A$12:$A$130,"&lt;"&amp;Diagram!$P66)))</f>
        <v>0</v>
      </c>
      <c r="CG66" s="42">
        <f ca="1">IF(OR($I$10="",$O66="",$P66="",$J$38&lt;&gt;"Yes"),0,IF($K$10=0,SUMIFS(INDIRECT(ADDRESS(12,3+18*3+(3),,,"J1 D - South Bank Avenue")&amp;":"&amp;ADDRESS(130,3+18*3+(3))),'J1 D - South Bank Avenue'!$A$12:$A$130,"&gt;="&amp;Diagram!$O66,'J1 D - South Bank Avenue'!$A$12:$A$130,"&lt;"&amp;Diagram!$P66),SUMIFS(INDIRECT(ADDRESS(12,3+18*3+(11),,,"J1 D - South Bank Avenue")&amp;":"&amp;ADDRESS(130,3+18*3+(11))),'J1 D - South Bank Avenue'!$A$12:$A$130,"&gt;="&amp;Diagram!$O66,'J1 D - South Bank Avenue'!$A$12:$A$130,"&lt;"&amp;Diagram!$P66)))</f>
        <v>0</v>
      </c>
      <c r="CH66" s="42">
        <f t="shared" ref="CH66:CH96" ca="1" si="15">SUM($CI66,$CJ66,$CK66,$CL66,$CM66,$CN66,$CO66,$CP66,$CQ66,$CR66,$CS66,$CT66,$CU66,$CV66,$CW66,$CX66)</f>
        <v>7</v>
      </c>
      <c r="CI66" s="42">
        <f ca="1">IF(OR($I$10="",$O66="",$P66="",$J$39&lt;&gt;"Yes"),0,IF($K$10=0,SUMIFS(INDIRECT(ADDRESS(12,3+18*3+(4),,,"J1 A - (North) Bishopthorpe Roa")&amp;":"&amp;ADDRESS(130,3+18*3+(4))),'J1 A - (North) Bishopthorpe Roa'!$A$12:$A$130,"&gt;="&amp;Diagram!$O66,'J1 A - (North) Bishopthorpe Roa'!$A$12:$A$130,"&lt;"&amp;Diagram!$P66),SUMIFS(INDIRECT(ADDRESS(12,3+18*3+(12),,,"J1 A - (North) Bishopthorpe Roa")&amp;":"&amp;ADDRESS(130,3+18*3+(12))),'J1 A - (North) Bishopthorpe Roa'!$A$12:$A$130,"&gt;="&amp;Diagram!$O66,'J1 A - (North) Bishopthorpe Roa'!$A$12:$A$130,"&lt;"&amp;Diagram!$P66)))</f>
        <v>0</v>
      </c>
      <c r="CJ66" s="42">
        <f ca="1">IF(OR($I$10="",$O66="",$P66="",$J$39&lt;&gt;"Yes"),0,IF($K$10=0,SUMIFS(INDIRECT(ADDRESS(12,3+18*0+(4),,,"J1 A - (North) Bishopthorpe Roa")&amp;":"&amp;ADDRESS(130,3+18*0+(4))),'J1 A - (North) Bishopthorpe Roa'!$A$12:$A$130,"&gt;="&amp;Diagram!$O66,'J1 A - (North) Bishopthorpe Roa'!$A$12:$A$130,"&lt;"&amp;Diagram!$P66),SUMIFS(INDIRECT(ADDRESS(12,3+18*0+(12),,,"J1 A - (North) Bishopthorpe Roa")&amp;":"&amp;ADDRESS(130,3+18*0+(12))),'J1 A - (North) Bishopthorpe Roa'!$A$12:$A$130,"&gt;="&amp;Diagram!$O66,'J1 A - (North) Bishopthorpe Roa'!$A$12:$A$130,"&lt;"&amp;Diagram!$P66)))</f>
        <v>0</v>
      </c>
      <c r="CK66" s="42">
        <f ca="1">IF(OR($I$10="",$O66="",$P66="",$J$39&lt;&gt;"Yes"),0,IF($K$10=0,SUMIFS(INDIRECT(ADDRESS(12,3+18*1+(4),,,"J1 A - (North) Bishopthorpe Roa")&amp;":"&amp;ADDRESS(130,3+18*1+(4))),'J1 A - (North) Bishopthorpe Roa'!$A$12:$A$130,"&gt;="&amp;Diagram!$O66,'J1 A - (North) Bishopthorpe Roa'!$A$12:$A$130,"&lt;"&amp;Diagram!$P66),SUMIFS(INDIRECT(ADDRESS(12,3+18*1+(12),,,"J1 A - (North) Bishopthorpe Roa")&amp;":"&amp;ADDRESS(130,3+18*1+(12))),'J1 A - (North) Bishopthorpe Roa'!$A$12:$A$130,"&gt;="&amp;Diagram!$O66,'J1 A - (North) Bishopthorpe Roa'!$A$12:$A$130,"&lt;"&amp;Diagram!$P66)))</f>
        <v>3</v>
      </c>
      <c r="CL66" s="42">
        <f ca="1">IF(OR($I$10="",$O66="",$P66="",$J$39&lt;&gt;"Yes"),0,IF($K$10=0,SUMIFS(INDIRECT(ADDRESS(12,3+18*2+(4),,,"J1 A - (North) Bishopthorpe Roa")&amp;":"&amp;ADDRESS(130,3+18*2+(4))),'J1 A - (North) Bishopthorpe Roa'!$A$12:$A$130,"&gt;="&amp;Diagram!$O66,'J1 A - (North) Bishopthorpe Roa'!$A$12:$A$130,"&lt;"&amp;Diagram!$P66),SUMIFS(INDIRECT(ADDRESS(12,3+18*2+(12),,,"J1 A - (North) Bishopthorpe Roa")&amp;":"&amp;ADDRESS(130,3+18*2+(12))),'J1 A - (North) Bishopthorpe Roa'!$A$12:$A$130,"&gt;="&amp;Diagram!$O66,'J1 A - (North) Bishopthorpe Roa'!$A$12:$A$130,"&lt;"&amp;Diagram!$P66)))</f>
        <v>0</v>
      </c>
      <c r="CM66" s="42">
        <f ca="1">IF(OR($I$10="",$O66="",$P66="",$J$39&lt;&gt;"Yes"),0,IF($K$10=0,SUMIFS(INDIRECT(ADDRESS(12,3+18*2+(4),,,"J1 B - Butcher Terrace")&amp;":"&amp;ADDRESS(130,3+18*2+(4))),'J1 B - Butcher Terrace'!$A$12:$A$130,"&gt;="&amp;Diagram!$O66,'J1 B - Butcher Terrace'!$A$12:$A$130,"&lt;"&amp;Diagram!$P66),SUMIFS(INDIRECT(ADDRESS(12,3+18*2+(12),,,"J1 B - Butcher Terrace")&amp;":"&amp;ADDRESS(130,3+18*2+(12))),'J1 B - Butcher Terrace'!$A$12:$A$130,"&gt;="&amp;Diagram!$O66,'J1 B - Butcher Terrace'!$A$12:$A$130,"&lt;"&amp;Diagram!$P66)))</f>
        <v>0</v>
      </c>
      <c r="CN66" s="42">
        <f ca="1">IF(OR($I$10="",$O66="",$P66="",$J$39&lt;&gt;"Yes"),0,IF($K$10=0,SUMIFS(INDIRECT(ADDRESS(12,3+18*3+(4),,,"J1 B - Butcher Terrace")&amp;":"&amp;ADDRESS(130,3+18*3+(4))),'J1 B - Butcher Terrace'!$A$12:$A$130,"&gt;="&amp;Diagram!$O66,'J1 B - Butcher Terrace'!$A$12:$A$130,"&lt;"&amp;Diagram!$P66),SUMIFS(INDIRECT(ADDRESS(12,3+18*3+(12),,,"J1 B - Butcher Terrace")&amp;":"&amp;ADDRESS(130,3+18*3+(12))),'J1 B - Butcher Terrace'!$A$12:$A$130,"&gt;="&amp;Diagram!$O66,'J1 B - Butcher Terrace'!$A$12:$A$130,"&lt;"&amp;Diagram!$P66)))</f>
        <v>0</v>
      </c>
      <c r="CO66" s="42">
        <f ca="1">IF(OR($I$10="",$O66="",$P66="",$J$39&lt;&gt;"Yes"),0,IF($K$10=0,SUMIFS(INDIRECT(ADDRESS(12,3+18*0+(4),,,"J1 B - Butcher Terrace")&amp;":"&amp;ADDRESS(130,3+18*0+(4))),'J1 B - Butcher Terrace'!$A$12:$A$130,"&gt;="&amp;Diagram!$O66,'J1 B - Butcher Terrace'!$A$12:$A$130,"&lt;"&amp;Diagram!$P66),SUMIFS(INDIRECT(ADDRESS(12,3+18*0+(12),,,"J1 B - Butcher Terrace")&amp;":"&amp;ADDRESS(130,3+18*0+(12))),'J1 B - Butcher Terrace'!$A$12:$A$130,"&gt;="&amp;Diagram!$O66,'J1 B - Butcher Terrace'!$A$12:$A$130,"&lt;"&amp;Diagram!$P66)))</f>
        <v>0</v>
      </c>
      <c r="CP66" s="42">
        <f ca="1">IF(OR($I$10="",$O66="",$P66="",$J$39&lt;&gt;"Yes"),0,IF($K$10=0,SUMIFS(INDIRECT(ADDRESS(12,3+18*1+(4),,,"J1 B - Butcher Terrace")&amp;":"&amp;ADDRESS(130,3+18*1+(4))),'J1 B - Butcher Terrace'!$A$12:$A$130,"&gt;="&amp;Diagram!$O66,'J1 B - Butcher Terrace'!$A$12:$A$130,"&lt;"&amp;Diagram!$P66),SUMIFS(INDIRECT(ADDRESS(12,3+18*1+(12),,,"J1 B - Butcher Terrace")&amp;":"&amp;ADDRESS(130,3+18*1+(12))),'J1 B - Butcher Terrace'!$A$12:$A$130,"&gt;="&amp;Diagram!$O66,'J1 B - Butcher Terrace'!$A$12:$A$130,"&lt;"&amp;Diagram!$P66)))</f>
        <v>0</v>
      </c>
      <c r="CQ66" s="42">
        <f ca="1">IF(OR($I$10="",$O66="",$P66="",$J$39&lt;&gt;"Yes"),0,IF($K$10=0,SUMIFS(INDIRECT(ADDRESS(12,3+18*1+(4),,,"J1 C - (South) Bishopthorpe Roa")&amp;":"&amp;ADDRESS(130,3+18*1+(4))),'J1 C - (South) Bishopthorpe Roa'!$A$12:$A$130,"&gt;="&amp;Diagram!$O66,'J1 C - (South) Bishopthorpe Roa'!$A$12:$A$130,"&lt;"&amp;Diagram!$P66),SUMIFS(INDIRECT(ADDRESS(12,3+18*1+(12),,,"J1 C - (South) Bishopthorpe Roa")&amp;":"&amp;ADDRESS(130,3+18*1+(12))),'J1 C - (South) Bishopthorpe Roa'!$A$12:$A$130,"&gt;="&amp;Diagram!$O66,'J1 C - (South) Bishopthorpe Roa'!$A$12:$A$130,"&lt;"&amp;Diagram!$P66)))</f>
        <v>4</v>
      </c>
      <c r="CR66" s="42">
        <f ca="1">IF(OR($I$10="",$O66="",$P66="",$J$39&lt;&gt;"Yes"),0,IF($K$10=0,SUMIFS(INDIRECT(ADDRESS(12,3+18*2+(4),,,"J1 C - (South) Bishopthorpe Roa")&amp;":"&amp;ADDRESS(130,3+18*2+(4))),'J1 C - (South) Bishopthorpe Roa'!$A$12:$A$130,"&gt;="&amp;Diagram!$O66,'J1 C - (South) Bishopthorpe Roa'!$A$12:$A$130,"&lt;"&amp;Diagram!$P66),SUMIFS(INDIRECT(ADDRESS(12,3+18*2+(12),,,"J1 C - (South) Bishopthorpe Roa")&amp;":"&amp;ADDRESS(130,3+18*2+(12))),'J1 C - (South) Bishopthorpe Roa'!$A$12:$A$130,"&gt;="&amp;Diagram!$O66,'J1 C - (South) Bishopthorpe Roa'!$A$12:$A$130,"&lt;"&amp;Diagram!$P66)))</f>
        <v>0</v>
      </c>
      <c r="CS66" s="42">
        <f ca="1">IF(OR($I$10="",$O66="",$P66="",$J$39&lt;&gt;"Yes"),0,IF($K$10=0,SUMIFS(INDIRECT(ADDRESS(12,3+18*3+(4),,,"J1 C - (South) Bishopthorpe Roa")&amp;":"&amp;ADDRESS(130,3+18*3+(4))),'J1 C - (South) Bishopthorpe Roa'!$A$12:$A$130,"&gt;="&amp;Diagram!$O66,'J1 C - (South) Bishopthorpe Roa'!$A$12:$A$130,"&lt;"&amp;Diagram!$P66),SUMIFS(INDIRECT(ADDRESS(12,3+18*3+(12),,,"J1 C - (South) Bishopthorpe Roa")&amp;":"&amp;ADDRESS(130,3+18*3+(12))),'J1 C - (South) Bishopthorpe Roa'!$A$12:$A$130,"&gt;="&amp;Diagram!$O66,'J1 C - (South) Bishopthorpe Roa'!$A$12:$A$130,"&lt;"&amp;Diagram!$P66)))</f>
        <v>0</v>
      </c>
      <c r="CT66" s="42">
        <f ca="1">IF(OR($I$10="",$O66="",$P66="",$J$39&lt;&gt;"Yes"),0,IF($K$10=0,SUMIFS(INDIRECT(ADDRESS(12,3+18*0+(4),,,"J1 C - (South) Bishopthorpe Roa")&amp;":"&amp;ADDRESS(130,3+18*0+(4))),'J1 C - (South) Bishopthorpe Roa'!$A$12:$A$130,"&gt;="&amp;Diagram!$O66,'J1 C - (South) Bishopthorpe Roa'!$A$12:$A$130,"&lt;"&amp;Diagram!$P66),SUMIFS(INDIRECT(ADDRESS(12,3+18*0+(12),,,"J1 C - (South) Bishopthorpe Roa")&amp;":"&amp;ADDRESS(130,3+18*0+(12))),'J1 C - (South) Bishopthorpe Roa'!$A$12:$A$130,"&gt;="&amp;Diagram!$O66,'J1 C - (South) Bishopthorpe Roa'!$A$12:$A$130,"&lt;"&amp;Diagram!$P66)))</f>
        <v>0</v>
      </c>
      <c r="CU66" s="42">
        <f ca="1">IF(OR($I$10="",$O66="",$P66="",$J$39&lt;&gt;"Yes"),0,IF($K$10=0,SUMIFS(INDIRECT(ADDRESS(12,3+18*0+(4),,,"J1 D - South Bank Avenue")&amp;":"&amp;ADDRESS(130,3+18*0+(4))),'J1 D - South Bank Avenue'!$A$12:$A$130,"&gt;="&amp;Diagram!$O66,'J1 D - South Bank Avenue'!$A$12:$A$130,"&lt;"&amp;Diagram!$P66),SUMIFS(INDIRECT(ADDRESS(12,3+18*0+(12),,,"J1 D - South Bank Avenue")&amp;":"&amp;ADDRESS(130,3+18*0+(12))),'J1 D - South Bank Avenue'!$A$12:$A$130,"&gt;="&amp;Diagram!$O66,'J1 D - South Bank Avenue'!$A$12:$A$130,"&lt;"&amp;Diagram!$P66)))</f>
        <v>0</v>
      </c>
      <c r="CV66" s="42">
        <f ca="1">IF(OR($I$10="",$O66="",$P66="",$J$39&lt;&gt;"Yes"),0,IF($K$10=0,SUMIFS(INDIRECT(ADDRESS(12,3+18*1+(4),,,"J1 D - South Bank Avenue")&amp;":"&amp;ADDRESS(130,3+18*1+(4))),'J1 D - South Bank Avenue'!$A$12:$A$130,"&gt;="&amp;Diagram!$O66,'J1 D - South Bank Avenue'!$A$12:$A$130,"&lt;"&amp;Diagram!$P66),SUMIFS(INDIRECT(ADDRESS(12,3+18*1+(12),,,"J1 D - South Bank Avenue")&amp;":"&amp;ADDRESS(130,3+18*1+(12))),'J1 D - South Bank Avenue'!$A$12:$A$130,"&gt;="&amp;Diagram!$O66,'J1 D - South Bank Avenue'!$A$12:$A$130,"&lt;"&amp;Diagram!$P66)))</f>
        <v>0</v>
      </c>
      <c r="CW66" s="42">
        <f ca="1">IF(OR($I$10="",$O66="",$P66="",$J$39&lt;&gt;"Yes"),0,IF($K$10=0,SUMIFS(INDIRECT(ADDRESS(12,3+18*2+(4),,,"J1 D - South Bank Avenue")&amp;":"&amp;ADDRESS(130,3+18*2+(4))),'J1 D - South Bank Avenue'!$A$12:$A$130,"&gt;="&amp;Diagram!$O66,'J1 D - South Bank Avenue'!$A$12:$A$130,"&lt;"&amp;Diagram!$P66),SUMIFS(INDIRECT(ADDRESS(12,3+18*2+(12),,,"J1 D - South Bank Avenue")&amp;":"&amp;ADDRESS(130,3+18*2+(12))),'J1 D - South Bank Avenue'!$A$12:$A$130,"&gt;="&amp;Diagram!$O66,'J1 D - South Bank Avenue'!$A$12:$A$130,"&lt;"&amp;Diagram!$P66)))</f>
        <v>0</v>
      </c>
      <c r="CX66" s="42">
        <f ca="1">IF(OR($I$10="",$O66="",$P66="",$J$39&lt;&gt;"Yes"),0,IF($K$10=0,SUMIFS(INDIRECT(ADDRESS(12,3+18*3+(4),,,"J1 D - South Bank Avenue")&amp;":"&amp;ADDRESS(130,3+18*3+(4))),'J1 D - South Bank Avenue'!$A$12:$A$130,"&gt;="&amp;Diagram!$O66,'J1 D - South Bank Avenue'!$A$12:$A$130,"&lt;"&amp;Diagram!$P66),SUMIFS(INDIRECT(ADDRESS(12,3+18*3+(12),,,"J1 D - South Bank Avenue")&amp;":"&amp;ADDRESS(130,3+18*3+(12))),'J1 D - South Bank Avenue'!$A$12:$A$130,"&gt;="&amp;Diagram!$O66,'J1 D - South Bank Avenue'!$A$12:$A$130,"&lt;"&amp;Diagram!$P66)))</f>
        <v>0</v>
      </c>
      <c r="CY66" s="42">
        <f t="shared" ref="CY66:CY96" ca="1" si="16">SUM($CZ66,$DA66,$DB66,$DC66,$DD66,$DE66,$DF66,$DG66,$DH66,$DI66,$DJ66,$DK66,$DL66,$DM66,$DN66,$DO66)</f>
        <v>144</v>
      </c>
      <c r="CZ66" s="42">
        <f ca="1">IF(OR($I$10="",$O66="",$P66="",$J$40&lt;&gt;"Yes"),0,IF($K$10=0,SUMIFS(INDIRECT(ADDRESS(12,3+18*3+(5),,,"J1 A - (North) Bishopthorpe Roa")&amp;":"&amp;ADDRESS(130,3+18*3+(5))),'J1 A - (North) Bishopthorpe Roa'!$A$12:$A$130,"&gt;="&amp;Diagram!$O66,'J1 A - (North) Bishopthorpe Roa'!$A$12:$A$130,"&lt;"&amp;Diagram!$P66),SUMIFS(INDIRECT(ADDRESS(12,3+18*3+(13),,,"J1 A - (North) Bishopthorpe Roa")&amp;":"&amp;ADDRESS(130,3+18*3+(13))),'J1 A - (North) Bishopthorpe Roa'!$A$12:$A$130,"&gt;="&amp;Diagram!$O66,'J1 A - (North) Bishopthorpe Roa'!$A$12:$A$130,"&lt;"&amp;Diagram!$P66)))</f>
        <v>0</v>
      </c>
      <c r="DA66" s="42">
        <f ca="1">IF(OR($I$10="",$O66="",$P66="",$J$40&lt;&gt;"Yes"),0,IF($K$10=0,SUMIFS(INDIRECT(ADDRESS(12,3+18*0+(5),,,"J1 A - (North) Bishopthorpe Roa")&amp;":"&amp;ADDRESS(130,3+18*0+(5))),'J1 A - (North) Bishopthorpe Roa'!$A$12:$A$130,"&gt;="&amp;Diagram!$O66,'J1 A - (North) Bishopthorpe Roa'!$A$12:$A$130,"&lt;"&amp;Diagram!$P66),SUMIFS(INDIRECT(ADDRESS(12,3+18*0+(13),,,"J1 A - (North) Bishopthorpe Roa")&amp;":"&amp;ADDRESS(130,3+18*0+(13))),'J1 A - (North) Bishopthorpe Roa'!$A$12:$A$130,"&gt;="&amp;Diagram!$O66,'J1 A - (North) Bishopthorpe Roa'!$A$12:$A$130,"&lt;"&amp;Diagram!$P66)))</f>
        <v>12</v>
      </c>
      <c r="DB66" s="42">
        <f ca="1">IF(OR($I$10="",$O66="",$P66="",$J$40&lt;&gt;"Yes"),0,IF($K$10=0,SUMIFS(INDIRECT(ADDRESS(12,3+18*1+(5),,,"J1 A - (North) Bishopthorpe Roa")&amp;":"&amp;ADDRESS(130,3+18*1+(5))),'J1 A - (North) Bishopthorpe Roa'!$A$12:$A$130,"&gt;="&amp;Diagram!$O66,'J1 A - (North) Bishopthorpe Roa'!$A$12:$A$130,"&lt;"&amp;Diagram!$P66),SUMIFS(INDIRECT(ADDRESS(12,3+18*1+(13),,,"J1 A - (North) Bishopthorpe Roa")&amp;":"&amp;ADDRESS(130,3+18*1+(13))),'J1 A - (North) Bishopthorpe Roa'!$A$12:$A$130,"&gt;="&amp;Diagram!$O66,'J1 A - (North) Bishopthorpe Roa'!$A$12:$A$130,"&lt;"&amp;Diagram!$P66)))</f>
        <v>20</v>
      </c>
      <c r="DC66" s="42">
        <f ca="1">IF(OR($I$10="",$O66="",$P66="",$J$40&lt;&gt;"Yes"),0,IF($K$10=0,SUMIFS(INDIRECT(ADDRESS(12,3+18*2+(5),,,"J1 A - (North) Bishopthorpe Roa")&amp;":"&amp;ADDRESS(130,3+18*2+(5))),'J1 A - (North) Bishopthorpe Roa'!$A$12:$A$130,"&gt;="&amp;Diagram!$O66,'J1 A - (North) Bishopthorpe Roa'!$A$12:$A$130,"&lt;"&amp;Diagram!$P66),SUMIFS(INDIRECT(ADDRESS(12,3+18*2+(13),,,"J1 A - (North) Bishopthorpe Roa")&amp;":"&amp;ADDRESS(130,3+18*2+(13))),'J1 A - (North) Bishopthorpe Roa'!$A$12:$A$130,"&gt;="&amp;Diagram!$O66,'J1 A - (North) Bishopthorpe Roa'!$A$12:$A$130,"&lt;"&amp;Diagram!$P66)))</f>
        <v>4</v>
      </c>
      <c r="DD66" s="42">
        <f ca="1">IF(OR($I$10="",$O66="",$P66="",$J$40&lt;&gt;"Yes"),0,IF($K$10=0,SUMIFS(INDIRECT(ADDRESS(12,3+18*2+(5),,,"J1 B - Butcher Terrace")&amp;":"&amp;ADDRESS(130,3+18*2+(5))),'J1 B - Butcher Terrace'!$A$12:$A$130,"&gt;="&amp;Diagram!$O66,'J1 B - Butcher Terrace'!$A$12:$A$130,"&lt;"&amp;Diagram!$P66),SUMIFS(INDIRECT(ADDRESS(12,3+18*2+(13),,,"J1 B - Butcher Terrace")&amp;":"&amp;ADDRESS(130,3+18*2+(13))),'J1 B - Butcher Terrace'!$A$12:$A$130,"&gt;="&amp;Diagram!$O66,'J1 B - Butcher Terrace'!$A$12:$A$130,"&lt;"&amp;Diagram!$P66)))</f>
        <v>7</v>
      </c>
      <c r="DE66" s="42">
        <f ca="1">IF(OR($I$10="",$O66="",$P66="",$J$40&lt;&gt;"Yes"),0,IF($K$10=0,SUMIFS(INDIRECT(ADDRESS(12,3+18*3+(5),,,"J1 B - Butcher Terrace")&amp;":"&amp;ADDRESS(130,3+18*3+(5))),'J1 B - Butcher Terrace'!$A$12:$A$130,"&gt;="&amp;Diagram!$O66,'J1 B - Butcher Terrace'!$A$12:$A$130,"&lt;"&amp;Diagram!$P66),SUMIFS(INDIRECT(ADDRESS(12,3+18*3+(13),,,"J1 B - Butcher Terrace")&amp;":"&amp;ADDRESS(130,3+18*3+(13))),'J1 B - Butcher Terrace'!$A$12:$A$130,"&gt;="&amp;Diagram!$O66,'J1 B - Butcher Terrace'!$A$12:$A$130,"&lt;"&amp;Diagram!$P66)))</f>
        <v>0</v>
      </c>
      <c r="DF66" s="42">
        <f ca="1">IF(OR($I$10="",$O66="",$P66="",$J$40&lt;&gt;"Yes"),0,IF($K$10=0,SUMIFS(INDIRECT(ADDRESS(12,3+18*0+(5),,,"J1 B - Butcher Terrace")&amp;":"&amp;ADDRESS(130,3+18*0+(5))),'J1 B - Butcher Terrace'!$A$12:$A$130,"&gt;="&amp;Diagram!$O66,'J1 B - Butcher Terrace'!$A$12:$A$130,"&lt;"&amp;Diagram!$P66),SUMIFS(INDIRECT(ADDRESS(12,3+18*0+(13),,,"J1 B - Butcher Terrace")&amp;":"&amp;ADDRESS(130,3+18*0+(13))),'J1 B - Butcher Terrace'!$A$12:$A$130,"&gt;="&amp;Diagram!$O66,'J1 B - Butcher Terrace'!$A$12:$A$130,"&lt;"&amp;Diagram!$P66)))</f>
        <v>4</v>
      </c>
      <c r="DG66" s="42">
        <f ca="1">IF(OR($I$10="",$O66="",$P66="",$J$40&lt;&gt;"Yes"),0,IF($K$10=0,SUMIFS(INDIRECT(ADDRESS(12,3+18*1+(5),,,"J1 B - Butcher Terrace")&amp;":"&amp;ADDRESS(130,3+18*1+(5))),'J1 B - Butcher Terrace'!$A$12:$A$130,"&gt;="&amp;Diagram!$O66,'J1 B - Butcher Terrace'!$A$12:$A$130,"&lt;"&amp;Diagram!$P66),SUMIFS(INDIRECT(ADDRESS(12,3+18*1+(13),,,"J1 B - Butcher Terrace")&amp;":"&amp;ADDRESS(130,3+18*1+(13))),'J1 B - Butcher Terrace'!$A$12:$A$130,"&gt;="&amp;Diagram!$O66,'J1 B - Butcher Terrace'!$A$12:$A$130,"&lt;"&amp;Diagram!$P66)))</f>
        <v>45</v>
      </c>
      <c r="DH66" s="42">
        <f ca="1">IF(OR($I$10="",$O66="",$P66="",$J$40&lt;&gt;"Yes"),0,IF($K$10=0,SUMIFS(INDIRECT(ADDRESS(12,3+18*1+(5),,,"J1 C - (South) Bishopthorpe Roa")&amp;":"&amp;ADDRESS(130,3+18*1+(5))),'J1 C - (South) Bishopthorpe Roa'!$A$12:$A$130,"&gt;="&amp;Diagram!$O66,'J1 C - (South) Bishopthorpe Roa'!$A$12:$A$130,"&lt;"&amp;Diagram!$P66),SUMIFS(INDIRECT(ADDRESS(12,3+18*1+(13),,,"J1 C - (South) Bishopthorpe Roa")&amp;":"&amp;ADDRESS(130,3+18*1+(13))),'J1 C - (South) Bishopthorpe Roa'!$A$12:$A$130,"&gt;="&amp;Diagram!$O66,'J1 C - (South) Bishopthorpe Roa'!$A$12:$A$130,"&lt;"&amp;Diagram!$P66)))</f>
        <v>17</v>
      </c>
      <c r="DI66" s="42">
        <f ca="1">IF(OR($I$10="",$O66="",$P66="",$J$40&lt;&gt;"Yes"),0,IF($K$10=0,SUMIFS(INDIRECT(ADDRESS(12,3+18*2+(5),,,"J1 C - (South) Bishopthorpe Roa")&amp;":"&amp;ADDRESS(130,3+18*2+(5))),'J1 C - (South) Bishopthorpe Roa'!$A$12:$A$130,"&gt;="&amp;Diagram!$O66,'J1 C - (South) Bishopthorpe Roa'!$A$12:$A$130,"&lt;"&amp;Diagram!$P66),SUMIFS(INDIRECT(ADDRESS(12,3+18*2+(13),,,"J1 C - (South) Bishopthorpe Roa")&amp;":"&amp;ADDRESS(130,3+18*2+(13))),'J1 C - (South) Bishopthorpe Roa'!$A$12:$A$130,"&gt;="&amp;Diagram!$O66,'J1 C - (South) Bishopthorpe Roa'!$A$12:$A$130,"&lt;"&amp;Diagram!$P66)))</f>
        <v>7</v>
      </c>
      <c r="DJ66" s="42">
        <f ca="1">IF(OR($I$10="",$O66="",$P66="",$J$40&lt;&gt;"Yes"),0,IF($K$10=0,SUMIFS(INDIRECT(ADDRESS(12,3+18*3+(5),,,"J1 C - (South) Bishopthorpe Roa")&amp;":"&amp;ADDRESS(130,3+18*3+(5))),'J1 C - (South) Bishopthorpe Roa'!$A$12:$A$130,"&gt;="&amp;Diagram!$O66,'J1 C - (South) Bishopthorpe Roa'!$A$12:$A$130,"&lt;"&amp;Diagram!$P66),SUMIFS(INDIRECT(ADDRESS(12,3+18*3+(13),,,"J1 C - (South) Bishopthorpe Roa")&amp;":"&amp;ADDRESS(130,3+18*3+(13))),'J1 C - (South) Bishopthorpe Roa'!$A$12:$A$130,"&gt;="&amp;Diagram!$O66,'J1 C - (South) Bishopthorpe Roa'!$A$12:$A$130,"&lt;"&amp;Diagram!$P66)))</f>
        <v>0</v>
      </c>
      <c r="DK66" s="42">
        <f ca="1">IF(OR($I$10="",$O66="",$P66="",$J$40&lt;&gt;"Yes"),0,IF($K$10=0,SUMIFS(INDIRECT(ADDRESS(12,3+18*0+(5),,,"J1 C - (South) Bishopthorpe Roa")&amp;":"&amp;ADDRESS(130,3+18*0+(5))),'J1 C - (South) Bishopthorpe Roa'!$A$12:$A$130,"&gt;="&amp;Diagram!$O66,'J1 C - (South) Bishopthorpe Roa'!$A$12:$A$130,"&lt;"&amp;Diagram!$P66),SUMIFS(INDIRECT(ADDRESS(12,3+18*0+(13),,,"J1 C - (South) Bishopthorpe Roa")&amp;":"&amp;ADDRESS(130,3+18*0+(13))),'J1 C - (South) Bishopthorpe Roa'!$A$12:$A$130,"&gt;="&amp;Diagram!$O66,'J1 C - (South) Bishopthorpe Roa'!$A$12:$A$130,"&lt;"&amp;Diagram!$P66)))</f>
        <v>2</v>
      </c>
      <c r="DL66" s="42">
        <f ca="1">IF(OR($I$10="",$O66="",$P66="",$J$40&lt;&gt;"Yes"),0,IF($K$10=0,SUMIFS(INDIRECT(ADDRESS(12,3+18*0+(5),,,"J1 D - South Bank Avenue")&amp;":"&amp;ADDRESS(130,3+18*0+(5))),'J1 D - South Bank Avenue'!$A$12:$A$130,"&gt;="&amp;Diagram!$O66,'J1 D - South Bank Avenue'!$A$12:$A$130,"&lt;"&amp;Diagram!$P66),SUMIFS(INDIRECT(ADDRESS(12,3+18*0+(13),,,"J1 D - South Bank Avenue")&amp;":"&amp;ADDRESS(130,3+18*0+(13))),'J1 D - South Bank Avenue'!$A$12:$A$130,"&gt;="&amp;Diagram!$O66,'J1 D - South Bank Avenue'!$A$12:$A$130,"&lt;"&amp;Diagram!$P66)))</f>
        <v>5</v>
      </c>
      <c r="DM66" s="42">
        <f ca="1">IF(OR($I$10="",$O66="",$P66="",$J$40&lt;&gt;"Yes"),0,IF($K$10=0,SUMIFS(INDIRECT(ADDRESS(12,3+18*1+(5),,,"J1 D - South Bank Avenue")&amp;":"&amp;ADDRESS(130,3+18*1+(5))),'J1 D - South Bank Avenue'!$A$12:$A$130,"&gt;="&amp;Diagram!$O66,'J1 D - South Bank Avenue'!$A$12:$A$130,"&lt;"&amp;Diagram!$P66),SUMIFS(INDIRECT(ADDRESS(12,3+18*1+(13),,,"J1 D - South Bank Avenue")&amp;":"&amp;ADDRESS(130,3+18*1+(13))),'J1 D - South Bank Avenue'!$A$12:$A$130,"&gt;="&amp;Diagram!$O66,'J1 D - South Bank Avenue'!$A$12:$A$130,"&lt;"&amp;Diagram!$P66)))</f>
        <v>20</v>
      </c>
      <c r="DN66" s="42">
        <f ca="1">IF(OR($I$10="",$O66="",$P66="",$J$40&lt;&gt;"Yes"),0,IF($K$10=0,SUMIFS(INDIRECT(ADDRESS(12,3+18*2+(5),,,"J1 D - South Bank Avenue")&amp;":"&amp;ADDRESS(130,3+18*2+(5))),'J1 D - South Bank Avenue'!$A$12:$A$130,"&gt;="&amp;Diagram!$O66,'J1 D - South Bank Avenue'!$A$12:$A$130,"&lt;"&amp;Diagram!$P66),SUMIFS(INDIRECT(ADDRESS(12,3+18*2+(13),,,"J1 D - South Bank Avenue")&amp;":"&amp;ADDRESS(130,3+18*2+(13))),'J1 D - South Bank Avenue'!$A$12:$A$130,"&gt;="&amp;Diagram!$O66,'J1 D - South Bank Avenue'!$A$12:$A$130,"&lt;"&amp;Diagram!$P66)))</f>
        <v>1</v>
      </c>
      <c r="DO66" s="42">
        <f ca="1">IF(OR($I$10="",$O66="",$P66="",$J$40&lt;&gt;"Yes"),0,IF($K$10=0,SUMIFS(INDIRECT(ADDRESS(12,3+18*3+(5),,,"J1 D - South Bank Avenue")&amp;":"&amp;ADDRESS(130,3+18*3+(5))),'J1 D - South Bank Avenue'!$A$12:$A$130,"&gt;="&amp;Diagram!$O66,'J1 D - South Bank Avenue'!$A$12:$A$130,"&lt;"&amp;Diagram!$P66),SUMIFS(INDIRECT(ADDRESS(12,3+18*3+(13),,,"J1 D - South Bank Avenue")&amp;":"&amp;ADDRESS(130,3+18*3+(13))),'J1 D - South Bank Avenue'!$A$12:$A$130,"&gt;="&amp;Diagram!$O66,'J1 D - South Bank Avenue'!$A$12:$A$130,"&lt;"&amp;Diagram!$P66)))</f>
        <v>0</v>
      </c>
      <c r="DP66" s="42">
        <f t="shared" ref="DP66:DP96" ca="1" si="17">SUM($DQ66,$DR66,$DS66,$DT66,$DU66,$DV66,$DW66,$DX66,$DY66,$DZ66,$EA66,$EB66,$EC66,$ED66,$EE66,$EF66)</f>
        <v>5</v>
      </c>
      <c r="DQ66" s="42">
        <f ca="1">IF(OR($I$10="",$O66="",$P66="",$J$41&lt;&gt;"Yes"),0,IF($K$10=0,SUMIFS(INDIRECT(ADDRESS(12,3+18*3+(6),,,"J1 A - (North) Bishopthorpe Roa")&amp;":"&amp;ADDRESS(130,3+18*3+(6))),'J1 A - (North) Bishopthorpe Roa'!$A$12:$A$130,"&gt;="&amp;Diagram!$O66,'J1 A - (North) Bishopthorpe Roa'!$A$12:$A$130,"&lt;"&amp;Diagram!$P66),SUMIFS(INDIRECT(ADDRESS(12,3+18*3+(14),,,"J1 A - (North) Bishopthorpe Roa")&amp;":"&amp;ADDRESS(130,3+18*3+(14))),'J1 A - (North) Bishopthorpe Roa'!$A$12:$A$130,"&gt;="&amp;Diagram!$O66,'J1 A - (North) Bishopthorpe Roa'!$A$12:$A$130,"&lt;"&amp;Diagram!$P66)))</f>
        <v>0</v>
      </c>
      <c r="DR66" s="42">
        <f ca="1">IF(OR($I$10="",$O66="",$P66="",$J$41&lt;&gt;"Yes"),0,IF($K$10=0,SUMIFS(INDIRECT(ADDRESS(12,3+18*0+(6),,,"J1 A - (North) Bishopthorpe Roa")&amp;":"&amp;ADDRESS(130,3+18*0+(6))),'J1 A - (North) Bishopthorpe Roa'!$A$12:$A$130,"&gt;="&amp;Diagram!$O66,'J1 A - (North) Bishopthorpe Roa'!$A$12:$A$130,"&lt;"&amp;Diagram!$P66),SUMIFS(INDIRECT(ADDRESS(12,3+18*0+(14),,,"J1 A - (North) Bishopthorpe Roa")&amp;":"&amp;ADDRESS(130,3+18*0+(14))),'J1 A - (North) Bishopthorpe Roa'!$A$12:$A$130,"&gt;="&amp;Diagram!$O66,'J1 A - (North) Bishopthorpe Roa'!$A$12:$A$130,"&lt;"&amp;Diagram!$P66)))</f>
        <v>0</v>
      </c>
      <c r="DS66" s="42">
        <f ca="1">IF(OR($I$10="",$O66="",$P66="",$J$41&lt;&gt;"Yes"),0,IF($K$10=0,SUMIFS(INDIRECT(ADDRESS(12,3+18*1+(6),,,"J1 A - (North) Bishopthorpe Roa")&amp;":"&amp;ADDRESS(130,3+18*1+(6))),'J1 A - (North) Bishopthorpe Roa'!$A$12:$A$130,"&gt;="&amp;Diagram!$O66,'J1 A - (North) Bishopthorpe Roa'!$A$12:$A$130,"&lt;"&amp;Diagram!$P66),SUMIFS(INDIRECT(ADDRESS(12,3+18*1+(14),,,"J1 A - (North) Bishopthorpe Roa")&amp;":"&amp;ADDRESS(130,3+18*1+(14))),'J1 A - (North) Bishopthorpe Roa'!$A$12:$A$130,"&gt;="&amp;Diagram!$O66,'J1 A - (North) Bishopthorpe Roa'!$A$12:$A$130,"&lt;"&amp;Diagram!$P66)))</f>
        <v>2</v>
      </c>
      <c r="DT66" s="42">
        <f ca="1">IF(OR($I$10="",$O66="",$P66="",$J$41&lt;&gt;"Yes"),0,IF($K$10=0,SUMIFS(INDIRECT(ADDRESS(12,3+18*2+(6),,,"J1 A - (North) Bishopthorpe Roa")&amp;":"&amp;ADDRESS(130,3+18*2+(6))),'J1 A - (North) Bishopthorpe Roa'!$A$12:$A$130,"&gt;="&amp;Diagram!$O66,'J1 A - (North) Bishopthorpe Roa'!$A$12:$A$130,"&lt;"&amp;Diagram!$P66),SUMIFS(INDIRECT(ADDRESS(12,3+18*2+(14),,,"J1 A - (North) Bishopthorpe Roa")&amp;":"&amp;ADDRESS(130,3+18*2+(14))),'J1 A - (North) Bishopthorpe Roa'!$A$12:$A$130,"&gt;="&amp;Diagram!$O66,'J1 A - (North) Bishopthorpe Roa'!$A$12:$A$130,"&lt;"&amp;Diagram!$P66)))</f>
        <v>0</v>
      </c>
      <c r="DU66" s="42">
        <f ca="1">IF(OR($I$10="",$O66="",$P66="",$J$41&lt;&gt;"Yes"),0,IF($K$10=0,SUMIFS(INDIRECT(ADDRESS(12,3+18*2+(6),,,"J1 B - Butcher Terrace")&amp;":"&amp;ADDRESS(130,3+18*2+(6))),'J1 B - Butcher Terrace'!$A$12:$A$130,"&gt;="&amp;Diagram!$O66,'J1 B - Butcher Terrace'!$A$12:$A$130,"&lt;"&amp;Diagram!$P66),SUMIFS(INDIRECT(ADDRESS(12,3+18*2+(14),,,"J1 B - Butcher Terrace")&amp;":"&amp;ADDRESS(130,3+18*2+(14))),'J1 B - Butcher Terrace'!$A$12:$A$130,"&gt;="&amp;Diagram!$O66,'J1 B - Butcher Terrace'!$A$12:$A$130,"&lt;"&amp;Diagram!$P66)))</f>
        <v>0</v>
      </c>
      <c r="DV66" s="42">
        <f ca="1">IF(OR($I$10="",$O66="",$P66="",$J$41&lt;&gt;"Yes"),0,IF($K$10=0,SUMIFS(INDIRECT(ADDRESS(12,3+18*3+(6),,,"J1 B - Butcher Terrace")&amp;":"&amp;ADDRESS(130,3+18*3+(6))),'J1 B - Butcher Terrace'!$A$12:$A$130,"&gt;="&amp;Diagram!$O66,'J1 B - Butcher Terrace'!$A$12:$A$130,"&lt;"&amp;Diagram!$P66),SUMIFS(INDIRECT(ADDRESS(12,3+18*3+(14),,,"J1 B - Butcher Terrace")&amp;":"&amp;ADDRESS(130,3+18*3+(14))),'J1 B - Butcher Terrace'!$A$12:$A$130,"&gt;="&amp;Diagram!$O66,'J1 B - Butcher Terrace'!$A$12:$A$130,"&lt;"&amp;Diagram!$P66)))</f>
        <v>0</v>
      </c>
      <c r="DW66" s="42">
        <f ca="1">IF(OR($I$10="",$O66="",$P66="",$J$41&lt;&gt;"Yes"),0,IF($K$10=0,SUMIFS(INDIRECT(ADDRESS(12,3+18*0+(6),,,"J1 B - Butcher Terrace")&amp;":"&amp;ADDRESS(130,3+18*0+(6))),'J1 B - Butcher Terrace'!$A$12:$A$130,"&gt;="&amp;Diagram!$O66,'J1 B - Butcher Terrace'!$A$12:$A$130,"&lt;"&amp;Diagram!$P66),SUMIFS(INDIRECT(ADDRESS(12,3+18*0+(14),,,"J1 B - Butcher Terrace")&amp;":"&amp;ADDRESS(130,3+18*0+(14))),'J1 B - Butcher Terrace'!$A$12:$A$130,"&gt;="&amp;Diagram!$O66,'J1 B - Butcher Terrace'!$A$12:$A$130,"&lt;"&amp;Diagram!$P66)))</f>
        <v>0</v>
      </c>
      <c r="DX66" s="42">
        <f ca="1">IF(OR($I$10="",$O66="",$P66="",$J$41&lt;&gt;"Yes"),0,IF($K$10=0,SUMIFS(INDIRECT(ADDRESS(12,3+18*1+(6),,,"J1 B - Butcher Terrace")&amp;":"&amp;ADDRESS(130,3+18*1+(6))),'J1 B - Butcher Terrace'!$A$12:$A$130,"&gt;="&amp;Diagram!$O66,'J1 B - Butcher Terrace'!$A$12:$A$130,"&lt;"&amp;Diagram!$P66),SUMIFS(INDIRECT(ADDRESS(12,3+18*1+(14),,,"J1 B - Butcher Terrace")&amp;":"&amp;ADDRESS(130,3+18*1+(14))),'J1 B - Butcher Terrace'!$A$12:$A$130,"&gt;="&amp;Diagram!$O66,'J1 B - Butcher Terrace'!$A$12:$A$130,"&lt;"&amp;Diagram!$P66)))</f>
        <v>1</v>
      </c>
      <c r="DY66" s="42">
        <f ca="1">IF(OR($I$10="",$O66="",$P66="",$J$41&lt;&gt;"Yes"),0,IF($K$10=0,SUMIFS(INDIRECT(ADDRESS(12,3+18*1+(6),,,"J1 C - (South) Bishopthorpe Roa")&amp;":"&amp;ADDRESS(130,3+18*1+(6))),'J1 C - (South) Bishopthorpe Roa'!$A$12:$A$130,"&gt;="&amp;Diagram!$O66,'J1 C - (South) Bishopthorpe Roa'!$A$12:$A$130,"&lt;"&amp;Diagram!$P66),SUMIFS(INDIRECT(ADDRESS(12,3+18*1+(14),,,"J1 C - (South) Bishopthorpe Roa")&amp;":"&amp;ADDRESS(130,3+18*1+(14))),'J1 C - (South) Bishopthorpe Roa'!$A$12:$A$130,"&gt;="&amp;Diagram!$O66,'J1 C - (South) Bishopthorpe Roa'!$A$12:$A$130,"&lt;"&amp;Diagram!$P66)))</f>
        <v>2</v>
      </c>
      <c r="DZ66" s="42">
        <f ca="1">IF(OR($I$10="",$O66="",$P66="",$J$41&lt;&gt;"Yes"),0,IF($K$10=0,SUMIFS(INDIRECT(ADDRESS(12,3+18*2+(6),,,"J1 C - (South) Bishopthorpe Roa")&amp;":"&amp;ADDRESS(130,3+18*2+(6))),'J1 C - (South) Bishopthorpe Roa'!$A$12:$A$130,"&gt;="&amp;Diagram!$O66,'J1 C - (South) Bishopthorpe Roa'!$A$12:$A$130,"&lt;"&amp;Diagram!$P66),SUMIFS(INDIRECT(ADDRESS(12,3+18*2+(14),,,"J1 C - (South) Bishopthorpe Roa")&amp;":"&amp;ADDRESS(130,3+18*2+(14))),'J1 C - (South) Bishopthorpe Roa'!$A$12:$A$130,"&gt;="&amp;Diagram!$O66,'J1 C - (South) Bishopthorpe Roa'!$A$12:$A$130,"&lt;"&amp;Diagram!$P66)))</f>
        <v>0</v>
      </c>
      <c r="EA66" s="42">
        <f ca="1">IF(OR($I$10="",$O66="",$P66="",$J$41&lt;&gt;"Yes"),0,IF($K$10=0,SUMIFS(INDIRECT(ADDRESS(12,3+18*3+(6),,,"J1 C - (South) Bishopthorpe Roa")&amp;":"&amp;ADDRESS(130,3+18*3+(6))),'J1 C - (South) Bishopthorpe Roa'!$A$12:$A$130,"&gt;="&amp;Diagram!$O66,'J1 C - (South) Bishopthorpe Roa'!$A$12:$A$130,"&lt;"&amp;Diagram!$P66),SUMIFS(INDIRECT(ADDRESS(12,3+18*3+(14),,,"J1 C - (South) Bishopthorpe Roa")&amp;":"&amp;ADDRESS(130,3+18*3+(14))),'J1 C - (South) Bishopthorpe Roa'!$A$12:$A$130,"&gt;="&amp;Diagram!$O66,'J1 C - (South) Bishopthorpe Roa'!$A$12:$A$130,"&lt;"&amp;Diagram!$P66)))</f>
        <v>0</v>
      </c>
      <c r="EB66" s="42">
        <f ca="1">IF(OR($I$10="",$O66="",$P66="",$J$41&lt;&gt;"Yes"),0,IF($K$10=0,SUMIFS(INDIRECT(ADDRESS(12,3+18*0+(6),,,"J1 C - (South) Bishopthorpe Roa")&amp;":"&amp;ADDRESS(130,3+18*0+(6))),'J1 C - (South) Bishopthorpe Roa'!$A$12:$A$130,"&gt;="&amp;Diagram!$O66,'J1 C - (South) Bishopthorpe Roa'!$A$12:$A$130,"&lt;"&amp;Diagram!$P66),SUMIFS(INDIRECT(ADDRESS(12,3+18*0+(14),,,"J1 C - (South) Bishopthorpe Roa")&amp;":"&amp;ADDRESS(130,3+18*0+(14))),'J1 C - (South) Bishopthorpe Roa'!$A$12:$A$130,"&gt;="&amp;Diagram!$O66,'J1 C - (South) Bishopthorpe Roa'!$A$12:$A$130,"&lt;"&amp;Diagram!$P66)))</f>
        <v>0</v>
      </c>
      <c r="EC66" s="42">
        <f ca="1">IF(OR($I$10="",$O66="",$P66="",$J$41&lt;&gt;"Yes"),0,IF($K$10=0,SUMIFS(INDIRECT(ADDRESS(12,3+18*0+(6),,,"J1 D - South Bank Avenue")&amp;":"&amp;ADDRESS(130,3+18*0+(6))),'J1 D - South Bank Avenue'!$A$12:$A$130,"&gt;="&amp;Diagram!$O66,'J1 D - South Bank Avenue'!$A$12:$A$130,"&lt;"&amp;Diagram!$P66),SUMIFS(INDIRECT(ADDRESS(12,3+18*0+(14),,,"J1 D - South Bank Avenue")&amp;":"&amp;ADDRESS(130,3+18*0+(14))),'J1 D - South Bank Avenue'!$A$12:$A$130,"&gt;="&amp;Diagram!$O66,'J1 D - South Bank Avenue'!$A$12:$A$130,"&lt;"&amp;Diagram!$P66)))</f>
        <v>0</v>
      </c>
      <c r="ED66" s="42">
        <f ca="1">IF(OR($I$10="",$O66="",$P66="",$J$41&lt;&gt;"Yes"),0,IF($K$10=0,SUMIFS(INDIRECT(ADDRESS(12,3+18*1+(6),,,"J1 D - South Bank Avenue")&amp;":"&amp;ADDRESS(130,3+18*1+(6))),'J1 D - South Bank Avenue'!$A$12:$A$130,"&gt;="&amp;Diagram!$O66,'J1 D - South Bank Avenue'!$A$12:$A$130,"&lt;"&amp;Diagram!$P66),SUMIFS(INDIRECT(ADDRESS(12,3+18*1+(14),,,"J1 D - South Bank Avenue")&amp;":"&amp;ADDRESS(130,3+18*1+(14))),'J1 D - South Bank Avenue'!$A$12:$A$130,"&gt;="&amp;Diagram!$O66,'J1 D - South Bank Avenue'!$A$12:$A$130,"&lt;"&amp;Diagram!$P66)))</f>
        <v>0</v>
      </c>
      <c r="EE66" s="42">
        <f ca="1">IF(OR($I$10="",$O66="",$P66="",$J$41&lt;&gt;"Yes"),0,IF($K$10=0,SUMIFS(INDIRECT(ADDRESS(12,3+18*2+(6),,,"J1 D - South Bank Avenue")&amp;":"&amp;ADDRESS(130,3+18*2+(6))),'J1 D - South Bank Avenue'!$A$12:$A$130,"&gt;="&amp;Diagram!$O66,'J1 D - South Bank Avenue'!$A$12:$A$130,"&lt;"&amp;Diagram!$P66),SUMIFS(INDIRECT(ADDRESS(12,3+18*2+(14),,,"J1 D - South Bank Avenue")&amp;":"&amp;ADDRESS(130,3+18*2+(14))),'J1 D - South Bank Avenue'!$A$12:$A$130,"&gt;="&amp;Diagram!$O66,'J1 D - South Bank Avenue'!$A$12:$A$130,"&lt;"&amp;Diagram!$P66)))</f>
        <v>0</v>
      </c>
      <c r="EF66" s="42">
        <f ca="1">IF(OR($I$10="",$O66="",$P66="",$J$41&lt;&gt;"Yes"),0,IF($K$10=0,SUMIFS(INDIRECT(ADDRESS(12,3+18*3+(6),,,"J1 D - South Bank Avenue")&amp;":"&amp;ADDRESS(130,3+18*3+(6))),'J1 D - South Bank Avenue'!$A$12:$A$130,"&gt;="&amp;Diagram!$O66,'J1 D - South Bank Avenue'!$A$12:$A$130,"&lt;"&amp;Diagram!$P66),SUMIFS(INDIRECT(ADDRESS(12,3+18*3+(14),,,"J1 D - South Bank Avenue")&amp;":"&amp;ADDRESS(130,3+18*3+(14))),'J1 D - South Bank Avenue'!$A$12:$A$130,"&gt;="&amp;Diagram!$O66,'J1 D - South Bank Avenue'!$A$12:$A$130,"&lt;"&amp;Diagram!$P66)))</f>
        <v>0</v>
      </c>
      <c r="EG66" s="42">
        <f t="shared" ref="EG66:EG96" ca="1" si="18">SUM($EH66,$EI66,$EJ66,$EK66,$EL66,$EM66,$EN66,$EO66,$EP66,$EQ66,$ER66,$ES66,$ET66,$EU66,$EV66,$EW66)</f>
        <v>2</v>
      </c>
      <c r="EH66" s="42">
        <f ca="1">IF(OR($I$10="",$O66="",$P66="",$J$42&lt;&gt;"Yes"),0,IF($K$10=0,SUMIFS(INDIRECT(ADDRESS(12,3+18*3+(7),,,"J1 A - (North) Bishopthorpe Roa")&amp;":"&amp;ADDRESS(130,3+18*3+(7))),'J1 A - (North) Bishopthorpe Roa'!$A$12:$A$130,"&gt;="&amp;Diagram!$O66,'J1 A - (North) Bishopthorpe Roa'!$A$12:$A$130,"&lt;"&amp;Diagram!$P66),SUMIFS(INDIRECT(ADDRESS(12,3+18*3+(15),,,"J1 A - (North) Bishopthorpe Roa")&amp;":"&amp;ADDRESS(130,3+18*3+(15))),'J1 A - (North) Bishopthorpe Roa'!$A$12:$A$130,"&gt;="&amp;Diagram!$O66,'J1 A - (North) Bishopthorpe Roa'!$A$12:$A$130,"&lt;"&amp;Diagram!$P66)))</f>
        <v>0</v>
      </c>
      <c r="EI66" s="42">
        <f ca="1">IF(OR($I$10="",$O66="",$P66="",$J$42&lt;&gt;"Yes"),0,IF($K$10=0,SUMIFS(INDIRECT(ADDRESS(12,3+18*0+(7),,,"J1 A - (North) Bishopthorpe Roa")&amp;":"&amp;ADDRESS(130,3+18*0+(7))),'J1 A - (North) Bishopthorpe Roa'!$A$12:$A$130,"&gt;="&amp;Diagram!$O66,'J1 A - (North) Bishopthorpe Roa'!$A$12:$A$130,"&lt;"&amp;Diagram!$P66),SUMIFS(INDIRECT(ADDRESS(12,3+18*0+(15),,,"J1 A - (North) Bishopthorpe Roa")&amp;":"&amp;ADDRESS(130,3+18*0+(15))),'J1 A - (North) Bishopthorpe Roa'!$A$12:$A$130,"&gt;="&amp;Diagram!$O66,'J1 A - (North) Bishopthorpe Roa'!$A$12:$A$130,"&lt;"&amp;Diagram!$P66)))</f>
        <v>2</v>
      </c>
      <c r="EJ66" s="42">
        <f ca="1">IF(OR($I$10="",$O66="",$P66="",$J$42&lt;&gt;"Yes"),0,IF($K$10=0,SUMIFS(INDIRECT(ADDRESS(12,3+18*1+(7),,,"J1 A - (North) Bishopthorpe Roa")&amp;":"&amp;ADDRESS(130,3+18*1+(7))),'J1 A - (North) Bishopthorpe Roa'!$A$12:$A$130,"&gt;="&amp;Diagram!$O66,'J1 A - (North) Bishopthorpe Roa'!$A$12:$A$130,"&lt;"&amp;Diagram!$P66),SUMIFS(INDIRECT(ADDRESS(12,3+18*1+(15),,,"J1 A - (North) Bishopthorpe Roa")&amp;":"&amp;ADDRESS(130,3+18*1+(15))),'J1 A - (North) Bishopthorpe Roa'!$A$12:$A$130,"&gt;="&amp;Diagram!$O66,'J1 A - (North) Bishopthorpe Roa'!$A$12:$A$130,"&lt;"&amp;Diagram!$P66)))</f>
        <v>0</v>
      </c>
      <c r="EK66" s="42">
        <f ca="1">IF(OR($I$10="",$O66="",$P66="",$J$42&lt;&gt;"Yes"),0,IF($K$10=0,SUMIFS(INDIRECT(ADDRESS(12,3+18*2+(7),,,"J1 A - (North) Bishopthorpe Roa")&amp;":"&amp;ADDRESS(130,3+18*2+(7))),'J1 A - (North) Bishopthorpe Roa'!$A$12:$A$130,"&gt;="&amp;Diagram!$O66,'J1 A - (North) Bishopthorpe Roa'!$A$12:$A$130,"&lt;"&amp;Diagram!$P66),SUMIFS(INDIRECT(ADDRESS(12,3+18*2+(15),,,"J1 A - (North) Bishopthorpe Roa")&amp;":"&amp;ADDRESS(130,3+18*2+(15))),'J1 A - (North) Bishopthorpe Roa'!$A$12:$A$130,"&gt;="&amp;Diagram!$O66,'J1 A - (North) Bishopthorpe Roa'!$A$12:$A$130,"&lt;"&amp;Diagram!$P66)))</f>
        <v>0</v>
      </c>
      <c r="EL66" s="42">
        <f ca="1">IF(OR($I$10="",$O66="",$P66="",$J$42&lt;&gt;"Yes"),0,IF($K$10=0,SUMIFS(INDIRECT(ADDRESS(12,3+18*2+(7),,,"J1 B - Butcher Terrace")&amp;":"&amp;ADDRESS(130,3+18*2+(7))),'J1 B - Butcher Terrace'!$A$12:$A$130,"&gt;="&amp;Diagram!$O66,'J1 B - Butcher Terrace'!$A$12:$A$130,"&lt;"&amp;Diagram!$P66),SUMIFS(INDIRECT(ADDRESS(12,3+18*2+(15),,,"J1 B - Butcher Terrace")&amp;":"&amp;ADDRESS(130,3+18*2+(15))),'J1 B - Butcher Terrace'!$A$12:$A$130,"&gt;="&amp;Diagram!$O66,'J1 B - Butcher Terrace'!$A$12:$A$130,"&lt;"&amp;Diagram!$P66)))</f>
        <v>0</v>
      </c>
      <c r="EM66" s="42">
        <f ca="1">IF(OR($I$10="",$O66="",$P66="",$J$42&lt;&gt;"Yes"),0,IF($K$10=0,SUMIFS(INDIRECT(ADDRESS(12,3+18*3+(7),,,"J1 B - Butcher Terrace")&amp;":"&amp;ADDRESS(130,3+18*3+(7))),'J1 B - Butcher Terrace'!$A$12:$A$130,"&gt;="&amp;Diagram!$O66,'J1 B - Butcher Terrace'!$A$12:$A$130,"&lt;"&amp;Diagram!$P66),SUMIFS(INDIRECT(ADDRESS(12,3+18*3+(15),,,"J1 B - Butcher Terrace")&amp;":"&amp;ADDRESS(130,3+18*3+(15))),'J1 B - Butcher Terrace'!$A$12:$A$130,"&gt;="&amp;Diagram!$O66,'J1 B - Butcher Terrace'!$A$12:$A$130,"&lt;"&amp;Diagram!$P66)))</f>
        <v>0</v>
      </c>
      <c r="EN66" s="42">
        <f ca="1">IF(OR($I$10="",$O66="",$P66="",$J$42&lt;&gt;"Yes"),0,IF($K$10=0,SUMIFS(INDIRECT(ADDRESS(12,3+18*0+(7),,,"J1 B - Butcher Terrace")&amp;":"&amp;ADDRESS(130,3+18*0+(7))),'J1 B - Butcher Terrace'!$A$12:$A$130,"&gt;="&amp;Diagram!$O66,'J1 B - Butcher Terrace'!$A$12:$A$130,"&lt;"&amp;Diagram!$P66),SUMIFS(INDIRECT(ADDRESS(12,3+18*0+(15),,,"J1 B - Butcher Terrace")&amp;":"&amp;ADDRESS(130,3+18*0+(15))),'J1 B - Butcher Terrace'!$A$12:$A$130,"&gt;="&amp;Diagram!$O66,'J1 B - Butcher Terrace'!$A$12:$A$130,"&lt;"&amp;Diagram!$P66)))</f>
        <v>0</v>
      </c>
      <c r="EO66" s="42">
        <f ca="1">IF(OR($I$10="",$O66="",$P66="",$J$42&lt;&gt;"Yes"),0,IF($K$10=0,SUMIFS(INDIRECT(ADDRESS(12,3+18*1+(7),,,"J1 B - Butcher Terrace")&amp;":"&amp;ADDRESS(130,3+18*1+(7))),'J1 B - Butcher Terrace'!$A$12:$A$130,"&gt;="&amp;Diagram!$O66,'J1 B - Butcher Terrace'!$A$12:$A$130,"&lt;"&amp;Diagram!$P66),SUMIFS(INDIRECT(ADDRESS(12,3+18*1+(15),,,"J1 B - Butcher Terrace")&amp;":"&amp;ADDRESS(130,3+18*1+(15))),'J1 B - Butcher Terrace'!$A$12:$A$130,"&gt;="&amp;Diagram!$O66,'J1 B - Butcher Terrace'!$A$12:$A$130,"&lt;"&amp;Diagram!$P66)))</f>
        <v>0</v>
      </c>
      <c r="EP66" s="42">
        <f ca="1">IF(OR($I$10="",$O66="",$P66="",$J$42&lt;&gt;"Yes"),0,IF($K$10=0,SUMIFS(INDIRECT(ADDRESS(12,3+18*1+(7),,,"J1 C - (South) Bishopthorpe Roa")&amp;":"&amp;ADDRESS(130,3+18*1+(7))),'J1 C - (South) Bishopthorpe Roa'!$A$12:$A$130,"&gt;="&amp;Diagram!$O66,'J1 C - (South) Bishopthorpe Roa'!$A$12:$A$130,"&lt;"&amp;Diagram!$P66),SUMIFS(INDIRECT(ADDRESS(12,3+18*1+(15),,,"J1 C - (South) Bishopthorpe Roa")&amp;":"&amp;ADDRESS(130,3+18*1+(15))),'J1 C - (South) Bishopthorpe Roa'!$A$12:$A$130,"&gt;="&amp;Diagram!$O66,'J1 C - (South) Bishopthorpe Roa'!$A$12:$A$130,"&lt;"&amp;Diagram!$P66)))</f>
        <v>0</v>
      </c>
      <c r="EQ66" s="42">
        <f ca="1">IF(OR($I$10="",$O66="",$P66="",$J$42&lt;&gt;"Yes"),0,IF($K$10=0,SUMIFS(INDIRECT(ADDRESS(12,3+18*2+(7),,,"J1 C - (South) Bishopthorpe Roa")&amp;":"&amp;ADDRESS(130,3+18*2+(7))),'J1 C - (South) Bishopthorpe Roa'!$A$12:$A$130,"&gt;="&amp;Diagram!$O66,'J1 C - (South) Bishopthorpe Roa'!$A$12:$A$130,"&lt;"&amp;Diagram!$P66),SUMIFS(INDIRECT(ADDRESS(12,3+18*2+(15),,,"J1 C - (South) Bishopthorpe Roa")&amp;":"&amp;ADDRESS(130,3+18*2+(15))),'J1 C - (South) Bishopthorpe Roa'!$A$12:$A$130,"&gt;="&amp;Diagram!$O66,'J1 C - (South) Bishopthorpe Roa'!$A$12:$A$130,"&lt;"&amp;Diagram!$P66)))</f>
        <v>0</v>
      </c>
      <c r="ER66" s="42">
        <f ca="1">IF(OR($I$10="",$O66="",$P66="",$J$42&lt;&gt;"Yes"),0,IF($K$10=0,SUMIFS(INDIRECT(ADDRESS(12,3+18*3+(7),,,"J1 C - (South) Bishopthorpe Roa")&amp;":"&amp;ADDRESS(130,3+18*3+(7))),'J1 C - (South) Bishopthorpe Roa'!$A$12:$A$130,"&gt;="&amp;Diagram!$O66,'J1 C - (South) Bishopthorpe Roa'!$A$12:$A$130,"&lt;"&amp;Diagram!$P66),SUMIFS(INDIRECT(ADDRESS(12,3+18*3+(15),,,"J1 C - (South) Bishopthorpe Roa")&amp;":"&amp;ADDRESS(130,3+18*3+(15))),'J1 C - (South) Bishopthorpe Roa'!$A$12:$A$130,"&gt;="&amp;Diagram!$O66,'J1 C - (South) Bishopthorpe Roa'!$A$12:$A$130,"&lt;"&amp;Diagram!$P66)))</f>
        <v>0</v>
      </c>
      <c r="ES66" s="42">
        <f ca="1">IF(OR($I$10="",$O66="",$P66="",$J$42&lt;&gt;"Yes"),0,IF($K$10=0,SUMIFS(INDIRECT(ADDRESS(12,3+18*0+(7),,,"J1 C - (South) Bishopthorpe Roa")&amp;":"&amp;ADDRESS(130,3+18*0+(7))),'J1 C - (South) Bishopthorpe Roa'!$A$12:$A$130,"&gt;="&amp;Diagram!$O66,'J1 C - (South) Bishopthorpe Roa'!$A$12:$A$130,"&lt;"&amp;Diagram!$P66),SUMIFS(INDIRECT(ADDRESS(12,3+18*0+(15),,,"J1 C - (South) Bishopthorpe Roa")&amp;":"&amp;ADDRESS(130,3+18*0+(15))),'J1 C - (South) Bishopthorpe Roa'!$A$12:$A$130,"&gt;="&amp;Diagram!$O66,'J1 C - (South) Bishopthorpe Roa'!$A$12:$A$130,"&lt;"&amp;Diagram!$P66)))</f>
        <v>0</v>
      </c>
      <c r="ET66" s="42">
        <f ca="1">IF(OR($I$10="",$O66="",$P66="",$J$42&lt;&gt;"Yes"),0,IF($K$10=0,SUMIFS(INDIRECT(ADDRESS(12,3+18*0+(7),,,"J1 D - South Bank Avenue")&amp;":"&amp;ADDRESS(130,3+18*0+(7))),'J1 D - South Bank Avenue'!$A$12:$A$130,"&gt;="&amp;Diagram!$O66,'J1 D - South Bank Avenue'!$A$12:$A$130,"&lt;"&amp;Diagram!$P66),SUMIFS(INDIRECT(ADDRESS(12,3+18*0+(15),,,"J1 D - South Bank Avenue")&amp;":"&amp;ADDRESS(130,3+18*0+(15))),'J1 D - South Bank Avenue'!$A$12:$A$130,"&gt;="&amp;Diagram!$O66,'J1 D - South Bank Avenue'!$A$12:$A$130,"&lt;"&amp;Diagram!$P66)))</f>
        <v>0</v>
      </c>
      <c r="EU66" s="42">
        <f ca="1">IF(OR($I$10="",$O66="",$P66="",$J$42&lt;&gt;"Yes"),0,IF($K$10=0,SUMIFS(INDIRECT(ADDRESS(12,3+18*1+(7),,,"J1 D - South Bank Avenue")&amp;":"&amp;ADDRESS(130,3+18*1+(7))),'J1 D - South Bank Avenue'!$A$12:$A$130,"&gt;="&amp;Diagram!$O66,'J1 D - South Bank Avenue'!$A$12:$A$130,"&lt;"&amp;Diagram!$P66),SUMIFS(INDIRECT(ADDRESS(12,3+18*1+(15),,,"J1 D - South Bank Avenue")&amp;":"&amp;ADDRESS(130,3+18*1+(15))),'J1 D - South Bank Avenue'!$A$12:$A$130,"&gt;="&amp;Diagram!$O66,'J1 D - South Bank Avenue'!$A$12:$A$130,"&lt;"&amp;Diagram!$P66)))</f>
        <v>0</v>
      </c>
      <c r="EV66" s="42">
        <f ca="1">IF(OR($I$10="",$O66="",$P66="",$J$42&lt;&gt;"Yes"),0,IF($K$10=0,SUMIFS(INDIRECT(ADDRESS(12,3+18*2+(7),,,"J1 D - South Bank Avenue")&amp;":"&amp;ADDRESS(130,3+18*2+(7))),'J1 D - South Bank Avenue'!$A$12:$A$130,"&gt;="&amp;Diagram!$O66,'J1 D - South Bank Avenue'!$A$12:$A$130,"&lt;"&amp;Diagram!$P66),SUMIFS(INDIRECT(ADDRESS(12,3+18*2+(15),,,"J1 D - South Bank Avenue")&amp;":"&amp;ADDRESS(130,3+18*2+(15))),'J1 D - South Bank Avenue'!$A$12:$A$130,"&gt;="&amp;Diagram!$O66,'J1 D - South Bank Avenue'!$A$12:$A$130,"&lt;"&amp;Diagram!$P66)))</f>
        <v>0</v>
      </c>
      <c r="EW66" s="42">
        <f ca="1">IF(OR($I$10="",$O66="",$P66="",$J$42&lt;&gt;"Yes"),0,IF($K$10=0,SUMIFS(INDIRECT(ADDRESS(12,3+18*3+(7),,,"J1 D - South Bank Avenue")&amp;":"&amp;ADDRESS(130,3+18*3+(7))),'J1 D - South Bank Avenue'!$A$12:$A$130,"&gt;="&amp;Diagram!$O66,'J1 D - South Bank Avenue'!$A$12:$A$130,"&lt;"&amp;Diagram!$P66),SUMIFS(INDIRECT(ADDRESS(12,3+18*3+(15),,,"J1 D - South Bank Avenue")&amp;":"&amp;ADDRESS(130,3+18*3+(15))),'J1 D - South Bank Avenue'!$A$12:$A$130,"&gt;="&amp;Diagram!$O66,'J1 D - South Bank Avenue'!$A$12:$A$130,"&lt;"&amp;Diagram!$P66)))</f>
        <v>0</v>
      </c>
    </row>
    <row r="67" spans="1:153">
      <c r="A67" s="1">
        <v>44395.6875</v>
      </c>
      <c r="B67" s="1">
        <v>44395.697916666701</v>
      </c>
      <c r="O67" s="3">
        <v>44395.6875</v>
      </c>
      <c r="P67" s="3">
        <v>44395.729166666701</v>
      </c>
      <c r="Q67" s="42">
        <f t="shared" ca="1" si="10"/>
        <v>778</v>
      </c>
      <c r="R67" s="42">
        <f t="shared" ca="1" si="11"/>
        <v>577</v>
      </c>
      <c r="S67" s="42">
        <f ca="1">IF(OR($I$10="",$O67="",$P67="",$J$35&lt;&gt;"Yes"),0,IF($K$10=0,SUMIFS(INDIRECT(ADDRESS(12,3+18*3+(0),,,"J1 A - (North) Bishopthorpe Roa")&amp;":"&amp;ADDRESS(130,3+18*3+(0))),'J1 A - (North) Bishopthorpe Roa'!$A$12:$A$130,"&gt;="&amp;Diagram!$O67,'J1 A - (North) Bishopthorpe Roa'!$A$12:$A$130,"&lt;"&amp;Diagram!$P67),SUMIFS(INDIRECT(ADDRESS(12,3+18*3+(8),,,"J1 A - (North) Bishopthorpe Roa")&amp;":"&amp;ADDRESS(130,3+18*3+(8))),'J1 A - (North) Bishopthorpe Roa'!$A$12:$A$130,"&gt;="&amp;Diagram!$O67,'J1 A - (North) Bishopthorpe Roa'!$A$12:$A$130,"&lt;"&amp;Diagram!$P67)))</f>
        <v>0</v>
      </c>
      <c r="T67" s="42">
        <f ca="1">IF(OR($I$10="",$O67="",$P67="",$J$35&lt;&gt;"Yes"),0,IF($K$10=0,SUMIFS(INDIRECT(ADDRESS(12,3+18*0+(0),,,"J1 A - (North) Bishopthorpe Roa")&amp;":"&amp;ADDRESS(130,3+18*0+(0))),'J1 A - (North) Bishopthorpe Roa'!$A$12:$A$130,"&gt;="&amp;Diagram!$O67,'J1 A - (North) Bishopthorpe Roa'!$A$12:$A$130,"&lt;"&amp;Diagram!$P67),SUMIFS(INDIRECT(ADDRESS(12,3+18*0+(8),,,"J1 A - (North) Bishopthorpe Roa")&amp;":"&amp;ADDRESS(130,3+18*0+(8))),'J1 A - (North) Bishopthorpe Roa'!$A$12:$A$130,"&gt;="&amp;Diagram!$O67,'J1 A - (North) Bishopthorpe Roa'!$A$12:$A$130,"&lt;"&amp;Diagram!$P67)))</f>
        <v>14</v>
      </c>
      <c r="U67" s="42">
        <f ca="1">IF(OR($I$10="",$O67="",$P67="",$J$35&lt;&gt;"Yes"),0,IF($K$10=0,SUMIFS(INDIRECT(ADDRESS(12,3+18*1+(0),,,"J1 A - (North) Bishopthorpe Roa")&amp;":"&amp;ADDRESS(130,3+18*1+(0))),'J1 A - (North) Bishopthorpe Roa'!$A$12:$A$130,"&gt;="&amp;Diagram!$O67,'J1 A - (North) Bishopthorpe Roa'!$A$12:$A$130,"&lt;"&amp;Diagram!$P67),SUMIFS(INDIRECT(ADDRESS(12,3+18*1+(8),,,"J1 A - (North) Bishopthorpe Roa")&amp;":"&amp;ADDRESS(130,3+18*1+(8))),'J1 A - (North) Bishopthorpe Roa'!$A$12:$A$130,"&gt;="&amp;Diagram!$O67,'J1 A - (North) Bishopthorpe Roa'!$A$12:$A$130,"&lt;"&amp;Diagram!$P67)))</f>
        <v>256</v>
      </c>
      <c r="V67" s="42">
        <f ca="1">IF(OR($I$10="",$O67="",$P67="",$J$35&lt;&gt;"Yes"),0,IF($K$10=0,SUMIFS(INDIRECT(ADDRESS(12,3+18*2+(0),,,"J1 A - (North) Bishopthorpe Roa")&amp;":"&amp;ADDRESS(130,3+18*2+(0))),'J1 A - (North) Bishopthorpe Roa'!$A$12:$A$130,"&gt;="&amp;Diagram!$O67,'J1 A - (North) Bishopthorpe Roa'!$A$12:$A$130,"&lt;"&amp;Diagram!$P67),SUMIFS(INDIRECT(ADDRESS(12,3+18*2+(8),,,"J1 A - (North) Bishopthorpe Roa")&amp;":"&amp;ADDRESS(130,3+18*2+(8))),'J1 A - (North) Bishopthorpe Roa'!$A$12:$A$130,"&gt;="&amp;Diagram!$O67,'J1 A - (North) Bishopthorpe Roa'!$A$12:$A$130,"&lt;"&amp;Diagram!$P67)))</f>
        <v>35</v>
      </c>
      <c r="W67" s="42">
        <f ca="1">IF(OR($I$10="",$O67="",$P67="",$J$35&lt;&gt;"Yes"),0,IF($K$10=0,SUMIFS(INDIRECT(ADDRESS(12,3+18*2+(0),,,"J1 B - Butcher Terrace")&amp;":"&amp;ADDRESS(130,3+18*2+(0))),'J1 B - Butcher Terrace'!$A$12:$A$130,"&gt;="&amp;Diagram!$O67,'J1 B - Butcher Terrace'!$A$12:$A$130,"&lt;"&amp;Diagram!$P67),SUMIFS(INDIRECT(ADDRESS(12,3+18*2+(8),,,"J1 B - Butcher Terrace")&amp;":"&amp;ADDRESS(130,3+18*2+(8))),'J1 B - Butcher Terrace'!$A$12:$A$130,"&gt;="&amp;Diagram!$O67,'J1 B - Butcher Terrace'!$A$12:$A$130,"&lt;"&amp;Diagram!$P67)))</f>
        <v>10</v>
      </c>
      <c r="X67" s="42">
        <f ca="1">IF(OR($I$10="",$O67="",$P67="",$J$35&lt;&gt;"Yes"),0,IF($K$10=0,SUMIFS(INDIRECT(ADDRESS(12,3+18*3+(0),,,"J1 B - Butcher Terrace")&amp;":"&amp;ADDRESS(130,3+18*3+(0))),'J1 B - Butcher Terrace'!$A$12:$A$130,"&gt;="&amp;Diagram!$O67,'J1 B - Butcher Terrace'!$A$12:$A$130,"&lt;"&amp;Diagram!$P67),SUMIFS(INDIRECT(ADDRESS(12,3+18*3+(8),,,"J1 B - Butcher Terrace")&amp;":"&amp;ADDRESS(130,3+18*3+(8))),'J1 B - Butcher Terrace'!$A$12:$A$130,"&gt;="&amp;Diagram!$O67,'J1 B - Butcher Terrace'!$A$12:$A$130,"&lt;"&amp;Diagram!$P67)))</f>
        <v>0</v>
      </c>
      <c r="Y67" s="42">
        <f ca="1">IF(OR($I$10="",$O67="",$P67="",$J$35&lt;&gt;"Yes"),0,IF($K$10=0,SUMIFS(INDIRECT(ADDRESS(12,3+18*0+(0),,,"J1 B - Butcher Terrace")&amp;":"&amp;ADDRESS(130,3+18*0+(0))),'J1 B - Butcher Terrace'!$A$12:$A$130,"&gt;="&amp;Diagram!$O67,'J1 B - Butcher Terrace'!$A$12:$A$130,"&lt;"&amp;Diagram!$P67),SUMIFS(INDIRECT(ADDRESS(12,3+18*0+(8),,,"J1 B - Butcher Terrace")&amp;":"&amp;ADDRESS(130,3+18*0+(8))),'J1 B - Butcher Terrace'!$A$12:$A$130,"&gt;="&amp;Diagram!$O67,'J1 B - Butcher Terrace'!$A$12:$A$130,"&lt;"&amp;Diagram!$P67)))</f>
        <v>9</v>
      </c>
      <c r="Z67" s="42">
        <f ca="1">IF(OR($I$10="",$O67="",$P67="",$J$35&lt;&gt;"Yes"),0,IF($K$10=0,SUMIFS(INDIRECT(ADDRESS(12,3+18*1+(0),,,"J1 B - Butcher Terrace")&amp;":"&amp;ADDRESS(130,3+18*1+(0))),'J1 B - Butcher Terrace'!$A$12:$A$130,"&gt;="&amp;Diagram!$O67,'J1 B - Butcher Terrace'!$A$12:$A$130,"&lt;"&amp;Diagram!$P67),SUMIFS(INDIRECT(ADDRESS(12,3+18*1+(8),,,"J1 B - Butcher Terrace")&amp;":"&amp;ADDRESS(130,3+18*1+(8))),'J1 B - Butcher Terrace'!$A$12:$A$130,"&gt;="&amp;Diagram!$O67,'J1 B - Butcher Terrace'!$A$12:$A$130,"&lt;"&amp;Diagram!$P67)))</f>
        <v>0</v>
      </c>
      <c r="AA67" s="42">
        <f ca="1">IF(OR($I$10="",$O67="",$P67="",$J$35&lt;&gt;"Yes"),0,IF($K$10=0,SUMIFS(INDIRECT(ADDRESS(12,3+18*1+(0),,,"J1 C - (South) Bishopthorpe Roa")&amp;":"&amp;ADDRESS(130,3+18*1+(0))),'J1 C - (South) Bishopthorpe Roa'!$A$12:$A$130,"&gt;="&amp;Diagram!$O67,'J1 C - (South) Bishopthorpe Roa'!$A$12:$A$130,"&lt;"&amp;Diagram!$P67),SUMIFS(INDIRECT(ADDRESS(12,3+18*1+(8),,,"J1 C - (South) Bishopthorpe Roa")&amp;":"&amp;ADDRESS(130,3+18*1+(8))),'J1 C - (South) Bishopthorpe Roa'!$A$12:$A$130,"&gt;="&amp;Diagram!$O67,'J1 C - (South) Bishopthorpe Roa'!$A$12:$A$130,"&lt;"&amp;Diagram!$P67)))</f>
        <v>196</v>
      </c>
      <c r="AB67" s="42">
        <f ca="1">IF(OR($I$10="",$O67="",$P67="",$J$35&lt;&gt;"Yes"),0,IF($K$10=0,SUMIFS(INDIRECT(ADDRESS(12,3+18*2+(0),,,"J1 C - (South) Bishopthorpe Roa")&amp;":"&amp;ADDRESS(130,3+18*2+(0))),'J1 C - (South) Bishopthorpe Roa'!$A$12:$A$130,"&gt;="&amp;Diagram!$O67,'J1 C - (South) Bishopthorpe Roa'!$A$12:$A$130,"&lt;"&amp;Diagram!$P67),SUMIFS(INDIRECT(ADDRESS(12,3+18*2+(8),,,"J1 C - (South) Bishopthorpe Roa")&amp;":"&amp;ADDRESS(130,3+18*2+(8))),'J1 C - (South) Bishopthorpe Roa'!$A$12:$A$130,"&gt;="&amp;Diagram!$O67,'J1 C - (South) Bishopthorpe Roa'!$A$12:$A$130,"&lt;"&amp;Diagram!$P67)))</f>
        <v>8</v>
      </c>
      <c r="AC67" s="42">
        <f ca="1">IF(OR($I$10="",$O67="",$P67="",$J$35&lt;&gt;"Yes"),0,IF($K$10=0,SUMIFS(INDIRECT(ADDRESS(12,3+18*3+(0),,,"J1 C - (South) Bishopthorpe Roa")&amp;":"&amp;ADDRESS(130,3+18*3+(0))),'J1 C - (South) Bishopthorpe Roa'!$A$12:$A$130,"&gt;="&amp;Diagram!$O67,'J1 C - (South) Bishopthorpe Roa'!$A$12:$A$130,"&lt;"&amp;Diagram!$P67),SUMIFS(INDIRECT(ADDRESS(12,3+18*3+(8),,,"J1 C - (South) Bishopthorpe Roa")&amp;":"&amp;ADDRESS(130,3+18*3+(8))),'J1 C - (South) Bishopthorpe Roa'!$A$12:$A$130,"&gt;="&amp;Diagram!$O67,'J1 C - (South) Bishopthorpe Roa'!$A$12:$A$130,"&lt;"&amp;Diagram!$P67)))</f>
        <v>2</v>
      </c>
      <c r="AD67" s="42">
        <f ca="1">IF(OR($I$10="",$O67="",$P67="",$J$35&lt;&gt;"Yes"),0,IF($K$10=0,SUMIFS(INDIRECT(ADDRESS(12,3+18*0+(0),,,"J1 C - (South) Bishopthorpe Roa")&amp;":"&amp;ADDRESS(130,3+18*0+(0))),'J1 C - (South) Bishopthorpe Roa'!$A$12:$A$130,"&gt;="&amp;Diagram!$O67,'J1 C - (South) Bishopthorpe Roa'!$A$12:$A$130,"&lt;"&amp;Diagram!$P67),SUMIFS(INDIRECT(ADDRESS(12,3+18*0+(8),,,"J1 C - (South) Bishopthorpe Roa")&amp;":"&amp;ADDRESS(130,3+18*0+(8))),'J1 C - (South) Bishopthorpe Roa'!$A$12:$A$130,"&gt;="&amp;Diagram!$O67,'J1 C - (South) Bishopthorpe Roa'!$A$12:$A$130,"&lt;"&amp;Diagram!$P67)))</f>
        <v>12</v>
      </c>
      <c r="AE67" s="42">
        <f ca="1">IF(OR($I$10="",$O67="",$P67="",$J$35&lt;&gt;"Yes"),0,IF($K$10=0,SUMIFS(INDIRECT(ADDRESS(12,3+18*0+(0),,,"J1 D - South Bank Avenue")&amp;":"&amp;ADDRESS(130,3+18*0+(0))),'J1 D - South Bank Avenue'!$A$12:$A$130,"&gt;="&amp;Diagram!$O67,'J1 D - South Bank Avenue'!$A$12:$A$130,"&lt;"&amp;Diagram!$P67),SUMIFS(INDIRECT(ADDRESS(12,3+18*0+(8),,,"J1 D - South Bank Avenue")&amp;":"&amp;ADDRESS(130,3+18*0+(8))),'J1 D - South Bank Avenue'!$A$12:$A$130,"&gt;="&amp;Diagram!$O67,'J1 D - South Bank Avenue'!$A$12:$A$130,"&lt;"&amp;Diagram!$P67)))</f>
        <v>24</v>
      </c>
      <c r="AF67" s="42">
        <f ca="1">IF(OR($I$10="",$O67="",$P67="",$J$35&lt;&gt;"Yes"),0,IF($K$10=0,SUMIFS(INDIRECT(ADDRESS(12,3+18*1+(0),,,"J1 D - South Bank Avenue")&amp;":"&amp;ADDRESS(130,3+18*1+(0))),'J1 D - South Bank Avenue'!$A$12:$A$130,"&gt;="&amp;Diagram!$O67,'J1 D - South Bank Avenue'!$A$12:$A$130,"&lt;"&amp;Diagram!$P67),SUMIFS(INDIRECT(ADDRESS(12,3+18*1+(8),,,"J1 D - South Bank Avenue")&amp;":"&amp;ADDRESS(130,3+18*1+(8))),'J1 D - South Bank Avenue'!$A$12:$A$130,"&gt;="&amp;Diagram!$O67,'J1 D - South Bank Avenue'!$A$12:$A$130,"&lt;"&amp;Diagram!$P67)))</f>
        <v>1</v>
      </c>
      <c r="AG67" s="42">
        <f ca="1">IF(OR($I$10="",$O67="",$P67="",$J$35&lt;&gt;"Yes"),0,IF($K$10=0,SUMIFS(INDIRECT(ADDRESS(12,3+18*2+(0),,,"J1 D - South Bank Avenue")&amp;":"&amp;ADDRESS(130,3+18*2+(0))),'J1 D - South Bank Avenue'!$A$12:$A$130,"&gt;="&amp;Diagram!$O67,'J1 D - South Bank Avenue'!$A$12:$A$130,"&lt;"&amp;Diagram!$P67),SUMIFS(INDIRECT(ADDRESS(12,3+18*2+(8),,,"J1 D - South Bank Avenue")&amp;":"&amp;ADDRESS(130,3+18*2+(8))),'J1 D - South Bank Avenue'!$A$12:$A$130,"&gt;="&amp;Diagram!$O67,'J1 D - South Bank Avenue'!$A$12:$A$130,"&lt;"&amp;Diagram!$P67)))</f>
        <v>10</v>
      </c>
      <c r="AH67" s="42">
        <f ca="1">IF(OR($I$10="",$O67="",$P67="",$J$35&lt;&gt;"Yes"),0,IF($K$10=0,SUMIFS(INDIRECT(ADDRESS(12,3+18*3+(0),,,"J1 D - South Bank Avenue")&amp;":"&amp;ADDRESS(130,3+18*3+(0))),'J1 D - South Bank Avenue'!$A$12:$A$130,"&gt;="&amp;Diagram!$O67,'J1 D - South Bank Avenue'!$A$12:$A$130,"&lt;"&amp;Diagram!$P67),SUMIFS(INDIRECT(ADDRESS(12,3+18*3+(8),,,"J1 D - South Bank Avenue")&amp;":"&amp;ADDRESS(130,3+18*3+(8))),'J1 D - South Bank Avenue'!$A$12:$A$130,"&gt;="&amp;Diagram!$O67,'J1 D - South Bank Avenue'!$A$12:$A$130,"&lt;"&amp;Diagram!$P67)))</f>
        <v>0</v>
      </c>
      <c r="AI67" s="42">
        <f t="shared" ca="1" si="12"/>
        <v>39</v>
      </c>
      <c r="AJ67" s="42">
        <f ca="1">IF(OR($I$10="",$O67="",$P67="",$J$36&lt;&gt;"Yes"),0,IF($K$10=0,SUMIFS(INDIRECT(ADDRESS(12,3+18*3+(1),,,"J1 A - (North) Bishopthorpe Roa")&amp;":"&amp;ADDRESS(130,3+18*3+(1))),'J1 A - (North) Bishopthorpe Roa'!$A$12:$A$130,"&gt;="&amp;Diagram!$O67,'J1 A - (North) Bishopthorpe Roa'!$A$12:$A$130,"&lt;"&amp;Diagram!$P67),SUMIFS(INDIRECT(ADDRESS(12,3+18*3+(9),,,"J1 A - (North) Bishopthorpe Roa")&amp;":"&amp;ADDRESS(130,3+18*3+(9))),'J1 A - (North) Bishopthorpe Roa'!$A$12:$A$130,"&gt;="&amp;Diagram!$O67,'J1 A - (North) Bishopthorpe Roa'!$A$12:$A$130,"&lt;"&amp;Diagram!$P67)))</f>
        <v>0</v>
      </c>
      <c r="AK67" s="42">
        <f ca="1">IF(OR($I$10="",$O67="",$P67="",$J$36&lt;&gt;"Yes"),0,IF($K$10=0,SUMIFS(INDIRECT(ADDRESS(12,3+18*0+(1),,,"J1 A - (North) Bishopthorpe Roa")&amp;":"&amp;ADDRESS(130,3+18*0+(1))),'J1 A - (North) Bishopthorpe Roa'!$A$12:$A$130,"&gt;="&amp;Diagram!$O67,'J1 A - (North) Bishopthorpe Roa'!$A$12:$A$130,"&lt;"&amp;Diagram!$P67),SUMIFS(INDIRECT(ADDRESS(12,3+18*0+(9),,,"J1 A - (North) Bishopthorpe Roa")&amp;":"&amp;ADDRESS(130,3+18*0+(9))),'J1 A - (North) Bishopthorpe Roa'!$A$12:$A$130,"&gt;="&amp;Diagram!$O67,'J1 A - (North) Bishopthorpe Roa'!$A$12:$A$130,"&lt;"&amp;Diagram!$P67)))</f>
        <v>2</v>
      </c>
      <c r="AL67" s="42">
        <f ca="1">IF(OR($I$10="",$O67="",$P67="",$J$36&lt;&gt;"Yes"),0,IF($K$10=0,SUMIFS(INDIRECT(ADDRESS(12,3+18*1+(1),,,"J1 A - (North) Bishopthorpe Roa")&amp;":"&amp;ADDRESS(130,3+18*1+(1))),'J1 A - (North) Bishopthorpe Roa'!$A$12:$A$130,"&gt;="&amp;Diagram!$O67,'J1 A - (North) Bishopthorpe Roa'!$A$12:$A$130,"&lt;"&amp;Diagram!$P67),SUMIFS(INDIRECT(ADDRESS(12,3+18*1+(9),,,"J1 A - (North) Bishopthorpe Roa")&amp;":"&amp;ADDRESS(130,3+18*1+(9))),'J1 A - (North) Bishopthorpe Roa'!$A$12:$A$130,"&gt;="&amp;Diagram!$O67,'J1 A - (North) Bishopthorpe Roa'!$A$12:$A$130,"&lt;"&amp;Diagram!$P67)))</f>
        <v>15</v>
      </c>
      <c r="AM67" s="42">
        <f ca="1">IF(OR($I$10="",$O67="",$P67="",$J$36&lt;&gt;"Yes"),0,IF($K$10=0,SUMIFS(INDIRECT(ADDRESS(12,3+18*2+(1),,,"J1 A - (North) Bishopthorpe Roa")&amp;":"&amp;ADDRESS(130,3+18*2+(1))),'J1 A - (North) Bishopthorpe Roa'!$A$12:$A$130,"&gt;="&amp;Diagram!$O67,'J1 A - (North) Bishopthorpe Roa'!$A$12:$A$130,"&lt;"&amp;Diagram!$P67),SUMIFS(INDIRECT(ADDRESS(12,3+18*2+(9),,,"J1 A - (North) Bishopthorpe Roa")&amp;":"&amp;ADDRESS(130,3+18*2+(9))),'J1 A - (North) Bishopthorpe Roa'!$A$12:$A$130,"&gt;="&amp;Diagram!$O67,'J1 A - (North) Bishopthorpe Roa'!$A$12:$A$130,"&lt;"&amp;Diagram!$P67)))</f>
        <v>3</v>
      </c>
      <c r="AN67" s="42">
        <f ca="1">IF(OR($I$10="",$O67="",$P67="",$J$36&lt;&gt;"Yes"),0,IF($K$10=0,SUMIFS(INDIRECT(ADDRESS(12,3+18*2+(1),,,"J1 B - Butcher Terrace")&amp;":"&amp;ADDRESS(130,3+18*2+(1))),'J1 B - Butcher Terrace'!$A$12:$A$130,"&gt;="&amp;Diagram!$O67,'J1 B - Butcher Terrace'!$A$12:$A$130,"&lt;"&amp;Diagram!$P67),SUMIFS(INDIRECT(ADDRESS(12,3+18*2+(9),,,"J1 B - Butcher Terrace")&amp;":"&amp;ADDRESS(130,3+18*2+(9))),'J1 B - Butcher Terrace'!$A$12:$A$130,"&gt;="&amp;Diagram!$O67,'J1 B - Butcher Terrace'!$A$12:$A$130,"&lt;"&amp;Diagram!$P67)))</f>
        <v>0</v>
      </c>
      <c r="AO67" s="42">
        <f ca="1">IF(OR($I$10="",$O67="",$P67="",$J$36&lt;&gt;"Yes"),0,IF($K$10=0,SUMIFS(INDIRECT(ADDRESS(12,3+18*3+(1),,,"J1 B - Butcher Terrace")&amp;":"&amp;ADDRESS(130,3+18*3+(1))),'J1 B - Butcher Terrace'!$A$12:$A$130,"&gt;="&amp;Diagram!$O67,'J1 B - Butcher Terrace'!$A$12:$A$130,"&lt;"&amp;Diagram!$P67),SUMIFS(INDIRECT(ADDRESS(12,3+18*3+(9),,,"J1 B - Butcher Terrace")&amp;":"&amp;ADDRESS(130,3+18*3+(9))),'J1 B - Butcher Terrace'!$A$12:$A$130,"&gt;="&amp;Diagram!$O67,'J1 B - Butcher Terrace'!$A$12:$A$130,"&lt;"&amp;Diagram!$P67)))</f>
        <v>0</v>
      </c>
      <c r="AP67" s="42">
        <f ca="1">IF(OR($I$10="",$O67="",$P67="",$J$36&lt;&gt;"Yes"),0,IF($K$10=0,SUMIFS(INDIRECT(ADDRESS(12,3+18*0+(1),,,"J1 B - Butcher Terrace")&amp;":"&amp;ADDRESS(130,3+18*0+(1))),'J1 B - Butcher Terrace'!$A$12:$A$130,"&gt;="&amp;Diagram!$O67,'J1 B - Butcher Terrace'!$A$12:$A$130,"&lt;"&amp;Diagram!$P67),SUMIFS(INDIRECT(ADDRESS(12,3+18*0+(9),,,"J1 B - Butcher Terrace")&amp;":"&amp;ADDRESS(130,3+18*0+(9))),'J1 B - Butcher Terrace'!$A$12:$A$130,"&gt;="&amp;Diagram!$O67,'J1 B - Butcher Terrace'!$A$12:$A$130,"&lt;"&amp;Diagram!$P67)))</f>
        <v>2</v>
      </c>
      <c r="AQ67" s="42">
        <f ca="1">IF(OR($I$10="",$O67="",$P67="",$J$36&lt;&gt;"Yes"),0,IF($K$10=0,SUMIFS(INDIRECT(ADDRESS(12,3+18*1+(1),,,"J1 B - Butcher Terrace")&amp;":"&amp;ADDRESS(130,3+18*1+(1))),'J1 B - Butcher Terrace'!$A$12:$A$130,"&gt;="&amp;Diagram!$O67,'J1 B - Butcher Terrace'!$A$12:$A$130,"&lt;"&amp;Diagram!$P67),SUMIFS(INDIRECT(ADDRESS(12,3+18*1+(9),,,"J1 B - Butcher Terrace")&amp;":"&amp;ADDRESS(130,3+18*1+(9))),'J1 B - Butcher Terrace'!$A$12:$A$130,"&gt;="&amp;Diagram!$O67,'J1 B - Butcher Terrace'!$A$12:$A$130,"&lt;"&amp;Diagram!$P67)))</f>
        <v>0</v>
      </c>
      <c r="AR67" s="42">
        <f ca="1">IF(OR($I$10="",$O67="",$P67="",$J$36&lt;&gt;"Yes"),0,IF($K$10=0,SUMIFS(INDIRECT(ADDRESS(12,3+18*1+(1),,,"J1 C - (South) Bishopthorpe Roa")&amp;":"&amp;ADDRESS(130,3+18*1+(1))),'J1 C - (South) Bishopthorpe Roa'!$A$12:$A$130,"&gt;="&amp;Diagram!$O67,'J1 C - (South) Bishopthorpe Roa'!$A$12:$A$130,"&lt;"&amp;Diagram!$P67),SUMIFS(INDIRECT(ADDRESS(12,3+18*1+(9),,,"J1 C - (South) Bishopthorpe Roa")&amp;":"&amp;ADDRESS(130,3+18*1+(9))),'J1 C - (South) Bishopthorpe Roa'!$A$12:$A$130,"&gt;="&amp;Diagram!$O67,'J1 C - (South) Bishopthorpe Roa'!$A$12:$A$130,"&lt;"&amp;Diagram!$P67)))</f>
        <v>15</v>
      </c>
      <c r="AS67" s="42">
        <f ca="1">IF(OR($I$10="",$O67="",$P67="",$J$36&lt;&gt;"Yes"),0,IF($K$10=0,SUMIFS(INDIRECT(ADDRESS(12,3+18*2+(1),,,"J1 C - (South) Bishopthorpe Roa")&amp;":"&amp;ADDRESS(130,3+18*2+(1))),'J1 C - (South) Bishopthorpe Roa'!$A$12:$A$130,"&gt;="&amp;Diagram!$O67,'J1 C - (South) Bishopthorpe Roa'!$A$12:$A$130,"&lt;"&amp;Diagram!$P67),SUMIFS(INDIRECT(ADDRESS(12,3+18*2+(9),,,"J1 C - (South) Bishopthorpe Roa")&amp;":"&amp;ADDRESS(130,3+18*2+(9))),'J1 C - (South) Bishopthorpe Roa'!$A$12:$A$130,"&gt;="&amp;Diagram!$O67,'J1 C - (South) Bishopthorpe Roa'!$A$12:$A$130,"&lt;"&amp;Diagram!$P67)))</f>
        <v>1</v>
      </c>
      <c r="AT67" s="42">
        <f ca="1">IF(OR($I$10="",$O67="",$P67="",$J$36&lt;&gt;"Yes"),0,IF($K$10=0,SUMIFS(INDIRECT(ADDRESS(12,3+18*3+(1),,,"J1 C - (South) Bishopthorpe Roa")&amp;":"&amp;ADDRESS(130,3+18*3+(1))),'J1 C - (South) Bishopthorpe Roa'!$A$12:$A$130,"&gt;="&amp;Diagram!$O67,'J1 C - (South) Bishopthorpe Roa'!$A$12:$A$130,"&lt;"&amp;Diagram!$P67),SUMIFS(INDIRECT(ADDRESS(12,3+18*3+(9),,,"J1 C - (South) Bishopthorpe Roa")&amp;":"&amp;ADDRESS(130,3+18*3+(9))),'J1 C - (South) Bishopthorpe Roa'!$A$12:$A$130,"&gt;="&amp;Diagram!$O67,'J1 C - (South) Bishopthorpe Roa'!$A$12:$A$130,"&lt;"&amp;Diagram!$P67)))</f>
        <v>0</v>
      </c>
      <c r="AU67" s="42">
        <f ca="1">IF(OR($I$10="",$O67="",$P67="",$J$36&lt;&gt;"Yes"),0,IF($K$10=0,SUMIFS(INDIRECT(ADDRESS(12,3+18*0+(1),,,"J1 C - (South) Bishopthorpe Roa")&amp;":"&amp;ADDRESS(130,3+18*0+(1))),'J1 C - (South) Bishopthorpe Roa'!$A$12:$A$130,"&gt;="&amp;Diagram!$O67,'J1 C - (South) Bishopthorpe Roa'!$A$12:$A$130,"&lt;"&amp;Diagram!$P67),SUMIFS(INDIRECT(ADDRESS(12,3+18*0+(9),,,"J1 C - (South) Bishopthorpe Roa")&amp;":"&amp;ADDRESS(130,3+18*0+(9))),'J1 C - (South) Bishopthorpe Roa'!$A$12:$A$130,"&gt;="&amp;Diagram!$O67,'J1 C - (South) Bishopthorpe Roa'!$A$12:$A$130,"&lt;"&amp;Diagram!$P67)))</f>
        <v>1</v>
      </c>
      <c r="AV67" s="42">
        <f ca="1">IF(OR($I$10="",$O67="",$P67="",$J$36&lt;&gt;"Yes"),0,IF($K$10=0,SUMIFS(INDIRECT(ADDRESS(12,3+18*0+(1),,,"J1 D - South Bank Avenue")&amp;":"&amp;ADDRESS(130,3+18*0+(1))),'J1 D - South Bank Avenue'!$A$12:$A$130,"&gt;="&amp;Diagram!$O67,'J1 D - South Bank Avenue'!$A$12:$A$130,"&lt;"&amp;Diagram!$P67),SUMIFS(INDIRECT(ADDRESS(12,3+18*0+(9),,,"J1 D - South Bank Avenue")&amp;":"&amp;ADDRESS(130,3+18*0+(9))),'J1 D - South Bank Avenue'!$A$12:$A$130,"&gt;="&amp;Diagram!$O67,'J1 D - South Bank Avenue'!$A$12:$A$130,"&lt;"&amp;Diagram!$P67)))</f>
        <v>0</v>
      </c>
      <c r="AW67" s="42">
        <f ca="1">IF(OR($I$10="",$O67="",$P67="",$J$36&lt;&gt;"Yes"),0,IF($K$10=0,SUMIFS(INDIRECT(ADDRESS(12,3+18*1+(1),,,"J1 D - South Bank Avenue")&amp;":"&amp;ADDRESS(130,3+18*1+(1))),'J1 D - South Bank Avenue'!$A$12:$A$130,"&gt;="&amp;Diagram!$O67,'J1 D - South Bank Avenue'!$A$12:$A$130,"&lt;"&amp;Diagram!$P67),SUMIFS(INDIRECT(ADDRESS(12,3+18*1+(9),,,"J1 D - South Bank Avenue")&amp;":"&amp;ADDRESS(130,3+18*1+(9))),'J1 D - South Bank Avenue'!$A$12:$A$130,"&gt;="&amp;Diagram!$O67,'J1 D - South Bank Avenue'!$A$12:$A$130,"&lt;"&amp;Diagram!$P67)))</f>
        <v>0</v>
      </c>
      <c r="AX67" s="42">
        <f ca="1">IF(OR($I$10="",$O67="",$P67="",$J$36&lt;&gt;"Yes"),0,IF($K$10=0,SUMIFS(INDIRECT(ADDRESS(12,3+18*2+(1),,,"J1 D - South Bank Avenue")&amp;":"&amp;ADDRESS(130,3+18*2+(1))),'J1 D - South Bank Avenue'!$A$12:$A$130,"&gt;="&amp;Diagram!$O67,'J1 D - South Bank Avenue'!$A$12:$A$130,"&lt;"&amp;Diagram!$P67),SUMIFS(INDIRECT(ADDRESS(12,3+18*2+(9),,,"J1 D - South Bank Avenue")&amp;":"&amp;ADDRESS(130,3+18*2+(9))),'J1 D - South Bank Avenue'!$A$12:$A$130,"&gt;="&amp;Diagram!$O67,'J1 D - South Bank Avenue'!$A$12:$A$130,"&lt;"&amp;Diagram!$P67)))</f>
        <v>0</v>
      </c>
      <c r="AY67" s="42">
        <f ca="1">IF(OR($I$10="",$O67="",$P67="",$J$36&lt;&gt;"Yes"),0,IF($K$10=0,SUMIFS(INDIRECT(ADDRESS(12,3+18*3+(1),,,"J1 D - South Bank Avenue")&amp;":"&amp;ADDRESS(130,3+18*3+(1))),'J1 D - South Bank Avenue'!$A$12:$A$130,"&gt;="&amp;Diagram!$O67,'J1 D - South Bank Avenue'!$A$12:$A$130,"&lt;"&amp;Diagram!$P67),SUMIFS(INDIRECT(ADDRESS(12,3+18*3+(9),,,"J1 D - South Bank Avenue")&amp;":"&amp;ADDRESS(130,3+18*3+(9))),'J1 D - South Bank Avenue'!$A$12:$A$130,"&gt;="&amp;Diagram!$O67,'J1 D - South Bank Avenue'!$A$12:$A$130,"&lt;"&amp;Diagram!$P67)))</f>
        <v>0</v>
      </c>
      <c r="AZ67" s="42">
        <f t="shared" ca="1" si="13"/>
        <v>4</v>
      </c>
      <c r="BA67" s="42">
        <f ca="1">IF(OR($I$10="",$O67="",$P67="",$J$37&lt;&gt;"Yes"),0,IF($K$10=0,SUMIFS(INDIRECT(ADDRESS(12,3+18*3+(2),,,"J1 A - (North) Bishopthorpe Roa")&amp;":"&amp;ADDRESS(130,3+18*3+(2))),'J1 A - (North) Bishopthorpe Roa'!$A$12:$A$130,"&gt;="&amp;Diagram!$O67,'J1 A - (North) Bishopthorpe Roa'!$A$12:$A$130,"&lt;"&amp;Diagram!$P67),SUMIFS(INDIRECT(ADDRESS(12,3+18*3+(10),,,"J1 A - (North) Bishopthorpe Roa")&amp;":"&amp;ADDRESS(130,3+18*3+(10))),'J1 A - (North) Bishopthorpe Roa'!$A$12:$A$130,"&gt;="&amp;Diagram!$O67,'J1 A - (North) Bishopthorpe Roa'!$A$12:$A$130,"&lt;"&amp;Diagram!$P67)))</f>
        <v>0</v>
      </c>
      <c r="BB67" s="42">
        <f ca="1">IF(OR($I$10="",$O67="",$P67="",$J$37&lt;&gt;"Yes"),0,IF($K$10=0,SUMIFS(INDIRECT(ADDRESS(12,3+18*0+(2),,,"J1 A - (North) Bishopthorpe Roa")&amp;":"&amp;ADDRESS(130,3+18*0+(2))),'J1 A - (North) Bishopthorpe Roa'!$A$12:$A$130,"&gt;="&amp;Diagram!$O67,'J1 A - (North) Bishopthorpe Roa'!$A$12:$A$130,"&lt;"&amp;Diagram!$P67),SUMIFS(INDIRECT(ADDRESS(12,3+18*0+(10),,,"J1 A - (North) Bishopthorpe Roa")&amp;":"&amp;ADDRESS(130,3+18*0+(10))),'J1 A - (North) Bishopthorpe Roa'!$A$12:$A$130,"&gt;="&amp;Diagram!$O67,'J1 A - (North) Bishopthorpe Roa'!$A$12:$A$130,"&lt;"&amp;Diagram!$P67)))</f>
        <v>0</v>
      </c>
      <c r="BC67" s="42">
        <f ca="1">IF(OR($I$10="",$O67="",$P67="",$J$37&lt;&gt;"Yes"),0,IF($K$10=0,SUMIFS(INDIRECT(ADDRESS(12,3+18*1+(2),,,"J1 A - (North) Bishopthorpe Roa")&amp;":"&amp;ADDRESS(130,3+18*1+(2))),'J1 A - (North) Bishopthorpe Roa'!$A$12:$A$130,"&gt;="&amp;Diagram!$O67,'J1 A - (North) Bishopthorpe Roa'!$A$12:$A$130,"&lt;"&amp;Diagram!$P67),SUMIFS(INDIRECT(ADDRESS(12,3+18*1+(10),,,"J1 A - (North) Bishopthorpe Roa")&amp;":"&amp;ADDRESS(130,3+18*1+(10))),'J1 A - (North) Bishopthorpe Roa'!$A$12:$A$130,"&gt;="&amp;Diagram!$O67,'J1 A - (North) Bishopthorpe Roa'!$A$12:$A$130,"&lt;"&amp;Diagram!$P67)))</f>
        <v>0</v>
      </c>
      <c r="BD67" s="42">
        <f ca="1">IF(OR($I$10="",$O67="",$P67="",$J$37&lt;&gt;"Yes"),0,IF($K$10=0,SUMIFS(INDIRECT(ADDRESS(12,3+18*2+(2),,,"J1 A - (North) Bishopthorpe Roa")&amp;":"&amp;ADDRESS(130,3+18*2+(2))),'J1 A - (North) Bishopthorpe Roa'!$A$12:$A$130,"&gt;="&amp;Diagram!$O67,'J1 A - (North) Bishopthorpe Roa'!$A$12:$A$130,"&lt;"&amp;Diagram!$P67),SUMIFS(INDIRECT(ADDRESS(12,3+18*2+(10),,,"J1 A - (North) Bishopthorpe Roa")&amp;":"&amp;ADDRESS(130,3+18*2+(10))),'J1 A - (North) Bishopthorpe Roa'!$A$12:$A$130,"&gt;="&amp;Diagram!$O67,'J1 A - (North) Bishopthorpe Roa'!$A$12:$A$130,"&lt;"&amp;Diagram!$P67)))</f>
        <v>1</v>
      </c>
      <c r="BE67" s="42">
        <f ca="1">IF(OR($I$10="",$O67="",$P67="",$J$37&lt;&gt;"Yes"),0,IF($K$10=0,SUMIFS(INDIRECT(ADDRESS(12,3+18*2+(2),,,"J1 B - Butcher Terrace")&amp;":"&amp;ADDRESS(130,3+18*2+(2))),'J1 B - Butcher Terrace'!$A$12:$A$130,"&gt;="&amp;Diagram!$O67,'J1 B - Butcher Terrace'!$A$12:$A$130,"&lt;"&amp;Diagram!$P67),SUMIFS(INDIRECT(ADDRESS(12,3+18*2+(10),,,"J1 B - Butcher Terrace")&amp;":"&amp;ADDRESS(130,3+18*2+(10))),'J1 B - Butcher Terrace'!$A$12:$A$130,"&gt;="&amp;Diagram!$O67,'J1 B - Butcher Terrace'!$A$12:$A$130,"&lt;"&amp;Diagram!$P67)))</f>
        <v>0</v>
      </c>
      <c r="BF67" s="42">
        <f ca="1">IF(OR($I$10="",$O67="",$P67="",$J$37&lt;&gt;"Yes"),0,IF($K$10=0,SUMIFS(INDIRECT(ADDRESS(12,3+18*3+(2),,,"J1 B - Butcher Terrace")&amp;":"&amp;ADDRESS(130,3+18*3+(2))),'J1 B - Butcher Terrace'!$A$12:$A$130,"&gt;="&amp;Diagram!$O67,'J1 B - Butcher Terrace'!$A$12:$A$130,"&lt;"&amp;Diagram!$P67),SUMIFS(INDIRECT(ADDRESS(12,3+18*3+(10),,,"J1 B - Butcher Terrace")&amp;":"&amp;ADDRESS(130,3+18*3+(10))),'J1 B - Butcher Terrace'!$A$12:$A$130,"&gt;="&amp;Diagram!$O67,'J1 B - Butcher Terrace'!$A$12:$A$130,"&lt;"&amp;Diagram!$P67)))</f>
        <v>0</v>
      </c>
      <c r="BG67" s="42">
        <f ca="1">IF(OR($I$10="",$O67="",$P67="",$J$37&lt;&gt;"Yes"),0,IF($K$10=0,SUMIFS(INDIRECT(ADDRESS(12,3+18*0+(2),,,"J1 B - Butcher Terrace")&amp;":"&amp;ADDRESS(130,3+18*0+(2))),'J1 B - Butcher Terrace'!$A$12:$A$130,"&gt;="&amp;Diagram!$O67,'J1 B - Butcher Terrace'!$A$12:$A$130,"&lt;"&amp;Diagram!$P67),SUMIFS(INDIRECT(ADDRESS(12,3+18*0+(10),,,"J1 B - Butcher Terrace")&amp;":"&amp;ADDRESS(130,3+18*0+(10))),'J1 B - Butcher Terrace'!$A$12:$A$130,"&gt;="&amp;Diagram!$O67,'J1 B - Butcher Terrace'!$A$12:$A$130,"&lt;"&amp;Diagram!$P67)))</f>
        <v>0</v>
      </c>
      <c r="BH67" s="42">
        <f ca="1">IF(OR($I$10="",$O67="",$P67="",$J$37&lt;&gt;"Yes"),0,IF($K$10=0,SUMIFS(INDIRECT(ADDRESS(12,3+18*1+(2),,,"J1 B - Butcher Terrace")&amp;":"&amp;ADDRESS(130,3+18*1+(2))),'J1 B - Butcher Terrace'!$A$12:$A$130,"&gt;="&amp;Diagram!$O67,'J1 B - Butcher Terrace'!$A$12:$A$130,"&lt;"&amp;Diagram!$P67),SUMIFS(INDIRECT(ADDRESS(12,3+18*1+(10),,,"J1 B - Butcher Terrace")&amp;":"&amp;ADDRESS(130,3+18*1+(10))),'J1 B - Butcher Terrace'!$A$12:$A$130,"&gt;="&amp;Diagram!$O67,'J1 B - Butcher Terrace'!$A$12:$A$130,"&lt;"&amp;Diagram!$P67)))</f>
        <v>0</v>
      </c>
      <c r="BI67" s="42">
        <f ca="1">IF(OR($I$10="",$O67="",$P67="",$J$37&lt;&gt;"Yes"),0,IF($K$10=0,SUMIFS(INDIRECT(ADDRESS(12,3+18*1+(2),,,"J1 C - (South) Bishopthorpe Roa")&amp;":"&amp;ADDRESS(130,3+18*1+(2))),'J1 C - (South) Bishopthorpe Roa'!$A$12:$A$130,"&gt;="&amp;Diagram!$O67,'J1 C - (South) Bishopthorpe Roa'!$A$12:$A$130,"&lt;"&amp;Diagram!$P67),SUMIFS(INDIRECT(ADDRESS(12,3+18*1+(10),,,"J1 C - (South) Bishopthorpe Roa")&amp;":"&amp;ADDRESS(130,3+18*1+(10))),'J1 C - (South) Bishopthorpe Roa'!$A$12:$A$130,"&gt;="&amp;Diagram!$O67,'J1 C - (South) Bishopthorpe Roa'!$A$12:$A$130,"&lt;"&amp;Diagram!$P67)))</f>
        <v>3</v>
      </c>
      <c r="BJ67" s="42">
        <f ca="1">IF(OR($I$10="",$O67="",$P67="",$J$37&lt;&gt;"Yes"),0,IF($K$10=0,SUMIFS(INDIRECT(ADDRESS(12,3+18*2+(2),,,"J1 C - (South) Bishopthorpe Roa")&amp;":"&amp;ADDRESS(130,3+18*2+(2))),'J1 C - (South) Bishopthorpe Roa'!$A$12:$A$130,"&gt;="&amp;Diagram!$O67,'J1 C - (South) Bishopthorpe Roa'!$A$12:$A$130,"&lt;"&amp;Diagram!$P67),SUMIFS(INDIRECT(ADDRESS(12,3+18*2+(10),,,"J1 C - (South) Bishopthorpe Roa")&amp;":"&amp;ADDRESS(130,3+18*2+(10))),'J1 C - (South) Bishopthorpe Roa'!$A$12:$A$130,"&gt;="&amp;Diagram!$O67,'J1 C - (South) Bishopthorpe Roa'!$A$12:$A$130,"&lt;"&amp;Diagram!$P67)))</f>
        <v>0</v>
      </c>
      <c r="BK67" s="42">
        <f ca="1">IF(OR($I$10="",$O67="",$P67="",$J$37&lt;&gt;"Yes"),0,IF($K$10=0,SUMIFS(INDIRECT(ADDRESS(12,3+18*3+(2),,,"J1 C - (South) Bishopthorpe Roa")&amp;":"&amp;ADDRESS(130,3+18*3+(2))),'J1 C - (South) Bishopthorpe Roa'!$A$12:$A$130,"&gt;="&amp;Diagram!$O67,'J1 C - (South) Bishopthorpe Roa'!$A$12:$A$130,"&lt;"&amp;Diagram!$P67),SUMIFS(INDIRECT(ADDRESS(12,3+18*3+(10),,,"J1 C - (South) Bishopthorpe Roa")&amp;":"&amp;ADDRESS(130,3+18*3+(10))),'J1 C - (South) Bishopthorpe Roa'!$A$12:$A$130,"&gt;="&amp;Diagram!$O67,'J1 C - (South) Bishopthorpe Roa'!$A$12:$A$130,"&lt;"&amp;Diagram!$P67)))</f>
        <v>0</v>
      </c>
      <c r="BL67" s="42">
        <f ca="1">IF(OR($I$10="",$O67="",$P67="",$J$37&lt;&gt;"Yes"),0,IF($K$10=0,SUMIFS(INDIRECT(ADDRESS(12,3+18*0+(2),,,"J1 C - (South) Bishopthorpe Roa")&amp;":"&amp;ADDRESS(130,3+18*0+(2))),'J1 C - (South) Bishopthorpe Roa'!$A$12:$A$130,"&gt;="&amp;Diagram!$O67,'J1 C - (South) Bishopthorpe Roa'!$A$12:$A$130,"&lt;"&amp;Diagram!$P67),SUMIFS(INDIRECT(ADDRESS(12,3+18*0+(10),,,"J1 C - (South) Bishopthorpe Roa")&amp;":"&amp;ADDRESS(130,3+18*0+(10))),'J1 C - (South) Bishopthorpe Roa'!$A$12:$A$130,"&gt;="&amp;Diagram!$O67,'J1 C - (South) Bishopthorpe Roa'!$A$12:$A$130,"&lt;"&amp;Diagram!$P67)))</f>
        <v>0</v>
      </c>
      <c r="BM67" s="42">
        <f ca="1">IF(OR($I$10="",$O67="",$P67="",$J$37&lt;&gt;"Yes"),0,IF($K$10=0,SUMIFS(INDIRECT(ADDRESS(12,3+18*0+(2),,,"J1 D - South Bank Avenue")&amp;":"&amp;ADDRESS(130,3+18*0+(2))),'J1 D - South Bank Avenue'!$A$12:$A$130,"&gt;="&amp;Diagram!$O67,'J1 D - South Bank Avenue'!$A$12:$A$130,"&lt;"&amp;Diagram!$P67),SUMIFS(INDIRECT(ADDRESS(12,3+18*0+(10),,,"J1 D - South Bank Avenue")&amp;":"&amp;ADDRESS(130,3+18*0+(10))),'J1 D - South Bank Avenue'!$A$12:$A$130,"&gt;="&amp;Diagram!$O67,'J1 D - South Bank Avenue'!$A$12:$A$130,"&lt;"&amp;Diagram!$P67)))</f>
        <v>0</v>
      </c>
      <c r="BN67" s="42">
        <f ca="1">IF(OR($I$10="",$O67="",$P67="",$J$37&lt;&gt;"Yes"),0,IF($K$10=0,SUMIFS(INDIRECT(ADDRESS(12,3+18*1+(2),,,"J1 D - South Bank Avenue")&amp;":"&amp;ADDRESS(130,3+18*1+(2))),'J1 D - South Bank Avenue'!$A$12:$A$130,"&gt;="&amp;Diagram!$O67,'J1 D - South Bank Avenue'!$A$12:$A$130,"&lt;"&amp;Diagram!$P67),SUMIFS(INDIRECT(ADDRESS(12,3+18*1+(10),,,"J1 D - South Bank Avenue")&amp;":"&amp;ADDRESS(130,3+18*1+(10))),'J1 D - South Bank Avenue'!$A$12:$A$130,"&gt;="&amp;Diagram!$O67,'J1 D - South Bank Avenue'!$A$12:$A$130,"&lt;"&amp;Diagram!$P67)))</f>
        <v>0</v>
      </c>
      <c r="BO67" s="42">
        <f ca="1">IF(OR($I$10="",$O67="",$P67="",$J$37&lt;&gt;"Yes"),0,IF($K$10=0,SUMIFS(INDIRECT(ADDRESS(12,3+18*2+(2),,,"J1 D - South Bank Avenue")&amp;":"&amp;ADDRESS(130,3+18*2+(2))),'J1 D - South Bank Avenue'!$A$12:$A$130,"&gt;="&amp;Diagram!$O67,'J1 D - South Bank Avenue'!$A$12:$A$130,"&lt;"&amp;Diagram!$P67),SUMIFS(INDIRECT(ADDRESS(12,3+18*2+(10),,,"J1 D - South Bank Avenue")&amp;":"&amp;ADDRESS(130,3+18*2+(10))),'J1 D - South Bank Avenue'!$A$12:$A$130,"&gt;="&amp;Diagram!$O67,'J1 D - South Bank Avenue'!$A$12:$A$130,"&lt;"&amp;Diagram!$P67)))</f>
        <v>0</v>
      </c>
      <c r="BP67" s="42">
        <f ca="1">IF(OR($I$10="",$O67="",$P67="",$J$37&lt;&gt;"Yes"),0,IF($K$10=0,SUMIFS(INDIRECT(ADDRESS(12,3+18*3+(2),,,"J1 D - South Bank Avenue")&amp;":"&amp;ADDRESS(130,3+18*3+(2))),'J1 D - South Bank Avenue'!$A$12:$A$130,"&gt;="&amp;Diagram!$O67,'J1 D - South Bank Avenue'!$A$12:$A$130,"&lt;"&amp;Diagram!$P67),SUMIFS(INDIRECT(ADDRESS(12,3+18*3+(10),,,"J1 D - South Bank Avenue")&amp;":"&amp;ADDRESS(130,3+18*3+(10))),'J1 D - South Bank Avenue'!$A$12:$A$130,"&gt;="&amp;Diagram!$O67,'J1 D - South Bank Avenue'!$A$12:$A$130,"&lt;"&amp;Diagram!$P67)))</f>
        <v>0</v>
      </c>
      <c r="BQ67" s="42">
        <f t="shared" ca="1" si="14"/>
        <v>0</v>
      </c>
      <c r="BR67" s="42">
        <f ca="1">IF(OR($I$10="",$O67="",$P67="",$J$38&lt;&gt;"Yes"),0,IF($K$10=0,SUMIFS(INDIRECT(ADDRESS(12,3+18*3+(3),,,"J1 A - (North) Bishopthorpe Roa")&amp;":"&amp;ADDRESS(130,3+18*3+(3))),'J1 A - (North) Bishopthorpe Roa'!$A$12:$A$130,"&gt;="&amp;Diagram!$O67,'J1 A - (North) Bishopthorpe Roa'!$A$12:$A$130,"&lt;"&amp;Diagram!$P67),SUMIFS(INDIRECT(ADDRESS(12,3+18*3+(11),,,"J1 A - (North) Bishopthorpe Roa")&amp;":"&amp;ADDRESS(130,3+18*3+(11))),'J1 A - (North) Bishopthorpe Roa'!$A$12:$A$130,"&gt;="&amp;Diagram!$O67,'J1 A - (North) Bishopthorpe Roa'!$A$12:$A$130,"&lt;"&amp;Diagram!$P67)))</f>
        <v>0</v>
      </c>
      <c r="BS67" s="42">
        <f ca="1">IF(OR($I$10="",$O67="",$P67="",$J$38&lt;&gt;"Yes"),0,IF($K$10=0,SUMIFS(INDIRECT(ADDRESS(12,3+18*0+(3),,,"J1 A - (North) Bishopthorpe Roa")&amp;":"&amp;ADDRESS(130,3+18*0+(3))),'J1 A - (North) Bishopthorpe Roa'!$A$12:$A$130,"&gt;="&amp;Diagram!$O67,'J1 A - (North) Bishopthorpe Roa'!$A$12:$A$130,"&lt;"&amp;Diagram!$P67),SUMIFS(INDIRECT(ADDRESS(12,3+18*0+(11),,,"J1 A - (North) Bishopthorpe Roa")&amp;":"&amp;ADDRESS(130,3+18*0+(11))),'J1 A - (North) Bishopthorpe Roa'!$A$12:$A$130,"&gt;="&amp;Diagram!$O67,'J1 A - (North) Bishopthorpe Roa'!$A$12:$A$130,"&lt;"&amp;Diagram!$P67)))</f>
        <v>0</v>
      </c>
      <c r="BT67" s="42">
        <f ca="1">IF(OR($I$10="",$O67="",$P67="",$J$38&lt;&gt;"Yes"),0,IF($K$10=0,SUMIFS(INDIRECT(ADDRESS(12,3+18*1+(3),,,"J1 A - (North) Bishopthorpe Roa")&amp;":"&amp;ADDRESS(130,3+18*1+(3))),'J1 A - (North) Bishopthorpe Roa'!$A$12:$A$130,"&gt;="&amp;Diagram!$O67,'J1 A - (North) Bishopthorpe Roa'!$A$12:$A$130,"&lt;"&amp;Diagram!$P67),SUMIFS(INDIRECT(ADDRESS(12,3+18*1+(11),,,"J1 A - (North) Bishopthorpe Roa")&amp;":"&amp;ADDRESS(130,3+18*1+(11))),'J1 A - (North) Bishopthorpe Roa'!$A$12:$A$130,"&gt;="&amp;Diagram!$O67,'J1 A - (North) Bishopthorpe Roa'!$A$12:$A$130,"&lt;"&amp;Diagram!$P67)))</f>
        <v>0</v>
      </c>
      <c r="BU67" s="42">
        <f ca="1">IF(OR($I$10="",$O67="",$P67="",$J$38&lt;&gt;"Yes"),0,IF($K$10=0,SUMIFS(INDIRECT(ADDRESS(12,3+18*2+(3),,,"J1 A - (North) Bishopthorpe Roa")&amp;":"&amp;ADDRESS(130,3+18*2+(3))),'J1 A - (North) Bishopthorpe Roa'!$A$12:$A$130,"&gt;="&amp;Diagram!$O67,'J1 A - (North) Bishopthorpe Roa'!$A$12:$A$130,"&lt;"&amp;Diagram!$P67),SUMIFS(INDIRECT(ADDRESS(12,3+18*2+(11),,,"J1 A - (North) Bishopthorpe Roa")&amp;":"&amp;ADDRESS(130,3+18*2+(11))),'J1 A - (North) Bishopthorpe Roa'!$A$12:$A$130,"&gt;="&amp;Diagram!$O67,'J1 A - (North) Bishopthorpe Roa'!$A$12:$A$130,"&lt;"&amp;Diagram!$P67)))</f>
        <v>0</v>
      </c>
      <c r="BV67" s="42">
        <f ca="1">IF(OR($I$10="",$O67="",$P67="",$J$38&lt;&gt;"Yes"),0,IF($K$10=0,SUMIFS(INDIRECT(ADDRESS(12,3+18*2+(3),,,"J1 B - Butcher Terrace")&amp;":"&amp;ADDRESS(130,3+18*2+(3))),'J1 B - Butcher Terrace'!$A$12:$A$130,"&gt;="&amp;Diagram!$O67,'J1 B - Butcher Terrace'!$A$12:$A$130,"&lt;"&amp;Diagram!$P67),SUMIFS(INDIRECT(ADDRESS(12,3+18*2+(11),,,"J1 B - Butcher Terrace")&amp;":"&amp;ADDRESS(130,3+18*2+(11))),'J1 B - Butcher Terrace'!$A$12:$A$130,"&gt;="&amp;Diagram!$O67,'J1 B - Butcher Terrace'!$A$12:$A$130,"&lt;"&amp;Diagram!$P67)))</f>
        <v>0</v>
      </c>
      <c r="BW67" s="42">
        <f ca="1">IF(OR($I$10="",$O67="",$P67="",$J$38&lt;&gt;"Yes"),0,IF($K$10=0,SUMIFS(INDIRECT(ADDRESS(12,3+18*3+(3),,,"J1 B - Butcher Terrace")&amp;":"&amp;ADDRESS(130,3+18*3+(3))),'J1 B - Butcher Terrace'!$A$12:$A$130,"&gt;="&amp;Diagram!$O67,'J1 B - Butcher Terrace'!$A$12:$A$130,"&lt;"&amp;Diagram!$P67),SUMIFS(INDIRECT(ADDRESS(12,3+18*3+(11),,,"J1 B - Butcher Terrace")&amp;":"&amp;ADDRESS(130,3+18*3+(11))),'J1 B - Butcher Terrace'!$A$12:$A$130,"&gt;="&amp;Diagram!$O67,'J1 B - Butcher Terrace'!$A$12:$A$130,"&lt;"&amp;Diagram!$P67)))</f>
        <v>0</v>
      </c>
      <c r="BX67" s="42">
        <f ca="1">IF(OR($I$10="",$O67="",$P67="",$J$38&lt;&gt;"Yes"),0,IF($K$10=0,SUMIFS(INDIRECT(ADDRESS(12,3+18*0+(3),,,"J1 B - Butcher Terrace")&amp;":"&amp;ADDRESS(130,3+18*0+(3))),'J1 B - Butcher Terrace'!$A$12:$A$130,"&gt;="&amp;Diagram!$O67,'J1 B - Butcher Terrace'!$A$12:$A$130,"&lt;"&amp;Diagram!$P67),SUMIFS(INDIRECT(ADDRESS(12,3+18*0+(11),,,"J1 B - Butcher Terrace")&amp;":"&amp;ADDRESS(130,3+18*0+(11))),'J1 B - Butcher Terrace'!$A$12:$A$130,"&gt;="&amp;Diagram!$O67,'J1 B - Butcher Terrace'!$A$12:$A$130,"&lt;"&amp;Diagram!$P67)))</f>
        <v>0</v>
      </c>
      <c r="BY67" s="42">
        <f ca="1">IF(OR($I$10="",$O67="",$P67="",$J$38&lt;&gt;"Yes"),0,IF($K$10=0,SUMIFS(INDIRECT(ADDRESS(12,3+18*1+(3),,,"J1 B - Butcher Terrace")&amp;":"&amp;ADDRESS(130,3+18*1+(3))),'J1 B - Butcher Terrace'!$A$12:$A$130,"&gt;="&amp;Diagram!$O67,'J1 B - Butcher Terrace'!$A$12:$A$130,"&lt;"&amp;Diagram!$P67),SUMIFS(INDIRECT(ADDRESS(12,3+18*1+(11),,,"J1 B - Butcher Terrace")&amp;":"&amp;ADDRESS(130,3+18*1+(11))),'J1 B - Butcher Terrace'!$A$12:$A$130,"&gt;="&amp;Diagram!$O67,'J1 B - Butcher Terrace'!$A$12:$A$130,"&lt;"&amp;Diagram!$P67)))</f>
        <v>0</v>
      </c>
      <c r="BZ67" s="42">
        <f ca="1">IF(OR($I$10="",$O67="",$P67="",$J$38&lt;&gt;"Yes"),0,IF($K$10=0,SUMIFS(INDIRECT(ADDRESS(12,3+18*1+(3),,,"J1 C - (South) Bishopthorpe Roa")&amp;":"&amp;ADDRESS(130,3+18*1+(3))),'J1 C - (South) Bishopthorpe Roa'!$A$12:$A$130,"&gt;="&amp;Diagram!$O67,'J1 C - (South) Bishopthorpe Roa'!$A$12:$A$130,"&lt;"&amp;Diagram!$P67),SUMIFS(INDIRECT(ADDRESS(12,3+18*1+(11),,,"J1 C - (South) Bishopthorpe Roa")&amp;":"&amp;ADDRESS(130,3+18*1+(11))),'J1 C - (South) Bishopthorpe Roa'!$A$12:$A$130,"&gt;="&amp;Diagram!$O67,'J1 C - (South) Bishopthorpe Roa'!$A$12:$A$130,"&lt;"&amp;Diagram!$P67)))</f>
        <v>0</v>
      </c>
      <c r="CA67" s="42">
        <f ca="1">IF(OR($I$10="",$O67="",$P67="",$J$38&lt;&gt;"Yes"),0,IF($K$10=0,SUMIFS(INDIRECT(ADDRESS(12,3+18*2+(3),,,"J1 C - (South) Bishopthorpe Roa")&amp;":"&amp;ADDRESS(130,3+18*2+(3))),'J1 C - (South) Bishopthorpe Roa'!$A$12:$A$130,"&gt;="&amp;Diagram!$O67,'J1 C - (South) Bishopthorpe Roa'!$A$12:$A$130,"&lt;"&amp;Diagram!$P67),SUMIFS(INDIRECT(ADDRESS(12,3+18*2+(11),,,"J1 C - (South) Bishopthorpe Roa")&amp;":"&amp;ADDRESS(130,3+18*2+(11))),'J1 C - (South) Bishopthorpe Roa'!$A$12:$A$130,"&gt;="&amp;Diagram!$O67,'J1 C - (South) Bishopthorpe Roa'!$A$12:$A$130,"&lt;"&amp;Diagram!$P67)))</f>
        <v>0</v>
      </c>
      <c r="CB67" s="42">
        <f ca="1">IF(OR($I$10="",$O67="",$P67="",$J$38&lt;&gt;"Yes"),0,IF($K$10=0,SUMIFS(INDIRECT(ADDRESS(12,3+18*3+(3),,,"J1 C - (South) Bishopthorpe Roa")&amp;":"&amp;ADDRESS(130,3+18*3+(3))),'J1 C - (South) Bishopthorpe Roa'!$A$12:$A$130,"&gt;="&amp;Diagram!$O67,'J1 C - (South) Bishopthorpe Roa'!$A$12:$A$130,"&lt;"&amp;Diagram!$P67),SUMIFS(INDIRECT(ADDRESS(12,3+18*3+(11),,,"J1 C - (South) Bishopthorpe Roa")&amp;":"&amp;ADDRESS(130,3+18*3+(11))),'J1 C - (South) Bishopthorpe Roa'!$A$12:$A$130,"&gt;="&amp;Diagram!$O67,'J1 C - (South) Bishopthorpe Roa'!$A$12:$A$130,"&lt;"&amp;Diagram!$P67)))</f>
        <v>0</v>
      </c>
      <c r="CC67" s="42">
        <f ca="1">IF(OR($I$10="",$O67="",$P67="",$J$38&lt;&gt;"Yes"),0,IF($K$10=0,SUMIFS(INDIRECT(ADDRESS(12,3+18*0+(3),,,"J1 C - (South) Bishopthorpe Roa")&amp;":"&amp;ADDRESS(130,3+18*0+(3))),'J1 C - (South) Bishopthorpe Roa'!$A$12:$A$130,"&gt;="&amp;Diagram!$O67,'J1 C - (South) Bishopthorpe Roa'!$A$12:$A$130,"&lt;"&amp;Diagram!$P67),SUMIFS(INDIRECT(ADDRESS(12,3+18*0+(11),,,"J1 C - (South) Bishopthorpe Roa")&amp;":"&amp;ADDRESS(130,3+18*0+(11))),'J1 C - (South) Bishopthorpe Roa'!$A$12:$A$130,"&gt;="&amp;Diagram!$O67,'J1 C - (South) Bishopthorpe Roa'!$A$12:$A$130,"&lt;"&amp;Diagram!$P67)))</f>
        <v>0</v>
      </c>
      <c r="CD67" s="42">
        <f ca="1">IF(OR($I$10="",$O67="",$P67="",$J$38&lt;&gt;"Yes"),0,IF($K$10=0,SUMIFS(INDIRECT(ADDRESS(12,3+18*0+(3),,,"J1 D - South Bank Avenue")&amp;":"&amp;ADDRESS(130,3+18*0+(3))),'J1 D - South Bank Avenue'!$A$12:$A$130,"&gt;="&amp;Diagram!$O67,'J1 D - South Bank Avenue'!$A$12:$A$130,"&lt;"&amp;Diagram!$P67),SUMIFS(INDIRECT(ADDRESS(12,3+18*0+(11),,,"J1 D - South Bank Avenue")&amp;":"&amp;ADDRESS(130,3+18*0+(11))),'J1 D - South Bank Avenue'!$A$12:$A$130,"&gt;="&amp;Diagram!$O67,'J1 D - South Bank Avenue'!$A$12:$A$130,"&lt;"&amp;Diagram!$P67)))</f>
        <v>0</v>
      </c>
      <c r="CE67" s="42">
        <f ca="1">IF(OR($I$10="",$O67="",$P67="",$J$38&lt;&gt;"Yes"),0,IF($K$10=0,SUMIFS(INDIRECT(ADDRESS(12,3+18*1+(3),,,"J1 D - South Bank Avenue")&amp;":"&amp;ADDRESS(130,3+18*1+(3))),'J1 D - South Bank Avenue'!$A$12:$A$130,"&gt;="&amp;Diagram!$O67,'J1 D - South Bank Avenue'!$A$12:$A$130,"&lt;"&amp;Diagram!$P67),SUMIFS(INDIRECT(ADDRESS(12,3+18*1+(11),,,"J1 D - South Bank Avenue")&amp;":"&amp;ADDRESS(130,3+18*1+(11))),'J1 D - South Bank Avenue'!$A$12:$A$130,"&gt;="&amp;Diagram!$O67,'J1 D - South Bank Avenue'!$A$12:$A$130,"&lt;"&amp;Diagram!$P67)))</f>
        <v>0</v>
      </c>
      <c r="CF67" s="42">
        <f ca="1">IF(OR($I$10="",$O67="",$P67="",$J$38&lt;&gt;"Yes"),0,IF($K$10=0,SUMIFS(INDIRECT(ADDRESS(12,3+18*2+(3),,,"J1 D - South Bank Avenue")&amp;":"&amp;ADDRESS(130,3+18*2+(3))),'J1 D - South Bank Avenue'!$A$12:$A$130,"&gt;="&amp;Diagram!$O67,'J1 D - South Bank Avenue'!$A$12:$A$130,"&lt;"&amp;Diagram!$P67),SUMIFS(INDIRECT(ADDRESS(12,3+18*2+(11),,,"J1 D - South Bank Avenue")&amp;":"&amp;ADDRESS(130,3+18*2+(11))),'J1 D - South Bank Avenue'!$A$12:$A$130,"&gt;="&amp;Diagram!$O67,'J1 D - South Bank Avenue'!$A$12:$A$130,"&lt;"&amp;Diagram!$P67)))</f>
        <v>0</v>
      </c>
      <c r="CG67" s="42">
        <f ca="1">IF(OR($I$10="",$O67="",$P67="",$J$38&lt;&gt;"Yes"),0,IF($K$10=0,SUMIFS(INDIRECT(ADDRESS(12,3+18*3+(3),,,"J1 D - South Bank Avenue")&amp;":"&amp;ADDRESS(130,3+18*3+(3))),'J1 D - South Bank Avenue'!$A$12:$A$130,"&gt;="&amp;Diagram!$O67,'J1 D - South Bank Avenue'!$A$12:$A$130,"&lt;"&amp;Diagram!$P67),SUMIFS(INDIRECT(ADDRESS(12,3+18*3+(11),,,"J1 D - South Bank Avenue")&amp;":"&amp;ADDRESS(130,3+18*3+(11))),'J1 D - South Bank Avenue'!$A$12:$A$130,"&gt;="&amp;Diagram!$O67,'J1 D - South Bank Avenue'!$A$12:$A$130,"&lt;"&amp;Diagram!$P67)))</f>
        <v>0</v>
      </c>
      <c r="CH67" s="42">
        <f t="shared" ca="1" si="15"/>
        <v>8</v>
      </c>
      <c r="CI67" s="42">
        <f ca="1">IF(OR($I$10="",$O67="",$P67="",$J$39&lt;&gt;"Yes"),0,IF($K$10=0,SUMIFS(INDIRECT(ADDRESS(12,3+18*3+(4),,,"J1 A - (North) Bishopthorpe Roa")&amp;":"&amp;ADDRESS(130,3+18*3+(4))),'J1 A - (North) Bishopthorpe Roa'!$A$12:$A$130,"&gt;="&amp;Diagram!$O67,'J1 A - (North) Bishopthorpe Roa'!$A$12:$A$130,"&lt;"&amp;Diagram!$P67),SUMIFS(INDIRECT(ADDRESS(12,3+18*3+(12),,,"J1 A - (North) Bishopthorpe Roa")&amp;":"&amp;ADDRESS(130,3+18*3+(12))),'J1 A - (North) Bishopthorpe Roa'!$A$12:$A$130,"&gt;="&amp;Diagram!$O67,'J1 A - (North) Bishopthorpe Roa'!$A$12:$A$130,"&lt;"&amp;Diagram!$P67)))</f>
        <v>0</v>
      </c>
      <c r="CJ67" s="42">
        <f ca="1">IF(OR($I$10="",$O67="",$P67="",$J$39&lt;&gt;"Yes"),0,IF($K$10=0,SUMIFS(INDIRECT(ADDRESS(12,3+18*0+(4),,,"J1 A - (North) Bishopthorpe Roa")&amp;":"&amp;ADDRESS(130,3+18*0+(4))),'J1 A - (North) Bishopthorpe Roa'!$A$12:$A$130,"&gt;="&amp;Diagram!$O67,'J1 A - (North) Bishopthorpe Roa'!$A$12:$A$130,"&lt;"&amp;Diagram!$P67),SUMIFS(INDIRECT(ADDRESS(12,3+18*0+(12),,,"J1 A - (North) Bishopthorpe Roa")&amp;":"&amp;ADDRESS(130,3+18*0+(12))),'J1 A - (North) Bishopthorpe Roa'!$A$12:$A$130,"&gt;="&amp;Diagram!$O67,'J1 A - (North) Bishopthorpe Roa'!$A$12:$A$130,"&lt;"&amp;Diagram!$P67)))</f>
        <v>0</v>
      </c>
      <c r="CK67" s="42">
        <f ca="1">IF(OR($I$10="",$O67="",$P67="",$J$39&lt;&gt;"Yes"),0,IF($K$10=0,SUMIFS(INDIRECT(ADDRESS(12,3+18*1+(4),,,"J1 A - (North) Bishopthorpe Roa")&amp;":"&amp;ADDRESS(130,3+18*1+(4))),'J1 A - (North) Bishopthorpe Roa'!$A$12:$A$130,"&gt;="&amp;Diagram!$O67,'J1 A - (North) Bishopthorpe Roa'!$A$12:$A$130,"&lt;"&amp;Diagram!$P67),SUMIFS(INDIRECT(ADDRESS(12,3+18*1+(12),,,"J1 A - (North) Bishopthorpe Roa")&amp;":"&amp;ADDRESS(130,3+18*1+(12))),'J1 A - (North) Bishopthorpe Roa'!$A$12:$A$130,"&gt;="&amp;Diagram!$O67,'J1 A - (North) Bishopthorpe Roa'!$A$12:$A$130,"&lt;"&amp;Diagram!$P67)))</f>
        <v>4</v>
      </c>
      <c r="CL67" s="42">
        <f ca="1">IF(OR($I$10="",$O67="",$P67="",$J$39&lt;&gt;"Yes"),0,IF($K$10=0,SUMIFS(INDIRECT(ADDRESS(12,3+18*2+(4),,,"J1 A - (North) Bishopthorpe Roa")&amp;":"&amp;ADDRESS(130,3+18*2+(4))),'J1 A - (North) Bishopthorpe Roa'!$A$12:$A$130,"&gt;="&amp;Diagram!$O67,'J1 A - (North) Bishopthorpe Roa'!$A$12:$A$130,"&lt;"&amp;Diagram!$P67),SUMIFS(INDIRECT(ADDRESS(12,3+18*2+(12),,,"J1 A - (North) Bishopthorpe Roa")&amp;":"&amp;ADDRESS(130,3+18*2+(12))),'J1 A - (North) Bishopthorpe Roa'!$A$12:$A$130,"&gt;="&amp;Diagram!$O67,'J1 A - (North) Bishopthorpe Roa'!$A$12:$A$130,"&lt;"&amp;Diagram!$P67)))</f>
        <v>0</v>
      </c>
      <c r="CM67" s="42">
        <f ca="1">IF(OR($I$10="",$O67="",$P67="",$J$39&lt;&gt;"Yes"),0,IF($K$10=0,SUMIFS(INDIRECT(ADDRESS(12,3+18*2+(4),,,"J1 B - Butcher Terrace")&amp;":"&amp;ADDRESS(130,3+18*2+(4))),'J1 B - Butcher Terrace'!$A$12:$A$130,"&gt;="&amp;Diagram!$O67,'J1 B - Butcher Terrace'!$A$12:$A$130,"&lt;"&amp;Diagram!$P67),SUMIFS(INDIRECT(ADDRESS(12,3+18*2+(12),,,"J1 B - Butcher Terrace")&amp;":"&amp;ADDRESS(130,3+18*2+(12))),'J1 B - Butcher Terrace'!$A$12:$A$130,"&gt;="&amp;Diagram!$O67,'J1 B - Butcher Terrace'!$A$12:$A$130,"&lt;"&amp;Diagram!$P67)))</f>
        <v>0</v>
      </c>
      <c r="CN67" s="42">
        <f ca="1">IF(OR($I$10="",$O67="",$P67="",$J$39&lt;&gt;"Yes"),0,IF($K$10=0,SUMIFS(INDIRECT(ADDRESS(12,3+18*3+(4),,,"J1 B - Butcher Terrace")&amp;":"&amp;ADDRESS(130,3+18*3+(4))),'J1 B - Butcher Terrace'!$A$12:$A$130,"&gt;="&amp;Diagram!$O67,'J1 B - Butcher Terrace'!$A$12:$A$130,"&lt;"&amp;Diagram!$P67),SUMIFS(INDIRECT(ADDRESS(12,3+18*3+(12),,,"J1 B - Butcher Terrace")&amp;":"&amp;ADDRESS(130,3+18*3+(12))),'J1 B - Butcher Terrace'!$A$12:$A$130,"&gt;="&amp;Diagram!$O67,'J1 B - Butcher Terrace'!$A$12:$A$130,"&lt;"&amp;Diagram!$P67)))</f>
        <v>0</v>
      </c>
      <c r="CO67" s="42">
        <f ca="1">IF(OR($I$10="",$O67="",$P67="",$J$39&lt;&gt;"Yes"),0,IF($K$10=0,SUMIFS(INDIRECT(ADDRESS(12,3+18*0+(4),,,"J1 B - Butcher Terrace")&amp;":"&amp;ADDRESS(130,3+18*0+(4))),'J1 B - Butcher Terrace'!$A$12:$A$130,"&gt;="&amp;Diagram!$O67,'J1 B - Butcher Terrace'!$A$12:$A$130,"&lt;"&amp;Diagram!$P67),SUMIFS(INDIRECT(ADDRESS(12,3+18*0+(12),,,"J1 B - Butcher Terrace")&amp;":"&amp;ADDRESS(130,3+18*0+(12))),'J1 B - Butcher Terrace'!$A$12:$A$130,"&gt;="&amp;Diagram!$O67,'J1 B - Butcher Terrace'!$A$12:$A$130,"&lt;"&amp;Diagram!$P67)))</f>
        <v>0</v>
      </c>
      <c r="CP67" s="42">
        <f ca="1">IF(OR($I$10="",$O67="",$P67="",$J$39&lt;&gt;"Yes"),0,IF($K$10=0,SUMIFS(INDIRECT(ADDRESS(12,3+18*1+(4),,,"J1 B - Butcher Terrace")&amp;":"&amp;ADDRESS(130,3+18*1+(4))),'J1 B - Butcher Terrace'!$A$12:$A$130,"&gt;="&amp;Diagram!$O67,'J1 B - Butcher Terrace'!$A$12:$A$130,"&lt;"&amp;Diagram!$P67),SUMIFS(INDIRECT(ADDRESS(12,3+18*1+(12),,,"J1 B - Butcher Terrace")&amp;":"&amp;ADDRESS(130,3+18*1+(12))),'J1 B - Butcher Terrace'!$A$12:$A$130,"&gt;="&amp;Diagram!$O67,'J1 B - Butcher Terrace'!$A$12:$A$130,"&lt;"&amp;Diagram!$P67)))</f>
        <v>0</v>
      </c>
      <c r="CQ67" s="42">
        <f ca="1">IF(OR($I$10="",$O67="",$P67="",$J$39&lt;&gt;"Yes"),0,IF($K$10=0,SUMIFS(INDIRECT(ADDRESS(12,3+18*1+(4),,,"J1 C - (South) Bishopthorpe Roa")&amp;":"&amp;ADDRESS(130,3+18*1+(4))),'J1 C - (South) Bishopthorpe Roa'!$A$12:$A$130,"&gt;="&amp;Diagram!$O67,'J1 C - (South) Bishopthorpe Roa'!$A$12:$A$130,"&lt;"&amp;Diagram!$P67),SUMIFS(INDIRECT(ADDRESS(12,3+18*1+(12),,,"J1 C - (South) Bishopthorpe Roa")&amp;":"&amp;ADDRESS(130,3+18*1+(12))),'J1 C - (South) Bishopthorpe Roa'!$A$12:$A$130,"&gt;="&amp;Diagram!$O67,'J1 C - (South) Bishopthorpe Roa'!$A$12:$A$130,"&lt;"&amp;Diagram!$P67)))</f>
        <v>4</v>
      </c>
      <c r="CR67" s="42">
        <f ca="1">IF(OR($I$10="",$O67="",$P67="",$J$39&lt;&gt;"Yes"),0,IF($K$10=0,SUMIFS(INDIRECT(ADDRESS(12,3+18*2+(4),,,"J1 C - (South) Bishopthorpe Roa")&amp;":"&amp;ADDRESS(130,3+18*2+(4))),'J1 C - (South) Bishopthorpe Roa'!$A$12:$A$130,"&gt;="&amp;Diagram!$O67,'J1 C - (South) Bishopthorpe Roa'!$A$12:$A$130,"&lt;"&amp;Diagram!$P67),SUMIFS(INDIRECT(ADDRESS(12,3+18*2+(12),,,"J1 C - (South) Bishopthorpe Roa")&amp;":"&amp;ADDRESS(130,3+18*2+(12))),'J1 C - (South) Bishopthorpe Roa'!$A$12:$A$130,"&gt;="&amp;Diagram!$O67,'J1 C - (South) Bishopthorpe Roa'!$A$12:$A$130,"&lt;"&amp;Diagram!$P67)))</f>
        <v>0</v>
      </c>
      <c r="CS67" s="42">
        <f ca="1">IF(OR($I$10="",$O67="",$P67="",$J$39&lt;&gt;"Yes"),0,IF($K$10=0,SUMIFS(INDIRECT(ADDRESS(12,3+18*3+(4),,,"J1 C - (South) Bishopthorpe Roa")&amp;":"&amp;ADDRESS(130,3+18*3+(4))),'J1 C - (South) Bishopthorpe Roa'!$A$12:$A$130,"&gt;="&amp;Diagram!$O67,'J1 C - (South) Bishopthorpe Roa'!$A$12:$A$130,"&lt;"&amp;Diagram!$P67),SUMIFS(INDIRECT(ADDRESS(12,3+18*3+(12),,,"J1 C - (South) Bishopthorpe Roa")&amp;":"&amp;ADDRESS(130,3+18*3+(12))),'J1 C - (South) Bishopthorpe Roa'!$A$12:$A$130,"&gt;="&amp;Diagram!$O67,'J1 C - (South) Bishopthorpe Roa'!$A$12:$A$130,"&lt;"&amp;Diagram!$P67)))</f>
        <v>0</v>
      </c>
      <c r="CT67" s="42">
        <f ca="1">IF(OR($I$10="",$O67="",$P67="",$J$39&lt;&gt;"Yes"),0,IF($K$10=0,SUMIFS(INDIRECT(ADDRESS(12,3+18*0+(4),,,"J1 C - (South) Bishopthorpe Roa")&amp;":"&amp;ADDRESS(130,3+18*0+(4))),'J1 C - (South) Bishopthorpe Roa'!$A$12:$A$130,"&gt;="&amp;Diagram!$O67,'J1 C - (South) Bishopthorpe Roa'!$A$12:$A$130,"&lt;"&amp;Diagram!$P67),SUMIFS(INDIRECT(ADDRESS(12,3+18*0+(12),,,"J1 C - (South) Bishopthorpe Roa")&amp;":"&amp;ADDRESS(130,3+18*0+(12))),'J1 C - (South) Bishopthorpe Roa'!$A$12:$A$130,"&gt;="&amp;Diagram!$O67,'J1 C - (South) Bishopthorpe Roa'!$A$12:$A$130,"&lt;"&amp;Diagram!$P67)))</f>
        <v>0</v>
      </c>
      <c r="CU67" s="42">
        <f ca="1">IF(OR($I$10="",$O67="",$P67="",$J$39&lt;&gt;"Yes"),0,IF($K$10=0,SUMIFS(INDIRECT(ADDRESS(12,3+18*0+(4),,,"J1 D - South Bank Avenue")&amp;":"&amp;ADDRESS(130,3+18*0+(4))),'J1 D - South Bank Avenue'!$A$12:$A$130,"&gt;="&amp;Diagram!$O67,'J1 D - South Bank Avenue'!$A$12:$A$130,"&lt;"&amp;Diagram!$P67),SUMIFS(INDIRECT(ADDRESS(12,3+18*0+(12),,,"J1 D - South Bank Avenue")&amp;":"&amp;ADDRESS(130,3+18*0+(12))),'J1 D - South Bank Avenue'!$A$12:$A$130,"&gt;="&amp;Diagram!$O67,'J1 D - South Bank Avenue'!$A$12:$A$130,"&lt;"&amp;Diagram!$P67)))</f>
        <v>0</v>
      </c>
      <c r="CV67" s="42">
        <f ca="1">IF(OR($I$10="",$O67="",$P67="",$J$39&lt;&gt;"Yes"),0,IF($K$10=0,SUMIFS(INDIRECT(ADDRESS(12,3+18*1+(4),,,"J1 D - South Bank Avenue")&amp;":"&amp;ADDRESS(130,3+18*1+(4))),'J1 D - South Bank Avenue'!$A$12:$A$130,"&gt;="&amp;Diagram!$O67,'J1 D - South Bank Avenue'!$A$12:$A$130,"&lt;"&amp;Diagram!$P67),SUMIFS(INDIRECT(ADDRESS(12,3+18*1+(12),,,"J1 D - South Bank Avenue")&amp;":"&amp;ADDRESS(130,3+18*1+(12))),'J1 D - South Bank Avenue'!$A$12:$A$130,"&gt;="&amp;Diagram!$O67,'J1 D - South Bank Avenue'!$A$12:$A$130,"&lt;"&amp;Diagram!$P67)))</f>
        <v>0</v>
      </c>
      <c r="CW67" s="42">
        <f ca="1">IF(OR($I$10="",$O67="",$P67="",$J$39&lt;&gt;"Yes"),0,IF($K$10=0,SUMIFS(INDIRECT(ADDRESS(12,3+18*2+(4),,,"J1 D - South Bank Avenue")&amp;":"&amp;ADDRESS(130,3+18*2+(4))),'J1 D - South Bank Avenue'!$A$12:$A$130,"&gt;="&amp;Diagram!$O67,'J1 D - South Bank Avenue'!$A$12:$A$130,"&lt;"&amp;Diagram!$P67),SUMIFS(INDIRECT(ADDRESS(12,3+18*2+(12),,,"J1 D - South Bank Avenue")&amp;":"&amp;ADDRESS(130,3+18*2+(12))),'J1 D - South Bank Avenue'!$A$12:$A$130,"&gt;="&amp;Diagram!$O67,'J1 D - South Bank Avenue'!$A$12:$A$130,"&lt;"&amp;Diagram!$P67)))</f>
        <v>0</v>
      </c>
      <c r="CX67" s="42">
        <f ca="1">IF(OR($I$10="",$O67="",$P67="",$J$39&lt;&gt;"Yes"),0,IF($K$10=0,SUMIFS(INDIRECT(ADDRESS(12,3+18*3+(4),,,"J1 D - South Bank Avenue")&amp;":"&amp;ADDRESS(130,3+18*3+(4))),'J1 D - South Bank Avenue'!$A$12:$A$130,"&gt;="&amp;Diagram!$O67,'J1 D - South Bank Avenue'!$A$12:$A$130,"&lt;"&amp;Diagram!$P67),SUMIFS(INDIRECT(ADDRESS(12,3+18*3+(12),,,"J1 D - South Bank Avenue")&amp;":"&amp;ADDRESS(130,3+18*3+(12))),'J1 D - South Bank Avenue'!$A$12:$A$130,"&gt;="&amp;Diagram!$O67,'J1 D - South Bank Avenue'!$A$12:$A$130,"&lt;"&amp;Diagram!$P67)))</f>
        <v>0</v>
      </c>
      <c r="CY67" s="42">
        <f t="shared" ca="1" si="16"/>
        <v>141</v>
      </c>
      <c r="CZ67" s="42">
        <f ca="1">IF(OR($I$10="",$O67="",$P67="",$J$40&lt;&gt;"Yes"),0,IF($K$10=0,SUMIFS(INDIRECT(ADDRESS(12,3+18*3+(5),,,"J1 A - (North) Bishopthorpe Roa")&amp;":"&amp;ADDRESS(130,3+18*3+(5))),'J1 A - (North) Bishopthorpe Roa'!$A$12:$A$130,"&gt;="&amp;Diagram!$O67,'J1 A - (North) Bishopthorpe Roa'!$A$12:$A$130,"&lt;"&amp;Diagram!$P67),SUMIFS(INDIRECT(ADDRESS(12,3+18*3+(13),,,"J1 A - (North) Bishopthorpe Roa")&amp;":"&amp;ADDRESS(130,3+18*3+(13))),'J1 A - (North) Bishopthorpe Roa'!$A$12:$A$130,"&gt;="&amp;Diagram!$O67,'J1 A - (North) Bishopthorpe Roa'!$A$12:$A$130,"&lt;"&amp;Diagram!$P67)))</f>
        <v>0</v>
      </c>
      <c r="DA67" s="42">
        <f ca="1">IF(OR($I$10="",$O67="",$P67="",$J$40&lt;&gt;"Yes"),0,IF($K$10=0,SUMIFS(INDIRECT(ADDRESS(12,3+18*0+(5),,,"J1 A - (North) Bishopthorpe Roa")&amp;":"&amp;ADDRESS(130,3+18*0+(5))),'J1 A - (North) Bishopthorpe Roa'!$A$12:$A$130,"&gt;="&amp;Diagram!$O67,'J1 A - (North) Bishopthorpe Roa'!$A$12:$A$130,"&lt;"&amp;Diagram!$P67),SUMIFS(INDIRECT(ADDRESS(12,3+18*0+(13),,,"J1 A - (North) Bishopthorpe Roa")&amp;":"&amp;ADDRESS(130,3+18*0+(13))),'J1 A - (North) Bishopthorpe Roa'!$A$12:$A$130,"&gt;="&amp;Diagram!$O67,'J1 A - (North) Bishopthorpe Roa'!$A$12:$A$130,"&lt;"&amp;Diagram!$P67)))</f>
        <v>12</v>
      </c>
      <c r="DB67" s="42">
        <f ca="1">IF(OR($I$10="",$O67="",$P67="",$J$40&lt;&gt;"Yes"),0,IF($K$10=0,SUMIFS(INDIRECT(ADDRESS(12,3+18*1+(5),,,"J1 A - (North) Bishopthorpe Roa")&amp;":"&amp;ADDRESS(130,3+18*1+(5))),'J1 A - (North) Bishopthorpe Roa'!$A$12:$A$130,"&gt;="&amp;Diagram!$O67,'J1 A - (North) Bishopthorpe Roa'!$A$12:$A$130,"&lt;"&amp;Diagram!$P67),SUMIFS(INDIRECT(ADDRESS(12,3+18*1+(13),,,"J1 A - (North) Bishopthorpe Roa")&amp;":"&amp;ADDRESS(130,3+18*1+(13))),'J1 A - (North) Bishopthorpe Roa'!$A$12:$A$130,"&gt;="&amp;Diagram!$O67,'J1 A - (North) Bishopthorpe Roa'!$A$12:$A$130,"&lt;"&amp;Diagram!$P67)))</f>
        <v>21</v>
      </c>
      <c r="DC67" s="42">
        <f ca="1">IF(OR($I$10="",$O67="",$P67="",$J$40&lt;&gt;"Yes"),0,IF($K$10=0,SUMIFS(INDIRECT(ADDRESS(12,3+18*2+(5),,,"J1 A - (North) Bishopthorpe Roa")&amp;":"&amp;ADDRESS(130,3+18*2+(5))),'J1 A - (North) Bishopthorpe Roa'!$A$12:$A$130,"&gt;="&amp;Diagram!$O67,'J1 A - (North) Bishopthorpe Roa'!$A$12:$A$130,"&lt;"&amp;Diagram!$P67),SUMIFS(INDIRECT(ADDRESS(12,3+18*2+(13),,,"J1 A - (North) Bishopthorpe Roa")&amp;":"&amp;ADDRESS(130,3+18*2+(13))),'J1 A - (North) Bishopthorpe Roa'!$A$12:$A$130,"&gt;="&amp;Diagram!$O67,'J1 A - (North) Bishopthorpe Roa'!$A$12:$A$130,"&lt;"&amp;Diagram!$P67)))</f>
        <v>1</v>
      </c>
      <c r="DD67" s="42">
        <f ca="1">IF(OR($I$10="",$O67="",$P67="",$J$40&lt;&gt;"Yes"),0,IF($K$10=0,SUMIFS(INDIRECT(ADDRESS(12,3+18*2+(5),,,"J1 B - Butcher Terrace")&amp;":"&amp;ADDRESS(130,3+18*2+(5))),'J1 B - Butcher Terrace'!$A$12:$A$130,"&gt;="&amp;Diagram!$O67,'J1 B - Butcher Terrace'!$A$12:$A$130,"&lt;"&amp;Diagram!$P67),SUMIFS(INDIRECT(ADDRESS(12,3+18*2+(13),,,"J1 B - Butcher Terrace")&amp;":"&amp;ADDRESS(130,3+18*2+(13))),'J1 B - Butcher Terrace'!$A$12:$A$130,"&gt;="&amp;Diagram!$O67,'J1 B - Butcher Terrace'!$A$12:$A$130,"&lt;"&amp;Diagram!$P67)))</f>
        <v>6</v>
      </c>
      <c r="DE67" s="42">
        <f ca="1">IF(OR($I$10="",$O67="",$P67="",$J$40&lt;&gt;"Yes"),0,IF($K$10=0,SUMIFS(INDIRECT(ADDRESS(12,3+18*3+(5),,,"J1 B - Butcher Terrace")&amp;":"&amp;ADDRESS(130,3+18*3+(5))),'J1 B - Butcher Terrace'!$A$12:$A$130,"&gt;="&amp;Diagram!$O67,'J1 B - Butcher Terrace'!$A$12:$A$130,"&lt;"&amp;Diagram!$P67),SUMIFS(INDIRECT(ADDRESS(12,3+18*3+(13),,,"J1 B - Butcher Terrace")&amp;":"&amp;ADDRESS(130,3+18*3+(13))),'J1 B - Butcher Terrace'!$A$12:$A$130,"&gt;="&amp;Diagram!$O67,'J1 B - Butcher Terrace'!$A$12:$A$130,"&lt;"&amp;Diagram!$P67)))</f>
        <v>0</v>
      </c>
      <c r="DF67" s="42">
        <f ca="1">IF(OR($I$10="",$O67="",$P67="",$J$40&lt;&gt;"Yes"),0,IF($K$10=0,SUMIFS(INDIRECT(ADDRESS(12,3+18*0+(5),,,"J1 B - Butcher Terrace")&amp;":"&amp;ADDRESS(130,3+18*0+(5))),'J1 B - Butcher Terrace'!$A$12:$A$130,"&gt;="&amp;Diagram!$O67,'J1 B - Butcher Terrace'!$A$12:$A$130,"&lt;"&amp;Diagram!$P67),SUMIFS(INDIRECT(ADDRESS(12,3+18*0+(13),,,"J1 B - Butcher Terrace")&amp;":"&amp;ADDRESS(130,3+18*0+(13))),'J1 B - Butcher Terrace'!$A$12:$A$130,"&gt;="&amp;Diagram!$O67,'J1 B - Butcher Terrace'!$A$12:$A$130,"&lt;"&amp;Diagram!$P67)))</f>
        <v>3</v>
      </c>
      <c r="DG67" s="42">
        <f ca="1">IF(OR($I$10="",$O67="",$P67="",$J$40&lt;&gt;"Yes"),0,IF($K$10=0,SUMIFS(INDIRECT(ADDRESS(12,3+18*1+(5),,,"J1 B - Butcher Terrace")&amp;":"&amp;ADDRESS(130,3+18*1+(5))),'J1 B - Butcher Terrace'!$A$12:$A$130,"&gt;="&amp;Diagram!$O67,'J1 B - Butcher Terrace'!$A$12:$A$130,"&lt;"&amp;Diagram!$P67),SUMIFS(INDIRECT(ADDRESS(12,3+18*1+(13),,,"J1 B - Butcher Terrace")&amp;":"&amp;ADDRESS(130,3+18*1+(13))),'J1 B - Butcher Terrace'!$A$12:$A$130,"&gt;="&amp;Diagram!$O67,'J1 B - Butcher Terrace'!$A$12:$A$130,"&lt;"&amp;Diagram!$P67)))</f>
        <v>42</v>
      </c>
      <c r="DH67" s="42">
        <f ca="1">IF(OR($I$10="",$O67="",$P67="",$J$40&lt;&gt;"Yes"),0,IF($K$10=0,SUMIFS(INDIRECT(ADDRESS(12,3+18*1+(5),,,"J1 C - (South) Bishopthorpe Roa")&amp;":"&amp;ADDRESS(130,3+18*1+(5))),'J1 C - (South) Bishopthorpe Roa'!$A$12:$A$130,"&gt;="&amp;Diagram!$O67,'J1 C - (South) Bishopthorpe Roa'!$A$12:$A$130,"&lt;"&amp;Diagram!$P67),SUMIFS(INDIRECT(ADDRESS(12,3+18*1+(13),,,"J1 C - (South) Bishopthorpe Roa")&amp;":"&amp;ADDRESS(130,3+18*1+(13))),'J1 C - (South) Bishopthorpe Roa'!$A$12:$A$130,"&gt;="&amp;Diagram!$O67,'J1 C - (South) Bishopthorpe Roa'!$A$12:$A$130,"&lt;"&amp;Diagram!$P67)))</f>
        <v>17</v>
      </c>
      <c r="DI67" s="42">
        <f ca="1">IF(OR($I$10="",$O67="",$P67="",$J$40&lt;&gt;"Yes"),0,IF($K$10=0,SUMIFS(INDIRECT(ADDRESS(12,3+18*2+(5),,,"J1 C - (South) Bishopthorpe Roa")&amp;":"&amp;ADDRESS(130,3+18*2+(5))),'J1 C - (South) Bishopthorpe Roa'!$A$12:$A$130,"&gt;="&amp;Diagram!$O67,'J1 C - (South) Bishopthorpe Roa'!$A$12:$A$130,"&lt;"&amp;Diagram!$P67),SUMIFS(INDIRECT(ADDRESS(12,3+18*2+(13),,,"J1 C - (South) Bishopthorpe Roa")&amp;":"&amp;ADDRESS(130,3+18*2+(13))),'J1 C - (South) Bishopthorpe Roa'!$A$12:$A$130,"&gt;="&amp;Diagram!$O67,'J1 C - (South) Bishopthorpe Roa'!$A$12:$A$130,"&lt;"&amp;Diagram!$P67)))</f>
        <v>9</v>
      </c>
      <c r="DJ67" s="42">
        <f ca="1">IF(OR($I$10="",$O67="",$P67="",$J$40&lt;&gt;"Yes"),0,IF($K$10=0,SUMIFS(INDIRECT(ADDRESS(12,3+18*3+(5),,,"J1 C - (South) Bishopthorpe Roa")&amp;":"&amp;ADDRESS(130,3+18*3+(5))),'J1 C - (South) Bishopthorpe Roa'!$A$12:$A$130,"&gt;="&amp;Diagram!$O67,'J1 C - (South) Bishopthorpe Roa'!$A$12:$A$130,"&lt;"&amp;Diagram!$P67),SUMIFS(INDIRECT(ADDRESS(12,3+18*3+(13),,,"J1 C - (South) Bishopthorpe Roa")&amp;":"&amp;ADDRESS(130,3+18*3+(13))),'J1 C - (South) Bishopthorpe Roa'!$A$12:$A$130,"&gt;="&amp;Diagram!$O67,'J1 C - (South) Bishopthorpe Roa'!$A$12:$A$130,"&lt;"&amp;Diagram!$P67)))</f>
        <v>0</v>
      </c>
      <c r="DK67" s="42">
        <f ca="1">IF(OR($I$10="",$O67="",$P67="",$J$40&lt;&gt;"Yes"),0,IF($K$10=0,SUMIFS(INDIRECT(ADDRESS(12,3+18*0+(5),,,"J1 C - (South) Bishopthorpe Roa")&amp;":"&amp;ADDRESS(130,3+18*0+(5))),'J1 C - (South) Bishopthorpe Roa'!$A$12:$A$130,"&gt;="&amp;Diagram!$O67,'J1 C - (South) Bishopthorpe Roa'!$A$12:$A$130,"&lt;"&amp;Diagram!$P67),SUMIFS(INDIRECT(ADDRESS(12,3+18*0+(13),,,"J1 C - (South) Bishopthorpe Roa")&amp;":"&amp;ADDRESS(130,3+18*0+(13))),'J1 C - (South) Bishopthorpe Roa'!$A$12:$A$130,"&gt;="&amp;Diagram!$O67,'J1 C - (South) Bishopthorpe Roa'!$A$12:$A$130,"&lt;"&amp;Diagram!$P67)))</f>
        <v>3</v>
      </c>
      <c r="DL67" s="42">
        <f ca="1">IF(OR($I$10="",$O67="",$P67="",$J$40&lt;&gt;"Yes"),0,IF($K$10=0,SUMIFS(INDIRECT(ADDRESS(12,3+18*0+(5),,,"J1 D - South Bank Avenue")&amp;":"&amp;ADDRESS(130,3+18*0+(5))),'J1 D - South Bank Avenue'!$A$12:$A$130,"&gt;="&amp;Diagram!$O67,'J1 D - South Bank Avenue'!$A$12:$A$130,"&lt;"&amp;Diagram!$P67),SUMIFS(INDIRECT(ADDRESS(12,3+18*0+(13),,,"J1 D - South Bank Avenue")&amp;":"&amp;ADDRESS(130,3+18*0+(13))),'J1 D - South Bank Avenue'!$A$12:$A$130,"&gt;="&amp;Diagram!$O67,'J1 D - South Bank Avenue'!$A$12:$A$130,"&lt;"&amp;Diagram!$P67)))</f>
        <v>7</v>
      </c>
      <c r="DM67" s="42">
        <f ca="1">IF(OR($I$10="",$O67="",$P67="",$J$40&lt;&gt;"Yes"),0,IF($K$10=0,SUMIFS(INDIRECT(ADDRESS(12,3+18*1+(5),,,"J1 D - South Bank Avenue")&amp;":"&amp;ADDRESS(130,3+18*1+(5))),'J1 D - South Bank Avenue'!$A$12:$A$130,"&gt;="&amp;Diagram!$O67,'J1 D - South Bank Avenue'!$A$12:$A$130,"&lt;"&amp;Diagram!$P67),SUMIFS(INDIRECT(ADDRESS(12,3+18*1+(13),,,"J1 D - South Bank Avenue")&amp;":"&amp;ADDRESS(130,3+18*1+(13))),'J1 D - South Bank Avenue'!$A$12:$A$130,"&gt;="&amp;Diagram!$O67,'J1 D - South Bank Avenue'!$A$12:$A$130,"&lt;"&amp;Diagram!$P67)))</f>
        <v>19</v>
      </c>
      <c r="DN67" s="42">
        <f ca="1">IF(OR($I$10="",$O67="",$P67="",$J$40&lt;&gt;"Yes"),0,IF($K$10=0,SUMIFS(INDIRECT(ADDRESS(12,3+18*2+(5),,,"J1 D - South Bank Avenue")&amp;":"&amp;ADDRESS(130,3+18*2+(5))),'J1 D - South Bank Avenue'!$A$12:$A$130,"&gt;="&amp;Diagram!$O67,'J1 D - South Bank Avenue'!$A$12:$A$130,"&lt;"&amp;Diagram!$P67),SUMIFS(INDIRECT(ADDRESS(12,3+18*2+(13),,,"J1 D - South Bank Avenue")&amp;":"&amp;ADDRESS(130,3+18*2+(13))),'J1 D - South Bank Avenue'!$A$12:$A$130,"&gt;="&amp;Diagram!$O67,'J1 D - South Bank Avenue'!$A$12:$A$130,"&lt;"&amp;Diagram!$P67)))</f>
        <v>1</v>
      </c>
      <c r="DO67" s="42">
        <f ca="1">IF(OR($I$10="",$O67="",$P67="",$J$40&lt;&gt;"Yes"),0,IF($K$10=0,SUMIFS(INDIRECT(ADDRESS(12,3+18*3+(5),,,"J1 D - South Bank Avenue")&amp;":"&amp;ADDRESS(130,3+18*3+(5))),'J1 D - South Bank Avenue'!$A$12:$A$130,"&gt;="&amp;Diagram!$O67,'J1 D - South Bank Avenue'!$A$12:$A$130,"&lt;"&amp;Diagram!$P67),SUMIFS(INDIRECT(ADDRESS(12,3+18*3+(13),,,"J1 D - South Bank Avenue")&amp;":"&amp;ADDRESS(130,3+18*3+(13))),'J1 D - South Bank Avenue'!$A$12:$A$130,"&gt;="&amp;Diagram!$O67,'J1 D - South Bank Avenue'!$A$12:$A$130,"&lt;"&amp;Diagram!$P67)))</f>
        <v>0</v>
      </c>
      <c r="DP67" s="42">
        <f t="shared" ca="1" si="17"/>
        <v>7</v>
      </c>
      <c r="DQ67" s="42">
        <f ca="1">IF(OR($I$10="",$O67="",$P67="",$J$41&lt;&gt;"Yes"),0,IF($K$10=0,SUMIFS(INDIRECT(ADDRESS(12,3+18*3+(6),,,"J1 A - (North) Bishopthorpe Roa")&amp;":"&amp;ADDRESS(130,3+18*3+(6))),'J1 A - (North) Bishopthorpe Roa'!$A$12:$A$130,"&gt;="&amp;Diagram!$O67,'J1 A - (North) Bishopthorpe Roa'!$A$12:$A$130,"&lt;"&amp;Diagram!$P67),SUMIFS(INDIRECT(ADDRESS(12,3+18*3+(14),,,"J1 A - (North) Bishopthorpe Roa")&amp;":"&amp;ADDRESS(130,3+18*3+(14))),'J1 A - (North) Bishopthorpe Roa'!$A$12:$A$130,"&gt;="&amp;Diagram!$O67,'J1 A - (North) Bishopthorpe Roa'!$A$12:$A$130,"&lt;"&amp;Diagram!$P67)))</f>
        <v>0</v>
      </c>
      <c r="DR67" s="42">
        <f ca="1">IF(OR($I$10="",$O67="",$P67="",$J$41&lt;&gt;"Yes"),0,IF($K$10=0,SUMIFS(INDIRECT(ADDRESS(12,3+18*0+(6),,,"J1 A - (North) Bishopthorpe Roa")&amp;":"&amp;ADDRESS(130,3+18*0+(6))),'J1 A - (North) Bishopthorpe Roa'!$A$12:$A$130,"&gt;="&amp;Diagram!$O67,'J1 A - (North) Bishopthorpe Roa'!$A$12:$A$130,"&lt;"&amp;Diagram!$P67),SUMIFS(INDIRECT(ADDRESS(12,3+18*0+(14),,,"J1 A - (North) Bishopthorpe Roa")&amp;":"&amp;ADDRESS(130,3+18*0+(14))),'J1 A - (North) Bishopthorpe Roa'!$A$12:$A$130,"&gt;="&amp;Diagram!$O67,'J1 A - (North) Bishopthorpe Roa'!$A$12:$A$130,"&lt;"&amp;Diagram!$P67)))</f>
        <v>0</v>
      </c>
      <c r="DS67" s="42">
        <f ca="1">IF(OR($I$10="",$O67="",$P67="",$J$41&lt;&gt;"Yes"),0,IF($K$10=0,SUMIFS(INDIRECT(ADDRESS(12,3+18*1+(6),,,"J1 A - (North) Bishopthorpe Roa")&amp;":"&amp;ADDRESS(130,3+18*1+(6))),'J1 A - (North) Bishopthorpe Roa'!$A$12:$A$130,"&gt;="&amp;Diagram!$O67,'J1 A - (North) Bishopthorpe Roa'!$A$12:$A$130,"&lt;"&amp;Diagram!$P67),SUMIFS(INDIRECT(ADDRESS(12,3+18*1+(14),,,"J1 A - (North) Bishopthorpe Roa")&amp;":"&amp;ADDRESS(130,3+18*1+(14))),'J1 A - (North) Bishopthorpe Roa'!$A$12:$A$130,"&gt;="&amp;Diagram!$O67,'J1 A - (North) Bishopthorpe Roa'!$A$12:$A$130,"&lt;"&amp;Diagram!$P67)))</f>
        <v>1</v>
      </c>
      <c r="DT67" s="42">
        <f ca="1">IF(OR($I$10="",$O67="",$P67="",$J$41&lt;&gt;"Yes"),0,IF($K$10=0,SUMIFS(INDIRECT(ADDRESS(12,3+18*2+(6),,,"J1 A - (North) Bishopthorpe Roa")&amp;":"&amp;ADDRESS(130,3+18*2+(6))),'J1 A - (North) Bishopthorpe Roa'!$A$12:$A$130,"&gt;="&amp;Diagram!$O67,'J1 A - (North) Bishopthorpe Roa'!$A$12:$A$130,"&lt;"&amp;Diagram!$P67),SUMIFS(INDIRECT(ADDRESS(12,3+18*2+(14),,,"J1 A - (North) Bishopthorpe Roa")&amp;":"&amp;ADDRESS(130,3+18*2+(14))),'J1 A - (North) Bishopthorpe Roa'!$A$12:$A$130,"&gt;="&amp;Diagram!$O67,'J1 A - (North) Bishopthorpe Roa'!$A$12:$A$130,"&lt;"&amp;Diagram!$P67)))</f>
        <v>2</v>
      </c>
      <c r="DU67" s="42">
        <f ca="1">IF(OR($I$10="",$O67="",$P67="",$J$41&lt;&gt;"Yes"),0,IF($K$10=0,SUMIFS(INDIRECT(ADDRESS(12,3+18*2+(6),,,"J1 B - Butcher Terrace")&amp;":"&amp;ADDRESS(130,3+18*2+(6))),'J1 B - Butcher Terrace'!$A$12:$A$130,"&gt;="&amp;Diagram!$O67,'J1 B - Butcher Terrace'!$A$12:$A$130,"&lt;"&amp;Diagram!$P67),SUMIFS(INDIRECT(ADDRESS(12,3+18*2+(14),,,"J1 B - Butcher Terrace")&amp;":"&amp;ADDRESS(130,3+18*2+(14))),'J1 B - Butcher Terrace'!$A$12:$A$130,"&gt;="&amp;Diagram!$O67,'J1 B - Butcher Terrace'!$A$12:$A$130,"&lt;"&amp;Diagram!$P67)))</f>
        <v>0</v>
      </c>
      <c r="DV67" s="42">
        <f ca="1">IF(OR($I$10="",$O67="",$P67="",$J$41&lt;&gt;"Yes"),0,IF($K$10=0,SUMIFS(INDIRECT(ADDRESS(12,3+18*3+(6),,,"J1 B - Butcher Terrace")&amp;":"&amp;ADDRESS(130,3+18*3+(6))),'J1 B - Butcher Terrace'!$A$12:$A$130,"&gt;="&amp;Diagram!$O67,'J1 B - Butcher Terrace'!$A$12:$A$130,"&lt;"&amp;Diagram!$P67),SUMIFS(INDIRECT(ADDRESS(12,3+18*3+(14),,,"J1 B - Butcher Terrace")&amp;":"&amp;ADDRESS(130,3+18*3+(14))),'J1 B - Butcher Terrace'!$A$12:$A$130,"&gt;="&amp;Diagram!$O67,'J1 B - Butcher Terrace'!$A$12:$A$130,"&lt;"&amp;Diagram!$P67)))</f>
        <v>0</v>
      </c>
      <c r="DW67" s="42">
        <f ca="1">IF(OR($I$10="",$O67="",$P67="",$J$41&lt;&gt;"Yes"),0,IF($K$10=0,SUMIFS(INDIRECT(ADDRESS(12,3+18*0+(6),,,"J1 B - Butcher Terrace")&amp;":"&amp;ADDRESS(130,3+18*0+(6))),'J1 B - Butcher Terrace'!$A$12:$A$130,"&gt;="&amp;Diagram!$O67,'J1 B - Butcher Terrace'!$A$12:$A$130,"&lt;"&amp;Diagram!$P67),SUMIFS(INDIRECT(ADDRESS(12,3+18*0+(14),,,"J1 B - Butcher Terrace")&amp;":"&amp;ADDRESS(130,3+18*0+(14))),'J1 B - Butcher Terrace'!$A$12:$A$130,"&gt;="&amp;Diagram!$O67,'J1 B - Butcher Terrace'!$A$12:$A$130,"&lt;"&amp;Diagram!$P67)))</f>
        <v>0</v>
      </c>
      <c r="DX67" s="42">
        <f ca="1">IF(OR($I$10="",$O67="",$P67="",$J$41&lt;&gt;"Yes"),0,IF($K$10=0,SUMIFS(INDIRECT(ADDRESS(12,3+18*1+(6),,,"J1 B - Butcher Terrace")&amp;":"&amp;ADDRESS(130,3+18*1+(6))),'J1 B - Butcher Terrace'!$A$12:$A$130,"&gt;="&amp;Diagram!$O67,'J1 B - Butcher Terrace'!$A$12:$A$130,"&lt;"&amp;Diagram!$P67),SUMIFS(INDIRECT(ADDRESS(12,3+18*1+(14),,,"J1 B - Butcher Terrace")&amp;":"&amp;ADDRESS(130,3+18*1+(14))),'J1 B - Butcher Terrace'!$A$12:$A$130,"&gt;="&amp;Diagram!$O67,'J1 B - Butcher Terrace'!$A$12:$A$130,"&lt;"&amp;Diagram!$P67)))</f>
        <v>1</v>
      </c>
      <c r="DY67" s="42">
        <f ca="1">IF(OR($I$10="",$O67="",$P67="",$J$41&lt;&gt;"Yes"),0,IF($K$10=0,SUMIFS(INDIRECT(ADDRESS(12,3+18*1+(6),,,"J1 C - (South) Bishopthorpe Roa")&amp;":"&amp;ADDRESS(130,3+18*1+(6))),'J1 C - (South) Bishopthorpe Roa'!$A$12:$A$130,"&gt;="&amp;Diagram!$O67,'J1 C - (South) Bishopthorpe Roa'!$A$12:$A$130,"&lt;"&amp;Diagram!$P67),SUMIFS(INDIRECT(ADDRESS(12,3+18*1+(14),,,"J1 C - (South) Bishopthorpe Roa")&amp;":"&amp;ADDRESS(130,3+18*1+(14))),'J1 C - (South) Bishopthorpe Roa'!$A$12:$A$130,"&gt;="&amp;Diagram!$O67,'J1 C - (South) Bishopthorpe Roa'!$A$12:$A$130,"&lt;"&amp;Diagram!$P67)))</f>
        <v>2</v>
      </c>
      <c r="DZ67" s="42">
        <f ca="1">IF(OR($I$10="",$O67="",$P67="",$J$41&lt;&gt;"Yes"),0,IF($K$10=0,SUMIFS(INDIRECT(ADDRESS(12,3+18*2+(6),,,"J1 C - (South) Bishopthorpe Roa")&amp;":"&amp;ADDRESS(130,3+18*2+(6))),'J1 C - (South) Bishopthorpe Roa'!$A$12:$A$130,"&gt;="&amp;Diagram!$O67,'J1 C - (South) Bishopthorpe Roa'!$A$12:$A$130,"&lt;"&amp;Diagram!$P67),SUMIFS(INDIRECT(ADDRESS(12,3+18*2+(14),,,"J1 C - (South) Bishopthorpe Roa")&amp;":"&amp;ADDRESS(130,3+18*2+(14))),'J1 C - (South) Bishopthorpe Roa'!$A$12:$A$130,"&gt;="&amp;Diagram!$O67,'J1 C - (South) Bishopthorpe Roa'!$A$12:$A$130,"&lt;"&amp;Diagram!$P67)))</f>
        <v>0</v>
      </c>
      <c r="EA67" s="42">
        <f ca="1">IF(OR($I$10="",$O67="",$P67="",$J$41&lt;&gt;"Yes"),0,IF($K$10=0,SUMIFS(INDIRECT(ADDRESS(12,3+18*3+(6),,,"J1 C - (South) Bishopthorpe Roa")&amp;":"&amp;ADDRESS(130,3+18*3+(6))),'J1 C - (South) Bishopthorpe Roa'!$A$12:$A$130,"&gt;="&amp;Diagram!$O67,'J1 C - (South) Bishopthorpe Roa'!$A$12:$A$130,"&lt;"&amp;Diagram!$P67),SUMIFS(INDIRECT(ADDRESS(12,3+18*3+(14),,,"J1 C - (South) Bishopthorpe Roa")&amp;":"&amp;ADDRESS(130,3+18*3+(14))),'J1 C - (South) Bishopthorpe Roa'!$A$12:$A$130,"&gt;="&amp;Diagram!$O67,'J1 C - (South) Bishopthorpe Roa'!$A$12:$A$130,"&lt;"&amp;Diagram!$P67)))</f>
        <v>0</v>
      </c>
      <c r="EB67" s="42">
        <f ca="1">IF(OR($I$10="",$O67="",$P67="",$J$41&lt;&gt;"Yes"),0,IF($K$10=0,SUMIFS(INDIRECT(ADDRESS(12,3+18*0+(6),,,"J1 C - (South) Bishopthorpe Roa")&amp;":"&amp;ADDRESS(130,3+18*0+(6))),'J1 C - (South) Bishopthorpe Roa'!$A$12:$A$130,"&gt;="&amp;Diagram!$O67,'J1 C - (South) Bishopthorpe Roa'!$A$12:$A$130,"&lt;"&amp;Diagram!$P67),SUMIFS(INDIRECT(ADDRESS(12,3+18*0+(14),,,"J1 C - (South) Bishopthorpe Roa")&amp;":"&amp;ADDRESS(130,3+18*0+(14))),'J1 C - (South) Bishopthorpe Roa'!$A$12:$A$130,"&gt;="&amp;Diagram!$O67,'J1 C - (South) Bishopthorpe Roa'!$A$12:$A$130,"&lt;"&amp;Diagram!$P67)))</f>
        <v>0</v>
      </c>
      <c r="EC67" s="42">
        <f ca="1">IF(OR($I$10="",$O67="",$P67="",$J$41&lt;&gt;"Yes"),0,IF($K$10=0,SUMIFS(INDIRECT(ADDRESS(12,3+18*0+(6),,,"J1 D - South Bank Avenue")&amp;":"&amp;ADDRESS(130,3+18*0+(6))),'J1 D - South Bank Avenue'!$A$12:$A$130,"&gt;="&amp;Diagram!$O67,'J1 D - South Bank Avenue'!$A$12:$A$130,"&lt;"&amp;Diagram!$P67),SUMIFS(INDIRECT(ADDRESS(12,3+18*0+(14),,,"J1 D - South Bank Avenue")&amp;":"&amp;ADDRESS(130,3+18*0+(14))),'J1 D - South Bank Avenue'!$A$12:$A$130,"&gt;="&amp;Diagram!$O67,'J1 D - South Bank Avenue'!$A$12:$A$130,"&lt;"&amp;Diagram!$P67)))</f>
        <v>1</v>
      </c>
      <c r="ED67" s="42">
        <f ca="1">IF(OR($I$10="",$O67="",$P67="",$J$41&lt;&gt;"Yes"),0,IF($K$10=0,SUMIFS(INDIRECT(ADDRESS(12,3+18*1+(6),,,"J1 D - South Bank Avenue")&amp;":"&amp;ADDRESS(130,3+18*1+(6))),'J1 D - South Bank Avenue'!$A$12:$A$130,"&gt;="&amp;Diagram!$O67,'J1 D - South Bank Avenue'!$A$12:$A$130,"&lt;"&amp;Diagram!$P67),SUMIFS(INDIRECT(ADDRESS(12,3+18*1+(14),,,"J1 D - South Bank Avenue")&amp;":"&amp;ADDRESS(130,3+18*1+(14))),'J1 D - South Bank Avenue'!$A$12:$A$130,"&gt;="&amp;Diagram!$O67,'J1 D - South Bank Avenue'!$A$12:$A$130,"&lt;"&amp;Diagram!$P67)))</f>
        <v>0</v>
      </c>
      <c r="EE67" s="42">
        <f ca="1">IF(OR($I$10="",$O67="",$P67="",$J$41&lt;&gt;"Yes"),0,IF($K$10=0,SUMIFS(INDIRECT(ADDRESS(12,3+18*2+(6),,,"J1 D - South Bank Avenue")&amp;":"&amp;ADDRESS(130,3+18*2+(6))),'J1 D - South Bank Avenue'!$A$12:$A$130,"&gt;="&amp;Diagram!$O67,'J1 D - South Bank Avenue'!$A$12:$A$130,"&lt;"&amp;Diagram!$P67),SUMIFS(INDIRECT(ADDRESS(12,3+18*2+(14),,,"J1 D - South Bank Avenue")&amp;":"&amp;ADDRESS(130,3+18*2+(14))),'J1 D - South Bank Avenue'!$A$12:$A$130,"&gt;="&amp;Diagram!$O67,'J1 D - South Bank Avenue'!$A$12:$A$130,"&lt;"&amp;Diagram!$P67)))</f>
        <v>0</v>
      </c>
      <c r="EF67" s="42">
        <f ca="1">IF(OR($I$10="",$O67="",$P67="",$J$41&lt;&gt;"Yes"),0,IF($K$10=0,SUMIFS(INDIRECT(ADDRESS(12,3+18*3+(6),,,"J1 D - South Bank Avenue")&amp;":"&amp;ADDRESS(130,3+18*3+(6))),'J1 D - South Bank Avenue'!$A$12:$A$130,"&gt;="&amp;Diagram!$O67,'J1 D - South Bank Avenue'!$A$12:$A$130,"&lt;"&amp;Diagram!$P67),SUMIFS(INDIRECT(ADDRESS(12,3+18*3+(14),,,"J1 D - South Bank Avenue")&amp;":"&amp;ADDRESS(130,3+18*3+(14))),'J1 D - South Bank Avenue'!$A$12:$A$130,"&gt;="&amp;Diagram!$O67,'J1 D - South Bank Avenue'!$A$12:$A$130,"&lt;"&amp;Diagram!$P67)))</f>
        <v>0</v>
      </c>
      <c r="EG67" s="42">
        <f t="shared" ca="1" si="18"/>
        <v>2</v>
      </c>
      <c r="EH67" s="42">
        <f ca="1">IF(OR($I$10="",$O67="",$P67="",$J$42&lt;&gt;"Yes"),0,IF($K$10=0,SUMIFS(INDIRECT(ADDRESS(12,3+18*3+(7),,,"J1 A - (North) Bishopthorpe Roa")&amp;":"&amp;ADDRESS(130,3+18*3+(7))),'J1 A - (North) Bishopthorpe Roa'!$A$12:$A$130,"&gt;="&amp;Diagram!$O67,'J1 A - (North) Bishopthorpe Roa'!$A$12:$A$130,"&lt;"&amp;Diagram!$P67),SUMIFS(INDIRECT(ADDRESS(12,3+18*3+(15),,,"J1 A - (North) Bishopthorpe Roa")&amp;":"&amp;ADDRESS(130,3+18*3+(15))),'J1 A - (North) Bishopthorpe Roa'!$A$12:$A$130,"&gt;="&amp;Diagram!$O67,'J1 A - (North) Bishopthorpe Roa'!$A$12:$A$130,"&lt;"&amp;Diagram!$P67)))</f>
        <v>0</v>
      </c>
      <c r="EI67" s="42">
        <f ca="1">IF(OR($I$10="",$O67="",$P67="",$J$42&lt;&gt;"Yes"),0,IF($K$10=0,SUMIFS(INDIRECT(ADDRESS(12,3+18*0+(7),,,"J1 A - (North) Bishopthorpe Roa")&amp;":"&amp;ADDRESS(130,3+18*0+(7))),'J1 A - (North) Bishopthorpe Roa'!$A$12:$A$130,"&gt;="&amp;Diagram!$O67,'J1 A - (North) Bishopthorpe Roa'!$A$12:$A$130,"&lt;"&amp;Diagram!$P67),SUMIFS(INDIRECT(ADDRESS(12,3+18*0+(15),,,"J1 A - (North) Bishopthorpe Roa")&amp;":"&amp;ADDRESS(130,3+18*0+(15))),'J1 A - (North) Bishopthorpe Roa'!$A$12:$A$130,"&gt;="&amp;Diagram!$O67,'J1 A - (North) Bishopthorpe Roa'!$A$12:$A$130,"&lt;"&amp;Diagram!$P67)))</f>
        <v>2</v>
      </c>
      <c r="EJ67" s="42">
        <f ca="1">IF(OR($I$10="",$O67="",$P67="",$J$42&lt;&gt;"Yes"),0,IF($K$10=0,SUMIFS(INDIRECT(ADDRESS(12,3+18*1+(7),,,"J1 A - (North) Bishopthorpe Roa")&amp;":"&amp;ADDRESS(130,3+18*1+(7))),'J1 A - (North) Bishopthorpe Roa'!$A$12:$A$130,"&gt;="&amp;Diagram!$O67,'J1 A - (North) Bishopthorpe Roa'!$A$12:$A$130,"&lt;"&amp;Diagram!$P67),SUMIFS(INDIRECT(ADDRESS(12,3+18*1+(15),,,"J1 A - (North) Bishopthorpe Roa")&amp;":"&amp;ADDRESS(130,3+18*1+(15))),'J1 A - (North) Bishopthorpe Roa'!$A$12:$A$130,"&gt;="&amp;Diagram!$O67,'J1 A - (North) Bishopthorpe Roa'!$A$12:$A$130,"&lt;"&amp;Diagram!$P67)))</f>
        <v>0</v>
      </c>
      <c r="EK67" s="42">
        <f ca="1">IF(OR($I$10="",$O67="",$P67="",$J$42&lt;&gt;"Yes"),0,IF($K$10=0,SUMIFS(INDIRECT(ADDRESS(12,3+18*2+(7),,,"J1 A - (North) Bishopthorpe Roa")&amp;":"&amp;ADDRESS(130,3+18*2+(7))),'J1 A - (North) Bishopthorpe Roa'!$A$12:$A$130,"&gt;="&amp;Diagram!$O67,'J1 A - (North) Bishopthorpe Roa'!$A$12:$A$130,"&lt;"&amp;Diagram!$P67),SUMIFS(INDIRECT(ADDRESS(12,3+18*2+(15),,,"J1 A - (North) Bishopthorpe Roa")&amp;":"&amp;ADDRESS(130,3+18*2+(15))),'J1 A - (North) Bishopthorpe Roa'!$A$12:$A$130,"&gt;="&amp;Diagram!$O67,'J1 A - (North) Bishopthorpe Roa'!$A$12:$A$130,"&lt;"&amp;Diagram!$P67)))</f>
        <v>0</v>
      </c>
      <c r="EL67" s="42">
        <f ca="1">IF(OR($I$10="",$O67="",$P67="",$J$42&lt;&gt;"Yes"),0,IF($K$10=0,SUMIFS(INDIRECT(ADDRESS(12,3+18*2+(7),,,"J1 B - Butcher Terrace")&amp;":"&amp;ADDRESS(130,3+18*2+(7))),'J1 B - Butcher Terrace'!$A$12:$A$130,"&gt;="&amp;Diagram!$O67,'J1 B - Butcher Terrace'!$A$12:$A$130,"&lt;"&amp;Diagram!$P67),SUMIFS(INDIRECT(ADDRESS(12,3+18*2+(15),,,"J1 B - Butcher Terrace")&amp;":"&amp;ADDRESS(130,3+18*2+(15))),'J1 B - Butcher Terrace'!$A$12:$A$130,"&gt;="&amp;Diagram!$O67,'J1 B - Butcher Terrace'!$A$12:$A$130,"&lt;"&amp;Diagram!$P67)))</f>
        <v>0</v>
      </c>
      <c r="EM67" s="42">
        <f ca="1">IF(OR($I$10="",$O67="",$P67="",$J$42&lt;&gt;"Yes"),0,IF($K$10=0,SUMIFS(INDIRECT(ADDRESS(12,3+18*3+(7),,,"J1 B - Butcher Terrace")&amp;":"&amp;ADDRESS(130,3+18*3+(7))),'J1 B - Butcher Terrace'!$A$12:$A$130,"&gt;="&amp;Diagram!$O67,'J1 B - Butcher Terrace'!$A$12:$A$130,"&lt;"&amp;Diagram!$P67),SUMIFS(INDIRECT(ADDRESS(12,3+18*3+(15),,,"J1 B - Butcher Terrace")&amp;":"&amp;ADDRESS(130,3+18*3+(15))),'J1 B - Butcher Terrace'!$A$12:$A$130,"&gt;="&amp;Diagram!$O67,'J1 B - Butcher Terrace'!$A$12:$A$130,"&lt;"&amp;Diagram!$P67)))</f>
        <v>0</v>
      </c>
      <c r="EN67" s="42">
        <f ca="1">IF(OR($I$10="",$O67="",$P67="",$J$42&lt;&gt;"Yes"),0,IF($K$10=0,SUMIFS(INDIRECT(ADDRESS(12,3+18*0+(7),,,"J1 B - Butcher Terrace")&amp;":"&amp;ADDRESS(130,3+18*0+(7))),'J1 B - Butcher Terrace'!$A$12:$A$130,"&gt;="&amp;Diagram!$O67,'J1 B - Butcher Terrace'!$A$12:$A$130,"&lt;"&amp;Diagram!$P67),SUMIFS(INDIRECT(ADDRESS(12,3+18*0+(15),,,"J1 B - Butcher Terrace")&amp;":"&amp;ADDRESS(130,3+18*0+(15))),'J1 B - Butcher Terrace'!$A$12:$A$130,"&gt;="&amp;Diagram!$O67,'J1 B - Butcher Terrace'!$A$12:$A$130,"&lt;"&amp;Diagram!$P67)))</f>
        <v>0</v>
      </c>
      <c r="EO67" s="42">
        <f ca="1">IF(OR($I$10="",$O67="",$P67="",$J$42&lt;&gt;"Yes"),0,IF($K$10=0,SUMIFS(INDIRECT(ADDRESS(12,3+18*1+(7),,,"J1 B - Butcher Terrace")&amp;":"&amp;ADDRESS(130,3+18*1+(7))),'J1 B - Butcher Terrace'!$A$12:$A$130,"&gt;="&amp;Diagram!$O67,'J1 B - Butcher Terrace'!$A$12:$A$130,"&lt;"&amp;Diagram!$P67),SUMIFS(INDIRECT(ADDRESS(12,3+18*1+(15),,,"J1 B - Butcher Terrace")&amp;":"&amp;ADDRESS(130,3+18*1+(15))),'J1 B - Butcher Terrace'!$A$12:$A$130,"&gt;="&amp;Diagram!$O67,'J1 B - Butcher Terrace'!$A$12:$A$130,"&lt;"&amp;Diagram!$P67)))</f>
        <v>0</v>
      </c>
      <c r="EP67" s="42">
        <f ca="1">IF(OR($I$10="",$O67="",$P67="",$J$42&lt;&gt;"Yes"),0,IF($K$10=0,SUMIFS(INDIRECT(ADDRESS(12,3+18*1+(7),,,"J1 C - (South) Bishopthorpe Roa")&amp;":"&amp;ADDRESS(130,3+18*1+(7))),'J1 C - (South) Bishopthorpe Roa'!$A$12:$A$130,"&gt;="&amp;Diagram!$O67,'J1 C - (South) Bishopthorpe Roa'!$A$12:$A$130,"&lt;"&amp;Diagram!$P67),SUMIFS(INDIRECT(ADDRESS(12,3+18*1+(15),,,"J1 C - (South) Bishopthorpe Roa")&amp;":"&amp;ADDRESS(130,3+18*1+(15))),'J1 C - (South) Bishopthorpe Roa'!$A$12:$A$130,"&gt;="&amp;Diagram!$O67,'J1 C - (South) Bishopthorpe Roa'!$A$12:$A$130,"&lt;"&amp;Diagram!$P67)))</f>
        <v>0</v>
      </c>
      <c r="EQ67" s="42">
        <f ca="1">IF(OR($I$10="",$O67="",$P67="",$J$42&lt;&gt;"Yes"),0,IF($K$10=0,SUMIFS(INDIRECT(ADDRESS(12,3+18*2+(7),,,"J1 C - (South) Bishopthorpe Roa")&amp;":"&amp;ADDRESS(130,3+18*2+(7))),'J1 C - (South) Bishopthorpe Roa'!$A$12:$A$130,"&gt;="&amp;Diagram!$O67,'J1 C - (South) Bishopthorpe Roa'!$A$12:$A$130,"&lt;"&amp;Diagram!$P67),SUMIFS(INDIRECT(ADDRESS(12,3+18*2+(15),,,"J1 C - (South) Bishopthorpe Roa")&amp;":"&amp;ADDRESS(130,3+18*2+(15))),'J1 C - (South) Bishopthorpe Roa'!$A$12:$A$130,"&gt;="&amp;Diagram!$O67,'J1 C - (South) Bishopthorpe Roa'!$A$12:$A$130,"&lt;"&amp;Diagram!$P67)))</f>
        <v>0</v>
      </c>
      <c r="ER67" s="42">
        <f ca="1">IF(OR($I$10="",$O67="",$P67="",$J$42&lt;&gt;"Yes"),0,IF($K$10=0,SUMIFS(INDIRECT(ADDRESS(12,3+18*3+(7),,,"J1 C - (South) Bishopthorpe Roa")&amp;":"&amp;ADDRESS(130,3+18*3+(7))),'J1 C - (South) Bishopthorpe Roa'!$A$12:$A$130,"&gt;="&amp;Diagram!$O67,'J1 C - (South) Bishopthorpe Roa'!$A$12:$A$130,"&lt;"&amp;Diagram!$P67),SUMIFS(INDIRECT(ADDRESS(12,3+18*3+(15),,,"J1 C - (South) Bishopthorpe Roa")&amp;":"&amp;ADDRESS(130,3+18*3+(15))),'J1 C - (South) Bishopthorpe Roa'!$A$12:$A$130,"&gt;="&amp;Diagram!$O67,'J1 C - (South) Bishopthorpe Roa'!$A$12:$A$130,"&lt;"&amp;Diagram!$P67)))</f>
        <v>0</v>
      </c>
      <c r="ES67" s="42">
        <f ca="1">IF(OR($I$10="",$O67="",$P67="",$J$42&lt;&gt;"Yes"),0,IF($K$10=0,SUMIFS(INDIRECT(ADDRESS(12,3+18*0+(7),,,"J1 C - (South) Bishopthorpe Roa")&amp;":"&amp;ADDRESS(130,3+18*0+(7))),'J1 C - (South) Bishopthorpe Roa'!$A$12:$A$130,"&gt;="&amp;Diagram!$O67,'J1 C - (South) Bishopthorpe Roa'!$A$12:$A$130,"&lt;"&amp;Diagram!$P67),SUMIFS(INDIRECT(ADDRESS(12,3+18*0+(15),,,"J1 C - (South) Bishopthorpe Roa")&amp;":"&amp;ADDRESS(130,3+18*0+(15))),'J1 C - (South) Bishopthorpe Roa'!$A$12:$A$130,"&gt;="&amp;Diagram!$O67,'J1 C - (South) Bishopthorpe Roa'!$A$12:$A$130,"&lt;"&amp;Diagram!$P67)))</f>
        <v>0</v>
      </c>
      <c r="ET67" s="42">
        <f ca="1">IF(OR($I$10="",$O67="",$P67="",$J$42&lt;&gt;"Yes"),0,IF($K$10=0,SUMIFS(INDIRECT(ADDRESS(12,3+18*0+(7),,,"J1 D - South Bank Avenue")&amp;":"&amp;ADDRESS(130,3+18*0+(7))),'J1 D - South Bank Avenue'!$A$12:$A$130,"&gt;="&amp;Diagram!$O67,'J1 D - South Bank Avenue'!$A$12:$A$130,"&lt;"&amp;Diagram!$P67),SUMIFS(INDIRECT(ADDRESS(12,3+18*0+(15),,,"J1 D - South Bank Avenue")&amp;":"&amp;ADDRESS(130,3+18*0+(15))),'J1 D - South Bank Avenue'!$A$12:$A$130,"&gt;="&amp;Diagram!$O67,'J1 D - South Bank Avenue'!$A$12:$A$130,"&lt;"&amp;Diagram!$P67)))</f>
        <v>0</v>
      </c>
      <c r="EU67" s="42">
        <f ca="1">IF(OR($I$10="",$O67="",$P67="",$J$42&lt;&gt;"Yes"),0,IF($K$10=0,SUMIFS(INDIRECT(ADDRESS(12,3+18*1+(7),,,"J1 D - South Bank Avenue")&amp;":"&amp;ADDRESS(130,3+18*1+(7))),'J1 D - South Bank Avenue'!$A$12:$A$130,"&gt;="&amp;Diagram!$O67,'J1 D - South Bank Avenue'!$A$12:$A$130,"&lt;"&amp;Diagram!$P67),SUMIFS(INDIRECT(ADDRESS(12,3+18*1+(15),,,"J1 D - South Bank Avenue")&amp;":"&amp;ADDRESS(130,3+18*1+(15))),'J1 D - South Bank Avenue'!$A$12:$A$130,"&gt;="&amp;Diagram!$O67,'J1 D - South Bank Avenue'!$A$12:$A$130,"&lt;"&amp;Diagram!$P67)))</f>
        <v>0</v>
      </c>
      <c r="EV67" s="42">
        <f ca="1">IF(OR($I$10="",$O67="",$P67="",$J$42&lt;&gt;"Yes"),0,IF($K$10=0,SUMIFS(INDIRECT(ADDRESS(12,3+18*2+(7),,,"J1 D - South Bank Avenue")&amp;":"&amp;ADDRESS(130,3+18*2+(7))),'J1 D - South Bank Avenue'!$A$12:$A$130,"&gt;="&amp;Diagram!$O67,'J1 D - South Bank Avenue'!$A$12:$A$130,"&lt;"&amp;Diagram!$P67),SUMIFS(INDIRECT(ADDRESS(12,3+18*2+(15),,,"J1 D - South Bank Avenue")&amp;":"&amp;ADDRESS(130,3+18*2+(15))),'J1 D - South Bank Avenue'!$A$12:$A$130,"&gt;="&amp;Diagram!$O67,'J1 D - South Bank Avenue'!$A$12:$A$130,"&lt;"&amp;Diagram!$P67)))</f>
        <v>0</v>
      </c>
      <c r="EW67" s="42">
        <f ca="1">IF(OR($I$10="",$O67="",$P67="",$J$42&lt;&gt;"Yes"),0,IF($K$10=0,SUMIFS(INDIRECT(ADDRESS(12,3+18*3+(7),,,"J1 D - South Bank Avenue")&amp;":"&amp;ADDRESS(130,3+18*3+(7))),'J1 D - South Bank Avenue'!$A$12:$A$130,"&gt;="&amp;Diagram!$O67,'J1 D - South Bank Avenue'!$A$12:$A$130,"&lt;"&amp;Diagram!$P67),SUMIFS(INDIRECT(ADDRESS(12,3+18*3+(15),,,"J1 D - South Bank Avenue")&amp;":"&amp;ADDRESS(130,3+18*3+(15))),'J1 D - South Bank Avenue'!$A$12:$A$130,"&gt;="&amp;Diagram!$O67,'J1 D - South Bank Avenue'!$A$12:$A$130,"&lt;"&amp;Diagram!$P67)))</f>
        <v>0</v>
      </c>
    </row>
    <row r="68" spans="1:153">
      <c r="A68" s="1">
        <v>44395.697916666701</v>
      </c>
      <c r="B68" s="1">
        <v>44395.708333333299</v>
      </c>
      <c r="O68" s="3">
        <v>44395.697916666701</v>
      </c>
      <c r="P68" s="3">
        <v>44395.739583333299</v>
      </c>
      <c r="Q68" s="42">
        <f t="shared" ca="1" si="10"/>
        <v>786</v>
      </c>
      <c r="R68" s="42">
        <f t="shared" ca="1" si="11"/>
        <v>585</v>
      </c>
      <c r="S68" s="42">
        <f ca="1">IF(OR($I$10="",$O68="",$P68="",$J$35&lt;&gt;"Yes"),0,IF($K$10=0,SUMIFS(INDIRECT(ADDRESS(12,3+18*3+(0),,,"J1 A - (North) Bishopthorpe Roa")&amp;":"&amp;ADDRESS(130,3+18*3+(0))),'J1 A - (North) Bishopthorpe Roa'!$A$12:$A$130,"&gt;="&amp;Diagram!$O68,'J1 A - (North) Bishopthorpe Roa'!$A$12:$A$130,"&lt;"&amp;Diagram!$P68),SUMIFS(INDIRECT(ADDRESS(12,3+18*3+(8),,,"J1 A - (North) Bishopthorpe Roa")&amp;":"&amp;ADDRESS(130,3+18*3+(8))),'J1 A - (North) Bishopthorpe Roa'!$A$12:$A$130,"&gt;="&amp;Diagram!$O68,'J1 A - (North) Bishopthorpe Roa'!$A$12:$A$130,"&lt;"&amp;Diagram!$P68)))</f>
        <v>0</v>
      </c>
      <c r="T68" s="42">
        <f ca="1">IF(OR($I$10="",$O68="",$P68="",$J$35&lt;&gt;"Yes"),0,IF($K$10=0,SUMIFS(INDIRECT(ADDRESS(12,3+18*0+(0),,,"J1 A - (North) Bishopthorpe Roa")&amp;":"&amp;ADDRESS(130,3+18*0+(0))),'J1 A - (North) Bishopthorpe Roa'!$A$12:$A$130,"&gt;="&amp;Diagram!$O68,'J1 A - (North) Bishopthorpe Roa'!$A$12:$A$130,"&lt;"&amp;Diagram!$P68),SUMIFS(INDIRECT(ADDRESS(12,3+18*0+(8),,,"J1 A - (North) Bishopthorpe Roa")&amp;":"&amp;ADDRESS(130,3+18*0+(8))),'J1 A - (North) Bishopthorpe Roa'!$A$12:$A$130,"&gt;="&amp;Diagram!$O68,'J1 A - (North) Bishopthorpe Roa'!$A$12:$A$130,"&lt;"&amp;Diagram!$P68)))</f>
        <v>20</v>
      </c>
      <c r="U68" s="42">
        <f ca="1">IF(OR($I$10="",$O68="",$P68="",$J$35&lt;&gt;"Yes"),0,IF($K$10=0,SUMIFS(INDIRECT(ADDRESS(12,3+18*1+(0),,,"J1 A - (North) Bishopthorpe Roa")&amp;":"&amp;ADDRESS(130,3+18*1+(0))),'J1 A - (North) Bishopthorpe Roa'!$A$12:$A$130,"&gt;="&amp;Diagram!$O68,'J1 A - (North) Bishopthorpe Roa'!$A$12:$A$130,"&lt;"&amp;Diagram!$P68),SUMIFS(INDIRECT(ADDRESS(12,3+18*1+(8),,,"J1 A - (North) Bishopthorpe Roa")&amp;":"&amp;ADDRESS(130,3+18*1+(8))),'J1 A - (North) Bishopthorpe Roa'!$A$12:$A$130,"&gt;="&amp;Diagram!$O68,'J1 A - (North) Bishopthorpe Roa'!$A$12:$A$130,"&lt;"&amp;Diagram!$P68)))</f>
        <v>257</v>
      </c>
      <c r="V68" s="42">
        <f ca="1">IF(OR($I$10="",$O68="",$P68="",$J$35&lt;&gt;"Yes"),0,IF($K$10=0,SUMIFS(INDIRECT(ADDRESS(12,3+18*2+(0),,,"J1 A - (North) Bishopthorpe Roa")&amp;":"&amp;ADDRESS(130,3+18*2+(0))),'J1 A - (North) Bishopthorpe Roa'!$A$12:$A$130,"&gt;="&amp;Diagram!$O68,'J1 A - (North) Bishopthorpe Roa'!$A$12:$A$130,"&lt;"&amp;Diagram!$P68),SUMIFS(INDIRECT(ADDRESS(12,3+18*2+(8),,,"J1 A - (North) Bishopthorpe Roa")&amp;":"&amp;ADDRESS(130,3+18*2+(8))),'J1 A - (North) Bishopthorpe Roa'!$A$12:$A$130,"&gt;="&amp;Diagram!$O68,'J1 A - (North) Bishopthorpe Roa'!$A$12:$A$130,"&lt;"&amp;Diagram!$P68)))</f>
        <v>32</v>
      </c>
      <c r="W68" s="42">
        <f ca="1">IF(OR($I$10="",$O68="",$P68="",$J$35&lt;&gt;"Yes"),0,IF($K$10=0,SUMIFS(INDIRECT(ADDRESS(12,3+18*2+(0),,,"J1 B - Butcher Terrace")&amp;":"&amp;ADDRESS(130,3+18*2+(0))),'J1 B - Butcher Terrace'!$A$12:$A$130,"&gt;="&amp;Diagram!$O68,'J1 B - Butcher Terrace'!$A$12:$A$130,"&lt;"&amp;Diagram!$P68),SUMIFS(INDIRECT(ADDRESS(12,3+18*2+(8),,,"J1 B - Butcher Terrace")&amp;":"&amp;ADDRESS(130,3+18*2+(8))),'J1 B - Butcher Terrace'!$A$12:$A$130,"&gt;="&amp;Diagram!$O68,'J1 B - Butcher Terrace'!$A$12:$A$130,"&lt;"&amp;Diagram!$P68)))</f>
        <v>7</v>
      </c>
      <c r="X68" s="42">
        <f ca="1">IF(OR($I$10="",$O68="",$P68="",$J$35&lt;&gt;"Yes"),0,IF($K$10=0,SUMIFS(INDIRECT(ADDRESS(12,3+18*3+(0),,,"J1 B - Butcher Terrace")&amp;":"&amp;ADDRESS(130,3+18*3+(0))),'J1 B - Butcher Terrace'!$A$12:$A$130,"&gt;="&amp;Diagram!$O68,'J1 B - Butcher Terrace'!$A$12:$A$130,"&lt;"&amp;Diagram!$P68),SUMIFS(INDIRECT(ADDRESS(12,3+18*3+(8),,,"J1 B - Butcher Terrace")&amp;":"&amp;ADDRESS(130,3+18*3+(8))),'J1 B - Butcher Terrace'!$A$12:$A$130,"&gt;="&amp;Diagram!$O68,'J1 B - Butcher Terrace'!$A$12:$A$130,"&lt;"&amp;Diagram!$P68)))</f>
        <v>0</v>
      </c>
      <c r="Y68" s="42">
        <f ca="1">IF(OR($I$10="",$O68="",$P68="",$J$35&lt;&gt;"Yes"),0,IF($K$10=0,SUMIFS(INDIRECT(ADDRESS(12,3+18*0+(0),,,"J1 B - Butcher Terrace")&amp;":"&amp;ADDRESS(130,3+18*0+(0))),'J1 B - Butcher Terrace'!$A$12:$A$130,"&gt;="&amp;Diagram!$O68,'J1 B - Butcher Terrace'!$A$12:$A$130,"&lt;"&amp;Diagram!$P68),SUMIFS(INDIRECT(ADDRESS(12,3+18*0+(8),,,"J1 B - Butcher Terrace")&amp;":"&amp;ADDRESS(130,3+18*0+(8))),'J1 B - Butcher Terrace'!$A$12:$A$130,"&gt;="&amp;Diagram!$O68,'J1 B - Butcher Terrace'!$A$12:$A$130,"&lt;"&amp;Diagram!$P68)))</f>
        <v>12</v>
      </c>
      <c r="Z68" s="42">
        <f ca="1">IF(OR($I$10="",$O68="",$P68="",$J$35&lt;&gt;"Yes"),0,IF($K$10=0,SUMIFS(INDIRECT(ADDRESS(12,3+18*1+(0),,,"J1 B - Butcher Terrace")&amp;":"&amp;ADDRESS(130,3+18*1+(0))),'J1 B - Butcher Terrace'!$A$12:$A$130,"&gt;="&amp;Diagram!$O68,'J1 B - Butcher Terrace'!$A$12:$A$130,"&lt;"&amp;Diagram!$P68),SUMIFS(INDIRECT(ADDRESS(12,3+18*1+(8),,,"J1 B - Butcher Terrace")&amp;":"&amp;ADDRESS(130,3+18*1+(8))),'J1 B - Butcher Terrace'!$A$12:$A$130,"&gt;="&amp;Diagram!$O68,'J1 B - Butcher Terrace'!$A$12:$A$130,"&lt;"&amp;Diagram!$P68)))</f>
        <v>0</v>
      </c>
      <c r="AA68" s="42">
        <f ca="1">IF(OR($I$10="",$O68="",$P68="",$J$35&lt;&gt;"Yes"),0,IF($K$10=0,SUMIFS(INDIRECT(ADDRESS(12,3+18*1+(0),,,"J1 C - (South) Bishopthorpe Roa")&amp;":"&amp;ADDRESS(130,3+18*1+(0))),'J1 C - (South) Bishopthorpe Roa'!$A$12:$A$130,"&gt;="&amp;Diagram!$O68,'J1 C - (South) Bishopthorpe Roa'!$A$12:$A$130,"&lt;"&amp;Diagram!$P68),SUMIFS(INDIRECT(ADDRESS(12,3+18*1+(8),,,"J1 C - (South) Bishopthorpe Roa")&amp;":"&amp;ADDRESS(130,3+18*1+(8))),'J1 C - (South) Bishopthorpe Roa'!$A$12:$A$130,"&gt;="&amp;Diagram!$O68,'J1 C - (South) Bishopthorpe Roa'!$A$12:$A$130,"&lt;"&amp;Diagram!$P68)))</f>
        <v>201</v>
      </c>
      <c r="AB68" s="42">
        <f ca="1">IF(OR($I$10="",$O68="",$P68="",$J$35&lt;&gt;"Yes"),0,IF($K$10=0,SUMIFS(INDIRECT(ADDRESS(12,3+18*2+(0),,,"J1 C - (South) Bishopthorpe Roa")&amp;":"&amp;ADDRESS(130,3+18*2+(0))),'J1 C - (South) Bishopthorpe Roa'!$A$12:$A$130,"&gt;="&amp;Diagram!$O68,'J1 C - (South) Bishopthorpe Roa'!$A$12:$A$130,"&lt;"&amp;Diagram!$P68),SUMIFS(INDIRECT(ADDRESS(12,3+18*2+(8),,,"J1 C - (South) Bishopthorpe Roa")&amp;":"&amp;ADDRESS(130,3+18*2+(8))),'J1 C - (South) Bishopthorpe Roa'!$A$12:$A$130,"&gt;="&amp;Diagram!$O68,'J1 C - (South) Bishopthorpe Roa'!$A$12:$A$130,"&lt;"&amp;Diagram!$P68)))</f>
        <v>11</v>
      </c>
      <c r="AC68" s="42">
        <f ca="1">IF(OR($I$10="",$O68="",$P68="",$J$35&lt;&gt;"Yes"),0,IF($K$10=0,SUMIFS(INDIRECT(ADDRESS(12,3+18*3+(0),,,"J1 C - (South) Bishopthorpe Roa")&amp;":"&amp;ADDRESS(130,3+18*3+(0))),'J1 C - (South) Bishopthorpe Roa'!$A$12:$A$130,"&gt;="&amp;Diagram!$O68,'J1 C - (South) Bishopthorpe Roa'!$A$12:$A$130,"&lt;"&amp;Diagram!$P68),SUMIFS(INDIRECT(ADDRESS(12,3+18*3+(8),,,"J1 C - (South) Bishopthorpe Roa")&amp;":"&amp;ADDRESS(130,3+18*3+(8))),'J1 C - (South) Bishopthorpe Roa'!$A$12:$A$130,"&gt;="&amp;Diagram!$O68,'J1 C - (South) Bishopthorpe Roa'!$A$12:$A$130,"&lt;"&amp;Diagram!$P68)))</f>
        <v>1</v>
      </c>
      <c r="AD68" s="42">
        <f ca="1">IF(OR($I$10="",$O68="",$P68="",$J$35&lt;&gt;"Yes"),0,IF($K$10=0,SUMIFS(INDIRECT(ADDRESS(12,3+18*0+(0),,,"J1 C - (South) Bishopthorpe Roa")&amp;":"&amp;ADDRESS(130,3+18*0+(0))),'J1 C - (South) Bishopthorpe Roa'!$A$12:$A$130,"&gt;="&amp;Diagram!$O68,'J1 C - (South) Bishopthorpe Roa'!$A$12:$A$130,"&lt;"&amp;Diagram!$P68),SUMIFS(INDIRECT(ADDRESS(12,3+18*0+(8),,,"J1 C - (South) Bishopthorpe Roa")&amp;":"&amp;ADDRESS(130,3+18*0+(8))),'J1 C - (South) Bishopthorpe Roa'!$A$12:$A$130,"&gt;="&amp;Diagram!$O68,'J1 C - (South) Bishopthorpe Roa'!$A$12:$A$130,"&lt;"&amp;Diagram!$P68)))</f>
        <v>7</v>
      </c>
      <c r="AE68" s="42">
        <f ca="1">IF(OR($I$10="",$O68="",$P68="",$J$35&lt;&gt;"Yes"),0,IF($K$10=0,SUMIFS(INDIRECT(ADDRESS(12,3+18*0+(0),,,"J1 D - South Bank Avenue")&amp;":"&amp;ADDRESS(130,3+18*0+(0))),'J1 D - South Bank Avenue'!$A$12:$A$130,"&gt;="&amp;Diagram!$O68,'J1 D - South Bank Avenue'!$A$12:$A$130,"&lt;"&amp;Diagram!$P68),SUMIFS(INDIRECT(ADDRESS(12,3+18*0+(8),,,"J1 D - South Bank Avenue")&amp;":"&amp;ADDRESS(130,3+18*0+(8))),'J1 D - South Bank Avenue'!$A$12:$A$130,"&gt;="&amp;Diagram!$O68,'J1 D - South Bank Avenue'!$A$12:$A$130,"&lt;"&amp;Diagram!$P68)))</f>
        <v>26</v>
      </c>
      <c r="AF68" s="42">
        <f ca="1">IF(OR($I$10="",$O68="",$P68="",$J$35&lt;&gt;"Yes"),0,IF($K$10=0,SUMIFS(INDIRECT(ADDRESS(12,3+18*1+(0),,,"J1 D - South Bank Avenue")&amp;":"&amp;ADDRESS(130,3+18*1+(0))),'J1 D - South Bank Avenue'!$A$12:$A$130,"&gt;="&amp;Diagram!$O68,'J1 D - South Bank Avenue'!$A$12:$A$130,"&lt;"&amp;Diagram!$P68),SUMIFS(INDIRECT(ADDRESS(12,3+18*1+(8),,,"J1 D - South Bank Avenue")&amp;":"&amp;ADDRESS(130,3+18*1+(8))),'J1 D - South Bank Avenue'!$A$12:$A$130,"&gt;="&amp;Diagram!$O68,'J1 D - South Bank Avenue'!$A$12:$A$130,"&lt;"&amp;Diagram!$P68)))</f>
        <v>1</v>
      </c>
      <c r="AG68" s="42">
        <f ca="1">IF(OR($I$10="",$O68="",$P68="",$J$35&lt;&gt;"Yes"),0,IF($K$10=0,SUMIFS(INDIRECT(ADDRESS(12,3+18*2+(0),,,"J1 D - South Bank Avenue")&amp;":"&amp;ADDRESS(130,3+18*2+(0))),'J1 D - South Bank Avenue'!$A$12:$A$130,"&gt;="&amp;Diagram!$O68,'J1 D - South Bank Avenue'!$A$12:$A$130,"&lt;"&amp;Diagram!$P68),SUMIFS(INDIRECT(ADDRESS(12,3+18*2+(8),,,"J1 D - South Bank Avenue")&amp;":"&amp;ADDRESS(130,3+18*2+(8))),'J1 D - South Bank Avenue'!$A$12:$A$130,"&gt;="&amp;Diagram!$O68,'J1 D - South Bank Avenue'!$A$12:$A$130,"&lt;"&amp;Diagram!$P68)))</f>
        <v>10</v>
      </c>
      <c r="AH68" s="42">
        <f ca="1">IF(OR($I$10="",$O68="",$P68="",$J$35&lt;&gt;"Yes"),0,IF($K$10=0,SUMIFS(INDIRECT(ADDRESS(12,3+18*3+(0),,,"J1 D - South Bank Avenue")&amp;":"&amp;ADDRESS(130,3+18*3+(0))),'J1 D - South Bank Avenue'!$A$12:$A$130,"&gt;="&amp;Diagram!$O68,'J1 D - South Bank Avenue'!$A$12:$A$130,"&lt;"&amp;Diagram!$P68),SUMIFS(INDIRECT(ADDRESS(12,3+18*3+(8),,,"J1 D - South Bank Avenue")&amp;":"&amp;ADDRESS(130,3+18*3+(8))),'J1 D - South Bank Avenue'!$A$12:$A$130,"&gt;="&amp;Diagram!$O68,'J1 D - South Bank Avenue'!$A$12:$A$130,"&lt;"&amp;Diagram!$P68)))</f>
        <v>0</v>
      </c>
      <c r="AI68" s="42">
        <f t="shared" ca="1" si="12"/>
        <v>39</v>
      </c>
      <c r="AJ68" s="42">
        <f ca="1">IF(OR($I$10="",$O68="",$P68="",$J$36&lt;&gt;"Yes"),0,IF($K$10=0,SUMIFS(INDIRECT(ADDRESS(12,3+18*3+(1),,,"J1 A - (North) Bishopthorpe Roa")&amp;":"&amp;ADDRESS(130,3+18*3+(1))),'J1 A - (North) Bishopthorpe Roa'!$A$12:$A$130,"&gt;="&amp;Diagram!$O68,'J1 A - (North) Bishopthorpe Roa'!$A$12:$A$130,"&lt;"&amp;Diagram!$P68),SUMIFS(INDIRECT(ADDRESS(12,3+18*3+(9),,,"J1 A - (North) Bishopthorpe Roa")&amp;":"&amp;ADDRESS(130,3+18*3+(9))),'J1 A - (North) Bishopthorpe Roa'!$A$12:$A$130,"&gt;="&amp;Diagram!$O68,'J1 A - (North) Bishopthorpe Roa'!$A$12:$A$130,"&lt;"&amp;Diagram!$P68)))</f>
        <v>0</v>
      </c>
      <c r="AK68" s="42">
        <f ca="1">IF(OR($I$10="",$O68="",$P68="",$J$36&lt;&gt;"Yes"),0,IF($K$10=0,SUMIFS(INDIRECT(ADDRESS(12,3+18*0+(1),,,"J1 A - (North) Bishopthorpe Roa")&amp;":"&amp;ADDRESS(130,3+18*0+(1))),'J1 A - (North) Bishopthorpe Roa'!$A$12:$A$130,"&gt;="&amp;Diagram!$O68,'J1 A - (North) Bishopthorpe Roa'!$A$12:$A$130,"&lt;"&amp;Diagram!$P68),SUMIFS(INDIRECT(ADDRESS(12,3+18*0+(9),,,"J1 A - (North) Bishopthorpe Roa")&amp;":"&amp;ADDRESS(130,3+18*0+(9))),'J1 A - (North) Bishopthorpe Roa'!$A$12:$A$130,"&gt;="&amp;Diagram!$O68,'J1 A - (North) Bishopthorpe Roa'!$A$12:$A$130,"&lt;"&amp;Diagram!$P68)))</f>
        <v>3</v>
      </c>
      <c r="AL68" s="42">
        <f ca="1">IF(OR($I$10="",$O68="",$P68="",$J$36&lt;&gt;"Yes"),0,IF($K$10=0,SUMIFS(INDIRECT(ADDRESS(12,3+18*1+(1),,,"J1 A - (North) Bishopthorpe Roa")&amp;":"&amp;ADDRESS(130,3+18*1+(1))),'J1 A - (North) Bishopthorpe Roa'!$A$12:$A$130,"&gt;="&amp;Diagram!$O68,'J1 A - (North) Bishopthorpe Roa'!$A$12:$A$130,"&lt;"&amp;Diagram!$P68),SUMIFS(INDIRECT(ADDRESS(12,3+18*1+(9),,,"J1 A - (North) Bishopthorpe Roa")&amp;":"&amp;ADDRESS(130,3+18*1+(9))),'J1 A - (North) Bishopthorpe Roa'!$A$12:$A$130,"&gt;="&amp;Diagram!$O68,'J1 A - (North) Bishopthorpe Roa'!$A$12:$A$130,"&lt;"&amp;Diagram!$P68)))</f>
        <v>13</v>
      </c>
      <c r="AM68" s="42">
        <f ca="1">IF(OR($I$10="",$O68="",$P68="",$J$36&lt;&gt;"Yes"),0,IF($K$10=0,SUMIFS(INDIRECT(ADDRESS(12,3+18*2+(1),,,"J1 A - (North) Bishopthorpe Roa")&amp;":"&amp;ADDRESS(130,3+18*2+(1))),'J1 A - (North) Bishopthorpe Roa'!$A$12:$A$130,"&gt;="&amp;Diagram!$O68,'J1 A - (North) Bishopthorpe Roa'!$A$12:$A$130,"&lt;"&amp;Diagram!$P68),SUMIFS(INDIRECT(ADDRESS(12,3+18*2+(9),,,"J1 A - (North) Bishopthorpe Roa")&amp;":"&amp;ADDRESS(130,3+18*2+(9))),'J1 A - (North) Bishopthorpe Roa'!$A$12:$A$130,"&gt;="&amp;Diagram!$O68,'J1 A - (North) Bishopthorpe Roa'!$A$12:$A$130,"&lt;"&amp;Diagram!$P68)))</f>
        <v>3</v>
      </c>
      <c r="AN68" s="42">
        <f ca="1">IF(OR($I$10="",$O68="",$P68="",$J$36&lt;&gt;"Yes"),0,IF($K$10=0,SUMIFS(INDIRECT(ADDRESS(12,3+18*2+(1),,,"J1 B - Butcher Terrace")&amp;":"&amp;ADDRESS(130,3+18*2+(1))),'J1 B - Butcher Terrace'!$A$12:$A$130,"&gt;="&amp;Diagram!$O68,'J1 B - Butcher Terrace'!$A$12:$A$130,"&lt;"&amp;Diagram!$P68),SUMIFS(INDIRECT(ADDRESS(12,3+18*2+(9),,,"J1 B - Butcher Terrace")&amp;":"&amp;ADDRESS(130,3+18*2+(9))),'J1 B - Butcher Terrace'!$A$12:$A$130,"&gt;="&amp;Diagram!$O68,'J1 B - Butcher Terrace'!$A$12:$A$130,"&lt;"&amp;Diagram!$P68)))</f>
        <v>0</v>
      </c>
      <c r="AO68" s="42">
        <f ca="1">IF(OR($I$10="",$O68="",$P68="",$J$36&lt;&gt;"Yes"),0,IF($K$10=0,SUMIFS(INDIRECT(ADDRESS(12,3+18*3+(1),,,"J1 B - Butcher Terrace")&amp;":"&amp;ADDRESS(130,3+18*3+(1))),'J1 B - Butcher Terrace'!$A$12:$A$130,"&gt;="&amp;Diagram!$O68,'J1 B - Butcher Terrace'!$A$12:$A$130,"&lt;"&amp;Diagram!$P68),SUMIFS(INDIRECT(ADDRESS(12,3+18*3+(9),,,"J1 B - Butcher Terrace")&amp;":"&amp;ADDRESS(130,3+18*3+(9))),'J1 B - Butcher Terrace'!$A$12:$A$130,"&gt;="&amp;Diagram!$O68,'J1 B - Butcher Terrace'!$A$12:$A$130,"&lt;"&amp;Diagram!$P68)))</f>
        <v>0</v>
      </c>
      <c r="AP68" s="42">
        <f ca="1">IF(OR($I$10="",$O68="",$P68="",$J$36&lt;&gt;"Yes"),0,IF($K$10=0,SUMIFS(INDIRECT(ADDRESS(12,3+18*0+(1),,,"J1 B - Butcher Terrace")&amp;":"&amp;ADDRESS(130,3+18*0+(1))),'J1 B - Butcher Terrace'!$A$12:$A$130,"&gt;="&amp;Diagram!$O68,'J1 B - Butcher Terrace'!$A$12:$A$130,"&lt;"&amp;Diagram!$P68),SUMIFS(INDIRECT(ADDRESS(12,3+18*0+(9),,,"J1 B - Butcher Terrace")&amp;":"&amp;ADDRESS(130,3+18*0+(9))),'J1 B - Butcher Terrace'!$A$12:$A$130,"&gt;="&amp;Diagram!$O68,'J1 B - Butcher Terrace'!$A$12:$A$130,"&lt;"&amp;Diagram!$P68)))</f>
        <v>1</v>
      </c>
      <c r="AQ68" s="42">
        <f ca="1">IF(OR($I$10="",$O68="",$P68="",$J$36&lt;&gt;"Yes"),0,IF($K$10=0,SUMIFS(INDIRECT(ADDRESS(12,3+18*1+(1),,,"J1 B - Butcher Terrace")&amp;":"&amp;ADDRESS(130,3+18*1+(1))),'J1 B - Butcher Terrace'!$A$12:$A$130,"&gt;="&amp;Diagram!$O68,'J1 B - Butcher Terrace'!$A$12:$A$130,"&lt;"&amp;Diagram!$P68),SUMIFS(INDIRECT(ADDRESS(12,3+18*1+(9),,,"J1 B - Butcher Terrace")&amp;":"&amp;ADDRESS(130,3+18*1+(9))),'J1 B - Butcher Terrace'!$A$12:$A$130,"&gt;="&amp;Diagram!$O68,'J1 B - Butcher Terrace'!$A$12:$A$130,"&lt;"&amp;Diagram!$P68)))</f>
        <v>0</v>
      </c>
      <c r="AR68" s="42">
        <f ca="1">IF(OR($I$10="",$O68="",$P68="",$J$36&lt;&gt;"Yes"),0,IF($K$10=0,SUMIFS(INDIRECT(ADDRESS(12,3+18*1+(1),,,"J1 C - (South) Bishopthorpe Roa")&amp;":"&amp;ADDRESS(130,3+18*1+(1))),'J1 C - (South) Bishopthorpe Roa'!$A$12:$A$130,"&gt;="&amp;Diagram!$O68,'J1 C - (South) Bishopthorpe Roa'!$A$12:$A$130,"&lt;"&amp;Diagram!$P68),SUMIFS(INDIRECT(ADDRESS(12,3+18*1+(9),,,"J1 C - (South) Bishopthorpe Roa")&amp;":"&amp;ADDRESS(130,3+18*1+(9))),'J1 C - (South) Bishopthorpe Roa'!$A$12:$A$130,"&gt;="&amp;Diagram!$O68,'J1 C - (South) Bishopthorpe Roa'!$A$12:$A$130,"&lt;"&amp;Diagram!$P68)))</f>
        <v>16</v>
      </c>
      <c r="AS68" s="42">
        <f ca="1">IF(OR($I$10="",$O68="",$P68="",$J$36&lt;&gt;"Yes"),0,IF($K$10=0,SUMIFS(INDIRECT(ADDRESS(12,3+18*2+(1),,,"J1 C - (South) Bishopthorpe Roa")&amp;":"&amp;ADDRESS(130,3+18*2+(1))),'J1 C - (South) Bishopthorpe Roa'!$A$12:$A$130,"&gt;="&amp;Diagram!$O68,'J1 C - (South) Bishopthorpe Roa'!$A$12:$A$130,"&lt;"&amp;Diagram!$P68),SUMIFS(INDIRECT(ADDRESS(12,3+18*2+(9),,,"J1 C - (South) Bishopthorpe Roa")&amp;":"&amp;ADDRESS(130,3+18*2+(9))),'J1 C - (South) Bishopthorpe Roa'!$A$12:$A$130,"&gt;="&amp;Diagram!$O68,'J1 C - (South) Bishopthorpe Roa'!$A$12:$A$130,"&lt;"&amp;Diagram!$P68)))</f>
        <v>0</v>
      </c>
      <c r="AT68" s="42">
        <f ca="1">IF(OR($I$10="",$O68="",$P68="",$J$36&lt;&gt;"Yes"),0,IF($K$10=0,SUMIFS(INDIRECT(ADDRESS(12,3+18*3+(1),,,"J1 C - (South) Bishopthorpe Roa")&amp;":"&amp;ADDRESS(130,3+18*3+(1))),'J1 C - (South) Bishopthorpe Roa'!$A$12:$A$130,"&gt;="&amp;Diagram!$O68,'J1 C - (South) Bishopthorpe Roa'!$A$12:$A$130,"&lt;"&amp;Diagram!$P68),SUMIFS(INDIRECT(ADDRESS(12,3+18*3+(9),,,"J1 C - (South) Bishopthorpe Roa")&amp;":"&amp;ADDRESS(130,3+18*3+(9))),'J1 C - (South) Bishopthorpe Roa'!$A$12:$A$130,"&gt;="&amp;Diagram!$O68,'J1 C - (South) Bishopthorpe Roa'!$A$12:$A$130,"&lt;"&amp;Diagram!$P68)))</f>
        <v>0</v>
      </c>
      <c r="AU68" s="42">
        <f ca="1">IF(OR($I$10="",$O68="",$P68="",$J$36&lt;&gt;"Yes"),0,IF($K$10=0,SUMIFS(INDIRECT(ADDRESS(12,3+18*0+(1),,,"J1 C - (South) Bishopthorpe Roa")&amp;":"&amp;ADDRESS(130,3+18*0+(1))),'J1 C - (South) Bishopthorpe Roa'!$A$12:$A$130,"&gt;="&amp;Diagram!$O68,'J1 C - (South) Bishopthorpe Roa'!$A$12:$A$130,"&lt;"&amp;Diagram!$P68),SUMIFS(INDIRECT(ADDRESS(12,3+18*0+(9),,,"J1 C - (South) Bishopthorpe Roa")&amp;":"&amp;ADDRESS(130,3+18*0+(9))),'J1 C - (South) Bishopthorpe Roa'!$A$12:$A$130,"&gt;="&amp;Diagram!$O68,'J1 C - (South) Bishopthorpe Roa'!$A$12:$A$130,"&lt;"&amp;Diagram!$P68)))</f>
        <v>1</v>
      </c>
      <c r="AV68" s="42">
        <f ca="1">IF(OR($I$10="",$O68="",$P68="",$J$36&lt;&gt;"Yes"),0,IF($K$10=0,SUMIFS(INDIRECT(ADDRESS(12,3+18*0+(1),,,"J1 D - South Bank Avenue")&amp;":"&amp;ADDRESS(130,3+18*0+(1))),'J1 D - South Bank Avenue'!$A$12:$A$130,"&gt;="&amp;Diagram!$O68,'J1 D - South Bank Avenue'!$A$12:$A$130,"&lt;"&amp;Diagram!$P68),SUMIFS(INDIRECT(ADDRESS(12,3+18*0+(9),,,"J1 D - South Bank Avenue")&amp;":"&amp;ADDRESS(130,3+18*0+(9))),'J1 D - South Bank Avenue'!$A$12:$A$130,"&gt;="&amp;Diagram!$O68,'J1 D - South Bank Avenue'!$A$12:$A$130,"&lt;"&amp;Diagram!$P68)))</f>
        <v>2</v>
      </c>
      <c r="AW68" s="42">
        <f ca="1">IF(OR($I$10="",$O68="",$P68="",$J$36&lt;&gt;"Yes"),0,IF($K$10=0,SUMIFS(INDIRECT(ADDRESS(12,3+18*1+(1),,,"J1 D - South Bank Avenue")&amp;":"&amp;ADDRESS(130,3+18*1+(1))),'J1 D - South Bank Avenue'!$A$12:$A$130,"&gt;="&amp;Diagram!$O68,'J1 D - South Bank Avenue'!$A$12:$A$130,"&lt;"&amp;Diagram!$P68),SUMIFS(INDIRECT(ADDRESS(12,3+18*1+(9),,,"J1 D - South Bank Avenue")&amp;":"&amp;ADDRESS(130,3+18*1+(9))),'J1 D - South Bank Avenue'!$A$12:$A$130,"&gt;="&amp;Diagram!$O68,'J1 D - South Bank Avenue'!$A$12:$A$130,"&lt;"&amp;Diagram!$P68)))</f>
        <v>0</v>
      </c>
      <c r="AX68" s="42">
        <f ca="1">IF(OR($I$10="",$O68="",$P68="",$J$36&lt;&gt;"Yes"),0,IF($K$10=0,SUMIFS(INDIRECT(ADDRESS(12,3+18*2+(1),,,"J1 D - South Bank Avenue")&amp;":"&amp;ADDRESS(130,3+18*2+(1))),'J1 D - South Bank Avenue'!$A$12:$A$130,"&gt;="&amp;Diagram!$O68,'J1 D - South Bank Avenue'!$A$12:$A$130,"&lt;"&amp;Diagram!$P68),SUMIFS(INDIRECT(ADDRESS(12,3+18*2+(9),,,"J1 D - South Bank Avenue")&amp;":"&amp;ADDRESS(130,3+18*2+(9))),'J1 D - South Bank Avenue'!$A$12:$A$130,"&gt;="&amp;Diagram!$O68,'J1 D - South Bank Avenue'!$A$12:$A$130,"&lt;"&amp;Diagram!$P68)))</f>
        <v>0</v>
      </c>
      <c r="AY68" s="42">
        <f ca="1">IF(OR($I$10="",$O68="",$P68="",$J$36&lt;&gt;"Yes"),0,IF($K$10=0,SUMIFS(INDIRECT(ADDRESS(12,3+18*3+(1),,,"J1 D - South Bank Avenue")&amp;":"&amp;ADDRESS(130,3+18*3+(1))),'J1 D - South Bank Avenue'!$A$12:$A$130,"&gt;="&amp;Diagram!$O68,'J1 D - South Bank Avenue'!$A$12:$A$130,"&lt;"&amp;Diagram!$P68),SUMIFS(INDIRECT(ADDRESS(12,3+18*3+(9),,,"J1 D - South Bank Avenue")&amp;":"&amp;ADDRESS(130,3+18*3+(9))),'J1 D - South Bank Avenue'!$A$12:$A$130,"&gt;="&amp;Diagram!$O68,'J1 D - South Bank Avenue'!$A$12:$A$130,"&lt;"&amp;Diagram!$P68)))</f>
        <v>0</v>
      </c>
      <c r="AZ68" s="42">
        <f t="shared" ca="1" si="13"/>
        <v>3</v>
      </c>
      <c r="BA68" s="42">
        <f ca="1">IF(OR($I$10="",$O68="",$P68="",$J$37&lt;&gt;"Yes"),0,IF($K$10=0,SUMIFS(INDIRECT(ADDRESS(12,3+18*3+(2),,,"J1 A - (North) Bishopthorpe Roa")&amp;":"&amp;ADDRESS(130,3+18*3+(2))),'J1 A - (North) Bishopthorpe Roa'!$A$12:$A$130,"&gt;="&amp;Diagram!$O68,'J1 A - (North) Bishopthorpe Roa'!$A$12:$A$130,"&lt;"&amp;Diagram!$P68),SUMIFS(INDIRECT(ADDRESS(12,3+18*3+(10),,,"J1 A - (North) Bishopthorpe Roa")&amp;":"&amp;ADDRESS(130,3+18*3+(10))),'J1 A - (North) Bishopthorpe Roa'!$A$12:$A$130,"&gt;="&amp;Diagram!$O68,'J1 A - (North) Bishopthorpe Roa'!$A$12:$A$130,"&lt;"&amp;Diagram!$P68)))</f>
        <v>0</v>
      </c>
      <c r="BB68" s="42">
        <f ca="1">IF(OR($I$10="",$O68="",$P68="",$J$37&lt;&gt;"Yes"),0,IF($K$10=0,SUMIFS(INDIRECT(ADDRESS(12,3+18*0+(2),,,"J1 A - (North) Bishopthorpe Roa")&amp;":"&amp;ADDRESS(130,3+18*0+(2))),'J1 A - (North) Bishopthorpe Roa'!$A$12:$A$130,"&gt;="&amp;Diagram!$O68,'J1 A - (North) Bishopthorpe Roa'!$A$12:$A$130,"&lt;"&amp;Diagram!$P68),SUMIFS(INDIRECT(ADDRESS(12,3+18*0+(10),,,"J1 A - (North) Bishopthorpe Roa")&amp;":"&amp;ADDRESS(130,3+18*0+(10))),'J1 A - (North) Bishopthorpe Roa'!$A$12:$A$130,"&gt;="&amp;Diagram!$O68,'J1 A - (North) Bishopthorpe Roa'!$A$12:$A$130,"&lt;"&amp;Diagram!$P68)))</f>
        <v>0</v>
      </c>
      <c r="BC68" s="42">
        <f ca="1">IF(OR($I$10="",$O68="",$P68="",$J$37&lt;&gt;"Yes"),0,IF($K$10=0,SUMIFS(INDIRECT(ADDRESS(12,3+18*1+(2),,,"J1 A - (North) Bishopthorpe Roa")&amp;":"&amp;ADDRESS(130,3+18*1+(2))),'J1 A - (North) Bishopthorpe Roa'!$A$12:$A$130,"&gt;="&amp;Diagram!$O68,'J1 A - (North) Bishopthorpe Roa'!$A$12:$A$130,"&lt;"&amp;Diagram!$P68),SUMIFS(INDIRECT(ADDRESS(12,3+18*1+(10),,,"J1 A - (North) Bishopthorpe Roa")&amp;":"&amp;ADDRESS(130,3+18*1+(10))),'J1 A - (North) Bishopthorpe Roa'!$A$12:$A$130,"&gt;="&amp;Diagram!$O68,'J1 A - (North) Bishopthorpe Roa'!$A$12:$A$130,"&lt;"&amp;Diagram!$P68)))</f>
        <v>0</v>
      </c>
      <c r="BD68" s="42">
        <f ca="1">IF(OR($I$10="",$O68="",$P68="",$J$37&lt;&gt;"Yes"),0,IF($K$10=0,SUMIFS(INDIRECT(ADDRESS(12,3+18*2+(2),,,"J1 A - (North) Bishopthorpe Roa")&amp;":"&amp;ADDRESS(130,3+18*2+(2))),'J1 A - (North) Bishopthorpe Roa'!$A$12:$A$130,"&gt;="&amp;Diagram!$O68,'J1 A - (North) Bishopthorpe Roa'!$A$12:$A$130,"&lt;"&amp;Diagram!$P68),SUMIFS(INDIRECT(ADDRESS(12,3+18*2+(10),,,"J1 A - (North) Bishopthorpe Roa")&amp;":"&amp;ADDRESS(130,3+18*2+(10))),'J1 A - (North) Bishopthorpe Roa'!$A$12:$A$130,"&gt;="&amp;Diagram!$O68,'J1 A - (North) Bishopthorpe Roa'!$A$12:$A$130,"&lt;"&amp;Diagram!$P68)))</f>
        <v>1</v>
      </c>
      <c r="BE68" s="42">
        <f ca="1">IF(OR($I$10="",$O68="",$P68="",$J$37&lt;&gt;"Yes"),0,IF($K$10=0,SUMIFS(INDIRECT(ADDRESS(12,3+18*2+(2),,,"J1 B - Butcher Terrace")&amp;":"&amp;ADDRESS(130,3+18*2+(2))),'J1 B - Butcher Terrace'!$A$12:$A$130,"&gt;="&amp;Diagram!$O68,'J1 B - Butcher Terrace'!$A$12:$A$130,"&lt;"&amp;Diagram!$P68),SUMIFS(INDIRECT(ADDRESS(12,3+18*2+(10),,,"J1 B - Butcher Terrace")&amp;":"&amp;ADDRESS(130,3+18*2+(10))),'J1 B - Butcher Terrace'!$A$12:$A$130,"&gt;="&amp;Diagram!$O68,'J1 B - Butcher Terrace'!$A$12:$A$130,"&lt;"&amp;Diagram!$P68)))</f>
        <v>0</v>
      </c>
      <c r="BF68" s="42">
        <f ca="1">IF(OR($I$10="",$O68="",$P68="",$J$37&lt;&gt;"Yes"),0,IF($K$10=0,SUMIFS(INDIRECT(ADDRESS(12,3+18*3+(2),,,"J1 B - Butcher Terrace")&amp;":"&amp;ADDRESS(130,3+18*3+(2))),'J1 B - Butcher Terrace'!$A$12:$A$130,"&gt;="&amp;Diagram!$O68,'J1 B - Butcher Terrace'!$A$12:$A$130,"&lt;"&amp;Diagram!$P68),SUMIFS(INDIRECT(ADDRESS(12,3+18*3+(10),,,"J1 B - Butcher Terrace")&amp;":"&amp;ADDRESS(130,3+18*3+(10))),'J1 B - Butcher Terrace'!$A$12:$A$130,"&gt;="&amp;Diagram!$O68,'J1 B - Butcher Terrace'!$A$12:$A$130,"&lt;"&amp;Diagram!$P68)))</f>
        <v>0</v>
      </c>
      <c r="BG68" s="42">
        <f ca="1">IF(OR($I$10="",$O68="",$P68="",$J$37&lt;&gt;"Yes"),0,IF($K$10=0,SUMIFS(INDIRECT(ADDRESS(12,3+18*0+(2),,,"J1 B - Butcher Terrace")&amp;":"&amp;ADDRESS(130,3+18*0+(2))),'J1 B - Butcher Terrace'!$A$12:$A$130,"&gt;="&amp;Diagram!$O68,'J1 B - Butcher Terrace'!$A$12:$A$130,"&lt;"&amp;Diagram!$P68),SUMIFS(INDIRECT(ADDRESS(12,3+18*0+(10),,,"J1 B - Butcher Terrace")&amp;":"&amp;ADDRESS(130,3+18*0+(10))),'J1 B - Butcher Terrace'!$A$12:$A$130,"&gt;="&amp;Diagram!$O68,'J1 B - Butcher Terrace'!$A$12:$A$130,"&lt;"&amp;Diagram!$P68)))</f>
        <v>0</v>
      </c>
      <c r="BH68" s="42">
        <f ca="1">IF(OR($I$10="",$O68="",$P68="",$J$37&lt;&gt;"Yes"),0,IF($K$10=0,SUMIFS(INDIRECT(ADDRESS(12,3+18*1+(2),,,"J1 B - Butcher Terrace")&amp;":"&amp;ADDRESS(130,3+18*1+(2))),'J1 B - Butcher Terrace'!$A$12:$A$130,"&gt;="&amp;Diagram!$O68,'J1 B - Butcher Terrace'!$A$12:$A$130,"&lt;"&amp;Diagram!$P68),SUMIFS(INDIRECT(ADDRESS(12,3+18*1+(10),,,"J1 B - Butcher Terrace")&amp;":"&amp;ADDRESS(130,3+18*1+(10))),'J1 B - Butcher Terrace'!$A$12:$A$130,"&gt;="&amp;Diagram!$O68,'J1 B - Butcher Terrace'!$A$12:$A$130,"&lt;"&amp;Diagram!$P68)))</f>
        <v>0</v>
      </c>
      <c r="BI68" s="42">
        <f ca="1">IF(OR($I$10="",$O68="",$P68="",$J$37&lt;&gt;"Yes"),0,IF($K$10=0,SUMIFS(INDIRECT(ADDRESS(12,3+18*1+(2),,,"J1 C - (South) Bishopthorpe Roa")&amp;":"&amp;ADDRESS(130,3+18*1+(2))),'J1 C - (South) Bishopthorpe Roa'!$A$12:$A$130,"&gt;="&amp;Diagram!$O68,'J1 C - (South) Bishopthorpe Roa'!$A$12:$A$130,"&lt;"&amp;Diagram!$P68),SUMIFS(INDIRECT(ADDRESS(12,3+18*1+(10),,,"J1 C - (South) Bishopthorpe Roa")&amp;":"&amp;ADDRESS(130,3+18*1+(10))),'J1 C - (South) Bishopthorpe Roa'!$A$12:$A$130,"&gt;="&amp;Diagram!$O68,'J1 C - (South) Bishopthorpe Roa'!$A$12:$A$130,"&lt;"&amp;Diagram!$P68)))</f>
        <v>2</v>
      </c>
      <c r="BJ68" s="42">
        <f ca="1">IF(OR($I$10="",$O68="",$P68="",$J$37&lt;&gt;"Yes"),0,IF($K$10=0,SUMIFS(INDIRECT(ADDRESS(12,3+18*2+(2),,,"J1 C - (South) Bishopthorpe Roa")&amp;":"&amp;ADDRESS(130,3+18*2+(2))),'J1 C - (South) Bishopthorpe Roa'!$A$12:$A$130,"&gt;="&amp;Diagram!$O68,'J1 C - (South) Bishopthorpe Roa'!$A$12:$A$130,"&lt;"&amp;Diagram!$P68),SUMIFS(INDIRECT(ADDRESS(12,3+18*2+(10),,,"J1 C - (South) Bishopthorpe Roa")&amp;":"&amp;ADDRESS(130,3+18*2+(10))),'J1 C - (South) Bishopthorpe Roa'!$A$12:$A$130,"&gt;="&amp;Diagram!$O68,'J1 C - (South) Bishopthorpe Roa'!$A$12:$A$130,"&lt;"&amp;Diagram!$P68)))</f>
        <v>0</v>
      </c>
      <c r="BK68" s="42">
        <f ca="1">IF(OR($I$10="",$O68="",$P68="",$J$37&lt;&gt;"Yes"),0,IF($K$10=0,SUMIFS(INDIRECT(ADDRESS(12,3+18*3+(2),,,"J1 C - (South) Bishopthorpe Roa")&amp;":"&amp;ADDRESS(130,3+18*3+(2))),'J1 C - (South) Bishopthorpe Roa'!$A$12:$A$130,"&gt;="&amp;Diagram!$O68,'J1 C - (South) Bishopthorpe Roa'!$A$12:$A$130,"&lt;"&amp;Diagram!$P68),SUMIFS(INDIRECT(ADDRESS(12,3+18*3+(10),,,"J1 C - (South) Bishopthorpe Roa")&amp;":"&amp;ADDRESS(130,3+18*3+(10))),'J1 C - (South) Bishopthorpe Roa'!$A$12:$A$130,"&gt;="&amp;Diagram!$O68,'J1 C - (South) Bishopthorpe Roa'!$A$12:$A$130,"&lt;"&amp;Diagram!$P68)))</f>
        <v>0</v>
      </c>
      <c r="BL68" s="42">
        <f ca="1">IF(OR($I$10="",$O68="",$P68="",$J$37&lt;&gt;"Yes"),0,IF($K$10=0,SUMIFS(INDIRECT(ADDRESS(12,3+18*0+(2),,,"J1 C - (South) Bishopthorpe Roa")&amp;":"&amp;ADDRESS(130,3+18*0+(2))),'J1 C - (South) Bishopthorpe Roa'!$A$12:$A$130,"&gt;="&amp;Diagram!$O68,'J1 C - (South) Bishopthorpe Roa'!$A$12:$A$130,"&lt;"&amp;Diagram!$P68),SUMIFS(INDIRECT(ADDRESS(12,3+18*0+(10),,,"J1 C - (South) Bishopthorpe Roa")&amp;":"&amp;ADDRESS(130,3+18*0+(10))),'J1 C - (South) Bishopthorpe Roa'!$A$12:$A$130,"&gt;="&amp;Diagram!$O68,'J1 C - (South) Bishopthorpe Roa'!$A$12:$A$130,"&lt;"&amp;Diagram!$P68)))</f>
        <v>0</v>
      </c>
      <c r="BM68" s="42">
        <f ca="1">IF(OR($I$10="",$O68="",$P68="",$J$37&lt;&gt;"Yes"),0,IF($K$10=0,SUMIFS(INDIRECT(ADDRESS(12,3+18*0+(2),,,"J1 D - South Bank Avenue")&amp;":"&amp;ADDRESS(130,3+18*0+(2))),'J1 D - South Bank Avenue'!$A$12:$A$130,"&gt;="&amp;Diagram!$O68,'J1 D - South Bank Avenue'!$A$12:$A$130,"&lt;"&amp;Diagram!$P68),SUMIFS(INDIRECT(ADDRESS(12,3+18*0+(10),,,"J1 D - South Bank Avenue")&amp;":"&amp;ADDRESS(130,3+18*0+(10))),'J1 D - South Bank Avenue'!$A$12:$A$130,"&gt;="&amp;Diagram!$O68,'J1 D - South Bank Avenue'!$A$12:$A$130,"&lt;"&amp;Diagram!$P68)))</f>
        <v>0</v>
      </c>
      <c r="BN68" s="42">
        <f ca="1">IF(OR($I$10="",$O68="",$P68="",$J$37&lt;&gt;"Yes"),0,IF($K$10=0,SUMIFS(INDIRECT(ADDRESS(12,3+18*1+(2),,,"J1 D - South Bank Avenue")&amp;":"&amp;ADDRESS(130,3+18*1+(2))),'J1 D - South Bank Avenue'!$A$12:$A$130,"&gt;="&amp;Diagram!$O68,'J1 D - South Bank Avenue'!$A$12:$A$130,"&lt;"&amp;Diagram!$P68),SUMIFS(INDIRECT(ADDRESS(12,3+18*1+(10),,,"J1 D - South Bank Avenue")&amp;":"&amp;ADDRESS(130,3+18*1+(10))),'J1 D - South Bank Avenue'!$A$12:$A$130,"&gt;="&amp;Diagram!$O68,'J1 D - South Bank Avenue'!$A$12:$A$130,"&lt;"&amp;Diagram!$P68)))</f>
        <v>0</v>
      </c>
      <c r="BO68" s="42">
        <f ca="1">IF(OR($I$10="",$O68="",$P68="",$J$37&lt;&gt;"Yes"),0,IF($K$10=0,SUMIFS(INDIRECT(ADDRESS(12,3+18*2+(2),,,"J1 D - South Bank Avenue")&amp;":"&amp;ADDRESS(130,3+18*2+(2))),'J1 D - South Bank Avenue'!$A$12:$A$130,"&gt;="&amp;Diagram!$O68,'J1 D - South Bank Avenue'!$A$12:$A$130,"&lt;"&amp;Diagram!$P68),SUMIFS(INDIRECT(ADDRESS(12,3+18*2+(10),,,"J1 D - South Bank Avenue")&amp;":"&amp;ADDRESS(130,3+18*2+(10))),'J1 D - South Bank Avenue'!$A$12:$A$130,"&gt;="&amp;Diagram!$O68,'J1 D - South Bank Avenue'!$A$12:$A$130,"&lt;"&amp;Diagram!$P68)))</f>
        <v>0</v>
      </c>
      <c r="BP68" s="42">
        <f ca="1">IF(OR($I$10="",$O68="",$P68="",$J$37&lt;&gt;"Yes"),0,IF($K$10=0,SUMIFS(INDIRECT(ADDRESS(12,3+18*3+(2),,,"J1 D - South Bank Avenue")&amp;":"&amp;ADDRESS(130,3+18*3+(2))),'J1 D - South Bank Avenue'!$A$12:$A$130,"&gt;="&amp;Diagram!$O68,'J1 D - South Bank Avenue'!$A$12:$A$130,"&lt;"&amp;Diagram!$P68),SUMIFS(INDIRECT(ADDRESS(12,3+18*3+(10),,,"J1 D - South Bank Avenue")&amp;":"&amp;ADDRESS(130,3+18*3+(10))),'J1 D - South Bank Avenue'!$A$12:$A$130,"&gt;="&amp;Diagram!$O68,'J1 D - South Bank Avenue'!$A$12:$A$130,"&lt;"&amp;Diagram!$P68)))</f>
        <v>0</v>
      </c>
      <c r="BQ68" s="42">
        <f t="shared" ca="1" si="14"/>
        <v>0</v>
      </c>
      <c r="BR68" s="42">
        <f ca="1">IF(OR($I$10="",$O68="",$P68="",$J$38&lt;&gt;"Yes"),0,IF($K$10=0,SUMIFS(INDIRECT(ADDRESS(12,3+18*3+(3),,,"J1 A - (North) Bishopthorpe Roa")&amp;":"&amp;ADDRESS(130,3+18*3+(3))),'J1 A - (North) Bishopthorpe Roa'!$A$12:$A$130,"&gt;="&amp;Diagram!$O68,'J1 A - (North) Bishopthorpe Roa'!$A$12:$A$130,"&lt;"&amp;Diagram!$P68),SUMIFS(INDIRECT(ADDRESS(12,3+18*3+(11),,,"J1 A - (North) Bishopthorpe Roa")&amp;":"&amp;ADDRESS(130,3+18*3+(11))),'J1 A - (North) Bishopthorpe Roa'!$A$12:$A$130,"&gt;="&amp;Diagram!$O68,'J1 A - (North) Bishopthorpe Roa'!$A$12:$A$130,"&lt;"&amp;Diagram!$P68)))</f>
        <v>0</v>
      </c>
      <c r="BS68" s="42">
        <f ca="1">IF(OR($I$10="",$O68="",$P68="",$J$38&lt;&gt;"Yes"),0,IF($K$10=0,SUMIFS(INDIRECT(ADDRESS(12,3+18*0+(3),,,"J1 A - (North) Bishopthorpe Roa")&amp;":"&amp;ADDRESS(130,3+18*0+(3))),'J1 A - (North) Bishopthorpe Roa'!$A$12:$A$130,"&gt;="&amp;Diagram!$O68,'J1 A - (North) Bishopthorpe Roa'!$A$12:$A$130,"&lt;"&amp;Diagram!$P68),SUMIFS(INDIRECT(ADDRESS(12,3+18*0+(11),,,"J1 A - (North) Bishopthorpe Roa")&amp;":"&amp;ADDRESS(130,3+18*0+(11))),'J1 A - (North) Bishopthorpe Roa'!$A$12:$A$130,"&gt;="&amp;Diagram!$O68,'J1 A - (North) Bishopthorpe Roa'!$A$12:$A$130,"&lt;"&amp;Diagram!$P68)))</f>
        <v>0</v>
      </c>
      <c r="BT68" s="42">
        <f ca="1">IF(OR($I$10="",$O68="",$P68="",$J$38&lt;&gt;"Yes"),0,IF($K$10=0,SUMIFS(INDIRECT(ADDRESS(12,3+18*1+(3),,,"J1 A - (North) Bishopthorpe Roa")&amp;":"&amp;ADDRESS(130,3+18*1+(3))),'J1 A - (North) Bishopthorpe Roa'!$A$12:$A$130,"&gt;="&amp;Diagram!$O68,'J1 A - (North) Bishopthorpe Roa'!$A$12:$A$130,"&lt;"&amp;Diagram!$P68),SUMIFS(INDIRECT(ADDRESS(12,3+18*1+(11),,,"J1 A - (North) Bishopthorpe Roa")&amp;":"&amp;ADDRESS(130,3+18*1+(11))),'J1 A - (North) Bishopthorpe Roa'!$A$12:$A$130,"&gt;="&amp;Diagram!$O68,'J1 A - (North) Bishopthorpe Roa'!$A$12:$A$130,"&lt;"&amp;Diagram!$P68)))</f>
        <v>0</v>
      </c>
      <c r="BU68" s="42">
        <f ca="1">IF(OR($I$10="",$O68="",$P68="",$J$38&lt;&gt;"Yes"),0,IF($K$10=0,SUMIFS(INDIRECT(ADDRESS(12,3+18*2+(3),,,"J1 A - (North) Bishopthorpe Roa")&amp;":"&amp;ADDRESS(130,3+18*2+(3))),'J1 A - (North) Bishopthorpe Roa'!$A$12:$A$130,"&gt;="&amp;Diagram!$O68,'J1 A - (North) Bishopthorpe Roa'!$A$12:$A$130,"&lt;"&amp;Diagram!$P68),SUMIFS(INDIRECT(ADDRESS(12,3+18*2+(11),,,"J1 A - (North) Bishopthorpe Roa")&amp;":"&amp;ADDRESS(130,3+18*2+(11))),'J1 A - (North) Bishopthorpe Roa'!$A$12:$A$130,"&gt;="&amp;Diagram!$O68,'J1 A - (North) Bishopthorpe Roa'!$A$12:$A$130,"&lt;"&amp;Diagram!$P68)))</f>
        <v>0</v>
      </c>
      <c r="BV68" s="42">
        <f ca="1">IF(OR($I$10="",$O68="",$P68="",$J$38&lt;&gt;"Yes"),0,IF($K$10=0,SUMIFS(INDIRECT(ADDRESS(12,3+18*2+(3),,,"J1 B - Butcher Terrace")&amp;":"&amp;ADDRESS(130,3+18*2+(3))),'J1 B - Butcher Terrace'!$A$12:$A$130,"&gt;="&amp;Diagram!$O68,'J1 B - Butcher Terrace'!$A$12:$A$130,"&lt;"&amp;Diagram!$P68),SUMIFS(INDIRECT(ADDRESS(12,3+18*2+(11),,,"J1 B - Butcher Terrace")&amp;":"&amp;ADDRESS(130,3+18*2+(11))),'J1 B - Butcher Terrace'!$A$12:$A$130,"&gt;="&amp;Diagram!$O68,'J1 B - Butcher Terrace'!$A$12:$A$130,"&lt;"&amp;Diagram!$P68)))</f>
        <v>0</v>
      </c>
      <c r="BW68" s="42">
        <f ca="1">IF(OR($I$10="",$O68="",$P68="",$J$38&lt;&gt;"Yes"),0,IF($K$10=0,SUMIFS(INDIRECT(ADDRESS(12,3+18*3+(3),,,"J1 B - Butcher Terrace")&amp;":"&amp;ADDRESS(130,3+18*3+(3))),'J1 B - Butcher Terrace'!$A$12:$A$130,"&gt;="&amp;Diagram!$O68,'J1 B - Butcher Terrace'!$A$12:$A$130,"&lt;"&amp;Diagram!$P68),SUMIFS(INDIRECT(ADDRESS(12,3+18*3+(11),,,"J1 B - Butcher Terrace")&amp;":"&amp;ADDRESS(130,3+18*3+(11))),'J1 B - Butcher Terrace'!$A$12:$A$130,"&gt;="&amp;Diagram!$O68,'J1 B - Butcher Terrace'!$A$12:$A$130,"&lt;"&amp;Diagram!$P68)))</f>
        <v>0</v>
      </c>
      <c r="BX68" s="42">
        <f ca="1">IF(OR($I$10="",$O68="",$P68="",$J$38&lt;&gt;"Yes"),0,IF($K$10=0,SUMIFS(INDIRECT(ADDRESS(12,3+18*0+(3),,,"J1 B - Butcher Terrace")&amp;":"&amp;ADDRESS(130,3+18*0+(3))),'J1 B - Butcher Terrace'!$A$12:$A$130,"&gt;="&amp;Diagram!$O68,'J1 B - Butcher Terrace'!$A$12:$A$130,"&lt;"&amp;Diagram!$P68),SUMIFS(INDIRECT(ADDRESS(12,3+18*0+(11),,,"J1 B - Butcher Terrace")&amp;":"&amp;ADDRESS(130,3+18*0+(11))),'J1 B - Butcher Terrace'!$A$12:$A$130,"&gt;="&amp;Diagram!$O68,'J1 B - Butcher Terrace'!$A$12:$A$130,"&lt;"&amp;Diagram!$P68)))</f>
        <v>0</v>
      </c>
      <c r="BY68" s="42">
        <f ca="1">IF(OR($I$10="",$O68="",$P68="",$J$38&lt;&gt;"Yes"),0,IF($K$10=0,SUMIFS(INDIRECT(ADDRESS(12,3+18*1+(3),,,"J1 B - Butcher Terrace")&amp;":"&amp;ADDRESS(130,3+18*1+(3))),'J1 B - Butcher Terrace'!$A$12:$A$130,"&gt;="&amp;Diagram!$O68,'J1 B - Butcher Terrace'!$A$12:$A$130,"&lt;"&amp;Diagram!$P68),SUMIFS(INDIRECT(ADDRESS(12,3+18*1+(11),,,"J1 B - Butcher Terrace")&amp;":"&amp;ADDRESS(130,3+18*1+(11))),'J1 B - Butcher Terrace'!$A$12:$A$130,"&gt;="&amp;Diagram!$O68,'J1 B - Butcher Terrace'!$A$12:$A$130,"&lt;"&amp;Diagram!$P68)))</f>
        <v>0</v>
      </c>
      <c r="BZ68" s="42">
        <f ca="1">IF(OR($I$10="",$O68="",$P68="",$J$38&lt;&gt;"Yes"),0,IF($K$10=0,SUMIFS(INDIRECT(ADDRESS(12,3+18*1+(3),,,"J1 C - (South) Bishopthorpe Roa")&amp;":"&amp;ADDRESS(130,3+18*1+(3))),'J1 C - (South) Bishopthorpe Roa'!$A$12:$A$130,"&gt;="&amp;Diagram!$O68,'J1 C - (South) Bishopthorpe Roa'!$A$12:$A$130,"&lt;"&amp;Diagram!$P68),SUMIFS(INDIRECT(ADDRESS(12,3+18*1+(11),,,"J1 C - (South) Bishopthorpe Roa")&amp;":"&amp;ADDRESS(130,3+18*1+(11))),'J1 C - (South) Bishopthorpe Roa'!$A$12:$A$130,"&gt;="&amp;Diagram!$O68,'J1 C - (South) Bishopthorpe Roa'!$A$12:$A$130,"&lt;"&amp;Diagram!$P68)))</f>
        <v>0</v>
      </c>
      <c r="CA68" s="42">
        <f ca="1">IF(OR($I$10="",$O68="",$P68="",$J$38&lt;&gt;"Yes"),0,IF($K$10=0,SUMIFS(INDIRECT(ADDRESS(12,3+18*2+(3),,,"J1 C - (South) Bishopthorpe Roa")&amp;":"&amp;ADDRESS(130,3+18*2+(3))),'J1 C - (South) Bishopthorpe Roa'!$A$12:$A$130,"&gt;="&amp;Diagram!$O68,'J1 C - (South) Bishopthorpe Roa'!$A$12:$A$130,"&lt;"&amp;Diagram!$P68),SUMIFS(INDIRECT(ADDRESS(12,3+18*2+(11),,,"J1 C - (South) Bishopthorpe Roa")&amp;":"&amp;ADDRESS(130,3+18*2+(11))),'J1 C - (South) Bishopthorpe Roa'!$A$12:$A$130,"&gt;="&amp;Diagram!$O68,'J1 C - (South) Bishopthorpe Roa'!$A$12:$A$130,"&lt;"&amp;Diagram!$P68)))</f>
        <v>0</v>
      </c>
      <c r="CB68" s="42">
        <f ca="1">IF(OR($I$10="",$O68="",$P68="",$J$38&lt;&gt;"Yes"),0,IF($K$10=0,SUMIFS(INDIRECT(ADDRESS(12,3+18*3+(3),,,"J1 C - (South) Bishopthorpe Roa")&amp;":"&amp;ADDRESS(130,3+18*3+(3))),'J1 C - (South) Bishopthorpe Roa'!$A$12:$A$130,"&gt;="&amp;Diagram!$O68,'J1 C - (South) Bishopthorpe Roa'!$A$12:$A$130,"&lt;"&amp;Diagram!$P68),SUMIFS(INDIRECT(ADDRESS(12,3+18*3+(11),,,"J1 C - (South) Bishopthorpe Roa")&amp;":"&amp;ADDRESS(130,3+18*3+(11))),'J1 C - (South) Bishopthorpe Roa'!$A$12:$A$130,"&gt;="&amp;Diagram!$O68,'J1 C - (South) Bishopthorpe Roa'!$A$12:$A$130,"&lt;"&amp;Diagram!$P68)))</f>
        <v>0</v>
      </c>
      <c r="CC68" s="42">
        <f ca="1">IF(OR($I$10="",$O68="",$P68="",$J$38&lt;&gt;"Yes"),0,IF($K$10=0,SUMIFS(INDIRECT(ADDRESS(12,3+18*0+(3),,,"J1 C - (South) Bishopthorpe Roa")&amp;":"&amp;ADDRESS(130,3+18*0+(3))),'J1 C - (South) Bishopthorpe Roa'!$A$12:$A$130,"&gt;="&amp;Diagram!$O68,'J1 C - (South) Bishopthorpe Roa'!$A$12:$A$130,"&lt;"&amp;Diagram!$P68),SUMIFS(INDIRECT(ADDRESS(12,3+18*0+(11),,,"J1 C - (South) Bishopthorpe Roa")&amp;":"&amp;ADDRESS(130,3+18*0+(11))),'J1 C - (South) Bishopthorpe Roa'!$A$12:$A$130,"&gt;="&amp;Diagram!$O68,'J1 C - (South) Bishopthorpe Roa'!$A$12:$A$130,"&lt;"&amp;Diagram!$P68)))</f>
        <v>0</v>
      </c>
      <c r="CD68" s="42">
        <f ca="1">IF(OR($I$10="",$O68="",$P68="",$J$38&lt;&gt;"Yes"),0,IF($K$10=0,SUMIFS(INDIRECT(ADDRESS(12,3+18*0+(3),,,"J1 D - South Bank Avenue")&amp;":"&amp;ADDRESS(130,3+18*0+(3))),'J1 D - South Bank Avenue'!$A$12:$A$130,"&gt;="&amp;Diagram!$O68,'J1 D - South Bank Avenue'!$A$12:$A$130,"&lt;"&amp;Diagram!$P68),SUMIFS(INDIRECT(ADDRESS(12,3+18*0+(11),,,"J1 D - South Bank Avenue")&amp;":"&amp;ADDRESS(130,3+18*0+(11))),'J1 D - South Bank Avenue'!$A$12:$A$130,"&gt;="&amp;Diagram!$O68,'J1 D - South Bank Avenue'!$A$12:$A$130,"&lt;"&amp;Diagram!$P68)))</f>
        <v>0</v>
      </c>
      <c r="CE68" s="42">
        <f ca="1">IF(OR($I$10="",$O68="",$P68="",$J$38&lt;&gt;"Yes"),0,IF($K$10=0,SUMIFS(INDIRECT(ADDRESS(12,3+18*1+(3),,,"J1 D - South Bank Avenue")&amp;":"&amp;ADDRESS(130,3+18*1+(3))),'J1 D - South Bank Avenue'!$A$12:$A$130,"&gt;="&amp;Diagram!$O68,'J1 D - South Bank Avenue'!$A$12:$A$130,"&lt;"&amp;Diagram!$P68),SUMIFS(INDIRECT(ADDRESS(12,3+18*1+(11),,,"J1 D - South Bank Avenue")&amp;":"&amp;ADDRESS(130,3+18*1+(11))),'J1 D - South Bank Avenue'!$A$12:$A$130,"&gt;="&amp;Diagram!$O68,'J1 D - South Bank Avenue'!$A$12:$A$130,"&lt;"&amp;Diagram!$P68)))</f>
        <v>0</v>
      </c>
      <c r="CF68" s="42">
        <f ca="1">IF(OR($I$10="",$O68="",$P68="",$J$38&lt;&gt;"Yes"),0,IF($K$10=0,SUMIFS(INDIRECT(ADDRESS(12,3+18*2+(3),,,"J1 D - South Bank Avenue")&amp;":"&amp;ADDRESS(130,3+18*2+(3))),'J1 D - South Bank Avenue'!$A$12:$A$130,"&gt;="&amp;Diagram!$O68,'J1 D - South Bank Avenue'!$A$12:$A$130,"&lt;"&amp;Diagram!$P68),SUMIFS(INDIRECT(ADDRESS(12,3+18*2+(11),,,"J1 D - South Bank Avenue")&amp;":"&amp;ADDRESS(130,3+18*2+(11))),'J1 D - South Bank Avenue'!$A$12:$A$130,"&gt;="&amp;Diagram!$O68,'J1 D - South Bank Avenue'!$A$12:$A$130,"&lt;"&amp;Diagram!$P68)))</f>
        <v>0</v>
      </c>
      <c r="CG68" s="42">
        <f ca="1">IF(OR($I$10="",$O68="",$P68="",$J$38&lt;&gt;"Yes"),0,IF($K$10=0,SUMIFS(INDIRECT(ADDRESS(12,3+18*3+(3),,,"J1 D - South Bank Avenue")&amp;":"&amp;ADDRESS(130,3+18*3+(3))),'J1 D - South Bank Avenue'!$A$12:$A$130,"&gt;="&amp;Diagram!$O68,'J1 D - South Bank Avenue'!$A$12:$A$130,"&lt;"&amp;Diagram!$P68),SUMIFS(INDIRECT(ADDRESS(12,3+18*3+(11),,,"J1 D - South Bank Avenue")&amp;":"&amp;ADDRESS(130,3+18*3+(11))),'J1 D - South Bank Avenue'!$A$12:$A$130,"&gt;="&amp;Diagram!$O68,'J1 D - South Bank Avenue'!$A$12:$A$130,"&lt;"&amp;Diagram!$P68)))</f>
        <v>0</v>
      </c>
      <c r="CH68" s="42">
        <f t="shared" ca="1" si="15"/>
        <v>8</v>
      </c>
      <c r="CI68" s="42">
        <f ca="1">IF(OR($I$10="",$O68="",$P68="",$J$39&lt;&gt;"Yes"),0,IF($K$10=0,SUMIFS(INDIRECT(ADDRESS(12,3+18*3+(4),,,"J1 A - (North) Bishopthorpe Roa")&amp;":"&amp;ADDRESS(130,3+18*3+(4))),'J1 A - (North) Bishopthorpe Roa'!$A$12:$A$130,"&gt;="&amp;Diagram!$O68,'J1 A - (North) Bishopthorpe Roa'!$A$12:$A$130,"&lt;"&amp;Diagram!$P68),SUMIFS(INDIRECT(ADDRESS(12,3+18*3+(12),,,"J1 A - (North) Bishopthorpe Roa")&amp;":"&amp;ADDRESS(130,3+18*3+(12))),'J1 A - (North) Bishopthorpe Roa'!$A$12:$A$130,"&gt;="&amp;Diagram!$O68,'J1 A - (North) Bishopthorpe Roa'!$A$12:$A$130,"&lt;"&amp;Diagram!$P68)))</f>
        <v>0</v>
      </c>
      <c r="CJ68" s="42">
        <f ca="1">IF(OR($I$10="",$O68="",$P68="",$J$39&lt;&gt;"Yes"),0,IF($K$10=0,SUMIFS(INDIRECT(ADDRESS(12,3+18*0+(4),,,"J1 A - (North) Bishopthorpe Roa")&amp;":"&amp;ADDRESS(130,3+18*0+(4))),'J1 A - (North) Bishopthorpe Roa'!$A$12:$A$130,"&gt;="&amp;Diagram!$O68,'J1 A - (North) Bishopthorpe Roa'!$A$12:$A$130,"&lt;"&amp;Diagram!$P68),SUMIFS(INDIRECT(ADDRESS(12,3+18*0+(12),,,"J1 A - (North) Bishopthorpe Roa")&amp;":"&amp;ADDRESS(130,3+18*0+(12))),'J1 A - (North) Bishopthorpe Roa'!$A$12:$A$130,"&gt;="&amp;Diagram!$O68,'J1 A - (North) Bishopthorpe Roa'!$A$12:$A$130,"&lt;"&amp;Diagram!$P68)))</f>
        <v>0</v>
      </c>
      <c r="CK68" s="42">
        <f ca="1">IF(OR($I$10="",$O68="",$P68="",$J$39&lt;&gt;"Yes"),0,IF($K$10=0,SUMIFS(INDIRECT(ADDRESS(12,3+18*1+(4),,,"J1 A - (North) Bishopthorpe Roa")&amp;":"&amp;ADDRESS(130,3+18*1+(4))),'J1 A - (North) Bishopthorpe Roa'!$A$12:$A$130,"&gt;="&amp;Diagram!$O68,'J1 A - (North) Bishopthorpe Roa'!$A$12:$A$130,"&lt;"&amp;Diagram!$P68),SUMIFS(INDIRECT(ADDRESS(12,3+18*1+(12),,,"J1 A - (North) Bishopthorpe Roa")&amp;":"&amp;ADDRESS(130,3+18*1+(12))),'J1 A - (North) Bishopthorpe Roa'!$A$12:$A$130,"&gt;="&amp;Diagram!$O68,'J1 A - (North) Bishopthorpe Roa'!$A$12:$A$130,"&lt;"&amp;Diagram!$P68)))</f>
        <v>5</v>
      </c>
      <c r="CL68" s="42">
        <f ca="1">IF(OR($I$10="",$O68="",$P68="",$J$39&lt;&gt;"Yes"),0,IF($K$10=0,SUMIFS(INDIRECT(ADDRESS(12,3+18*2+(4),,,"J1 A - (North) Bishopthorpe Roa")&amp;":"&amp;ADDRESS(130,3+18*2+(4))),'J1 A - (North) Bishopthorpe Roa'!$A$12:$A$130,"&gt;="&amp;Diagram!$O68,'J1 A - (North) Bishopthorpe Roa'!$A$12:$A$130,"&lt;"&amp;Diagram!$P68),SUMIFS(INDIRECT(ADDRESS(12,3+18*2+(12),,,"J1 A - (North) Bishopthorpe Roa")&amp;":"&amp;ADDRESS(130,3+18*2+(12))),'J1 A - (North) Bishopthorpe Roa'!$A$12:$A$130,"&gt;="&amp;Diagram!$O68,'J1 A - (North) Bishopthorpe Roa'!$A$12:$A$130,"&lt;"&amp;Diagram!$P68)))</f>
        <v>0</v>
      </c>
      <c r="CM68" s="42">
        <f ca="1">IF(OR($I$10="",$O68="",$P68="",$J$39&lt;&gt;"Yes"),0,IF($K$10=0,SUMIFS(INDIRECT(ADDRESS(12,3+18*2+(4),,,"J1 B - Butcher Terrace")&amp;":"&amp;ADDRESS(130,3+18*2+(4))),'J1 B - Butcher Terrace'!$A$12:$A$130,"&gt;="&amp;Diagram!$O68,'J1 B - Butcher Terrace'!$A$12:$A$130,"&lt;"&amp;Diagram!$P68),SUMIFS(INDIRECT(ADDRESS(12,3+18*2+(12),,,"J1 B - Butcher Terrace")&amp;":"&amp;ADDRESS(130,3+18*2+(12))),'J1 B - Butcher Terrace'!$A$12:$A$130,"&gt;="&amp;Diagram!$O68,'J1 B - Butcher Terrace'!$A$12:$A$130,"&lt;"&amp;Diagram!$P68)))</f>
        <v>0</v>
      </c>
      <c r="CN68" s="42">
        <f ca="1">IF(OR($I$10="",$O68="",$P68="",$J$39&lt;&gt;"Yes"),0,IF($K$10=0,SUMIFS(INDIRECT(ADDRESS(12,3+18*3+(4),,,"J1 B - Butcher Terrace")&amp;":"&amp;ADDRESS(130,3+18*3+(4))),'J1 B - Butcher Terrace'!$A$12:$A$130,"&gt;="&amp;Diagram!$O68,'J1 B - Butcher Terrace'!$A$12:$A$130,"&lt;"&amp;Diagram!$P68),SUMIFS(INDIRECT(ADDRESS(12,3+18*3+(12),,,"J1 B - Butcher Terrace")&amp;":"&amp;ADDRESS(130,3+18*3+(12))),'J1 B - Butcher Terrace'!$A$12:$A$130,"&gt;="&amp;Diagram!$O68,'J1 B - Butcher Terrace'!$A$12:$A$130,"&lt;"&amp;Diagram!$P68)))</f>
        <v>0</v>
      </c>
      <c r="CO68" s="42">
        <f ca="1">IF(OR($I$10="",$O68="",$P68="",$J$39&lt;&gt;"Yes"),0,IF($K$10=0,SUMIFS(INDIRECT(ADDRESS(12,3+18*0+(4),,,"J1 B - Butcher Terrace")&amp;":"&amp;ADDRESS(130,3+18*0+(4))),'J1 B - Butcher Terrace'!$A$12:$A$130,"&gt;="&amp;Diagram!$O68,'J1 B - Butcher Terrace'!$A$12:$A$130,"&lt;"&amp;Diagram!$P68),SUMIFS(INDIRECT(ADDRESS(12,3+18*0+(12),,,"J1 B - Butcher Terrace")&amp;":"&amp;ADDRESS(130,3+18*0+(12))),'J1 B - Butcher Terrace'!$A$12:$A$130,"&gt;="&amp;Diagram!$O68,'J1 B - Butcher Terrace'!$A$12:$A$130,"&lt;"&amp;Diagram!$P68)))</f>
        <v>0</v>
      </c>
      <c r="CP68" s="42">
        <f ca="1">IF(OR($I$10="",$O68="",$P68="",$J$39&lt;&gt;"Yes"),0,IF($K$10=0,SUMIFS(INDIRECT(ADDRESS(12,3+18*1+(4),,,"J1 B - Butcher Terrace")&amp;":"&amp;ADDRESS(130,3+18*1+(4))),'J1 B - Butcher Terrace'!$A$12:$A$130,"&gt;="&amp;Diagram!$O68,'J1 B - Butcher Terrace'!$A$12:$A$130,"&lt;"&amp;Diagram!$P68),SUMIFS(INDIRECT(ADDRESS(12,3+18*1+(12),,,"J1 B - Butcher Terrace")&amp;":"&amp;ADDRESS(130,3+18*1+(12))),'J1 B - Butcher Terrace'!$A$12:$A$130,"&gt;="&amp;Diagram!$O68,'J1 B - Butcher Terrace'!$A$12:$A$130,"&lt;"&amp;Diagram!$P68)))</f>
        <v>0</v>
      </c>
      <c r="CQ68" s="42">
        <f ca="1">IF(OR($I$10="",$O68="",$P68="",$J$39&lt;&gt;"Yes"),0,IF($K$10=0,SUMIFS(INDIRECT(ADDRESS(12,3+18*1+(4),,,"J1 C - (South) Bishopthorpe Roa")&amp;":"&amp;ADDRESS(130,3+18*1+(4))),'J1 C - (South) Bishopthorpe Roa'!$A$12:$A$130,"&gt;="&amp;Diagram!$O68,'J1 C - (South) Bishopthorpe Roa'!$A$12:$A$130,"&lt;"&amp;Diagram!$P68),SUMIFS(INDIRECT(ADDRESS(12,3+18*1+(12),,,"J1 C - (South) Bishopthorpe Roa")&amp;":"&amp;ADDRESS(130,3+18*1+(12))),'J1 C - (South) Bishopthorpe Roa'!$A$12:$A$130,"&gt;="&amp;Diagram!$O68,'J1 C - (South) Bishopthorpe Roa'!$A$12:$A$130,"&lt;"&amp;Diagram!$P68)))</f>
        <v>3</v>
      </c>
      <c r="CR68" s="42">
        <f ca="1">IF(OR($I$10="",$O68="",$P68="",$J$39&lt;&gt;"Yes"),0,IF($K$10=0,SUMIFS(INDIRECT(ADDRESS(12,3+18*2+(4),,,"J1 C - (South) Bishopthorpe Roa")&amp;":"&amp;ADDRESS(130,3+18*2+(4))),'J1 C - (South) Bishopthorpe Roa'!$A$12:$A$130,"&gt;="&amp;Diagram!$O68,'J1 C - (South) Bishopthorpe Roa'!$A$12:$A$130,"&lt;"&amp;Diagram!$P68),SUMIFS(INDIRECT(ADDRESS(12,3+18*2+(12),,,"J1 C - (South) Bishopthorpe Roa")&amp;":"&amp;ADDRESS(130,3+18*2+(12))),'J1 C - (South) Bishopthorpe Roa'!$A$12:$A$130,"&gt;="&amp;Diagram!$O68,'J1 C - (South) Bishopthorpe Roa'!$A$12:$A$130,"&lt;"&amp;Diagram!$P68)))</f>
        <v>0</v>
      </c>
      <c r="CS68" s="42">
        <f ca="1">IF(OR($I$10="",$O68="",$P68="",$J$39&lt;&gt;"Yes"),0,IF($K$10=0,SUMIFS(INDIRECT(ADDRESS(12,3+18*3+(4),,,"J1 C - (South) Bishopthorpe Roa")&amp;":"&amp;ADDRESS(130,3+18*3+(4))),'J1 C - (South) Bishopthorpe Roa'!$A$12:$A$130,"&gt;="&amp;Diagram!$O68,'J1 C - (South) Bishopthorpe Roa'!$A$12:$A$130,"&lt;"&amp;Diagram!$P68),SUMIFS(INDIRECT(ADDRESS(12,3+18*3+(12),,,"J1 C - (South) Bishopthorpe Roa")&amp;":"&amp;ADDRESS(130,3+18*3+(12))),'J1 C - (South) Bishopthorpe Roa'!$A$12:$A$130,"&gt;="&amp;Diagram!$O68,'J1 C - (South) Bishopthorpe Roa'!$A$12:$A$130,"&lt;"&amp;Diagram!$P68)))</f>
        <v>0</v>
      </c>
      <c r="CT68" s="42">
        <f ca="1">IF(OR($I$10="",$O68="",$P68="",$J$39&lt;&gt;"Yes"),0,IF($K$10=0,SUMIFS(INDIRECT(ADDRESS(12,3+18*0+(4),,,"J1 C - (South) Bishopthorpe Roa")&amp;":"&amp;ADDRESS(130,3+18*0+(4))),'J1 C - (South) Bishopthorpe Roa'!$A$12:$A$130,"&gt;="&amp;Diagram!$O68,'J1 C - (South) Bishopthorpe Roa'!$A$12:$A$130,"&lt;"&amp;Diagram!$P68),SUMIFS(INDIRECT(ADDRESS(12,3+18*0+(12),,,"J1 C - (South) Bishopthorpe Roa")&amp;":"&amp;ADDRESS(130,3+18*0+(12))),'J1 C - (South) Bishopthorpe Roa'!$A$12:$A$130,"&gt;="&amp;Diagram!$O68,'J1 C - (South) Bishopthorpe Roa'!$A$12:$A$130,"&lt;"&amp;Diagram!$P68)))</f>
        <v>0</v>
      </c>
      <c r="CU68" s="42">
        <f ca="1">IF(OR($I$10="",$O68="",$P68="",$J$39&lt;&gt;"Yes"),0,IF($K$10=0,SUMIFS(INDIRECT(ADDRESS(12,3+18*0+(4),,,"J1 D - South Bank Avenue")&amp;":"&amp;ADDRESS(130,3+18*0+(4))),'J1 D - South Bank Avenue'!$A$12:$A$130,"&gt;="&amp;Diagram!$O68,'J1 D - South Bank Avenue'!$A$12:$A$130,"&lt;"&amp;Diagram!$P68),SUMIFS(INDIRECT(ADDRESS(12,3+18*0+(12),,,"J1 D - South Bank Avenue")&amp;":"&amp;ADDRESS(130,3+18*0+(12))),'J1 D - South Bank Avenue'!$A$12:$A$130,"&gt;="&amp;Diagram!$O68,'J1 D - South Bank Avenue'!$A$12:$A$130,"&lt;"&amp;Diagram!$P68)))</f>
        <v>0</v>
      </c>
      <c r="CV68" s="42">
        <f ca="1">IF(OR($I$10="",$O68="",$P68="",$J$39&lt;&gt;"Yes"),0,IF($K$10=0,SUMIFS(INDIRECT(ADDRESS(12,3+18*1+(4),,,"J1 D - South Bank Avenue")&amp;":"&amp;ADDRESS(130,3+18*1+(4))),'J1 D - South Bank Avenue'!$A$12:$A$130,"&gt;="&amp;Diagram!$O68,'J1 D - South Bank Avenue'!$A$12:$A$130,"&lt;"&amp;Diagram!$P68),SUMIFS(INDIRECT(ADDRESS(12,3+18*1+(12),,,"J1 D - South Bank Avenue")&amp;":"&amp;ADDRESS(130,3+18*1+(12))),'J1 D - South Bank Avenue'!$A$12:$A$130,"&gt;="&amp;Diagram!$O68,'J1 D - South Bank Avenue'!$A$12:$A$130,"&lt;"&amp;Diagram!$P68)))</f>
        <v>0</v>
      </c>
      <c r="CW68" s="42">
        <f ca="1">IF(OR($I$10="",$O68="",$P68="",$J$39&lt;&gt;"Yes"),0,IF($K$10=0,SUMIFS(INDIRECT(ADDRESS(12,3+18*2+(4),,,"J1 D - South Bank Avenue")&amp;":"&amp;ADDRESS(130,3+18*2+(4))),'J1 D - South Bank Avenue'!$A$12:$A$130,"&gt;="&amp;Diagram!$O68,'J1 D - South Bank Avenue'!$A$12:$A$130,"&lt;"&amp;Diagram!$P68),SUMIFS(INDIRECT(ADDRESS(12,3+18*2+(12),,,"J1 D - South Bank Avenue")&amp;":"&amp;ADDRESS(130,3+18*2+(12))),'J1 D - South Bank Avenue'!$A$12:$A$130,"&gt;="&amp;Diagram!$O68,'J1 D - South Bank Avenue'!$A$12:$A$130,"&lt;"&amp;Diagram!$P68)))</f>
        <v>0</v>
      </c>
      <c r="CX68" s="42">
        <f ca="1">IF(OR($I$10="",$O68="",$P68="",$J$39&lt;&gt;"Yes"),0,IF($K$10=0,SUMIFS(INDIRECT(ADDRESS(12,3+18*3+(4),,,"J1 D - South Bank Avenue")&amp;":"&amp;ADDRESS(130,3+18*3+(4))),'J1 D - South Bank Avenue'!$A$12:$A$130,"&gt;="&amp;Diagram!$O68,'J1 D - South Bank Avenue'!$A$12:$A$130,"&lt;"&amp;Diagram!$P68),SUMIFS(INDIRECT(ADDRESS(12,3+18*3+(12),,,"J1 D - South Bank Avenue")&amp;":"&amp;ADDRESS(130,3+18*3+(12))),'J1 D - South Bank Avenue'!$A$12:$A$130,"&gt;="&amp;Diagram!$O68,'J1 D - South Bank Avenue'!$A$12:$A$130,"&lt;"&amp;Diagram!$P68)))</f>
        <v>0</v>
      </c>
      <c r="CY68" s="42">
        <f t="shared" ca="1" si="16"/>
        <v>141</v>
      </c>
      <c r="CZ68" s="42">
        <f ca="1">IF(OR($I$10="",$O68="",$P68="",$J$40&lt;&gt;"Yes"),0,IF($K$10=0,SUMIFS(INDIRECT(ADDRESS(12,3+18*3+(5),,,"J1 A - (North) Bishopthorpe Roa")&amp;":"&amp;ADDRESS(130,3+18*3+(5))),'J1 A - (North) Bishopthorpe Roa'!$A$12:$A$130,"&gt;="&amp;Diagram!$O68,'J1 A - (North) Bishopthorpe Roa'!$A$12:$A$130,"&lt;"&amp;Diagram!$P68),SUMIFS(INDIRECT(ADDRESS(12,3+18*3+(13),,,"J1 A - (North) Bishopthorpe Roa")&amp;":"&amp;ADDRESS(130,3+18*3+(13))),'J1 A - (North) Bishopthorpe Roa'!$A$12:$A$130,"&gt;="&amp;Diagram!$O68,'J1 A - (North) Bishopthorpe Roa'!$A$12:$A$130,"&lt;"&amp;Diagram!$P68)))</f>
        <v>0</v>
      </c>
      <c r="DA68" s="42">
        <f ca="1">IF(OR($I$10="",$O68="",$P68="",$J$40&lt;&gt;"Yes"),0,IF($K$10=0,SUMIFS(INDIRECT(ADDRESS(12,3+18*0+(5),,,"J1 A - (North) Bishopthorpe Roa")&amp;":"&amp;ADDRESS(130,3+18*0+(5))),'J1 A - (North) Bishopthorpe Roa'!$A$12:$A$130,"&gt;="&amp;Diagram!$O68,'J1 A - (North) Bishopthorpe Roa'!$A$12:$A$130,"&lt;"&amp;Diagram!$P68),SUMIFS(INDIRECT(ADDRESS(12,3+18*0+(13),,,"J1 A - (North) Bishopthorpe Roa")&amp;":"&amp;ADDRESS(130,3+18*0+(13))),'J1 A - (North) Bishopthorpe Roa'!$A$12:$A$130,"&gt;="&amp;Diagram!$O68,'J1 A - (North) Bishopthorpe Roa'!$A$12:$A$130,"&lt;"&amp;Diagram!$P68)))</f>
        <v>14</v>
      </c>
      <c r="DB68" s="42">
        <f ca="1">IF(OR($I$10="",$O68="",$P68="",$J$40&lt;&gt;"Yes"),0,IF($K$10=0,SUMIFS(INDIRECT(ADDRESS(12,3+18*1+(5),,,"J1 A - (North) Bishopthorpe Roa")&amp;":"&amp;ADDRESS(130,3+18*1+(5))),'J1 A - (North) Bishopthorpe Roa'!$A$12:$A$130,"&gt;="&amp;Diagram!$O68,'J1 A - (North) Bishopthorpe Roa'!$A$12:$A$130,"&lt;"&amp;Diagram!$P68),SUMIFS(INDIRECT(ADDRESS(12,3+18*1+(13),,,"J1 A - (North) Bishopthorpe Roa")&amp;":"&amp;ADDRESS(130,3+18*1+(13))),'J1 A - (North) Bishopthorpe Roa'!$A$12:$A$130,"&gt;="&amp;Diagram!$O68,'J1 A - (North) Bishopthorpe Roa'!$A$12:$A$130,"&lt;"&amp;Diagram!$P68)))</f>
        <v>21</v>
      </c>
      <c r="DC68" s="42">
        <f ca="1">IF(OR($I$10="",$O68="",$P68="",$J$40&lt;&gt;"Yes"),0,IF($K$10=0,SUMIFS(INDIRECT(ADDRESS(12,3+18*2+(5),,,"J1 A - (North) Bishopthorpe Roa")&amp;":"&amp;ADDRESS(130,3+18*2+(5))),'J1 A - (North) Bishopthorpe Roa'!$A$12:$A$130,"&gt;="&amp;Diagram!$O68,'J1 A - (North) Bishopthorpe Roa'!$A$12:$A$130,"&lt;"&amp;Diagram!$P68),SUMIFS(INDIRECT(ADDRESS(12,3+18*2+(13),,,"J1 A - (North) Bishopthorpe Roa")&amp;":"&amp;ADDRESS(130,3+18*2+(13))),'J1 A - (North) Bishopthorpe Roa'!$A$12:$A$130,"&gt;="&amp;Diagram!$O68,'J1 A - (North) Bishopthorpe Roa'!$A$12:$A$130,"&lt;"&amp;Diagram!$P68)))</f>
        <v>3</v>
      </c>
      <c r="DD68" s="42">
        <f ca="1">IF(OR($I$10="",$O68="",$P68="",$J$40&lt;&gt;"Yes"),0,IF($K$10=0,SUMIFS(INDIRECT(ADDRESS(12,3+18*2+(5),,,"J1 B - Butcher Terrace")&amp;":"&amp;ADDRESS(130,3+18*2+(5))),'J1 B - Butcher Terrace'!$A$12:$A$130,"&gt;="&amp;Diagram!$O68,'J1 B - Butcher Terrace'!$A$12:$A$130,"&lt;"&amp;Diagram!$P68),SUMIFS(INDIRECT(ADDRESS(12,3+18*2+(13),,,"J1 B - Butcher Terrace")&amp;":"&amp;ADDRESS(130,3+18*2+(13))),'J1 B - Butcher Terrace'!$A$12:$A$130,"&gt;="&amp;Diagram!$O68,'J1 B - Butcher Terrace'!$A$12:$A$130,"&lt;"&amp;Diagram!$P68)))</f>
        <v>6</v>
      </c>
      <c r="DE68" s="42">
        <f ca="1">IF(OR($I$10="",$O68="",$P68="",$J$40&lt;&gt;"Yes"),0,IF($K$10=0,SUMIFS(INDIRECT(ADDRESS(12,3+18*3+(5),,,"J1 B - Butcher Terrace")&amp;":"&amp;ADDRESS(130,3+18*3+(5))),'J1 B - Butcher Terrace'!$A$12:$A$130,"&gt;="&amp;Diagram!$O68,'J1 B - Butcher Terrace'!$A$12:$A$130,"&lt;"&amp;Diagram!$P68),SUMIFS(INDIRECT(ADDRESS(12,3+18*3+(13),,,"J1 B - Butcher Terrace")&amp;":"&amp;ADDRESS(130,3+18*3+(13))),'J1 B - Butcher Terrace'!$A$12:$A$130,"&gt;="&amp;Diagram!$O68,'J1 B - Butcher Terrace'!$A$12:$A$130,"&lt;"&amp;Diagram!$P68)))</f>
        <v>0</v>
      </c>
      <c r="DF68" s="42">
        <f ca="1">IF(OR($I$10="",$O68="",$P68="",$J$40&lt;&gt;"Yes"),0,IF($K$10=0,SUMIFS(INDIRECT(ADDRESS(12,3+18*0+(5),,,"J1 B - Butcher Terrace")&amp;":"&amp;ADDRESS(130,3+18*0+(5))),'J1 B - Butcher Terrace'!$A$12:$A$130,"&gt;="&amp;Diagram!$O68,'J1 B - Butcher Terrace'!$A$12:$A$130,"&lt;"&amp;Diagram!$P68),SUMIFS(INDIRECT(ADDRESS(12,3+18*0+(13),,,"J1 B - Butcher Terrace")&amp;":"&amp;ADDRESS(130,3+18*0+(13))),'J1 B - Butcher Terrace'!$A$12:$A$130,"&gt;="&amp;Diagram!$O68,'J1 B - Butcher Terrace'!$A$12:$A$130,"&lt;"&amp;Diagram!$P68)))</f>
        <v>9</v>
      </c>
      <c r="DG68" s="42">
        <f ca="1">IF(OR($I$10="",$O68="",$P68="",$J$40&lt;&gt;"Yes"),0,IF($K$10=0,SUMIFS(INDIRECT(ADDRESS(12,3+18*1+(5),,,"J1 B - Butcher Terrace")&amp;":"&amp;ADDRESS(130,3+18*1+(5))),'J1 B - Butcher Terrace'!$A$12:$A$130,"&gt;="&amp;Diagram!$O68,'J1 B - Butcher Terrace'!$A$12:$A$130,"&lt;"&amp;Diagram!$P68),SUMIFS(INDIRECT(ADDRESS(12,3+18*1+(13),,,"J1 B - Butcher Terrace")&amp;":"&amp;ADDRESS(130,3+18*1+(13))),'J1 B - Butcher Terrace'!$A$12:$A$130,"&gt;="&amp;Diagram!$O68,'J1 B - Butcher Terrace'!$A$12:$A$130,"&lt;"&amp;Diagram!$P68)))</f>
        <v>38</v>
      </c>
      <c r="DH68" s="42">
        <f ca="1">IF(OR($I$10="",$O68="",$P68="",$J$40&lt;&gt;"Yes"),0,IF($K$10=0,SUMIFS(INDIRECT(ADDRESS(12,3+18*1+(5),,,"J1 C - (South) Bishopthorpe Roa")&amp;":"&amp;ADDRESS(130,3+18*1+(5))),'J1 C - (South) Bishopthorpe Roa'!$A$12:$A$130,"&gt;="&amp;Diagram!$O68,'J1 C - (South) Bishopthorpe Roa'!$A$12:$A$130,"&lt;"&amp;Diagram!$P68),SUMIFS(INDIRECT(ADDRESS(12,3+18*1+(13),,,"J1 C - (South) Bishopthorpe Roa")&amp;":"&amp;ADDRESS(130,3+18*1+(13))),'J1 C - (South) Bishopthorpe Roa'!$A$12:$A$130,"&gt;="&amp;Diagram!$O68,'J1 C - (South) Bishopthorpe Roa'!$A$12:$A$130,"&lt;"&amp;Diagram!$P68)))</f>
        <v>19</v>
      </c>
      <c r="DI68" s="42">
        <f ca="1">IF(OR($I$10="",$O68="",$P68="",$J$40&lt;&gt;"Yes"),0,IF($K$10=0,SUMIFS(INDIRECT(ADDRESS(12,3+18*2+(5),,,"J1 C - (South) Bishopthorpe Roa")&amp;":"&amp;ADDRESS(130,3+18*2+(5))),'J1 C - (South) Bishopthorpe Roa'!$A$12:$A$130,"&gt;="&amp;Diagram!$O68,'J1 C - (South) Bishopthorpe Roa'!$A$12:$A$130,"&lt;"&amp;Diagram!$P68),SUMIFS(INDIRECT(ADDRESS(12,3+18*2+(13),,,"J1 C - (South) Bishopthorpe Roa")&amp;":"&amp;ADDRESS(130,3+18*2+(13))),'J1 C - (South) Bishopthorpe Roa'!$A$12:$A$130,"&gt;="&amp;Diagram!$O68,'J1 C - (South) Bishopthorpe Roa'!$A$12:$A$130,"&lt;"&amp;Diagram!$P68)))</f>
        <v>10</v>
      </c>
      <c r="DJ68" s="42">
        <f ca="1">IF(OR($I$10="",$O68="",$P68="",$J$40&lt;&gt;"Yes"),0,IF($K$10=0,SUMIFS(INDIRECT(ADDRESS(12,3+18*3+(5),,,"J1 C - (South) Bishopthorpe Roa")&amp;":"&amp;ADDRESS(130,3+18*3+(5))),'J1 C - (South) Bishopthorpe Roa'!$A$12:$A$130,"&gt;="&amp;Diagram!$O68,'J1 C - (South) Bishopthorpe Roa'!$A$12:$A$130,"&lt;"&amp;Diagram!$P68),SUMIFS(INDIRECT(ADDRESS(12,3+18*3+(13),,,"J1 C - (South) Bishopthorpe Roa")&amp;":"&amp;ADDRESS(130,3+18*3+(13))),'J1 C - (South) Bishopthorpe Roa'!$A$12:$A$130,"&gt;="&amp;Diagram!$O68,'J1 C - (South) Bishopthorpe Roa'!$A$12:$A$130,"&lt;"&amp;Diagram!$P68)))</f>
        <v>0</v>
      </c>
      <c r="DK68" s="42">
        <f ca="1">IF(OR($I$10="",$O68="",$P68="",$J$40&lt;&gt;"Yes"),0,IF($K$10=0,SUMIFS(INDIRECT(ADDRESS(12,3+18*0+(5),,,"J1 C - (South) Bishopthorpe Roa")&amp;":"&amp;ADDRESS(130,3+18*0+(5))),'J1 C - (South) Bishopthorpe Roa'!$A$12:$A$130,"&gt;="&amp;Diagram!$O68,'J1 C - (South) Bishopthorpe Roa'!$A$12:$A$130,"&lt;"&amp;Diagram!$P68),SUMIFS(INDIRECT(ADDRESS(12,3+18*0+(13),,,"J1 C - (South) Bishopthorpe Roa")&amp;":"&amp;ADDRESS(130,3+18*0+(13))),'J1 C - (South) Bishopthorpe Roa'!$A$12:$A$130,"&gt;="&amp;Diagram!$O68,'J1 C - (South) Bishopthorpe Roa'!$A$12:$A$130,"&lt;"&amp;Diagram!$P68)))</f>
        <v>1</v>
      </c>
      <c r="DL68" s="42">
        <f ca="1">IF(OR($I$10="",$O68="",$P68="",$J$40&lt;&gt;"Yes"),0,IF($K$10=0,SUMIFS(INDIRECT(ADDRESS(12,3+18*0+(5),,,"J1 D - South Bank Avenue")&amp;":"&amp;ADDRESS(130,3+18*0+(5))),'J1 D - South Bank Avenue'!$A$12:$A$130,"&gt;="&amp;Diagram!$O68,'J1 D - South Bank Avenue'!$A$12:$A$130,"&lt;"&amp;Diagram!$P68),SUMIFS(INDIRECT(ADDRESS(12,3+18*0+(13),,,"J1 D - South Bank Avenue")&amp;":"&amp;ADDRESS(130,3+18*0+(13))),'J1 D - South Bank Avenue'!$A$12:$A$130,"&gt;="&amp;Diagram!$O68,'J1 D - South Bank Avenue'!$A$12:$A$130,"&lt;"&amp;Diagram!$P68)))</f>
        <v>8</v>
      </c>
      <c r="DM68" s="42">
        <f ca="1">IF(OR($I$10="",$O68="",$P68="",$J$40&lt;&gt;"Yes"),0,IF($K$10=0,SUMIFS(INDIRECT(ADDRESS(12,3+18*1+(5),,,"J1 D - South Bank Avenue")&amp;":"&amp;ADDRESS(130,3+18*1+(5))),'J1 D - South Bank Avenue'!$A$12:$A$130,"&gt;="&amp;Diagram!$O68,'J1 D - South Bank Avenue'!$A$12:$A$130,"&lt;"&amp;Diagram!$P68),SUMIFS(INDIRECT(ADDRESS(12,3+18*1+(13),,,"J1 D - South Bank Avenue")&amp;":"&amp;ADDRESS(130,3+18*1+(13))),'J1 D - South Bank Avenue'!$A$12:$A$130,"&gt;="&amp;Diagram!$O68,'J1 D - South Bank Avenue'!$A$12:$A$130,"&lt;"&amp;Diagram!$P68)))</f>
        <v>11</v>
      </c>
      <c r="DN68" s="42">
        <f ca="1">IF(OR($I$10="",$O68="",$P68="",$J$40&lt;&gt;"Yes"),0,IF($K$10=0,SUMIFS(INDIRECT(ADDRESS(12,3+18*2+(5),,,"J1 D - South Bank Avenue")&amp;":"&amp;ADDRESS(130,3+18*2+(5))),'J1 D - South Bank Avenue'!$A$12:$A$130,"&gt;="&amp;Diagram!$O68,'J1 D - South Bank Avenue'!$A$12:$A$130,"&lt;"&amp;Diagram!$P68),SUMIFS(INDIRECT(ADDRESS(12,3+18*2+(13),,,"J1 D - South Bank Avenue")&amp;":"&amp;ADDRESS(130,3+18*2+(13))),'J1 D - South Bank Avenue'!$A$12:$A$130,"&gt;="&amp;Diagram!$O68,'J1 D - South Bank Avenue'!$A$12:$A$130,"&lt;"&amp;Diagram!$P68)))</f>
        <v>1</v>
      </c>
      <c r="DO68" s="42">
        <f ca="1">IF(OR($I$10="",$O68="",$P68="",$J$40&lt;&gt;"Yes"),0,IF($K$10=0,SUMIFS(INDIRECT(ADDRESS(12,3+18*3+(5),,,"J1 D - South Bank Avenue")&amp;":"&amp;ADDRESS(130,3+18*3+(5))),'J1 D - South Bank Avenue'!$A$12:$A$130,"&gt;="&amp;Diagram!$O68,'J1 D - South Bank Avenue'!$A$12:$A$130,"&lt;"&amp;Diagram!$P68),SUMIFS(INDIRECT(ADDRESS(12,3+18*3+(13),,,"J1 D - South Bank Avenue")&amp;":"&amp;ADDRESS(130,3+18*3+(13))),'J1 D - South Bank Avenue'!$A$12:$A$130,"&gt;="&amp;Diagram!$O68,'J1 D - South Bank Avenue'!$A$12:$A$130,"&lt;"&amp;Diagram!$P68)))</f>
        <v>0</v>
      </c>
      <c r="DP68" s="42">
        <f t="shared" ca="1" si="17"/>
        <v>8</v>
      </c>
      <c r="DQ68" s="42">
        <f ca="1">IF(OR($I$10="",$O68="",$P68="",$J$41&lt;&gt;"Yes"),0,IF($K$10=0,SUMIFS(INDIRECT(ADDRESS(12,3+18*3+(6),,,"J1 A - (North) Bishopthorpe Roa")&amp;":"&amp;ADDRESS(130,3+18*3+(6))),'J1 A - (North) Bishopthorpe Roa'!$A$12:$A$130,"&gt;="&amp;Diagram!$O68,'J1 A - (North) Bishopthorpe Roa'!$A$12:$A$130,"&lt;"&amp;Diagram!$P68),SUMIFS(INDIRECT(ADDRESS(12,3+18*3+(14),,,"J1 A - (North) Bishopthorpe Roa")&amp;":"&amp;ADDRESS(130,3+18*3+(14))),'J1 A - (North) Bishopthorpe Roa'!$A$12:$A$130,"&gt;="&amp;Diagram!$O68,'J1 A - (North) Bishopthorpe Roa'!$A$12:$A$130,"&lt;"&amp;Diagram!$P68)))</f>
        <v>0</v>
      </c>
      <c r="DR68" s="42">
        <f ca="1">IF(OR($I$10="",$O68="",$P68="",$J$41&lt;&gt;"Yes"),0,IF($K$10=0,SUMIFS(INDIRECT(ADDRESS(12,3+18*0+(6),,,"J1 A - (North) Bishopthorpe Roa")&amp;":"&amp;ADDRESS(130,3+18*0+(6))),'J1 A - (North) Bishopthorpe Roa'!$A$12:$A$130,"&gt;="&amp;Diagram!$O68,'J1 A - (North) Bishopthorpe Roa'!$A$12:$A$130,"&lt;"&amp;Diagram!$P68),SUMIFS(INDIRECT(ADDRESS(12,3+18*0+(14),,,"J1 A - (North) Bishopthorpe Roa")&amp;":"&amp;ADDRESS(130,3+18*0+(14))),'J1 A - (North) Bishopthorpe Roa'!$A$12:$A$130,"&gt;="&amp;Diagram!$O68,'J1 A - (North) Bishopthorpe Roa'!$A$12:$A$130,"&lt;"&amp;Diagram!$P68)))</f>
        <v>0</v>
      </c>
      <c r="DS68" s="42">
        <f ca="1">IF(OR($I$10="",$O68="",$P68="",$J$41&lt;&gt;"Yes"),0,IF($K$10=0,SUMIFS(INDIRECT(ADDRESS(12,3+18*1+(6),,,"J1 A - (North) Bishopthorpe Roa")&amp;":"&amp;ADDRESS(130,3+18*1+(6))),'J1 A - (North) Bishopthorpe Roa'!$A$12:$A$130,"&gt;="&amp;Diagram!$O68,'J1 A - (North) Bishopthorpe Roa'!$A$12:$A$130,"&lt;"&amp;Diagram!$P68),SUMIFS(INDIRECT(ADDRESS(12,3+18*1+(14),,,"J1 A - (North) Bishopthorpe Roa")&amp;":"&amp;ADDRESS(130,3+18*1+(14))),'J1 A - (North) Bishopthorpe Roa'!$A$12:$A$130,"&gt;="&amp;Diagram!$O68,'J1 A - (North) Bishopthorpe Roa'!$A$12:$A$130,"&lt;"&amp;Diagram!$P68)))</f>
        <v>2</v>
      </c>
      <c r="DT68" s="42">
        <f ca="1">IF(OR($I$10="",$O68="",$P68="",$J$41&lt;&gt;"Yes"),0,IF($K$10=0,SUMIFS(INDIRECT(ADDRESS(12,3+18*2+(6),,,"J1 A - (North) Bishopthorpe Roa")&amp;":"&amp;ADDRESS(130,3+18*2+(6))),'J1 A - (North) Bishopthorpe Roa'!$A$12:$A$130,"&gt;="&amp;Diagram!$O68,'J1 A - (North) Bishopthorpe Roa'!$A$12:$A$130,"&lt;"&amp;Diagram!$P68),SUMIFS(INDIRECT(ADDRESS(12,3+18*2+(14),,,"J1 A - (North) Bishopthorpe Roa")&amp;":"&amp;ADDRESS(130,3+18*2+(14))),'J1 A - (North) Bishopthorpe Roa'!$A$12:$A$130,"&gt;="&amp;Diagram!$O68,'J1 A - (North) Bishopthorpe Roa'!$A$12:$A$130,"&lt;"&amp;Diagram!$P68)))</f>
        <v>2</v>
      </c>
      <c r="DU68" s="42">
        <f ca="1">IF(OR($I$10="",$O68="",$P68="",$J$41&lt;&gt;"Yes"),0,IF($K$10=0,SUMIFS(INDIRECT(ADDRESS(12,3+18*2+(6),,,"J1 B - Butcher Terrace")&amp;":"&amp;ADDRESS(130,3+18*2+(6))),'J1 B - Butcher Terrace'!$A$12:$A$130,"&gt;="&amp;Diagram!$O68,'J1 B - Butcher Terrace'!$A$12:$A$130,"&lt;"&amp;Diagram!$P68),SUMIFS(INDIRECT(ADDRESS(12,3+18*2+(14),,,"J1 B - Butcher Terrace")&amp;":"&amp;ADDRESS(130,3+18*2+(14))),'J1 B - Butcher Terrace'!$A$12:$A$130,"&gt;="&amp;Diagram!$O68,'J1 B - Butcher Terrace'!$A$12:$A$130,"&lt;"&amp;Diagram!$P68)))</f>
        <v>0</v>
      </c>
      <c r="DV68" s="42">
        <f ca="1">IF(OR($I$10="",$O68="",$P68="",$J$41&lt;&gt;"Yes"),0,IF($K$10=0,SUMIFS(INDIRECT(ADDRESS(12,3+18*3+(6),,,"J1 B - Butcher Terrace")&amp;":"&amp;ADDRESS(130,3+18*3+(6))),'J1 B - Butcher Terrace'!$A$12:$A$130,"&gt;="&amp;Diagram!$O68,'J1 B - Butcher Terrace'!$A$12:$A$130,"&lt;"&amp;Diagram!$P68),SUMIFS(INDIRECT(ADDRESS(12,3+18*3+(14),,,"J1 B - Butcher Terrace")&amp;":"&amp;ADDRESS(130,3+18*3+(14))),'J1 B - Butcher Terrace'!$A$12:$A$130,"&gt;="&amp;Diagram!$O68,'J1 B - Butcher Terrace'!$A$12:$A$130,"&lt;"&amp;Diagram!$P68)))</f>
        <v>0</v>
      </c>
      <c r="DW68" s="42">
        <f ca="1">IF(OR($I$10="",$O68="",$P68="",$J$41&lt;&gt;"Yes"),0,IF($K$10=0,SUMIFS(INDIRECT(ADDRESS(12,3+18*0+(6),,,"J1 B - Butcher Terrace")&amp;":"&amp;ADDRESS(130,3+18*0+(6))),'J1 B - Butcher Terrace'!$A$12:$A$130,"&gt;="&amp;Diagram!$O68,'J1 B - Butcher Terrace'!$A$12:$A$130,"&lt;"&amp;Diagram!$P68),SUMIFS(INDIRECT(ADDRESS(12,3+18*0+(14),,,"J1 B - Butcher Terrace")&amp;":"&amp;ADDRESS(130,3+18*0+(14))),'J1 B - Butcher Terrace'!$A$12:$A$130,"&gt;="&amp;Diagram!$O68,'J1 B - Butcher Terrace'!$A$12:$A$130,"&lt;"&amp;Diagram!$P68)))</f>
        <v>0</v>
      </c>
      <c r="DX68" s="42">
        <f ca="1">IF(OR($I$10="",$O68="",$P68="",$J$41&lt;&gt;"Yes"),0,IF($K$10=0,SUMIFS(INDIRECT(ADDRESS(12,3+18*1+(6),,,"J1 B - Butcher Terrace")&amp;":"&amp;ADDRESS(130,3+18*1+(6))),'J1 B - Butcher Terrace'!$A$12:$A$130,"&gt;="&amp;Diagram!$O68,'J1 B - Butcher Terrace'!$A$12:$A$130,"&lt;"&amp;Diagram!$P68),SUMIFS(INDIRECT(ADDRESS(12,3+18*1+(14),,,"J1 B - Butcher Terrace")&amp;":"&amp;ADDRESS(130,3+18*1+(14))),'J1 B - Butcher Terrace'!$A$12:$A$130,"&gt;="&amp;Diagram!$O68,'J1 B - Butcher Terrace'!$A$12:$A$130,"&lt;"&amp;Diagram!$P68)))</f>
        <v>1</v>
      </c>
      <c r="DY68" s="42">
        <f ca="1">IF(OR($I$10="",$O68="",$P68="",$J$41&lt;&gt;"Yes"),0,IF($K$10=0,SUMIFS(INDIRECT(ADDRESS(12,3+18*1+(6),,,"J1 C - (South) Bishopthorpe Roa")&amp;":"&amp;ADDRESS(130,3+18*1+(6))),'J1 C - (South) Bishopthorpe Roa'!$A$12:$A$130,"&gt;="&amp;Diagram!$O68,'J1 C - (South) Bishopthorpe Roa'!$A$12:$A$130,"&lt;"&amp;Diagram!$P68),SUMIFS(INDIRECT(ADDRESS(12,3+18*1+(14),,,"J1 C - (South) Bishopthorpe Roa")&amp;":"&amp;ADDRESS(130,3+18*1+(14))),'J1 C - (South) Bishopthorpe Roa'!$A$12:$A$130,"&gt;="&amp;Diagram!$O68,'J1 C - (South) Bishopthorpe Roa'!$A$12:$A$130,"&lt;"&amp;Diagram!$P68)))</f>
        <v>2</v>
      </c>
      <c r="DZ68" s="42">
        <f ca="1">IF(OR($I$10="",$O68="",$P68="",$J$41&lt;&gt;"Yes"),0,IF($K$10=0,SUMIFS(INDIRECT(ADDRESS(12,3+18*2+(6),,,"J1 C - (South) Bishopthorpe Roa")&amp;":"&amp;ADDRESS(130,3+18*2+(6))),'J1 C - (South) Bishopthorpe Roa'!$A$12:$A$130,"&gt;="&amp;Diagram!$O68,'J1 C - (South) Bishopthorpe Roa'!$A$12:$A$130,"&lt;"&amp;Diagram!$P68),SUMIFS(INDIRECT(ADDRESS(12,3+18*2+(14),,,"J1 C - (South) Bishopthorpe Roa")&amp;":"&amp;ADDRESS(130,3+18*2+(14))),'J1 C - (South) Bishopthorpe Roa'!$A$12:$A$130,"&gt;="&amp;Diagram!$O68,'J1 C - (South) Bishopthorpe Roa'!$A$12:$A$130,"&lt;"&amp;Diagram!$P68)))</f>
        <v>0</v>
      </c>
      <c r="EA68" s="42">
        <f ca="1">IF(OR($I$10="",$O68="",$P68="",$J$41&lt;&gt;"Yes"),0,IF($K$10=0,SUMIFS(INDIRECT(ADDRESS(12,3+18*3+(6),,,"J1 C - (South) Bishopthorpe Roa")&amp;":"&amp;ADDRESS(130,3+18*3+(6))),'J1 C - (South) Bishopthorpe Roa'!$A$12:$A$130,"&gt;="&amp;Diagram!$O68,'J1 C - (South) Bishopthorpe Roa'!$A$12:$A$130,"&lt;"&amp;Diagram!$P68),SUMIFS(INDIRECT(ADDRESS(12,3+18*3+(14),,,"J1 C - (South) Bishopthorpe Roa")&amp;":"&amp;ADDRESS(130,3+18*3+(14))),'J1 C - (South) Bishopthorpe Roa'!$A$12:$A$130,"&gt;="&amp;Diagram!$O68,'J1 C - (South) Bishopthorpe Roa'!$A$12:$A$130,"&lt;"&amp;Diagram!$P68)))</f>
        <v>0</v>
      </c>
      <c r="EB68" s="42">
        <f ca="1">IF(OR($I$10="",$O68="",$P68="",$J$41&lt;&gt;"Yes"),0,IF($K$10=0,SUMIFS(INDIRECT(ADDRESS(12,3+18*0+(6),,,"J1 C - (South) Bishopthorpe Roa")&amp;":"&amp;ADDRESS(130,3+18*0+(6))),'J1 C - (South) Bishopthorpe Roa'!$A$12:$A$130,"&gt;="&amp;Diagram!$O68,'J1 C - (South) Bishopthorpe Roa'!$A$12:$A$130,"&lt;"&amp;Diagram!$P68),SUMIFS(INDIRECT(ADDRESS(12,3+18*0+(14),,,"J1 C - (South) Bishopthorpe Roa")&amp;":"&amp;ADDRESS(130,3+18*0+(14))),'J1 C - (South) Bishopthorpe Roa'!$A$12:$A$130,"&gt;="&amp;Diagram!$O68,'J1 C - (South) Bishopthorpe Roa'!$A$12:$A$130,"&lt;"&amp;Diagram!$P68)))</f>
        <v>0</v>
      </c>
      <c r="EC68" s="42">
        <f ca="1">IF(OR($I$10="",$O68="",$P68="",$J$41&lt;&gt;"Yes"),0,IF($K$10=0,SUMIFS(INDIRECT(ADDRESS(12,3+18*0+(6),,,"J1 D - South Bank Avenue")&amp;":"&amp;ADDRESS(130,3+18*0+(6))),'J1 D - South Bank Avenue'!$A$12:$A$130,"&gt;="&amp;Diagram!$O68,'J1 D - South Bank Avenue'!$A$12:$A$130,"&lt;"&amp;Diagram!$P68),SUMIFS(INDIRECT(ADDRESS(12,3+18*0+(14),,,"J1 D - South Bank Avenue")&amp;":"&amp;ADDRESS(130,3+18*0+(14))),'J1 D - South Bank Avenue'!$A$12:$A$130,"&gt;="&amp;Diagram!$O68,'J1 D - South Bank Avenue'!$A$12:$A$130,"&lt;"&amp;Diagram!$P68)))</f>
        <v>1</v>
      </c>
      <c r="ED68" s="42">
        <f ca="1">IF(OR($I$10="",$O68="",$P68="",$J$41&lt;&gt;"Yes"),0,IF($K$10=0,SUMIFS(INDIRECT(ADDRESS(12,3+18*1+(6),,,"J1 D - South Bank Avenue")&amp;":"&amp;ADDRESS(130,3+18*1+(6))),'J1 D - South Bank Avenue'!$A$12:$A$130,"&gt;="&amp;Diagram!$O68,'J1 D - South Bank Avenue'!$A$12:$A$130,"&lt;"&amp;Diagram!$P68),SUMIFS(INDIRECT(ADDRESS(12,3+18*1+(14),,,"J1 D - South Bank Avenue")&amp;":"&amp;ADDRESS(130,3+18*1+(14))),'J1 D - South Bank Avenue'!$A$12:$A$130,"&gt;="&amp;Diagram!$O68,'J1 D - South Bank Avenue'!$A$12:$A$130,"&lt;"&amp;Diagram!$P68)))</f>
        <v>0</v>
      </c>
      <c r="EE68" s="42">
        <f ca="1">IF(OR($I$10="",$O68="",$P68="",$J$41&lt;&gt;"Yes"),0,IF($K$10=0,SUMIFS(INDIRECT(ADDRESS(12,3+18*2+(6),,,"J1 D - South Bank Avenue")&amp;":"&amp;ADDRESS(130,3+18*2+(6))),'J1 D - South Bank Avenue'!$A$12:$A$130,"&gt;="&amp;Diagram!$O68,'J1 D - South Bank Avenue'!$A$12:$A$130,"&lt;"&amp;Diagram!$P68),SUMIFS(INDIRECT(ADDRESS(12,3+18*2+(14),,,"J1 D - South Bank Avenue")&amp;":"&amp;ADDRESS(130,3+18*2+(14))),'J1 D - South Bank Avenue'!$A$12:$A$130,"&gt;="&amp;Diagram!$O68,'J1 D - South Bank Avenue'!$A$12:$A$130,"&lt;"&amp;Diagram!$P68)))</f>
        <v>0</v>
      </c>
      <c r="EF68" s="42">
        <f ca="1">IF(OR($I$10="",$O68="",$P68="",$J$41&lt;&gt;"Yes"),0,IF($K$10=0,SUMIFS(INDIRECT(ADDRESS(12,3+18*3+(6),,,"J1 D - South Bank Avenue")&amp;":"&amp;ADDRESS(130,3+18*3+(6))),'J1 D - South Bank Avenue'!$A$12:$A$130,"&gt;="&amp;Diagram!$O68,'J1 D - South Bank Avenue'!$A$12:$A$130,"&lt;"&amp;Diagram!$P68),SUMIFS(INDIRECT(ADDRESS(12,3+18*3+(14),,,"J1 D - South Bank Avenue")&amp;":"&amp;ADDRESS(130,3+18*3+(14))),'J1 D - South Bank Avenue'!$A$12:$A$130,"&gt;="&amp;Diagram!$O68,'J1 D - South Bank Avenue'!$A$12:$A$130,"&lt;"&amp;Diagram!$P68)))</f>
        <v>0</v>
      </c>
      <c r="EG68" s="42">
        <f t="shared" ca="1" si="18"/>
        <v>2</v>
      </c>
      <c r="EH68" s="42">
        <f ca="1">IF(OR($I$10="",$O68="",$P68="",$J$42&lt;&gt;"Yes"),0,IF($K$10=0,SUMIFS(INDIRECT(ADDRESS(12,3+18*3+(7),,,"J1 A - (North) Bishopthorpe Roa")&amp;":"&amp;ADDRESS(130,3+18*3+(7))),'J1 A - (North) Bishopthorpe Roa'!$A$12:$A$130,"&gt;="&amp;Diagram!$O68,'J1 A - (North) Bishopthorpe Roa'!$A$12:$A$130,"&lt;"&amp;Diagram!$P68),SUMIFS(INDIRECT(ADDRESS(12,3+18*3+(15),,,"J1 A - (North) Bishopthorpe Roa")&amp;":"&amp;ADDRESS(130,3+18*3+(15))),'J1 A - (North) Bishopthorpe Roa'!$A$12:$A$130,"&gt;="&amp;Diagram!$O68,'J1 A - (North) Bishopthorpe Roa'!$A$12:$A$130,"&lt;"&amp;Diagram!$P68)))</f>
        <v>0</v>
      </c>
      <c r="EI68" s="42">
        <f ca="1">IF(OR($I$10="",$O68="",$P68="",$J$42&lt;&gt;"Yes"),0,IF($K$10=0,SUMIFS(INDIRECT(ADDRESS(12,3+18*0+(7),,,"J1 A - (North) Bishopthorpe Roa")&amp;":"&amp;ADDRESS(130,3+18*0+(7))),'J1 A - (North) Bishopthorpe Roa'!$A$12:$A$130,"&gt;="&amp;Diagram!$O68,'J1 A - (North) Bishopthorpe Roa'!$A$12:$A$130,"&lt;"&amp;Diagram!$P68),SUMIFS(INDIRECT(ADDRESS(12,3+18*0+(15),,,"J1 A - (North) Bishopthorpe Roa")&amp;":"&amp;ADDRESS(130,3+18*0+(15))),'J1 A - (North) Bishopthorpe Roa'!$A$12:$A$130,"&gt;="&amp;Diagram!$O68,'J1 A - (North) Bishopthorpe Roa'!$A$12:$A$130,"&lt;"&amp;Diagram!$P68)))</f>
        <v>2</v>
      </c>
      <c r="EJ68" s="42">
        <f ca="1">IF(OR($I$10="",$O68="",$P68="",$J$42&lt;&gt;"Yes"),0,IF($K$10=0,SUMIFS(INDIRECT(ADDRESS(12,3+18*1+(7),,,"J1 A - (North) Bishopthorpe Roa")&amp;":"&amp;ADDRESS(130,3+18*1+(7))),'J1 A - (North) Bishopthorpe Roa'!$A$12:$A$130,"&gt;="&amp;Diagram!$O68,'J1 A - (North) Bishopthorpe Roa'!$A$12:$A$130,"&lt;"&amp;Diagram!$P68),SUMIFS(INDIRECT(ADDRESS(12,3+18*1+(15),,,"J1 A - (North) Bishopthorpe Roa")&amp;":"&amp;ADDRESS(130,3+18*1+(15))),'J1 A - (North) Bishopthorpe Roa'!$A$12:$A$130,"&gt;="&amp;Diagram!$O68,'J1 A - (North) Bishopthorpe Roa'!$A$12:$A$130,"&lt;"&amp;Diagram!$P68)))</f>
        <v>0</v>
      </c>
      <c r="EK68" s="42">
        <f ca="1">IF(OR($I$10="",$O68="",$P68="",$J$42&lt;&gt;"Yes"),0,IF($K$10=0,SUMIFS(INDIRECT(ADDRESS(12,3+18*2+(7),,,"J1 A - (North) Bishopthorpe Roa")&amp;":"&amp;ADDRESS(130,3+18*2+(7))),'J1 A - (North) Bishopthorpe Roa'!$A$12:$A$130,"&gt;="&amp;Diagram!$O68,'J1 A - (North) Bishopthorpe Roa'!$A$12:$A$130,"&lt;"&amp;Diagram!$P68),SUMIFS(INDIRECT(ADDRESS(12,3+18*2+(15),,,"J1 A - (North) Bishopthorpe Roa")&amp;":"&amp;ADDRESS(130,3+18*2+(15))),'J1 A - (North) Bishopthorpe Roa'!$A$12:$A$130,"&gt;="&amp;Diagram!$O68,'J1 A - (North) Bishopthorpe Roa'!$A$12:$A$130,"&lt;"&amp;Diagram!$P68)))</f>
        <v>0</v>
      </c>
      <c r="EL68" s="42">
        <f ca="1">IF(OR($I$10="",$O68="",$P68="",$J$42&lt;&gt;"Yes"),0,IF($K$10=0,SUMIFS(INDIRECT(ADDRESS(12,3+18*2+(7),,,"J1 B - Butcher Terrace")&amp;":"&amp;ADDRESS(130,3+18*2+(7))),'J1 B - Butcher Terrace'!$A$12:$A$130,"&gt;="&amp;Diagram!$O68,'J1 B - Butcher Terrace'!$A$12:$A$130,"&lt;"&amp;Diagram!$P68),SUMIFS(INDIRECT(ADDRESS(12,3+18*2+(15),,,"J1 B - Butcher Terrace")&amp;":"&amp;ADDRESS(130,3+18*2+(15))),'J1 B - Butcher Terrace'!$A$12:$A$130,"&gt;="&amp;Diagram!$O68,'J1 B - Butcher Terrace'!$A$12:$A$130,"&lt;"&amp;Diagram!$P68)))</f>
        <v>0</v>
      </c>
      <c r="EM68" s="42">
        <f ca="1">IF(OR($I$10="",$O68="",$P68="",$J$42&lt;&gt;"Yes"),0,IF($K$10=0,SUMIFS(INDIRECT(ADDRESS(12,3+18*3+(7),,,"J1 B - Butcher Terrace")&amp;":"&amp;ADDRESS(130,3+18*3+(7))),'J1 B - Butcher Terrace'!$A$12:$A$130,"&gt;="&amp;Diagram!$O68,'J1 B - Butcher Terrace'!$A$12:$A$130,"&lt;"&amp;Diagram!$P68),SUMIFS(INDIRECT(ADDRESS(12,3+18*3+(15),,,"J1 B - Butcher Terrace")&amp;":"&amp;ADDRESS(130,3+18*3+(15))),'J1 B - Butcher Terrace'!$A$12:$A$130,"&gt;="&amp;Diagram!$O68,'J1 B - Butcher Terrace'!$A$12:$A$130,"&lt;"&amp;Diagram!$P68)))</f>
        <v>0</v>
      </c>
      <c r="EN68" s="42">
        <f ca="1">IF(OR($I$10="",$O68="",$P68="",$J$42&lt;&gt;"Yes"),0,IF($K$10=0,SUMIFS(INDIRECT(ADDRESS(12,3+18*0+(7),,,"J1 B - Butcher Terrace")&amp;":"&amp;ADDRESS(130,3+18*0+(7))),'J1 B - Butcher Terrace'!$A$12:$A$130,"&gt;="&amp;Diagram!$O68,'J1 B - Butcher Terrace'!$A$12:$A$130,"&lt;"&amp;Diagram!$P68),SUMIFS(INDIRECT(ADDRESS(12,3+18*0+(15),,,"J1 B - Butcher Terrace")&amp;":"&amp;ADDRESS(130,3+18*0+(15))),'J1 B - Butcher Terrace'!$A$12:$A$130,"&gt;="&amp;Diagram!$O68,'J1 B - Butcher Terrace'!$A$12:$A$130,"&lt;"&amp;Diagram!$P68)))</f>
        <v>0</v>
      </c>
      <c r="EO68" s="42">
        <f ca="1">IF(OR($I$10="",$O68="",$P68="",$J$42&lt;&gt;"Yes"),0,IF($K$10=0,SUMIFS(INDIRECT(ADDRESS(12,3+18*1+(7),,,"J1 B - Butcher Terrace")&amp;":"&amp;ADDRESS(130,3+18*1+(7))),'J1 B - Butcher Terrace'!$A$12:$A$130,"&gt;="&amp;Diagram!$O68,'J1 B - Butcher Terrace'!$A$12:$A$130,"&lt;"&amp;Diagram!$P68),SUMIFS(INDIRECT(ADDRESS(12,3+18*1+(15),,,"J1 B - Butcher Terrace")&amp;":"&amp;ADDRESS(130,3+18*1+(15))),'J1 B - Butcher Terrace'!$A$12:$A$130,"&gt;="&amp;Diagram!$O68,'J1 B - Butcher Terrace'!$A$12:$A$130,"&lt;"&amp;Diagram!$P68)))</f>
        <v>0</v>
      </c>
      <c r="EP68" s="42">
        <f ca="1">IF(OR($I$10="",$O68="",$P68="",$J$42&lt;&gt;"Yes"),0,IF($K$10=0,SUMIFS(INDIRECT(ADDRESS(12,3+18*1+(7),,,"J1 C - (South) Bishopthorpe Roa")&amp;":"&amp;ADDRESS(130,3+18*1+(7))),'J1 C - (South) Bishopthorpe Roa'!$A$12:$A$130,"&gt;="&amp;Diagram!$O68,'J1 C - (South) Bishopthorpe Roa'!$A$12:$A$130,"&lt;"&amp;Diagram!$P68),SUMIFS(INDIRECT(ADDRESS(12,3+18*1+(15),,,"J1 C - (South) Bishopthorpe Roa")&amp;":"&amp;ADDRESS(130,3+18*1+(15))),'J1 C - (South) Bishopthorpe Roa'!$A$12:$A$130,"&gt;="&amp;Diagram!$O68,'J1 C - (South) Bishopthorpe Roa'!$A$12:$A$130,"&lt;"&amp;Diagram!$P68)))</f>
        <v>0</v>
      </c>
      <c r="EQ68" s="42">
        <f ca="1">IF(OR($I$10="",$O68="",$P68="",$J$42&lt;&gt;"Yes"),0,IF($K$10=0,SUMIFS(INDIRECT(ADDRESS(12,3+18*2+(7),,,"J1 C - (South) Bishopthorpe Roa")&amp;":"&amp;ADDRESS(130,3+18*2+(7))),'J1 C - (South) Bishopthorpe Roa'!$A$12:$A$130,"&gt;="&amp;Diagram!$O68,'J1 C - (South) Bishopthorpe Roa'!$A$12:$A$130,"&lt;"&amp;Diagram!$P68),SUMIFS(INDIRECT(ADDRESS(12,3+18*2+(15),,,"J1 C - (South) Bishopthorpe Roa")&amp;":"&amp;ADDRESS(130,3+18*2+(15))),'J1 C - (South) Bishopthorpe Roa'!$A$12:$A$130,"&gt;="&amp;Diagram!$O68,'J1 C - (South) Bishopthorpe Roa'!$A$12:$A$130,"&lt;"&amp;Diagram!$P68)))</f>
        <v>0</v>
      </c>
      <c r="ER68" s="42">
        <f ca="1">IF(OR($I$10="",$O68="",$P68="",$J$42&lt;&gt;"Yes"),0,IF($K$10=0,SUMIFS(INDIRECT(ADDRESS(12,3+18*3+(7),,,"J1 C - (South) Bishopthorpe Roa")&amp;":"&amp;ADDRESS(130,3+18*3+(7))),'J1 C - (South) Bishopthorpe Roa'!$A$12:$A$130,"&gt;="&amp;Diagram!$O68,'J1 C - (South) Bishopthorpe Roa'!$A$12:$A$130,"&lt;"&amp;Diagram!$P68),SUMIFS(INDIRECT(ADDRESS(12,3+18*3+(15),,,"J1 C - (South) Bishopthorpe Roa")&amp;":"&amp;ADDRESS(130,3+18*3+(15))),'J1 C - (South) Bishopthorpe Roa'!$A$12:$A$130,"&gt;="&amp;Diagram!$O68,'J1 C - (South) Bishopthorpe Roa'!$A$12:$A$130,"&lt;"&amp;Diagram!$P68)))</f>
        <v>0</v>
      </c>
      <c r="ES68" s="42">
        <f ca="1">IF(OR($I$10="",$O68="",$P68="",$J$42&lt;&gt;"Yes"),0,IF($K$10=0,SUMIFS(INDIRECT(ADDRESS(12,3+18*0+(7),,,"J1 C - (South) Bishopthorpe Roa")&amp;":"&amp;ADDRESS(130,3+18*0+(7))),'J1 C - (South) Bishopthorpe Roa'!$A$12:$A$130,"&gt;="&amp;Diagram!$O68,'J1 C - (South) Bishopthorpe Roa'!$A$12:$A$130,"&lt;"&amp;Diagram!$P68),SUMIFS(INDIRECT(ADDRESS(12,3+18*0+(15),,,"J1 C - (South) Bishopthorpe Roa")&amp;":"&amp;ADDRESS(130,3+18*0+(15))),'J1 C - (South) Bishopthorpe Roa'!$A$12:$A$130,"&gt;="&amp;Diagram!$O68,'J1 C - (South) Bishopthorpe Roa'!$A$12:$A$130,"&lt;"&amp;Diagram!$P68)))</f>
        <v>0</v>
      </c>
      <c r="ET68" s="42">
        <f ca="1">IF(OR($I$10="",$O68="",$P68="",$J$42&lt;&gt;"Yes"),0,IF($K$10=0,SUMIFS(INDIRECT(ADDRESS(12,3+18*0+(7),,,"J1 D - South Bank Avenue")&amp;":"&amp;ADDRESS(130,3+18*0+(7))),'J1 D - South Bank Avenue'!$A$12:$A$130,"&gt;="&amp;Diagram!$O68,'J1 D - South Bank Avenue'!$A$12:$A$130,"&lt;"&amp;Diagram!$P68),SUMIFS(INDIRECT(ADDRESS(12,3+18*0+(15),,,"J1 D - South Bank Avenue")&amp;":"&amp;ADDRESS(130,3+18*0+(15))),'J1 D - South Bank Avenue'!$A$12:$A$130,"&gt;="&amp;Diagram!$O68,'J1 D - South Bank Avenue'!$A$12:$A$130,"&lt;"&amp;Diagram!$P68)))</f>
        <v>0</v>
      </c>
      <c r="EU68" s="42">
        <f ca="1">IF(OR($I$10="",$O68="",$P68="",$J$42&lt;&gt;"Yes"),0,IF($K$10=0,SUMIFS(INDIRECT(ADDRESS(12,3+18*1+(7),,,"J1 D - South Bank Avenue")&amp;":"&amp;ADDRESS(130,3+18*1+(7))),'J1 D - South Bank Avenue'!$A$12:$A$130,"&gt;="&amp;Diagram!$O68,'J1 D - South Bank Avenue'!$A$12:$A$130,"&lt;"&amp;Diagram!$P68),SUMIFS(INDIRECT(ADDRESS(12,3+18*1+(15),,,"J1 D - South Bank Avenue")&amp;":"&amp;ADDRESS(130,3+18*1+(15))),'J1 D - South Bank Avenue'!$A$12:$A$130,"&gt;="&amp;Diagram!$O68,'J1 D - South Bank Avenue'!$A$12:$A$130,"&lt;"&amp;Diagram!$P68)))</f>
        <v>0</v>
      </c>
      <c r="EV68" s="42">
        <f ca="1">IF(OR($I$10="",$O68="",$P68="",$J$42&lt;&gt;"Yes"),0,IF($K$10=0,SUMIFS(INDIRECT(ADDRESS(12,3+18*2+(7),,,"J1 D - South Bank Avenue")&amp;":"&amp;ADDRESS(130,3+18*2+(7))),'J1 D - South Bank Avenue'!$A$12:$A$130,"&gt;="&amp;Diagram!$O68,'J1 D - South Bank Avenue'!$A$12:$A$130,"&lt;"&amp;Diagram!$P68),SUMIFS(INDIRECT(ADDRESS(12,3+18*2+(15),,,"J1 D - South Bank Avenue")&amp;":"&amp;ADDRESS(130,3+18*2+(15))),'J1 D - South Bank Avenue'!$A$12:$A$130,"&gt;="&amp;Diagram!$O68,'J1 D - South Bank Avenue'!$A$12:$A$130,"&lt;"&amp;Diagram!$P68)))</f>
        <v>0</v>
      </c>
      <c r="EW68" s="42">
        <f ca="1">IF(OR($I$10="",$O68="",$P68="",$J$42&lt;&gt;"Yes"),0,IF($K$10=0,SUMIFS(INDIRECT(ADDRESS(12,3+18*3+(7),,,"J1 D - South Bank Avenue")&amp;":"&amp;ADDRESS(130,3+18*3+(7))),'J1 D - South Bank Avenue'!$A$12:$A$130,"&gt;="&amp;Diagram!$O68,'J1 D - South Bank Avenue'!$A$12:$A$130,"&lt;"&amp;Diagram!$P68),SUMIFS(INDIRECT(ADDRESS(12,3+18*3+(15),,,"J1 D - South Bank Avenue")&amp;":"&amp;ADDRESS(130,3+18*3+(15))),'J1 D - South Bank Avenue'!$A$12:$A$130,"&gt;="&amp;Diagram!$O68,'J1 D - South Bank Avenue'!$A$12:$A$130,"&lt;"&amp;Diagram!$P68)))</f>
        <v>0</v>
      </c>
    </row>
    <row r="69" spans="1:153">
      <c r="A69" s="1">
        <v>44395.708333333299</v>
      </c>
      <c r="B69" s="1">
        <v>44395.71875</v>
      </c>
      <c r="O69" s="3">
        <v>44395.708333333299</v>
      </c>
      <c r="P69" s="3">
        <v>44395.75</v>
      </c>
      <c r="Q69" s="42">
        <f t="shared" ca="1" si="10"/>
        <v>759</v>
      </c>
      <c r="R69" s="42">
        <f t="shared" ca="1" si="11"/>
        <v>574</v>
      </c>
      <c r="S69" s="42">
        <f ca="1">IF(OR($I$10="",$O69="",$P69="",$J$35&lt;&gt;"Yes"),0,IF($K$10=0,SUMIFS(INDIRECT(ADDRESS(12,3+18*3+(0),,,"J1 A - (North) Bishopthorpe Roa")&amp;":"&amp;ADDRESS(130,3+18*3+(0))),'J1 A - (North) Bishopthorpe Roa'!$A$12:$A$130,"&gt;="&amp;Diagram!$O69,'J1 A - (North) Bishopthorpe Roa'!$A$12:$A$130,"&lt;"&amp;Diagram!$P69),SUMIFS(INDIRECT(ADDRESS(12,3+18*3+(8),,,"J1 A - (North) Bishopthorpe Roa")&amp;":"&amp;ADDRESS(130,3+18*3+(8))),'J1 A - (North) Bishopthorpe Roa'!$A$12:$A$130,"&gt;="&amp;Diagram!$O69,'J1 A - (North) Bishopthorpe Roa'!$A$12:$A$130,"&lt;"&amp;Diagram!$P69)))</f>
        <v>1</v>
      </c>
      <c r="T69" s="42">
        <f ca="1">IF(OR($I$10="",$O69="",$P69="",$J$35&lt;&gt;"Yes"),0,IF($K$10=0,SUMIFS(INDIRECT(ADDRESS(12,3+18*0+(0),,,"J1 A - (North) Bishopthorpe Roa")&amp;":"&amp;ADDRESS(130,3+18*0+(0))),'J1 A - (North) Bishopthorpe Roa'!$A$12:$A$130,"&gt;="&amp;Diagram!$O69,'J1 A - (North) Bishopthorpe Roa'!$A$12:$A$130,"&lt;"&amp;Diagram!$P69),SUMIFS(INDIRECT(ADDRESS(12,3+18*0+(8),,,"J1 A - (North) Bishopthorpe Roa")&amp;":"&amp;ADDRESS(130,3+18*0+(8))),'J1 A - (North) Bishopthorpe Roa'!$A$12:$A$130,"&gt;="&amp;Diagram!$O69,'J1 A - (North) Bishopthorpe Roa'!$A$12:$A$130,"&lt;"&amp;Diagram!$P69)))</f>
        <v>19</v>
      </c>
      <c r="U69" s="42">
        <f ca="1">IF(OR($I$10="",$O69="",$P69="",$J$35&lt;&gt;"Yes"),0,IF($K$10=0,SUMIFS(INDIRECT(ADDRESS(12,3+18*1+(0),,,"J1 A - (North) Bishopthorpe Roa")&amp;":"&amp;ADDRESS(130,3+18*1+(0))),'J1 A - (North) Bishopthorpe Roa'!$A$12:$A$130,"&gt;="&amp;Diagram!$O69,'J1 A - (North) Bishopthorpe Roa'!$A$12:$A$130,"&lt;"&amp;Diagram!$P69),SUMIFS(INDIRECT(ADDRESS(12,3+18*1+(8),,,"J1 A - (North) Bishopthorpe Roa")&amp;":"&amp;ADDRESS(130,3+18*1+(8))),'J1 A - (North) Bishopthorpe Roa'!$A$12:$A$130,"&gt;="&amp;Diagram!$O69,'J1 A - (North) Bishopthorpe Roa'!$A$12:$A$130,"&lt;"&amp;Diagram!$P69)))</f>
        <v>232</v>
      </c>
      <c r="V69" s="42">
        <f ca="1">IF(OR($I$10="",$O69="",$P69="",$J$35&lt;&gt;"Yes"),0,IF($K$10=0,SUMIFS(INDIRECT(ADDRESS(12,3+18*2+(0),,,"J1 A - (North) Bishopthorpe Roa")&amp;":"&amp;ADDRESS(130,3+18*2+(0))),'J1 A - (North) Bishopthorpe Roa'!$A$12:$A$130,"&gt;="&amp;Diagram!$O69,'J1 A - (North) Bishopthorpe Roa'!$A$12:$A$130,"&lt;"&amp;Diagram!$P69),SUMIFS(INDIRECT(ADDRESS(12,3+18*2+(8),,,"J1 A - (North) Bishopthorpe Roa")&amp;":"&amp;ADDRESS(130,3+18*2+(8))),'J1 A - (North) Bishopthorpe Roa'!$A$12:$A$130,"&gt;="&amp;Diagram!$O69,'J1 A - (North) Bishopthorpe Roa'!$A$12:$A$130,"&lt;"&amp;Diagram!$P69)))</f>
        <v>38</v>
      </c>
      <c r="W69" s="42">
        <f ca="1">IF(OR($I$10="",$O69="",$P69="",$J$35&lt;&gt;"Yes"),0,IF($K$10=0,SUMIFS(INDIRECT(ADDRESS(12,3+18*2+(0),,,"J1 B - Butcher Terrace")&amp;":"&amp;ADDRESS(130,3+18*2+(0))),'J1 B - Butcher Terrace'!$A$12:$A$130,"&gt;="&amp;Diagram!$O69,'J1 B - Butcher Terrace'!$A$12:$A$130,"&lt;"&amp;Diagram!$P69),SUMIFS(INDIRECT(ADDRESS(12,3+18*2+(8),,,"J1 B - Butcher Terrace")&amp;":"&amp;ADDRESS(130,3+18*2+(8))),'J1 B - Butcher Terrace'!$A$12:$A$130,"&gt;="&amp;Diagram!$O69,'J1 B - Butcher Terrace'!$A$12:$A$130,"&lt;"&amp;Diagram!$P69)))</f>
        <v>11</v>
      </c>
      <c r="X69" s="42">
        <f ca="1">IF(OR($I$10="",$O69="",$P69="",$J$35&lt;&gt;"Yes"),0,IF($K$10=0,SUMIFS(INDIRECT(ADDRESS(12,3+18*3+(0),,,"J1 B - Butcher Terrace")&amp;":"&amp;ADDRESS(130,3+18*3+(0))),'J1 B - Butcher Terrace'!$A$12:$A$130,"&gt;="&amp;Diagram!$O69,'J1 B - Butcher Terrace'!$A$12:$A$130,"&lt;"&amp;Diagram!$P69),SUMIFS(INDIRECT(ADDRESS(12,3+18*3+(8),,,"J1 B - Butcher Terrace")&amp;":"&amp;ADDRESS(130,3+18*3+(8))),'J1 B - Butcher Terrace'!$A$12:$A$130,"&gt;="&amp;Diagram!$O69,'J1 B - Butcher Terrace'!$A$12:$A$130,"&lt;"&amp;Diagram!$P69)))</f>
        <v>0</v>
      </c>
      <c r="Y69" s="42">
        <f ca="1">IF(OR($I$10="",$O69="",$P69="",$J$35&lt;&gt;"Yes"),0,IF($K$10=0,SUMIFS(INDIRECT(ADDRESS(12,3+18*0+(0),,,"J1 B - Butcher Terrace")&amp;":"&amp;ADDRESS(130,3+18*0+(0))),'J1 B - Butcher Terrace'!$A$12:$A$130,"&gt;="&amp;Diagram!$O69,'J1 B - Butcher Terrace'!$A$12:$A$130,"&lt;"&amp;Diagram!$P69),SUMIFS(INDIRECT(ADDRESS(12,3+18*0+(8),,,"J1 B - Butcher Terrace")&amp;":"&amp;ADDRESS(130,3+18*0+(8))),'J1 B - Butcher Terrace'!$A$12:$A$130,"&gt;="&amp;Diagram!$O69,'J1 B - Butcher Terrace'!$A$12:$A$130,"&lt;"&amp;Diagram!$P69)))</f>
        <v>8</v>
      </c>
      <c r="Z69" s="42">
        <f ca="1">IF(OR($I$10="",$O69="",$P69="",$J$35&lt;&gt;"Yes"),0,IF($K$10=0,SUMIFS(INDIRECT(ADDRESS(12,3+18*1+(0),,,"J1 B - Butcher Terrace")&amp;":"&amp;ADDRESS(130,3+18*1+(0))),'J1 B - Butcher Terrace'!$A$12:$A$130,"&gt;="&amp;Diagram!$O69,'J1 B - Butcher Terrace'!$A$12:$A$130,"&lt;"&amp;Diagram!$P69),SUMIFS(INDIRECT(ADDRESS(12,3+18*1+(8),,,"J1 B - Butcher Terrace")&amp;":"&amp;ADDRESS(130,3+18*1+(8))),'J1 B - Butcher Terrace'!$A$12:$A$130,"&gt;="&amp;Diagram!$O69,'J1 B - Butcher Terrace'!$A$12:$A$130,"&lt;"&amp;Diagram!$P69)))</f>
        <v>0</v>
      </c>
      <c r="AA69" s="42">
        <f ca="1">IF(OR($I$10="",$O69="",$P69="",$J$35&lt;&gt;"Yes"),0,IF($K$10=0,SUMIFS(INDIRECT(ADDRESS(12,3+18*1+(0),,,"J1 C - (South) Bishopthorpe Roa")&amp;":"&amp;ADDRESS(130,3+18*1+(0))),'J1 C - (South) Bishopthorpe Roa'!$A$12:$A$130,"&gt;="&amp;Diagram!$O69,'J1 C - (South) Bishopthorpe Roa'!$A$12:$A$130,"&lt;"&amp;Diagram!$P69),SUMIFS(INDIRECT(ADDRESS(12,3+18*1+(8),,,"J1 C - (South) Bishopthorpe Roa")&amp;":"&amp;ADDRESS(130,3+18*1+(8))),'J1 C - (South) Bishopthorpe Roa'!$A$12:$A$130,"&gt;="&amp;Diagram!$O69,'J1 C - (South) Bishopthorpe Roa'!$A$12:$A$130,"&lt;"&amp;Diagram!$P69)))</f>
        <v>207</v>
      </c>
      <c r="AB69" s="42">
        <f ca="1">IF(OR($I$10="",$O69="",$P69="",$J$35&lt;&gt;"Yes"),0,IF($K$10=0,SUMIFS(INDIRECT(ADDRESS(12,3+18*2+(0),,,"J1 C - (South) Bishopthorpe Roa")&amp;":"&amp;ADDRESS(130,3+18*2+(0))),'J1 C - (South) Bishopthorpe Roa'!$A$12:$A$130,"&gt;="&amp;Diagram!$O69,'J1 C - (South) Bishopthorpe Roa'!$A$12:$A$130,"&lt;"&amp;Diagram!$P69),SUMIFS(INDIRECT(ADDRESS(12,3+18*2+(8),,,"J1 C - (South) Bishopthorpe Roa")&amp;":"&amp;ADDRESS(130,3+18*2+(8))),'J1 C - (South) Bishopthorpe Roa'!$A$12:$A$130,"&gt;="&amp;Diagram!$O69,'J1 C - (South) Bishopthorpe Roa'!$A$12:$A$130,"&lt;"&amp;Diagram!$P69)))</f>
        <v>11</v>
      </c>
      <c r="AC69" s="42">
        <f ca="1">IF(OR($I$10="",$O69="",$P69="",$J$35&lt;&gt;"Yes"),0,IF($K$10=0,SUMIFS(INDIRECT(ADDRESS(12,3+18*3+(0),,,"J1 C - (South) Bishopthorpe Roa")&amp;":"&amp;ADDRESS(130,3+18*3+(0))),'J1 C - (South) Bishopthorpe Roa'!$A$12:$A$130,"&gt;="&amp;Diagram!$O69,'J1 C - (South) Bishopthorpe Roa'!$A$12:$A$130,"&lt;"&amp;Diagram!$P69),SUMIFS(INDIRECT(ADDRESS(12,3+18*3+(8),,,"J1 C - (South) Bishopthorpe Roa")&amp;":"&amp;ADDRESS(130,3+18*3+(8))),'J1 C - (South) Bishopthorpe Roa'!$A$12:$A$130,"&gt;="&amp;Diagram!$O69,'J1 C - (South) Bishopthorpe Roa'!$A$12:$A$130,"&lt;"&amp;Diagram!$P69)))</f>
        <v>1</v>
      </c>
      <c r="AD69" s="42">
        <f ca="1">IF(OR($I$10="",$O69="",$P69="",$J$35&lt;&gt;"Yes"),0,IF($K$10=0,SUMIFS(INDIRECT(ADDRESS(12,3+18*0+(0),,,"J1 C - (South) Bishopthorpe Roa")&amp;":"&amp;ADDRESS(130,3+18*0+(0))),'J1 C - (South) Bishopthorpe Roa'!$A$12:$A$130,"&gt;="&amp;Diagram!$O69,'J1 C - (South) Bishopthorpe Roa'!$A$12:$A$130,"&lt;"&amp;Diagram!$P69),SUMIFS(INDIRECT(ADDRESS(12,3+18*0+(8),,,"J1 C - (South) Bishopthorpe Roa")&amp;":"&amp;ADDRESS(130,3+18*0+(8))),'J1 C - (South) Bishopthorpe Roa'!$A$12:$A$130,"&gt;="&amp;Diagram!$O69,'J1 C - (South) Bishopthorpe Roa'!$A$12:$A$130,"&lt;"&amp;Diagram!$P69)))</f>
        <v>5</v>
      </c>
      <c r="AE69" s="42">
        <f ca="1">IF(OR($I$10="",$O69="",$P69="",$J$35&lt;&gt;"Yes"),0,IF($K$10=0,SUMIFS(INDIRECT(ADDRESS(12,3+18*0+(0),,,"J1 D - South Bank Avenue")&amp;":"&amp;ADDRESS(130,3+18*0+(0))),'J1 D - South Bank Avenue'!$A$12:$A$130,"&gt;="&amp;Diagram!$O69,'J1 D - South Bank Avenue'!$A$12:$A$130,"&lt;"&amp;Diagram!$P69),SUMIFS(INDIRECT(ADDRESS(12,3+18*0+(8),,,"J1 D - South Bank Avenue")&amp;":"&amp;ADDRESS(130,3+18*0+(8))),'J1 D - South Bank Avenue'!$A$12:$A$130,"&gt;="&amp;Diagram!$O69,'J1 D - South Bank Avenue'!$A$12:$A$130,"&lt;"&amp;Diagram!$P69)))</f>
        <v>31</v>
      </c>
      <c r="AF69" s="42">
        <f ca="1">IF(OR($I$10="",$O69="",$P69="",$J$35&lt;&gt;"Yes"),0,IF($K$10=0,SUMIFS(INDIRECT(ADDRESS(12,3+18*1+(0),,,"J1 D - South Bank Avenue")&amp;":"&amp;ADDRESS(130,3+18*1+(0))),'J1 D - South Bank Avenue'!$A$12:$A$130,"&gt;="&amp;Diagram!$O69,'J1 D - South Bank Avenue'!$A$12:$A$130,"&lt;"&amp;Diagram!$P69),SUMIFS(INDIRECT(ADDRESS(12,3+18*1+(8),,,"J1 D - South Bank Avenue")&amp;":"&amp;ADDRESS(130,3+18*1+(8))),'J1 D - South Bank Avenue'!$A$12:$A$130,"&gt;="&amp;Diagram!$O69,'J1 D - South Bank Avenue'!$A$12:$A$130,"&lt;"&amp;Diagram!$P69)))</f>
        <v>2</v>
      </c>
      <c r="AG69" s="42">
        <f ca="1">IF(OR($I$10="",$O69="",$P69="",$J$35&lt;&gt;"Yes"),0,IF($K$10=0,SUMIFS(INDIRECT(ADDRESS(12,3+18*2+(0),,,"J1 D - South Bank Avenue")&amp;":"&amp;ADDRESS(130,3+18*2+(0))),'J1 D - South Bank Avenue'!$A$12:$A$130,"&gt;="&amp;Diagram!$O69,'J1 D - South Bank Avenue'!$A$12:$A$130,"&lt;"&amp;Diagram!$P69),SUMIFS(INDIRECT(ADDRESS(12,3+18*2+(8),,,"J1 D - South Bank Avenue")&amp;":"&amp;ADDRESS(130,3+18*2+(8))),'J1 D - South Bank Avenue'!$A$12:$A$130,"&gt;="&amp;Diagram!$O69,'J1 D - South Bank Avenue'!$A$12:$A$130,"&lt;"&amp;Diagram!$P69)))</f>
        <v>8</v>
      </c>
      <c r="AH69" s="42">
        <f ca="1">IF(OR($I$10="",$O69="",$P69="",$J$35&lt;&gt;"Yes"),0,IF($K$10=0,SUMIFS(INDIRECT(ADDRESS(12,3+18*3+(0),,,"J1 D - South Bank Avenue")&amp;":"&amp;ADDRESS(130,3+18*3+(0))),'J1 D - South Bank Avenue'!$A$12:$A$130,"&gt;="&amp;Diagram!$O69,'J1 D - South Bank Avenue'!$A$12:$A$130,"&lt;"&amp;Diagram!$P69),SUMIFS(INDIRECT(ADDRESS(12,3+18*3+(8),,,"J1 D - South Bank Avenue")&amp;":"&amp;ADDRESS(130,3+18*3+(8))),'J1 D - South Bank Avenue'!$A$12:$A$130,"&gt;="&amp;Diagram!$O69,'J1 D - South Bank Avenue'!$A$12:$A$130,"&lt;"&amp;Diagram!$P69)))</f>
        <v>0</v>
      </c>
      <c r="AI69" s="42">
        <f t="shared" ca="1" si="12"/>
        <v>36</v>
      </c>
      <c r="AJ69" s="42">
        <f ca="1">IF(OR($I$10="",$O69="",$P69="",$J$36&lt;&gt;"Yes"),0,IF($K$10=0,SUMIFS(INDIRECT(ADDRESS(12,3+18*3+(1),,,"J1 A - (North) Bishopthorpe Roa")&amp;":"&amp;ADDRESS(130,3+18*3+(1))),'J1 A - (North) Bishopthorpe Roa'!$A$12:$A$130,"&gt;="&amp;Diagram!$O69,'J1 A - (North) Bishopthorpe Roa'!$A$12:$A$130,"&lt;"&amp;Diagram!$P69),SUMIFS(INDIRECT(ADDRESS(12,3+18*3+(9),,,"J1 A - (North) Bishopthorpe Roa")&amp;":"&amp;ADDRESS(130,3+18*3+(9))),'J1 A - (North) Bishopthorpe Roa'!$A$12:$A$130,"&gt;="&amp;Diagram!$O69,'J1 A - (North) Bishopthorpe Roa'!$A$12:$A$130,"&lt;"&amp;Diagram!$P69)))</f>
        <v>0</v>
      </c>
      <c r="AK69" s="42">
        <f ca="1">IF(OR($I$10="",$O69="",$P69="",$J$36&lt;&gt;"Yes"),0,IF($K$10=0,SUMIFS(INDIRECT(ADDRESS(12,3+18*0+(1),,,"J1 A - (North) Bishopthorpe Roa")&amp;":"&amp;ADDRESS(130,3+18*0+(1))),'J1 A - (North) Bishopthorpe Roa'!$A$12:$A$130,"&gt;="&amp;Diagram!$O69,'J1 A - (North) Bishopthorpe Roa'!$A$12:$A$130,"&lt;"&amp;Diagram!$P69),SUMIFS(INDIRECT(ADDRESS(12,3+18*0+(9),,,"J1 A - (North) Bishopthorpe Roa")&amp;":"&amp;ADDRESS(130,3+18*0+(9))),'J1 A - (North) Bishopthorpe Roa'!$A$12:$A$130,"&gt;="&amp;Diagram!$O69,'J1 A - (North) Bishopthorpe Roa'!$A$12:$A$130,"&lt;"&amp;Diagram!$P69)))</f>
        <v>3</v>
      </c>
      <c r="AL69" s="42">
        <f ca="1">IF(OR($I$10="",$O69="",$P69="",$J$36&lt;&gt;"Yes"),0,IF($K$10=0,SUMIFS(INDIRECT(ADDRESS(12,3+18*1+(1),,,"J1 A - (North) Bishopthorpe Roa")&amp;":"&amp;ADDRESS(130,3+18*1+(1))),'J1 A - (North) Bishopthorpe Roa'!$A$12:$A$130,"&gt;="&amp;Diagram!$O69,'J1 A - (North) Bishopthorpe Roa'!$A$12:$A$130,"&lt;"&amp;Diagram!$P69),SUMIFS(INDIRECT(ADDRESS(12,3+18*1+(9),,,"J1 A - (North) Bishopthorpe Roa")&amp;":"&amp;ADDRESS(130,3+18*1+(9))),'J1 A - (North) Bishopthorpe Roa'!$A$12:$A$130,"&gt;="&amp;Diagram!$O69,'J1 A - (North) Bishopthorpe Roa'!$A$12:$A$130,"&lt;"&amp;Diagram!$P69)))</f>
        <v>11</v>
      </c>
      <c r="AM69" s="42">
        <f ca="1">IF(OR($I$10="",$O69="",$P69="",$J$36&lt;&gt;"Yes"),0,IF($K$10=0,SUMIFS(INDIRECT(ADDRESS(12,3+18*2+(1),,,"J1 A - (North) Bishopthorpe Roa")&amp;":"&amp;ADDRESS(130,3+18*2+(1))),'J1 A - (North) Bishopthorpe Roa'!$A$12:$A$130,"&gt;="&amp;Diagram!$O69,'J1 A - (North) Bishopthorpe Roa'!$A$12:$A$130,"&lt;"&amp;Diagram!$P69),SUMIFS(INDIRECT(ADDRESS(12,3+18*2+(9),,,"J1 A - (North) Bishopthorpe Roa")&amp;":"&amp;ADDRESS(130,3+18*2+(9))),'J1 A - (North) Bishopthorpe Roa'!$A$12:$A$130,"&gt;="&amp;Diagram!$O69,'J1 A - (North) Bishopthorpe Roa'!$A$12:$A$130,"&lt;"&amp;Diagram!$P69)))</f>
        <v>2</v>
      </c>
      <c r="AN69" s="42">
        <f ca="1">IF(OR($I$10="",$O69="",$P69="",$J$36&lt;&gt;"Yes"),0,IF($K$10=0,SUMIFS(INDIRECT(ADDRESS(12,3+18*2+(1),,,"J1 B - Butcher Terrace")&amp;":"&amp;ADDRESS(130,3+18*2+(1))),'J1 B - Butcher Terrace'!$A$12:$A$130,"&gt;="&amp;Diagram!$O69,'J1 B - Butcher Terrace'!$A$12:$A$130,"&lt;"&amp;Diagram!$P69),SUMIFS(INDIRECT(ADDRESS(12,3+18*2+(9),,,"J1 B - Butcher Terrace")&amp;":"&amp;ADDRESS(130,3+18*2+(9))),'J1 B - Butcher Terrace'!$A$12:$A$130,"&gt;="&amp;Diagram!$O69,'J1 B - Butcher Terrace'!$A$12:$A$130,"&lt;"&amp;Diagram!$P69)))</f>
        <v>0</v>
      </c>
      <c r="AO69" s="42">
        <f ca="1">IF(OR($I$10="",$O69="",$P69="",$J$36&lt;&gt;"Yes"),0,IF($K$10=0,SUMIFS(INDIRECT(ADDRESS(12,3+18*3+(1),,,"J1 B - Butcher Terrace")&amp;":"&amp;ADDRESS(130,3+18*3+(1))),'J1 B - Butcher Terrace'!$A$12:$A$130,"&gt;="&amp;Diagram!$O69,'J1 B - Butcher Terrace'!$A$12:$A$130,"&lt;"&amp;Diagram!$P69),SUMIFS(INDIRECT(ADDRESS(12,3+18*3+(9),,,"J1 B - Butcher Terrace")&amp;":"&amp;ADDRESS(130,3+18*3+(9))),'J1 B - Butcher Terrace'!$A$12:$A$130,"&gt;="&amp;Diagram!$O69,'J1 B - Butcher Terrace'!$A$12:$A$130,"&lt;"&amp;Diagram!$P69)))</f>
        <v>0</v>
      </c>
      <c r="AP69" s="42">
        <f ca="1">IF(OR($I$10="",$O69="",$P69="",$J$36&lt;&gt;"Yes"),0,IF($K$10=0,SUMIFS(INDIRECT(ADDRESS(12,3+18*0+(1),,,"J1 B - Butcher Terrace")&amp;":"&amp;ADDRESS(130,3+18*0+(1))),'J1 B - Butcher Terrace'!$A$12:$A$130,"&gt;="&amp;Diagram!$O69,'J1 B - Butcher Terrace'!$A$12:$A$130,"&lt;"&amp;Diagram!$P69),SUMIFS(INDIRECT(ADDRESS(12,3+18*0+(9),,,"J1 B - Butcher Terrace")&amp;":"&amp;ADDRESS(130,3+18*0+(9))),'J1 B - Butcher Terrace'!$A$12:$A$130,"&gt;="&amp;Diagram!$O69,'J1 B - Butcher Terrace'!$A$12:$A$130,"&lt;"&amp;Diagram!$P69)))</f>
        <v>1</v>
      </c>
      <c r="AQ69" s="42">
        <f ca="1">IF(OR($I$10="",$O69="",$P69="",$J$36&lt;&gt;"Yes"),0,IF($K$10=0,SUMIFS(INDIRECT(ADDRESS(12,3+18*1+(1),,,"J1 B - Butcher Terrace")&amp;":"&amp;ADDRESS(130,3+18*1+(1))),'J1 B - Butcher Terrace'!$A$12:$A$130,"&gt;="&amp;Diagram!$O69,'J1 B - Butcher Terrace'!$A$12:$A$130,"&lt;"&amp;Diagram!$P69),SUMIFS(INDIRECT(ADDRESS(12,3+18*1+(9),,,"J1 B - Butcher Terrace")&amp;":"&amp;ADDRESS(130,3+18*1+(9))),'J1 B - Butcher Terrace'!$A$12:$A$130,"&gt;="&amp;Diagram!$O69,'J1 B - Butcher Terrace'!$A$12:$A$130,"&lt;"&amp;Diagram!$P69)))</f>
        <v>0</v>
      </c>
      <c r="AR69" s="42">
        <f ca="1">IF(OR($I$10="",$O69="",$P69="",$J$36&lt;&gt;"Yes"),0,IF($K$10=0,SUMIFS(INDIRECT(ADDRESS(12,3+18*1+(1),,,"J1 C - (South) Bishopthorpe Roa")&amp;":"&amp;ADDRESS(130,3+18*1+(1))),'J1 C - (South) Bishopthorpe Roa'!$A$12:$A$130,"&gt;="&amp;Diagram!$O69,'J1 C - (South) Bishopthorpe Roa'!$A$12:$A$130,"&lt;"&amp;Diagram!$P69),SUMIFS(INDIRECT(ADDRESS(12,3+18*1+(9),,,"J1 C - (South) Bishopthorpe Roa")&amp;":"&amp;ADDRESS(130,3+18*1+(9))),'J1 C - (South) Bishopthorpe Roa'!$A$12:$A$130,"&gt;="&amp;Diagram!$O69,'J1 C - (South) Bishopthorpe Roa'!$A$12:$A$130,"&lt;"&amp;Diagram!$P69)))</f>
        <v>14</v>
      </c>
      <c r="AS69" s="42">
        <f ca="1">IF(OR($I$10="",$O69="",$P69="",$J$36&lt;&gt;"Yes"),0,IF($K$10=0,SUMIFS(INDIRECT(ADDRESS(12,3+18*2+(1),,,"J1 C - (South) Bishopthorpe Roa")&amp;":"&amp;ADDRESS(130,3+18*2+(1))),'J1 C - (South) Bishopthorpe Roa'!$A$12:$A$130,"&gt;="&amp;Diagram!$O69,'J1 C - (South) Bishopthorpe Roa'!$A$12:$A$130,"&lt;"&amp;Diagram!$P69),SUMIFS(INDIRECT(ADDRESS(12,3+18*2+(9),,,"J1 C - (South) Bishopthorpe Roa")&amp;":"&amp;ADDRESS(130,3+18*2+(9))),'J1 C - (South) Bishopthorpe Roa'!$A$12:$A$130,"&gt;="&amp;Diagram!$O69,'J1 C - (South) Bishopthorpe Roa'!$A$12:$A$130,"&lt;"&amp;Diagram!$P69)))</f>
        <v>0</v>
      </c>
      <c r="AT69" s="42">
        <f ca="1">IF(OR($I$10="",$O69="",$P69="",$J$36&lt;&gt;"Yes"),0,IF($K$10=0,SUMIFS(INDIRECT(ADDRESS(12,3+18*3+(1),,,"J1 C - (South) Bishopthorpe Roa")&amp;":"&amp;ADDRESS(130,3+18*3+(1))),'J1 C - (South) Bishopthorpe Roa'!$A$12:$A$130,"&gt;="&amp;Diagram!$O69,'J1 C - (South) Bishopthorpe Roa'!$A$12:$A$130,"&lt;"&amp;Diagram!$P69),SUMIFS(INDIRECT(ADDRESS(12,3+18*3+(9),,,"J1 C - (South) Bishopthorpe Roa")&amp;":"&amp;ADDRESS(130,3+18*3+(9))),'J1 C - (South) Bishopthorpe Roa'!$A$12:$A$130,"&gt;="&amp;Diagram!$O69,'J1 C - (South) Bishopthorpe Roa'!$A$12:$A$130,"&lt;"&amp;Diagram!$P69)))</f>
        <v>0</v>
      </c>
      <c r="AU69" s="42">
        <f ca="1">IF(OR($I$10="",$O69="",$P69="",$J$36&lt;&gt;"Yes"),0,IF($K$10=0,SUMIFS(INDIRECT(ADDRESS(12,3+18*0+(1),,,"J1 C - (South) Bishopthorpe Roa")&amp;":"&amp;ADDRESS(130,3+18*0+(1))),'J1 C - (South) Bishopthorpe Roa'!$A$12:$A$130,"&gt;="&amp;Diagram!$O69,'J1 C - (South) Bishopthorpe Roa'!$A$12:$A$130,"&lt;"&amp;Diagram!$P69),SUMIFS(INDIRECT(ADDRESS(12,3+18*0+(9),,,"J1 C - (South) Bishopthorpe Roa")&amp;":"&amp;ADDRESS(130,3+18*0+(9))),'J1 C - (South) Bishopthorpe Roa'!$A$12:$A$130,"&gt;="&amp;Diagram!$O69,'J1 C - (South) Bishopthorpe Roa'!$A$12:$A$130,"&lt;"&amp;Diagram!$P69)))</f>
        <v>1</v>
      </c>
      <c r="AV69" s="42">
        <f ca="1">IF(OR($I$10="",$O69="",$P69="",$J$36&lt;&gt;"Yes"),0,IF($K$10=0,SUMIFS(INDIRECT(ADDRESS(12,3+18*0+(1),,,"J1 D - South Bank Avenue")&amp;":"&amp;ADDRESS(130,3+18*0+(1))),'J1 D - South Bank Avenue'!$A$12:$A$130,"&gt;="&amp;Diagram!$O69,'J1 D - South Bank Avenue'!$A$12:$A$130,"&lt;"&amp;Diagram!$P69),SUMIFS(INDIRECT(ADDRESS(12,3+18*0+(9),,,"J1 D - South Bank Avenue")&amp;":"&amp;ADDRESS(130,3+18*0+(9))),'J1 D - South Bank Avenue'!$A$12:$A$130,"&gt;="&amp;Diagram!$O69,'J1 D - South Bank Avenue'!$A$12:$A$130,"&lt;"&amp;Diagram!$P69)))</f>
        <v>4</v>
      </c>
      <c r="AW69" s="42">
        <f ca="1">IF(OR($I$10="",$O69="",$P69="",$J$36&lt;&gt;"Yes"),0,IF($K$10=0,SUMIFS(INDIRECT(ADDRESS(12,3+18*1+(1),,,"J1 D - South Bank Avenue")&amp;":"&amp;ADDRESS(130,3+18*1+(1))),'J1 D - South Bank Avenue'!$A$12:$A$130,"&gt;="&amp;Diagram!$O69,'J1 D - South Bank Avenue'!$A$12:$A$130,"&lt;"&amp;Diagram!$P69),SUMIFS(INDIRECT(ADDRESS(12,3+18*1+(9),,,"J1 D - South Bank Avenue")&amp;":"&amp;ADDRESS(130,3+18*1+(9))),'J1 D - South Bank Avenue'!$A$12:$A$130,"&gt;="&amp;Diagram!$O69,'J1 D - South Bank Avenue'!$A$12:$A$130,"&lt;"&amp;Diagram!$P69)))</f>
        <v>0</v>
      </c>
      <c r="AX69" s="42">
        <f ca="1">IF(OR($I$10="",$O69="",$P69="",$J$36&lt;&gt;"Yes"),0,IF($K$10=0,SUMIFS(INDIRECT(ADDRESS(12,3+18*2+(1),,,"J1 D - South Bank Avenue")&amp;":"&amp;ADDRESS(130,3+18*2+(1))),'J1 D - South Bank Avenue'!$A$12:$A$130,"&gt;="&amp;Diagram!$O69,'J1 D - South Bank Avenue'!$A$12:$A$130,"&lt;"&amp;Diagram!$P69),SUMIFS(INDIRECT(ADDRESS(12,3+18*2+(9),,,"J1 D - South Bank Avenue")&amp;":"&amp;ADDRESS(130,3+18*2+(9))),'J1 D - South Bank Avenue'!$A$12:$A$130,"&gt;="&amp;Diagram!$O69,'J1 D - South Bank Avenue'!$A$12:$A$130,"&lt;"&amp;Diagram!$P69)))</f>
        <v>0</v>
      </c>
      <c r="AY69" s="42">
        <f ca="1">IF(OR($I$10="",$O69="",$P69="",$J$36&lt;&gt;"Yes"),0,IF($K$10=0,SUMIFS(INDIRECT(ADDRESS(12,3+18*3+(1),,,"J1 D - South Bank Avenue")&amp;":"&amp;ADDRESS(130,3+18*3+(1))),'J1 D - South Bank Avenue'!$A$12:$A$130,"&gt;="&amp;Diagram!$O69,'J1 D - South Bank Avenue'!$A$12:$A$130,"&lt;"&amp;Diagram!$P69),SUMIFS(INDIRECT(ADDRESS(12,3+18*3+(9),,,"J1 D - South Bank Avenue")&amp;":"&amp;ADDRESS(130,3+18*3+(9))),'J1 D - South Bank Avenue'!$A$12:$A$130,"&gt;="&amp;Diagram!$O69,'J1 D - South Bank Avenue'!$A$12:$A$130,"&lt;"&amp;Diagram!$P69)))</f>
        <v>0</v>
      </c>
      <c r="AZ69" s="42">
        <f t="shared" ca="1" si="13"/>
        <v>4</v>
      </c>
      <c r="BA69" s="42">
        <f ca="1">IF(OR($I$10="",$O69="",$P69="",$J$37&lt;&gt;"Yes"),0,IF($K$10=0,SUMIFS(INDIRECT(ADDRESS(12,3+18*3+(2),,,"J1 A - (North) Bishopthorpe Roa")&amp;":"&amp;ADDRESS(130,3+18*3+(2))),'J1 A - (North) Bishopthorpe Roa'!$A$12:$A$130,"&gt;="&amp;Diagram!$O69,'J1 A - (North) Bishopthorpe Roa'!$A$12:$A$130,"&lt;"&amp;Diagram!$P69),SUMIFS(INDIRECT(ADDRESS(12,3+18*3+(10),,,"J1 A - (North) Bishopthorpe Roa")&amp;":"&amp;ADDRESS(130,3+18*3+(10))),'J1 A - (North) Bishopthorpe Roa'!$A$12:$A$130,"&gt;="&amp;Diagram!$O69,'J1 A - (North) Bishopthorpe Roa'!$A$12:$A$130,"&lt;"&amp;Diagram!$P69)))</f>
        <v>0</v>
      </c>
      <c r="BB69" s="42">
        <f ca="1">IF(OR($I$10="",$O69="",$P69="",$J$37&lt;&gt;"Yes"),0,IF($K$10=0,SUMIFS(INDIRECT(ADDRESS(12,3+18*0+(2),,,"J1 A - (North) Bishopthorpe Roa")&amp;":"&amp;ADDRESS(130,3+18*0+(2))),'J1 A - (North) Bishopthorpe Roa'!$A$12:$A$130,"&gt;="&amp;Diagram!$O69,'J1 A - (North) Bishopthorpe Roa'!$A$12:$A$130,"&lt;"&amp;Diagram!$P69),SUMIFS(INDIRECT(ADDRESS(12,3+18*0+(10),,,"J1 A - (North) Bishopthorpe Roa")&amp;":"&amp;ADDRESS(130,3+18*0+(10))),'J1 A - (North) Bishopthorpe Roa'!$A$12:$A$130,"&gt;="&amp;Diagram!$O69,'J1 A - (North) Bishopthorpe Roa'!$A$12:$A$130,"&lt;"&amp;Diagram!$P69)))</f>
        <v>1</v>
      </c>
      <c r="BC69" s="42">
        <f ca="1">IF(OR($I$10="",$O69="",$P69="",$J$37&lt;&gt;"Yes"),0,IF($K$10=0,SUMIFS(INDIRECT(ADDRESS(12,3+18*1+(2),,,"J1 A - (North) Bishopthorpe Roa")&amp;":"&amp;ADDRESS(130,3+18*1+(2))),'J1 A - (North) Bishopthorpe Roa'!$A$12:$A$130,"&gt;="&amp;Diagram!$O69,'J1 A - (North) Bishopthorpe Roa'!$A$12:$A$130,"&lt;"&amp;Diagram!$P69),SUMIFS(INDIRECT(ADDRESS(12,3+18*1+(10),,,"J1 A - (North) Bishopthorpe Roa")&amp;":"&amp;ADDRESS(130,3+18*1+(10))),'J1 A - (North) Bishopthorpe Roa'!$A$12:$A$130,"&gt;="&amp;Diagram!$O69,'J1 A - (North) Bishopthorpe Roa'!$A$12:$A$130,"&lt;"&amp;Diagram!$P69)))</f>
        <v>0</v>
      </c>
      <c r="BD69" s="42">
        <f ca="1">IF(OR($I$10="",$O69="",$P69="",$J$37&lt;&gt;"Yes"),0,IF($K$10=0,SUMIFS(INDIRECT(ADDRESS(12,3+18*2+(2),,,"J1 A - (North) Bishopthorpe Roa")&amp;":"&amp;ADDRESS(130,3+18*2+(2))),'J1 A - (North) Bishopthorpe Roa'!$A$12:$A$130,"&gt;="&amp;Diagram!$O69,'J1 A - (North) Bishopthorpe Roa'!$A$12:$A$130,"&lt;"&amp;Diagram!$P69),SUMIFS(INDIRECT(ADDRESS(12,3+18*2+(10),,,"J1 A - (North) Bishopthorpe Roa")&amp;":"&amp;ADDRESS(130,3+18*2+(10))),'J1 A - (North) Bishopthorpe Roa'!$A$12:$A$130,"&gt;="&amp;Diagram!$O69,'J1 A - (North) Bishopthorpe Roa'!$A$12:$A$130,"&lt;"&amp;Diagram!$P69)))</f>
        <v>1</v>
      </c>
      <c r="BE69" s="42">
        <f ca="1">IF(OR($I$10="",$O69="",$P69="",$J$37&lt;&gt;"Yes"),0,IF($K$10=0,SUMIFS(INDIRECT(ADDRESS(12,3+18*2+(2),,,"J1 B - Butcher Terrace")&amp;":"&amp;ADDRESS(130,3+18*2+(2))),'J1 B - Butcher Terrace'!$A$12:$A$130,"&gt;="&amp;Diagram!$O69,'J1 B - Butcher Terrace'!$A$12:$A$130,"&lt;"&amp;Diagram!$P69),SUMIFS(INDIRECT(ADDRESS(12,3+18*2+(10),,,"J1 B - Butcher Terrace")&amp;":"&amp;ADDRESS(130,3+18*2+(10))),'J1 B - Butcher Terrace'!$A$12:$A$130,"&gt;="&amp;Diagram!$O69,'J1 B - Butcher Terrace'!$A$12:$A$130,"&lt;"&amp;Diagram!$P69)))</f>
        <v>0</v>
      </c>
      <c r="BF69" s="42">
        <f ca="1">IF(OR($I$10="",$O69="",$P69="",$J$37&lt;&gt;"Yes"),0,IF($K$10=0,SUMIFS(INDIRECT(ADDRESS(12,3+18*3+(2),,,"J1 B - Butcher Terrace")&amp;":"&amp;ADDRESS(130,3+18*3+(2))),'J1 B - Butcher Terrace'!$A$12:$A$130,"&gt;="&amp;Diagram!$O69,'J1 B - Butcher Terrace'!$A$12:$A$130,"&lt;"&amp;Diagram!$P69),SUMIFS(INDIRECT(ADDRESS(12,3+18*3+(10),,,"J1 B - Butcher Terrace")&amp;":"&amp;ADDRESS(130,3+18*3+(10))),'J1 B - Butcher Terrace'!$A$12:$A$130,"&gt;="&amp;Diagram!$O69,'J1 B - Butcher Terrace'!$A$12:$A$130,"&lt;"&amp;Diagram!$P69)))</f>
        <v>0</v>
      </c>
      <c r="BG69" s="42">
        <f ca="1">IF(OR($I$10="",$O69="",$P69="",$J$37&lt;&gt;"Yes"),0,IF($K$10=0,SUMIFS(INDIRECT(ADDRESS(12,3+18*0+(2),,,"J1 B - Butcher Terrace")&amp;":"&amp;ADDRESS(130,3+18*0+(2))),'J1 B - Butcher Terrace'!$A$12:$A$130,"&gt;="&amp;Diagram!$O69,'J1 B - Butcher Terrace'!$A$12:$A$130,"&lt;"&amp;Diagram!$P69),SUMIFS(INDIRECT(ADDRESS(12,3+18*0+(10),,,"J1 B - Butcher Terrace")&amp;":"&amp;ADDRESS(130,3+18*0+(10))),'J1 B - Butcher Terrace'!$A$12:$A$130,"&gt;="&amp;Diagram!$O69,'J1 B - Butcher Terrace'!$A$12:$A$130,"&lt;"&amp;Diagram!$P69)))</f>
        <v>0</v>
      </c>
      <c r="BH69" s="42">
        <f ca="1">IF(OR($I$10="",$O69="",$P69="",$J$37&lt;&gt;"Yes"),0,IF($K$10=0,SUMIFS(INDIRECT(ADDRESS(12,3+18*1+(2),,,"J1 B - Butcher Terrace")&amp;":"&amp;ADDRESS(130,3+18*1+(2))),'J1 B - Butcher Terrace'!$A$12:$A$130,"&gt;="&amp;Diagram!$O69,'J1 B - Butcher Terrace'!$A$12:$A$130,"&lt;"&amp;Diagram!$P69),SUMIFS(INDIRECT(ADDRESS(12,3+18*1+(10),,,"J1 B - Butcher Terrace")&amp;":"&amp;ADDRESS(130,3+18*1+(10))),'J1 B - Butcher Terrace'!$A$12:$A$130,"&gt;="&amp;Diagram!$O69,'J1 B - Butcher Terrace'!$A$12:$A$130,"&lt;"&amp;Diagram!$P69)))</f>
        <v>0</v>
      </c>
      <c r="BI69" s="42">
        <f ca="1">IF(OR($I$10="",$O69="",$P69="",$J$37&lt;&gt;"Yes"),0,IF($K$10=0,SUMIFS(INDIRECT(ADDRESS(12,3+18*1+(2),,,"J1 C - (South) Bishopthorpe Roa")&amp;":"&amp;ADDRESS(130,3+18*1+(2))),'J1 C - (South) Bishopthorpe Roa'!$A$12:$A$130,"&gt;="&amp;Diagram!$O69,'J1 C - (South) Bishopthorpe Roa'!$A$12:$A$130,"&lt;"&amp;Diagram!$P69),SUMIFS(INDIRECT(ADDRESS(12,3+18*1+(10),,,"J1 C - (South) Bishopthorpe Roa")&amp;":"&amp;ADDRESS(130,3+18*1+(10))),'J1 C - (South) Bishopthorpe Roa'!$A$12:$A$130,"&gt;="&amp;Diagram!$O69,'J1 C - (South) Bishopthorpe Roa'!$A$12:$A$130,"&lt;"&amp;Diagram!$P69)))</f>
        <v>2</v>
      </c>
      <c r="BJ69" s="42">
        <f ca="1">IF(OR($I$10="",$O69="",$P69="",$J$37&lt;&gt;"Yes"),0,IF($K$10=0,SUMIFS(INDIRECT(ADDRESS(12,3+18*2+(2),,,"J1 C - (South) Bishopthorpe Roa")&amp;":"&amp;ADDRESS(130,3+18*2+(2))),'J1 C - (South) Bishopthorpe Roa'!$A$12:$A$130,"&gt;="&amp;Diagram!$O69,'J1 C - (South) Bishopthorpe Roa'!$A$12:$A$130,"&lt;"&amp;Diagram!$P69),SUMIFS(INDIRECT(ADDRESS(12,3+18*2+(10),,,"J1 C - (South) Bishopthorpe Roa")&amp;":"&amp;ADDRESS(130,3+18*2+(10))),'J1 C - (South) Bishopthorpe Roa'!$A$12:$A$130,"&gt;="&amp;Diagram!$O69,'J1 C - (South) Bishopthorpe Roa'!$A$12:$A$130,"&lt;"&amp;Diagram!$P69)))</f>
        <v>0</v>
      </c>
      <c r="BK69" s="42">
        <f ca="1">IF(OR($I$10="",$O69="",$P69="",$J$37&lt;&gt;"Yes"),0,IF($K$10=0,SUMIFS(INDIRECT(ADDRESS(12,3+18*3+(2),,,"J1 C - (South) Bishopthorpe Roa")&amp;":"&amp;ADDRESS(130,3+18*3+(2))),'J1 C - (South) Bishopthorpe Roa'!$A$12:$A$130,"&gt;="&amp;Diagram!$O69,'J1 C - (South) Bishopthorpe Roa'!$A$12:$A$130,"&lt;"&amp;Diagram!$P69),SUMIFS(INDIRECT(ADDRESS(12,3+18*3+(10),,,"J1 C - (South) Bishopthorpe Roa")&amp;":"&amp;ADDRESS(130,3+18*3+(10))),'J1 C - (South) Bishopthorpe Roa'!$A$12:$A$130,"&gt;="&amp;Diagram!$O69,'J1 C - (South) Bishopthorpe Roa'!$A$12:$A$130,"&lt;"&amp;Diagram!$P69)))</f>
        <v>0</v>
      </c>
      <c r="BL69" s="42">
        <f ca="1">IF(OR($I$10="",$O69="",$P69="",$J$37&lt;&gt;"Yes"),0,IF($K$10=0,SUMIFS(INDIRECT(ADDRESS(12,3+18*0+(2),,,"J1 C - (South) Bishopthorpe Roa")&amp;":"&amp;ADDRESS(130,3+18*0+(2))),'J1 C - (South) Bishopthorpe Roa'!$A$12:$A$130,"&gt;="&amp;Diagram!$O69,'J1 C - (South) Bishopthorpe Roa'!$A$12:$A$130,"&lt;"&amp;Diagram!$P69),SUMIFS(INDIRECT(ADDRESS(12,3+18*0+(10),,,"J1 C - (South) Bishopthorpe Roa")&amp;":"&amp;ADDRESS(130,3+18*0+(10))),'J1 C - (South) Bishopthorpe Roa'!$A$12:$A$130,"&gt;="&amp;Diagram!$O69,'J1 C - (South) Bishopthorpe Roa'!$A$12:$A$130,"&lt;"&amp;Diagram!$P69)))</f>
        <v>0</v>
      </c>
      <c r="BM69" s="42">
        <f ca="1">IF(OR($I$10="",$O69="",$P69="",$J$37&lt;&gt;"Yes"),0,IF($K$10=0,SUMIFS(INDIRECT(ADDRESS(12,3+18*0+(2),,,"J1 D - South Bank Avenue")&amp;":"&amp;ADDRESS(130,3+18*0+(2))),'J1 D - South Bank Avenue'!$A$12:$A$130,"&gt;="&amp;Diagram!$O69,'J1 D - South Bank Avenue'!$A$12:$A$130,"&lt;"&amp;Diagram!$P69),SUMIFS(INDIRECT(ADDRESS(12,3+18*0+(10),,,"J1 D - South Bank Avenue")&amp;":"&amp;ADDRESS(130,3+18*0+(10))),'J1 D - South Bank Avenue'!$A$12:$A$130,"&gt;="&amp;Diagram!$O69,'J1 D - South Bank Avenue'!$A$12:$A$130,"&lt;"&amp;Diagram!$P69)))</f>
        <v>0</v>
      </c>
      <c r="BN69" s="42">
        <f ca="1">IF(OR($I$10="",$O69="",$P69="",$J$37&lt;&gt;"Yes"),0,IF($K$10=0,SUMIFS(INDIRECT(ADDRESS(12,3+18*1+(2),,,"J1 D - South Bank Avenue")&amp;":"&amp;ADDRESS(130,3+18*1+(2))),'J1 D - South Bank Avenue'!$A$12:$A$130,"&gt;="&amp;Diagram!$O69,'J1 D - South Bank Avenue'!$A$12:$A$130,"&lt;"&amp;Diagram!$P69),SUMIFS(INDIRECT(ADDRESS(12,3+18*1+(10),,,"J1 D - South Bank Avenue")&amp;":"&amp;ADDRESS(130,3+18*1+(10))),'J1 D - South Bank Avenue'!$A$12:$A$130,"&gt;="&amp;Diagram!$O69,'J1 D - South Bank Avenue'!$A$12:$A$130,"&lt;"&amp;Diagram!$P69)))</f>
        <v>0</v>
      </c>
      <c r="BO69" s="42">
        <f ca="1">IF(OR($I$10="",$O69="",$P69="",$J$37&lt;&gt;"Yes"),0,IF($K$10=0,SUMIFS(INDIRECT(ADDRESS(12,3+18*2+(2),,,"J1 D - South Bank Avenue")&amp;":"&amp;ADDRESS(130,3+18*2+(2))),'J1 D - South Bank Avenue'!$A$12:$A$130,"&gt;="&amp;Diagram!$O69,'J1 D - South Bank Avenue'!$A$12:$A$130,"&lt;"&amp;Diagram!$P69),SUMIFS(INDIRECT(ADDRESS(12,3+18*2+(10),,,"J1 D - South Bank Avenue")&amp;":"&amp;ADDRESS(130,3+18*2+(10))),'J1 D - South Bank Avenue'!$A$12:$A$130,"&gt;="&amp;Diagram!$O69,'J1 D - South Bank Avenue'!$A$12:$A$130,"&lt;"&amp;Diagram!$P69)))</f>
        <v>0</v>
      </c>
      <c r="BP69" s="42">
        <f ca="1">IF(OR($I$10="",$O69="",$P69="",$J$37&lt;&gt;"Yes"),0,IF($K$10=0,SUMIFS(INDIRECT(ADDRESS(12,3+18*3+(2),,,"J1 D - South Bank Avenue")&amp;":"&amp;ADDRESS(130,3+18*3+(2))),'J1 D - South Bank Avenue'!$A$12:$A$130,"&gt;="&amp;Diagram!$O69,'J1 D - South Bank Avenue'!$A$12:$A$130,"&lt;"&amp;Diagram!$P69),SUMIFS(INDIRECT(ADDRESS(12,3+18*3+(10),,,"J1 D - South Bank Avenue")&amp;":"&amp;ADDRESS(130,3+18*3+(10))),'J1 D - South Bank Avenue'!$A$12:$A$130,"&gt;="&amp;Diagram!$O69,'J1 D - South Bank Avenue'!$A$12:$A$130,"&lt;"&amp;Diagram!$P69)))</f>
        <v>0</v>
      </c>
      <c r="BQ69" s="42">
        <f t="shared" ca="1" si="14"/>
        <v>0</v>
      </c>
      <c r="BR69" s="42">
        <f ca="1">IF(OR($I$10="",$O69="",$P69="",$J$38&lt;&gt;"Yes"),0,IF($K$10=0,SUMIFS(INDIRECT(ADDRESS(12,3+18*3+(3),,,"J1 A - (North) Bishopthorpe Roa")&amp;":"&amp;ADDRESS(130,3+18*3+(3))),'J1 A - (North) Bishopthorpe Roa'!$A$12:$A$130,"&gt;="&amp;Diagram!$O69,'J1 A - (North) Bishopthorpe Roa'!$A$12:$A$130,"&lt;"&amp;Diagram!$P69),SUMIFS(INDIRECT(ADDRESS(12,3+18*3+(11),,,"J1 A - (North) Bishopthorpe Roa")&amp;":"&amp;ADDRESS(130,3+18*3+(11))),'J1 A - (North) Bishopthorpe Roa'!$A$12:$A$130,"&gt;="&amp;Diagram!$O69,'J1 A - (North) Bishopthorpe Roa'!$A$12:$A$130,"&lt;"&amp;Diagram!$P69)))</f>
        <v>0</v>
      </c>
      <c r="BS69" s="42">
        <f ca="1">IF(OR($I$10="",$O69="",$P69="",$J$38&lt;&gt;"Yes"),0,IF($K$10=0,SUMIFS(INDIRECT(ADDRESS(12,3+18*0+(3),,,"J1 A - (North) Bishopthorpe Roa")&amp;":"&amp;ADDRESS(130,3+18*0+(3))),'J1 A - (North) Bishopthorpe Roa'!$A$12:$A$130,"&gt;="&amp;Diagram!$O69,'J1 A - (North) Bishopthorpe Roa'!$A$12:$A$130,"&lt;"&amp;Diagram!$P69),SUMIFS(INDIRECT(ADDRESS(12,3+18*0+(11),,,"J1 A - (North) Bishopthorpe Roa")&amp;":"&amp;ADDRESS(130,3+18*0+(11))),'J1 A - (North) Bishopthorpe Roa'!$A$12:$A$130,"&gt;="&amp;Diagram!$O69,'J1 A - (North) Bishopthorpe Roa'!$A$12:$A$130,"&lt;"&amp;Diagram!$P69)))</f>
        <v>0</v>
      </c>
      <c r="BT69" s="42">
        <f ca="1">IF(OR($I$10="",$O69="",$P69="",$J$38&lt;&gt;"Yes"),0,IF($K$10=0,SUMIFS(INDIRECT(ADDRESS(12,3+18*1+(3),,,"J1 A - (North) Bishopthorpe Roa")&amp;":"&amp;ADDRESS(130,3+18*1+(3))),'J1 A - (North) Bishopthorpe Roa'!$A$12:$A$130,"&gt;="&amp;Diagram!$O69,'J1 A - (North) Bishopthorpe Roa'!$A$12:$A$130,"&lt;"&amp;Diagram!$P69),SUMIFS(INDIRECT(ADDRESS(12,3+18*1+(11),,,"J1 A - (North) Bishopthorpe Roa")&amp;":"&amp;ADDRESS(130,3+18*1+(11))),'J1 A - (North) Bishopthorpe Roa'!$A$12:$A$130,"&gt;="&amp;Diagram!$O69,'J1 A - (North) Bishopthorpe Roa'!$A$12:$A$130,"&lt;"&amp;Diagram!$P69)))</f>
        <v>0</v>
      </c>
      <c r="BU69" s="42">
        <f ca="1">IF(OR($I$10="",$O69="",$P69="",$J$38&lt;&gt;"Yes"),0,IF($K$10=0,SUMIFS(INDIRECT(ADDRESS(12,3+18*2+(3),,,"J1 A - (North) Bishopthorpe Roa")&amp;":"&amp;ADDRESS(130,3+18*2+(3))),'J1 A - (North) Bishopthorpe Roa'!$A$12:$A$130,"&gt;="&amp;Diagram!$O69,'J1 A - (North) Bishopthorpe Roa'!$A$12:$A$130,"&lt;"&amp;Diagram!$P69),SUMIFS(INDIRECT(ADDRESS(12,3+18*2+(11),,,"J1 A - (North) Bishopthorpe Roa")&amp;":"&amp;ADDRESS(130,3+18*2+(11))),'J1 A - (North) Bishopthorpe Roa'!$A$12:$A$130,"&gt;="&amp;Diagram!$O69,'J1 A - (North) Bishopthorpe Roa'!$A$12:$A$130,"&lt;"&amp;Diagram!$P69)))</f>
        <v>0</v>
      </c>
      <c r="BV69" s="42">
        <f ca="1">IF(OR($I$10="",$O69="",$P69="",$J$38&lt;&gt;"Yes"),0,IF($K$10=0,SUMIFS(INDIRECT(ADDRESS(12,3+18*2+(3),,,"J1 B - Butcher Terrace")&amp;":"&amp;ADDRESS(130,3+18*2+(3))),'J1 B - Butcher Terrace'!$A$12:$A$130,"&gt;="&amp;Diagram!$O69,'J1 B - Butcher Terrace'!$A$12:$A$130,"&lt;"&amp;Diagram!$P69),SUMIFS(INDIRECT(ADDRESS(12,3+18*2+(11),,,"J1 B - Butcher Terrace")&amp;":"&amp;ADDRESS(130,3+18*2+(11))),'J1 B - Butcher Terrace'!$A$12:$A$130,"&gt;="&amp;Diagram!$O69,'J1 B - Butcher Terrace'!$A$12:$A$130,"&lt;"&amp;Diagram!$P69)))</f>
        <v>0</v>
      </c>
      <c r="BW69" s="42">
        <f ca="1">IF(OR($I$10="",$O69="",$P69="",$J$38&lt;&gt;"Yes"),0,IF($K$10=0,SUMIFS(INDIRECT(ADDRESS(12,3+18*3+(3),,,"J1 B - Butcher Terrace")&amp;":"&amp;ADDRESS(130,3+18*3+(3))),'J1 B - Butcher Terrace'!$A$12:$A$130,"&gt;="&amp;Diagram!$O69,'J1 B - Butcher Terrace'!$A$12:$A$130,"&lt;"&amp;Diagram!$P69),SUMIFS(INDIRECT(ADDRESS(12,3+18*3+(11),,,"J1 B - Butcher Terrace")&amp;":"&amp;ADDRESS(130,3+18*3+(11))),'J1 B - Butcher Terrace'!$A$12:$A$130,"&gt;="&amp;Diagram!$O69,'J1 B - Butcher Terrace'!$A$12:$A$130,"&lt;"&amp;Diagram!$P69)))</f>
        <v>0</v>
      </c>
      <c r="BX69" s="42">
        <f ca="1">IF(OR($I$10="",$O69="",$P69="",$J$38&lt;&gt;"Yes"),0,IF($K$10=0,SUMIFS(INDIRECT(ADDRESS(12,3+18*0+(3),,,"J1 B - Butcher Terrace")&amp;":"&amp;ADDRESS(130,3+18*0+(3))),'J1 B - Butcher Terrace'!$A$12:$A$130,"&gt;="&amp;Diagram!$O69,'J1 B - Butcher Terrace'!$A$12:$A$130,"&lt;"&amp;Diagram!$P69),SUMIFS(INDIRECT(ADDRESS(12,3+18*0+(11),,,"J1 B - Butcher Terrace")&amp;":"&amp;ADDRESS(130,3+18*0+(11))),'J1 B - Butcher Terrace'!$A$12:$A$130,"&gt;="&amp;Diagram!$O69,'J1 B - Butcher Terrace'!$A$12:$A$130,"&lt;"&amp;Diagram!$P69)))</f>
        <v>0</v>
      </c>
      <c r="BY69" s="42">
        <f ca="1">IF(OR($I$10="",$O69="",$P69="",$J$38&lt;&gt;"Yes"),0,IF($K$10=0,SUMIFS(INDIRECT(ADDRESS(12,3+18*1+(3),,,"J1 B - Butcher Terrace")&amp;":"&amp;ADDRESS(130,3+18*1+(3))),'J1 B - Butcher Terrace'!$A$12:$A$130,"&gt;="&amp;Diagram!$O69,'J1 B - Butcher Terrace'!$A$12:$A$130,"&lt;"&amp;Diagram!$P69),SUMIFS(INDIRECT(ADDRESS(12,3+18*1+(11),,,"J1 B - Butcher Terrace")&amp;":"&amp;ADDRESS(130,3+18*1+(11))),'J1 B - Butcher Terrace'!$A$12:$A$130,"&gt;="&amp;Diagram!$O69,'J1 B - Butcher Terrace'!$A$12:$A$130,"&lt;"&amp;Diagram!$P69)))</f>
        <v>0</v>
      </c>
      <c r="BZ69" s="42">
        <f ca="1">IF(OR($I$10="",$O69="",$P69="",$J$38&lt;&gt;"Yes"),0,IF($K$10=0,SUMIFS(INDIRECT(ADDRESS(12,3+18*1+(3),,,"J1 C - (South) Bishopthorpe Roa")&amp;":"&amp;ADDRESS(130,3+18*1+(3))),'J1 C - (South) Bishopthorpe Roa'!$A$12:$A$130,"&gt;="&amp;Diagram!$O69,'J1 C - (South) Bishopthorpe Roa'!$A$12:$A$130,"&lt;"&amp;Diagram!$P69),SUMIFS(INDIRECT(ADDRESS(12,3+18*1+(11),,,"J1 C - (South) Bishopthorpe Roa")&amp;":"&amp;ADDRESS(130,3+18*1+(11))),'J1 C - (South) Bishopthorpe Roa'!$A$12:$A$130,"&gt;="&amp;Diagram!$O69,'J1 C - (South) Bishopthorpe Roa'!$A$12:$A$130,"&lt;"&amp;Diagram!$P69)))</f>
        <v>0</v>
      </c>
      <c r="CA69" s="42">
        <f ca="1">IF(OR($I$10="",$O69="",$P69="",$J$38&lt;&gt;"Yes"),0,IF($K$10=0,SUMIFS(INDIRECT(ADDRESS(12,3+18*2+(3),,,"J1 C - (South) Bishopthorpe Roa")&amp;":"&amp;ADDRESS(130,3+18*2+(3))),'J1 C - (South) Bishopthorpe Roa'!$A$12:$A$130,"&gt;="&amp;Diagram!$O69,'J1 C - (South) Bishopthorpe Roa'!$A$12:$A$130,"&lt;"&amp;Diagram!$P69),SUMIFS(INDIRECT(ADDRESS(12,3+18*2+(11),,,"J1 C - (South) Bishopthorpe Roa")&amp;":"&amp;ADDRESS(130,3+18*2+(11))),'J1 C - (South) Bishopthorpe Roa'!$A$12:$A$130,"&gt;="&amp;Diagram!$O69,'J1 C - (South) Bishopthorpe Roa'!$A$12:$A$130,"&lt;"&amp;Diagram!$P69)))</f>
        <v>0</v>
      </c>
      <c r="CB69" s="42">
        <f ca="1">IF(OR($I$10="",$O69="",$P69="",$J$38&lt;&gt;"Yes"),0,IF($K$10=0,SUMIFS(INDIRECT(ADDRESS(12,3+18*3+(3),,,"J1 C - (South) Bishopthorpe Roa")&amp;":"&amp;ADDRESS(130,3+18*3+(3))),'J1 C - (South) Bishopthorpe Roa'!$A$12:$A$130,"&gt;="&amp;Diagram!$O69,'J1 C - (South) Bishopthorpe Roa'!$A$12:$A$130,"&lt;"&amp;Diagram!$P69),SUMIFS(INDIRECT(ADDRESS(12,3+18*3+(11),,,"J1 C - (South) Bishopthorpe Roa")&amp;":"&amp;ADDRESS(130,3+18*3+(11))),'J1 C - (South) Bishopthorpe Roa'!$A$12:$A$130,"&gt;="&amp;Diagram!$O69,'J1 C - (South) Bishopthorpe Roa'!$A$12:$A$130,"&lt;"&amp;Diagram!$P69)))</f>
        <v>0</v>
      </c>
      <c r="CC69" s="42">
        <f ca="1">IF(OR($I$10="",$O69="",$P69="",$J$38&lt;&gt;"Yes"),0,IF($K$10=0,SUMIFS(INDIRECT(ADDRESS(12,3+18*0+(3),,,"J1 C - (South) Bishopthorpe Roa")&amp;":"&amp;ADDRESS(130,3+18*0+(3))),'J1 C - (South) Bishopthorpe Roa'!$A$12:$A$130,"&gt;="&amp;Diagram!$O69,'J1 C - (South) Bishopthorpe Roa'!$A$12:$A$130,"&lt;"&amp;Diagram!$P69),SUMIFS(INDIRECT(ADDRESS(12,3+18*0+(11),,,"J1 C - (South) Bishopthorpe Roa")&amp;":"&amp;ADDRESS(130,3+18*0+(11))),'J1 C - (South) Bishopthorpe Roa'!$A$12:$A$130,"&gt;="&amp;Diagram!$O69,'J1 C - (South) Bishopthorpe Roa'!$A$12:$A$130,"&lt;"&amp;Diagram!$P69)))</f>
        <v>0</v>
      </c>
      <c r="CD69" s="42">
        <f ca="1">IF(OR($I$10="",$O69="",$P69="",$J$38&lt;&gt;"Yes"),0,IF($K$10=0,SUMIFS(INDIRECT(ADDRESS(12,3+18*0+(3),,,"J1 D - South Bank Avenue")&amp;":"&amp;ADDRESS(130,3+18*0+(3))),'J1 D - South Bank Avenue'!$A$12:$A$130,"&gt;="&amp;Diagram!$O69,'J1 D - South Bank Avenue'!$A$12:$A$130,"&lt;"&amp;Diagram!$P69),SUMIFS(INDIRECT(ADDRESS(12,3+18*0+(11),,,"J1 D - South Bank Avenue")&amp;":"&amp;ADDRESS(130,3+18*0+(11))),'J1 D - South Bank Avenue'!$A$12:$A$130,"&gt;="&amp;Diagram!$O69,'J1 D - South Bank Avenue'!$A$12:$A$130,"&lt;"&amp;Diagram!$P69)))</f>
        <v>0</v>
      </c>
      <c r="CE69" s="42">
        <f ca="1">IF(OR($I$10="",$O69="",$P69="",$J$38&lt;&gt;"Yes"),0,IF($K$10=0,SUMIFS(INDIRECT(ADDRESS(12,3+18*1+(3),,,"J1 D - South Bank Avenue")&amp;":"&amp;ADDRESS(130,3+18*1+(3))),'J1 D - South Bank Avenue'!$A$12:$A$130,"&gt;="&amp;Diagram!$O69,'J1 D - South Bank Avenue'!$A$12:$A$130,"&lt;"&amp;Diagram!$P69),SUMIFS(INDIRECT(ADDRESS(12,3+18*1+(11),,,"J1 D - South Bank Avenue")&amp;":"&amp;ADDRESS(130,3+18*1+(11))),'J1 D - South Bank Avenue'!$A$12:$A$130,"&gt;="&amp;Diagram!$O69,'J1 D - South Bank Avenue'!$A$12:$A$130,"&lt;"&amp;Diagram!$P69)))</f>
        <v>0</v>
      </c>
      <c r="CF69" s="42">
        <f ca="1">IF(OR($I$10="",$O69="",$P69="",$J$38&lt;&gt;"Yes"),0,IF($K$10=0,SUMIFS(INDIRECT(ADDRESS(12,3+18*2+(3),,,"J1 D - South Bank Avenue")&amp;":"&amp;ADDRESS(130,3+18*2+(3))),'J1 D - South Bank Avenue'!$A$12:$A$130,"&gt;="&amp;Diagram!$O69,'J1 D - South Bank Avenue'!$A$12:$A$130,"&lt;"&amp;Diagram!$P69),SUMIFS(INDIRECT(ADDRESS(12,3+18*2+(11),,,"J1 D - South Bank Avenue")&amp;":"&amp;ADDRESS(130,3+18*2+(11))),'J1 D - South Bank Avenue'!$A$12:$A$130,"&gt;="&amp;Diagram!$O69,'J1 D - South Bank Avenue'!$A$12:$A$130,"&lt;"&amp;Diagram!$P69)))</f>
        <v>0</v>
      </c>
      <c r="CG69" s="42">
        <f ca="1">IF(OR($I$10="",$O69="",$P69="",$J$38&lt;&gt;"Yes"),0,IF($K$10=0,SUMIFS(INDIRECT(ADDRESS(12,3+18*3+(3),,,"J1 D - South Bank Avenue")&amp;":"&amp;ADDRESS(130,3+18*3+(3))),'J1 D - South Bank Avenue'!$A$12:$A$130,"&gt;="&amp;Diagram!$O69,'J1 D - South Bank Avenue'!$A$12:$A$130,"&lt;"&amp;Diagram!$P69),SUMIFS(INDIRECT(ADDRESS(12,3+18*3+(11),,,"J1 D - South Bank Avenue")&amp;":"&amp;ADDRESS(130,3+18*3+(11))),'J1 D - South Bank Avenue'!$A$12:$A$130,"&gt;="&amp;Diagram!$O69,'J1 D - South Bank Avenue'!$A$12:$A$130,"&lt;"&amp;Diagram!$P69)))</f>
        <v>0</v>
      </c>
      <c r="CH69" s="42">
        <f t="shared" ca="1" si="15"/>
        <v>7</v>
      </c>
      <c r="CI69" s="42">
        <f ca="1">IF(OR($I$10="",$O69="",$P69="",$J$39&lt;&gt;"Yes"),0,IF($K$10=0,SUMIFS(INDIRECT(ADDRESS(12,3+18*3+(4),,,"J1 A - (North) Bishopthorpe Roa")&amp;":"&amp;ADDRESS(130,3+18*3+(4))),'J1 A - (North) Bishopthorpe Roa'!$A$12:$A$130,"&gt;="&amp;Diagram!$O69,'J1 A - (North) Bishopthorpe Roa'!$A$12:$A$130,"&lt;"&amp;Diagram!$P69),SUMIFS(INDIRECT(ADDRESS(12,3+18*3+(12),,,"J1 A - (North) Bishopthorpe Roa")&amp;":"&amp;ADDRESS(130,3+18*3+(12))),'J1 A - (North) Bishopthorpe Roa'!$A$12:$A$130,"&gt;="&amp;Diagram!$O69,'J1 A - (North) Bishopthorpe Roa'!$A$12:$A$130,"&lt;"&amp;Diagram!$P69)))</f>
        <v>0</v>
      </c>
      <c r="CJ69" s="42">
        <f ca="1">IF(OR($I$10="",$O69="",$P69="",$J$39&lt;&gt;"Yes"),0,IF($K$10=0,SUMIFS(INDIRECT(ADDRESS(12,3+18*0+(4),,,"J1 A - (North) Bishopthorpe Roa")&amp;":"&amp;ADDRESS(130,3+18*0+(4))),'J1 A - (North) Bishopthorpe Roa'!$A$12:$A$130,"&gt;="&amp;Diagram!$O69,'J1 A - (North) Bishopthorpe Roa'!$A$12:$A$130,"&lt;"&amp;Diagram!$P69),SUMIFS(INDIRECT(ADDRESS(12,3+18*0+(12),,,"J1 A - (North) Bishopthorpe Roa")&amp;":"&amp;ADDRESS(130,3+18*0+(12))),'J1 A - (North) Bishopthorpe Roa'!$A$12:$A$130,"&gt;="&amp;Diagram!$O69,'J1 A - (North) Bishopthorpe Roa'!$A$12:$A$130,"&lt;"&amp;Diagram!$P69)))</f>
        <v>0</v>
      </c>
      <c r="CK69" s="42">
        <f ca="1">IF(OR($I$10="",$O69="",$P69="",$J$39&lt;&gt;"Yes"),0,IF($K$10=0,SUMIFS(INDIRECT(ADDRESS(12,3+18*1+(4),,,"J1 A - (North) Bishopthorpe Roa")&amp;":"&amp;ADDRESS(130,3+18*1+(4))),'J1 A - (North) Bishopthorpe Roa'!$A$12:$A$130,"&gt;="&amp;Diagram!$O69,'J1 A - (North) Bishopthorpe Roa'!$A$12:$A$130,"&lt;"&amp;Diagram!$P69),SUMIFS(INDIRECT(ADDRESS(12,3+18*1+(12),,,"J1 A - (North) Bishopthorpe Roa")&amp;":"&amp;ADDRESS(130,3+18*1+(12))),'J1 A - (North) Bishopthorpe Roa'!$A$12:$A$130,"&gt;="&amp;Diagram!$O69,'J1 A - (North) Bishopthorpe Roa'!$A$12:$A$130,"&lt;"&amp;Diagram!$P69)))</f>
        <v>4</v>
      </c>
      <c r="CL69" s="42">
        <f ca="1">IF(OR($I$10="",$O69="",$P69="",$J$39&lt;&gt;"Yes"),0,IF($K$10=0,SUMIFS(INDIRECT(ADDRESS(12,3+18*2+(4),,,"J1 A - (North) Bishopthorpe Roa")&amp;":"&amp;ADDRESS(130,3+18*2+(4))),'J1 A - (North) Bishopthorpe Roa'!$A$12:$A$130,"&gt;="&amp;Diagram!$O69,'J1 A - (North) Bishopthorpe Roa'!$A$12:$A$130,"&lt;"&amp;Diagram!$P69),SUMIFS(INDIRECT(ADDRESS(12,3+18*2+(12),,,"J1 A - (North) Bishopthorpe Roa")&amp;":"&amp;ADDRESS(130,3+18*2+(12))),'J1 A - (North) Bishopthorpe Roa'!$A$12:$A$130,"&gt;="&amp;Diagram!$O69,'J1 A - (North) Bishopthorpe Roa'!$A$12:$A$130,"&lt;"&amp;Diagram!$P69)))</f>
        <v>0</v>
      </c>
      <c r="CM69" s="42">
        <f ca="1">IF(OR($I$10="",$O69="",$P69="",$J$39&lt;&gt;"Yes"),0,IF($K$10=0,SUMIFS(INDIRECT(ADDRESS(12,3+18*2+(4),,,"J1 B - Butcher Terrace")&amp;":"&amp;ADDRESS(130,3+18*2+(4))),'J1 B - Butcher Terrace'!$A$12:$A$130,"&gt;="&amp;Diagram!$O69,'J1 B - Butcher Terrace'!$A$12:$A$130,"&lt;"&amp;Diagram!$P69),SUMIFS(INDIRECT(ADDRESS(12,3+18*2+(12),,,"J1 B - Butcher Terrace")&amp;":"&amp;ADDRESS(130,3+18*2+(12))),'J1 B - Butcher Terrace'!$A$12:$A$130,"&gt;="&amp;Diagram!$O69,'J1 B - Butcher Terrace'!$A$12:$A$130,"&lt;"&amp;Diagram!$P69)))</f>
        <v>0</v>
      </c>
      <c r="CN69" s="42">
        <f ca="1">IF(OR($I$10="",$O69="",$P69="",$J$39&lt;&gt;"Yes"),0,IF($K$10=0,SUMIFS(INDIRECT(ADDRESS(12,3+18*3+(4),,,"J1 B - Butcher Terrace")&amp;":"&amp;ADDRESS(130,3+18*3+(4))),'J1 B - Butcher Terrace'!$A$12:$A$130,"&gt;="&amp;Diagram!$O69,'J1 B - Butcher Terrace'!$A$12:$A$130,"&lt;"&amp;Diagram!$P69),SUMIFS(INDIRECT(ADDRESS(12,3+18*3+(12),,,"J1 B - Butcher Terrace")&amp;":"&amp;ADDRESS(130,3+18*3+(12))),'J1 B - Butcher Terrace'!$A$12:$A$130,"&gt;="&amp;Diagram!$O69,'J1 B - Butcher Terrace'!$A$12:$A$130,"&lt;"&amp;Diagram!$P69)))</f>
        <v>0</v>
      </c>
      <c r="CO69" s="42">
        <f ca="1">IF(OR($I$10="",$O69="",$P69="",$J$39&lt;&gt;"Yes"),0,IF($K$10=0,SUMIFS(INDIRECT(ADDRESS(12,3+18*0+(4),,,"J1 B - Butcher Terrace")&amp;":"&amp;ADDRESS(130,3+18*0+(4))),'J1 B - Butcher Terrace'!$A$12:$A$130,"&gt;="&amp;Diagram!$O69,'J1 B - Butcher Terrace'!$A$12:$A$130,"&lt;"&amp;Diagram!$P69),SUMIFS(INDIRECT(ADDRESS(12,3+18*0+(12),,,"J1 B - Butcher Terrace")&amp;":"&amp;ADDRESS(130,3+18*0+(12))),'J1 B - Butcher Terrace'!$A$12:$A$130,"&gt;="&amp;Diagram!$O69,'J1 B - Butcher Terrace'!$A$12:$A$130,"&lt;"&amp;Diagram!$P69)))</f>
        <v>0</v>
      </c>
      <c r="CP69" s="42">
        <f ca="1">IF(OR($I$10="",$O69="",$P69="",$J$39&lt;&gt;"Yes"),0,IF($K$10=0,SUMIFS(INDIRECT(ADDRESS(12,3+18*1+(4),,,"J1 B - Butcher Terrace")&amp;":"&amp;ADDRESS(130,3+18*1+(4))),'J1 B - Butcher Terrace'!$A$12:$A$130,"&gt;="&amp;Diagram!$O69,'J1 B - Butcher Terrace'!$A$12:$A$130,"&lt;"&amp;Diagram!$P69),SUMIFS(INDIRECT(ADDRESS(12,3+18*1+(12),,,"J1 B - Butcher Terrace")&amp;":"&amp;ADDRESS(130,3+18*1+(12))),'J1 B - Butcher Terrace'!$A$12:$A$130,"&gt;="&amp;Diagram!$O69,'J1 B - Butcher Terrace'!$A$12:$A$130,"&lt;"&amp;Diagram!$P69)))</f>
        <v>0</v>
      </c>
      <c r="CQ69" s="42">
        <f ca="1">IF(OR($I$10="",$O69="",$P69="",$J$39&lt;&gt;"Yes"),0,IF($K$10=0,SUMIFS(INDIRECT(ADDRESS(12,3+18*1+(4),,,"J1 C - (South) Bishopthorpe Roa")&amp;":"&amp;ADDRESS(130,3+18*1+(4))),'J1 C - (South) Bishopthorpe Roa'!$A$12:$A$130,"&gt;="&amp;Diagram!$O69,'J1 C - (South) Bishopthorpe Roa'!$A$12:$A$130,"&lt;"&amp;Diagram!$P69),SUMIFS(INDIRECT(ADDRESS(12,3+18*1+(12),,,"J1 C - (South) Bishopthorpe Roa")&amp;":"&amp;ADDRESS(130,3+18*1+(12))),'J1 C - (South) Bishopthorpe Roa'!$A$12:$A$130,"&gt;="&amp;Diagram!$O69,'J1 C - (South) Bishopthorpe Roa'!$A$12:$A$130,"&lt;"&amp;Diagram!$P69)))</f>
        <v>3</v>
      </c>
      <c r="CR69" s="42">
        <f ca="1">IF(OR($I$10="",$O69="",$P69="",$J$39&lt;&gt;"Yes"),0,IF($K$10=0,SUMIFS(INDIRECT(ADDRESS(12,3+18*2+(4),,,"J1 C - (South) Bishopthorpe Roa")&amp;":"&amp;ADDRESS(130,3+18*2+(4))),'J1 C - (South) Bishopthorpe Roa'!$A$12:$A$130,"&gt;="&amp;Diagram!$O69,'J1 C - (South) Bishopthorpe Roa'!$A$12:$A$130,"&lt;"&amp;Diagram!$P69),SUMIFS(INDIRECT(ADDRESS(12,3+18*2+(12),,,"J1 C - (South) Bishopthorpe Roa")&amp;":"&amp;ADDRESS(130,3+18*2+(12))),'J1 C - (South) Bishopthorpe Roa'!$A$12:$A$130,"&gt;="&amp;Diagram!$O69,'J1 C - (South) Bishopthorpe Roa'!$A$12:$A$130,"&lt;"&amp;Diagram!$P69)))</f>
        <v>0</v>
      </c>
      <c r="CS69" s="42">
        <f ca="1">IF(OR($I$10="",$O69="",$P69="",$J$39&lt;&gt;"Yes"),0,IF($K$10=0,SUMIFS(INDIRECT(ADDRESS(12,3+18*3+(4),,,"J1 C - (South) Bishopthorpe Roa")&amp;":"&amp;ADDRESS(130,3+18*3+(4))),'J1 C - (South) Bishopthorpe Roa'!$A$12:$A$130,"&gt;="&amp;Diagram!$O69,'J1 C - (South) Bishopthorpe Roa'!$A$12:$A$130,"&lt;"&amp;Diagram!$P69),SUMIFS(INDIRECT(ADDRESS(12,3+18*3+(12),,,"J1 C - (South) Bishopthorpe Roa")&amp;":"&amp;ADDRESS(130,3+18*3+(12))),'J1 C - (South) Bishopthorpe Roa'!$A$12:$A$130,"&gt;="&amp;Diagram!$O69,'J1 C - (South) Bishopthorpe Roa'!$A$12:$A$130,"&lt;"&amp;Diagram!$P69)))</f>
        <v>0</v>
      </c>
      <c r="CT69" s="42">
        <f ca="1">IF(OR($I$10="",$O69="",$P69="",$J$39&lt;&gt;"Yes"),0,IF($K$10=0,SUMIFS(INDIRECT(ADDRESS(12,3+18*0+(4),,,"J1 C - (South) Bishopthorpe Roa")&amp;":"&amp;ADDRESS(130,3+18*0+(4))),'J1 C - (South) Bishopthorpe Roa'!$A$12:$A$130,"&gt;="&amp;Diagram!$O69,'J1 C - (South) Bishopthorpe Roa'!$A$12:$A$130,"&lt;"&amp;Diagram!$P69),SUMIFS(INDIRECT(ADDRESS(12,3+18*0+(12),,,"J1 C - (South) Bishopthorpe Roa")&amp;":"&amp;ADDRESS(130,3+18*0+(12))),'J1 C - (South) Bishopthorpe Roa'!$A$12:$A$130,"&gt;="&amp;Diagram!$O69,'J1 C - (South) Bishopthorpe Roa'!$A$12:$A$130,"&lt;"&amp;Diagram!$P69)))</f>
        <v>0</v>
      </c>
      <c r="CU69" s="42">
        <f ca="1">IF(OR($I$10="",$O69="",$P69="",$J$39&lt;&gt;"Yes"),0,IF($K$10=0,SUMIFS(INDIRECT(ADDRESS(12,3+18*0+(4),,,"J1 D - South Bank Avenue")&amp;":"&amp;ADDRESS(130,3+18*0+(4))),'J1 D - South Bank Avenue'!$A$12:$A$130,"&gt;="&amp;Diagram!$O69,'J1 D - South Bank Avenue'!$A$12:$A$130,"&lt;"&amp;Diagram!$P69),SUMIFS(INDIRECT(ADDRESS(12,3+18*0+(12),,,"J1 D - South Bank Avenue")&amp;":"&amp;ADDRESS(130,3+18*0+(12))),'J1 D - South Bank Avenue'!$A$12:$A$130,"&gt;="&amp;Diagram!$O69,'J1 D - South Bank Avenue'!$A$12:$A$130,"&lt;"&amp;Diagram!$P69)))</f>
        <v>0</v>
      </c>
      <c r="CV69" s="42">
        <f ca="1">IF(OR($I$10="",$O69="",$P69="",$J$39&lt;&gt;"Yes"),0,IF($K$10=0,SUMIFS(INDIRECT(ADDRESS(12,3+18*1+(4),,,"J1 D - South Bank Avenue")&amp;":"&amp;ADDRESS(130,3+18*1+(4))),'J1 D - South Bank Avenue'!$A$12:$A$130,"&gt;="&amp;Diagram!$O69,'J1 D - South Bank Avenue'!$A$12:$A$130,"&lt;"&amp;Diagram!$P69),SUMIFS(INDIRECT(ADDRESS(12,3+18*1+(12),,,"J1 D - South Bank Avenue")&amp;":"&amp;ADDRESS(130,3+18*1+(12))),'J1 D - South Bank Avenue'!$A$12:$A$130,"&gt;="&amp;Diagram!$O69,'J1 D - South Bank Avenue'!$A$12:$A$130,"&lt;"&amp;Diagram!$P69)))</f>
        <v>0</v>
      </c>
      <c r="CW69" s="42">
        <f ca="1">IF(OR($I$10="",$O69="",$P69="",$J$39&lt;&gt;"Yes"),0,IF($K$10=0,SUMIFS(INDIRECT(ADDRESS(12,3+18*2+(4),,,"J1 D - South Bank Avenue")&amp;":"&amp;ADDRESS(130,3+18*2+(4))),'J1 D - South Bank Avenue'!$A$12:$A$130,"&gt;="&amp;Diagram!$O69,'J1 D - South Bank Avenue'!$A$12:$A$130,"&lt;"&amp;Diagram!$P69),SUMIFS(INDIRECT(ADDRESS(12,3+18*2+(12),,,"J1 D - South Bank Avenue")&amp;":"&amp;ADDRESS(130,3+18*2+(12))),'J1 D - South Bank Avenue'!$A$12:$A$130,"&gt;="&amp;Diagram!$O69,'J1 D - South Bank Avenue'!$A$12:$A$130,"&lt;"&amp;Diagram!$P69)))</f>
        <v>0</v>
      </c>
      <c r="CX69" s="42">
        <f ca="1">IF(OR($I$10="",$O69="",$P69="",$J$39&lt;&gt;"Yes"),0,IF($K$10=0,SUMIFS(INDIRECT(ADDRESS(12,3+18*3+(4),,,"J1 D - South Bank Avenue")&amp;":"&amp;ADDRESS(130,3+18*3+(4))),'J1 D - South Bank Avenue'!$A$12:$A$130,"&gt;="&amp;Diagram!$O69,'J1 D - South Bank Avenue'!$A$12:$A$130,"&lt;"&amp;Diagram!$P69),SUMIFS(INDIRECT(ADDRESS(12,3+18*3+(12),,,"J1 D - South Bank Avenue")&amp;":"&amp;ADDRESS(130,3+18*3+(12))),'J1 D - South Bank Avenue'!$A$12:$A$130,"&gt;="&amp;Diagram!$O69,'J1 D - South Bank Avenue'!$A$12:$A$130,"&lt;"&amp;Diagram!$P69)))</f>
        <v>0</v>
      </c>
      <c r="CY69" s="42">
        <f t="shared" ca="1" si="16"/>
        <v>128</v>
      </c>
      <c r="CZ69" s="42">
        <f ca="1">IF(OR($I$10="",$O69="",$P69="",$J$40&lt;&gt;"Yes"),0,IF($K$10=0,SUMIFS(INDIRECT(ADDRESS(12,3+18*3+(5),,,"J1 A - (North) Bishopthorpe Roa")&amp;":"&amp;ADDRESS(130,3+18*3+(5))),'J1 A - (North) Bishopthorpe Roa'!$A$12:$A$130,"&gt;="&amp;Diagram!$O69,'J1 A - (North) Bishopthorpe Roa'!$A$12:$A$130,"&lt;"&amp;Diagram!$P69),SUMIFS(INDIRECT(ADDRESS(12,3+18*3+(13),,,"J1 A - (North) Bishopthorpe Roa")&amp;":"&amp;ADDRESS(130,3+18*3+(13))),'J1 A - (North) Bishopthorpe Roa'!$A$12:$A$130,"&gt;="&amp;Diagram!$O69,'J1 A - (North) Bishopthorpe Roa'!$A$12:$A$130,"&lt;"&amp;Diagram!$P69)))</f>
        <v>0</v>
      </c>
      <c r="DA69" s="42">
        <f ca="1">IF(OR($I$10="",$O69="",$P69="",$J$40&lt;&gt;"Yes"),0,IF($K$10=0,SUMIFS(INDIRECT(ADDRESS(12,3+18*0+(5),,,"J1 A - (North) Bishopthorpe Roa")&amp;":"&amp;ADDRESS(130,3+18*0+(5))),'J1 A - (North) Bishopthorpe Roa'!$A$12:$A$130,"&gt;="&amp;Diagram!$O69,'J1 A - (North) Bishopthorpe Roa'!$A$12:$A$130,"&lt;"&amp;Diagram!$P69),SUMIFS(INDIRECT(ADDRESS(12,3+18*0+(13),,,"J1 A - (North) Bishopthorpe Roa")&amp;":"&amp;ADDRESS(130,3+18*0+(13))),'J1 A - (North) Bishopthorpe Roa'!$A$12:$A$130,"&gt;="&amp;Diagram!$O69,'J1 A - (North) Bishopthorpe Roa'!$A$12:$A$130,"&lt;"&amp;Diagram!$P69)))</f>
        <v>14</v>
      </c>
      <c r="DB69" s="42">
        <f ca="1">IF(OR($I$10="",$O69="",$P69="",$J$40&lt;&gt;"Yes"),0,IF($K$10=0,SUMIFS(INDIRECT(ADDRESS(12,3+18*1+(5),,,"J1 A - (North) Bishopthorpe Roa")&amp;":"&amp;ADDRESS(130,3+18*1+(5))),'J1 A - (North) Bishopthorpe Roa'!$A$12:$A$130,"&gt;="&amp;Diagram!$O69,'J1 A - (North) Bishopthorpe Roa'!$A$12:$A$130,"&lt;"&amp;Diagram!$P69),SUMIFS(INDIRECT(ADDRESS(12,3+18*1+(13),,,"J1 A - (North) Bishopthorpe Roa")&amp;":"&amp;ADDRESS(130,3+18*1+(13))),'J1 A - (North) Bishopthorpe Roa'!$A$12:$A$130,"&gt;="&amp;Diagram!$O69,'J1 A - (North) Bishopthorpe Roa'!$A$12:$A$130,"&lt;"&amp;Diagram!$P69)))</f>
        <v>22</v>
      </c>
      <c r="DC69" s="42">
        <f ca="1">IF(OR($I$10="",$O69="",$P69="",$J$40&lt;&gt;"Yes"),0,IF($K$10=0,SUMIFS(INDIRECT(ADDRESS(12,3+18*2+(5),,,"J1 A - (North) Bishopthorpe Roa")&amp;":"&amp;ADDRESS(130,3+18*2+(5))),'J1 A - (North) Bishopthorpe Roa'!$A$12:$A$130,"&gt;="&amp;Diagram!$O69,'J1 A - (North) Bishopthorpe Roa'!$A$12:$A$130,"&lt;"&amp;Diagram!$P69),SUMIFS(INDIRECT(ADDRESS(12,3+18*2+(13),,,"J1 A - (North) Bishopthorpe Roa")&amp;":"&amp;ADDRESS(130,3+18*2+(13))),'J1 A - (North) Bishopthorpe Roa'!$A$12:$A$130,"&gt;="&amp;Diagram!$O69,'J1 A - (North) Bishopthorpe Roa'!$A$12:$A$130,"&lt;"&amp;Diagram!$P69)))</f>
        <v>3</v>
      </c>
      <c r="DD69" s="42">
        <f ca="1">IF(OR($I$10="",$O69="",$P69="",$J$40&lt;&gt;"Yes"),0,IF($K$10=0,SUMIFS(INDIRECT(ADDRESS(12,3+18*2+(5),,,"J1 B - Butcher Terrace")&amp;":"&amp;ADDRESS(130,3+18*2+(5))),'J1 B - Butcher Terrace'!$A$12:$A$130,"&gt;="&amp;Diagram!$O69,'J1 B - Butcher Terrace'!$A$12:$A$130,"&lt;"&amp;Diagram!$P69),SUMIFS(INDIRECT(ADDRESS(12,3+18*2+(13),,,"J1 B - Butcher Terrace")&amp;":"&amp;ADDRESS(130,3+18*2+(13))),'J1 B - Butcher Terrace'!$A$12:$A$130,"&gt;="&amp;Diagram!$O69,'J1 B - Butcher Terrace'!$A$12:$A$130,"&lt;"&amp;Diagram!$P69)))</f>
        <v>4</v>
      </c>
      <c r="DE69" s="42">
        <f ca="1">IF(OR($I$10="",$O69="",$P69="",$J$40&lt;&gt;"Yes"),0,IF($K$10=0,SUMIFS(INDIRECT(ADDRESS(12,3+18*3+(5),,,"J1 B - Butcher Terrace")&amp;":"&amp;ADDRESS(130,3+18*3+(5))),'J1 B - Butcher Terrace'!$A$12:$A$130,"&gt;="&amp;Diagram!$O69,'J1 B - Butcher Terrace'!$A$12:$A$130,"&lt;"&amp;Diagram!$P69),SUMIFS(INDIRECT(ADDRESS(12,3+18*3+(13),,,"J1 B - Butcher Terrace")&amp;":"&amp;ADDRESS(130,3+18*3+(13))),'J1 B - Butcher Terrace'!$A$12:$A$130,"&gt;="&amp;Diagram!$O69,'J1 B - Butcher Terrace'!$A$12:$A$130,"&lt;"&amp;Diagram!$P69)))</f>
        <v>0</v>
      </c>
      <c r="DF69" s="42">
        <f ca="1">IF(OR($I$10="",$O69="",$P69="",$J$40&lt;&gt;"Yes"),0,IF($K$10=0,SUMIFS(INDIRECT(ADDRESS(12,3+18*0+(5),,,"J1 B - Butcher Terrace")&amp;":"&amp;ADDRESS(130,3+18*0+(5))),'J1 B - Butcher Terrace'!$A$12:$A$130,"&gt;="&amp;Diagram!$O69,'J1 B - Butcher Terrace'!$A$12:$A$130,"&lt;"&amp;Diagram!$P69),SUMIFS(INDIRECT(ADDRESS(12,3+18*0+(13),,,"J1 B - Butcher Terrace")&amp;":"&amp;ADDRESS(130,3+18*0+(13))),'J1 B - Butcher Terrace'!$A$12:$A$130,"&gt;="&amp;Diagram!$O69,'J1 B - Butcher Terrace'!$A$12:$A$130,"&lt;"&amp;Diagram!$P69)))</f>
        <v>8</v>
      </c>
      <c r="DG69" s="42">
        <f ca="1">IF(OR($I$10="",$O69="",$P69="",$J$40&lt;&gt;"Yes"),0,IF($K$10=0,SUMIFS(INDIRECT(ADDRESS(12,3+18*1+(5),,,"J1 B - Butcher Terrace")&amp;":"&amp;ADDRESS(130,3+18*1+(5))),'J1 B - Butcher Terrace'!$A$12:$A$130,"&gt;="&amp;Diagram!$O69,'J1 B - Butcher Terrace'!$A$12:$A$130,"&lt;"&amp;Diagram!$P69),SUMIFS(INDIRECT(ADDRESS(12,3+18*1+(13),,,"J1 B - Butcher Terrace")&amp;":"&amp;ADDRESS(130,3+18*1+(13))),'J1 B - Butcher Terrace'!$A$12:$A$130,"&gt;="&amp;Diagram!$O69,'J1 B - Butcher Terrace'!$A$12:$A$130,"&lt;"&amp;Diagram!$P69)))</f>
        <v>36</v>
      </c>
      <c r="DH69" s="42">
        <f ca="1">IF(OR($I$10="",$O69="",$P69="",$J$40&lt;&gt;"Yes"),0,IF($K$10=0,SUMIFS(INDIRECT(ADDRESS(12,3+18*1+(5),,,"J1 C - (South) Bishopthorpe Roa")&amp;":"&amp;ADDRESS(130,3+18*1+(5))),'J1 C - (South) Bishopthorpe Roa'!$A$12:$A$130,"&gt;="&amp;Diagram!$O69,'J1 C - (South) Bishopthorpe Roa'!$A$12:$A$130,"&lt;"&amp;Diagram!$P69),SUMIFS(INDIRECT(ADDRESS(12,3+18*1+(13),,,"J1 C - (South) Bishopthorpe Roa")&amp;":"&amp;ADDRESS(130,3+18*1+(13))),'J1 C - (South) Bishopthorpe Roa'!$A$12:$A$130,"&gt;="&amp;Diagram!$O69,'J1 C - (South) Bishopthorpe Roa'!$A$12:$A$130,"&lt;"&amp;Diagram!$P69)))</f>
        <v>19</v>
      </c>
      <c r="DI69" s="42">
        <f ca="1">IF(OR($I$10="",$O69="",$P69="",$J$40&lt;&gt;"Yes"),0,IF($K$10=0,SUMIFS(INDIRECT(ADDRESS(12,3+18*2+(5),,,"J1 C - (South) Bishopthorpe Roa")&amp;":"&amp;ADDRESS(130,3+18*2+(5))),'J1 C - (South) Bishopthorpe Roa'!$A$12:$A$130,"&gt;="&amp;Diagram!$O69,'J1 C - (South) Bishopthorpe Roa'!$A$12:$A$130,"&lt;"&amp;Diagram!$P69),SUMIFS(INDIRECT(ADDRESS(12,3+18*2+(13),,,"J1 C - (South) Bishopthorpe Roa")&amp;":"&amp;ADDRESS(130,3+18*2+(13))),'J1 C - (South) Bishopthorpe Roa'!$A$12:$A$130,"&gt;="&amp;Diagram!$O69,'J1 C - (South) Bishopthorpe Roa'!$A$12:$A$130,"&lt;"&amp;Diagram!$P69)))</f>
        <v>6</v>
      </c>
      <c r="DJ69" s="42">
        <f ca="1">IF(OR($I$10="",$O69="",$P69="",$J$40&lt;&gt;"Yes"),0,IF($K$10=0,SUMIFS(INDIRECT(ADDRESS(12,3+18*3+(5),,,"J1 C - (South) Bishopthorpe Roa")&amp;":"&amp;ADDRESS(130,3+18*3+(5))),'J1 C - (South) Bishopthorpe Roa'!$A$12:$A$130,"&gt;="&amp;Diagram!$O69,'J1 C - (South) Bishopthorpe Roa'!$A$12:$A$130,"&lt;"&amp;Diagram!$P69),SUMIFS(INDIRECT(ADDRESS(12,3+18*3+(13),,,"J1 C - (South) Bishopthorpe Roa")&amp;":"&amp;ADDRESS(130,3+18*3+(13))),'J1 C - (South) Bishopthorpe Roa'!$A$12:$A$130,"&gt;="&amp;Diagram!$O69,'J1 C - (South) Bishopthorpe Roa'!$A$12:$A$130,"&lt;"&amp;Diagram!$P69)))</f>
        <v>0</v>
      </c>
      <c r="DK69" s="42">
        <f ca="1">IF(OR($I$10="",$O69="",$P69="",$J$40&lt;&gt;"Yes"),0,IF($K$10=0,SUMIFS(INDIRECT(ADDRESS(12,3+18*0+(5),,,"J1 C - (South) Bishopthorpe Roa")&amp;":"&amp;ADDRESS(130,3+18*0+(5))),'J1 C - (South) Bishopthorpe Roa'!$A$12:$A$130,"&gt;="&amp;Diagram!$O69,'J1 C - (South) Bishopthorpe Roa'!$A$12:$A$130,"&lt;"&amp;Diagram!$P69),SUMIFS(INDIRECT(ADDRESS(12,3+18*0+(13),,,"J1 C - (South) Bishopthorpe Roa")&amp;":"&amp;ADDRESS(130,3+18*0+(13))),'J1 C - (South) Bishopthorpe Roa'!$A$12:$A$130,"&gt;="&amp;Diagram!$O69,'J1 C - (South) Bishopthorpe Roa'!$A$12:$A$130,"&lt;"&amp;Diagram!$P69)))</f>
        <v>1</v>
      </c>
      <c r="DL69" s="42">
        <f ca="1">IF(OR($I$10="",$O69="",$P69="",$J$40&lt;&gt;"Yes"),0,IF($K$10=0,SUMIFS(INDIRECT(ADDRESS(12,3+18*0+(5),,,"J1 D - South Bank Avenue")&amp;":"&amp;ADDRESS(130,3+18*0+(5))),'J1 D - South Bank Avenue'!$A$12:$A$130,"&gt;="&amp;Diagram!$O69,'J1 D - South Bank Avenue'!$A$12:$A$130,"&lt;"&amp;Diagram!$P69),SUMIFS(INDIRECT(ADDRESS(12,3+18*0+(13),,,"J1 D - South Bank Avenue")&amp;":"&amp;ADDRESS(130,3+18*0+(13))),'J1 D - South Bank Avenue'!$A$12:$A$130,"&gt;="&amp;Diagram!$O69,'J1 D - South Bank Avenue'!$A$12:$A$130,"&lt;"&amp;Diagram!$P69)))</f>
        <v>5</v>
      </c>
      <c r="DM69" s="42">
        <f ca="1">IF(OR($I$10="",$O69="",$P69="",$J$40&lt;&gt;"Yes"),0,IF($K$10=0,SUMIFS(INDIRECT(ADDRESS(12,3+18*1+(5),,,"J1 D - South Bank Avenue")&amp;":"&amp;ADDRESS(130,3+18*1+(5))),'J1 D - South Bank Avenue'!$A$12:$A$130,"&gt;="&amp;Diagram!$O69,'J1 D - South Bank Avenue'!$A$12:$A$130,"&lt;"&amp;Diagram!$P69),SUMIFS(INDIRECT(ADDRESS(12,3+18*1+(13),,,"J1 D - South Bank Avenue")&amp;":"&amp;ADDRESS(130,3+18*1+(13))),'J1 D - South Bank Avenue'!$A$12:$A$130,"&gt;="&amp;Diagram!$O69,'J1 D - South Bank Avenue'!$A$12:$A$130,"&lt;"&amp;Diagram!$P69)))</f>
        <v>10</v>
      </c>
      <c r="DN69" s="42">
        <f ca="1">IF(OR($I$10="",$O69="",$P69="",$J$40&lt;&gt;"Yes"),0,IF($K$10=0,SUMIFS(INDIRECT(ADDRESS(12,3+18*2+(5),,,"J1 D - South Bank Avenue")&amp;":"&amp;ADDRESS(130,3+18*2+(5))),'J1 D - South Bank Avenue'!$A$12:$A$130,"&gt;="&amp;Diagram!$O69,'J1 D - South Bank Avenue'!$A$12:$A$130,"&lt;"&amp;Diagram!$P69),SUMIFS(INDIRECT(ADDRESS(12,3+18*2+(13),,,"J1 D - South Bank Avenue")&amp;":"&amp;ADDRESS(130,3+18*2+(13))),'J1 D - South Bank Avenue'!$A$12:$A$130,"&gt;="&amp;Diagram!$O69,'J1 D - South Bank Avenue'!$A$12:$A$130,"&lt;"&amp;Diagram!$P69)))</f>
        <v>0</v>
      </c>
      <c r="DO69" s="42">
        <f ca="1">IF(OR($I$10="",$O69="",$P69="",$J$40&lt;&gt;"Yes"),0,IF($K$10=0,SUMIFS(INDIRECT(ADDRESS(12,3+18*3+(5),,,"J1 D - South Bank Avenue")&amp;":"&amp;ADDRESS(130,3+18*3+(5))),'J1 D - South Bank Avenue'!$A$12:$A$130,"&gt;="&amp;Diagram!$O69,'J1 D - South Bank Avenue'!$A$12:$A$130,"&lt;"&amp;Diagram!$P69),SUMIFS(INDIRECT(ADDRESS(12,3+18*3+(13),,,"J1 D - South Bank Avenue")&amp;":"&amp;ADDRESS(130,3+18*3+(13))),'J1 D - South Bank Avenue'!$A$12:$A$130,"&gt;="&amp;Diagram!$O69,'J1 D - South Bank Avenue'!$A$12:$A$130,"&lt;"&amp;Diagram!$P69)))</f>
        <v>0</v>
      </c>
      <c r="DP69" s="42">
        <f t="shared" ca="1" si="17"/>
        <v>7</v>
      </c>
      <c r="DQ69" s="42">
        <f ca="1">IF(OR($I$10="",$O69="",$P69="",$J$41&lt;&gt;"Yes"),0,IF($K$10=0,SUMIFS(INDIRECT(ADDRESS(12,3+18*3+(6),,,"J1 A - (North) Bishopthorpe Roa")&amp;":"&amp;ADDRESS(130,3+18*3+(6))),'J1 A - (North) Bishopthorpe Roa'!$A$12:$A$130,"&gt;="&amp;Diagram!$O69,'J1 A - (North) Bishopthorpe Roa'!$A$12:$A$130,"&lt;"&amp;Diagram!$P69),SUMIFS(INDIRECT(ADDRESS(12,3+18*3+(14),,,"J1 A - (North) Bishopthorpe Roa")&amp;":"&amp;ADDRESS(130,3+18*3+(14))),'J1 A - (North) Bishopthorpe Roa'!$A$12:$A$130,"&gt;="&amp;Diagram!$O69,'J1 A - (North) Bishopthorpe Roa'!$A$12:$A$130,"&lt;"&amp;Diagram!$P69)))</f>
        <v>0</v>
      </c>
      <c r="DR69" s="42">
        <f ca="1">IF(OR($I$10="",$O69="",$P69="",$J$41&lt;&gt;"Yes"),0,IF($K$10=0,SUMIFS(INDIRECT(ADDRESS(12,3+18*0+(6),,,"J1 A - (North) Bishopthorpe Roa")&amp;":"&amp;ADDRESS(130,3+18*0+(6))),'J1 A - (North) Bishopthorpe Roa'!$A$12:$A$130,"&gt;="&amp;Diagram!$O69,'J1 A - (North) Bishopthorpe Roa'!$A$12:$A$130,"&lt;"&amp;Diagram!$P69),SUMIFS(INDIRECT(ADDRESS(12,3+18*0+(14),,,"J1 A - (North) Bishopthorpe Roa")&amp;":"&amp;ADDRESS(130,3+18*0+(14))),'J1 A - (North) Bishopthorpe Roa'!$A$12:$A$130,"&gt;="&amp;Diagram!$O69,'J1 A - (North) Bishopthorpe Roa'!$A$12:$A$130,"&lt;"&amp;Diagram!$P69)))</f>
        <v>0</v>
      </c>
      <c r="DS69" s="42">
        <f ca="1">IF(OR($I$10="",$O69="",$P69="",$J$41&lt;&gt;"Yes"),0,IF($K$10=0,SUMIFS(INDIRECT(ADDRESS(12,3+18*1+(6),,,"J1 A - (North) Bishopthorpe Roa")&amp;":"&amp;ADDRESS(130,3+18*1+(6))),'J1 A - (North) Bishopthorpe Roa'!$A$12:$A$130,"&gt;="&amp;Diagram!$O69,'J1 A - (North) Bishopthorpe Roa'!$A$12:$A$130,"&lt;"&amp;Diagram!$P69),SUMIFS(INDIRECT(ADDRESS(12,3+18*1+(14),,,"J1 A - (North) Bishopthorpe Roa")&amp;":"&amp;ADDRESS(130,3+18*1+(14))),'J1 A - (North) Bishopthorpe Roa'!$A$12:$A$130,"&gt;="&amp;Diagram!$O69,'J1 A - (North) Bishopthorpe Roa'!$A$12:$A$130,"&lt;"&amp;Diagram!$P69)))</f>
        <v>2</v>
      </c>
      <c r="DT69" s="42">
        <f ca="1">IF(OR($I$10="",$O69="",$P69="",$J$41&lt;&gt;"Yes"),0,IF($K$10=0,SUMIFS(INDIRECT(ADDRESS(12,3+18*2+(6),,,"J1 A - (North) Bishopthorpe Roa")&amp;":"&amp;ADDRESS(130,3+18*2+(6))),'J1 A - (North) Bishopthorpe Roa'!$A$12:$A$130,"&gt;="&amp;Diagram!$O69,'J1 A - (North) Bishopthorpe Roa'!$A$12:$A$130,"&lt;"&amp;Diagram!$P69),SUMIFS(INDIRECT(ADDRESS(12,3+18*2+(14),,,"J1 A - (North) Bishopthorpe Roa")&amp;":"&amp;ADDRESS(130,3+18*2+(14))),'J1 A - (North) Bishopthorpe Roa'!$A$12:$A$130,"&gt;="&amp;Diagram!$O69,'J1 A - (North) Bishopthorpe Roa'!$A$12:$A$130,"&lt;"&amp;Diagram!$P69)))</f>
        <v>2</v>
      </c>
      <c r="DU69" s="42">
        <f ca="1">IF(OR($I$10="",$O69="",$P69="",$J$41&lt;&gt;"Yes"),0,IF($K$10=0,SUMIFS(INDIRECT(ADDRESS(12,3+18*2+(6),,,"J1 B - Butcher Terrace")&amp;":"&amp;ADDRESS(130,3+18*2+(6))),'J1 B - Butcher Terrace'!$A$12:$A$130,"&gt;="&amp;Diagram!$O69,'J1 B - Butcher Terrace'!$A$12:$A$130,"&lt;"&amp;Diagram!$P69),SUMIFS(INDIRECT(ADDRESS(12,3+18*2+(14),,,"J1 B - Butcher Terrace")&amp;":"&amp;ADDRESS(130,3+18*2+(14))),'J1 B - Butcher Terrace'!$A$12:$A$130,"&gt;="&amp;Diagram!$O69,'J1 B - Butcher Terrace'!$A$12:$A$130,"&lt;"&amp;Diagram!$P69)))</f>
        <v>0</v>
      </c>
      <c r="DV69" s="42">
        <f ca="1">IF(OR($I$10="",$O69="",$P69="",$J$41&lt;&gt;"Yes"),0,IF($K$10=0,SUMIFS(INDIRECT(ADDRESS(12,3+18*3+(6),,,"J1 B - Butcher Terrace")&amp;":"&amp;ADDRESS(130,3+18*3+(6))),'J1 B - Butcher Terrace'!$A$12:$A$130,"&gt;="&amp;Diagram!$O69,'J1 B - Butcher Terrace'!$A$12:$A$130,"&lt;"&amp;Diagram!$P69),SUMIFS(INDIRECT(ADDRESS(12,3+18*3+(14),,,"J1 B - Butcher Terrace")&amp;":"&amp;ADDRESS(130,3+18*3+(14))),'J1 B - Butcher Terrace'!$A$12:$A$130,"&gt;="&amp;Diagram!$O69,'J1 B - Butcher Terrace'!$A$12:$A$130,"&lt;"&amp;Diagram!$P69)))</f>
        <v>0</v>
      </c>
      <c r="DW69" s="42">
        <f ca="1">IF(OR($I$10="",$O69="",$P69="",$J$41&lt;&gt;"Yes"),0,IF($K$10=0,SUMIFS(INDIRECT(ADDRESS(12,3+18*0+(6),,,"J1 B - Butcher Terrace")&amp;":"&amp;ADDRESS(130,3+18*0+(6))),'J1 B - Butcher Terrace'!$A$12:$A$130,"&gt;="&amp;Diagram!$O69,'J1 B - Butcher Terrace'!$A$12:$A$130,"&lt;"&amp;Diagram!$P69),SUMIFS(INDIRECT(ADDRESS(12,3+18*0+(14),,,"J1 B - Butcher Terrace")&amp;":"&amp;ADDRESS(130,3+18*0+(14))),'J1 B - Butcher Terrace'!$A$12:$A$130,"&gt;="&amp;Diagram!$O69,'J1 B - Butcher Terrace'!$A$12:$A$130,"&lt;"&amp;Diagram!$P69)))</f>
        <v>0</v>
      </c>
      <c r="DX69" s="42">
        <f ca="1">IF(OR($I$10="",$O69="",$P69="",$J$41&lt;&gt;"Yes"),0,IF($K$10=0,SUMIFS(INDIRECT(ADDRESS(12,3+18*1+(6),,,"J1 B - Butcher Terrace")&amp;":"&amp;ADDRESS(130,3+18*1+(6))),'J1 B - Butcher Terrace'!$A$12:$A$130,"&gt;="&amp;Diagram!$O69,'J1 B - Butcher Terrace'!$A$12:$A$130,"&lt;"&amp;Diagram!$P69),SUMIFS(INDIRECT(ADDRESS(12,3+18*1+(14),,,"J1 B - Butcher Terrace")&amp;":"&amp;ADDRESS(130,3+18*1+(14))),'J1 B - Butcher Terrace'!$A$12:$A$130,"&gt;="&amp;Diagram!$O69,'J1 B - Butcher Terrace'!$A$12:$A$130,"&lt;"&amp;Diagram!$P69)))</f>
        <v>0</v>
      </c>
      <c r="DY69" s="42">
        <f ca="1">IF(OR($I$10="",$O69="",$P69="",$J$41&lt;&gt;"Yes"),0,IF($K$10=0,SUMIFS(INDIRECT(ADDRESS(12,3+18*1+(6),,,"J1 C - (South) Bishopthorpe Roa")&amp;":"&amp;ADDRESS(130,3+18*1+(6))),'J1 C - (South) Bishopthorpe Roa'!$A$12:$A$130,"&gt;="&amp;Diagram!$O69,'J1 C - (South) Bishopthorpe Roa'!$A$12:$A$130,"&lt;"&amp;Diagram!$P69),SUMIFS(INDIRECT(ADDRESS(12,3+18*1+(14),,,"J1 C - (South) Bishopthorpe Roa")&amp;":"&amp;ADDRESS(130,3+18*1+(14))),'J1 C - (South) Bishopthorpe Roa'!$A$12:$A$130,"&gt;="&amp;Diagram!$O69,'J1 C - (South) Bishopthorpe Roa'!$A$12:$A$130,"&lt;"&amp;Diagram!$P69)))</f>
        <v>2</v>
      </c>
      <c r="DZ69" s="42">
        <f ca="1">IF(OR($I$10="",$O69="",$P69="",$J$41&lt;&gt;"Yes"),0,IF($K$10=0,SUMIFS(INDIRECT(ADDRESS(12,3+18*2+(6),,,"J1 C - (South) Bishopthorpe Roa")&amp;":"&amp;ADDRESS(130,3+18*2+(6))),'J1 C - (South) Bishopthorpe Roa'!$A$12:$A$130,"&gt;="&amp;Diagram!$O69,'J1 C - (South) Bishopthorpe Roa'!$A$12:$A$130,"&lt;"&amp;Diagram!$P69),SUMIFS(INDIRECT(ADDRESS(12,3+18*2+(14),,,"J1 C - (South) Bishopthorpe Roa")&amp;":"&amp;ADDRESS(130,3+18*2+(14))),'J1 C - (South) Bishopthorpe Roa'!$A$12:$A$130,"&gt;="&amp;Diagram!$O69,'J1 C - (South) Bishopthorpe Roa'!$A$12:$A$130,"&lt;"&amp;Diagram!$P69)))</f>
        <v>0</v>
      </c>
      <c r="EA69" s="42">
        <f ca="1">IF(OR($I$10="",$O69="",$P69="",$J$41&lt;&gt;"Yes"),0,IF($K$10=0,SUMIFS(INDIRECT(ADDRESS(12,3+18*3+(6),,,"J1 C - (South) Bishopthorpe Roa")&amp;":"&amp;ADDRESS(130,3+18*3+(6))),'J1 C - (South) Bishopthorpe Roa'!$A$12:$A$130,"&gt;="&amp;Diagram!$O69,'J1 C - (South) Bishopthorpe Roa'!$A$12:$A$130,"&lt;"&amp;Diagram!$P69),SUMIFS(INDIRECT(ADDRESS(12,3+18*3+(14),,,"J1 C - (South) Bishopthorpe Roa")&amp;":"&amp;ADDRESS(130,3+18*3+(14))),'J1 C - (South) Bishopthorpe Roa'!$A$12:$A$130,"&gt;="&amp;Diagram!$O69,'J1 C - (South) Bishopthorpe Roa'!$A$12:$A$130,"&lt;"&amp;Diagram!$P69)))</f>
        <v>0</v>
      </c>
      <c r="EB69" s="42">
        <f ca="1">IF(OR($I$10="",$O69="",$P69="",$J$41&lt;&gt;"Yes"),0,IF($K$10=0,SUMIFS(INDIRECT(ADDRESS(12,3+18*0+(6),,,"J1 C - (South) Bishopthorpe Roa")&amp;":"&amp;ADDRESS(130,3+18*0+(6))),'J1 C - (South) Bishopthorpe Roa'!$A$12:$A$130,"&gt;="&amp;Diagram!$O69,'J1 C - (South) Bishopthorpe Roa'!$A$12:$A$130,"&lt;"&amp;Diagram!$P69),SUMIFS(INDIRECT(ADDRESS(12,3+18*0+(14),,,"J1 C - (South) Bishopthorpe Roa")&amp;":"&amp;ADDRESS(130,3+18*0+(14))),'J1 C - (South) Bishopthorpe Roa'!$A$12:$A$130,"&gt;="&amp;Diagram!$O69,'J1 C - (South) Bishopthorpe Roa'!$A$12:$A$130,"&lt;"&amp;Diagram!$P69)))</f>
        <v>0</v>
      </c>
      <c r="EC69" s="42">
        <f ca="1">IF(OR($I$10="",$O69="",$P69="",$J$41&lt;&gt;"Yes"),0,IF($K$10=0,SUMIFS(INDIRECT(ADDRESS(12,3+18*0+(6),,,"J1 D - South Bank Avenue")&amp;":"&amp;ADDRESS(130,3+18*0+(6))),'J1 D - South Bank Avenue'!$A$12:$A$130,"&gt;="&amp;Diagram!$O69,'J1 D - South Bank Avenue'!$A$12:$A$130,"&lt;"&amp;Diagram!$P69),SUMIFS(INDIRECT(ADDRESS(12,3+18*0+(14),,,"J1 D - South Bank Avenue")&amp;":"&amp;ADDRESS(130,3+18*0+(14))),'J1 D - South Bank Avenue'!$A$12:$A$130,"&gt;="&amp;Diagram!$O69,'J1 D - South Bank Avenue'!$A$12:$A$130,"&lt;"&amp;Diagram!$P69)))</f>
        <v>1</v>
      </c>
      <c r="ED69" s="42">
        <f ca="1">IF(OR($I$10="",$O69="",$P69="",$J$41&lt;&gt;"Yes"),0,IF($K$10=0,SUMIFS(INDIRECT(ADDRESS(12,3+18*1+(6),,,"J1 D - South Bank Avenue")&amp;":"&amp;ADDRESS(130,3+18*1+(6))),'J1 D - South Bank Avenue'!$A$12:$A$130,"&gt;="&amp;Diagram!$O69,'J1 D - South Bank Avenue'!$A$12:$A$130,"&lt;"&amp;Diagram!$P69),SUMIFS(INDIRECT(ADDRESS(12,3+18*1+(14),,,"J1 D - South Bank Avenue")&amp;":"&amp;ADDRESS(130,3+18*1+(14))),'J1 D - South Bank Avenue'!$A$12:$A$130,"&gt;="&amp;Diagram!$O69,'J1 D - South Bank Avenue'!$A$12:$A$130,"&lt;"&amp;Diagram!$P69)))</f>
        <v>0</v>
      </c>
      <c r="EE69" s="42">
        <f ca="1">IF(OR($I$10="",$O69="",$P69="",$J$41&lt;&gt;"Yes"),0,IF($K$10=0,SUMIFS(INDIRECT(ADDRESS(12,3+18*2+(6),,,"J1 D - South Bank Avenue")&amp;":"&amp;ADDRESS(130,3+18*2+(6))),'J1 D - South Bank Avenue'!$A$12:$A$130,"&gt;="&amp;Diagram!$O69,'J1 D - South Bank Avenue'!$A$12:$A$130,"&lt;"&amp;Diagram!$P69),SUMIFS(INDIRECT(ADDRESS(12,3+18*2+(14),,,"J1 D - South Bank Avenue")&amp;":"&amp;ADDRESS(130,3+18*2+(14))),'J1 D - South Bank Avenue'!$A$12:$A$130,"&gt;="&amp;Diagram!$O69,'J1 D - South Bank Avenue'!$A$12:$A$130,"&lt;"&amp;Diagram!$P69)))</f>
        <v>0</v>
      </c>
      <c r="EF69" s="42">
        <f ca="1">IF(OR($I$10="",$O69="",$P69="",$J$41&lt;&gt;"Yes"),0,IF($K$10=0,SUMIFS(INDIRECT(ADDRESS(12,3+18*3+(6),,,"J1 D - South Bank Avenue")&amp;":"&amp;ADDRESS(130,3+18*3+(6))),'J1 D - South Bank Avenue'!$A$12:$A$130,"&gt;="&amp;Diagram!$O69,'J1 D - South Bank Avenue'!$A$12:$A$130,"&lt;"&amp;Diagram!$P69),SUMIFS(INDIRECT(ADDRESS(12,3+18*3+(14),,,"J1 D - South Bank Avenue")&amp;":"&amp;ADDRESS(130,3+18*3+(14))),'J1 D - South Bank Avenue'!$A$12:$A$130,"&gt;="&amp;Diagram!$O69,'J1 D - South Bank Avenue'!$A$12:$A$130,"&lt;"&amp;Diagram!$P69)))</f>
        <v>0</v>
      </c>
      <c r="EG69" s="42">
        <f t="shared" ca="1" si="18"/>
        <v>3</v>
      </c>
      <c r="EH69" s="42">
        <f ca="1">IF(OR($I$10="",$O69="",$P69="",$J$42&lt;&gt;"Yes"),0,IF($K$10=0,SUMIFS(INDIRECT(ADDRESS(12,3+18*3+(7),,,"J1 A - (North) Bishopthorpe Roa")&amp;":"&amp;ADDRESS(130,3+18*3+(7))),'J1 A - (North) Bishopthorpe Roa'!$A$12:$A$130,"&gt;="&amp;Diagram!$O69,'J1 A - (North) Bishopthorpe Roa'!$A$12:$A$130,"&lt;"&amp;Diagram!$P69),SUMIFS(INDIRECT(ADDRESS(12,3+18*3+(15),,,"J1 A - (North) Bishopthorpe Roa")&amp;":"&amp;ADDRESS(130,3+18*3+(15))),'J1 A - (North) Bishopthorpe Roa'!$A$12:$A$130,"&gt;="&amp;Diagram!$O69,'J1 A - (North) Bishopthorpe Roa'!$A$12:$A$130,"&lt;"&amp;Diagram!$P69)))</f>
        <v>0</v>
      </c>
      <c r="EI69" s="42">
        <f ca="1">IF(OR($I$10="",$O69="",$P69="",$J$42&lt;&gt;"Yes"),0,IF($K$10=0,SUMIFS(INDIRECT(ADDRESS(12,3+18*0+(7),,,"J1 A - (North) Bishopthorpe Roa")&amp;":"&amp;ADDRESS(130,3+18*0+(7))),'J1 A - (North) Bishopthorpe Roa'!$A$12:$A$130,"&gt;="&amp;Diagram!$O69,'J1 A - (North) Bishopthorpe Roa'!$A$12:$A$130,"&lt;"&amp;Diagram!$P69),SUMIFS(INDIRECT(ADDRESS(12,3+18*0+(15),,,"J1 A - (North) Bishopthorpe Roa")&amp;":"&amp;ADDRESS(130,3+18*0+(15))),'J1 A - (North) Bishopthorpe Roa'!$A$12:$A$130,"&gt;="&amp;Diagram!$O69,'J1 A - (North) Bishopthorpe Roa'!$A$12:$A$130,"&lt;"&amp;Diagram!$P69)))</f>
        <v>3</v>
      </c>
      <c r="EJ69" s="42">
        <f ca="1">IF(OR($I$10="",$O69="",$P69="",$J$42&lt;&gt;"Yes"),0,IF($K$10=0,SUMIFS(INDIRECT(ADDRESS(12,3+18*1+(7),,,"J1 A - (North) Bishopthorpe Roa")&amp;":"&amp;ADDRESS(130,3+18*1+(7))),'J1 A - (North) Bishopthorpe Roa'!$A$12:$A$130,"&gt;="&amp;Diagram!$O69,'J1 A - (North) Bishopthorpe Roa'!$A$12:$A$130,"&lt;"&amp;Diagram!$P69),SUMIFS(INDIRECT(ADDRESS(12,3+18*1+(15),,,"J1 A - (North) Bishopthorpe Roa")&amp;":"&amp;ADDRESS(130,3+18*1+(15))),'J1 A - (North) Bishopthorpe Roa'!$A$12:$A$130,"&gt;="&amp;Diagram!$O69,'J1 A - (North) Bishopthorpe Roa'!$A$12:$A$130,"&lt;"&amp;Diagram!$P69)))</f>
        <v>0</v>
      </c>
      <c r="EK69" s="42">
        <f ca="1">IF(OR($I$10="",$O69="",$P69="",$J$42&lt;&gt;"Yes"),0,IF($K$10=0,SUMIFS(INDIRECT(ADDRESS(12,3+18*2+(7),,,"J1 A - (North) Bishopthorpe Roa")&amp;":"&amp;ADDRESS(130,3+18*2+(7))),'J1 A - (North) Bishopthorpe Roa'!$A$12:$A$130,"&gt;="&amp;Diagram!$O69,'J1 A - (North) Bishopthorpe Roa'!$A$12:$A$130,"&lt;"&amp;Diagram!$P69),SUMIFS(INDIRECT(ADDRESS(12,3+18*2+(15),,,"J1 A - (North) Bishopthorpe Roa")&amp;":"&amp;ADDRESS(130,3+18*2+(15))),'J1 A - (North) Bishopthorpe Roa'!$A$12:$A$130,"&gt;="&amp;Diagram!$O69,'J1 A - (North) Bishopthorpe Roa'!$A$12:$A$130,"&lt;"&amp;Diagram!$P69)))</f>
        <v>0</v>
      </c>
      <c r="EL69" s="42">
        <f ca="1">IF(OR($I$10="",$O69="",$P69="",$J$42&lt;&gt;"Yes"),0,IF($K$10=0,SUMIFS(INDIRECT(ADDRESS(12,3+18*2+(7),,,"J1 B - Butcher Terrace")&amp;":"&amp;ADDRESS(130,3+18*2+(7))),'J1 B - Butcher Terrace'!$A$12:$A$130,"&gt;="&amp;Diagram!$O69,'J1 B - Butcher Terrace'!$A$12:$A$130,"&lt;"&amp;Diagram!$P69),SUMIFS(INDIRECT(ADDRESS(12,3+18*2+(15),,,"J1 B - Butcher Terrace")&amp;":"&amp;ADDRESS(130,3+18*2+(15))),'J1 B - Butcher Terrace'!$A$12:$A$130,"&gt;="&amp;Diagram!$O69,'J1 B - Butcher Terrace'!$A$12:$A$130,"&lt;"&amp;Diagram!$P69)))</f>
        <v>0</v>
      </c>
      <c r="EM69" s="42">
        <f ca="1">IF(OR($I$10="",$O69="",$P69="",$J$42&lt;&gt;"Yes"),0,IF($K$10=0,SUMIFS(INDIRECT(ADDRESS(12,3+18*3+(7),,,"J1 B - Butcher Terrace")&amp;":"&amp;ADDRESS(130,3+18*3+(7))),'J1 B - Butcher Terrace'!$A$12:$A$130,"&gt;="&amp;Diagram!$O69,'J1 B - Butcher Terrace'!$A$12:$A$130,"&lt;"&amp;Diagram!$P69),SUMIFS(INDIRECT(ADDRESS(12,3+18*3+(15),,,"J1 B - Butcher Terrace")&amp;":"&amp;ADDRESS(130,3+18*3+(15))),'J1 B - Butcher Terrace'!$A$12:$A$130,"&gt;="&amp;Diagram!$O69,'J1 B - Butcher Terrace'!$A$12:$A$130,"&lt;"&amp;Diagram!$P69)))</f>
        <v>0</v>
      </c>
      <c r="EN69" s="42">
        <f ca="1">IF(OR($I$10="",$O69="",$P69="",$J$42&lt;&gt;"Yes"),0,IF($K$10=0,SUMIFS(INDIRECT(ADDRESS(12,3+18*0+(7),,,"J1 B - Butcher Terrace")&amp;":"&amp;ADDRESS(130,3+18*0+(7))),'J1 B - Butcher Terrace'!$A$12:$A$130,"&gt;="&amp;Diagram!$O69,'J1 B - Butcher Terrace'!$A$12:$A$130,"&lt;"&amp;Diagram!$P69),SUMIFS(INDIRECT(ADDRESS(12,3+18*0+(15),,,"J1 B - Butcher Terrace")&amp;":"&amp;ADDRESS(130,3+18*0+(15))),'J1 B - Butcher Terrace'!$A$12:$A$130,"&gt;="&amp;Diagram!$O69,'J1 B - Butcher Terrace'!$A$12:$A$130,"&lt;"&amp;Diagram!$P69)))</f>
        <v>0</v>
      </c>
      <c r="EO69" s="42">
        <f ca="1">IF(OR($I$10="",$O69="",$P69="",$J$42&lt;&gt;"Yes"),0,IF($K$10=0,SUMIFS(INDIRECT(ADDRESS(12,3+18*1+(7),,,"J1 B - Butcher Terrace")&amp;":"&amp;ADDRESS(130,3+18*1+(7))),'J1 B - Butcher Terrace'!$A$12:$A$130,"&gt;="&amp;Diagram!$O69,'J1 B - Butcher Terrace'!$A$12:$A$130,"&lt;"&amp;Diagram!$P69),SUMIFS(INDIRECT(ADDRESS(12,3+18*1+(15),,,"J1 B - Butcher Terrace")&amp;":"&amp;ADDRESS(130,3+18*1+(15))),'J1 B - Butcher Terrace'!$A$12:$A$130,"&gt;="&amp;Diagram!$O69,'J1 B - Butcher Terrace'!$A$12:$A$130,"&lt;"&amp;Diagram!$P69)))</f>
        <v>0</v>
      </c>
      <c r="EP69" s="42">
        <f ca="1">IF(OR($I$10="",$O69="",$P69="",$J$42&lt;&gt;"Yes"),0,IF($K$10=0,SUMIFS(INDIRECT(ADDRESS(12,3+18*1+(7),,,"J1 C - (South) Bishopthorpe Roa")&amp;":"&amp;ADDRESS(130,3+18*1+(7))),'J1 C - (South) Bishopthorpe Roa'!$A$12:$A$130,"&gt;="&amp;Diagram!$O69,'J1 C - (South) Bishopthorpe Roa'!$A$12:$A$130,"&lt;"&amp;Diagram!$P69),SUMIFS(INDIRECT(ADDRESS(12,3+18*1+(15),,,"J1 C - (South) Bishopthorpe Roa")&amp;":"&amp;ADDRESS(130,3+18*1+(15))),'J1 C - (South) Bishopthorpe Roa'!$A$12:$A$130,"&gt;="&amp;Diagram!$O69,'J1 C - (South) Bishopthorpe Roa'!$A$12:$A$130,"&lt;"&amp;Diagram!$P69)))</f>
        <v>0</v>
      </c>
      <c r="EQ69" s="42">
        <f ca="1">IF(OR($I$10="",$O69="",$P69="",$J$42&lt;&gt;"Yes"),0,IF($K$10=0,SUMIFS(INDIRECT(ADDRESS(12,3+18*2+(7),,,"J1 C - (South) Bishopthorpe Roa")&amp;":"&amp;ADDRESS(130,3+18*2+(7))),'J1 C - (South) Bishopthorpe Roa'!$A$12:$A$130,"&gt;="&amp;Diagram!$O69,'J1 C - (South) Bishopthorpe Roa'!$A$12:$A$130,"&lt;"&amp;Diagram!$P69),SUMIFS(INDIRECT(ADDRESS(12,3+18*2+(15),,,"J1 C - (South) Bishopthorpe Roa")&amp;":"&amp;ADDRESS(130,3+18*2+(15))),'J1 C - (South) Bishopthorpe Roa'!$A$12:$A$130,"&gt;="&amp;Diagram!$O69,'J1 C - (South) Bishopthorpe Roa'!$A$12:$A$130,"&lt;"&amp;Diagram!$P69)))</f>
        <v>0</v>
      </c>
      <c r="ER69" s="42">
        <f ca="1">IF(OR($I$10="",$O69="",$P69="",$J$42&lt;&gt;"Yes"),0,IF($K$10=0,SUMIFS(INDIRECT(ADDRESS(12,3+18*3+(7),,,"J1 C - (South) Bishopthorpe Roa")&amp;":"&amp;ADDRESS(130,3+18*3+(7))),'J1 C - (South) Bishopthorpe Roa'!$A$12:$A$130,"&gt;="&amp;Diagram!$O69,'J1 C - (South) Bishopthorpe Roa'!$A$12:$A$130,"&lt;"&amp;Diagram!$P69),SUMIFS(INDIRECT(ADDRESS(12,3+18*3+(15),,,"J1 C - (South) Bishopthorpe Roa")&amp;":"&amp;ADDRESS(130,3+18*3+(15))),'J1 C - (South) Bishopthorpe Roa'!$A$12:$A$130,"&gt;="&amp;Diagram!$O69,'J1 C - (South) Bishopthorpe Roa'!$A$12:$A$130,"&lt;"&amp;Diagram!$P69)))</f>
        <v>0</v>
      </c>
      <c r="ES69" s="42">
        <f ca="1">IF(OR($I$10="",$O69="",$P69="",$J$42&lt;&gt;"Yes"),0,IF($K$10=0,SUMIFS(INDIRECT(ADDRESS(12,3+18*0+(7),,,"J1 C - (South) Bishopthorpe Roa")&amp;":"&amp;ADDRESS(130,3+18*0+(7))),'J1 C - (South) Bishopthorpe Roa'!$A$12:$A$130,"&gt;="&amp;Diagram!$O69,'J1 C - (South) Bishopthorpe Roa'!$A$12:$A$130,"&lt;"&amp;Diagram!$P69),SUMIFS(INDIRECT(ADDRESS(12,3+18*0+(15),,,"J1 C - (South) Bishopthorpe Roa")&amp;":"&amp;ADDRESS(130,3+18*0+(15))),'J1 C - (South) Bishopthorpe Roa'!$A$12:$A$130,"&gt;="&amp;Diagram!$O69,'J1 C - (South) Bishopthorpe Roa'!$A$12:$A$130,"&lt;"&amp;Diagram!$P69)))</f>
        <v>0</v>
      </c>
      <c r="ET69" s="42">
        <f ca="1">IF(OR($I$10="",$O69="",$P69="",$J$42&lt;&gt;"Yes"),0,IF($K$10=0,SUMIFS(INDIRECT(ADDRESS(12,3+18*0+(7),,,"J1 D - South Bank Avenue")&amp;":"&amp;ADDRESS(130,3+18*0+(7))),'J1 D - South Bank Avenue'!$A$12:$A$130,"&gt;="&amp;Diagram!$O69,'J1 D - South Bank Avenue'!$A$12:$A$130,"&lt;"&amp;Diagram!$P69),SUMIFS(INDIRECT(ADDRESS(12,3+18*0+(15),,,"J1 D - South Bank Avenue")&amp;":"&amp;ADDRESS(130,3+18*0+(15))),'J1 D - South Bank Avenue'!$A$12:$A$130,"&gt;="&amp;Diagram!$O69,'J1 D - South Bank Avenue'!$A$12:$A$130,"&lt;"&amp;Diagram!$P69)))</f>
        <v>0</v>
      </c>
      <c r="EU69" s="42">
        <f ca="1">IF(OR($I$10="",$O69="",$P69="",$J$42&lt;&gt;"Yes"),0,IF($K$10=0,SUMIFS(INDIRECT(ADDRESS(12,3+18*1+(7),,,"J1 D - South Bank Avenue")&amp;":"&amp;ADDRESS(130,3+18*1+(7))),'J1 D - South Bank Avenue'!$A$12:$A$130,"&gt;="&amp;Diagram!$O69,'J1 D - South Bank Avenue'!$A$12:$A$130,"&lt;"&amp;Diagram!$P69),SUMIFS(INDIRECT(ADDRESS(12,3+18*1+(15),,,"J1 D - South Bank Avenue")&amp;":"&amp;ADDRESS(130,3+18*1+(15))),'J1 D - South Bank Avenue'!$A$12:$A$130,"&gt;="&amp;Diagram!$O69,'J1 D - South Bank Avenue'!$A$12:$A$130,"&lt;"&amp;Diagram!$P69)))</f>
        <v>0</v>
      </c>
      <c r="EV69" s="42">
        <f ca="1">IF(OR($I$10="",$O69="",$P69="",$J$42&lt;&gt;"Yes"),0,IF($K$10=0,SUMIFS(INDIRECT(ADDRESS(12,3+18*2+(7),,,"J1 D - South Bank Avenue")&amp;":"&amp;ADDRESS(130,3+18*2+(7))),'J1 D - South Bank Avenue'!$A$12:$A$130,"&gt;="&amp;Diagram!$O69,'J1 D - South Bank Avenue'!$A$12:$A$130,"&lt;"&amp;Diagram!$P69),SUMIFS(INDIRECT(ADDRESS(12,3+18*2+(15),,,"J1 D - South Bank Avenue")&amp;":"&amp;ADDRESS(130,3+18*2+(15))),'J1 D - South Bank Avenue'!$A$12:$A$130,"&gt;="&amp;Diagram!$O69,'J1 D - South Bank Avenue'!$A$12:$A$130,"&lt;"&amp;Diagram!$P69)))</f>
        <v>0</v>
      </c>
      <c r="EW69" s="42">
        <f ca="1">IF(OR($I$10="",$O69="",$P69="",$J$42&lt;&gt;"Yes"),0,IF($K$10=0,SUMIFS(INDIRECT(ADDRESS(12,3+18*3+(7),,,"J1 D - South Bank Avenue")&amp;":"&amp;ADDRESS(130,3+18*3+(7))),'J1 D - South Bank Avenue'!$A$12:$A$130,"&gt;="&amp;Diagram!$O69,'J1 D - South Bank Avenue'!$A$12:$A$130,"&lt;"&amp;Diagram!$P69),SUMIFS(INDIRECT(ADDRESS(12,3+18*3+(15),,,"J1 D - South Bank Avenue")&amp;":"&amp;ADDRESS(130,3+18*3+(15))),'J1 D - South Bank Avenue'!$A$12:$A$130,"&gt;="&amp;Diagram!$O69,'J1 D - South Bank Avenue'!$A$12:$A$130,"&lt;"&amp;Diagram!$P69)))</f>
        <v>0</v>
      </c>
    </row>
    <row r="70" spans="1:153">
      <c r="A70" s="1">
        <v>44395.71875</v>
      </c>
      <c r="B70" s="1">
        <v>44395.729166666701</v>
      </c>
      <c r="O70" s="3">
        <v>44395.71875</v>
      </c>
      <c r="P70" s="3">
        <v>44395.760416666701</v>
      </c>
      <c r="Q70" s="42">
        <f t="shared" ca="1" si="10"/>
        <v>764</v>
      </c>
      <c r="R70" s="42">
        <f t="shared" ca="1" si="11"/>
        <v>574</v>
      </c>
      <c r="S70" s="42">
        <f ca="1">IF(OR($I$10="",$O70="",$P70="",$J$35&lt;&gt;"Yes"),0,IF($K$10=0,SUMIFS(INDIRECT(ADDRESS(12,3+18*3+(0),,,"J1 A - (North) Bishopthorpe Roa")&amp;":"&amp;ADDRESS(130,3+18*3+(0))),'J1 A - (North) Bishopthorpe Roa'!$A$12:$A$130,"&gt;="&amp;Diagram!$O70,'J1 A - (North) Bishopthorpe Roa'!$A$12:$A$130,"&lt;"&amp;Diagram!$P70),SUMIFS(INDIRECT(ADDRESS(12,3+18*3+(8),,,"J1 A - (North) Bishopthorpe Roa")&amp;":"&amp;ADDRESS(130,3+18*3+(8))),'J1 A - (North) Bishopthorpe Roa'!$A$12:$A$130,"&gt;="&amp;Diagram!$O70,'J1 A - (North) Bishopthorpe Roa'!$A$12:$A$130,"&lt;"&amp;Diagram!$P70)))</f>
        <v>1</v>
      </c>
      <c r="T70" s="42">
        <f ca="1">IF(OR($I$10="",$O70="",$P70="",$J$35&lt;&gt;"Yes"),0,IF($K$10=0,SUMIFS(INDIRECT(ADDRESS(12,3+18*0+(0),,,"J1 A - (North) Bishopthorpe Roa")&amp;":"&amp;ADDRESS(130,3+18*0+(0))),'J1 A - (North) Bishopthorpe Roa'!$A$12:$A$130,"&gt;="&amp;Diagram!$O70,'J1 A - (North) Bishopthorpe Roa'!$A$12:$A$130,"&lt;"&amp;Diagram!$P70),SUMIFS(INDIRECT(ADDRESS(12,3+18*0+(8),,,"J1 A - (North) Bishopthorpe Roa")&amp;":"&amp;ADDRESS(130,3+18*0+(8))),'J1 A - (North) Bishopthorpe Roa'!$A$12:$A$130,"&gt;="&amp;Diagram!$O70,'J1 A - (North) Bishopthorpe Roa'!$A$12:$A$130,"&lt;"&amp;Diagram!$P70)))</f>
        <v>20</v>
      </c>
      <c r="U70" s="42">
        <f ca="1">IF(OR($I$10="",$O70="",$P70="",$J$35&lt;&gt;"Yes"),0,IF($K$10=0,SUMIFS(INDIRECT(ADDRESS(12,3+18*1+(0),,,"J1 A - (North) Bishopthorpe Roa")&amp;":"&amp;ADDRESS(130,3+18*1+(0))),'J1 A - (North) Bishopthorpe Roa'!$A$12:$A$130,"&gt;="&amp;Diagram!$O70,'J1 A - (North) Bishopthorpe Roa'!$A$12:$A$130,"&lt;"&amp;Diagram!$P70),SUMIFS(INDIRECT(ADDRESS(12,3+18*1+(8),,,"J1 A - (North) Bishopthorpe Roa")&amp;":"&amp;ADDRESS(130,3+18*1+(8))),'J1 A - (North) Bishopthorpe Roa'!$A$12:$A$130,"&gt;="&amp;Diagram!$O70,'J1 A - (North) Bishopthorpe Roa'!$A$12:$A$130,"&lt;"&amp;Diagram!$P70)))</f>
        <v>235</v>
      </c>
      <c r="V70" s="42">
        <f ca="1">IF(OR($I$10="",$O70="",$P70="",$J$35&lt;&gt;"Yes"),0,IF($K$10=0,SUMIFS(INDIRECT(ADDRESS(12,3+18*2+(0),,,"J1 A - (North) Bishopthorpe Roa")&amp;":"&amp;ADDRESS(130,3+18*2+(0))),'J1 A - (North) Bishopthorpe Roa'!$A$12:$A$130,"&gt;="&amp;Diagram!$O70,'J1 A - (North) Bishopthorpe Roa'!$A$12:$A$130,"&lt;"&amp;Diagram!$P70),SUMIFS(INDIRECT(ADDRESS(12,3+18*2+(8),,,"J1 A - (North) Bishopthorpe Roa")&amp;":"&amp;ADDRESS(130,3+18*2+(8))),'J1 A - (North) Bishopthorpe Roa'!$A$12:$A$130,"&gt;="&amp;Diagram!$O70,'J1 A - (North) Bishopthorpe Roa'!$A$12:$A$130,"&lt;"&amp;Diagram!$P70)))</f>
        <v>36</v>
      </c>
      <c r="W70" s="42">
        <f ca="1">IF(OR($I$10="",$O70="",$P70="",$J$35&lt;&gt;"Yes"),0,IF($K$10=0,SUMIFS(INDIRECT(ADDRESS(12,3+18*2+(0),,,"J1 B - Butcher Terrace")&amp;":"&amp;ADDRESS(130,3+18*2+(0))),'J1 B - Butcher Terrace'!$A$12:$A$130,"&gt;="&amp;Diagram!$O70,'J1 B - Butcher Terrace'!$A$12:$A$130,"&lt;"&amp;Diagram!$P70),SUMIFS(INDIRECT(ADDRESS(12,3+18*2+(8),,,"J1 B - Butcher Terrace")&amp;":"&amp;ADDRESS(130,3+18*2+(8))),'J1 B - Butcher Terrace'!$A$12:$A$130,"&gt;="&amp;Diagram!$O70,'J1 B - Butcher Terrace'!$A$12:$A$130,"&lt;"&amp;Diagram!$P70)))</f>
        <v>12</v>
      </c>
      <c r="X70" s="42">
        <f ca="1">IF(OR($I$10="",$O70="",$P70="",$J$35&lt;&gt;"Yes"),0,IF($K$10=0,SUMIFS(INDIRECT(ADDRESS(12,3+18*3+(0),,,"J1 B - Butcher Terrace")&amp;":"&amp;ADDRESS(130,3+18*3+(0))),'J1 B - Butcher Terrace'!$A$12:$A$130,"&gt;="&amp;Diagram!$O70,'J1 B - Butcher Terrace'!$A$12:$A$130,"&lt;"&amp;Diagram!$P70),SUMIFS(INDIRECT(ADDRESS(12,3+18*3+(8),,,"J1 B - Butcher Terrace")&amp;":"&amp;ADDRESS(130,3+18*3+(8))),'J1 B - Butcher Terrace'!$A$12:$A$130,"&gt;="&amp;Diagram!$O70,'J1 B - Butcher Terrace'!$A$12:$A$130,"&lt;"&amp;Diagram!$P70)))</f>
        <v>0</v>
      </c>
      <c r="Y70" s="42">
        <f ca="1">IF(OR($I$10="",$O70="",$P70="",$J$35&lt;&gt;"Yes"),0,IF($K$10=0,SUMIFS(INDIRECT(ADDRESS(12,3+18*0+(0),,,"J1 B - Butcher Terrace")&amp;":"&amp;ADDRESS(130,3+18*0+(0))),'J1 B - Butcher Terrace'!$A$12:$A$130,"&gt;="&amp;Diagram!$O70,'J1 B - Butcher Terrace'!$A$12:$A$130,"&lt;"&amp;Diagram!$P70),SUMIFS(INDIRECT(ADDRESS(12,3+18*0+(8),,,"J1 B - Butcher Terrace")&amp;":"&amp;ADDRESS(130,3+18*0+(8))),'J1 B - Butcher Terrace'!$A$12:$A$130,"&gt;="&amp;Diagram!$O70,'J1 B - Butcher Terrace'!$A$12:$A$130,"&lt;"&amp;Diagram!$P70)))</f>
        <v>9</v>
      </c>
      <c r="Z70" s="42">
        <f ca="1">IF(OR($I$10="",$O70="",$P70="",$J$35&lt;&gt;"Yes"),0,IF($K$10=0,SUMIFS(INDIRECT(ADDRESS(12,3+18*1+(0),,,"J1 B - Butcher Terrace")&amp;":"&amp;ADDRESS(130,3+18*1+(0))),'J1 B - Butcher Terrace'!$A$12:$A$130,"&gt;="&amp;Diagram!$O70,'J1 B - Butcher Terrace'!$A$12:$A$130,"&lt;"&amp;Diagram!$P70),SUMIFS(INDIRECT(ADDRESS(12,3+18*1+(8),,,"J1 B - Butcher Terrace")&amp;":"&amp;ADDRESS(130,3+18*1+(8))),'J1 B - Butcher Terrace'!$A$12:$A$130,"&gt;="&amp;Diagram!$O70,'J1 B - Butcher Terrace'!$A$12:$A$130,"&lt;"&amp;Diagram!$P70)))</f>
        <v>1</v>
      </c>
      <c r="AA70" s="42">
        <f ca="1">IF(OR($I$10="",$O70="",$P70="",$J$35&lt;&gt;"Yes"),0,IF($K$10=0,SUMIFS(INDIRECT(ADDRESS(12,3+18*1+(0),,,"J1 C - (South) Bishopthorpe Roa")&amp;":"&amp;ADDRESS(130,3+18*1+(0))),'J1 C - (South) Bishopthorpe Roa'!$A$12:$A$130,"&gt;="&amp;Diagram!$O70,'J1 C - (South) Bishopthorpe Roa'!$A$12:$A$130,"&lt;"&amp;Diagram!$P70),SUMIFS(INDIRECT(ADDRESS(12,3+18*1+(8),,,"J1 C - (South) Bishopthorpe Roa")&amp;":"&amp;ADDRESS(130,3+18*1+(8))),'J1 C - (South) Bishopthorpe Roa'!$A$12:$A$130,"&gt;="&amp;Diagram!$O70,'J1 C - (South) Bishopthorpe Roa'!$A$12:$A$130,"&lt;"&amp;Diagram!$P70)))</f>
        <v>206</v>
      </c>
      <c r="AB70" s="42">
        <f ca="1">IF(OR($I$10="",$O70="",$P70="",$J$35&lt;&gt;"Yes"),0,IF($K$10=0,SUMIFS(INDIRECT(ADDRESS(12,3+18*2+(0),,,"J1 C - (South) Bishopthorpe Roa")&amp;":"&amp;ADDRESS(130,3+18*2+(0))),'J1 C - (South) Bishopthorpe Roa'!$A$12:$A$130,"&gt;="&amp;Diagram!$O70,'J1 C - (South) Bishopthorpe Roa'!$A$12:$A$130,"&lt;"&amp;Diagram!$P70),SUMIFS(INDIRECT(ADDRESS(12,3+18*2+(8),,,"J1 C - (South) Bishopthorpe Roa")&amp;":"&amp;ADDRESS(130,3+18*2+(8))),'J1 C - (South) Bishopthorpe Roa'!$A$12:$A$130,"&gt;="&amp;Diagram!$O70,'J1 C - (South) Bishopthorpe Roa'!$A$12:$A$130,"&lt;"&amp;Diagram!$P70)))</f>
        <v>13</v>
      </c>
      <c r="AC70" s="42">
        <f ca="1">IF(OR($I$10="",$O70="",$P70="",$J$35&lt;&gt;"Yes"),0,IF($K$10=0,SUMIFS(INDIRECT(ADDRESS(12,3+18*3+(0),,,"J1 C - (South) Bishopthorpe Roa")&amp;":"&amp;ADDRESS(130,3+18*3+(0))),'J1 C - (South) Bishopthorpe Roa'!$A$12:$A$130,"&gt;="&amp;Diagram!$O70,'J1 C - (South) Bishopthorpe Roa'!$A$12:$A$130,"&lt;"&amp;Diagram!$P70),SUMIFS(INDIRECT(ADDRESS(12,3+18*3+(8),,,"J1 C - (South) Bishopthorpe Roa")&amp;":"&amp;ADDRESS(130,3+18*3+(8))),'J1 C - (South) Bishopthorpe Roa'!$A$12:$A$130,"&gt;="&amp;Diagram!$O70,'J1 C - (South) Bishopthorpe Roa'!$A$12:$A$130,"&lt;"&amp;Diagram!$P70)))</f>
        <v>0</v>
      </c>
      <c r="AD70" s="42">
        <f ca="1">IF(OR($I$10="",$O70="",$P70="",$J$35&lt;&gt;"Yes"),0,IF($K$10=0,SUMIFS(INDIRECT(ADDRESS(12,3+18*0+(0),,,"J1 C - (South) Bishopthorpe Roa")&amp;":"&amp;ADDRESS(130,3+18*0+(0))),'J1 C - (South) Bishopthorpe Roa'!$A$12:$A$130,"&gt;="&amp;Diagram!$O70,'J1 C - (South) Bishopthorpe Roa'!$A$12:$A$130,"&lt;"&amp;Diagram!$P70),SUMIFS(INDIRECT(ADDRESS(12,3+18*0+(8),,,"J1 C - (South) Bishopthorpe Roa")&amp;":"&amp;ADDRESS(130,3+18*0+(8))),'J1 C - (South) Bishopthorpe Roa'!$A$12:$A$130,"&gt;="&amp;Diagram!$O70,'J1 C - (South) Bishopthorpe Roa'!$A$12:$A$130,"&lt;"&amp;Diagram!$P70)))</f>
        <v>4</v>
      </c>
      <c r="AE70" s="42">
        <f ca="1">IF(OR($I$10="",$O70="",$P70="",$J$35&lt;&gt;"Yes"),0,IF($K$10=0,SUMIFS(INDIRECT(ADDRESS(12,3+18*0+(0),,,"J1 D - South Bank Avenue")&amp;":"&amp;ADDRESS(130,3+18*0+(0))),'J1 D - South Bank Avenue'!$A$12:$A$130,"&gt;="&amp;Diagram!$O70,'J1 D - South Bank Avenue'!$A$12:$A$130,"&lt;"&amp;Diagram!$P70),SUMIFS(INDIRECT(ADDRESS(12,3+18*0+(8),,,"J1 D - South Bank Avenue")&amp;":"&amp;ADDRESS(130,3+18*0+(8))),'J1 D - South Bank Avenue'!$A$12:$A$130,"&gt;="&amp;Diagram!$O70,'J1 D - South Bank Avenue'!$A$12:$A$130,"&lt;"&amp;Diagram!$P70)))</f>
        <v>28</v>
      </c>
      <c r="AF70" s="42">
        <f ca="1">IF(OR($I$10="",$O70="",$P70="",$J$35&lt;&gt;"Yes"),0,IF($K$10=0,SUMIFS(INDIRECT(ADDRESS(12,3+18*1+(0),,,"J1 D - South Bank Avenue")&amp;":"&amp;ADDRESS(130,3+18*1+(0))),'J1 D - South Bank Avenue'!$A$12:$A$130,"&gt;="&amp;Diagram!$O70,'J1 D - South Bank Avenue'!$A$12:$A$130,"&lt;"&amp;Diagram!$P70),SUMIFS(INDIRECT(ADDRESS(12,3+18*1+(8),,,"J1 D - South Bank Avenue")&amp;":"&amp;ADDRESS(130,3+18*1+(8))),'J1 D - South Bank Avenue'!$A$12:$A$130,"&gt;="&amp;Diagram!$O70,'J1 D - South Bank Avenue'!$A$12:$A$130,"&lt;"&amp;Diagram!$P70)))</f>
        <v>2</v>
      </c>
      <c r="AG70" s="42">
        <f ca="1">IF(OR($I$10="",$O70="",$P70="",$J$35&lt;&gt;"Yes"),0,IF($K$10=0,SUMIFS(INDIRECT(ADDRESS(12,3+18*2+(0),,,"J1 D - South Bank Avenue")&amp;":"&amp;ADDRESS(130,3+18*2+(0))),'J1 D - South Bank Avenue'!$A$12:$A$130,"&gt;="&amp;Diagram!$O70,'J1 D - South Bank Avenue'!$A$12:$A$130,"&lt;"&amp;Diagram!$P70),SUMIFS(INDIRECT(ADDRESS(12,3+18*2+(8),,,"J1 D - South Bank Avenue")&amp;":"&amp;ADDRESS(130,3+18*2+(8))),'J1 D - South Bank Avenue'!$A$12:$A$130,"&gt;="&amp;Diagram!$O70,'J1 D - South Bank Avenue'!$A$12:$A$130,"&lt;"&amp;Diagram!$P70)))</f>
        <v>7</v>
      </c>
      <c r="AH70" s="42">
        <f ca="1">IF(OR($I$10="",$O70="",$P70="",$J$35&lt;&gt;"Yes"),0,IF($K$10=0,SUMIFS(INDIRECT(ADDRESS(12,3+18*3+(0),,,"J1 D - South Bank Avenue")&amp;":"&amp;ADDRESS(130,3+18*3+(0))),'J1 D - South Bank Avenue'!$A$12:$A$130,"&gt;="&amp;Diagram!$O70,'J1 D - South Bank Avenue'!$A$12:$A$130,"&lt;"&amp;Diagram!$P70),SUMIFS(INDIRECT(ADDRESS(12,3+18*3+(8),,,"J1 D - South Bank Avenue")&amp;":"&amp;ADDRESS(130,3+18*3+(8))),'J1 D - South Bank Avenue'!$A$12:$A$130,"&gt;="&amp;Diagram!$O70,'J1 D - South Bank Avenue'!$A$12:$A$130,"&lt;"&amp;Diagram!$P70)))</f>
        <v>0</v>
      </c>
      <c r="AI70" s="42">
        <f t="shared" ca="1" si="12"/>
        <v>27</v>
      </c>
      <c r="AJ70" s="42">
        <f ca="1">IF(OR($I$10="",$O70="",$P70="",$J$36&lt;&gt;"Yes"),0,IF($K$10=0,SUMIFS(INDIRECT(ADDRESS(12,3+18*3+(1),,,"J1 A - (North) Bishopthorpe Roa")&amp;":"&amp;ADDRESS(130,3+18*3+(1))),'J1 A - (North) Bishopthorpe Roa'!$A$12:$A$130,"&gt;="&amp;Diagram!$O70,'J1 A - (North) Bishopthorpe Roa'!$A$12:$A$130,"&lt;"&amp;Diagram!$P70),SUMIFS(INDIRECT(ADDRESS(12,3+18*3+(9),,,"J1 A - (North) Bishopthorpe Roa")&amp;":"&amp;ADDRESS(130,3+18*3+(9))),'J1 A - (North) Bishopthorpe Roa'!$A$12:$A$130,"&gt;="&amp;Diagram!$O70,'J1 A - (North) Bishopthorpe Roa'!$A$12:$A$130,"&lt;"&amp;Diagram!$P70)))</f>
        <v>0</v>
      </c>
      <c r="AK70" s="42">
        <f ca="1">IF(OR($I$10="",$O70="",$P70="",$J$36&lt;&gt;"Yes"),0,IF($K$10=0,SUMIFS(INDIRECT(ADDRESS(12,3+18*0+(1),,,"J1 A - (North) Bishopthorpe Roa")&amp;":"&amp;ADDRESS(130,3+18*0+(1))),'J1 A - (North) Bishopthorpe Roa'!$A$12:$A$130,"&gt;="&amp;Diagram!$O70,'J1 A - (North) Bishopthorpe Roa'!$A$12:$A$130,"&lt;"&amp;Diagram!$P70),SUMIFS(INDIRECT(ADDRESS(12,3+18*0+(9),,,"J1 A - (North) Bishopthorpe Roa")&amp;":"&amp;ADDRESS(130,3+18*0+(9))),'J1 A - (North) Bishopthorpe Roa'!$A$12:$A$130,"&gt;="&amp;Diagram!$O70,'J1 A - (North) Bishopthorpe Roa'!$A$12:$A$130,"&lt;"&amp;Diagram!$P70)))</f>
        <v>4</v>
      </c>
      <c r="AL70" s="42">
        <f ca="1">IF(OR($I$10="",$O70="",$P70="",$J$36&lt;&gt;"Yes"),0,IF($K$10=0,SUMIFS(INDIRECT(ADDRESS(12,3+18*1+(1),,,"J1 A - (North) Bishopthorpe Roa")&amp;":"&amp;ADDRESS(130,3+18*1+(1))),'J1 A - (North) Bishopthorpe Roa'!$A$12:$A$130,"&gt;="&amp;Diagram!$O70,'J1 A - (North) Bishopthorpe Roa'!$A$12:$A$130,"&lt;"&amp;Diagram!$P70),SUMIFS(INDIRECT(ADDRESS(12,3+18*1+(9),,,"J1 A - (North) Bishopthorpe Roa")&amp;":"&amp;ADDRESS(130,3+18*1+(9))),'J1 A - (North) Bishopthorpe Roa'!$A$12:$A$130,"&gt;="&amp;Diagram!$O70,'J1 A - (North) Bishopthorpe Roa'!$A$12:$A$130,"&lt;"&amp;Diagram!$P70)))</f>
        <v>9</v>
      </c>
      <c r="AM70" s="42">
        <f ca="1">IF(OR($I$10="",$O70="",$P70="",$J$36&lt;&gt;"Yes"),0,IF($K$10=0,SUMIFS(INDIRECT(ADDRESS(12,3+18*2+(1),,,"J1 A - (North) Bishopthorpe Roa")&amp;":"&amp;ADDRESS(130,3+18*2+(1))),'J1 A - (North) Bishopthorpe Roa'!$A$12:$A$130,"&gt;="&amp;Diagram!$O70,'J1 A - (North) Bishopthorpe Roa'!$A$12:$A$130,"&lt;"&amp;Diagram!$P70),SUMIFS(INDIRECT(ADDRESS(12,3+18*2+(9),,,"J1 A - (North) Bishopthorpe Roa")&amp;":"&amp;ADDRESS(130,3+18*2+(9))),'J1 A - (North) Bishopthorpe Roa'!$A$12:$A$130,"&gt;="&amp;Diagram!$O70,'J1 A - (North) Bishopthorpe Roa'!$A$12:$A$130,"&lt;"&amp;Diagram!$P70)))</f>
        <v>2</v>
      </c>
      <c r="AN70" s="42">
        <f ca="1">IF(OR($I$10="",$O70="",$P70="",$J$36&lt;&gt;"Yes"),0,IF($K$10=0,SUMIFS(INDIRECT(ADDRESS(12,3+18*2+(1),,,"J1 B - Butcher Terrace")&amp;":"&amp;ADDRESS(130,3+18*2+(1))),'J1 B - Butcher Terrace'!$A$12:$A$130,"&gt;="&amp;Diagram!$O70,'J1 B - Butcher Terrace'!$A$12:$A$130,"&lt;"&amp;Diagram!$P70),SUMIFS(INDIRECT(ADDRESS(12,3+18*2+(9),,,"J1 B - Butcher Terrace")&amp;":"&amp;ADDRESS(130,3+18*2+(9))),'J1 B - Butcher Terrace'!$A$12:$A$130,"&gt;="&amp;Diagram!$O70,'J1 B - Butcher Terrace'!$A$12:$A$130,"&lt;"&amp;Diagram!$P70)))</f>
        <v>0</v>
      </c>
      <c r="AO70" s="42">
        <f ca="1">IF(OR($I$10="",$O70="",$P70="",$J$36&lt;&gt;"Yes"),0,IF($K$10=0,SUMIFS(INDIRECT(ADDRESS(12,3+18*3+(1),,,"J1 B - Butcher Terrace")&amp;":"&amp;ADDRESS(130,3+18*3+(1))),'J1 B - Butcher Terrace'!$A$12:$A$130,"&gt;="&amp;Diagram!$O70,'J1 B - Butcher Terrace'!$A$12:$A$130,"&lt;"&amp;Diagram!$P70),SUMIFS(INDIRECT(ADDRESS(12,3+18*3+(9),,,"J1 B - Butcher Terrace")&amp;":"&amp;ADDRESS(130,3+18*3+(9))),'J1 B - Butcher Terrace'!$A$12:$A$130,"&gt;="&amp;Diagram!$O70,'J1 B - Butcher Terrace'!$A$12:$A$130,"&lt;"&amp;Diagram!$P70)))</f>
        <v>0</v>
      </c>
      <c r="AP70" s="42">
        <f ca="1">IF(OR($I$10="",$O70="",$P70="",$J$36&lt;&gt;"Yes"),0,IF($K$10=0,SUMIFS(INDIRECT(ADDRESS(12,3+18*0+(1),,,"J1 B - Butcher Terrace")&amp;":"&amp;ADDRESS(130,3+18*0+(1))),'J1 B - Butcher Terrace'!$A$12:$A$130,"&gt;="&amp;Diagram!$O70,'J1 B - Butcher Terrace'!$A$12:$A$130,"&lt;"&amp;Diagram!$P70),SUMIFS(INDIRECT(ADDRESS(12,3+18*0+(9),,,"J1 B - Butcher Terrace")&amp;":"&amp;ADDRESS(130,3+18*0+(9))),'J1 B - Butcher Terrace'!$A$12:$A$130,"&gt;="&amp;Diagram!$O70,'J1 B - Butcher Terrace'!$A$12:$A$130,"&lt;"&amp;Diagram!$P70)))</f>
        <v>0</v>
      </c>
      <c r="AQ70" s="42">
        <f ca="1">IF(OR($I$10="",$O70="",$P70="",$J$36&lt;&gt;"Yes"),0,IF($K$10=0,SUMIFS(INDIRECT(ADDRESS(12,3+18*1+(1),,,"J1 B - Butcher Terrace")&amp;":"&amp;ADDRESS(130,3+18*1+(1))),'J1 B - Butcher Terrace'!$A$12:$A$130,"&gt;="&amp;Diagram!$O70,'J1 B - Butcher Terrace'!$A$12:$A$130,"&lt;"&amp;Diagram!$P70),SUMIFS(INDIRECT(ADDRESS(12,3+18*1+(9),,,"J1 B - Butcher Terrace")&amp;":"&amp;ADDRESS(130,3+18*1+(9))),'J1 B - Butcher Terrace'!$A$12:$A$130,"&gt;="&amp;Diagram!$O70,'J1 B - Butcher Terrace'!$A$12:$A$130,"&lt;"&amp;Diagram!$P70)))</f>
        <v>0</v>
      </c>
      <c r="AR70" s="42">
        <f ca="1">IF(OR($I$10="",$O70="",$P70="",$J$36&lt;&gt;"Yes"),0,IF($K$10=0,SUMIFS(INDIRECT(ADDRESS(12,3+18*1+(1),,,"J1 C - (South) Bishopthorpe Roa")&amp;":"&amp;ADDRESS(130,3+18*1+(1))),'J1 C - (South) Bishopthorpe Roa'!$A$12:$A$130,"&gt;="&amp;Diagram!$O70,'J1 C - (South) Bishopthorpe Roa'!$A$12:$A$130,"&lt;"&amp;Diagram!$P70),SUMIFS(INDIRECT(ADDRESS(12,3+18*1+(9),,,"J1 C - (South) Bishopthorpe Roa")&amp;":"&amp;ADDRESS(130,3+18*1+(9))),'J1 C - (South) Bishopthorpe Roa'!$A$12:$A$130,"&gt;="&amp;Diagram!$O70,'J1 C - (South) Bishopthorpe Roa'!$A$12:$A$130,"&lt;"&amp;Diagram!$P70)))</f>
        <v>8</v>
      </c>
      <c r="AS70" s="42">
        <f ca="1">IF(OR($I$10="",$O70="",$P70="",$J$36&lt;&gt;"Yes"),0,IF($K$10=0,SUMIFS(INDIRECT(ADDRESS(12,3+18*2+(1),,,"J1 C - (South) Bishopthorpe Roa")&amp;":"&amp;ADDRESS(130,3+18*2+(1))),'J1 C - (South) Bishopthorpe Roa'!$A$12:$A$130,"&gt;="&amp;Diagram!$O70,'J1 C - (South) Bishopthorpe Roa'!$A$12:$A$130,"&lt;"&amp;Diagram!$P70),SUMIFS(INDIRECT(ADDRESS(12,3+18*2+(9),,,"J1 C - (South) Bishopthorpe Roa")&amp;":"&amp;ADDRESS(130,3+18*2+(9))),'J1 C - (South) Bishopthorpe Roa'!$A$12:$A$130,"&gt;="&amp;Diagram!$O70,'J1 C - (South) Bishopthorpe Roa'!$A$12:$A$130,"&lt;"&amp;Diagram!$P70)))</f>
        <v>0</v>
      </c>
      <c r="AT70" s="42">
        <f ca="1">IF(OR($I$10="",$O70="",$P70="",$J$36&lt;&gt;"Yes"),0,IF($K$10=0,SUMIFS(INDIRECT(ADDRESS(12,3+18*3+(1),,,"J1 C - (South) Bishopthorpe Roa")&amp;":"&amp;ADDRESS(130,3+18*3+(1))),'J1 C - (South) Bishopthorpe Roa'!$A$12:$A$130,"&gt;="&amp;Diagram!$O70,'J1 C - (South) Bishopthorpe Roa'!$A$12:$A$130,"&lt;"&amp;Diagram!$P70),SUMIFS(INDIRECT(ADDRESS(12,3+18*3+(9),,,"J1 C - (South) Bishopthorpe Roa")&amp;":"&amp;ADDRESS(130,3+18*3+(9))),'J1 C - (South) Bishopthorpe Roa'!$A$12:$A$130,"&gt;="&amp;Diagram!$O70,'J1 C - (South) Bishopthorpe Roa'!$A$12:$A$130,"&lt;"&amp;Diagram!$P70)))</f>
        <v>0</v>
      </c>
      <c r="AU70" s="42">
        <f ca="1">IF(OR($I$10="",$O70="",$P70="",$J$36&lt;&gt;"Yes"),0,IF($K$10=0,SUMIFS(INDIRECT(ADDRESS(12,3+18*0+(1),,,"J1 C - (South) Bishopthorpe Roa")&amp;":"&amp;ADDRESS(130,3+18*0+(1))),'J1 C - (South) Bishopthorpe Roa'!$A$12:$A$130,"&gt;="&amp;Diagram!$O70,'J1 C - (South) Bishopthorpe Roa'!$A$12:$A$130,"&lt;"&amp;Diagram!$P70),SUMIFS(INDIRECT(ADDRESS(12,3+18*0+(9),,,"J1 C - (South) Bishopthorpe Roa")&amp;":"&amp;ADDRESS(130,3+18*0+(9))),'J1 C - (South) Bishopthorpe Roa'!$A$12:$A$130,"&gt;="&amp;Diagram!$O70,'J1 C - (South) Bishopthorpe Roa'!$A$12:$A$130,"&lt;"&amp;Diagram!$P70)))</f>
        <v>0</v>
      </c>
      <c r="AV70" s="42">
        <f ca="1">IF(OR($I$10="",$O70="",$P70="",$J$36&lt;&gt;"Yes"),0,IF($K$10=0,SUMIFS(INDIRECT(ADDRESS(12,3+18*0+(1),,,"J1 D - South Bank Avenue")&amp;":"&amp;ADDRESS(130,3+18*0+(1))),'J1 D - South Bank Avenue'!$A$12:$A$130,"&gt;="&amp;Diagram!$O70,'J1 D - South Bank Avenue'!$A$12:$A$130,"&lt;"&amp;Diagram!$P70),SUMIFS(INDIRECT(ADDRESS(12,3+18*0+(9),,,"J1 D - South Bank Avenue")&amp;":"&amp;ADDRESS(130,3+18*0+(9))),'J1 D - South Bank Avenue'!$A$12:$A$130,"&gt;="&amp;Diagram!$O70,'J1 D - South Bank Avenue'!$A$12:$A$130,"&lt;"&amp;Diagram!$P70)))</f>
        <v>4</v>
      </c>
      <c r="AW70" s="42">
        <f ca="1">IF(OR($I$10="",$O70="",$P70="",$J$36&lt;&gt;"Yes"),0,IF($K$10=0,SUMIFS(INDIRECT(ADDRESS(12,3+18*1+(1),,,"J1 D - South Bank Avenue")&amp;":"&amp;ADDRESS(130,3+18*1+(1))),'J1 D - South Bank Avenue'!$A$12:$A$130,"&gt;="&amp;Diagram!$O70,'J1 D - South Bank Avenue'!$A$12:$A$130,"&lt;"&amp;Diagram!$P70),SUMIFS(INDIRECT(ADDRESS(12,3+18*1+(9),,,"J1 D - South Bank Avenue")&amp;":"&amp;ADDRESS(130,3+18*1+(9))),'J1 D - South Bank Avenue'!$A$12:$A$130,"&gt;="&amp;Diagram!$O70,'J1 D - South Bank Avenue'!$A$12:$A$130,"&lt;"&amp;Diagram!$P70)))</f>
        <v>0</v>
      </c>
      <c r="AX70" s="42">
        <f ca="1">IF(OR($I$10="",$O70="",$P70="",$J$36&lt;&gt;"Yes"),0,IF($K$10=0,SUMIFS(INDIRECT(ADDRESS(12,3+18*2+(1),,,"J1 D - South Bank Avenue")&amp;":"&amp;ADDRESS(130,3+18*2+(1))),'J1 D - South Bank Avenue'!$A$12:$A$130,"&gt;="&amp;Diagram!$O70,'J1 D - South Bank Avenue'!$A$12:$A$130,"&lt;"&amp;Diagram!$P70),SUMIFS(INDIRECT(ADDRESS(12,3+18*2+(9),,,"J1 D - South Bank Avenue")&amp;":"&amp;ADDRESS(130,3+18*2+(9))),'J1 D - South Bank Avenue'!$A$12:$A$130,"&gt;="&amp;Diagram!$O70,'J1 D - South Bank Avenue'!$A$12:$A$130,"&lt;"&amp;Diagram!$P70)))</f>
        <v>0</v>
      </c>
      <c r="AY70" s="42">
        <f ca="1">IF(OR($I$10="",$O70="",$P70="",$J$36&lt;&gt;"Yes"),0,IF($K$10=0,SUMIFS(INDIRECT(ADDRESS(12,3+18*3+(1),,,"J1 D - South Bank Avenue")&amp;":"&amp;ADDRESS(130,3+18*3+(1))),'J1 D - South Bank Avenue'!$A$12:$A$130,"&gt;="&amp;Diagram!$O70,'J1 D - South Bank Avenue'!$A$12:$A$130,"&lt;"&amp;Diagram!$P70),SUMIFS(INDIRECT(ADDRESS(12,3+18*3+(9),,,"J1 D - South Bank Avenue")&amp;":"&amp;ADDRESS(130,3+18*3+(9))),'J1 D - South Bank Avenue'!$A$12:$A$130,"&gt;="&amp;Diagram!$O70,'J1 D - South Bank Avenue'!$A$12:$A$130,"&lt;"&amp;Diagram!$P70)))</f>
        <v>0</v>
      </c>
      <c r="AZ70" s="42">
        <f t="shared" ca="1" si="13"/>
        <v>3</v>
      </c>
      <c r="BA70" s="42">
        <f ca="1">IF(OR($I$10="",$O70="",$P70="",$J$37&lt;&gt;"Yes"),0,IF($K$10=0,SUMIFS(INDIRECT(ADDRESS(12,3+18*3+(2),,,"J1 A - (North) Bishopthorpe Roa")&amp;":"&amp;ADDRESS(130,3+18*3+(2))),'J1 A - (North) Bishopthorpe Roa'!$A$12:$A$130,"&gt;="&amp;Diagram!$O70,'J1 A - (North) Bishopthorpe Roa'!$A$12:$A$130,"&lt;"&amp;Diagram!$P70),SUMIFS(INDIRECT(ADDRESS(12,3+18*3+(10),,,"J1 A - (North) Bishopthorpe Roa")&amp;":"&amp;ADDRESS(130,3+18*3+(10))),'J1 A - (North) Bishopthorpe Roa'!$A$12:$A$130,"&gt;="&amp;Diagram!$O70,'J1 A - (North) Bishopthorpe Roa'!$A$12:$A$130,"&lt;"&amp;Diagram!$P70)))</f>
        <v>0</v>
      </c>
      <c r="BB70" s="42">
        <f ca="1">IF(OR($I$10="",$O70="",$P70="",$J$37&lt;&gt;"Yes"),0,IF($K$10=0,SUMIFS(INDIRECT(ADDRESS(12,3+18*0+(2),,,"J1 A - (North) Bishopthorpe Roa")&amp;":"&amp;ADDRESS(130,3+18*0+(2))),'J1 A - (North) Bishopthorpe Roa'!$A$12:$A$130,"&gt;="&amp;Diagram!$O70,'J1 A - (North) Bishopthorpe Roa'!$A$12:$A$130,"&lt;"&amp;Diagram!$P70),SUMIFS(INDIRECT(ADDRESS(12,3+18*0+(10),,,"J1 A - (North) Bishopthorpe Roa")&amp;":"&amp;ADDRESS(130,3+18*0+(10))),'J1 A - (North) Bishopthorpe Roa'!$A$12:$A$130,"&gt;="&amp;Diagram!$O70,'J1 A - (North) Bishopthorpe Roa'!$A$12:$A$130,"&lt;"&amp;Diagram!$P70)))</f>
        <v>1</v>
      </c>
      <c r="BC70" s="42">
        <f ca="1">IF(OR($I$10="",$O70="",$P70="",$J$37&lt;&gt;"Yes"),0,IF($K$10=0,SUMIFS(INDIRECT(ADDRESS(12,3+18*1+(2),,,"J1 A - (North) Bishopthorpe Roa")&amp;":"&amp;ADDRESS(130,3+18*1+(2))),'J1 A - (North) Bishopthorpe Roa'!$A$12:$A$130,"&gt;="&amp;Diagram!$O70,'J1 A - (North) Bishopthorpe Roa'!$A$12:$A$130,"&lt;"&amp;Diagram!$P70),SUMIFS(INDIRECT(ADDRESS(12,3+18*1+(10),,,"J1 A - (North) Bishopthorpe Roa")&amp;":"&amp;ADDRESS(130,3+18*1+(10))),'J1 A - (North) Bishopthorpe Roa'!$A$12:$A$130,"&gt;="&amp;Diagram!$O70,'J1 A - (North) Bishopthorpe Roa'!$A$12:$A$130,"&lt;"&amp;Diagram!$P70)))</f>
        <v>0</v>
      </c>
      <c r="BD70" s="42">
        <f ca="1">IF(OR($I$10="",$O70="",$P70="",$J$37&lt;&gt;"Yes"),0,IF($K$10=0,SUMIFS(INDIRECT(ADDRESS(12,3+18*2+(2),,,"J1 A - (North) Bishopthorpe Roa")&amp;":"&amp;ADDRESS(130,3+18*2+(2))),'J1 A - (North) Bishopthorpe Roa'!$A$12:$A$130,"&gt;="&amp;Diagram!$O70,'J1 A - (North) Bishopthorpe Roa'!$A$12:$A$130,"&lt;"&amp;Diagram!$P70),SUMIFS(INDIRECT(ADDRESS(12,3+18*2+(10),,,"J1 A - (North) Bishopthorpe Roa")&amp;":"&amp;ADDRESS(130,3+18*2+(10))),'J1 A - (North) Bishopthorpe Roa'!$A$12:$A$130,"&gt;="&amp;Diagram!$O70,'J1 A - (North) Bishopthorpe Roa'!$A$12:$A$130,"&lt;"&amp;Diagram!$P70)))</f>
        <v>1</v>
      </c>
      <c r="BE70" s="42">
        <f ca="1">IF(OR($I$10="",$O70="",$P70="",$J$37&lt;&gt;"Yes"),0,IF($K$10=0,SUMIFS(INDIRECT(ADDRESS(12,3+18*2+(2),,,"J1 B - Butcher Terrace")&amp;":"&amp;ADDRESS(130,3+18*2+(2))),'J1 B - Butcher Terrace'!$A$12:$A$130,"&gt;="&amp;Diagram!$O70,'J1 B - Butcher Terrace'!$A$12:$A$130,"&lt;"&amp;Diagram!$P70),SUMIFS(INDIRECT(ADDRESS(12,3+18*2+(10),,,"J1 B - Butcher Terrace")&amp;":"&amp;ADDRESS(130,3+18*2+(10))),'J1 B - Butcher Terrace'!$A$12:$A$130,"&gt;="&amp;Diagram!$O70,'J1 B - Butcher Terrace'!$A$12:$A$130,"&lt;"&amp;Diagram!$P70)))</f>
        <v>0</v>
      </c>
      <c r="BF70" s="42">
        <f ca="1">IF(OR($I$10="",$O70="",$P70="",$J$37&lt;&gt;"Yes"),0,IF($K$10=0,SUMIFS(INDIRECT(ADDRESS(12,3+18*3+(2),,,"J1 B - Butcher Terrace")&amp;":"&amp;ADDRESS(130,3+18*3+(2))),'J1 B - Butcher Terrace'!$A$12:$A$130,"&gt;="&amp;Diagram!$O70,'J1 B - Butcher Terrace'!$A$12:$A$130,"&lt;"&amp;Diagram!$P70),SUMIFS(INDIRECT(ADDRESS(12,3+18*3+(10),,,"J1 B - Butcher Terrace")&amp;":"&amp;ADDRESS(130,3+18*3+(10))),'J1 B - Butcher Terrace'!$A$12:$A$130,"&gt;="&amp;Diagram!$O70,'J1 B - Butcher Terrace'!$A$12:$A$130,"&lt;"&amp;Diagram!$P70)))</f>
        <v>0</v>
      </c>
      <c r="BG70" s="42">
        <f ca="1">IF(OR($I$10="",$O70="",$P70="",$J$37&lt;&gt;"Yes"),0,IF($K$10=0,SUMIFS(INDIRECT(ADDRESS(12,3+18*0+(2),,,"J1 B - Butcher Terrace")&amp;":"&amp;ADDRESS(130,3+18*0+(2))),'J1 B - Butcher Terrace'!$A$12:$A$130,"&gt;="&amp;Diagram!$O70,'J1 B - Butcher Terrace'!$A$12:$A$130,"&lt;"&amp;Diagram!$P70),SUMIFS(INDIRECT(ADDRESS(12,3+18*0+(10),,,"J1 B - Butcher Terrace")&amp;":"&amp;ADDRESS(130,3+18*0+(10))),'J1 B - Butcher Terrace'!$A$12:$A$130,"&gt;="&amp;Diagram!$O70,'J1 B - Butcher Terrace'!$A$12:$A$130,"&lt;"&amp;Diagram!$P70)))</f>
        <v>0</v>
      </c>
      <c r="BH70" s="42">
        <f ca="1">IF(OR($I$10="",$O70="",$P70="",$J$37&lt;&gt;"Yes"),0,IF($K$10=0,SUMIFS(INDIRECT(ADDRESS(12,3+18*1+(2),,,"J1 B - Butcher Terrace")&amp;":"&amp;ADDRESS(130,3+18*1+(2))),'J1 B - Butcher Terrace'!$A$12:$A$130,"&gt;="&amp;Diagram!$O70,'J1 B - Butcher Terrace'!$A$12:$A$130,"&lt;"&amp;Diagram!$P70),SUMIFS(INDIRECT(ADDRESS(12,3+18*1+(10),,,"J1 B - Butcher Terrace")&amp;":"&amp;ADDRESS(130,3+18*1+(10))),'J1 B - Butcher Terrace'!$A$12:$A$130,"&gt;="&amp;Diagram!$O70,'J1 B - Butcher Terrace'!$A$12:$A$130,"&lt;"&amp;Diagram!$P70)))</f>
        <v>0</v>
      </c>
      <c r="BI70" s="42">
        <f ca="1">IF(OR($I$10="",$O70="",$P70="",$J$37&lt;&gt;"Yes"),0,IF($K$10=0,SUMIFS(INDIRECT(ADDRESS(12,3+18*1+(2),,,"J1 C - (South) Bishopthorpe Roa")&amp;":"&amp;ADDRESS(130,3+18*1+(2))),'J1 C - (South) Bishopthorpe Roa'!$A$12:$A$130,"&gt;="&amp;Diagram!$O70,'J1 C - (South) Bishopthorpe Roa'!$A$12:$A$130,"&lt;"&amp;Diagram!$P70),SUMIFS(INDIRECT(ADDRESS(12,3+18*1+(10),,,"J1 C - (South) Bishopthorpe Roa")&amp;":"&amp;ADDRESS(130,3+18*1+(10))),'J1 C - (South) Bishopthorpe Roa'!$A$12:$A$130,"&gt;="&amp;Diagram!$O70,'J1 C - (South) Bishopthorpe Roa'!$A$12:$A$130,"&lt;"&amp;Diagram!$P70)))</f>
        <v>1</v>
      </c>
      <c r="BJ70" s="42">
        <f ca="1">IF(OR($I$10="",$O70="",$P70="",$J$37&lt;&gt;"Yes"),0,IF($K$10=0,SUMIFS(INDIRECT(ADDRESS(12,3+18*2+(2),,,"J1 C - (South) Bishopthorpe Roa")&amp;":"&amp;ADDRESS(130,3+18*2+(2))),'J1 C - (South) Bishopthorpe Roa'!$A$12:$A$130,"&gt;="&amp;Diagram!$O70,'J1 C - (South) Bishopthorpe Roa'!$A$12:$A$130,"&lt;"&amp;Diagram!$P70),SUMIFS(INDIRECT(ADDRESS(12,3+18*2+(10),,,"J1 C - (South) Bishopthorpe Roa")&amp;":"&amp;ADDRESS(130,3+18*2+(10))),'J1 C - (South) Bishopthorpe Roa'!$A$12:$A$130,"&gt;="&amp;Diagram!$O70,'J1 C - (South) Bishopthorpe Roa'!$A$12:$A$130,"&lt;"&amp;Diagram!$P70)))</f>
        <v>0</v>
      </c>
      <c r="BK70" s="42">
        <f ca="1">IF(OR($I$10="",$O70="",$P70="",$J$37&lt;&gt;"Yes"),0,IF($K$10=0,SUMIFS(INDIRECT(ADDRESS(12,3+18*3+(2),,,"J1 C - (South) Bishopthorpe Roa")&amp;":"&amp;ADDRESS(130,3+18*3+(2))),'J1 C - (South) Bishopthorpe Roa'!$A$12:$A$130,"&gt;="&amp;Diagram!$O70,'J1 C - (South) Bishopthorpe Roa'!$A$12:$A$130,"&lt;"&amp;Diagram!$P70),SUMIFS(INDIRECT(ADDRESS(12,3+18*3+(10),,,"J1 C - (South) Bishopthorpe Roa")&amp;":"&amp;ADDRESS(130,3+18*3+(10))),'J1 C - (South) Bishopthorpe Roa'!$A$12:$A$130,"&gt;="&amp;Diagram!$O70,'J1 C - (South) Bishopthorpe Roa'!$A$12:$A$130,"&lt;"&amp;Diagram!$P70)))</f>
        <v>0</v>
      </c>
      <c r="BL70" s="42">
        <f ca="1">IF(OR($I$10="",$O70="",$P70="",$J$37&lt;&gt;"Yes"),0,IF($K$10=0,SUMIFS(INDIRECT(ADDRESS(12,3+18*0+(2),,,"J1 C - (South) Bishopthorpe Roa")&amp;":"&amp;ADDRESS(130,3+18*0+(2))),'J1 C - (South) Bishopthorpe Roa'!$A$12:$A$130,"&gt;="&amp;Diagram!$O70,'J1 C - (South) Bishopthorpe Roa'!$A$12:$A$130,"&lt;"&amp;Diagram!$P70),SUMIFS(INDIRECT(ADDRESS(12,3+18*0+(10),,,"J1 C - (South) Bishopthorpe Roa")&amp;":"&amp;ADDRESS(130,3+18*0+(10))),'J1 C - (South) Bishopthorpe Roa'!$A$12:$A$130,"&gt;="&amp;Diagram!$O70,'J1 C - (South) Bishopthorpe Roa'!$A$12:$A$130,"&lt;"&amp;Diagram!$P70)))</f>
        <v>0</v>
      </c>
      <c r="BM70" s="42">
        <f ca="1">IF(OR($I$10="",$O70="",$P70="",$J$37&lt;&gt;"Yes"),0,IF($K$10=0,SUMIFS(INDIRECT(ADDRESS(12,3+18*0+(2),,,"J1 D - South Bank Avenue")&amp;":"&amp;ADDRESS(130,3+18*0+(2))),'J1 D - South Bank Avenue'!$A$12:$A$130,"&gt;="&amp;Diagram!$O70,'J1 D - South Bank Avenue'!$A$12:$A$130,"&lt;"&amp;Diagram!$P70),SUMIFS(INDIRECT(ADDRESS(12,3+18*0+(10),,,"J1 D - South Bank Avenue")&amp;":"&amp;ADDRESS(130,3+18*0+(10))),'J1 D - South Bank Avenue'!$A$12:$A$130,"&gt;="&amp;Diagram!$O70,'J1 D - South Bank Avenue'!$A$12:$A$130,"&lt;"&amp;Diagram!$P70)))</f>
        <v>0</v>
      </c>
      <c r="BN70" s="42">
        <f ca="1">IF(OR($I$10="",$O70="",$P70="",$J$37&lt;&gt;"Yes"),0,IF($K$10=0,SUMIFS(INDIRECT(ADDRESS(12,3+18*1+(2),,,"J1 D - South Bank Avenue")&amp;":"&amp;ADDRESS(130,3+18*1+(2))),'J1 D - South Bank Avenue'!$A$12:$A$130,"&gt;="&amp;Diagram!$O70,'J1 D - South Bank Avenue'!$A$12:$A$130,"&lt;"&amp;Diagram!$P70),SUMIFS(INDIRECT(ADDRESS(12,3+18*1+(10),,,"J1 D - South Bank Avenue")&amp;":"&amp;ADDRESS(130,3+18*1+(10))),'J1 D - South Bank Avenue'!$A$12:$A$130,"&gt;="&amp;Diagram!$O70,'J1 D - South Bank Avenue'!$A$12:$A$130,"&lt;"&amp;Diagram!$P70)))</f>
        <v>0</v>
      </c>
      <c r="BO70" s="42">
        <f ca="1">IF(OR($I$10="",$O70="",$P70="",$J$37&lt;&gt;"Yes"),0,IF($K$10=0,SUMIFS(INDIRECT(ADDRESS(12,3+18*2+(2),,,"J1 D - South Bank Avenue")&amp;":"&amp;ADDRESS(130,3+18*2+(2))),'J1 D - South Bank Avenue'!$A$12:$A$130,"&gt;="&amp;Diagram!$O70,'J1 D - South Bank Avenue'!$A$12:$A$130,"&lt;"&amp;Diagram!$P70),SUMIFS(INDIRECT(ADDRESS(12,3+18*2+(10),,,"J1 D - South Bank Avenue")&amp;":"&amp;ADDRESS(130,3+18*2+(10))),'J1 D - South Bank Avenue'!$A$12:$A$130,"&gt;="&amp;Diagram!$O70,'J1 D - South Bank Avenue'!$A$12:$A$130,"&lt;"&amp;Diagram!$P70)))</f>
        <v>0</v>
      </c>
      <c r="BP70" s="42">
        <f ca="1">IF(OR($I$10="",$O70="",$P70="",$J$37&lt;&gt;"Yes"),0,IF($K$10=0,SUMIFS(INDIRECT(ADDRESS(12,3+18*3+(2),,,"J1 D - South Bank Avenue")&amp;":"&amp;ADDRESS(130,3+18*3+(2))),'J1 D - South Bank Avenue'!$A$12:$A$130,"&gt;="&amp;Diagram!$O70,'J1 D - South Bank Avenue'!$A$12:$A$130,"&lt;"&amp;Diagram!$P70),SUMIFS(INDIRECT(ADDRESS(12,3+18*3+(10),,,"J1 D - South Bank Avenue")&amp;":"&amp;ADDRESS(130,3+18*3+(10))),'J1 D - South Bank Avenue'!$A$12:$A$130,"&gt;="&amp;Diagram!$O70,'J1 D - South Bank Avenue'!$A$12:$A$130,"&lt;"&amp;Diagram!$P70)))</f>
        <v>0</v>
      </c>
      <c r="BQ70" s="42">
        <f t="shared" ca="1" si="14"/>
        <v>0</v>
      </c>
      <c r="BR70" s="42">
        <f ca="1">IF(OR($I$10="",$O70="",$P70="",$J$38&lt;&gt;"Yes"),0,IF($K$10=0,SUMIFS(INDIRECT(ADDRESS(12,3+18*3+(3),,,"J1 A - (North) Bishopthorpe Roa")&amp;":"&amp;ADDRESS(130,3+18*3+(3))),'J1 A - (North) Bishopthorpe Roa'!$A$12:$A$130,"&gt;="&amp;Diagram!$O70,'J1 A - (North) Bishopthorpe Roa'!$A$12:$A$130,"&lt;"&amp;Diagram!$P70),SUMIFS(INDIRECT(ADDRESS(12,3+18*3+(11),,,"J1 A - (North) Bishopthorpe Roa")&amp;":"&amp;ADDRESS(130,3+18*3+(11))),'J1 A - (North) Bishopthorpe Roa'!$A$12:$A$130,"&gt;="&amp;Diagram!$O70,'J1 A - (North) Bishopthorpe Roa'!$A$12:$A$130,"&lt;"&amp;Diagram!$P70)))</f>
        <v>0</v>
      </c>
      <c r="BS70" s="42">
        <f ca="1">IF(OR($I$10="",$O70="",$P70="",$J$38&lt;&gt;"Yes"),0,IF($K$10=0,SUMIFS(INDIRECT(ADDRESS(12,3+18*0+(3),,,"J1 A - (North) Bishopthorpe Roa")&amp;":"&amp;ADDRESS(130,3+18*0+(3))),'J1 A - (North) Bishopthorpe Roa'!$A$12:$A$130,"&gt;="&amp;Diagram!$O70,'J1 A - (North) Bishopthorpe Roa'!$A$12:$A$130,"&lt;"&amp;Diagram!$P70),SUMIFS(INDIRECT(ADDRESS(12,3+18*0+(11),,,"J1 A - (North) Bishopthorpe Roa")&amp;":"&amp;ADDRESS(130,3+18*0+(11))),'J1 A - (North) Bishopthorpe Roa'!$A$12:$A$130,"&gt;="&amp;Diagram!$O70,'J1 A - (North) Bishopthorpe Roa'!$A$12:$A$130,"&lt;"&amp;Diagram!$P70)))</f>
        <v>0</v>
      </c>
      <c r="BT70" s="42">
        <f ca="1">IF(OR($I$10="",$O70="",$P70="",$J$38&lt;&gt;"Yes"),0,IF($K$10=0,SUMIFS(INDIRECT(ADDRESS(12,3+18*1+(3),,,"J1 A - (North) Bishopthorpe Roa")&amp;":"&amp;ADDRESS(130,3+18*1+(3))),'J1 A - (North) Bishopthorpe Roa'!$A$12:$A$130,"&gt;="&amp;Diagram!$O70,'J1 A - (North) Bishopthorpe Roa'!$A$12:$A$130,"&lt;"&amp;Diagram!$P70),SUMIFS(INDIRECT(ADDRESS(12,3+18*1+(11),,,"J1 A - (North) Bishopthorpe Roa")&amp;":"&amp;ADDRESS(130,3+18*1+(11))),'J1 A - (North) Bishopthorpe Roa'!$A$12:$A$130,"&gt;="&amp;Diagram!$O70,'J1 A - (North) Bishopthorpe Roa'!$A$12:$A$130,"&lt;"&amp;Diagram!$P70)))</f>
        <v>0</v>
      </c>
      <c r="BU70" s="42">
        <f ca="1">IF(OR($I$10="",$O70="",$P70="",$J$38&lt;&gt;"Yes"),0,IF($K$10=0,SUMIFS(INDIRECT(ADDRESS(12,3+18*2+(3),,,"J1 A - (North) Bishopthorpe Roa")&amp;":"&amp;ADDRESS(130,3+18*2+(3))),'J1 A - (North) Bishopthorpe Roa'!$A$12:$A$130,"&gt;="&amp;Diagram!$O70,'J1 A - (North) Bishopthorpe Roa'!$A$12:$A$130,"&lt;"&amp;Diagram!$P70),SUMIFS(INDIRECT(ADDRESS(12,3+18*2+(11),,,"J1 A - (North) Bishopthorpe Roa")&amp;":"&amp;ADDRESS(130,3+18*2+(11))),'J1 A - (North) Bishopthorpe Roa'!$A$12:$A$130,"&gt;="&amp;Diagram!$O70,'J1 A - (North) Bishopthorpe Roa'!$A$12:$A$130,"&lt;"&amp;Diagram!$P70)))</f>
        <v>0</v>
      </c>
      <c r="BV70" s="42">
        <f ca="1">IF(OR($I$10="",$O70="",$P70="",$J$38&lt;&gt;"Yes"),0,IF($K$10=0,SUMIFS(INDIRECT(ADDRESS(12,3+18*2+(3),,,"J1 B - Butcher Terrace")&amp;":"&amp;ADDRESS(130,3+18*2+(3))),'J1 B - Butcher Terrace'!$A$12:$A$130,"&gt;="&amp;Diagram!$O70,'J1 B - Butcher Terrace'!$A$12:$A$130,"&lt;"&amp;Diagram!$P70),SUMIFS(INDIRECT(ADDRESS(12,3+18*2+(11),,,"J1 B - Butcher Terrace")&amp;":"&amp;ADDRESS(130,3+18*2+(11))),'J1 B - Butcher Terrace'!$A$12:$A$130,"&gt;="&amp;Diagram!$O70,'J1 B - Butcher Terrace'!$A$12:$A$130,"&lt;"&amp;Diagram!$P70)))</f>
        <v>0</v>
      </c>
      <c r="BW70" s="42">
        <f ca="1">IF(OR($I$10="",$O70="",$P70="",$J$38&lt;&gt;"Yes"),0,IF($K$10=0,SUMIFS(INDIRECT(ADDRESS(12,3+18*3+(3),,,"J1 B - Butcher Terrace")&amp;":"&amp;ADDRESS(130,3+18*3+(3))),'J1 B - Butcher Terrace'!$A$12:$A$130,"&gt;="&amp;Diagram!$O70,'J1 B - Butcher Terrace'!$A$12:$A$130,"&lt;"&amp;Diagram!$P70),SUMIFS(INDIRECT(ADDRESS(12,3+18*3+(11),,,"J1 B - Butcher Terrace")&amp;":"&amp;ADDRESS(130,3+18*3+(11))),'J1 B - Butcher Terrace'!$A$12:$A$130,"&gt;="&amp;Diagram!$O70,'J1 B - Butcher Terrace'!$A$12:$A$130,"&lt;"&amp;Diagram!$P70)))</f>
        <v>0</v>
      </c>
      <c r="BX70" s="42">
        <f ca="1">IF(OR($I$10="",$O70="",$P70="",$J$38&lt;&gt;"Yes"),0,IF($K$10=0,SUMIFS(INDIRECT(ADDRESS(12,3+18*0+(3),,,"J1 B - Butcher Terrace")&amp;":"&amp;ADDRESS(130,3+18*0+(3))),'J1 B - Butcher Terrace'!$A$12:$A$130,"&gt;="&amp;Diagram!$O70,'J1 B - Butcher Terrace'!$A$12:$A$130,"&lt;"&amp;Diagram!$P70),SUMIFS(INDIRECT(ADDRESS(12,3+18*0+(11),,,"J1 B - Butcher Terrace")&amp;":"&amp;ADDRESS(130,3+18*0+(11))),'J1 B - Butcher Terrace'!$A$12:$A$130,"&gt;="&amp;Diagram!$O70,'J1 B - Butcher Terrace'!$A$12:$A$130,"&lt;"&amp;Diagram!$P70)))</f>
        <v>0</v>
      </c>
      <c r="BY70" s="42">
        <f ca="1">IF(OR($I$10="",$O70="",$P70="",$J$38&lt;&gt;"Yes"),0,IF($K$10=0,SUMIFS(INDIRECT(ADDRESS(12,3+18*1+(3),,,"J1 B - Butcher Terrace")&amp;":"&amp;ADDRESS(130,3+18*1+(3))),'J1 B - Butcher Terrace'!$A$12:$A$130,"&gt;="&amp;Diagram!$O70,'J1 B - Butcher Terrace'!$A$12:$A$130,"&lt;"&amp;Diagram!$P70),SUMIFS(INDIRECT(ADDRESS(12,3+18*1+(11),,,"J1 B - Butcher Terrace")&amp;":"&amp;ADDRESS(130,3+18*1+(11))),'J1 B - Butcher Terrace'!$A$12:$A$130,"&gt;="&amp;Diagram!$O70,'J1 B - Butcher Terrace'!$A$12:$A$130,"&lt;"&amp;Diagram!$P70)))</f>
        <v>0</v>
      </c>
      <c r="BZ70" s="42">
        <f ca="1">IF(OR($I$10="",$O70="",$P70="",$J$38&lt;&gt;"Yes"),0,IF($K$10=0,SUMIFS(INDIRECT(ADDRESS(12,3+18*1+(3),,,"J1 C - (South) Bishopthorpe Roa")&amp;":"&amp;ADDRESS(130,3+18*1+(3))),'J1 C - (South) Bishopthorpe Roa'!$A$12:$A$130,"&gt;="&amp;Diagram!$O70,'J1 C - (South) Bishopthorpe Roa'!$A$12:$A$130,"&lt;"&amp;Diagram!$P70),SUMIFS(INDIRECT(ADDRESS(12,3+18*1+(11),,,"J1 C - (South) Bishopthorpe Roa")&amp;":"&amp;ADDRESS(130,3+18*1+(11))),'J1 C - (South) Bishopthorpe Roa'!$A$12:$A$130,"&gt;="&amp;Diagram!$O70,'J1 C - (South) Bishopthorpe Roa'!$A$12:$A$130,"&lt;"&amp;Diagram!$P70)))</f>
        <v>0</v>
      </c>
      <c r="CA70" s="42">
        <f ca="1">IF(OR($I$10="",$O70="",$P70="",$J$38&lt;&gt;"Yes"),0,IF($K$10=0,SUMIFS(INDIRECT(ADDRESS(12,3+18*2+(3),,,"J1 C - (South) Bishopthorpe Roa")&amp;":"&amp;ADDRESS(130,3+18*2+(3))),'J1 C - (South) Bishopthorpe Roa'!$A$12:$A$130,"&gt;="&amp;Diagram!$O70,'J1 C - (South) Bishopthorpe Roa'!$A$12:$A$130,"&lt;"&amp;Diagram!$P70),SUMIFS(INDIRECT(ADDRESS(12,3+18*2+(11),,,"J1 C - (South) Bishopthorpe Roa")&amp;":"&amp;ADDRESS(130,3+18*2+(11))),'J1 C - (South) Bishopthorpe Roa'!$A$12:$A$130,"&gt;="&amp;Diagram!$O70,'J1 C - (South) Bishopthorpe Roa'!$A$12:$A$130,"&lt;"&amp;Diagram!$P70)))</f>
        <v>0</v>
      </c>
      <c r="CB70" s="42">
        <f ca="1">IF(OR($I$10="",$O70="",$P70="",$J$38&lt;&gt;"Yes"),0,IF($K$10=0,SUMIFS(INDIRECT(ADDRESS(12,3+18*3+(3),,,"J1 C - (South) Bishopthorpe Roa")&amp;":"&amp;ADDRESS(130,3+18*3+(3))),'J1 C - (South) Bishopthorpe Roa'!$A$12:$A$130,"&gt;="&amp;Diagram!$O70,'J1 C - (South) Bishopthorpe Roa'!$A$12:$A$130,"&lt;"&amp;Diagram!$P70),SUMIFS(INDIRECT(ADDRESS(12,3+18*3+(11),,,"J1 C - (South) Bishopthorpe Roa")&amp;":"&amp;ADDRESS(130,3+18*3+(11))),'J1 C - (South) Bishopthorpe Roa'!$A$12:$A$130,"&gt;="&amp;Diagram!$O70,'J1 C - (South) Bishopthorpe Roa'!$A$12:$A$130,"&lt;"&amp;Diagram!$P70)))</f>
        <v>0</v>
      </c>
      <c r="CC70" s="42">
        <f ca="1">IF(OR($I$10="",$O70="",$P70="",$J$38&lt;&gt;"Yes"),0,IF($K$10=0,SUMIFS(INDIRECT(ADDRESS(12,3+18*0+(3),,,"J1 C - (South) Bishopthorpe Roa")&amp;":"&amp;ADDRESS(130,3+18*0+(3))),'J1 C - (South) Bishopthorpe Roa'!$A$12:$A$130,"&gt;="&amp;Diagram!$O70,'J1 C - (South) Bishopthorpe Roa'!$A$12:$A$130,"&lt;"&amp;Diagram!$P70),SUMIFS(INDIRECT(ADDRESS(12,3+18*0+(11),,,"J1 C - (South) Bishopthorpe Roa")&amp;":"&amp;ADDRESS(130,3+18*0+(11))),'J1 C - (South) Bishopthorpe Roa'!$A$12:$A$130,"&gt;="&amp;Diagram!$O70,'J1 C - (South) Bishopthorpe Roa'!$A$12:$A$130,"&lt;"&amp;Diagram!$P70)))</f>
        <v>0</v>
      </c>
      <c r="CD70" s="42">
        <f ca="1">IF(OR($I$10="",$O70="",$P70="",$J$38&lt;&gt;"Yes"),0,IF($K$10=0,SUMIFS(INDIRECT(ADDRESS(12,3+18*0+(3),,,"J1 D - South Bank Avenue")&amp;":"&amp;ADDRESS(130,3+18*0+(3))),'J1 D - South Bank Avenue'!$A$12:$A$130,"&gt;="&amp;Diagram!$O70,'J1 D - South Bank Avenue'!$A$12:$A$130,"&lt;"&amp;Diagram!$P70),SUMIFS(INDIRECT(ADDRESS(12,3+18*0+(11),,,"J1 D - South Bank Avenue")&amp;":"&amp;ADDRESS(130,3+18*0+(11))),'J1 D - South Bank Avenue'!$A$12:$A$130,"&gt;="&amp;Diagram!$O70,'J1 D - South Bank Avenue'!$A$12:$A$130,"&lt;"&amp;Diagram!$P70)))</f>
        <v>0</v>
      </c>
      <c r="CE70" s="42">
        <f ca="1">IF(OR($I$10="",$O70="",$P70="",$J$38&lt;&gt;"Yes"),0,IF($K$10=0,SUMIFS(INDIRECT(ADDRESS(12,3+18*1+(3),,,"J1 D - South Bank Avenue")&amp;":"&amp;ADDRESS(130,3+18*1+(3))),'J1 D - South Bank Avenue'!$A$12:$A$130,"&gt;="&amp;Diagram!$O70,'J1 D - South Bank Avenue'!$A$12:$A$130,"&lt;"&amp;Diagram!$P70),SUMIFS(INDIRECT(ADDRESS(12,3+18*1+(11),,,"J1 D - South Bank Avenue")&amp;":"&amp;ADDRESS(130,3+18*1+(11))),'J1 D - South Bank Avenue'!$A$12:$A$130,"&gt;="&amp;Diagram!$O70,'J1 D - South Bank Avenue'!$A$12:$A$130,"&lt;"&amp;Diagram!$P70)))</f>
        <v>0</v>
      </c>
      <c r="CF70" s="42">
        <f ca="1">IF(OR($I$10="",$O70="",$P70="",$J$38&lt;&gt;"Yes"),0,IF($K$10=0,SUMIFS(INDIRECT(ADDRESS(12,3+18*2+(3),,,"J1 D - South Bank Avenue")&amp;":"&amp;ADDRESS(130,3+18*2+(3))),'J1 D - South Bank Avenue'!$A$12:$A$130,"&gt;="&amp;Diagram!$O70,'J1 D - South Bank Avenue'!$A$12:$A$130,"&lt;"&amp;Diagram!$P70),SUMIFS(INDIRECT(ADDRESS(12,3+18*2+(11),,,"J1 D - South Bank Avenue")&amp;":"&amp;ADDRESS(130,3+18*2+(11))),'J1 D - South Bank Avenue'!$A$12:$A$130,"&gt;="&amp;Diagram!$O70,'J1 D - South Bank Avenue'!$A$12:$A$130,"&lt;"&amp;Diagram!$P70)))</f>
        <v>0</v>
      </c>
      <c r="CG70" s="42">
        <f ca="1">IF(OR($I$10="",$O70="",$P70="",$J$38&lt;&gt;"Yes"),0,IF($K$10=0,SUMIFS(INDIRECT(ADDRESS(12,3+18*3+(3),,,"J1 D - South Bank Avenue")&amp;":"&amp;ADDRESS(130,3+18*3+(3))),'J1 D - South Bank Avenue'!$A$12:$A$130,"&gt;="&amp;Diagram!$O70,'J1 D - South Bank Avenue'!$A$12:$A$130,"&lt;"&amp;Diagram!$P70),SUMIFS(INDIRECT(ADDRESS(12,3+18*3+(11),,,"J1 D - South Bank Avenue")&amp;":"&amp;ADDRESS(130,3+18*3+(11))),'J1 D - South Bank Avenue'!$A$12:$A$130,"&gt;="&amp;Diagram!$O70,'J1 D - South Bank Avenue'!$A$12:$A$130,"&lt;"&amp;Diagram!$P70)))</f>
        <v>0</v>
      </c>
      <c r="CH70" s="42">
        <f t="shared" ca="1" si="15"/>
        <v>7</v>
      </c>
      <c r="CI70" s="42">
        <f ca="1">IF(OR($I$10="",$O70="",$P70="",$J$39&lt;&gt;"Yes"),0,IF($K$10=0,SUMIFS(INDIRECT(ADDRESS(12,3+18*3+(4),,,"J1 A - (North) Bishopthorpe Roa")&amp;":"&amp;ADDRESS(130,3+18*3+(4))),'J1 A - (North) Bishopthorpe Roa'!$A$12:$A$130,"&gt;="&amp;Diagram!$O70,'J1 A - (North) Bishopthorpe Roa'!$A$12:$A$130,"&lt;"&amp;Diagram!$P70),SUMIFS(INDIRECT(ADDRESS(12,3+18*3+(12),,,"J1 A - (North) Bishopthorpe Roa")&amp;":"&amp;ADDRESS(130,3+18*3+(12))),'J1 A - (North) Bishopthorpe Roa'!$A$12:$A$130,"&gt;="&amp;Diagram!$O70,'J1 A - (North) Bishopthorpe Roa'!$A$12:$A$130,"&lt;"&amp;Diagram!$P70)))</f>
        <v>0</v>
      </c>
      <c r="CJ70" s="42">
        <f ca="1">IF(OR($I$10="",$O70="",$P70="",$J$39&lt;&gt;"Yes"),0,IF($K$10=0,SUMIFS(INDIRECT(ADDRESS(12,3+18*0+(4),,,"J1 A - (North) Bishopthorpe Roa")&amp;":"&amp;ADDRESS(130,3+18*0+(4))),'J1 A - (North) Bishopthorpe Roa'!$A$12:$A$130,"&gt;="&amp;Diagram!$O70,'J1 A - (North) Bishopthorpe Roa'!$A$12:$A$130,"&lt;"&amp;Diagram!$P70),SUMIFS(INDIRECT(ADDRESS(12,3+18*0+(12),,,"J1 A - (North) Bishopthorpe Roa")&amp;":"&amp;ADDRESS(130,3+18*0+(12))),'J1 A - (North) Bishopthorpe Roa'!$A$12:$A$130,"&gt;="&amp;Diagram!$O70,'J1 A - (North) Bishopthorpe Roa'!$A$12:$A$130,"&lt;"&amp;Diagram!$P70)))</f>
        <v>0</v>
      </c>
      <c r="CK70" s="42">
        <f ca="1">IF(OR($I$10="",$O70="",$P70="",$J$39&lt;&gt;"Yes"),0,IF($K$10=0,SUMIFS(INDIRECT(ADDRESS(12,3+18*1+(4),,,"J1 A - (North) Bishopthorpe Roa")&amp;":"&amp;ADDRESS(130,3+18*1+(4))),'J1 A - (North) Bishopthorpe Roa'!$A$12:$A$130,"&gt;="&amp;Diagram!$O70,'J1 A - (North) Bishopthorpe Roa'!$A$12:$A$130,"&lt;"&amp;Diagram!$P70),SUMIFS(INDIRECT(ADDRESS(12,3+18*1+(12),,,"J1 A - (North) Bishopthorpe Roa")&amp;":"&amp;ADDRESS(130,3+18*1+(12))),'J1 A - (North) Bishopthorpe Roa'!$A$12:$A$130,"&gt;="&amp;Diagram!$O70,'J1 A - (North) Bishopthorpe Roa'!$A$12:$A$130,"&lt;"&amp;Diagram!$P70)))</f>
        <v>4</v>
      </c>
      <c r="CL70" s="42">
        <f ca="1">IF(OR($I$10="",$O70="",$P70="",$J$39&lt;&gt;"Yes"),0,IF($K$10=0,SUMIFS(INDIRECT(ADDRESS(12,3+18*2+(4),,,"J1 A - (North) Bishopthorpe Roa")&amp;":"&amp;ADDRESS(130,3+18*2+(4))),'J1 A - (North) Bishopthorpe Roa'!$A$12:$A$130,"&gt;="&amp;Diagram!$O70,'J1 A - (North) Bishopthorpe Roa'!$A$12:$A$130,"&lt;"&amp;Diagram!$P70),SUMIFS(INDIRECT(ADDRESS(12,3+18*2+(12),,,"J1 A - (North) Bishopthorpe Roa")&amp;":"&amp;ADDRESS(130,3+18*2+(12))),'J1 A - (North) Bishopthorpe Roa'!$A$12:$A$130,"&gt;="&amp;Diagram!$O70,'J1 A - (North) Bishopthorpe Roa'!$A$12:$A$130,"&lt;"&amp;Diagram!$P70)))</f>
        <v>0</v>
      </c>
      <c r="CM70" s="42">
        <f ca="1">IF(OR($I$10="",$O70="",$P70="",$J$39&lt;&gt;"Yes"),0,IF($K$10=0,SUMIFS(INDIRECT(ADDRESS(12,3+18*2+(4),,,"J1 B - Butcher Terrace")&amp;":"&amp;ADDRESS(130,3+18*2+(4))),'J1 B - Butcher Terrace'!$A$12:$A$130,"&gt;="&amp;Diagram!$O70,'J1 B - Butcher Terrace'!$A$12:$A$130,"&lt;"&amp;Diagram!$P70),SUMIFS(INDIRECT(ADDRESS(12,3+18*2+(12),,,"J1 B - Butcher Terrace")&amp;":"&amp;ADDRESS(130,3+18*2+(12))),'J1 B - Butcher Terrace'!$A$12:$A$130,"&gt;="&amp;Diagram!$O70,'J1 B - Butcher Terrace'!$A$12:$A$130,"&lt;"&amp;Diagram!$P70)))</f>
        <v>0</v>
      </c>
      <c r="CN70" s="42">
        <f ca="1">IF(OR($I$10="",$O70="",$P70="",$J$39&lt;&gt;"Yes"),0,IF($K$10=0,SUMIFS(INDIRECT(ADDRESS(12,3+18*3+(4),,,"J1 B - Butcher Terrace")&amp;":"&amp;ADDRESS(130,3+18*3+(4))),'J1 B - Butcher Terrace'!$A$12:$A$130,"&gt;="&amp;Diagram!$O70,'J1 B - Butcher Terrace'!$A$12:$A$130,"&lt;"&amp;Diagram!$P70),SUMIFS(INDIRECT(ADDRESS(12,3+18*3+(12),,,"J1 B - Butcher Terrace")&amp;":"&amp;ADDRESS(130,3+18*3+(12))),'J1 B - Butcher Terrace'!$A$12:$A$130,"&gt;="&amp;Diagram!$O70,'J1 B - Butcher Terrace'!$A$12:$A$130,"&lt;"&amp;Diagram!$P70)))</f>
        <v>0</v>
      </c>
      <c r="CO70" s="42">
        <f ca="1">IF(OR($I$10="",$O70="",$P70="",$J$39&lt;&gt;"Yes"),0,IF($K$10=0,SUMIFS(INDIRECT(ADDRESS(12,3+18*0+(4),,,"J1 B - Butcher Terrace")&amp;":"&amp;ADDRESS(130,3+18*0+(4))),'J1 B - Butcher Terrace'!$A$12:$A$130,"&gt;="&amp;Diagram!$O70,'J1 B - Butcher Terrace'!$A$12:$A$130,"&lt;"&amp;Diagram!$P70),SUMIFS(INDIRECT(ADDRESS(12,3+18*0+(12),,,"J1 B - Butcher Terrace")&amp;":"&amp;ADDRESS(130,3+18*0+(12))),'J1 B - Butcher Terrace'!$A$12:$A$130,"&gt;="&amp;Diagram!$O70,'J1 B - Butcher Terrace'!$A$12:$A$130,"&lt;"&amp;Diagram!$P70)))</f>
        <v>0</v>
      </c>
      <c r="CP70" s="42">
        <f ca="1">IF(OR($I$10="",$O70="",$P70="",$J$39&lt;&gt;"Yes"),0,IF($K$10=0,SUMIFS(INDIRECT(ADDRESS(12,3+18*1+(4),,,"J1 B - Butcher Terrace")&amp;":"&amp;ADDRESS(130,3+18*1+(4))),'J1 B - Butcher Terrace'!$A$12:$A$130,"&gt;="&amp;Diagram!$O70,'J1 B - Butcher Terrace'!$A$12:$A$130,"&lt;"&amp;Diagram!$P70),SUMIFS(INDIRECT(ADDRESS(12,3+18*1+(12),,,"J1 B - Butcher Terrace")&amp;":"&amp;ADDRESS(130,3+18*1+(12))),'J1 B - Butcher Terrace'!$A$12:$A$130,"&gt;="&amp;Diagram!$O70,'J1 B - Butcher Terrace'!$A$12:$A$130,"&lt;"&amp;Diagram!$P70)))</f>
        <v>0</v>
      </c>
      <c r="CQ70" s="42">
        <f ca="1">IF(OR($I$10="",$O70="",$P70="",$J$39&lt;&gt;"Yes"),0,IF($K$10=0,SUMIFS(INDIRECT(ADDRESS(12,3+18*1+(4),,,"J1 C - (South) Bishopthorpe Roa")&amp;":"&amp;ADDRESS(130,3+18*1+(4))),'J1 C - (South) Bishopthorpe Roa'!$A$12:$A$130,"&gt;="&amp;Diagram!$O70,'J1 C - (South) Bishopthorpe Roa'!$A$12:$A$130,"&lt;"&amp;Diagram!$P70),SUMIFS(INDIRECT(ADDRESS(12,3+18*1+(12),,,"J1 C - (South) Bishopthorpe Roa")&amp;":"&amp;ADDRESS(130,3+18*1+(12))),'J1 C - (South) Bishopthorpe Roa'!$A$12:$A$130,"&gt;="&amp;Diagram!$O70,'J1 C - (South) Bishopthorpe Roa'!$A$12:$A$130,"&lt;"&amp;Diagram!$P70)))</f>
        <v>3</v>
      </c>
      <c r="CR70" s="42">
        <f ca="1">IF(OR($I$10="",$O70="",$P70="",$J$39&lt;&gt;"Yes"),0,IF($K$10=0,SUMIFS(INDIRECT(ADDRESS(12,3+18*2+(4),,,"J1 C - (South) Bishopthorpe Roa")&amp;":"&amp;ADDRESS(130,3+18*2+(4))),'J1 C - (South) Bishopthorpe Roa'!$A$12:$A$130,"&gt;="&amp;Diagram!$O70,'J1 C - (South) Bishopthorpe Roa'!$A$12:$A$130,"&lt;"&amp;Diagram!$P70),SUMIFS(INDIRECT(ADDRESS(12,3+18*2+(12),,,"J1 C - (South) Bishopthorpe Roa")&amp;":"&amp;ADDRESS(130,3+18*2+(12))),'J1 C - (South) Bishopthorpe Roa'!$A$12:$A$130,"&gt;="&amp;Diagram!$O70,'J1 C - (South) Bishopthorpe Roa'!$A$12:$A$130,"&lt;"&amp;Diagram!$P70)))</f>
        <v>0</v>
      </c>
      <c r="CS70" s="42">
        <f ca="1">IF(OR($I$10="",$O70="",$P70="",$J$39&lt;&gt;"Yes"),0,IF($K$10=0,SUMIFS(INDIRECT(ADDRESS(12,3+18*3+(4),,,"J1 C - (South) Bishopthorpe Roa")&amp;":"&amp;ADDRESS(130,3+18*3+(4))),'J1 C - (South) Bishopthorpe Roa'!$A$12:$A$130,"&gt;="&amp;Diagram!$O70,'J1 C - (South) Bishopthorpe Roa'!$A$12:$A$130,"&lt;"&amp;Diagram!$P70),SUMIFS(INDIRECT(ADDRESS(12,3+18*3+(12),,,"J1 C - (South) Bishopthorpe Roa")&amp;":"&amp;ADDRESS(130,3+18*3+(12))),'J1 C - (South) Bishopthorpe Roa'!$A$12:$A$130,"&gt;="&amp;Diagram!$O70,'J1 C - (South) Bishopthorpe Roa'!$A$12:$A$130,"&lt;"&amp;Diagram!$P70)))</f>
        <v>0</v>
      </c>
      <c r="CT70" s="42">
        <f ca="1">IF(OR($I$10="",$O70="",$P70="",$J$39&lt;&gt;"Yes"),0,IF($K$10=0,SUMIFS(INDIRECT(ADDRESS(12,3+18*0+(4),,,"J1 C - (South) Bishopthorpe Roa")&amp;":"&amp;ADDRESS(130,3+18*0+(4))),'J1 C - (South) Bishopthorpe Roa'!$A$12:$A$130,"&gt;="&amp;Diagram!$O70,'J1 C - (South) Bishopthorpe Roa'!$A$12:$A$130,"&lt;"&amp;Diagram!$P70),SUMIFS(INDIRECT(ADDRESS(12,3+18*0+(12),,,"J1 C - (South) Bishopthorpe Roa")&amp;":"&amp;ADDRESS(130,3+18*0+(12))),'J1 C - (South) Bishopthorpe Roa'!$A$12:$A$130,"&gt;="&amp;Diagram!$O70,'J1 C - (South) Bishopthorpe Roa'!$A$12:$A$130,"&lt;"&amp;Diagram!$P70)))</f>
        <v>0</v>
      </c>
      <c r="CU70" s="42">
        <f ca="1">IF(OR($I$10="",$O70="",$P70="",$J$39&lt;&gt;"Yes"),0,IF($K$10=0,SUMIFS(INDIRECT(ADDRESS(12,3+18*0+(4),,,"J1 D - South Bank Avenue")&amp;":"&amp;ADDRESS(130,3+18*0+(4))),'J1 D - South Bank Avenue'!$A$12:$A$130,"&gt;="&amp;Diagram!$O70,'J1 D - South Bank Avenue'!$A$12:$A$130,"&lt;"&amp;Diagram!$P70),SUMIFS(INDIRECT(ADDRESS(12,3+18*0+(12),,,"J1 D - South Bank Avenue")&amp;":"&amp;ADDRESS(130,3+18*0+(12))),'J1 D - South Bank Avenue'!$A$12:$A$130,"&gt;="&amp;Diagram!$O70,'J1 D - South Bank Avenue'!$A$12:$A$130,"&lt;"&amp;Diagram!$P70)))</f>
        <v>0</v>
      </c>
      <c r="CV70" s="42">
        <f ca="1">IF(OR($I$10="",$O70="",$P70="",$J$39&lt;&gt;"Yes"),0,IF($K$10=0,SUMIFS(INDIRECT(ADDRESS(12,3+18*1+(4),,,"J1 D - South Bank Avenue")&amp;":"&amp;ADDRESS(130,3+18*1+(4))),'J1 D - South Bank Avenue'!$A$12:$A$130,"&gt;="&amp;Diagram!$O70,'J1 D - South Bank Avenue'!$A$12:$A$130,"&lt;"&amp;Diagram!$P70),SUMIFS(INDIRECT(ADDRESS(12,3+18*1+(12),,,"J1 D - South Bank Avenue")&amp;":"&amp;ADDRESS(130,3+18*1+(12))),'J1 D - South Bank Avenue'!$A$12:$A$130,"&gt;="&amp;Diagram!$O70,'J1 D - South Bank Avenue'!$A$12:$A$130,"&lt;"&amp;Diagram!$P70)))</f>
        <v>0</v>
      </c>
      <c r="CW70" s="42">
        <f ca="1">IF(OR($I$10="",$O70="",$P70="",$J$39&lt;&gt;"Yes"),0,IF($K$10=0,SUMIFS(INDIRECT(ADDRESS(12,3+18*2+(4),,,"J1 D - South Bank Avenue")&amp;":"&amp;ADDRESS(130,3+18*2+(4))),'J1 D - South Bank Avenue'!$A$12:$A$130,"&gt;="&amp;Diagram!$O70,'J1 D - South Bank Avenue'!$A$12:$A$130,"&lt;"&amp;Diagram!$P70),SUMIFS(INDIRECT(ADDRESS(12,3+18*2+(12),,,"J1 D - South Bank Avenue")&amp;":"&amp;ADDRESS(130,3+18*2+(12))),'J1 D - South Bank Avenue'!$A$12:$A$130,"&gt;="&amp;Diagram!$O70,'J1 D - South Bank Avenue'!$A$12:$A$130,"&lt;"&amp;Diagram!$P70)))</f>
        <v>0</v>
      </c>
      <c r="CX70" s="42">
        <f ca="1">IF(OR($I$10="",$O70="",$P70="",$J$39&lt;&gt;"Yes"),0,IF($K$10=0,SUMIFS(INDIRECT(ADDRESS(12,3+18*3+(4),,,"J1 D - South Bank Avenue")&amp;":"&amp;ADDRESS(130,3+18*3+(4))),'J1 D - South Bank Avenue'!$A$12:$A$130,"&gt;="&amp;Diagram!$O70,'J1 D - South Bank Avenue'!$A$12:$A$130,"&lt;"&amp;Diagram!$P70),SUMIFS(INDIRECT(ADDRESS(12,3+18*3+(12),,,"J1 D - South Bank Avenue")&amp;":"&amp;ADDRESS(130,3+18*3+(12))),'J1 D - South Bank Avenue'!$A$12:$A$130,"&gt;="&amp;Diagram!$O70,'J1 D - South Bank Avenue'!$A$12:$A$130,"&lt;"&amp;Diagram!$P70)))</f>
        <v>0</v>
      </c>
      <c r="CY70" s="42">
        <f t="shared" ca="1" si="16"/>
        <v>137</v>
      </c>
      <c r="CZ70" s="42">
        <f ca="1">IF(OR($I$10="",$O70="",$P70="",$J$40&lt;&gt;"Yes"),0,IF($K$10=0,SUMIFS(INDIRECT(ADDRESS(12,3+18*3+(5),,,"J1 A - (North) Bishopthorpe Roa")&amp;":"&amp;ADDRESS(130,3+18*3+(5))),'J1 A - (North) Bishopthorpe Roa'!$A$12:$A$130,"&gt;="&amp;Diagram!$O70,'J1 A - (North) Bishopthorpe Roa'!$A$12:$A$130,"&lt;"&amp;Diagram!$P70),SUMIFS(INDIRECT(ADDRESS(12,3+18*3+(13),,,"J1 A - (North) Bishopthorpe Roa")&amp;":"&amp;ADDRESS(130,3+18*3+(13))),'J1 A - (North) Bishopthorpe Roa'!$A$12:$A$130,"&gt;="&amp;Diagram!$O70,'J1 A - (North) Bishopthorpe Roa'!$A$12:$A$130,"&lt;"&amp;Diagram!$P70)))</f>
        <v>0</v>
      </c>
      <c r="DA70" s="42">
        <f ca="1">IF(OR($I$10="",$O70="",$P70="",$J$40&lt;&gt;"Yes"),0,IF($K$10=0,SUMIFS(INDIRECT(ADDRESS(12,3+18*0+(5),,,"J1 A - (North) Bishopthorpe Roa")&amp;":"&amp;ADDRESS(130,3+18*0+(5))),'J1 A - (North) Bishopthorpe Roa'!$A$12:$A$130,"&gt;="&amp;Diagram!$O70,'J1 A - (North) Bishopthorpe Roa'!$A$12:$A$130,"&lt;"&amp;Diagram!$P70),SUMIFS(INDIRECT(ADDRESS(12,3+18*0+(13),,,"J1 A - (North) Bishopthorpe Roa")&amp;":"&amp;ADDRESS(130,3+18*0+(13))),'J1 A - (North) Bishopthorpe Roa'!$A$12:$A$130,"&gt;="&amp;Diagram!$O70,'J1 A - (North) Bishopthorpe Roa'!$A$12:$A$130,"&lt;"&amp;Diagram!$P70)))</f>
        <v>16</v>
      </c>
      <c r="DB70" s="42">
        <f ca="1">IF(OR($I$10="",$O70="",$P70="",$J$40&lt;&gt;"Yes"),0,IF($K$10=0,SUMIFS(INDIRECT(ADDRESS(12,3+18*1+(5),,,"J1 A - (North) Bishopthorpe Roa")&amp;":"&amp;ADDRESS(130,3+18*1+(5))),'J1 A - (North) Bishopthorpe Roa'!$A$12:$A$130,"&gt;="&amp;Diagram!$O70,'J1 A - (North) Bishopthorpe Roa'!$A$12:$A$130,"&lt;"&amp;Diagram!$P70),SUMIFS(INDIRECT(ADDRESS(12,3+18*1+(13),,,"J1 A - (North) Bishopthorpe Roa")&amp;":"&amp;ADDRESS(130,3+18*1+(13))),'J1 A - (North) Bishopthorpe Roa'!$A$12:$A$130,"&gt;="&amp;Diagram!$O70,'J1 A - (North) Bishopthorpe Roa'!$A$12:$A$130,"&lt;"&amp;Diagram!$P70)))</f>
        <v>28</v>
      </c>
      <c r="DC70" s="42">
        <f ca="1">IF(OR($I$10="",$O70="",$P70="",$J$40&lt;&gt;"Yes"),0,IF($K$10=0,SUMIFS(INDIRECT(ADDRESS(12,3+18*2+(5),,,"J1 A - (North) Bishopthorpe Roa")&amp;":"&amp;ADDRESS(130,3+18*2+(5))),'J1 A - (North) Bishopthorpe Roa'!$A$12:$A$130,"&gt;="&amp;Diagram!$O70,'J1 A - (North) Bishopthorpe Roa'!$A$12:$A$130,"&lt;"&amp;Diagram!$P70),SUMIFS(INDIRECT(ADDRESS(12,3+18*2+(13),,,"J1 A - (North) Bishopthorpe Roa")&amp;":"&amp;ADDRESS(130,3+18*2+(13))),'J1 A - (North) Bishopthorpe Roa'!$A$12:$A$130,"&gt;="&amp;Diagram!$O70,'J1 A - (North) Bishopthorpe Roa'!$A$12:$A$130,"&lt;"&amp;Diagram!$P70)))</f>
        <v>6</v>
      </c>
      <c r="DD70" s="42">
        <f ca="1">IF(OR($I$10="",$O70="",$P70="",$J$40&lt;&gt;"Yes"),0,IF($K$10=0,SUMIFS(INDIRECT(ADDRESS(12,3+18*2+(5),,,"J1 B - Butcher Terrace")&amp;":"&amp;ADDRESS(130,3+18*2+(5))),'J1 B - Butcher Terrace'!$A$12:$A$130,"&gt;="&amp;Diagram!$O70,'J1 B - Butcher Terrace'!$A$12:$A$130,"&lt;"&amp;Diagram!$P70),SUMIFS(INDIRECT(ADDRESS(12,3+18*2+(13),,,"J1 B - Butcher Terrace")&amp;":"&amp;ADDRESS(130,3+18*2+(13))),'J1 B - Butcher Terrace'!$A$12:$A$130,"&gt;="&amp;Diagram!$O70,'J1 B - Butcher Terrace'!$A$12:$A$130,"&lt;"&amp;Diagram!$P70)))</f>
        <v>6</v>
      </c>
      <c r="DE70" s="42">
        <f ca="1">IF(OR($I$10="",$O70="",$P70="",$J$40&lt;&gt;"Yes"),0,IF($K$10=0,SUMIFS(INDIRECT(ADDRESS(12,3+18*3+(5),,,"J1 B - Butcher Terrace")&amp;":"&amp;ADDRESS(130,3+18*3+(5))),'J1 B - Butcher Terrace'!$A$12:$A$130,"&gt;="&amp;Diagram!$O70,'J1 B - Butcher Terrace'!$A$12:$A$130,"&lt;"&amp;Diagram!$P70),SUMIFS(INDIRECT(ADDRESS(12,3+18*3+(13),,,"J1 B - Butcher Terrace")&amp;":"&amp;ADDRESS(130,3+18*3+(13))),'J1 B - Butcher Terrace'!$A$12:$A$130,"&gt;="&amp;Diagram!$O70,'J1 B - Butcher Terrace'!$A$12:$A$130,"&lt;"&amp;Diagram!$P70)))</f>
        <v>0</v>
      </c>
      <c r="DF70" s="42">
        <f ca="1">IF(OR($I$10="",$O70="",$P70="",$J$40&lt;&gt;"Yes"),0,IF($K$10=0,SUMIFS(INDIRECT(ADDRESS(12,3+18*0+(5),,,"J1 B - Butcher Terrace")&amp;":"&amp;ADDRESS(130,3+18*0+(5))),'J1 B - Butcher Terrace'!$A$12:$A$130,"&gt;="&amp;Diagram!$O70,'J1 B - Butcher Terrace'!$A$12:$A$130,"&lt;"&amp;Diagram!$P70),SUMIFS(INDIRECT(ADDRESS(12,3+18*0+(13),,,"J1 B - Butcher Terrace")&amp;":"&amp;ADDRESS(130,3+18*0+(13))),'J1 B - Butcher Terrace'!$A$12:$A$130,"&gt;="&amp;Diagram!$O70,'J1 B - Butcher Terrace'!$A$12:$A$130,"&lt;"&amp;Diagram!$P70)))</f>
        <v>8</v>
      </c>
      <c r="DG70" s="42">
        <f ca="1">IF(OR($I$10="",$O70="",$P70="",$J$40&lt;&gt;"Yes"),0,IF($K$10=0,SUMIFS(INDIRECT(ADDRESS(12,3+18*1+(5),,,"J1 B - Butcher Terrace")&amp;":"&amp;ADDRESS(130,3+18*1+(5))),'J1 B - Butcher Terrace'!$A$12:$A$130,"&gt;="&amp;Diagram!$O70,'J1 B - Butcher Terrace'!$A$12:$A$130,"&lt;"&amp;Diagram!$P70),SUMIFS(INDIRECT(ADDRESS(12,3+18*1+(13),,,"J1 B - Butcher Terrace")&amp;":"&amp;ADDRESS(130,3+18*1+(13))),'J1 B - Butcher Terrace'!$A$12:$A$130,"&gt;="&amp;Diagram!$O70,'J1 B - Butcher Terrace'!$A$12:$A$130,"&lt;"&amp;Diagram!$P70)))</f>
        <v>27</v>
      </c>
      <c r="DH70" s="42">
        <f ca="1">IF(OR($I$10="",$O70="",$P70="",$J$40&lt;&gt;"Yes"),0,IF($K$10=0,SUMIFS(INDIRECT(ADDRESS(12,3+18*1+(5),,,"J1 C - (South) Bishopthorpe Roa")&amp;":"&amp;ADDRESS(130,3+18*1+(5))),'J1 C - (South) Bishopthorpe Roa'!$A$12:$A$130,"&gt;="&amp;Diagram!$O70,'J1 C - (South) Bishopthorpe Roa'!$A$12:$A$130,"&lt;"&amp;Diagram!$P70),SUMIFS(INDIRECT(ADDRESS(12,3+18*1+(13),,,"J1 C - (South) Bishopthorpe Roa")&amp;":"&amp;ADDRESS(130,3+18*1+(13))),'J1 C - (South) Bishopthorpe Roa'!$A$12:$A$130,"&gt;="&amp;Diagram!$O70,'J1 C - (South) Bishopthorpe Roa'!$A$12:$A$130,"&lt;"&amp;Diagram!$P70)))</f>
        <v>17</v>
      </c>
      <c r="DI70" s="42">
        <f ca="1">IF(OR($I$10="",$O70="",$P70="",$J$40&lt;&gt;"Yes"),0,IF($K$10=0,SUMIFS(INDIRECT(ADDRESS(12,3+18*2+(5),,,"J1 C - (South) Bishopthorpe Roa")&amp;":"&amp;ADDRESS(130,3+18*2+(5))),'J1 C - (South) Bishopthorpe Roa'!$A$12:$A$130,"&gt;="&amp;Diagram!$O70,'J1 C - (South) Bishopthorpe Roa'!$A$12:$A$130,"&lt;"&amp;Diagram!$P70),SUMIFS(INDIRECT(ADDRESS(12,3+18*2+(13),,,"J1 C - (South) Bishopthorpe Roa")&amp;":"&amp;ADDRESS(130,3+18*2+(13))),'J1 C - (South) Bishopthorpe Roa'!$A$12:$A$130,"&gt;="&amp;Diagram!$O70,'J1 C - (South) Bishopthorpe Roa'!$A$12:$A$130,"&lt;"&amp;Diagram!$P70)))</f>
        <v>8</v>
      </c>
      <c r="DJ70" s="42">
        <f ca="1">IF(OR($I$10="",$O70="",$P70="",$J$40&lt;&gt;"Yes"),0,IF($K$10=0,SUMIFS(INDIRECT(ADDRESS(12,3+18*3+(5),,,"J1 C - (South) Bishopthorpe Roa")&amp;":"&amp;ADDRESS(130,3+18*3+(5))),'J1 C - (South) Bishopthorpe Roa'!$A$12:$A$130,"&gt;="&amp;Diagram!$O70,'J1 C - (South) Bishopthorpe Roa'!$A$12:$A$130,"&lt;"&amp;Diagram!$P70),SUMIFS(INDIRECT(ADDRESS(12,3+18*3+(13),,,"J1 C - (South) Bishopthorpe Roa")&amp;":"&amp;ADDRESS(130,3+18*3+(13))),'J1 C - (South) Bishopthorpe Roa'!$A$12:$A$130,"&gt;="&amp;Diagram!$O70,'J1 C - (South) Bishopthorpe Roa'!$A$12:$A$130,"&lt;"&amp;Diagram!$P70)))</f>
        <v>0</v>
      </c>
      <c r="DK70" s="42">
        <f ca="1">IF(OR($I$10="",$O70="",$P70="",$J$40&lt;&gt;"Yes"),0,IF($K$10=0,SUMIFS(INDIRECT(ADDRESS(12,3+18*0+(5),,,"J1 C - (South) Bishopthorpe Roa")&amp;":"&amp;ADDRESS(130,3+18*0+(5))),'J1 C - (South) Bishopthorpe Roa'!$A$12:$A$130,"&gt;="&amp;Diagram!$O70,'J1 C - (South) Bishopthorpe Roa'!$A$12:$A$130,"&lt;"&amp;Diagram!$P70),SUMIFS(INDIRECT(ADDRESS(12,3+18*0+(13),,,"J1 C - (South) Bishopthorpe Roa")&amp;":"&amp;ADDRESS(130,3+18*0+(13))),'J1 C - (South) Bishopthorpe Roa'!$A$12:$A$130,"&gt;="&amp;Diagram!$O70,'J1 C - (South) Bishopthorpe Roa'!$A$12:$A$130,"&lt;"&amp;Diagram!$P70)))</f>
        <v>1</v>
      </c>
      <c r="DL70" s="42">
        <f ca="1">IF(OR($I$10="",$O70="",$P70="",$J$40&lt;&gt;"Yes"),0,IF($K$10=0,SUMIFS(INDIRECT(ADDRESS(12,3+18*0+(5),,,"J1 D - South Bank Avenue")&amp;":"&amp;ADDRESS(130,3+18*0+(5))),'J1 D - South Bank Avenue'!$A$12:$A$130,"&gt;="&amp;Diagram!$O70,'J1 D - South Bank Avenue'!$A$12:$A$130,"&lt;"&amp;Diagram!$P70),SUMIFS(INDIRECT(ADDRESS(12,3+18*0+(13),,,"J1 D - South Bank Avenue")&amp;":"&amp;ADDRESS(130,3+18*0+(13))),'J1 D - South Bank Avenue'!$A$12:$A$130,"&gt;="&amp;Diagram!$O70,'J1 D - South Bank Avenue'!$A$12:$A$130,"&lt;"&amp;Diagram!$P70)))</f>
        <v>6</v>
      </c>
      <c r="DM70" s="42">
        <f ca="1">IF(OR($I$10="",$O70="",$P70="",$J$40&lt;&gt;"Yes"),0,IF($K$10=0,SUMIFS(INDIRECT(ADDRESS(12,3+18*1+(5),,,"J1 D - South Bank Avenue")&amp;":"&amp;ADDRESS(130,3+18*1+(5))),'J1 D - South Bank Avenue'!$A$12:$A$130,"&gt;="&amp;Diagram!$O70,'J1 D - South Bank Avenue'!$A$12:$A$130,"&lt;"&amp;Diagram!$P70),SUMIFS(INDIRECT(ADDRESS(12,3+18*1+(13),,,"J1 D - South Bank Avenue")&amp;":"&amp;ADDRESS(130,3+18*1+(13))),'J1 D - South Bank Avenue'!$A$12:$A$130,"&gt;="&amp;Diagram!$O70,'J1 D - South Bank Avenue'!$A$12:$A$130,"&lt;"&amp;Diagram!$P70)))</f>
        <v>14</v>
      </c>
      <c r="DN70" s="42">
        <f ca="1">IF(OR($I$10="",$O70="",$P70="",$J$40&lt;&gt;"Yes"),0,IF($K$10=0,SUMIFS(INDIRECT(ADDRESS(12,3+18*2+(5),,,"J1 D - South Bank Avenue")&amp;":"&amp;ADDRESS(130,3+18*2+(5))),'J1 D - South Bank Avenue'!$A$12:$A$130,"&gt;="&amp;Diagram!$O70,'J1 D - South Bank Avenue'!$A$12:$A$130,"&lt;"&amp;Diagram!$P70),SUMIFS(INDIRECT(ADDRESS(12,3+18*2+(13),,,"J1 D - South Bank Avenue")&amp;":"&amp;ADDRESS(130,3+18*2+(13))),'J1 D - South Bank Avenue'!$A$12:$A$130,"&gt;="&amp;Diagram!$O70,'J1 D - South Bank Avenue'!$A$12:$A$130,"&lt;"&amp;Diagram!$P70)))</f>
        <v>0</v>
      </c>
      <c r="DO70" s="42">
        <f ca="1">IF(OR($I$10="",$O70="",$P70="",$J$40&lt;&gt;"Yes"),0,IF($K$10=0,SUMIFS(INDIRECT(ADDRESS(12,3+18*3+(5),,,"J1 D - South Bank Avenue")&amp;":"&amp;ADDRESS(130,3+18*3+(5))),'J1 D - South Bank Avenue'!$A$12:$A$130,"&gt;="&amp;Diagram!$O70,'J1 D - South Bank Avenue'!$A$12:$A$130,"&lt;"&amp;Diagram!$P70),SUMIFS(INDIRECT(ADDRESS(12,3+18*3+(13),,,"J1 D - South Bank Avenue")&amp;":"&amp;ADDRESS(130,3+18*3+(13))),'J1 D - South Bank Avenue'!$A$12:$A$130,"&gt;="&amp;Diagram!$O70,'J1 D - South Bank Avenue'!$A$12:$A$130,"&lt;"&amp;Diagram!$P70)))</f>
        <v>0</v>
      </c>
      <c r="DP70" s="42">
        <f t="shared" ca="1" si="17"/>
        <v>13</v>
      </c>
      <c r="DQ70" s="42">
        <f ca="1">IF(OR($I$10="",$O70="",$P70="",$J$41&lt;&gt;"Yes"),0,IF($K$10=0,SUMIFS(INDIRECT(ADDRESS(12,3+18*3+(6),,,"J1 A - (North) Bishopthorpe Roa")&amp;":"&amp;ADDRESS(130,3+18*3+(6))),'J1 A - (North) Bishopthorpe Roa'!$A$12:$A$130,"&gt;="&amp;Diagram!$O70,'J1 A - (North) Bishopthorpe Roa'!$A$12:$A$130,"&lt;"&amp;Diagram!$P70),SUMIFS(INDIRECT(ADDRESS(12,3+18*3+(14),,,"J1 A - (North) Bishopthorpe Roa")&amp;":"&amp;ADDRESS(130,3+18*3+(14))),'J1 A - (North) Bishopthorpe Roa'!$A$12:$A$130,"&gt;="&amp;Diagram!$O70,'J1 A - (North) Bishopthorpe Roa'!$A$12:$A$130,"&lt;"&amp;Diagram!$P70)))</f>
        <v>0</v>
      </c>
      <c r="DR70" s="42">
        <f ca="1">IF(OR($I$10="",$O70="",$P70="",$J$41&lt;&gt;"Yes"),0,IF($K$10=0,SUMIFS(INDIRECT(ADDRESS(12,3+18*0+(6),,,"J1 A - (North) Bishopthorpe Roa")&amp;":"&amp;ADDRESS(130,3+18*0+(6))),'J1 A - (North) Bishopthorpe Roa'!$A$12:$A$130,"&gt;="&amp;Diagram!$O70,'J1 A - (North) Bishopthorpe Roa'!$A$12:$A$130,"&lt;"&amp;Diagram!$P70),SUMIFS(INDIRECT(ADDRESS(12,3+18*0+(14),,,"J1 A - (North) Bishopthorpe Roa")&amp;":"&amp;ADDRESS(130,3+18*0+(14))),'J1 A - (North) Bishopthorpe Roa'!$A$12:$A$130,"&gt;="&amp;Diagram!$O70,'J1 A - (North) Bishopthorpe Roa'!$A$12:$A$130,"&lt;"&amp;Diagram!$P70)))</f>
        <v>1</v>
      </c>
      <c r="DS70" s="42">
        <f ca="1">IF(OR($I$10="",$O70="",$P70="",$J$41&lt;&gt;"Yes"),0,IF($K$10=0,SUMIFS(INDIRECT(ADDRESS(12,3+18*1+(6),,,"J1 A - (North) Bishopthorpe Roa")&amp;":"&amp;ADDRESS(130,3+18*1+(6))),'J1 A - (North) Bishopthorpe Roa'!$A$12:$A$130,"&gt;="&amp;Diagram!$O70,'J1 A - (North) Bishopthorpe Roa'!$A$12:$A$130,"&lt;"&amp;Diagram!$P70),SUMIFS(INDIRECT(ADDRESS(12,3+18*1+(14),,,"J1 A - (North) Bishopthorpe Roa")&amp;":"&amp;ADDRESS(130,3+18*1+(14))),'J1 A - (North) Bishopthorpe Roa'!$A$12:$A$130,"&gt;="&amp;Diagram!$O70,'J1 A - (North) Bishopthorpe Roa'!$A$12:$A$130,"&lt;"&amp;Diagram!$P70)))</f>
        <v>5</v>
      </c>
      <c r="DT70" s="42">
        <f ca="1">IF(OR($I$10="",$O70="",$P70="",$J$41&lt;&gt;"Yes"),0,IF($K$10=0,SUMIFS(INDIRECT(ADDRESS(12,3+18*2+(6),,,"J1 A - (North) Bishopthorpe Roa")&amp;":"&amp;ADDRESS(130,3+18*2+(6))),'J1 A - (North) Bishopthorpe Roa'!$A$12:$A$130,"&gt;="&amp;Diagram!$O70,'J1 A - (North) Bishopthorpe Roa'!$A$12:$A$130,"&lt;"&amp;Diagram!$P70),SUMIFS(INDIRECT(ADDRESS(12,3+18*2+(14),,,"J1 A - (North) Bishopthorpe Roa")&amp;":"&amp;ADDRESS(130,3+18*2+(14))),'J1 A - (North) Bishopthorpe Roa'!$A$12:$A$130,"&gt;="&amp;Diagram!$O70,'J1 A - (North) Bishopthorpe Roa'!$A$12:$A$130,"&lt;"&amp;Diagram!$P70)))</f>
        <v>2</v>
      </c>
      <c r="DU70" s="42">
        <f ca="1">IF(OR($I$10="",$O70="",$P70="",$J$41&lt;&gt;"Yes"),0,IF($K$10=0,SUMIFS(INDIRECT(ADDRESS(12,3+18*2+(6),,,"J1 B - Butcher Terrace")&amp;":"&amp;ADDRESS(130,3+18*2+(6))),'J1 B - Butcher Terrace'!$A$12:$A$130,"&gt;="&amp;Diagram!$O70,'J1 B - Butcher Terrace'!$A$12:$A$130,"&lt;"&amp;Diagram!$P70),SUMIFS(INDIRECT(ADDRESS(12,3+18*2+(14),,,"J1 B - Butcher Terrace")&amp;":"&amp;ADDRESS(130,3+18*2+(14))),'J1 B - Butcher Terrace'!$A$12:$A$130,"&gt;="&amp;Diagram!$O70,'J1 B - Butcher Terrace'!$A$12:$A$130,"&lt;"&amp;Diagram!$P70)))</f>
        <v>0</v>
      </c>
      <c r="DV70" s="42">
        <f ca="1">IF(OR($I$10="",$O70="",$P70="",$J$41&lt;&gt;"Yes"),0,IF($K$10=0,SUMIFS(INDIRECT(ADDRESS(12,3+18*3+(6),,,"J1 B - Butcher Terrace")&amp;":"&amp;ADDRESS(130,3+18*3+(6))),'J1 B - Butcher Terrace'!$A$12:$A$130,"&gt;="&amp;Diagram!$O70,'J1 B - Butcher Terrace'!$A$12:$A$130,"&lt;"&amp;Diagram!$P70),SUMIFS(INDIRECT(ADDRESS(12,3+18*3+(14),,,"J1 B - Butcher Terrace")&amp;":"&amp;ADDRESS(130,3+18*3+(14))),'J1 B - Butcher Terrace'!$A$12:$A$130,"&gt;="&amp;Diagram!$O70,'J1 B - Butcher Terrace'!$A$12:$A$130,"&lt;"&amp;Diagram!$P70)))</f>
        <v>0</v>
      </c>
      <c r="DW70" s="42">
        <f ca="1">IF(OR($I$10="",$O70="",$P70="",$J$41&lt;&gt;"Yes"),0,IF($K$10=0,SUMIFS(INDIRECT(ADDRESS(12,3+18*0+(6),,,"J1 B - Butcher Terrace")&amp;":"&amp;ADDRESS(130,3+18*0+(6))),'J1 B - Butcher Terrace'!$A$12:$A$130,"&gt;="&amp;Diagram!$O70,'J1 B - Butcher Terrace'!$A$12:$A$130,"&lt;"&amp;Diagram!$P70),SUMIFS(INDIRECT(ADDRESS(12,3+18*0+(14),,,"J1 B - Butcher Terrace")&amp;":"&amp;ADDRESS(130,3+18*0+(14))),'J1 B - Butcher Terrace'!$A$12:$A$130,"&gt;="&amp;Diagram!$O70,'J1 B - Butcher Terrace'!$A$12:$A$130,"&lt;"&amp;Diagram!$P70)))</f>
        <v>0</v>
      </c>
      <c r="DX70" s="42">
        <f ca="1">IF(OR($I$10="",$O70="",$P70="",$J$41&lt;&gt;"Yes"),0,IF($K$10=0,SUMIFS(INDIRECT(ADDRESS(12,3+18*1+(6),,,"J1 B - Butcher Terrace")&amp;":"&amp;ADDRESS(130,3+18*1+(6))),'J1 B - Butcher Terrace'!$A$12:$A$130,"&gt;="&amp;Diagram!$O70,'J1 B - Butcher Terrace'!$A$12:$A$130,"&lt;"&amp;Diagram!$P70),SUMIFS(INDIRECT(ADDRESS(12,3+18*1+(14),,,"J1 B - Butcher Terrace")&amp;":"&amp;ADDRESS(130,3+18*1+(14))),'J1 B - Butcher Terrace'!$A$12:$A$130,"&gt;="&amp;Diagram!$O70,'J1 B - Butcher Terrace'!$A$12:$A$130,"&lt;"&amp;Diagram!$P70)))</f>
        <v>0</v>
      </c>
      <c r="DY70" s="42">
        <f ca="1">IF(OR($I$10="",$O70="",$P70="",$J$41&lt;&gt;"Yes"),0,IF($K$10=0,SUMIFS(INDIRECT(ADDRESS(12,3+18*1+(6),,,"J1 C - (South) Bishopthorpe Roa")&amp;":"&amp;ADDRESS(130,3+18*1+(6))),'J1 C - (South) Bishopthorpe Roa'!$A$12:$A$130,"&gt;="&amp;Diagram!$O70,'J1 C - (South) Bishopthorpe Roa'!$A$12:$A$130,"&lt;"&amp;Diagram!$P70),SUMIFS(INDIRECT(ADDRESS(12,3+18*1+(14),,,"J1 C - (South) Bishopthorpe Roa")&amp;":"&amp;ADDRESS(130,3+18*1+(14))),'J1 C - (South) Bishopthorpe Roa'!$A$12:$A$130,"&gt;="&amp;Diagram!$O70,'J1 C - (South) Bishopthorpe Roa'!$A$12:$A$130,"&lt;"&amp;Diagram!$P70)))</f>
        <v>4</v>
      </c>
      <c r="DZ70" s="42">
        <f ca="1">IF(OR($I$10="",$O70="",$P70="",$J$41&lt;&gt;"Yes"),0,IF($K$10=0,SUMIFS(INDIRECT(ADDRESS(12,3+18*2+(6),,,"J1 C - (South) Bishopthorpe Roa")&amp;":"&amp;ADDRESS(130,3+18*2+(6))),'J1 C - (South) Bishopthorpe Roa'!$A$12:$A$130,"&gt;="&amp;Diagram!$O70,'J1 C - (South) Bishopthorpe Roa'!$A$12:$A$130,"&lt;"&amp;Diagram!$P70),SUMIFS(INDIRECT(ADDRESS(12,3+18*2+(14),,,"J1 C - (South) Bishopthorpe Roa")&amp;":"&amp;ADDRESS(130,3+18*2+(14))),'J1 C - (South) Bishopthorpe Roa'!$A$12:$A$130,"&gt;="&amp;Diagram!$O70,'J1 C - (South) Bishopthorpe Roa'!$A$12:$A$130,"&lt;"&amp;Diagram!$P70)))</f>
        <v>0</v>
      </c>
      <c r="EA70" s="42">
        <f ca="1">IF(OR($I$10="",$O70="",$P70="",$J$41&lt;&gt;"Yes"),0,IF($K$10=0,SUMIFS(INDIRECT(ADDRESS(12,3+18*3+(6),,,"J1 C - (South) Bishopthorpe Roa")&amp;":"&amp;ADDRESS(130,3+18*3+(6))),'J1 C - (South) Bishopthorpe Roa'!$A$12:$A$130,"&gt;="&amp;Diagram!$O70,'J1 C - (South) Bishopthorpe Roa'!$A$12:$A$130,"&lt;"&amp;Diagram!$P70),SUMIFS(INDIRECT(ADDRESS(12,3+18*3+(14),,,"J1 C - (South) Bishopthorpe Roa")&amp;":"&amp;ADDRESS(130,3+18*3+(14))),'J1 C - (South) Bishopthorpe Roa'!$A$12:$A$130,"&gt;="&amp;Diagram!$O70,'J1 C - (South) Bishopthorpe Roa'!$A$12:$A$130,"&lt;"&amp;Diagram!$P70)))</f>
        <v>0</v>
      </c>
      <c r="EB70" s="42">
        <f ca="1">IF(OR($I$10="",$O70="",$P70="",$J$41&lt;&gt;"Yes"),0,IF($K$10=0,SUMIFS(INDIRECT(ADDRESS(12,3+18*0+(6),,,"J1 C - (South) Bishopthorpe Roa")&amp;":"&amp;ADDRESS(130,3+18*0+(6))),'J1 C - (South) Bishopthorpe Roa'!$A$12:$A$130,"&gt;="&amp;Diagram!$O70,'J1 C - (South) Bishopthorpe Roa'!$A$12:$A$130,"&lt;"&amp;Diagram!$P70),SUMIFS(INDIRECT(ADDRESS(12,3+18*0+(14),,,"J1 C - (South) Bishopthorpe Roa")&amp;":"&amp;ADDRESS(130,3+18*0+(14))),'J1 C - (South) Bishopthorpe Roa'!$A$12:$A$130,"&gt;="&amp;Diagram!$O70,'J1 C - (South) Bishopthorpe Roa'!$A$12:$A$130,"&lt;"&amp;Diagram!$P70)))</f>
        <v>0</v>
      </c>
      <c r="EC70" s="42">
        <f ca="1">IF(OR($I$10="",$O70="",$P70="",$J$41&lt;&gt;"Yes"),0,IF($K$10=0,SUMIFS(INDIRECT(ADDRESS(12,3+18*0+(6),,,"J1 D - South Bank Avenue")&amp;":"&amp;ADDRESS(130,3+18*0+(6))),'J1 D - South Bank Avenue'!$A$12:$A$130,"&gt;="&amp;Diagram!$O70,'J1 D - South Bank Avenue'!$A$12:$A$130,"&lt;"&amp;Diagram!$P70),SUMIFS(INDIRECT(ADDRESS(12,3+18*0+(14),,,"J1 D - South Bank Avenue")&amp;":"&amp;ADDRESS(130,3+18*0+(14))),'J1 D - South Bank Avenue'!$A$12:$A$130,"&gt;="&amp;Diagram!$O70,'J1 D - South Bank Avenue'!$A$12:$A$130,"&lt;"&amp;Diagram!$P70)))</f>
        <v>1</v>
      </c>
      <c r="ED70" s="42">
        <f ca="1">IF(OR($I$10="",$O70="",$P70="",$J$41&lt;&gt;"Yes"),0,IF($K$10=0,SUMIFS(INDIRECT(ADDRESS(12,3+18*1+(6),,,"J1 D - South Bank Avenue")&amp;":"&amp;ADDRESS(130,3+18*1+(6))),'J1 D - South Bank Avenue'!$A$12:$A$130,"&gt;="&amp;Diagram!$O70,'J1 D - South Bank Avenue'!$A$12:$A$130,"&lt;"&amp;Diagram!$P70),SUMIFS(INDIRECT(ADDRESS(12,3+18*1+(14),,,"J1 D - South Bank Avenue")&amp;":"&amp;ADDRESS(130,3+18*1+(14))),'J1 D - South Bank Avenue'!$A$12:$A$130,"&gt;="&amp;Diagram!$O70,'J1 D - South Bank Avenue'!$A$12:$A$130,"&lt;"&amp;Diagram!$P70)))</f>
        <v>0</v>
      </c>
      <c r="EE70" s="42">
        <f ca="1">IF(OR($I$10="",$O70="",$P70="",$J$41&lt;&gt;"Yes"),0,IF($K$10=0,SUMIFS(INDIRECT(ADDRESS(12,3+18*2+(6),,,"J1 D - South Bank Avenue")&amp;":"&amp;ADDRESS(130,3+18*2+(6))),'J1 D - South Bank Avenue'!$A$12:$A$130,"&gt;="&amp;Diagram!$O70,'J1 D - South Bank Avenue'!$A$12:$A$130,"&lt;"&amp;Diagram!$P70),SUMIFS(INDIRECT(ADDRESS(12,3+18*2+(14),,,"J1 D - South Bank Avenue")&amp;":"&amp;ADDRESS(130,3+18*2+(14))),'J1 D - South Bank Avenue'!$A$12:$A$130,"&gt;="&amp;Diagram!$O70,'J1 D - South Bank Avenue'!$A$12:$A$130,"&lt;"&amp;Diagram!$P70)))</f>
        <v>0</v>
      </c>
      <c r="EF70" s="42">
        <f ca="1">IF(OR($I$10="",$O70="",$P70="",$J$41&lt;&gt;"Yes"),0,IF($K$10=0,SUMIFS(INDIRECT(ADDRESS(12,3+18*3+(6),,,"J1 D - South Bank Avenue")&amp;":"&amp;ADDRESS(130,3+18*3+(6))),'J1 D - South Bank Avenue'!$A$12:$A$130,"&gt;="&amp;Diagram!$O70,'J1 D - South Bank Avenue'!$A$12:$A$130,"&lt;"&amp;Diagram!$P70),SUMIFS(INDIRECT(ADDRESS(12,3+18*3+(14),,,"J1 D - South Bank Avenue")&amp;":"&amp;ADDRESS(130,3+18*3+(14))),'J1 D - South Bank Avenue'!$A$12:$A$130,"&gt;="&amp;Diagram!$O70,'J1 D - South Bank Avenue'!$A$12:$A$130,"&lt;"&amp;Diagram!$P70)))</f>
        <v>0</v>
      </c>
      <c r="EG70" s="42">
        <f t="shared" ca="1" si="18"/>
        <v>3</v>
      </c>
      <c r="EH70" s="42">
        <f ca="1">IF(OR($I$10="",$O70="",$P70="",$J$42&lt;&gt;"Yes"),0,IF($K$10=0,SUMIFS(INDIRECT(ADDRESS(12,3+18*3+(7),,,"J1 A - (North) Bishopthorpe Roa")&amp;":"&amp;ADDRESS(130,3+18*3+(7))),'J1 A - (North) Bishopthorpe Roa'!$A$12:$A$130,"&gt;="&amp;Diagram!$O70,'J1 A - (North) Bishopthorpe Roa'!$A$12:$A$130,"&lt;"&amp;Diagram!$P70),SUMIFS(INDIRECT(ADDRESS(12,3+18*3+(15),,,"J1 A - (North) Bishopthorpe Roa")&amp;":"&amp;ADDRESS(130,3+18*3+(15))),'J1 A - (North) Bishopthorpe Roa'!$A$12:$A$130,"&gt;="&amp;Diagram!$O70,'J1 A - (North) Bishopthorpe Roa'!$A$12:$A$130,"&lt;"&amp;Diagram!$P70)))</f>
        <v>0</v>
      </c>
      <c r="EI70" s="42">
        <f ca="1">IF(OR($I$10="",$O70="",$P70="",$J$42&lt;&gt;"Yes"),0,IF($K$10=0,SUMIFS(INDIRECT(ADDRESS(12,3+18*0+(7),,,"J1 A - (North) Bishopthorpe Roa")&amp;":"&amp;ADDRESS(130,3+18*0+(7))),'J1 A - (North) Bishopthorpe Roa'!$A$12:$A$130,"&gt;="&amp;Diagram!$O70,'J1 A - (North) Bishopthorpe Roa'!$A$12:$A$130,"&lt;"&amp;Diagram!$P70),SUMIFS(INDIRECT(ADDRESS(12,3+18*0+(15),,,"J1 A - (North) Bishopthorpe Roa")&amp;":"&amp;ADDRESS(130,3+18*0+(15))),'J1 A - (North) Bishopthorpe Roa'!$A$12:$A$130,"&gt;="&amp;Diagram!$O70,'J1 A - (North) Bishopthorpe Roa'!$A$12:$A$130,"&lt;"&amp;Diagram!$P70)))</f>
        <v>3</v>
      </c>
      <c r="EJ70" s="42">
        <f ca="1">IF(OR($I$10="",$O70="",$P70="",$J$42&lt;&gt;"Yes"),0,IF($K$10=0,SUMIFS(INDIRECT(ADDRESS(12,3+18*1+(7),,,"J1 A - (North) Bishopthorpe Roa")&amp;":"&amp;ADDRESS(130,3+18*1+(7))),'J1 A - (North) Bishopthorpe Roa'!$A$12:$A$130,"&gt;="&amp;Diagram!$O70,'J1 A - (North) Bishopthorpe Roa'!$A$12:$A$130,"&lt;"&amp;Diagram!$P70),SUMIFS(INDIRECT(ADDRESS(12,3+18*1+(15),,,"J1 A - (North) Bishopthorpe Roa")&amp;":"&amp;ADDRESS(130,3+18*1+(15))),'J1 A - (North) Bishopthorpe Roa'!$A$12:$A$130,"&gt;="&amp;Diagram!$O70,'J1 A - (North) Bishopthorpe Roa'!$A$12:$A$130,"&lt;"&amp;Diagram!$P70)))</f>
        <v>0</v>
      </c>
      <c r="EK70" s="42">
        <f ca="1">IF(OR($I$10="",$O70="",$P70="",$J$42&lt;&gt;"Yes"),0,IF($K$10=0,SUMIFS(INDIRECT(ADDRESS(12,3+18*2+(7),,,"J1 A - (North) Bishopthorpe Roa")&amp;":"&amp;ADDRESS(130,3+18*2+(7))),'J1 A - (North) Bishopthorpe Roa'!$A$12:$A$130,"&gt;="&amp;Diagram!$O70,'J1 A - (North) Bishopthorpe Roa'!$A$12:$A$130,"&lt;"&amp;Diagram!$P70),SUMIFS(INDIRECT(ADDRESS(12,3+18*2+(15),,,"J1 A - (North) Bishopthorpe Roa")&amp;":"&amp;ADDRESS(130,3+18*2+(15))),'J1 A - (North) Bishopthorpe Roa'!$A$12:$A$130,"&gt;="&amp;Diagram!$O70,'J1 A - (North) Bishopthorpe Roa'!$A$12:$A$130,"&lt;"&amp;Diagram!$P70)))</f>
        <v>0</v>
      </c>
      <c r="EL70" s="42">
        <f ca="1">IF(OR($I$10="",$O70="",$P70="",$J$42&lt;&gt;"Yes"),0,IF($K$10=0,SUMIFS(INDIRECT(ADDRESS(12,3+18*2+(7),,,"J1 B - Butcher Terrace")&amp;":"&amp;ADDRESS(130,3+18*2+(7))),'J1 B - Butcher Terrace'!$A$12:$A$130,"&gt;="&amp;Diagram!$O70,'J1 B - Butcher Terrace'!$A$12:$A$130,"&lt;"&amp;Diagram!$P70),SUMIFS(INDIRECT(ADDRESS(12,3+18*2+(15),,,"J1 B - Butcher Terrace")&amp;":"&amp;ADDRESS(130,3+18*2+(15))),'J1 B - Butcher Terrace'!$A$12:$A$130,"&gt;="&amp;Diagram!$O70,'J1 B - Butcher Terrace'!$A$12:$A$130,"&lt;"&amp;Diagram!$P70)))</f>
        <v>0</v>
      </c>
      <c r="EM70" s="42">
        <f ca="1">IF(OR($I$10="",$O70="",$P70="",$J$42&lt;&gt;"Yes"),0,IF($K$10=0,SUMIFS(INDIRECT(ADDRESS(12,3+18*3+(7),,,"J1 B - Butcher Terrace")&amp;":"&amp;ADDRESS(130,3+18*3+(7))),'J1 B - Butcher Terrace'!$A$12:$A$130,"&gt;="&amp;Diagram!$O70,'J1 B - Butcher Terrace'!$A$12:$A$130,"&lt;"&amp;Diagram!$P70),SUMIFS(INDIRECT(ADDRESS(12,3+18*3+(15),,,"J1 B - Butcher Terrace")&amp;":"&amp;ADDRESS(130,3+18*3+(15))),'J1 B - Butcher Terrace'!$A$12:$A$130,"&gt;="&amp;Diagram!$O70,'J1 B - Butcher Terrace'!$A$12:$A$130,"&lt;"&amp;Diagram!$P70)))</f>
        <v>0</v>
      </c>
      <c r="EN70" s="42">
        <f ca="1">IF(OR($I$10="",$O70="",$P70="",$J$42&lt;&gt;"Yes"),0,IF($K$10=0,SUMIFS(INDIRECT(ADDRESS(12,3+18*0+(7),,,"J1 B - Butcher Terrace")&amp;":"&amp;ADDRESS(130,3+18*0+(7))),'J1 B - Butcher Terrace'!$A$12:$A$130,"&gt;="&amp;Diagram!$O70,'J1 B - Butcher Terrace'!$A$12:$A$130,"&lt;"&amp;Diagram!$P70),SUMIFS(INDIRECT(ADDRESS(12,3+18*0+(15),,,"J1 B - Butcher Terrace")&amp;":"&amp;ADDRESS(130,3+18*0+(15))),'J1 B - Butcher Terrace'!$A$12:$A$130,"&gt;="&amp;Diagram!$O70,'J1 B - Butcher Terrace'!$A$12:$A$130,"&lt;"&amp;Diagram!$P70)))</f>
        <v>0</v>
      </c>
      <c r="EO70" s="42">
        <f ca="1">IF(OR($I$10="",$O70="",$P70="",$J$42&lt;&gt;"Yes"),0,IF($K$10=0,SUMIFS(INDIRECT(ADDRESS(12,3+18*1+(7),,,"J1 B - Butcher Terrace")&amp;":"&amp;ADDRESS(130,3+18*1+(7))),'J1 B - Butcher Terrace'!$A$12:$A$130,"&gt;="&amp;Diagram!$O70,'J1 B - Butcher Terrace'!$A$12:$A$130,"&lt;"&amp;Diagram!$P70),SUMIFS(INDIRECT(ADDRESS(12,3+18*1+(15),,,"J1 B - Butcher Terrace")&amp;":"&amp;ADDRESS(130,3+18*1+(15))),'J1 B - Butcher Terrace'!$A$12:$A$130,"&gt;="&amp;Diagram!$O70,'J1 B - Butcher Terrace'!$A$12:$A$130,"&lt;"&amp;Diagram!$P70)))</f>
        <v>0</v>
      </c>
      <c r="EP70" s="42">
        <f ca="1">IF(OR($I$10="",$O70="",$P70="",$J$42&lt;&gt;"Yes"),0,IF($K$10=0,SUMIFS(INDIRECT(ADDRESS(12,3+18*1+(7),,,"J1 C - (South) Bishopthorpe Roa")&amp;":"&amp;ADDRESS(130,3+18*1+(7))),'J1 C - (South) Bishopthorpe Roa'!$A$12:$A$130,"&gt;="&amp;Diagram!$O70,'J1 C - (South) Bishopthorpe Roa'!$A$12:$A$130,"&lt;"&amp;Diagram!$P70),SUMIFS(INDIRECT(ADDRESS(12,3+18*1+(15),,,"J1 C - (South) Bishopthorpe Roa")&amp;":"&amp;ADDRESS(130,3+18*1+(15))),'J1 C - (South) Bishopthorpe Roa'!$A$12:$A$130,"&gt;="&amp;Diagram!$O70,'J1 C - (South) Bishopthorpe Roa'!$A$12:$A$130,"&lt;"&amp;Diagram!$P70)))</f>
        <v>0</v>
      </c>
      <c r="EQ70" s="42">
        <f ca="1">IF(OR($I$10="",$O70="",$P70="",$J$42&lt;&gt;"Yes"),0,IF($K$10=0,SUMIFS(INDIRECT(ADDRESS(12,3+18*2+(7),,,"J1 C - (South) Bishopthorpe Roa")&amp;":"&amp;ADDRESS(130,3+18*2+(7))),'J1 C - (South) Bishopthorpe Roa'!$A$12:$A$130,"&gt;="&amp;Diagram!$O70,'J1 C - (South) Bishopthorpe Roa'!$A$12:$A$130,"&lt;"&amp;Diagram!$P70),SUMIFS(INDIRECT(ADDRESS(12,3+18*2+(15),,,"J1 C - (South) Bishopthorpe Roa")&amp;":"&amp;ADDRESS(130,3+18*2+(15))),'J1 C - (South) Bishopthorpe Roa'!$A$12:$A$130,"&gt;="&amp;Diagram!$O70,'J1 C - (South) Bishopthorpe Roa'!$A$12:$A$130,"&lt;"&amp;Diagram!$P70)))</f>
        <v>0</v>
      </c>
      <c r="ER70" s="42">
        <f ca="1">IF(OR($I$10="",$O70="",$P70="",$J$42&lt;&gt;"Yes"),0,IF($K$10=0,SUMIFS(INDIRECT(ADDRESS(12,3+18*3+(7),,,"J1 C - (South) Bishopthorpe Roa")&amp;":"&amp;ADDRESS(130,3+18*3+(7))),'J1 C - (South) Bishopthorpe Roa'!$A$12:$A$130,"&gt;="&amp;Diagram!$O70,'J1 C - (South) Bishopthorpe Roa'!$A$12:$A$130,"&lt;"&amp;Diagram!$P70),SUMIFS(INDIRECT(ADDRESS(12,3+18*3+(15),,,"J1 C - (South) Bishopthorpe Roa")&amp;":"&amp;ADDRESS(130,3+18*3+(15))),'J1 C - (South) Bishopthorpe Roa'!$A$12:$A$130,"&gt;="&amp;Diagram!$O70,'J1 C - (South) Bishopthorpe Roa'!$A$12:$A$130,"&lt;"&amp;Diagram!$P70)))</f>
        <v>0</v>
      </c>
      <c r="ES70" s="42">
        <f ca="1">IF(OR($I$10="",$O70="",$P70="",$J$42&lt;&gt;"Yes"),0,IF($K$10=0,SUMIFS(INDIRECT(ADDRESS(12,3+18*0+(7),,,"J1 C - (South) Bishopthorpe Roa")&amp;":"&amp;ADDRESS(130,3+18*0+(7))),'J1 C - (South) Bishopthorpe Roa'!$A$12:$A$130,"&gt;="&amp;Diagram!$O70,'J1 C - (South) Bishopthorpe Roa'!$A$12:$A$130,"&lt;"&amp;Diagram!$P70),SUMIFS(INDIRECT(ADDRESS(12,3+18*0+(15),,,"J1 C - (South) Bishopthorpe Roa")&amp;":"&amp;ADDRESS(130,3+18*0+(15))),'J1 C - (South) Bishopthorpe Roa'!$A$12:$A$130,"&gt;="&amp;Diagram!$O70,'J1 C - (South) Bishopthorpe Roa'!$A$12:$A$130,"&lt;"&amp;Diagram!$P70)))</f>
        <v>0</v>
      </c>
      <c r="ET70" s="42">
        <f ca="1">IF(OR($I$10="",$O70="",$P70="",$J$42&lt;&gt;"Yes"),0,IF($K$10=0,SUMIFS(INDIRECT(ADDRESS(12,3+18*0+(7),,,"J1 D - South Bank Avenue")&amp;":"&amp;ADDRESS(130,3+18*0+(7))),'J1 D - South Bank Avenue'!$A$12:$A$130,"&gt;="&amp;Diagram!$O70,'J1 D - South Bank Avenue'!$A$12:$A$130,"&lt;"&amp;Diagram!$P70),SUMIFS(INDIRECT(ADDRESS(12,3+18*0+(15),,,"J1 D - South Bank Avenue")&amp;":"&amp;ADDRESS(130,3+18*0+(15))),'J1 D - South Bank Avenue'!$A$12:$A$130,"&gt;="&amp;Diagram!$O70,'J1 D - South Bank Avenue'!$A$12:$A$130,"&lt;"&amp;Diagram!$P70)))</f>
        <v>0</v>
      </c>
      <c r="EU70" s="42">
        <f ca="1">IF(OR($I$10="",$O70="",$P70="",$J$42&lt;&gt;"Yes"),0,IF($K$10=0,SUMIFS(INDIRECT(ADDRESS(12,3+18*1+(7),,,"J1 D - South Bank Avenue")&amp;":"&amp;ADDRESS(130,3+18*1+(7))),'J1 D - South Bank Avenue'!$A$12:$A$130,"&gt;="&amp;Diagram!$O70,'J1 D - South Bank Avenue'!$A$12:$A$130,"&lt;"&amp;Diagram!$P70),SUMIFS(INDIRECT(ADDRESS(12,3+18*1+(15),,,"J1 D - South Bank Avenue")&amp;":"&amp;ADDRESS(130,3+18*1+(15))),'J1 D - South Bank Avenue'!$A$12:$A$130,"&gt;="&amp;Diagram!$O70,'J1 D - South Bank Avenue'!$A$12:$A$130,"&lt;"&amp;Diagram!$P70)))</f>
        <v>0</v>
      </c>
      <c r="EV70" s="42">
        <f ca="1">IF(OR($I$10="",$O70="",$P70="",$J$42&lt;&gt;"Yes"),0,IF($K$10=0,SUMIFS(INDIRECT(ADDRESS(12,3+18*2+(7),,,"J1 D - South Bank Avenue")&amp;":"&amp;ADDRESS(130,3+18*2+(7))),'J1 D - South Bank Avenue'!$A$12:$A$130,"&gt;="&amp;Diagram!$O70,'J1 D - South Bank Avenue'!$A$12:$A$130,"&lt;"&amp;Diagram!$P70),SUMIFS(INDIRECT(ADDRESS(12,3+18*2+(15),,,"J1 D - South Bank Avenue")&amp;":"&amp;ADDRESS(130,3+18*2+(15))),'J1 D - South Bank Avenue'!$A$12:$A$130,"&gt;="&amp;Diagram!$O70,'J1 D - South Bank Avenue'!$A$12:$A$130,"&lt;"&amp;Diagram!$P70)))</f>
        <v>0</v>
      </c>
      <c r="EW70" s="42">
        <f ca="1">IF(OR($I$10="",$O70="",$P70="",$J$42&lt;&gt;"Yes"),0,IF($K$10=0,SUMIFS(INDIRECT(ADDRESS(12,3+18*3+(7),,,"J1 D - South Bank Avenue")&amp;":"&amp;ADDRESS(130,3+18*3+(7))),'J1 D - South Bank Avenue'!$A$12:$A$130,"&gt;="&amp;Diagram!$O70,'J1 D - South Bank Avenue'!$A$12:$A$130,"&lt;"&amp;Diagram!$P70),SUMIFS(INDIRECT(ADDRESS(12,3+18*3+(15),,,"J1 D - South Bank Avenue")&amp;":"&amp;ADDRESS(130,3+18*3+(15))),'J1 D - South Bank Avenue'!$A$12:$A$130,"&gt;="&amp;Diagram!$O70,'J1 D - South Bank Avenue'!$A$12:$A$130,"&lt;"&amp;Diagram!$P70)))</f>
        <v>0</v>
      </c>
    </row>
    <row r="71" spans="1:153">
      <c r="A71" s="1">
        <v>44395.729166666701</v>
      </c>
      <c r="B71" s="1">
        <v>44395.739583333299</v>
      </c>
      <c r="O71" s="3">
        <v>44395.729166666701</v>
      </c>
      <c r="P71" s="3">
        <v>44395.770833333299</v>
      </c>
      <c r="Q71" s="42">
        <f t="shared" ca="1" si="10"/>
        <v>723</v>
      </c>
      <c r="R71" s="42">
        <f t="shared" ca="1" si="11"/>
        <v>539</v>
      </c>
      <c r="S71" s="42">
        <f ca="1">IF(OR($I$10="",$O71="",$P71="",$J$35&lt;&gt;"Yes"),0,IF($K$10=0,SUMIFS(INDIRECT(ADDRESS(12,3+18*3+(0),,,"J1 A - (North) Bishopthorpe Roa")&amp;":"&amp;ADDRESS(130,3+18*3+(0))),'J1 A - (North) Bishopthorpe Roa'!$A$12:$A$130,"&gt;="&amp;Diagram!$O71,'J1 A - (North) Bishopthorpe Roa'!$A$12:$A$130,"&lt;"&amp;Diagram!$P71),SUMIFS(INDIRECT(ADDRESS(12,3+18*3+(8),,,"J1 A - (North) Bishopthorpe Roa")&amp;":"&amp;ADDRESS(130,3+18*3+(8))),'J1 A - (North) Bishopthorpe Roa'!$A$12:$A$130,"&gt;="&amp;Diagram!$O71,'J1 A - (North) Bishopthorpe Roa'!$A$12:$A$130,"&lt;"&amp;Diagram!$P71)))</f>
        <v>1</v>
      </c>
      <c r="T71" s="42">
        <f ca="1">IF(OR($I$10="",$O71="",$P71="",$J$35&lt;&gt;"Yes"),0,IF($K$10=0,SUMIFS(INDIRECT(ADDRESS(12,3+18*0+(0),,,"J1 A - (North) Bishopthorpe Roa")&amp;":"&amp;ADDRESS(130,3+18*0+(0))),'J1 A - (North) Bishopthorpe Roa'!$A$12:$A$130,"&gt;="&amp;Diagram!$O71,'J1 A - (North) Bishopthorpe Roa'!$A$12:$A$130,"&lt;"&amp;Diagram!$P71),SUMIFS(INDIRECT(ADDRESS(12,3+18*0+(8),,,"J1 A - (North) Bishopthorpe Roa")&amp;":"&amp;ADDRESS(130,3+18*0+(8))),'J1 A - (North) Bishopthorpe Roa'!$A$12:$A$130,"&gt;="&amp;Diagram!$O71,'J1 A - (North) Bishopthorpe Roa'!$A$12:$A$130,"&lt;"&amp;Diagram!$P71)))</f>
        <v>23</v>
      </c>
      <c r="U71" s="42">
        <f ca="1">IF(OR($I$10="",$O71="",$P71="",$J$35&lt;&gt;"Yes"),0,IF($K$10=0,SUMIFS(INDIRECT(ADDRESS(12,3+18*1+(0),,,"J1 A - (North) Bishopthorpe Roa")&amp;":"&amp;ADDRESS(130,3+18*1+(0))),'J1 A - (North) Bishopthorpe Roa'!$A$12:$A$130,"&gt;="&amp;Diagram!$O71,'J1 A - (North) Bishopthorpe Roa'!$A$12:$A$130,"&lt;"&amp;Diagram!$P71),SUMIFS(INDIRECT(ADDRESS(12,3+18*1+(8),,,"J1 A - (North) Bishopthorpe Roa")&amp;":"&amp;ADDRESS(130,3+18*1+(8))),'J1 A - (North) Bishopthorpe Roa'!$A$12:$A$130,"&gt;="&amp;Diagram!$O71,'J1 A - (North) Bishopthorpe Roa'!$A$12:$A$130,"&lt;"&amp;Diagram!$P71)))</f>
        <v>221</v>
      </c>
      <c r="V71" s="42">
        <f ca="1">IF(OR($I$10="",$O71="",$P71="",$J$35&lt;&gt;"Yes"),0,IF($K$10=0,SUMIFS(INDIRECT(ADDRESS(12,3+18*2+(0),,,"J1 A - (North) Bishopthorpe Roa")&amp;":"&amp;ADDRESS(130,3+18*2+(0))),'J1 A - (North) Bishopthorpe Roa'!$A$12:$A$130,"&gt;="&amp;Diagram!$O71,'J1 A - (North) Bishopthorpe Roa'!$A$12:$A$130,"&lt;"&amp;Diagram!$P71),SUMIFS(INDIRECT(ADDRESS(12,3+18*2+(8),,,"J1 A - (North) Bishopthorpe Roa")&amp;":"&amp;ADDRESS(130,3+18*2+(8))),'J1 A - (North) Bishopthorpe Roa'!$A$12:$A$130,"&gt;="&amp;Diagram!$O71,'J1 A - (North) Bishopthorpe Roa'!$A$12:$A$130,"&lt;"&amp;Diagram!$P71)))</f>
        <v>35</v>
      </c>
      <c r="W71" s="42">
        <f ca="1">IF(OR($I$10="",$O71="",$P71="",$J$35&lt;&gt;"Yes"),0,IF($K$10=0,SUMIFS(INDIRECT(ADDRESS(12,3+18*2+(0),,,"J1 B - Butcher Terrace")&amp;":"&amp;ADDRESS(130,3+18*2+(0))),'J1 B - Butcher Terrace'!$A$12:$A$130,"&gt;="&amp;Diagram!$O71,'J1 B - Butcher Terrace'!$A$12:$A$130,"&lt;"&amp;Diagram!$P71),SUMIFS(INDIRECT(ADDRESS(12,3+18*2+(8),,,"J1 B - Butcher Terrace")&amp;":"&amp;ADDRESS(130,3+18*2+(8))),'J1 B - Butcher Terrace'!$A$12:$A$130,"&gt;="&amp;Diagram!$O71,'J1 B - Butcher Terrace'!$A$12:$A$130,"&lt;"&amp;Diagram!$P71)))</f>
        <v>13</v>
      </c>
      <c r="X71" s="42">
        <f ca="1">IF(OR($I$10="",$O71="",$P71="",$J$35&lt;&gt;"Yes"),0,IF($K$10=0,SUMIFS(INDIRECT(ADDRESS(12,3+18*3+(0),,,"J1 B - Butcher Terrace")&amp;":"&amp;ADDRESS(130,3+18*3+(0))),'J1 B - Butcher Terrace'!$A$12:$A$130,"&gt;="&amp;Diagram!$O71,'J1 B - Butcher Terrace'!$A$12:$A$130,"&lt;"&amp;Diagram!$P71),SUMIFS(INDIRECT(ADDRESS(12,3+18*3+(8),,,"J1 B - Butcher Terrace")&amp;":"&amp;ADDRESS(130,3+18*3+(8))),'J1 B - Butcher Terrace'!$A$12:$A$130,"&gt;="&amp;Diagram!$O71,'J1 B - Butcher Terrace'!$A$12:$A$130,"&lt;"&amp;Diagram!$P71)))</f>
        <v>0</v>
      </c>
      <c r="Y71" s="42">
        <f ca="1">IF(OR($I$10="",$O71="",$P71="",$J$35&lt;&gt;"Yes"),0,IF($K$10=0,SUMIFS(INDIRECT(ADDRESS(12,3+18*0+(0),,,"J1 B - Butcher Terrace")&amp;":"&amp;ADDRESS(130,3+18*0+(0))),'J1 B - Butcher Terrace'!$A$12:$A$130,"&gt;="&amp;Diagram!$O71,'J1 B - Butcher Terrace'!$A$12:$A$130,"&lt;"&amp;Diagram!$P71),SUMIFS(INDIRECT(ADDRESS(12,3+18*0+(8),,,"J1 B - Butcher Terrace")&amp;":"&amp;ADDRESS(130,3+18*0+(8))),'J1 B - Butcher Terrace'!$A$12:$A$130,"&gt;="&amp;Diagram!$O71,'J1 B - Butcher Terrace'!$A$12:$A$130,"&lt;"&amp;Diagram!$P71)))</f>
        <v>8</v>
      </c>
      <c r="Z71" s="42">
        <f ca="1">IF(OR($I$10="",$O71="",$P71="",$J$35&lt;&gt;"Yes"),0,IF($K$10=0,SUMIFS(INDIRECT(ADDRESS(12,3+18*1+(0),,,"J1 B - Butcher Terrace")&amp;":"&amp;ADDRESS(130,3+18*1+(0))),'J1 B - Butcher Terrace'!$A$12:$A$130,"&gt;="&amp;Diagram!$O71,'J1 B - Butcher Terrace'!$A$12:$A$130,"&lt;"&amp;Diagram!$P71),SUMIFS(INDIRECT(ADDRESS(12,3+18*1+(8),,,"J1 B - Butcher Terrace")&amp;":"&amp;ADDRESS(130,3+18*1+(8))),'J1 B - Butcher Terrace'!$A$12:$A$130,"&gt;="&amp;Diagram!$O71,'J1 B - Butcher Terrace'!$A$12:$A$130,"&lt;"&amp;Diagram!$P71)))</f>
        <v>1</v>
      </c>
      <c r="AA71" s="42">
        <f ca="1">IF(OR($I$10="",$O71="",$P71="",$J$35&lt;&gt;"Yes"),0,IF($K$10=0,SUMIFS(INDIRECT(ADDRESS(12,3+18*1+(0),,,"J1 C - (South) Bishopthorpe Roa")&amp;":"&amp;ADDRESS(130,3+18*1+(0))),'J1 C - (South) Bishopthorpe Roa'!$A$12:$A$130,"&gt;="&amp;Diagram!$O71,'J1 C - (South) Bishopthorpe Roa'!$A$12:$A$130,"&lt;"&amp;Diagram!$P71),SUMIFS(INDIRECT(ADDRESS(12,3+18*1+(8),,,"J1 C - (South) Bishopthorpe Roa")&amp;":"&amp;ADDRESS(130,3+18*1+(8))),'J1 C - (South) Bishopthorpe Roa'!$A$12:$A$130,"&gt;="&amp;Diagram!$O71,'J1 C - (South) Bishopthorpe Roa'!$A$12:$A$130,"&lt;"&amp;Diagram!$P71)))</f>
        <v>184</v>
      </c>
      <c r="AB71" s="42">
        <f ca="1">IF(OR($I$10="",$O71="",$P71="",$J$35&lt;&gt;"Yes"),0,IF($K$10=0,SUMIFS(INDIRECT(ADDRESS(12,3+18*2+(0),,,"J1 C - (South) Bishopthorpe Roa")&amp;":"&amp;ADDRESS(130,3+18*2+(0))),'J1 C - (South) Bishopthorpe Roa'!$A$12:$A$130,"&gt;="&amp;Diagram!$O71,'J1 C - (South) Bishopthorpe Roa'!$A$12:$A$130,"&lt;"&amp;Diagram!$P71),SUMIFS(INDIRECT(ADDRESS(12,3+18*2+(8),,,"J1 C - (South) Bishopthorpe Roa")&amp;":"&amp;ADDRESS(130,3+18*2+(8))),'J1 C - (South) Bishopthorpe Roa'!$A$12:$A$130,"&gt;="&amp;Diagram!$O71,'J1 C - (South) Bishopthorpe Roa'!$A$12:$A$130,"&lt;"&amp;Diagram!$P71)))</f>
        <v>12</v>
      </c>
      <c r="AC71" s="42">
        <f ca="1">IF(OR($I$10="",$O71="",$P71="",$J$35&lt;&gt;"Yes"),0,IF($K$10=0,SUMIFS(INDIRECT(ADDRESS(12,3+18*3+(0),,,"J1 C - (South) Bishopthorpe Roa")&amp;":"&amp;ADDRESS(130,3+18*3+(0))),'J1 C - (South) Bishopthorpe Roa'!$A$12:$A$130,"&gt;="&amp;Diagram!$O71,'J1 C - (South) Bishopthorpe Roa'!$A$12:$A$130,"&lt;"&amp;Diagram!$P71),SUMIFS(INDIRECT(ADDRESS(12,3+18*3+(8),,,"J1 C - (South) Bishopthorpe Roa")&amp;":"&amp;ADDRESS(130,3+18*3+(8))),'J1 C - (South) Bishopthorpe Roa'!$A$12:$A$130,"&gt;="&amp;Diagram!$O71,'J1 C - (South) Bishopthorpe Roa'!$A$12:$A$130,"&lt;"&amp;Diagram!$P71)))</f>
        <v>0</v>
      </c>
      <c r="AD71" s="42">
        <f ca="1">IF(OR($I$10="",$O71="",$P71="",$J$35&lt;&gt;"Yes"),0,IF($K$10=0,SUMIFS(INDIRECT(ADDRESS(12,3+18*0+(0),,,"J1 C - (South) Bishopthorpe Roa")&amp;":"&amp;ADDRESS(130,3+18*0+(0))),'J1 C - (South) Bishopthorpe Roa'!$A$12:$A$130,"&gt;="&amp;Diagram!$O71,'J1 C - (South) Bishopthorpe Roa'!$A$12:$A$130,"&lt;"&amp;Diagram!$P71),SUMIFS(INDIRECT(ADDRESS(12,3+18*0+(8),,,"J1 C - (South) Bishopthorpe Roa")&amp;":"&amp;ADDRESS(130,3+18*0+(8))),'J1 C - (South) Bishopthorpe Roa'!$A$12:$A$130,"&gt;="&amp;Diagram!$O71,'J1 C - (South) Bishopthorpe Roa'!$A$12:$A$130,"&lt;"&amp;Diagram!$P71)))</f>
        <v>5</v>
      </c>
      <c r="AE71" s="42">
        <f ca="1">IF(OR($I$10="",$O71="",$P71="",$J$35&lt;&gt;"Yes"),0,IF($K$10=0,SUMIFS(INDIRECT(ADDRESS(12,3+18*0+(0),,,"J1 D - South Bank Avenue")&amp;":"&amp;ADDRESS(130,3+18*0+(0))),'J1 D - South Bank Avenue'!$A$12:$A$130,"&gt;="&amp;Diagram!$O71,'J1 D - South Bank Avenue'!$A$12:$A$130,"&lt;"&amp;Diagram!$P71),SUMIFS(INDIRECT(ADDRESS(12,3+18*0+(8),,,"J1 D - South Bank Avenue")&amp;":"&amp;ADDRESS(130,3+18*0+(8))),'J1 D - South Bank Avenue'!$A$12:$A$130,"&gt;="&amp;Diagram!$O71,'J1 D - South Bank Avenue'!$A$12:$A$130,"&lt;"&amp;Diagram!$P71)))</f>
        <v>27</v>
      </c>
      <c r="AF71" s="42">
        <f ca="1">IF(OR($I$10="",$O71="",$P71="",$J$35&lt;&gt;"Yes"),0,IF($K$10=0,SUMIFS(INDIRECT(ADDRESS(12,3+18*1+(0),,,"J1 D - South Bank Avenue")&amp;":"&amp;ADDRESS(130,3+18*1+(0))),'J1 D - South Bank Avenue'!$A$12:$A$130,"&gt;="&amp;Diagram!$O71,'J1 D - South Bank Avenue'!$A$12:$A$130,"&lt;"&amp;Diagram!$P71),SUMIFS(INDIRECT(ADDRESS(12,3+18*1+(8),,,"J1 D - South Bank Avenue")&amp;":"&amp;ADDRESS(130,3+18*1+(8))),'J1 D - South Bank Avenue'!$A$12:$A$130,"&gt;="&amp;Diagram!$O71,'J1 D - South Bank Avenue'!$A$12:$A$130,"&lt;"&amp;Diagram!$P71)))</f>
        <v>3</v>
      </c>
      <c r="AG71" s="42">
        <f ca="1">IF(OR($I$10="",$O71="",$P71="",$J$35&lt;&gt;"Yes"),0,IF($K$10=0,SUMIFS(INDIRECT(ADDRESS(12,3+18*2+(0),,,"J1 D - South Bank Avenue")&amp;":"&amp;ADDRESS(130,3+18*2+(0))),'J1 D - South Bank Avenue'!$A$12:$A$130,"&gt;="&amp;Diagram!$O71,'J1 D - South Bank Avenue'!$A$12:$A$130,"&lt;"&amp;Diagram!$P71),SUMIFS(INDIRECT(ADDRESS(12,3+18*2+(8),,,"J1 D - South Bank Avenue")&amp;":"&amp;ADDRESS(130,3+18*2+(8))),'J1 D - South Bank Avenue'!$A$12:$A$130,"&gt;="&amp;Diagram!$O71,'J1 D - South Bank Avenue'!$A$12:$A$130,"&lt;"&amp;Diagram!$P71)))</f>
        <v>6</v>
      </c>
      <c r="AH71" s="42">
        <f ca="1">IF(OR($I$10="",$O71="",$P71="",$J$35&lt;&gt;"Yes"),0,IF($K$10=0,SUMIFS(INDIRECT(ADDRESS(12,3+18*3+(0),,,"J1 D - South Bank Avenue")&amp;":"&amp;ADDRESS(130,3+18*3+(0))),'J1 D - South Bank Avenue'!$A$12:$A$130,"&gt;="&amp;Diagram!$O71,'J1 D - South Bank Avenue'!$A$12:$A$130,"&lt;"&amp;Diagram!$P71),SUMIFS(INDIRECT(ADDRESS(12,3+18*3+(8),,,"J1 D - South Bank Avenue")&amp;":"&amp;ADDRESS(130,3+18*3+(8))),'J1 D - South Bank Avenue'!$A$12:$A$130,"&gt;="&amp;Diagram!$O71,'J1 D - South Bank Avenue'!$A$12:$A$130,"&lt;"&amp;Diagram!$P71)))</f>
        <v>0</v>
      </c>
      <c r="AI71" s="42">
        <f t="shared" ca="1" si="12"/>
        <v>24</v>
      </c>
      <c r="AJ71" s="42">
        <f ca="1">IF(OR($I$10="",$O71="",$P71="",$J$36&lt;&gt;"Yes"),0,IF($K$10=0,SUMIFS(INDIRECT(ADDRESS(12,3+18*3+(1),,,"J1 A - (North) Bishopthorpe Roa")&amp;":"&amp;ADDRESS(130,3+18*3+(1))),'J1 A - (North) Bishopthorpe Roa'!$A$12:$A$130,"&gt;="&amp;Diagram!$O71,'J1 A - (North) Bishopthorpe Roa'!$A$12:$A$130,"&lt;"&amp;Diagram!$P71),SUMIFS(INDIRECT(ADDRESS(12,3+18*3+(9),,,"J1 A - (North) Bishopthorpe Roa")&amp;":"&amp;ADDRESS(130,3+18*3+(9))),'J1 A - (North) Bishopthorpe Roa'!$A$12:$A$130,"&gt;="&amp;Diagram!$O71,'J1 A - (North) Bishopthorpe Roa'!$A$12:$A$130,"&lt;"&amp;Diagram!$P71)))</f>
        <v>0</v>
      </c>
      <c r="AK71" s="42">
        <f ca="1">IF(OR($I$10="",$O71="",$P71="",$J$36&lt;&gt;"Yes"),0,IF($K$10=0,SUMIFS(INDIRECT(ADDRESS(12,3+18*0+(1),,,"J1 A - (North) Bishopthorpe Roa")&amp;":"&amp;ADDRESS(130,3+18*0+(1))),'J1 A - (North) Bishopthorpe Roa'!$A$12:$A$130,"&gt;="&amp;Diagram!$O71,'J1 A - (North) Bishopthorpe Roa'!$A$12:$A$130,"&lt;"&amp;Diagram!$P71),SUMIFS(INDIRECT(ADDRESS(12,3+18*0+(9),,,"J1 A - (North) Bishopthorpe Roa")&amp;":"&amp;ADDRESS(130,3+18*0+(9))),'J1 A - (North) Bishopthorpe Roa'!$A$12:$A$130,"&gt;="&amp;Diagram!$O71,'J1 A - (North) Bishopthorpe Roa'!$A$12:$A$130,"&lt;"&amp;Diagram!$P71)))</f>
        <v>3</v>
      </c>
      <c r="AL71" s="42">
        <f ca="1">IF(OR($I$10="",$O71="",$P71="",$J$36&lt;&gt;"Yes"),0,IF($K$10=0,SUMIFS(INDIRECT(ADDRESS(12,3+18*1+(1),,,"J1 A - (North) Bishopthorpe Roa")&amp;":"&amp;ADDRESS(130,3+18*1+(1))),'J1 A - (North) Bishopthorpe Roa'!$A$12:$A$130,"&gt;="&amp;Diagram!$O71,'J1 A - (North) Bishopthorpe Roa'!$A$12:$A$130,"&lt;"&amp;Diagram!$P71),SUMIFS(INDIRECT(ADDRESS(12,3+18*1+(9),,,"J1 A - (North) Bishopthorpe Roa")&amp;":"&amp;ADDRESS(130,3+18*1+(9))),'J1 A - (North) Bishopthorpe Roa'!$A$12:$A$130,"&gt;="&amp;Diagram!$O71,'J1 A - (North) Bishopthorpe Roa'!$A$12:$A$130,"&lt;"&amp;Diagram!$P71)))</f>
        <v>7</v>
      </c>
      <c r="AM71" s="42">
        <f ca="1">IF(OR($I$10="",$O71="",$P71="",$J$36&lt;&gt;"Yes"),0,IF($K$10=0,SUMIFS(INDIRECT(ADDRESS(12,3+18*2+(1),,,"J1 A - (North) Bishopthorpe Roa")&amp;":"&amp;ADDRESS(130,3+18*2+(1))),'J1 A - (North) Bishopthorpe Roa'!$A$12:$A$130,"&gt;="&amp;Diagram!$O71,'J1 A - (North) Bishopthorpe Roa'!$A$12:$A$130,"&lt;"&amp;Diagram!$P71),SUMIFS(INDIRECT(ADDRESS(12,3+18*2+(9),,,"J1 A - (North) Bishopthorpe Roa")&amp;":"&amp;ADDRESS(130,3+18*2+(9))),'J1 A - (North) Bishopthorpe Roa'!$A$12:$A$130,"&gt;="&amp;Diagram!$O71,'J1 A - (North) Bishopthorpe Roa'!$A$12:$A$130,"&lt;"&amp;Diagram!$P71)))</f>
        <v>2</v>
      </c>
      <c r="AN71" s="42">
        <f ca="1">IF(OR($I$10="",$O71="",$P71="",$J$36&lt;&gt;"Yes"),0,IF($K$10=0,SUMIFS(INDIRECT(ADDRESS(12,3+18*2+(1),,,"J1 B - Butcher Terrace")&amp;":"&amp;ADDRESS(130,3+18*2+(1))),'J1 B - Butcher Terrace'!$A$12:$A$130,"&gt;="&amp;Diagram!$O71,'J1 B - Butcher Terrace'!$A$12:$A$130,"&lt;"&amp;Diagram!$P71),SUMIFS(INDIRECT(ADDRESS(12,3+18*2+(9),,,"J1 B - Butcher Terrace")&amp;":"&amp;ADDRESS(130,3+18*2+(9))),'J1 B - Butcher Terrace'!$A$12:$A$130,"&gt;="&amp;Diagram!$O71,'J1 B - Butcher Terrace'!$A$12:$A$130,"&lt;"&amp;Diagram!$P71)))</f>
        <v>0</v>
      </c>
      <c r="AO71" s="42">
        <f ca="1">IF(OR($I$10="",$O71="",$P71="",$J$36&lt;&gt;"Yes"),0,IF($K$10=0,SUMIFS(INDIRECT(ADDRESS(12,3+18*3+(1),,,"J1 B - Butcher Terrace")&amp;":"&amp;ADDRESS(130,3+18*3+(1))),'J1 B - Butcher Terrace'!$A$12:$A$130,"&gt;="&amp;Diagram!$O71,'J1 B - Butcher Terrace'!$A$12:$A$130,"&lt;"&amp;Diagram!$P71),SUMIFS(INDIRECT(ADDRESS(12,3+18*3+(9),,,"J1 B - Butcher Terrace")&amp;":"&amp;ADDRESS(130,3+18*3+(9))),'J1 B - Butcher Terrace'!$A$12:$A$130,"&gt;="&amp;Diagram!$O71,'J1 B - Butcher Terrace'!$A$12:$A$130,"&lt;"&amp;Diagram!$P71)))</f>
        <v>0</v>
      </c>
      <c r="AP71" s="42">
        <f ca="1">IF(OR($I$10="",$O71="",$P71="",$J$36&lt;&gt;"Yes"),0,IF($K$10=0,SUMIFS(INDIRECT(ADDRESS(12,3+18*0+(1),,,"J1 B - Butcher Terrace")&amp;":"&amp;ADDRESS(130,3+18*0+(1))),'J1 B - Butcher Terrace'!$A$12:$A$130,"&gt;="&amp;Diagram!$O71,'J1 B - Butcher Terrace'!$A$12:$A$130,"&lt;"&amp;Diagram!$P71),SUMIFS(INDIRECT(ADDRESS(12,3+18*0+(9),,,"J1 B - Butcher Terrace")&amp;":"&amp;ADDRESS(130,3+18*0+(9))),'J1 B - Butcher Terrace'!$A$12:$A$130,"&gt;="&amp;Diagram!$O71,'J1 B - Butcher Terrace'!$A$12:$A$130,"&lt;"&amp;Diagram!$P71)))</f>
        <v>1</v>
      </c>
      <c r="AQ71" s="42">
        <f ca="1">IF(OR($I$10="",$O71="",$P71="",$J$36&lt;&gt;"Yes"),0,IF($K$10=0,SUMIFS(INDIRECT(ADDRESS(12,3+18*1+(1),,,"J1 B - Butcher Terrace")&amp;":"&amp;ADDRESS(130,3+18*1+(1))),'J1 B - Butcher Terrace'!$A$12:$A$130,"&gt;="&amp;Diagram!$O71,'J1 B - Butcher Terrace'!$A$12:$A$130,"&lt;"&amp;Diagram!$P71),SUMIFS(INDIRECT(ADDRESS(12,3+18*1+(9),,,"J1 B - Butcher Terrace")&amp;":"&amp;ADDRESS(130,3+18*1+(9))),'J1 B - Butcher Terrace'!$A$12:$A$130,"&gt;="&amp;Diagram!$O71,'J1 B - Butcher Terrace'!$A$12:$A$130,"&lt;"&amp;Diagram!$P71)))</f>
        <v>0</v>
      </c>
      <c r="AR71" s="42">
        <f ca="1">IF(OR($I$10="",$O71="",$P71="",$J$36&lt;&gt;"Yes"),0,IF($K$10=0,SUMIFS(INDIRECT(ADDRESS(12,3+18*1+(1),,,"J1 C - (South) Bishopthorpe Roa")&amp;":"&amp;ADDRESS(130,3+18*1+(1))),'J1 C - (South) Bishopthorpe Roa'!$A$12:$A$130,"&gt;="&amp;Diagram!$O71,'J1 C - (South) Bishopthorpe Roa'!$A$12:$A$130,"&lt;"&amp;Diagram!$P71),SUMIFS(INDIRECT(ADDRESS(12,3+18*1+(9),,,"J1 C - (South) Bishopthorpe Roa")&amp;":"&amp;ADDRESS(130,3+18*1+(9))),'J1 C - (South) Bishopthorpe Roa'!$A$12:$A$130,"&gt;="&amp;Diagram!$O71,'J1 C - (South) Bishopthorpe Roa'!$A$12:$A$130,"&lt;"&amp;Diagram!$P71)))</f>
        <v>7</v>
      </c>
      <c r="AS71" s="42">
        <f ca="1">IF(OR($I$10="",$O71="",$P71="",$J$36&lt;&gt;"Yes"),0,IF($K$10=0,SUMIFS(INDIRECT(ADDRESS(12,3+18*2+(1),,,"J1 C - (South) Bishopthorpe Roa")&amp;":"&amp;ADDRESS(130,3+18*2+(1))),'J1 C - (South) Bishopthorpe Roa'!$A$12:$A$130,"&gt;="&amp;Diagram!$O71,'J1 C - (South) Bishopthorpe Roa'!$A$12:$A$130,"&lt;"&amp;Diagram!$P71),SUMIFS(INDIRECT(ADDRESS(12,3+18*2+(9),,,"J1 C - (South) Bishopthorpe Roa")&amp;":"&amp;ADDRESS(130,3+18*2+(9))),'J1 C - (South) Bishopthorpe Roa'!$A$12:$A$130,"&gt;="&amp;Diagram!$O71,'J1 C - (South) Bishopthorpe Roa'!$A$12:$A$130,"&lt;"&amp;Diagram!$P71)))</f>
        <v>0</v>
      </c>
      <c r="AT71" s="42">
        <f ca="1">IF(OR($I$10="",$O71="",$P71="",$J$36&lt;&gt;"Yes"),0,IF($K$10=0,SUMIFS(INDIRECT(ADDRESS(12,3+18*3+(1),,,"J1 C - (South) Bishopthorpe Roa")&amp;":"&amp;ADDRESS(130,3+18*3+(1))),'J1 C - (South) Bishopthorpe Roa'!$A$12:$A$130,"&gt;="&amp;Diagram!$O71,'J1 C - (South) Bishopthorpe Roa'!$A$12:$A$130,"&lt;"&amp;Diagram!$P71),SUMIFS(INDIRECT(ADDRESS(12,3+18*3+(9),,,"J1 C - (South) Bishopthorpe Roa")&amp;":"&amp;ADDRESS(130,3+18*3+(9))),'J1 C - (South) Bishopthorpe Roa'!$A$12:$A$130,"&gt;="&amp;Diagram!$O71,'J1 C - (South) Bishopthorpe Roa'!$A$12:$A$130,"&lt;"&amp;Diagram!$P71)))</f>
        <v>0</v>
      </c>
      <c r="AU71" s="42">
        <f ca="1">IF(OR($I$10="",$O71="",$P71="",$J$36&lt;&gt;"Yes"),0,IF($K$10=0,SUMIFS(INDIRECT(ADDRESS(12,3+18*0+(1),,,"J1 C - (South) Bishopthorpe Roa")&amp;":"&amp;ADDRESS(130,3+18*0+(1))),'J1 C - (South) Bishopthorpe Roa'!$A$12:$A$130,"&gt;="&amp;Diagram!$O71,'J1 C - (South) Bishopthorpe Roa'!$A$12:$A$130,"&lt;"&amp;Diagram!$P71),SUMIFS(INDIRECT(ADDRESS(12,3+18*0+(9),,,"J1 C - (South) Bishopthorpe Roa")&amp;":"&amp;ADDRESS(130,3+18*0+(9))),'J1 C - (South) Bishopthorpe Roa'!$A$12:$A$130,"&gt;="&amp;Diagram!$O71,'J1 C - (South) Bishopthorpe Roa'!$A$12:$A$130,"&lt;"&amp;Diagram!$P71)))</f>
        <v>0</v>
      </c>
      <c r="AV71" s="42">
        <f ca="1">IF(OR($I$10="",$O71="",$P71="",$J$36&lt;&gt;"Yes"),0,IF($K$10=0,SUMIFS(INDIRECT(ADDRESS(12,3+18*0+(1),,,"J1 D - South Bank Avenue")&amp;":"&amp;ADDRESS(130,3+18*0+(1))),'J1 D - South Bank Avenue'!$A$12:$A$130,"&gt;="&amp;Diagram!$O71,'J1 D - South Bank Avenue'!$A$12:$A$130,"&lt;"&amp;Diagram!$P71),SUMIFS(INDIRECT(ADDRESS(12,3+18*0+(9),,,"J1 D - South Bank Avenue")&amp;":"&amp;ADDRESS(130,3+18*0+(9))),'J1 D - South Bank Avenue'!$A$12:$A$130,"&gt;="&amp;Diagram!$O71,'J1 D - South Bank Avenue'!$A$12:$A$130,"&lt;"&amp;Diagram!$P71)))</f>
        <v>4</v>
      </c>
      <c r="AW71" s="42">
        <f ca="1">IF(OR($I$10="",$O71="",$P71="",$J$36&lt;&gt;"Yes"),0,IF($K$10=0,SUMIFS(INDIRECT(ADDRESS(12,3+18*1+(1),,,"J1 D - South Bank Avenue")&amp;":"&amp;ADDRESS(130,3+18*1+(1))),'J1 D - South Bank Avenue'!$A$12:$A$130,"&gt;="&amp;Diagram!$O71,'J1 D - South Bank Avenue'!$A$12:$A$130,"&lt;"&amp;Diagram!$P71),SUMIFS(INDIRECT(ADDRESS(12,3+18*1+(9),,,"J1 D - South Bank Avenue")&amp;":"&amp;ADDRESS(130,3+18*1+(9))),'J1 D - South Bank Avenue'!$A$12:$A$130,"&gt;="&amp;Diagram!$O71,'J1 D - South Bank Avenue'!$A$12:$A$130,"&lt;"&amp;Diagram!$P71)))</f>
        <v>0</v>
      </c>
      <c r="AX71" s="42">
        <f ca="1">IF(OR($I$10="",$O71="",$P71="",$J$36&lt;&gt;"Yes"),0,IF($K$10=0,SUMIFS(INDIRECT(ADDRESS(12,3+18*2+(1),,,"J1 D - South Bank Avenue")&amp;":"&amp;ADDRESS(130,3+18*2+(1))),'J1 D - South Bank Avenue'!$A$12:$A$130,"&gt;="&amp;Diagram!$O71,'J1 D - South Bank Avenue'!$A$12:$A$130,"&lt;"&amp;Diagram!$P71),SUMIFS(INDIRECT(ADDRESS(12,3+18*2+(9),,,"J1 D - South Bank Avenue")&amp;":"&amp;ADDRESS(130,3+18*2+(9))),'J1 D - South Bank Avenue'!$A$12:$A$130,"&gt;="&amp;Diagram!$O71,'J1 D - South Bank Avenue'!$A$12:$A$130,"&lt;"&amp;Diagram!$P71)))</f>
        <v>0</v>
      </c>
      <c r="AY71" s="42">
        <f ca="1">IF(OR($I$10="",$O71="",$P71="",$J$36&lt;&gt;"Yes"),0,IF($K$10=0,SUMIFS(INDIRECT(ADDRESS(12,3+18*3+(1),,,"J1 D - South Bank Avenue")&amp;":"&amp;ADDRESS(130,3+18*3+(1))),'J1 D - South Bank Avenue'!$A$12:$A$130,"&gt;="&amp;Diagram!$O71,'J1 D - South Bank Avenue'!$A$12:$A$130,"&lt;"&amp;Diagram!$P71),SUMIFS(INDIRECT(ADDRESS(12,3+18*3+(9),,,"J1 D - South Bank Avenue")&amp;":"&amp;ADDRESS(130,3+18*3+(9))),'J1 D - South Bank Avenue'!$A$12:$A$130,"&gt;="&amp;Diagram!$O71,'J1 D - South Bank Avenue'!$A$12:$A$130,"&lt;"&amp;Diagram!$P71)))</f>
        <v>0</v>
      </c>
      <c r="AZ71" s="42">
        <f t="shared" ca="1" si="13"/>
        <v>1</v>
      </c>
      <c r="BA71" s="42">
        <f ca="1">IF(OR($I$10="",$O71="",$P71="",$J$37&lt;&gt;"Yes"),0,IF($K$10=0,SUMIFS(INDIRECT(ADDRESS(12,3+18*3+(2),,,"J1 A - (North) Bishopthorpe Roa")&amp;":"&amp;ADDRESS(130,3+18*3+(2))),'J1 A - (North) Bishopthorpe Roa'!$A$12:$A$130,"&gt;="&amp;Diagram!$O71,'J1 A - (North) Bishopthorpe Roa'!$A$12:$A$130,"&lt;"&amp;Diagram!$P71),SUMIFS(INDIRECT(ADDRESS(12,3+18*3+(10),,,"J1 A - (North) Bishopthorpe Roa")&amp;":"&amp;ADDRESS(130,3+18*3+(10))),'J1 A - (North) Bishopthorpe Roa'!$A$12:$A$130,"&gt;="&amp;Diagram!$O71,'J1 A - (North) Bishopthorpe Roa'!$A$12:$A$130,"&lt;"&amp;Diagram!$P71)))</f>
        <v>0</v>
      </c>
      <c r="BB71" s="42">
        <f ca="1">IF(OR($I$10="",$O71="",$P71="",$J$37&lt;&gt;"Yes"),0,IF($K$10=0,SUMIFS(INDIRECT(ADDRESS(12,3+18*0+(2),,,"J1 A - (North) Bishopthorpe Roa")&amp;":"&amp;ADDRESS(130,3+18*0+(2))),'J1 A - (North) Bishopthorpe Roa'!$A$12:$A$130,"&gt;="&amp;Diagram!$O71,'J1 A - (North) Bishopthorpe Roa'!$A$12:$A$130,"&lt;"&amp;Diagram!$P71),SUMIFS(INDIRECT(ADDRESS(12,3+18*0+(10),,,"J1 A - (North) Bishopthorpe Roa")&amp;":"&amp;ADDRESS(130,3+18*0+(10))),'J1 A - (North) Bishopthorpe Roa'!$A$12:$A$130,"&gt;="&amp;Diagram!$O71,'J1 A - (North) Bishopthorpe Roa'!$A$12:$A$130,"&lt;"&amp;Diagram!$P71)))</f>
        <v>1</v>
      </c>
      <c r="BC71" s="42">
        <f ca="1">IF(OR($I$10="",$O71="",$P71="",$J$37&lt;&gt;"Yes"),0,IF($K$10=0,SUMIFS(INDIRECT(ADDRESS(12,3+18*1+(2),,,"J1 A - (North) Bishopthorpe Roa")&amp;":"&amp;ADDRESS(130,3+18*1+(2))),'J1 A - (North) Bishopthorpe Roa'!$A$12:$A$130,"&gt;="&amp;Diagram!$O71,'J1 A - (North) Bishopthorpe Roa'!$A$12:$A$130,"&lt;"&amp;Diagram!$P71),SUMIFS(INDIRECT(ADDRESS(12,3+18*1+(10),,,"J1 A - (North) Bishopthorpe Roa")&amp;":"&amp;ADDRESS(130,3+18*1+(10))),'J1 A - (North) Bishopthorpe Roa'!$A$12:$A$130,"&gt;="&amp;Diagram!$O71,'J1 A - (North) Bishopthorpe Roa'!$A$12:$A$130,"&lt;"&amp;Diagram!$P71)))</f>
        <v>0</v>
      </c>
      <c r="BD71" s="42">
        <f ca="1">IF(OR($I$10="",$O71="",$P71="",$J$37&lt;&gt;"Yes"),0,IF($K$10=0,SUMIFS(INDIRECT(ADDRESS(12,3+18*2+(2),,,"J1 A - (North) Bishopthorpe Roa")&amp;":"&amp;ADDRESS(130,3+18*2+(2))),'J1 A - (North) Bishopthorpe Roa'!$A$12:$A$130,"&gt;="&amp;Diagram!$O71,'J1 A - (North) Bishopthorpe Roa'!$A$12:$A$130,"&lt;"&amp;Diagram!$P71),SUMIFS(INDIRECT(ADDRESS(12,3+18*2+(10),,,"J1 A - (North) Bishopthorpe Roa")&amp;":"&amp;ADDRESS(130,3+18*2+(10))),'J1 A - (North) Bishopthorpe Roa'!$A$12:$A$130,"&gt;="&amp;Diagram!$O71,'J1 A - (North) Bishopthorpe Roa'!$A$12:$A$130,"&lt;"&amp;Diagram!$P71)))</f>
        <v>0</v>
      </c>
      <c r="BE71" s="42">
        <f ca="1">IF(OR($I$10="",$O71="",$P71="",$J$37&lt;&gt;"Yes"),0,IF($K$10=0,SUMIFS(INDIRECT(ADDRESS(12,3+18*2+(2),,,"J1 B - Butcher Terrace")&amp;":"&amp;ADDRESS(130,3+18*2+(2))),'J1 B - Butcher Terrace'!$A$12:$A$130,"&gt;="&amp;Diagram!$O71,'J1 B - Butcher Terrace'!$A$12:$A$130,"&lt;"&amp;Diagram!$P71),SUMIFS(INDIRECT(ADDRESS(12,3+18*2+(10),,,"J1 B - Butcher Terrace")&amp;":"&amp;ADDRESS(130,3+18*2+(10))),'J1 B - Butcher Terrace'!$A$12:$A$130,"&gt;="&amp;Diagram!$O71,'J1 B - Butcher Terrace'!$A$12:$A$130,"&lt;"&amp;Diagram!$P71)))</f>
        <v>0</v>
      </c>
      <c r="BF71" s="42">
        <f ca="1">IF(OR($I$10="",$O71="",$P71="",$J$37&lt;&gt;"Yes"),0,IF($K$10=0,SUMIFS(INDIRECT(ADDRESS(12,3+18*3+(2),,,"J1 B - Butcher Terrace")&amp;":"&amp;ADDRESS(130,3+18*3+(2))),'J1 B - Butcher Terrace'!$A$12:$A$130,"&gt;="&amp;Diagram!$O71,'J1 B - Butcher Terrace'!$A$12:$A$130,"&lt;"&amp;Diagram!$P71),SUMIFS(INDIRECT(ADDRESS(12,3+18*3+(10),,,"J1 B - Butcher Terrace")&amp;":"&amp;ADDRESS(130,3+18*3+(10))),'J1 B - Butcher Terrace'!$A$12:$A$130,"&gt;="&amp;Diagram!$O71,'J1 B - Butcher Terrace'!$A$12:$A$130,"&lt;"&amp;Diagram!$P71)))</f>
        <v>0</v>
      </c>
      <c r="BG71" s="42">
        <f ca="1">IF(OR($I$10="",$O71="",$P71="",$J$37&lt;&gt;"Yes"),0,IF($K$10=0,SUMIFS(INDIRECT(ADDRESS(12,3+18*0+(2),,,"J1 B - Butcher Terrace")&amp;":"&amp;ADDRESS(130,3+18*0+(2))),'J1 B - Butcher Terrace'!$A$12:$A$130,"&gt;="&amp;Diagram!$O71,'J1 B - Butcher Terrace'!$A$12:$A$130,"&lt;"&amp;Diagram!$P71),SUMIFS(INDIRECT(ADDRESS(12,3+18*0+(10),,,"J1 B - Butcher Terrace")&amp;":"&amp;ADDRESS(130,3+18*0+(10))),'J1 B - Butcher Terrace'!$A$12:$A$130,"&gt;="&amp;Diagram!$O71,'J1 B - Butcher Terrace'!$A$12:$A$130,"&lt;"&amp;Diagram!$P71)))</f>
        <v>0</v>
      </c>
      <c r="BH71" s="42">
        <f ca="1">IF(OR($I$10="",$O71="",$P71="",$J$37&lt;&gt;"Yes"),0,IF($K$10=0,SUMIFS(INDIRECT(ADDRESS(12,3+18*1+(2),,,"J1 B - Butcher Terrace")&amp;":"&amp;ADDRESS(130,3+18*1+(2))),'J1 B - Butcher Terrace'!$A$12:$A$130,"&gt;="&amp;Diagram!$O71,'J1 B - Butcher Terrace'!$A$12:$A$130,"&lt;"&amp;Diagram!$P71),SUMIFS(INDIRECT(ADDRESS(12,3+18*1+(10),,,"J1 B - Butcher Terrace")&amp;":"&amp;ADDRESS(130,3+18*1+(10))),'J1 B - Butcher Terrace'!$A$12:$A$130,"&gt;="&amp;Diagram!$O71,'J1 B - Butcher Terrace'!$A$12:$A$130,"&lt;"&amp;Diagram!$P71)))</f>
        <v>0</v>
      </c>
      <c r="BI71" s="42">
        <f ca="1">IF(OR($I$10="",$O71="",$P71="",$J$37&lt;&gt;"Yes"),0,IF($K$10=0,SUMIFS(INDIRECT(ADDRESS(12,3+18*1+(2),,,"J1 C - (South) Bishopthorpe Roa")&amp;":"&amp;ADDRESS(130,3+18*1+(2))),'J1 C - (South) Bishopthorpe Roa'!$A$12:$A$130,"&gt;="&amp;Diagram!$O71,'J1 C - (South) Bishopthorpe Roa'!$A$12:$A$130,"&lt;"&amp;Diagram!$P71),SUMIFS(INDIRECT(ADDRESS(12,3+18*1+(10),,,"J1 C - (South) Bishopthorpe Roa")&amp;":"&amp;ADDRESS(130,3+18*1+(10))),'J1 C - (South) Bishopthorpe Roa'!$A$12:$A$130,"&gt;="&amp;Diagram!$O71,'J1 C - (South) Bishopthorpe Roa'!$A$12:$A$130,"&lt;"&amp;Diagram!$P71)))</f>
        <v>0</v>
      </c>
      <c r="BJ71" s="42">
        <f ca="1">IF(OR($I$10="",$O71="",$P71="",$J$37&lt;&gt;"Yes"),0,IF($K$10=0,SUMIFS(INDIRECT(ADDRESS(12,3+18*2+(2),,,"J1 C - (South) Bishopthorpe Roa")&amp;":"&amp;ADDRESS(130,3+18*2+(2))),'J1 C - (South) Bishopthorpe Roa'!$A$12:$A$130,"&gt;="&amp;Diagram!$O71,'J1 C - (South) Bishopthorpe Roa'!$A$12:$A$130,"&lt;"&amp;Diagram!$P71),SUMIFS(INDIRECT(ADDRESS(12,3+18*2+(10),,,"J1 C - (South) Bishopthorpe Roa")&amp;":"&amp;ADDRESS(130,3+18*2+(10))),'J1 C - (South) Bishopthorpe Roa'!$A$12:$A$130,"&gt;="&amp;Diagram!$O71,'J1 C - (South) Bishopthorpe Roa'!$A$12:$A$130,"&lt;"&amp;Diagram!$P71)))</f>
        <v>0</v>
      </c>
      <c r="BK71" s="42">
        <f ca="1">IF(OR($I$10="",$O71="",$P71="",$J$37&lt;&gt;"Yes"),0,IF($K$10=0,SUMIFS(INDIRECT(ADDRESS(12,3+18*3+(2),,,"J1 C - (South) Bishopthorpe Roa")&amp;":"&amp;ADDRESS(130,3+18*3+(2))),'J1 C - (South) Bishopthorpe Roa'!$A$12:$A$130,"&gt;="&amp;Diagram!$O71,'J1 C - (South) Bishopthorpe Roa'!$A$12:$A$130,"&lt;"&amp;Diagram!$P71),SUMIFS(INDIRECT(ADDRESS(12,3+18*3+(10),,,"J1 C - (South) Bishopthorpe Roa")&amp;":"&amp;ADDRESS(130,3+18*3+(10))),'J1 C - (South) Bishopthorpe Roa'!$A$12:$A$130,"&gt;="&amp;Diagram!$O71,'J1 C - (South) Bishopthorpe Roa'!$A$12:$A$130,"&lt;"&amp;Diagram!$P71)))</f>
        <v>0</v>
      </c>
      <c r="BL71" s="42">
        <f ca="1">IF(OR($I$10="",$O71="",$P71="",$J$37&lt;&gt;"Yes"),0,IF($K$10=0,SUMIFS(INDIRECT(ADDRESS(12,3+18*0+(2),,,"J1 C - (South) Bishopthorpe Roa")&amp;":"&amp;ADDRESS(130,3+18*0+(2))),'J1 C - (South) Bishopthorpe Roa'!$A$12:$A$130,"&gt;="&amp;Diagram!$O71,'J1 C - (South) Bishopthorpe Roa'!$A$12:$A$130,"&lt;"&amp;Diagram!$P71),SUMIFS(INDIRECT(ADDRESS(12,3+18*0+(10),,,"J1 C - (South) Bishopthorpe Roa")&amp;":"&amp;ADDRESS(130,3+18*0+(10))),'J1 C - (South) Bishopthorpe Roa'!$A$12:$A$130,"&gt;="&amp;Diagram!$O71,'J1 C - (South) Bishopthorpe Roa'!$A$12:$A$130,"&lt;"&amp;Diagram!$P71)))</f>
        <v>0</v>
      </c>
      <c r="BM71" s="42">
        <f ca="1">IF(OR($I$10="",$O71="",$P71="",$J$37&lt;&gt;"Yes"),0,IF($K$10=0,SUMIFS(INDIRECT(ADDRESS(12,3+18*0+(2),,,"J1 D - South Bank Avenue")&amp;":"&amp;ADDRESS(130,3+18*0+(2))),'J1 D - South Bank Avenue'!$A$12:$A$130,"&gt;="&amp;Diagram!$O71,'J1 D - South Bank Avenue'!$A$12:$A$130,"&lt;"&amp;Diagram!$P71),SUMIFS(INDIRECT(ADDRESS(12,3+18*0+(10),,,"J1 D - South Bank Avenue")&amp;":"&amp;ADDRESS(130,3+18*0+(10))),'J1 D - South Bank Avenue'!$A$12:$A$130,"&gt;="&amp;Diagram!$O71,'J1 D - South Bank Avenue'!$A$12:$A$130,"&lt;"&amp;Diagram!$P71)))</f>
        <v>0</v>
      </c>
      <c r="BN71" s="42">
        <f ca="1">IF(OR($I$10="",$O71="",$P71="",$J$37&lt;&gt;"Yes"),0,IF($K$10=0,SUMIFS(INDIRECT(ADDRESS(12,3+18*1+(2),,,"J1 D - South Bank Avenue")&amp;":"&amp;ADDRESS(130,3+18*1+(2))),'J1 D - South Bank Avenue'!$A$12:$A$130,"&gt;="&amp;Diagram!$O71,'J1 D - South Bank Avenue'!$A$12:$A$130,"&lt;"&amp;Diagram!$P71),SUMIFS(INDIRECT(ADDRESS(12,3+18*1+(10),,,"J1 D - South Bank Avenue")&amp;":"&amp;ADDRESS(130,3+18*1+(10))),'J1 D - South Bank Avenue'!$A$12:$A$130,"&gt;="&amp;Diagram!$O71,'J1 D - South Bank Avenue'!$A$12:$A$130,"&lt;"&amp;Diagram!$P71)))</f>
        <v>0</v>
      </c>
      <c r="BO71" s="42">
        <f ca="1">IF(OR($I$10="",$O71="",$P71="",$J$37&lt;&gt;"Yes"),0,IF($K$10=0,SUMIFS(INDIRECT(ADDRESS(12,3+18*2+(2),,,"J1 D - South Bank Avenue")&amp;":"&amp;ADDRESS(130,3+18*2+(2))),'J1 D - South Bank Avenue'!$A$12:$A$130,"&gt;="&amp;Diagram!$O71,'J1 D - South Bank Avenue'!$A$12:$A$130,"&lt;"&amp;Diagram!$P71),SUMIFS(INDIRECT(ADDRESS(12,3+18*2+(10),,,"J1 D - South Bank Avenue")&amp;":"&amp;ADDRESS(130,3+18*2+(10))),'J1 D - South Bank Avenue'!$A$12:$A$130,"&gt;="&amp;Diagram!$O71,'J1 D - South Bank Avenue'!$A$12:$A$130,"&lt;"&amp;Diagram!$P71)))</f>
        <v>0</v>
      </c>
      <c r="BP71" s="42">
        <f ca="1">IF(OR($I$10="",$O71="",$P71="",$J$37&lt;&gt;"Yes"),0,IF($K$10=0,SUMIFS(INDIRECT(ADDRESS(12,3+18*3+(2),,,"J1 D - South Bank Avenue")&amp;":"&amp;ADDRESS(130,3+18*3+(2))),'J1 D - South Bank Avenue'!$A$12:$A$130,"&gt;="&amp;Diagram!$O71,'J1 D - South Bank Avenue'!$A$12:$A$130,"&lt;"&amp;Diagram!$P71),SUMIFS(INDIRECT(ADDRESS(12,3+18*3+(10),,,"J1 D - South Bank Avenue")&amp;":"&amp;ADDRESS(130,3+18*3+(10))),'J1 D - South Bank Avenue'!$A$12:$A$130,"&gt;="&amp;Diagram!$O71,'J1 D - South Bank Avenue'!$A$12:$A$130,"&lt;"&amp;Diagram!$P71)))</f>
        <v>0</v>
      </c>
      <c r="BQ71" s="42">
        <f t="shared" ca="1" si="14"/>
        <v>0</v>
      </c>
      <c r="BR71" s="42">
        <f ca="1">IF(OR($I$10="",$O71="",$P71="",$J$38&lt;&gt;"Yes"),0,IF($K$10=0,SUMIFS(INDIRECT(ADDRESS(12,3+18*3+(3),,,"J1 A - (North) Bishopthorpe Roa")&amp;":"&amp;ADDRESS(130,3+18*3+(3))),'J1 A - (North) Bishopthorpe Roa'!$A$12:$A$130,"&gt;="&amp;Diagram!$O71,'J1 A - (North) Bishopthorpe Roa'!$A$12:$A$130,"&lt;"&amp;Diagram!$P71),SUMIFS(INDIRECT(ADDRESS(12,3+18*3+(11),,,"J1 A - (North) Bishopthorpe Roa")&amp;":"&amp;ADDRESS(130,3+18*3+(11))),'J1 A - (North) Bishopthorpe Roa'!$A$12:$A$130,"&gt;="&amp;Diagram!$O71,'J1 A - (North) Bishopthorpe Roa'!$A$12:$A$130,"&lt;"&amp;Diagram!$P71)))</f>
        <v>0</v>
      </c>
      <c r="BS71" s="42">
        <f ca="1">IF(OR($I$10="",$O71="",$P71="",$J$38&lt;&gt;"Yes"),0,IF($K$10=0,SUMIFS(INDIRECT(ADDRESS(12,3+18*0+(3),,,"J1 A - (North) Bishopthorpe Roa")&amp;":"&amp;ADDRESS(130,3+18*0+(3))),'J1 A - (North) Bishopthorpe Roa'!$A$12:$A$130,"&gt;="&amp;Diagram!$O71,'J1 A - (North) Bishopthorpe Roa'!$A$12:$A$130,"&lt;"&amp;Diagram!$P71),SUMIFS(INDIRECT(ADDRESS(12,3+18*0+(11),,,"J1 A - (North) Bishopthorpe Roa")&amp;":"&amp;ADDRESS(130,3+18*0+(11))),'J1 A - (North) Bishopthorpe Roa'!$A$12:$A$130,"&gt;="&amp;Diagram!$O71,'J1 A - (North) Bishopthorpe Roa'!$A$12:$A$130,"&lt;"&amp;Diagram!$P71)))</f>
        <v>0</v>
      </c>
      <c r="BT71" s="42">
        <f ca="1">IF(OR($I$10="",$O71="",$P71="",$J$38&lt;&gt;"Yes"),0,IF($K$10=0,SUMIFS(INDIRECT(ADDRESS(12,3+18*1+(3),,,"J1 A - (North) Bishopthorpe Roa")&amp;":"&amp;ADDRESS(130,3+18*1+(3))),'J1 A - (North) Bishopthorpe Roa'!$A$12:$A$130,"&gt;="&amp;Diagram!$O71,'J1 A - (North) Bishopthorpe Roa'!$A$12:$A$130,"&lt;"&amp;Diagram!$P71),SUMIFS(INDIRECT(ADDRESS(12,3+18*1+(11),,,"J1 A - (North) Bishopthorpe Roa")&amp;":"&amp;ADDRESS(130,3+18*1+(11))),'J1 A - (North) Bishopthorpe Roa'!$A$12:$A$130,"&gt;="&amp;Diagram!$O71,'J1 A - (North) Bishopthorpe Roa'!$A$12:$A$130,"&lt;"&amp;Diagram!$P71)))</f>
        <v>0</v>
      </c>
      <c r="BU71" s="42">
        <f ca="1">IF(OR($I$10="",$O71="",$P71="",$J$38&lt;&gt;"Yes"),0,IF($K$10=0,SUMIFS(INDIRECT(ADDRESS(12,3+18*2+(3),,,"J1 A - (North) Bishopthorpe Roa")&amp;":"&amp;ADDRESS(130,3+18*2+(3))),'J1 A - (North) Bishopthorpe Roa'!$A$12:$A$130,"&gt;="&amp;Diagram!$O71,'J1 A - (North) Bishopthorpe Roa'!$A$12:$A$130,"&lt;"&amp;Diagram!$P71),SUMIFS(INDIRECT(ADDRESS(12,3+18*2+(11),,,"J1 A - (North) Bishopthorpe Roa")&amp;":"&amp;ADDRESS(130,3+18*2+(11))),'J1 A - (North) Bishopthorpe Roa'!$A$12:$A$130,"&gt;="&amp;Diagram!$O71,'J1 A - (North) Bishopthorpe Roa'!$A$12:$A$130,"&lt;"&amp;Diagram!$P71)))</f>
        <v>0</v>
      </c>
      <c r="BV71" s="42">
        <f ca="1">IF(OR($I$10="",$O71="",$P71="",$J$38&lt;&gt;"Yes"),0,IF($K$10=0,SUMIFS(INDIRECT(ADDRESS(12,3+18*2+(3),,,"J1 B - Butcher Terrace")&amp;":"&amp;ADDRESS(130,3+18*2+(3))),'J1 B - Butcher Terrace'!$A$12:$A$130,"&gt;="&amp;Diagram!$O71,'J1 B - Butcher Terrace'!$A$12:$A$130,"&lt;"&amp;Diagram!$P71),SUMIFS(INDIRECT(ADDRESS(12,3+18*2+(11),,,"J1 B - Butcher Terrace")&amp;":"&amp;ADDRESS(130,3+18*2+(11))),'J1 B - Butcher Terrace'!$A$12:$A$130,"&gt;="&amp;Diagram!$O71,'J1 B - Butcher Terrace'!$A$12:$A$130,"&lt;"&amp;Diagram!$P71)))</f>
        <v>0</v>
      </c>
      <c r="BW71" s="42">
        <f ca="1">IF(OR($I$10="",$O71="",$P71="",$J$38&lt;&gt;"Yes"),0,IF($K$10=0,SUMIFS(INDIRECT(ADDRESS(12,3+18*3+(3),,,"J1 B - Butcher Terrace")&amp;":"&amp;ADDRESS(130,3+18*3+(3))),'J1 B - Butcher Terrace'!$A$12:$A$130,"&gt;="&amp;Diagram!$O71,'J1 B - Butcher Terrace'!$A$12:$A$130,"&lt;"&amp;Diagram!$P71),SUMIFS(INDIRECT(ADDRESS(12,3+18*3+(11),,,"J1 B - Butcher Terrace")&amp;":"&amp;ADDRESS(130,3+18*3+(11))),'J1 B - Butcher Terrace'!$A$12:$A$130,"&gt;="&amp;Diagram!$O71,'J1 B - Butcher Terrace'!$A$12:$A$130,"&lt;"&amp;Diagram!$P71)))</f>
        <v>0</v>
      </c>
      <c r="BX71" s="42">
        <f ca="1">IF(OR($I$10="",$O71="",$P71="",$J$38&lt;&gt;"Yes"),0,IF($K$10=0,SUMIFS(INDIRECT(ADDRESS(12,3+18*0+(3),,,"J1 B - Butcher Terrace")&amp;":"&amp;ADDRESS(130,3+18*0+(3))),'J1 B - Butcher Terrace'!$A$12:$A$130,"&gt;="&amp;Diagram!$O71,'J1 B - Butcher Terrace'!$A$12:$A$130,"&lt;"&amp;Diagram!$P71),SUMIFS(INDIRECT(ADDRESS(12,3+18*0+(11),,,"J1 B - Butcher Terrace")&amp;":"&amp;ADDRESS(130,3+18*0+(11))),'J1 B - Butcher Terrace'!$A$12:$A$130,"&gt;="&amp;Diagram!$O71,'J1 B - Butcher Terrace'!$A$12:$A$130,"&lt;"&amp;Diagram!$P71)))</f>
        <v>0</v>
      </c>
      <c r="BY71" s="42">
        <f ca="1">IF(OR($I$10="",$O71="",$P71="",$J$38&lt;&gt;"Yes"),0,IF($K$10=0,SUMIFS(INDIRECT(ADDRESS(12,3+18*1+(3),,,"J1 B - Butcher Terrace")&amp;":"&amp;ADDRESS(130,3+18*1+(3))),'J1 B - Butcher Terrace'!$A$12:$A$130,"&gt;="&amp;Diagram!$O71,'J1 B - Butcher Terrace'!$A$12:$A$130,"&lt;"&amp;Diagram!$P71),SUMIFS(INDIRECT(ADDRESS(12,3+18*1+(11),,,"J1 B - Butcher Terrace")&amp;":"&amp;ADDRESS(130,3+18*1+(11))),'J1 B - Butcher Terrace'!$A$12:$A$130,"&gt;="&amp;Diagram!$O71,'J1 B - Butcher Terrace'!$A$12:$A$130,"&lt;"&amp;Diagram!$P71)))</f>
        <v>0</v>
      </c>
      <c r="BZ71" s="42">
        <f ca="1">IF(OR($I$10="",$O71="",$P71="",$J$38&lt;&gt;"Yes"),0,IF($K$10=0,SUMIFS(INDIRECT(ADDRESS(12,3+18*1+(3),,,"J1 C - (South) Bishopthorpe Roa")&amp;":"&amp;ADDRESS(130,3+18*1+(3))),'J1 C - (South) Bishopthorpe Roa'!$A$12:$A$130,"&gt;="&amp;Diagram!$O71,'J1 C - (South) Bishopthorpe Roa'!$A$12:$A$130,"&lt;"&amp;Diagram!$P71),SUMIFS(INDIRECT(ADDRESS(12,3+18*1+(11),,,"J1 C - (South) Bishopthorpe Roa")&amp;":"&amp;ADDRESS(130,3+18*1+(11))),'J1 C - (South) Bishopthorpe Roa'!$A$12:$A$130,"&gt;="&amp;Diagram!$O71,'J1 C - (South) Bishopthorpe Roa'!$A$12:$A$130,"&lt;"&amp;Diagram!$P71)))</f>
        <v>0</v>
      </c>
      <c r="CA71" s="42">
        <f ca="1">IF(OR($I$10="",$O71="",$P71="",$J$38&lt;&gt;"Yes"),0,IF($K$10=0,SUMIFS(INDIRECT(ADDRESS(12,3+18*2+(3),,,"J1 C - (South) Bishopthorpe Roa")&amp;":"&amp;ADDRESS(130,3+18*2+(3))),'J1 C - (South) Bishopthorpe Roa'!$A$12:$A$130,"&gt;="&amp;Diagram!$O71,'J1 C - (South) Bishopthorpe Roa'!$A$12:$A$130,"&lt;"&amp;Diagram!$P71),SUMIFS(INDIRECT(ADDRESS(12,3+18*2+(11),,,"J1 C - (South) Bishopthorpe Roa")&amp;":"&amp;ADDRESS(130,3+18*2+(11))),'J1 C - (South) Bishopthorpe Roa'!$A$12:$A$130,"&gt;="&amp;Diagram!$O71,'J1 C - (South) Bishopthorpe Roa'!$A$12:$A$130,"&lt;"&amp;Diagram!$P71)))</f>
        <v>0</v>
      </c>
      <c r="CB71" s="42">
        <f ca="1">IF(OR($I$10="",$O71="",$P71="",$J$38&lt;&gt;"Yes"),0,IF($K$10=0,SUMIFS(INDIRECT(ADDRESS(12,3+18*3+(3),,,"J1 C - (South) Bishopthorpe Roa")&amp;":"&amp;ADDRESS(130,3+18*3+(3))),'J1 C - (South) Bishopthorpe Roa'!$A$12:$A$130,"&gt;="&amp;Diagram!$O71,'J1 C - (South) Bishopthorpe Roa'!$A$12:$A$130,"&lt;"&amp;Diagram!$P71),SUMIFS(INDIRECT(ADDRESS(12,3+18*3+(11),,,"J1 C - (South) Bishopthorpe Roa")&amp;":"&amp;ADDRESS(130,3+18*3+(11))),'J1 C - (South) Bishopthorpe Roa'!$A$12:$A$130,"&gt;="&amp;Diagram!$O71,'J1 C - (South) Bishopthorpe Roa'!$A$12:$A$130,"&lt;"&amp;Diagram!$P71)))</f>
        <v>0</v>
      </c>
      <c r="CC71" s="42">
        <f ca="1">IF(OR($I$10="",$O71="",$P71="",$J$38&lt;&gt;"Yes"),0,IF($K$10=0,SUMIFS(INDIRECT(ADDRESS(12,3+18*0+(3),,,"J1 C - (South) Bishopthorpe Roa")&amp;":"&amp;ADDRESS(130,3+18*0+(3))),'J1 C - (South) Bishopthorpe Roa'!$A$12:$A$130,"&gt;="&amp;Diagram!$O71,'J1 C - (South) Bishopthorpe Roa'!$A$12:$A$130,"&lt;"&amp;Diagram!$P71),SUMIFS(INDIRECT(ADDRESS(12,3+18*0+(11),,,"J1 C - (South) Bishopthorpe Roa")&amp;":"&amp;ADDRESS(130,3+18*0+(11))),'J1 C - (South) Bishopthorpe Roa'!$A$12:$A$130,"&gt;="&amp;Diagram!$O71,'J1 C - (South) Bishopthorpe Roa'!$A$12:$A$130,"&lt;"&amp;Diagram!$P71)))</f>
        <v>0</v>
      </c>
      <c r="CD71" s="42">
        <f ca="1">IF(OR($I$10="",$O71="",$P71="",$J$38&lt;&gt;"Yes"),0,IF($K$10=0,SUMIFS(INDIRECT(ADDRESS(12,3+18*0+(3),,,"J1 D - South Bank Avenue")&amp;":"&amp;ADDRESS(130,3+18*0+(3))),'J1 D - South Bank Avenue'!$A$12:$A$130,"&gt;="&amp;Diagram!$O71,'J1 D - South Bank Avenue'!$A$12:$A$130,"&lt;"&amp;Diagram!$P71),SUMIFS(INDIRECT(ADDRESS(12,3+18*0+(11),,,"J1 D - South Bank Avenue")&amp;":"&amp;ADDRESS(130,3+18*0+(11))),'J1 D - South Bank Avenue'!$A$12:$A$130,"&gt;="&amp;Diagram!$O71,'J1 D - South Bank Avenue'!$A$12:$A$130,"&lt;"&amp;Diagram!$P71)))</f>
        <v>0</v>
      </c>
      <c r="CE71" s="42">
        <f ca="1">IF(OR($I$10="",$O71="",$P71="",$J$38&lt;&gt;"Yes"),0,IF($K$10=0,SUMIFS(INDIRECT(ADDRESS(12,3+18*1+(3),,,"J1 D - South Bank Avenue")&amp;":"&amp;ADDRESS(130,3+18*1+(3))),'J1 D - South Bank Avenue'!$A$12:$A$130,"&gt;="&amp;Diagram!$O71,'J1 D - South Bank Avenue'!$A$12:$A$130,"&lt;"&amp;Diagram!$P71),SUMIFS(INDIRECT(ADDRESS(12,3+18*1+(11),,,"J1 D - South Bank Avenue")&amp;":"&amp;ADDRESS(130,3+18*1+(11))),'J1 D - South Bank Avenue'!$A$12:$A$130,"&gt;="&amp;Diagram!$O71,'J1 D - South Bank Avenue'!$A$12:$A$130,"&lt;"&amp;Diagram!$P71)))</f>
        <v>0</v>
      </c>
      <c r="CF71" s="42">
        <f ca="1">IF(OR($I$10="",$O71="",$P71="",$J$38&lt;&gt;"Yes"),0,IF($K$10=0,SUMIFS(INDIRECT(ADDRESS(12,3+18*2+(3),,,"J1 D - South Bank Avenue")&amp;":"&amp;ADDRESS(130,3+18*2+(3))),'J1 D - South Bank Avenue'!$A$12:$A$130,"&gt;="&amp;Diagram!$O71,'J1 D - South Bank Avenue'!$A$12:$A$130,"&lt;"&amp;Diagram!$P71),SUMIFS(INDIRECT(ADDRESS(12,3+18*2+(11),,,"J1 D - South Bank Avenue")&amp;":"&amp;ADDRESS(130,3+18*2+(11))),'J1 D - South Bank Avenue'!$A$12:$A$130,"&gt;="&amp;Diagram!$O71,'J1 D - South Bank Avenue'!$A$12:$A$130,"&lt;"&amp;Diagram!$P71)))</f>
        <v>0</v>
      </c>
      <c r="CG71" s="42">
        <f ca="1">IF(OR($I$10="",$O71="",$P71="",$J$38&lt;&gt;"Yes"),0,IF($K$10=0,SUMIFS(INDIRECT(ADDRESS(12,3+18*3+(3),,,"J1 D - South Bank Avenue")&amp;":"&amp;ADDRESS(130,3+18*3+(3))),'J1 D - South Bank Avenue'!$A$12:$A$130,"&gt;="&amp;Diagram!$O71,'J1 D - South Bank Avenue'!$A$12:$A$130,"&lt;"&amp;Diagram!$P71),SUMIFS(INDIRECT(ADDRESS(12,3+18*3+(11),,,"J1 D - South Bank Avenue")&amp;":"&amp;ADDRESS(130,3+18*3+(11))),'J1 D - South Bank Avenue'!$A$12:$A$130,"&gt;="&amp;Diagram!$O71,'J1 D - South Bank Avenue'!$A$12:$A$130,"&lt;"&amp;Diagram!$P71)))</f>
        <v>0</v>
      </c>
      <c r="CH71" s="42">
        <f t="shared" ca="1" si="15"/>
        <v>6</v>
      </c>
      <c r="CI71" s="42">
        <f ca="1">IF(OR($I$10="",$O71="",$P71="",$J$39&lt;&gt;"Yes"),0,IF($K$10=0,SUMIFS(INDIRECT(ADDRESS(12,3+18*3+(4),,,"J1 A - (North) Bishopthorpe Roa")&amp;":"&amp;ADDRESS(130,3+18*3+(4))),'J1 A - (North) Bishopthorpe Roa'!$A$12:$A$130,"&gt;="&amp;Diagram!$O71,'J1 A - (North) Bishopthorpe Roa'!$A$12:$A$130,"&lt;"&amp;Diagram!$P71),SUMIFS(INDIRECT(ADDRESS(12,3+18*3+(12),,,"J1 A - (North) Bishopthorpe Roa")&amp;":"&amp;ADDRESS(130,3+18*3+(12))),'J1 A - (North) Bishopthorpe Roa'!$A$12:$A$130,"&gt;="&amp;Diagram!$O71,'J1 A - (North) Bishopthorpe Roa'!$A$12:$A$130,"&lt;"&amp;Diagram!$P71)))</f>
        <v>0</v>
      </c>
      <c r="CJ71" s="42">
        <f ca="1">IF(OR($I$10="",$O71="",$P71="",$J$39&lt;&gt;"Yes"),0,IF($K$10=0,SUMIFS(INDIRECT(ADDRESS(12,3+18*0+(4),,,"J1 A - (North) Bishopthorpe Roa")&amp;":"&amp;ADDRESS(130,3+18*0+(4))),'J1 A - (North) Bishopthorpe Roa'!$A$12:$A$130,"&gt;="&amp;Diagram!$O71,'J1 A - (North) Bishopthorpe Roa'!$A$12:$A$130,"&lt;"&amp;Diagram!$P71),SUMIFS(INDIRECT(ADDRESS(12,3+18*0+(12),,,"J1 A - (North) Bishopthorpe Roa")&amp;":"&amp;ADDRESS(130,3+18*0+(12))),'J1 A - (North) Bishopthorpe Roa'!$A$12:$A$130,"&gt;="&amp;Diagram!$O71,'J1 A - (North) Bishopthorpe Roa'!$A$12:$A$130,"&lt;"&amp;Diagram!$P71)))</f>
        <v>0</v>
      </c>
      <c r="CK71" s="42">
        <f ca="1">IF(OR($I$10="",$O71="",$P71="",$J$39&lt;&gt;"Yes"),0,IF($K$10=0,SUMIFS(INDIRECT(ADDRESS(12,3+18*1+(4),,,"J1 A - (North) Bishopthorpe Roa")&amp;":"&amp;ADDRESS(130,3+18*1+(4))),'J1 A - (North) Bishopthorpe Roa'!$A$12:$A$130,"&gt;="&amp;Diagram!$O71,'J1 A - (North) Bishopthorpe Roa'!$A$12:$A$130,"&lt;"&amp;Diagram!$P71),SUMIFS(INDIRECT(ADDRESS(12,3+18*1+(12),,,"J1 A - (North) Bishopthorpe Roa")&amp;":"&amp;ADDRESS(130,3+18*1+(12))),'J1 A - (North) Bishopthorpe Roa'!$A$12:$A$130,"&gt;="&amp;Diagram!$O71,'J1 A - (North) Bishopthorpe Roa'!$A$12:$A$130,"&lt;"&amp;Diagram!$P71)))</f>
        <v>3</v>
      </c>
      <c r="CL71" s="42">
        <f ca="1">IF(OR($I$10="",$O71="",$P71="",$J$39&lt;&gt;"Yes"),0,IF($K$10=0,SUMIFS(INDIRECT(ADDRESS(12,3+18*2+(4),,,"J1 A - (North) Bishopthorpe Roa")&amp;":"&amp;ADDRESS(130,3+18*2+(4))),'J1 A - (North) Bishopthorpe Roa'!$A$12:$A$130,"&gt;="&amp;Diagram!$O71,'J1 A - (North) Bishopthorpe Roa'!$A$12:$A$130,"&lt;"&amp;Diagram!$P71),SUMIFS(INDIRECT(ADDRESS(12,3+18*2+(12),,,"J1 A - (North) Bishopthorpe Roa")&amp;":"&amp;ADDRESS(130,3+18*2+(12))),'J1 A - (North) Bishopthorpe Roa'!$A$12:$A$130,"&gt;="&amp;Diagram!$O71,'J1 A - (North) Bishopthorpe Roa'!$A$12:$A$130,"&lt;"&amp;Diagram!$P71)))</f>
        <v>0</v>
      </c>
      <c r="CM71" s="42">
        <f ca="1">IF(OR($I$10="",$O71="",$P71="",$J$39&lt;&gt;"Yes"),0,IF($K$10=0,SUMIFS(INDIRECT(ADDRESS(12,3+18*2+(4),,,"J1 B - Butcher Terrace")&amp;":"&amp;ADDRESS(130,3+18*2+(4))),'J1 B - Butcher Terrace'!$A$12:$A$130,"&gt;="&amp;Diagram!$O71,'J1 B - Butcher Terrace'!$A$12:$A$130,"&lt;"&amp;Diagram!$P71),SUMIFS(INDIRECT(ADDRESS(12,3+18*2+(12),,,"J1 B - Butcher Terrace")&amp;":"&amp;ADDRESS(130,3+18*2+(12))),'J1 B - Butcher Terrace'!$A$12:$A$130,"&gt;="&amp;Diagram!$O71,'J1 B - Butcher Terrace'!$A$12:$A$130,"&lt;"&amp;Diagram!$P71)))</f>
        <v>0</v>
      </c>
      <c r="CN71" s="42">
        <f ca="1">IF(OR($I$10="",$O71="",$P71="",$J$39&lt;&gt;"Yes"),0,IF($K$10=0,SUMIFS(INDIRECT(ADDRESS(12,3+18*3+(4),,,"J1 B - Butcher Terrace")&amp;":"&amp;ADDRESS(130,3+18*3+(4))),'J1 B - Butcher Terrace'!$A$12:$A$130,"&gt;="&amp;Diagram!$O71,'J1 B - Butcher Terrace'!$A$12:$A$130,"&lt;"&amp;Diagram!$P71),SUMIFS(INDIRECT(ADDRESS(12,3+18*3+(12),,,"J1 B - Butcher Terrace")&amp;":"&amp;ADDRESS(130,3+18*3+(12))),'J1 B - Butcher Terrace'!$A$12:$A$130,"&gt;="&amp;Diagram!$O71,'J1 B - Butcher Terrace'!$A$12:$A$130,"&lt;"&amp;Diagram!$P71)))</f>
        <v>0</v>
      </c>
      <c r="CO71" s="42">
        <f ca="1">IF(OR($I$10="",$O71="",$P71="",$J$39&lt;&gt;"Yes"),0,IF($K$10=0,SUMIFS(INDIRECT(ADDRESS(12,3+18*0+(4),,,"J1 B - Butcher Terrace")&amp;":"&amp;ADDRESS(130,3+18*0+(4))),'J1 B - Butcher Terrace'!$A$12:$A$130,"&gt;="&amp;Diagram!$O71,'J1 B - Butcher Terrace'!$A$12:$A$130,"&lt;"&amp;Diagram!$P71),SUMIFS(INDIRECT(ADDRESS(12,3+18*0+(12),,,"J1 B - Butcher Terrace")&amp;":"&amp;ADDRESS(130,3+18*0+(12))),'J1 B - Butcher Terrace'!$A$12:$A$130,"&gt;="&amp;Diagram!$O71,'J1 B - Butcher Terrace'!$A$12:$A$130,"&lt;"&amp;Diagram!$P71)))</f>
        <v>0</v>
      </c>
      <c r="CP71" s="42">
        <f ca="1">IF(OR($I$10="",$O71="",$P71="",$J$39&lt;&gt;"Yes"),0,IF($K$10=0,SUMIFS(INDIRECT(ADDRESS(12,3+18*1+(4),,,"J1 B - Butcher Terrace")&amp;":"&amp;ADDRESS(130,3+18*1+(4))),'J1 B - Butcher Terrace'!$A$12:$A$130,"&gt;="&amp;Diagram!$O71,'J1 B - Butcher Terrace'!$A$12:$A$130,"&lt;"&amp;Diagram!$P71),SUMIFS(INDIRECT(ADDRESS(12,3+18*1+(12),,,"J1 B - Butcher Terrace")&amp;":"&amp;ADDRESS(130,3+18*1+(12))),'J1 B - Butcher Terrace'!$A$12:$A$130,"&gt;="&amp;Diagram!$O71,'J1 B - Butcher Terrace'!$A$12:$A$130,"&lt;"&amp;Diagram!$P71)))</f>
        <v>0</v>
      </c>
      <c r="CQ71" s="42">
        <f ca="1">IF(OR($I$10="",$O71="",$P71="",$J$39&lt;&gt;"Yes"),0,IF($K$10=0,SUMIFS(INDIRECT(ADDRESS(12,3+18*1+(4),,,"J1 C - (South) Bishopthorpe Roa")&amp;":"&amp;ADDRESS(130,3+18*1+(4))),'J1 C - (South) Bishopthorpe Roa'!$A$12:$A$130,"&gt;="&amp;Diagram!$O71,'J1 C - (South) Bishopthorpe Roa'!$A$12:$A$130,"&lt;"&amp;Diagram!$P71),SUMIFS(INDIRECT(ADDRESS(12,3+18*1+(12),,,"J1 C - (South) Bishopthorpe Roa")&amp;":"&amp;ADDRESS(130,3+18*1+(12))),'J1 C - (South) Bishopthorpe Roa'!$A$12:$A$130,"&gt;="&amp;Diagram!$O71,'J1 C - (South) Bishopthorpe Roa'!$A$12:$A$130,"&lt;"&amp;Diagram!$P71)))</f>
        <v>3</v>
      </c>
      <c r="CR71" s="42">
        <f ca="1">IF(OR($I$10="",$O71="",$P71="",$J$39&lt;&gt;"Yes"),0,IF($K$10=0,SUMIFS(INDIRECT(ADDRESS(12,3+18*2+(4),,,"J1 C - (South) Bishopthorpe Roa")&amp;":"&amp;ADDRESS(130,3+18*2+(4))),'J1 C - (South) Bishopthorpe Roa'!$A$12:$A$130,"&gt;="&amp;Diagram!$O71,'J1 C - (South) Bishopthorpe Roa'!$A$12:$A$130,"&lt;"&amp;Diagram!$P71),SUMIFS(INDIRECT(ADDRESS(12,3+18*2+(12),,,"J1 C - (South) Bishopthorpe Roa")&amp;":"&amp;ADDRESS(130,3+18*2+(12))),'J1 C - (South) Bishopthorpe Roa'!$A$12:$A$130,"&gt;="&amp;Diagram!$O71,'J1 C - (South) Bishopthorpe Roa'!$A$12:$A$130,"&lt;"&amp;Diagram!$P71)))</f>
        <v>0</v>
      </c>
      <c r="CS71" s="42">
        <f ca="1">IF(OR($I$10="",$O71="",$P71="",$J$39&lt;&gt;"Yes"),0,IF($K$10=0,SUMIFS(INDIRECT(ADDRESS(12,3+18*3+(4),,,"J1 C - (South) Bishopthorpe Roa")&amp;":"&amp;ADDRESS(130,3+18*3+(4))),'J1 C - (South) Bishopthorpe Roa'!$A$12:$A$130,"&gt;="&amp;Diagram!$O71,'J1 C - (South) Bishopthorpe Roa'!$A$12:$A$130,"&lt;"&amp;Diagram!$P71),SUMIFS(INDIRECT(ADDRESS(12,3+18*3+(12),,,"J1 C - (South) Bishopthorpe Roa")&amp;":"&amp;ADDRESS(130,3+18*3+(12))),'J1 C - (South) Bishopthorpe Roa'!$A$12:$A$130,"&gt;="&amp;Diagram!$O71,'J1 C - (South) Bishopthorpe Roa'!$A$12:$A$130,"&lt;"&amp;Diagram!$P71)))</f>
        <v>0</v>
      </c>
      <c r="CT71" s="42">
        <f ca="1">IF(OR($I$10="",$O71="",$P71="",$J$39&lt;&gt;"Yes"),0,IF($K$10=0,SUMIFS(INDIRECT(ADDRESS(12,3+18*0+(4),,,"J1 C - (South) Bishopthorpe Roa")&amp;":"&amp;ADDRESS(130,3+18*0+(4))),'J1 C - (South) Bishopthorpe Roa'!$A$12:$A$130,"&gt;="&amp;Diagram!$O71,'J1 C - (South) Bishopthorpe Roa'!$A$12:$A$130,"&lt;"&amp;Diagram!$P71),SUMIFS(INDIRECT(ADDRESS(12,3+18*0+(12),,,"J1 C - (South) Bishopthorpe Roa")&amp;":"&amp;ADDRESS(130,3+18*0+(12))),'J1 C - (South) Bishopthorpe Roa'!$A$12:$A$130,"&gt;="&amp;Diagram!$O71,'J1 C - (South) Bishopthorpe Roa'!$A$12:$A$130,"&lt;"&amp;Diagram!$P71)))</f>
        <v>0</v>
      </c>
      <c r="CU71" s="42">
        <f ca="1">IF(OR($I$10="",$O71="",$P71="",$J$39&lt;&gt;"Yes"),0,IF($K$10=0,SUMIFS(INDIRECT(ADDRESS(12,3+18*0+(4),,,"J1 D - South Bank Avenue")&amp;":"&amp;ADDRESS(130,3+18*0+(4))),'J1 D - South Bank Avenue'!$A$12:$A$130,"&gt;="&amp;Diagram!$O71,'J1 D - South Bank Avenue'!$A$12:$A$130,"&lt;"&amp;Diagram!$P71),SUMIFS(INDIRECT(ADDRESS(12,3+18*0+(12),,,"J1 D - South Bank Avenue")&amp;":"&amp;ADDRESS(130,3+18*0+(12))),'J1 D - South Bank Avenue'!$A$12:$A$130,"&gt;="&amp;Diagram!$O71,'J1 D - South Bank Avenue'!$A$12:$A$130,"&lt;"&amp;Diagram!$P71)))</f>
        <v>0</v>
      </c>
      <c r="CV71" s="42">
        <f ca="1">IF(OR($I$10="",$O71="",$P71="",$J$39&lt;&gt;"Yes"),0,IF($K$10=0,SUMIFS(INDIRECT(ADDRESS(12,3+18*1+(4),,,"J1 D - South Bank Avenue")&amp;":"&amp;ADDRESS(130,3+18*1+(4))),'J1 D - South Bank Avenue'!$A$12:$A$130,"&gt;="&amp;Diagram!$O71,'J1 D - South Bank Avenue'!$A$12:$A$130,"&lt;"&amp;Diagram!$P71),SUMIFS(INDIRECT(ADDRESS(12,3+18*1+(12),,,"J1 D - South Bank Avenue")&amp;":"&amp;ADDRESS(130,3+18*1+(12))),'J1 D - South Bank Avenue'!$A$12:$A$130,"&gt;="&amp;Diagram!$O71,'J1 D - South Bank Avenue'!$A$12:$A$130,"&lt;"&amp;Diagram!$P71)))</f>
        <v>0</v>
      </c>
      <c r="CW71" s="42">
        <f ca="1">IF(OR($I$10="",$O71="",$P71="",$J$39&lt;&gt;"Yes"),0,IF($K$10=0,SUMIFS(INDIRECT(ADDRESS(12,3+18*2+(4),,,"J1 D - South Bank Avenue")&amp;":"&amp;ADDRESS(130,3+18*2+(4))),'J1 D - South Bank Avenue'!$A$12:$A$130,"&gt;="&amp;Diagram!$O71,'J1 D - South Bank Avenue'!$A$12:$A$130,"&lt;"&amp;Diagram!$P71),SUMIFS(INDIRECT(ADDRESS(12,3+18*2+(12),,,"J1 D - South Bank Avenue")&amp;":"&amp;ADDRESS(130,3+18*2+(12))),'J1 D - South Bank Avenue'!$A$12:$A$130,"&gt;="&amp;Diagram!$O71,'J1 D - South Bank Avenue'!$A$12:$A$130,"&lt;"&amp;Diagram!$P71)))</f>
        <v>0</v>
      </c>
      <c r="CX71" s="42">
        <f ca="1">IF(OR($I$10="",$O71="",$P71="",$J$39&lt;&gt;"Yes"),0,IF($K$10=0,SUMIFS(INDIRECT(ADDRESS(12,3+18*3+(4),,,"J1 D - South Bank Avenue")&amp;":"&amp;ADDRESS(130,3+18*3+(4))),'J1 D - South Bank Avenue'!$A$12:$A$130,"&gt;="&amp;Diagram!$O71,'J1 D - South Bank Avenue'!$A$12:$A$130,"&lt;"&amp;Diagram!$P71),SUMIFS(INDIRECT(ADDRESS(12,3+18*3+(12),,,"J1 D - South Bank Avenue")&amp;":"&amp;ADDRESS(130,3+18*3+(12))),'J1 D - South Bank Avenue'!$A$12:$A$130,"&gt;="&amp;Diagram!$O71,'J1 D - South Bank Avenue'!$A$12:$A$130,"&lt;"&amp;Diagram!$P71)))</f>
        <v>0</v>
      </c>
      <c r="CY71" s="42">
        <f t="shared" ca="1" si="16"/>
        <v>140</v>
      </c>
      <c r="CZ71" s="42">
        <f ca="1">IF(OR($I$10="",$O71="",$P71="",$J$40&lt;&gt;"Yes"),0,IF($K$10=0,SUMIFS(INDIRECT(ADDRESS(12,3+18*3+(5),,,"J1 A - (North) Bishopthorpe Roa")&amp;":"&amp;ADDRESS(130,3+18*3+(5))),'J1 A - (North) Bishopthorpe Roa'!$A$12:$A$130,"&gt;="&amp;Diagram!$O71,'J1 A - (North) Bishopthorpe Roa'!$A$12:$A$130,"&lt;"&amp;Diagram!$P71),SUMIFS(INDIRECT(ADDRESS(12,3+18*3+(13),,,"J1 A - (North) Bishopthorpe Roa")&amp;":"&amp;ADDRESS(130,3+18*3+(13))),'J1 A - (North) Bishopthorpe Roa'!$A$12:$A$130,"&gt;="&amp;Diagram!$O71,'J1 A - (North) Bishopthorpe Roa'!$A$12:$A$130,"&lt;"&amp;Diagram!$P71)))</f>
        <v>0</v>
      </c>
      <c r="DA71" s="42">
        <f ca="1">IF(OR($I$10="",$O71="",$P71="",$J$40&lt;&gt;"Yes"),0,IF($K$10=0,SUMIFS(INDIRECT(ADDRESS(12,3+18*0+(5),,,"J1 A - (North) Bishopthorpe Roa")&amp;":"&amp;ADDRESS(130,3+18*0+(5))),'J1 A - (North) Bishopthorpe Roa'!$A$12:$A$130,"&gt;="&amp;Diagram!$O71,'J1 A - (North) Bishopthorpe Roa'!$A$12:$A$130,"&lt;"&amp;Diagram!$P71),SUMIFS(INDIRECT(ADDRESS(12,3+18*0+(13),,,"J1 A - (North) Bishopthorpe Roa")&amp;":"&amp;ADDRESS(130,3+18*0+(13))),'J1 A - (North) Bishopthorpe Roa'!$A$12:$A$130,"&gt;="&amp;Diagram!$O71,'J1 A - (North) Bishopthorpe Roa'!$A$12:$A$130,"&lt;"&amp;Diagram!$P71)))</f>
        <v>14</v>
      </c>
      <c r="DB71" s="42">
        <f ca="1">IF(OR($I$10="",$O71="",$P71="",$J$40&lt;&gt;"Yes"),0,IF($K$10=0,SUMIFS(INDIRECT(ADDRESS(12,3+18*1+(5),,,"J1 A - (North) Bishopthorpe Roa")&amp;":"&amp;ADDRESS(130,3+18*1+(5))),'J1 A - (North) Bishopthorpe Roa'!$A$12:$A$130,"&gt;="&amp;Diagram!$O71,'J1 A - (North) Bishopthorpe Roa'!$A$12:$A$130,"&lt;"&amp;Diagram!$P71),SUMIFS(INDIRECT(ADDRESS(12,3+18*1+(13),,,"J1 A - (North) Bishopthorpe Roa")&amp;":"&amp;ADDRESS(130,3+18*1+(13))),'J1 A - (North) Bishopthorpe Roa'!$A$12:$A$130,"&gt;="&amp;Diagram!$O71,'J1 A - (North) Bishopthorpe Roa'!$A$12:$A$130,"&lt;"&amp;Diagram!$P71)))</f>
        <v>33</v>
      </c>
      <c r="DC71" s="42">
        <f ca="1">IF(OR($I$10="",$O71="",$P71="",$J$40&lt;&gt;"Yes"),0,IF($K$10=0,SUMIFS(INDIRECT(ADDRESS(12,3+18*2+(5),,,"J1 A - (North) Bishopthorpe Roa")&amp;":"&amp;ADDRESS(130,3+18*2+(5))),'J1 A - (North) Bishopthorpe Roa'!$A$12:$A$130,"&gt;="&amp;Diagram!$O71,'J1 A - (North) Bishopthorpe Roa'!$A$12:$A$130,"&lt;"&amp;Diagram!$P71),SUMIFS(INDIRECT(ADDRESS(12,3+18*2+(13),,,"J1 A - (North) Bishopthorpe Roa")&amp;":"&amp;ADDRESS(130,3+18*2+(13))),'J1 A - (North) Bishopthorpe Roa'!$A$12:$A$130,"&gt;="&amp;Diagram!$O71,'J1 A - (North) Bishopthorpe Roa'!$A$12:$A$130,"&lt;"&amp;Diagram!$P71)))</f>
        <v>6</v>
      </c>
      <c r="DD71" s="42">
        <f ca="1">IF(OR($I$10="",$O71="",$P71="",$J$40&lt;&gt;"Yes"),0,IF($K$10=0,SUMIFS(INDIRECT(ADDRESS(12,3+18*2+(5),,,"J1 B - Butcher Terrace")&amp;":"&amp;ADDRESS(130,3+18*2+(5))),'J1 B - Butcher Terrace'!$A$12:$A$130,"&gt;="&amp;Diagram!$O71,'J1 B - Butcher Terrace'!$A$12:$A$130,"&lt;"&amp;Diagram!$P71),SUMIFS(INDIRECT(ADDRESS(12,3+18*2+(13),,,"J1 B - Butcher Terrace")&amp;":"&amp;ADDRESS(130,3+18*2+(13))),'J1 B - Butcher Terrace'!$A$12:$A$130,"&gt;="&amp;Diagram!$O71,'J1 B - Butcher Terrace'!$A$12:$A$130,"&lt;"&amp;Diagram!$P71)))</f>
        <v>8</v>
      </c>
      <c r="DE71" s="42">
        <f ca="1">IF(OR($I$10="",$O71="",$P71="",$J$40&lt;&gt;"Yes"),0,IF($K$10=0,SUMIFS(INDIRECT(ADDRESS(12,3+18*3+(5),,,"J1 B - Butcher Terrace")&amp;":"&amp;ADDRESS(130,3+18*3+(5))),'J1 B - Butcher Terrace'!$A$12:$A$130,"&gt;="&amp;Diagram!$O71,'J1 B - Butcher Terrace'!$A$12:$A$130,"&lt;"&amp;Diagram!$P71),SUMIFS(INDIRECT(ADDRESS(12,3+18*3+(13),,,"J1 B - Butcher Terrace")&amp;":"&amp;ADDRESS(130,3+18*3+(13))),'J1 B - Butcher Terrace'!$A$12:$A$130,"&gt;="&amp;Diagram!$O71,'J1 B - Butcher Terrace'!$A$12:$A$130,"&lt;"&amp;Diagram!$P71)))</f>
        <v>0</v>
      </c>
      <c r="DF71" s="42">
        <f ca="1">IF(OR($I$10="",$O71="",$P71="",$J$40&lt;&gt;"Yes"),0,IF($K$10=0,SUMIFS(INDIRECT(ADDRESS(12,3+18*0+(5),,,"J1 B - Butcher Terrace")&amp;":"&amp;ADDRESS(130,3+18*0+(5))),'J1 B - Butcher Terrace'!$A$12:$A$130,"&gt;="&amp;Diagram!$O71,'J1 B - Butcher Terrace'!$A$12:$A$130,"&lt;"&amp;Diagram!$P71),SUMIFS(INDIRECT(ADDRESS(12,3+18*0+(13),,,"J1 B - Butcher Terrace")&amp;":"&amp;ADDRESS(130,3+18*0+(13))),'J1 B - Butcher Terrace'!$A$12:$A$130,"&gt;="&amp;Diagram!$O71,'J1 B - Butcher Terrace'!$A$12:$A$130,"&lt;"&amp;Diagram!$P71)))</f>
        <v>12</v>
      </c>
      <c r="DG71" s="42">
        <f ca="1">IF(OR($I$10="",$O71="",$P71="",$J$40&lt;&gt;"Yes"),0,IF($K$10=0,SUMIFS(INDIRECT(ADDRESS(12,3+18*1+(5),,,"J1 B - Butcher Terrace")&amp;":"&amp;ADDRESS(130,3+18*1+(5))),'J1 B - Butcher Terrace'!$A$12:$A$130,"&gt;="&amp;Diagram!$O71,'J1 B - Butcher Terrace'!$A$12:$A$130,"&lt;"&amp;Diagram!$P71),SUMIFS(INDIRECT(ADDRESS(12,3+18*1+(13),,,"J1 B - Butcher Terrace")&amp;":"&amp;ADDRESS(130,3+18*1+(13))),'J1 B - Butcher Terrace'!$A$12:$A$130,"&gt;="&amp;Diagram!$O71,'J1 B - Butcher Terrace'!$A$12:$A$130,"&lt;"&amp;Diagram!$P71)))</f>
        <v>29</v>
      </c>
      <c r="DH71" s="42">
        <f ca="1">IF(OR($I$10="",$O71="",$P71="",$J$40&lt;&gt;"Yes"),0,IF($K$10=0,SUMIFS(INDIRECT(ADDRESS(12,3+18*1+(5),,,"J1 C - (South) Bishopthorpe Roa")&amp;":"&amp;ADDRESS(130,3+18*1+(5))),'J1 C - (South) Bishopthorpe Roa'!$A$12:$A$130,"&gt;="&amp;Diagram!$O71,'J1 C - (South) Bishopthorpe Roa'!$A$12:$A$130,"&lt;"&amp;Diagram!$P71),SUMIFS(INDIRECT(ADDRESS(12,3+18*1+(13),,,"J1 C - (South) Bishopthorpe Roa")&amp;":"&amp;ADDRESS(130,3+18*1+(13))),'J1 C - (South) Bishopthorpe Roa'!$A$12:$A$130,"&gt;="&amp;Diagram!$O71,'J1 C - (South) Bishopthorpe Roa'!$A$12:$A$130,"&lt;"&amp;Diagram!$P71)))</f>
        <v>13</v>
      </c>
      <c r="DI71" s="42">
        <f ca="1">IF(OR($I$10="",$O71="",$P71="",$J$40&lt;&gt;"Yes"),0,IF($K$10=0,SUMIFS(INDIRECT(ADDRESS(12,3+18*2+(5),,,"J1 C - (South) Bishopthorpe Roa")&amp;":"&amp;ADDRESS(130,3+18*2+(5))),'J1 C - (South) Bishopthorpe Roa'!$A$12:$A$130,"&gt;="&amp;Diagram!$O71,'J1 C - (South) Bishopthorpe Roa'!$A$12:$A$130,"&lt;"&amp;Diagram!$P71),SUMIFS(INDIRECT(ADDRESS(12,3+18*2+(13),,,"J1 C - (South) Bishopthorpe Roa")&amp;":"&amp;ADDRESS(130,3+18*2+(13))),'J1 C - (South) Bishopthorpe Roa'!$A$12:$A$130,"&gt;="&amp;Diagram!$O71,'J1 C - (South) Bishopthorpe Roa'!$A$12:$A$130,"&lt;"&amp;Diagram!$P71)))</f>
        <v>7</v>
      </c>
      <c r="DJ71" s="42">
        <f ca="1">IF(OR($I$10="",$O71="",$P71="",$J$40&lt;&gt;"Yes"),0,IF($K$10=0,SUMIFS(INDIRECT(ADDRESS(12,3+18*3+(5),,,"J1 C - (South) Bishopthorpe Roa")&amp;":"&amp;ADDRESS(130,3+18*3+(5))),'J1 C - (South) Bishopthorpe Roa'!$A$12:$A$130,"&gt;="&amp;Diagram!$O71,'J1 C - (South) Bishopthorpe Roa'!$A$12:$A$130,"&lt;"&amp;Diagram!$P71),SUMIFS(INDIRECT(ADDRESS(12,3+18*3+(13),,,"J1 C - (South) Bishopthorpe Roa")&amp;":"&amp;ADDRESS(130,3+18*3+(13))),'J1 C - (South) Bishopthorpe Roa'!$A$12:$A$130,"&gt;="&amp;Diagram!$O71,'J1 C - (South) Bishopthorpe Roa'!$A$12:$A$130,"&lt;"&amp;Diagram!$P71)))</f>
        <v>0</v>
      </c>
      <c r="DK71" s="42">
        <f ca="1">IF(OR($I$10="",$O71="",$P71="",$J$40&lt;&gt;"Yes"),0,IF($K$10=0,SUMIFS(INDIRECT(ADDRESS(12,3+18*0+(5),,,"J1 C - (South) Bishopthorpe Roa")&amp;":"&amp;ADDRESS(130,3+18*0+(5))),'J1 C - (South) Bishopthorpe Roa'!$A$12:$A$130,"&gt;="&amp;Diagram!$O71,'J1 C - (South) Bishopthorpe Roa'!$A$12:$A$130,"&lt;"&amp;Diagram!$P71),SUMIFS(INDIRECT(ADDRESS(12,3+18*0+(13),,,"J1 C - (South) Bishopthorpe Roa")&amp;":"&amp;ADDRESS(130,3+18*0+(13))),'J1 C - (South) Bishopthorpe Roa'!$A$12:$A$130,"&gt;="&amp;Diagram!$O71,'J1 C - (South) Bishopthorpe Roa'!$A$12:$A$130,"&lt;"&amp;Diagram!$P71)))</f>
        <v>1</v>
      </c>
      <c r="DL71" s="42">
        <f ca="1">IF(OR($I$10="",$O71="",$P71="",$J$40&lt;&gt;"Yes"),0,IF($K$10=0,SUMIFS(INDIRECT(ADDRESS(12,3+18*0+(5),,,"J1 D - South Bank Avenue")&amp;":"&amp;ADDRESS(130,3+18*0+(5))),'J1 D - South Bank Avenue'!$A$12:$A$130,"&gt;="&amp;Diagram!$O71,'J1 D - South Bank Avenue'!$A$12:$A$130,"&lt;"&amp;Diagram!$P71),SUMIFS(INDIRECT(ADDRESS(12,3+18*0+(13),,,"J1 D - South Bank Avenue")&amp;":"&amp;ADDRESS(130,3+18*0+(13))),'J1 D - South Bank Avenue'!$A$12:$A$130,"&gt;="&amp;Diagram!$O71,'J1 D - South Bank Avenue'!$A$12:$A$130,"&lt;"&amp;Diagram!$P71)))</f>
        <v>4</v>
      </c>
      <c r="DM71" s="42">
        <f ca="1">IF(OR($I$10="",$O71="",$P71="",$J$40&lt;&gt;"Yes"),0,IF($K$10=0,SUMIFS(INDIRECT(ADDRESS(12,3+18*1+(5),,,"J1 D - South Bank Avenue")&amp;":"&amp;ADDRESS(130,3+18*1+(5))),'J1 D - South Bank Avenue'!$A$12:$A$130,"&gt;="&amp;Diagram!$O71,'J1 D - South Bank Avenue'!$A$12:$A$130,"&lt;"&amp;Diagram!$P71),SUMIFS(INDIRECT(ADDRESS(12,3+18*1+(13),,,"J1 D - South Bank Avenue")&amp;":"&amp;ADDRESS(130,3+18*1+(13))),'J1 D - South Bank Avenue'!$A$12:$A$130,"&gt;="&amp;Diagram!$O71,'J1 D - South Bank Avenue'!$A$12:$A$130,"&lt;"&amp;Diagram!$P71)))</f>
        <v>13</v>
      </c>
      <c r="DN71" s="42">
        <f ca="1">IF(OR($I$10="",$O71="",$P71="",$J$40&lt;&gt;"Yes"),0,IF($K$10=0,SUMIFS(INDIRECT(ADDRESS(12,3+18*2+(5),,,"J1 D - South Bank Avenue")&amp;":"&amp;ADDRESS(130,3+18*2+(5))),'J1 D - South Bank Avenue'!$A$12:$A$130,"&gt;="&amp;Diagram!$O71,'J1 D - South Bank Avenue'!$A$12:$A$130,"&lt;"&amp;Diagram!$P71),SUMIFS(INDIRECT(ADDRESS(12,3+18*2+(13),,,"J1 D - South Bank Avenue")&amp;":"&amp;ADDRESS(130,3+18*2+(13))),'J1 D - South Bank Avenue'!$A$12:$A$130,"&gt;="&amp;Diagram!$O71,'J1 D - South Bank Avenue'!$A$12:$A$130,"&lt;"&amp;Diagram!$P71)))</f>
        <v>0</v>
      </c>
      <c r="DO71" s="42">
        <f ca="1">IF(OR($I$10="",$O71="",$P71="",$J$40&lt;&gt;"Yes"),0,IF($K$10=0,SUMIFS(INDIRECT(ADDRESS(12,3+18*3+(5),,,"J1 D - South Bank Avenue")&amp;":"&amp;ADDRESS(130,3+18*3+(5))),'J1 D - South Bank Avenue'!$A$12:$A$130,"&gt;="&amp;Diagram!$O71,'J1 D - South Bank Avenue'!$A$12:$A$130,"&lt;"&amp;Diagram!$P71),SUMIFS(INDIRECT(ADDRESS(12,3+18*3+(13),,,"J1 D - South Bank Avenue")&amp;":"&amp;ADDRESS(130,3+18*3+(13))),'J1 D - South Bank Avenue'!$A$12:$A$130,"&gt;="&amp;Diagram!$O71,'J1 D - South Bank Avenue'!$A$12:$A$130,"&lt;"&amp;Diagram!$P71)))</f>
        <v>0</v>
      </c>
      <c r="DP71" s="42">
        <f t="shared" ca="1" si="17"/>
        <v>11</v>
      </c>
      <c r="DQ71" s="42">
        <f ca="1">IF(OR($I$10="",$O71="",$P71="",$J$41&lt;&gt;"Yes"),0,IF($K$10=0,SUMIFS(INDIRECT(ADDRESS(12,3+18*3+(6),,,"J1 A - (North) Bishopthorpe Roa")&amp;":"&amp;ADDRESS(130,3+18*3+(6))),'J1 A - (North) Bishopthorpe Roa'!$A$12:$A$130,"&gt;="&amp;Diagram!$O71,'J1 A - (North) Bishopthorpe Roa'!$A$12:$A$130,"&lt;"&amp;Diagram!$P71),SUMIFS(INDIRECT(ADDRESS(12,3+18*3+(14),,,"J1 A - (North) Bishopthorpe Roa")&amp;":"&amp;ADDRESS(130,3+18*3+(14))),'J1 A - (North) Bishopthorpe Roa'!$A$12:$A$130,"&gt;="&amp;Diagram!$O71,'J1 A - (North) Bishopthorpe Roa'!$A$12:$A$130,"&lt;"&amp;Diagram!$P71)))</f>
        <v>0</v>
      </c>
      <c r="DR71" s="42">
        <f ca="1">IF(OR($I$10="",$O71="",$P71="",$J$41&lt;&gt;"Yes"),0,IF($K$10=0,SUMIFS(INDIRECT(ADDRESS(12,3+18*0+(6),,,"J1 A - (North) Bishopthorpe Roa")&amp;":"&amp;ADDRESS(130,3+18*0+(6))),'J1 A - (North) Bishopthorpe Roa'!$A$12:$A$130,"&gt;="&amp;Diagram!$O71,'J1 A - (North) Bishopthorpe Roa'!$A$12:$A$130,"&lt;"&amp;Diagram!$P71),SUMIFS(INDIRECT(ADDRESS(12,3+18*0+(14),,,"J1 A - (North) Bishopthorpe Roa")&amp;":"&amp;ADDRESS(130,3+18*0+(14))),'J1 A - (North) Bishopthorpe Roa'!$A$12:$A$130,"&gt;="&amp;Diagram!$O71,'J1 A - (North) Bishopthorpe Roa'!$A$12:$A$130,"&lt;"&amp;Diagram!$P71)))</f>
        <v>1</v>
      </c>
      <c r="DS71" s="42">
        <f ca="1">IF(OR($I$10="",$O71="",$P71="",$J$41&lt;&gt;"Yes"),0,IF($K$10=0,SUMIFS(INDIRECT(ADDRESS(12,3+18*1+(6),,,"J1 A - (North) Bishopthorpe Roa")&amp;":"&amp;ADDRESS(130,3+18*1+(6))),'J1 A - (North) Bishopthorpe Roa'!$A$12:$A$130,"&gt;="&amp;Diagram!$O71,'J1 A - (North) Bishopthorpe Roa'!$A$12:$A$130,"&lt;"&amp;Diagram!$P71),SUMIFS(INDIRECT(ADDRESS(12,3+18*1+(14),,,"J1 A - (North) Bishopthorpe Roa")&amp;":"&amp;ADDRESS(130,3+18*1+(14))),'J1 A - (North) Bishopthorpe Roa'!$A$12:$A$130,"&gt;="&amp;Diagram!$O71,'J1 A - (North) Bishopthorpe Roa'!$A$12:$A$130,"&lt;"&amp;Diagram!$P71)))</f>
        <v>6</v>
      </c>
      <c r="DT71" s="42">
        <f ca="1">IF(OR($I$10="",$O71="",$P71="",$J$41&lt;&gt;"Yes"),0,IF($K$10=0,SUMIFS(INDIRECT(ADDRESS(12,3+18*2+(6),,,"J1 A - (North) Bishopthorpe Roa")&amp;":"&amp;ADDRESS(130,3+18*2+(6))),'J1 A - (North) Bishopthorpe Roa'!$A$12:$A$130,"&gt;="&amp;Diagram!$O71,'J1 A - (North) Bishopthorpe Roa'!$A$12:$A$130,"&lt;"&amp;Diagram!$P71),SUMIFS(INDIRECT(ADDRESS(12,3+18*2+(14),,,"J1 A - (North) Bishopthorpe Roa")&amp;":"&amp;ADDRESS(130,3+18*2+(14))),'J1 A - (North) Bishopthorpe Roa'!$A$12:$A$130,"&gt;="&amp;Diagram!$O71,'J1 A - (North) Bishopthorpe Roa'!$A$12:$A$130,"&lt;"&amp;Diagram!$P71)))</f>
        <v>0</v>
      </c>
      <c r="DU71" s="42">
        <f ca="1">IF(OR($I$10="",$O71="",$P71="",$J$41&lt;&gt;"Yes"),0,IF($K$10=0,SUMIFS(INDIRECT(ADDRESS(12,3+18*2+(6),,,"J1 B - Butcher Terrace")&amp;":"&amp;ADDRESS(130,3+18*2+(6))),'J1 B - Butcher Terrace'!$A$12:$A$130,"&gt;="&amp;Diagram!$O71,'J1 B - Butcher Terrace'!$A$12:$A$130,"&lt;"&amp;Diagram!$P71),SUMIFS(INDIRECT(ADDRESS(12,3+18*2+(14),,,"J1 B - Butcher Terrace")&amp;":"&amp;ADDRESS(130,3+18*2+(14))),'J1 B - Butcher Terrace'!$A$12:$A$130,"&gt;="&amp;Diagram!$O71,'J1 B - Butcher Terrace'!$A$12:$A$130,"&lt;"&amp;Diagram!$P71)))</f>
        <v>0</v>
      </c>
      <c r="DV71" s="42">
        <f ca="1">IF(OR($I$10="",$O71="",$P71="",$J$41&lt;&gt;"Yes"),0,IF($K$10=0,SUMIFS(INDIRECT(ADDRESS(12,3+18*3+(6),,,"J1 B - Butcher Terrace")&amp;":"&amp;ADDRESS(130,3+18*3+(6))),'J1 B - Butcher Terrace'!$A$12:$A$130,"&gt;="&amp;Diagram!$O71,'J1 B - Butcher Terrace'!$A$12:$A$130,"&lt;"&amp;Diagram!$P71),SUMIFS(INDIRECT(ADDRESS(12,3+18*3+(14),,,"J1 B - Butcher Terrace")&amp;":"&amp;ADDRESS(130,3+18*3+(14))),'J1 B - Butcher Terrace'!$A$12:$A$130,"&gt;="&amp;Diagram!$O71,'J1 B - Butcher Terrace'!$A$12:$A$130,"&lt;"&amp;Diagram!$P71)))</f>
        <v>0</v>
      </c>
      <c r="DW71" s="42">
        <f ca="1">IF(OR($I$10="",$O71="",$P71="",$J$41&lt;&gt;"Yes"),0,IF($K$10=0,SUMIFS(INDIRECT(ADDRESS(12,3+18*0+(6),,,"J1 B - Butcher Terrace")&amp;":"&amp;ADDRESS(130,3+18*0+(6))),'J1 B - Butcher Terrace'!$A$12:$A$130,"&gt;="&amp;Diagram!$O71,'J1 B - Butcher Terrace'!$A$12:$A$130,"&lt;"&amp;Diagram!$P71),SUMIFS(INDIRECT(ADDRESS(12,3+18*0+(14),,,"J1 B - Butcher Terrace")&amp;":"&amp;ADDRESS(130,3+18*0+(14))),'J1 B - Butcher Terrace'!$A$12:$A$130,"&gt;="&amp;Diagram!$O71,'J1 B - Butcher Terrace'!$A$12:$A$130,"&lt;"&amp;Diagram!$P71)))</f>
        <v>0</v>
      </c>
      <c r="DX71" s="42">
        <f ca="1">IF(OR($I$10="",$O71="",$P71="",$J$41&lt;&gt;"Yes"),0,IF($K$10=0,SUMIFS(INDIRECT(ADDRESS(12,3+18*1+(6),,,"J1 B - Butcher Terrace")&amp;":"&amp;ADDRESS(130,3+18*1+(6))),'J1 B - Butcher Terrace'!$A$12:$A$130,"&gt;="&amp;Diagram!$O71,'J1 B - Butcher Terrace'!$A$12:$A$130,"&lt;"&amp;Diagram!$P71),SUMIFS(INDIRECT(ADDRESS(12,3+18*1+(14),,,"J1 B - Butcher Terrace")&amp;":"&amp;ADDRESS(130,3+18*1+(14))),'J1 B - Butcher Terrace'!$A$12:$A$130,"&gt;="&amp;Diagram!$O71,'J1 B - Butcher Terrace'!$A$12:$A$130,"&lt;"&amp;Diagram!$P71)))</f>
        <v>0</v>
      </c>
      <c r="DY71" s="42">
        <f ca="1">IF(OR($I$10="",$O71="",$P71="",$J$41&lt;&gt;"Yes"),0,IF($K$10=0,SUMIFS(INDIRECT(ADDRESS(12,3+18*1+(6),,,"J1 C - (South) Bishopthorpe Roa")&amp;":"&amp;ADDRESS(130,3+18*1+(6))),'J1 C - (South) Bishopthorpe Roa'!$A$12:$A$130,"&gt;="&amp;Diagram!$O71,'J1 C - (South) Bishopthorpe Roa'!$A$12:$A$130,"&lt;"&amp;Diagram!$P71),SUMIFS(INDIRECT(ADDRESS(12,3+18*1+(14),,,"J1 C - (South) Bishopthorpe Roa")&amp;":"&amp;ADDRESS(130,3+18*1+(14))),'J1 C - (South) Bishopthorpe Roa'!$A$12:$A$130,"&gt;="&amp;Diagram!$O71,'J1 C - (South) Bishopthorpe Roa'!$A$12:$A$130,"&lt;"&amp;Diagram!$P71)))</f>
        <v>4</v>
      </c>
      <c r="DZ71" s="42">
        <f ca="1">IF(OR($I$10="",$O71="",$P71="",$J$41&lt;&gt;"Yes"),0,IF($K$10=0,SUMIFS(INDIRECT(ADDRESS(12,3+18*2+(6),,,"J1 C - (South) Bishopthorpe Roa")&amp;":"&amp;ADDRESS(130,3+18*2+(6))),'J1 C - (South) Bishopthorpe Roa'!$A$12:$A$130,"&gt;="&amp;Diagram!$O71,'J1 C - (South) Bishopthorpe Roa'!$A$12:$A$130,"&lt;"&amp;Diagram!$P71),SUMIFS(INDIRECT(ADDRESS(12,3+18*2+(14),,,"J1 C - (South) Bishopthorpe Roa")&amp;":"&amp;ADDRESS(130,3+18*2+(14))),'J1 C - (South) Bishopthorpe Roa'!$A$12:$A$130,"&gt;="&amp;Diagram!$O71,'J1 C - (South) Bishopthorpe Roa'!$A$12:$A$130,"&lt;"&amp;Diagram!$P71)))</f>
        <v>0</v>
      </c>
      <c r="EA71" s="42">
        <f ca="1">IF(OR($I$10="",$O71="",$P71="",$J$41&lt;&gt;"Yes"),0,IF($K$10=0,SUMIFS(INDIRECT(ADDRESS(12,3+18*3+(6),,,"J1 C - (South) Bishopthorpe Roa")&amp;":"&amp;ADDRESS(130,3+18*3+(6))),'J1 C - (South) Bishopthorpe Roa'!$A$12:$A$130,"&gt;="&amp;Diagram!$O71,'J1 C - (South) Bishopthorpe Roa'!$A$12:$A$130,"&lt;"&amp;Diagram!$P71),SUMIFS(INDIRECT(ADDRESS(12,3+18*3+(14),,,"J1 C - (South) Bishopthorpe Roa")&amp;":"&amp;ADDRESS(130,3+18*3+(14))),'J1 C - (South) Bishopthorpe Roa'!$A$12:$A$130,"&gt;="&amp;Diagram!$O71,'J1 C - (South) Bishopthorpe Roa'!$A$12:$A$130,"&lt;"&amp;Diagram!$P71)))</f>
        <v>0</v>
      </c>
      <c r="EB71" s="42">
        <f ca="1">IF(OR($I$10="",$O71="",$P71="",$J$41&lt;&gt;"Yes"),0,IF($K$10=0,SUMIFS(INDIRECT(ADDRESS(12,3+18*0+(6),,,"J1 C - (South) Bishopthorpe Roa")&amp;":"&amp;ADDRESS(130,3+18*0+(6))),'J1 C - (South) Bishopthorpe Roa'!$A$12:$A$130,"&gt;="&amp;Diagram!$O71,'J1 C - (South) Bishopthorpe Roa'!$A$12:$A$130,"&lt;"&amp;Diagram!$P71),SUMIFS(INDIRECT(ADDRESS(12,3+18*0+(14),,,"J1 C - (South) Bishopthorpe Roa")&amp;":"&amp;ADDRESS(130,3+18*0+(14))),'J1 C - (South) Bishopthorpe Roa'!$A$12:$A$130,"&gt;="&amp;Diagram!$O71,'J1 C - (South) Bishopthorpe Roa'!$A$12:$A$130,"&lt;"&amp;Diagram!$P71)))</f>
        <v>0</v>
      </c>
      <c r="EC71" s="42">
        <f ca="1">IF(OR($I$10="",$O71="",$P71="",$J$41&lt;&gt;"Yes"),0,IF($K$10=0,SUMIFS(INDIRECT(ADDRESS(12,3+18*0+(6),,,"J1 D - South Bank Avenue")&amp;":"&amp;ADDRESS(130,3+18*0+(6))),'J1 D - South Bank Avenue'!$A$12:$A$130,"&gt;="&amp;Diagram!$O71,'J1 D - South Bank Avenue'!$A$12:$A$130,"&lt;"&amp;Diagram!$P71),SUMIFS(INDIRECT(ADDRESS(12,3+18*0+(14),,,"J1 D - South Bank Avenue")&amp;":"&amp;ADDRESS(130,3+18*0+(14))),'J1 D - South Bank Avenue'!$A$12:$A$130,"&gt;="&amp;Diagram!$O71,'J1 D - South Bank Avenue'!$A$12:$A$130,"&lt;"&amp;Diagram!$P71)))</f>
        <v>0</v>
      </c>
      <c r="ED71" s="42">
        <f ca="1">IF(OR($I$10="",$O71="",$P71="",$J$41&lt;&gt;"Yes"),0,IF($K$10=0,SUMIFS(INDIRECT(ADDRESS(12,3+18*1+(6),,,"J1 D - South Bank Avenue")&amp;":"&amp;ADDRESS(130,3+18*1+(6))),'J1 D - South Bank Avenue'!$A$12:$A$130,"&gt;="&amp;Diagram!$O71,'J1 D - South Bank Avenue'!$A$12:$A$130,"&lt;"&amp;Diagram!$P71),SUMIFS(INDIRECT(ADDRESS(12,3+18*1+(14),,,"J1 D - South Bank Avenue")&amp;":"&amp;ADDRESS(130,3+18*1+(14))),'J1 D - South Bank Avenue'!$A$12:$A$130,"&gt;="&amp;Diagram!$O71,'J1 D - South Bank Avenue'!$A$12:$A$130,"&lt;"&amp;Diagram!$P71)))</f>
        <v>0</v>
      </c>
      <c r="EE71" s="42">
        <f ca="1">IF(OR($I$10="",$O71="",$P71="",$J$41&lt;&gt;"Yes"),0,IF($K$10=0,SUMIFS(INDIRECT(ADDRESS(12,3+18*2+(6),,,"J1 D - South Bank Avenue")&amp;":"&amp;ADDRESS(130,3+18*2+(6))),'J1 D - South Bank Avenue'!$A$12:$A$130,"&gt;="&amp;Diagram!$O71,'J1 D - South Bank Avenue'!$A$12:$A$130,"&lt;"&amp;Diagram!$P71),SUMIFS(INDIRECT(ADDRESS(12,3+18*2+(14),,,"J1 D - South Bank Avenue")&amp;":"&amp;ADDRESS(130,3+18*2+(14))),'J1 D - South Bank Avenue'!$A$12:$A$130,"&gt;="&amp;Diagram!$O71,'J1 D - South Bank Avenue'!$A$12:$A$130,"&lt;"&amp;Diagram!$P71)))</f>
        <v>0</v>
      </c>
      <c r="EF71" s="42">
        <f ca="1">IF(OR($I$10="",$O71="",$P71="",$J$41&lt;&gt;"Yes"),0,IF($K$10=0,SUMIFS(INDIRECT(ADDRESS(12,3+18*3+(6),,,"J1 D - South Bank Avenue")&amp;":"&amp;ADDRESS(130,3+18*3+(6))),'J1 D - South Bank Avenue'!$A$12:$A$130,"&gt;="&amp;Diagram!$O71,'J1 D - South Bank Avenue'!$A$12:$A$130,"&lt;"&amp;Diagram!$P71),SUMIFS(INDIRECT(ADDRESS(12,3+18*3+(14),,,"J1 D - South Bank Avenue")&amp;":"&amp;ADDRESS(130,3+18*3+(14))),'J1 D - South Bank Avenue'!$A$12:$A$130,"&gt;="&amp;Diagram!$O71,'J1 D - South Bank Avenue'!$A$12:$A$130,"&lt;"&amp;Diagram!$P71)))</f>
        <v>0</v>
      </c>
      <c r="EG71" s="42">
        <f t="shared" ca="1" si="18"/>
        <v>2</v>
      </c>
      <c r="EH71" s="42">
        <f ca="1">IF(OR($I$10="",$O71="",$P71="",$J$42&lt;&gt;"Yes"),0,IF($K$10=0,SUMIFS(INDIRECT(ADDRESS(12,3+18*3+(7),,,"J1 A - (North) Bishopthorpe Roa")&amp;":"&amp;ADDRESS(130,3+18*3+(7))),'J1 A - (North) Bishopthorpe Roa'!$A$12:$A$130,"&gt;="&amp;Diagram!$O71,'J1 A - (North) Bishopthorpe Roa'!$A$12:$A$130,"&lt;"&amp;Diagram!$P71),SUMIFS(INDIRECT(ADDRESS(12,3+18*3+(15),,,"J1 A - (North) Bishopthorpe Roa")&amp;":"&amp;ADDRESS(130,3+18*3+(15))),'J1 A - (North) Bishopthorpe Roa'!$A$12:$A$130,"&gt;="&amp;Diagram!$O71,'J1 A - (North) Bishopthorpe Roa'!$A$12:$A$130,"&lt;"&amp;Diagram!$P71)))</f>
        <v>0</v>
      </c>
      <c r="EI71" s="42">
        <f ca="1">IF(OR($I$10="",$O71="",$P71="",$J$42&lt;&gt;"Yes"),0,IF($K$10=0,SUMIFS(INDIRECT(ADDRESS(12,3+18*0+(7),,,"J1 A - (North) Bishopthorpe Roa")&amp;":"&amp;ADDRESS(130,3+18*0+(7))),'J1 A - (North) Bishopthorpe Roa'!$A$12:$A$130,"&gt;="&amp;Diagram!$O71,'J1 A - (North) Bishopthorpe Roa'!$A$12:$A$130,"&lt;"&amp;Diagram!$P71),SUMIFS(INDIRECT(ADDRESS(12,3+18*0+(15),,,"J1 A - (North) Bishopthorpe Roa")&amp;":"&amp;ADDRESS(130,3+18*0+(15))),'J1 A - (North) Bishopthorpe Roa'!$A$12:$A$130,"&gt;="&amp;Diagram!$O71,'J1 A - (North) Bishopthorpe Roa'!$A$12:$A$130,"&lt;"&amp;Diagram!$P71)))</f>
        <v>2</v>
      </c>
      <c r="EJ71" s="42">
        <f ca="1">IF(OR($I$10="",$O71="",$P71="",$J$42&lt;&gt;"Yes"),0,IF($K$10=0,SUMIFS(INDIRECT(ADDRESS(12,3+18*1+(7),,,"J1 A - (North) Bishopthorpe Roa")&amp;":"&amp;ADDRESS(130,3+18*1+(7))),'J1 A - (North) Bishopthorpe Roa'!$A$12:$A$130,"&gt;="&amp;Diagram!$O71,'J1 A - (North) Bishopthorpe Roa'!$A$12:$A$130,"&lt;"&amp;Diagram!$P71),SUMIFS(INDIRECT(ADDRESS(12,3+18*1+(15),,,"J1 A - (North) Bishopthorpe Roa")&amp;":"&amp;ADDRESS(130,3+18*1+(15))),'J1 A - (North) Bishopthorpe Roa'!$A$12:$A$130,"&gt;="&amp;Diagram!$O71,'J1 A - (North) Bishopthorpe Roa'!$A$12:$A$130,"&lt;"&amp;Diagram!$P71)))</f>
        <v>0</v>
      </c>
      <c r="EK71" s="42">
        <f ca="1">IF(OR($I$10="",$O71="",$P71="",$J$42&lt;&gt;"Yes"),0,IF($K$10=0,SUMIFS(INDIRECT(ADDRESS(12,3+18*2+(7),,,"J1 A - (North) Bishopthorpe Roa")&amp;":"&amp;ADDRESS(130,3+18*2+(7))),'J1 A - (North) Bishopthorpe Roa'!$A$12:$A$130,"&gt;="&amp;Diagram!$O71,'J1 A - (North) Bishopthorpe Roa'!$A$12:$A$130,"&lt;"&amp;Diagram!$P71),SUMIFS(INDIRECT(ADDRESS(12,3+18*2+(15),,,"J1 A - (North) Bishopthorpe Roa")&amp;":"&amp;ADDRESS(130,3+18*2+(15))),'J1 A - (North) Bishopthorpe Roa'!$A$12:$A$130,"&gt;="&amp;Diagram!$O71,'J1 A - (North) Bishopthorpe Roa'!$A$12:$A$130,"&lt;"&amp;Diagram!$P71)))</f>
        <v>0</v>
      </c>
      <c r="EL71" s="42">
        <f ca="1">IF(OR($I$10="",$O71="",$P71="",$J$42&lt;&gt;"Yes"),0,IF($K$10=0,SUMIFS(INDIRECT(ADDRESS(12,3+18*2+(7),,,"J1 B - Butcher Terrace")&amp;":"&amp;ADDRESS(130,3+18*2+(7))),'J1 B - Butcher Terrace'!$A$12:$A$130,"&gt;="&amp;Diagram!$O71,'J1 B - Butcher Terrace'!$A$12:$A$130,"&lt;"&amp;Diagram!$P71),SUMIFS(INDIRECT(ADDRESS(12,3+18*2+(15),,,"J1 B - Butcher Terrace")&amp;":"&amp;ADDRESS(130,3+18*2+(15))),'J1 B - Butcher Terrace'!$A$12:$A$130,"&gt;="&amp;Diagram!$O71,'J1 B - Butcher Terrace'!$A$12:$A$130,"&lt;"&amp;Diagram!$P71)))</f>
        <v>0</v>
      </c>
      <c r="EM71" s="42">
        <f ca="1">IF(OR($I$10="",$O71="",$P71="",$J$42&lt;&gt;"Yes"),0,IF($K$10=0,SUMIFS(INDIRECT(ADDRESS(12,3+18*3+(7),,,"J1 B - Butcher Terrace")&amp;":"&amp;ADDRESS(130,3+18*3+(7))),'J1 B - Butcher Terrace'!$A$12:$A$130,"&gt;="&amp;Diagram!$O71,'J1 B - Butcher Terrace'!$A$12:$A$130,"&lt;"&amp;Diagram!$P71),SUMIFS(INDIRECT(ADDRESS(12,3+18*3+(15),,,"J1 B - Butcher Terrace")&amp;":"&amp;ADDRESS(130,3+18*3+(15))),'J1 B - Butcher Terrace'!$A$12:$A$130,"&gt;="&amp;Diagram!$O71,'J1 B - Butcher Terrace'!$A$12:$A$130,"&lt;"&amp;Diagram!$P71)))</f>
        <v>0</v>
      </c>
      <c r="EN71" s="42">
        <f ca="1">IF(OR($I$10="",$O71="",$P71="",$J$42&lt;&gt;"Yes"),0,IF($K$10=0,SUMIFS(INDIRECT(ADDRESS(12,3+18*0+(7),,,"J1 B - Butcher Terrace")&amp;":"&amp;ADDRESS(130,3+18*0+(7))),'J1 B - Butcher Terrace'!$A$12:$A$130,"&gt;="&amp;Diagram!$O71,'J1 B - Butcher Terrace'!$A$12:$A$130,"&lt;"&amp;Diagram!$P71),SUMIFS(INDIRECT(ADDRESS(12,3+18*0+(15),,,"J1 B - Butcher Terrace")&amp;":"&amp;ADDRESS(130,3+18*0+(15))),'J1 B - Butcher Terrace'!$A$12:$A$130,"&gt;="&amp;Diagram!$O71,'J1 B - Butcher Terrace'!$A$12:$A$130,"&lt;"&amp;Diagram!$P71)))</f>
        <v>0</v>
      </c>
      <c r="EO71" s="42">
        <f ca="1">IF(OR($I$10="",$O71="",$P71="",$J$42&lt;&gt;"Yes"),0,IF($K$10=0,SUMIFS(INDIRECT(ADDRESS(12,3+18*1+(7),,,"J1 B - Butcher Terrace")&amp;":"&amp;ADDRESS(130,3+18*1+(7))),'J1 B - Butcher Terrace'!$A$12:$A$130,"&gt;="&amp;Diagram!$O71,'J1 B - Butcher Terrace'!$A$12:$A$130,"&lt;"&amp;Diagram!$P71),SUMIFS(INDIRECT(ADDRESS(12,3+18*1+(15),,,"J1 B - Butcher Terrace")&amp;":"&amp;ADDRESS(130,3+18*1+(15))),'J1 B - Butcher Terrace'!$A$12:$A$130,"&gt;="&amp;Diagram!$O71,'J1 B - Butcher Terrace'!$A$12:$A$130,"&lt;"&amp;Diagram!$P71)))</f>
        <v>0</v>
      </c>
      <c r="EP71" s="42">
        <f ca="1">IF(OR($I$10="",$O71="",$P71="",$J$42&lt;&gt;"Yes"),0,IF($K$10=0,SUMIFS(INDIRECT(ADDRESS(12,3+18*1+(7),,,"J1 C - (South) Bishopthorpe Roa")&amp;":"&amp;ADDRESS(130,3+18*1+(7))),'J1 C - (South) Bishopthorpe Roa'!$A$12:$A$130,"&gt;="&amp;Diagram!$O71,'J1 C - (South) Bishopthorpe Roa'!$A$12:$A$130,"&lt;"&amp;Diagram!$P71),SUMIFS(INDIRECT(ADDRESS(12,3+18*1+(15),,,"J1 C - (South) Bishopthorpe Roa")&amp;":"&amp;ADDRESS(130,3+18*1+(15))),'J1 C - (South) Bishopthorpe Roa'!$A$12:$A$130,"&gt;="&amp;Diagram!$O71,'J1 C - (South) Bishopthorpe Roa'!$A$12:$A$130,"&lt;"&amp;Diagram!$P71)))</f>
        <v>0</v>
      </c>
      <c r="EQ71" s="42">
        <f ca="1">IF(OR($I$10="",$O71="",$P71="",$J$42&lt;&gt;"Yes"),0,IF($K$10=0,SUMIFS(INDIRECT(ADDRESS(12,3+18*2+(7),,,"J1 C - (South) Bishopthorpe Roa")&amp;":"&amp;ADDRESS(130,3+18*2+(7))),'J1 C - (South) Bishopthorpe Roa'!$A$12:$A$130,"&gt;="&amp;Diagram!$O71,'J1 C - (South) Bishopthorpe Roa'!$A$12:$A$130,"&lt;"&amp;Diagram!$P71),SUMIFS(INDIRECT(ADDRESS(12,3+18*2+(15),,,"J1 C - (South) Bishopthorpe Roa")&amp;":"&amp;ADDRESS(130,3+18*2+(15))),'J1 C - (South) Bishopthorpe Roa'!$A$12:$A$130,"&gt;="&amp;Diagram!$O71,'J1 C - (South) Bishopthorpe Roa'!$A$12:$A$130,"&lt;"&amp;Diagram!$P71)))</f>
        <v>0</v>
      </c>
      <c r="ER71" s="42">
        <f ca="1">IF(OR($I$10="",$O71="",$P71="",$J$42&lt;&gt;"Yes"),0,IF($K$10=0,SUMIFS(INDIRECT(ADDRESS(12,3+18*3+(7),,,"J1 C - (South) Bishopthorpe Roa")&amp;":"&amp;ADDRESS(130,3+18*3+(7))),'J1 C - (South) Bishopthorpe Roa'!$A$12:$A$130,"&gt;="&amp;Diagram!$O71,'J1 C - (South) Bishopthorpe Roa'!$A$12:$A$130,"&lt;"&amp;Diagram!$P71),SUMIFS(INDIRECT(ADDRESS(12,3+18*3+(15),,,"J1 C - (South) Bishopthorpe Roa")&amp;":"&amp;ADDRESS(130,3+18*3+(15))),'J1 C - (South) Bishopthorpe Roa'!$A$12:$A$130,"&gt;="&amp;Diagram!$O71,'J1 C - (South) Bishopthorpe Roa'!$A$12:$A$130,"&lt;"&amp;Diagram!$P71)))</f>
        <v>0</v>
      </c>
      <c r="ES71" s="42">
        <f ca="1">IF(OR($I$10="",$O71="",$P71="",$J$42&lt;&gt;"Yes"),0,IF($K$10=0,SUMIFS(INDIRECT(ADDRESS(12,3+18*0+(7),,,"J1 C - (South) Bishopthorpe Roa")&amp;":"&amp;ADDRESS(130,3+18*0+(7))),'J1 C - (South) Bishopthorpe Roa'!$A$12:$A$130,"&gt;="&amp;Diagram!$O71,'J1 C - (South) Bishopthorpe Roa'!$A$12:$A$130,"&lt;"&amp;Diagram!$P71),SUMIFS(INDIRECT(ADDRESS(12,3+18*0+(15),,,"J1 C - (South) Bishopthorpe Roa")&amp;":"&amp;ADDRESS(130,3+18*0+(15))),'J1 C - (South) Bishopthorpe Roa'!$A$12:$A$130,"&gt;="&amp;Diagram!$O71,'J1 C - (South) Bishopthorpe Roa'!$A$12:$A$130,"&lt;"&amp;Diagram!$P71)))</f>
        <v>0</v>
      </c>
      <c r="ET71" s="42">
        <f ca="1">IF(OR($I$10="",$O71="",$P71="",$J$42&lt;&gt;"Yes"),0,IF($K$10=0,SUMIFS(INDIRECT(ADDRESS(12,3+18*0+(7),,,"J1 D - South Bank Avenue")&amp;":"&amp;ADDRESS(130,3+18*0+(7))),'J1 D - South Bank Avenue'!$A$12:$A$130,"&gt;="&amp;Diagram!$O71,'J1 D - South Bank Avenue'!$A$12:$A$130,"&lt;"&amp;Diagram!$P71),SUMIFS(INDIRECT(ADDRESS(12,3+18*0+(15),,,"J1 D - South Bank Avenue")&amp;":"&amp;ADDRESS(130,3+18*0+(15))),'J1 D - South Bank Avenue'!$A$12:$A$130,"&gt;="&amp;Diagram!$O71,'J1 D - South Bank Avenue'!$A$12:$A$130,"&lt;"&amp;Diagram!$P71)))</f>
        <v>0</v>
      </c>
      <c r="EU71" s="42">
        <f ca="1">IF(OR($I$10="",$O71="",$P71="",$J$42&lt;&gt;"Yes"),0,IF($K$10=0,SUMIFS(INDIRECT(ADDRESS(12,3+18*1+(7),,,"J1 D - South Bank Avenue")&amp;":"&amp;ADDRESS(130,3+18*1+(7))),'J1 D - South Bank Avenue'!$A$12:$A$130,"&gt;="&amp;Diagram!$O71,'J1 D - South Bank Avenue'!$A$12:$A$130,"&lt;"&amp;Diagram!$P71),SUMIFS(INDIRECT(ADDRESS(12,3+18*1+(15),,,"J1 D - South Bank Avenue")&amp;":"&amp;ADDRESS(130,3+18*1+(15))),'J1 D - South Bank Avenue'!$A$12:$A$130,"&gt;="&amp;Diagram!$O71,'J1 D - South Bank Avenue'!$A$12:$A$130,"&lt;"&amp;Diagram!$P71)))</f>
        <v>0</v>
      </c>
      <c r="EV71" s="42">
        <f ca="1">IF(OR($I$10="",$O71="",$P71="",$J$42&lt;&gt;"Yes"),0,IF($K$10=0,SUMIFS(INDIRECT(ADDRESS(12,3+18*2+(7),,,"J1 D - South Bank Avenue")&amp;":"&amp;ADDRESS(130,3+18*2+(7))),'J1 D - South Bank Avenue'!$A$12:$A$130,"&gt;="&amp;Diagram!$O71,'J1 D - South Bank Avenue'!$A$12:$A$130,"&lt;"&amp;Diagram!$P71),SUMIFS(INDIRECT(ADDRESS(12,3+18*2+(15),,,"J1 D - South Bank Avenue")&amp;":"&amp;ADDRESS(130,3+18*2+(15))),'J1 D - South Bank Avenue'!$A$12:$A$130,"&gt;="&amp;Diagram!$O71,'J1 D - South Bank Avenue'!$A$12:$A$130,"&lt;"&amp;Diagram!$P71)))</f>
        <v>0</v>
      </c>
      <c r="EW71" s="42">
        <f ca="1">IF(OR($I$10="",$O71="",$P71="",$J$42&lt;&gt;"Yes"),0,IF($K$10=0,SUMIFS(INDIRECT(ADDRESS(12,3+18*3+(7),,,"J1 D - South Bank Avenue")&amp;":"&amp;ADDRESS(130,3+18*3+(7))),'J1 D - South Bank Avenue'!$A$12:$A$130,"&gt;="&amp;Diagram!$O71,'J1 D - South Bank Avenue'!$A$12:$A$130,"&lt;"&amp;Diagram!$P71),SUMIFS(INDIRECT(ADDRESS(12,3+18*3+(15),,,"J1 D - South Bank Avenue")&amp;":"&amp;ADDRESS(130,3+18*3+(15))),'J1 D - South Bank Avenue'!$A$12:$A$130,"&gt;="&amp;Diagram!$O71,'J1 D - South Bank Avenue'!$A$12:$A$130,"&lt;"&amp;Diagram!$P71)))</f>
        <v>0</v>
      </c>
    </row>
    <row r="72" spans="1:153">
      <c r="A72" s="1">
        <v>44395.739583333299</v>
      </c>
      <c r="B72" s="1">
        <v>44395.75</v>
      </c>
      <c r="O72" s="3">
        <v>44395.739583333299</v>
      </c>
      <c r="P72" s="3">
        <v>44395.78125</v>
      </c>
      <c r="Q72" s="42">
        <f t="shared" ca="1" si="10"/>
        <v>705</v>
      </c>
      <c r="R72" s="42">
        <f t="shared" ca="1" si="11"/>
        <v>525</v>
      </c>
      <c r="S72" s="42">
        <f ca="1">IF(OR($I$10="",$O72="",$P72="",$J$35&lt;&gt;"Yes"),0,IF($K$10=0,SUMIFS(INDIRECT(ADDRESS(12,3+18*3+(0),,,"J1 A - (North) Bishopthorpe Roa")&amp;":"&amp;ADDRESS(130,3+18*3+(0))),'J1 A - (North) Bishopthorpe Roa'!$A$12:$A$130,"&gt;="&amp;Diagram!$O72,'J1 A - (North) Bishopthorpe Roa'!$A$12:$A$130,"&lt;"&amp;Diagram!$P72),SUMIFS(INDIRECT(ADDRESS(12,3+18*3+(8),,,"J1 A - (North) Bishopthorpe Roa")&amp;":"&amp;ADDRESS(130,3+18*3+(8))),'J1 A - (North) Bishopthorpe Roa'!$A$12:$A$130,"&gt;="&amp;Diagram!$O72,'J1 A - (North) Bishopthorpe Roa'!$A$12:$A$130,"&lt;"&amp;Diagram!$P72)))</f>
        <v>1</v>
      </c>
      <c r="T72" s="42">
        <f ca="1">IF(OR($I$10="",$O72="",$P72="",$J$35&lt;&gt;"Yes"),0,IF($K$10=0,SUMIFS(INDIRECT(ADDRESS(12,3+18*0+(0),,,"J1 A - (North) Bishopthorpe Roa")&amp;":"&amp;ADDRESS(130,3+18*0+(0))),'J1 A - (North) Bishopthorpe Roa'!$A$12:$A$130,"&gt;="&amp;Diagram!$O72,'J1 A - (North) Bishopthorpe Roa'!$A$12:$A$130,"&lt;"&amp;Diagram!$P72),SUMIFS(INDIRECT(ADDRESS(12,3+18*0+(8),,,"J1 A - (North) Bishopthorpe Roa")&amp;":"&amp;ADDRESS(130,3+18*0+(8))),'J1 A - (North) Bishopthorpe Roa'!$A$12:$A$130,"&gt;="&amp;Diagram!$O72,'J1 A - (North) Bishopthorpe Roa'!$A$12:$A$130,"&lt;"&amp;Diagram!$P72)))</f>
        <v>16</v>
      </c>
      <c r="U72" s="42">
        <f ca="1">IF(OR($I$10="",$O72="",$P72="",$J$35&lt;&gt;"Yes"),0,IF($K$10=0,SUMIFS(INDIRECT(ADDRESS(12,3+18*1+(0),,,"J1 A - (North) Bishopthorpe Roa")&amp;":"&amp;ADDRESS(130,3+18*1+(0))),'J1 A - (North) Bishopthorpe Roa'!$A$12:$A$130,"&gt;="&amp;Diagram!$O72,'J1 A - (North) Bishopthorpe Roa'!$A$12:$A$130,"&lt;"&amp;Diagram!$P72),SUMIFS(INDIRECT(ADDRESS(12,3+18*1+(8),,,"J1 A - (North) Bishopthorpe Roa")&amp;":"&amp;ADDRESS(130,3+18*1+(8))),'J1 A - (North) Bishopthorpe Roa'!$A$12:$A$130,"&gt;="&amp;Diagram!$O72,'J1 A - (North) Bishopthorpe Roa'!$A$12:$A$130,"&lt;"&amp;Diagram!$P72)))</f>
        <v>215</v>
      </c>
      <c r="V72" s="42">
        <f ca="1">IF(OR($I$10="",$O72="",$P72="",$J$35&lt;&gt;"Yes"),0,IF($K$10=0,SUMIFS(INDIRECT(ADDRESS(12,3+18*2+(0),,,"J1 A - (North) Bishopthorpe Roa")&amp;":"&amp;ADDRESS(130,3+18*2+(0))),'J1 A - (North) Bishopthorpe Roa'!$A$12:$A$130,"&gt;="&amp;Diagram!$O72,'J1 A - (North) Bishopthorpe Roa'!$A$12:$A$130,"&lt;"&amp;Diagram!$P72),SUMIFS(INDIRECT(ADDRESS(12,3+18*2+(8),,,"J1 A - (North) Bishopthorpe Roa")&amp;":"&amp;ADDRESS(130,3+18*2+(8))),'J1 A - (North) Bishopthorpe Roa'!$A$12:$A$130,"&gt;="&amp;Diagram!$O72,'J1 A - (North) Bishopthorpe Roa'!$A$12:$A$130,"&lt;"&amp;Diagram!$P72)))</f>
        <v>36</v>
      </c>
      <c r="W72" s="42">
        <f ca="1">IF(OR($I$10="",$O72="",$P72="",$J$35&lt;&gt;"Yes"),0,IF($K$10=0,SUMIFS(INDIRECT(ADDRESS(12,3+18*2+(0),,,"J1 B - Butcher Terrace")&amp;":"&amp;ADDRESS(130,3+18*2+(0))),'J1 B - Butcher Terrace'!$A$12:$A$130,"&gt;="&amp;Diagram!$O72,'J1 B - Butcher Terrace'!$A$12:$A$130,"&lt;"&amp;Diagram!$P72),SUMIFS(INDIRECT(ADDRESS(12,3+18*2+(8),,,"J1 B - Butcher Terrace")&amp;":"&amp;ADDRESS(130,3+18*2+(8))),'J1 B - Butcher Terrace'!$A$12:$A$130,"&gt;="&amp;Diagram!$O72,'J1 B - Butcher Terrace'!$A$12:$A$130,"&lt;"&amp;Diagram!$P72)))</f>
        <v>16</v>
      </c>
      <c r="X72" s="42">
        <f ca="1">IF(OR($I$10="",$O72="",$P72="",$J$35&lt;&gt;"Yes"),0,IF($K$10=0,SUMIFS(INDIRECT(ADDRESS(12,3+18*3+(0),,,"J1 B - Butcher Terrace")&amp;":"&amp;ADDRESS(130,3+18*3+(0))),'J1 B - Butcher Terrace'!$A$12:$A$130,"&gt;="&amp;Diagram!$O72,'J1 B - Butcher Terrace'!$A$12:$A$130,"&lt;"&amp;Diagram!$P72),SUMIFS(INDIRECT(ADDRESS(12,3+18*3+(8),,,"J1 B - Butcher Terrace")&amp;":"&amp;ADDRESS(130,3+18*3+(8))),'J1 B - Butcher Terrace'!$A$12:$A$130,"&gt;="&amp;Diagram!$O72,'J1 B - Butcher Terrace'!$A$12:$A$130,"&lt;"&amp;Diagram!$P72)))</f>
        <v>0</v>
      </c>
      <c r="Y72" s="42">
        <f ca="1">IF(OR($I$10="",$O72="",$P72="",$J$35&lt;&gt;"Yes"),0,IF($K$10=0,SUMIFS(INDIRECT(ADDRESS(12,3+18*0+(0),,,"J1 B - Butcher Terrace")&amp;":"&amp;ADDRESS(130,3+18*0+(0))),'J1 B - Butcher Terrace'!$A$12:$A$130,"&gt;="&amp;Diagram!$O72,'J1 B - Butcher Terrace'!$A$12:$A$130,"&lt;"&amp;Diagram!$P72),SUMIFS(INDIRECT(ADDRESS(12,3+18*0+(8),,,"J1 B - Butcher Terrace")&amp;":"&amp;ADDRESS(130,3+18*0+(8))),'J1 B - Butcher Terrace'!$A$12:$A$130,"&gt;="&amp;Diagram!$O72,'J1 B - Butcher Terrace'!$A$12:$A$130,"&lt;"&amp;Diagram!$P72)))</f>
        <v>5</v>
      </c>
      <c r="Z72" s="42">
        <f ca="1">IF(OR($I$10="",$O72="",$P72="",$J$35&lt;&gt;"Yes"),0,IF($K$10=0,SUMIFS(INDIRECT(ADDRESS(12,3+18*1+(0),,,"J1 B - Butcher Terrace")&amp;":"&amp;ADDRESS(130,3+18*1+(0))),'J1 B - Butcher Terrace'!$A$12:$A$130,"&gt;="&amp;Diagram!$O72,'J1 B - Butcher Terrace'!$A$12:$A$130,"&lt;"&amp;Diagram!$P72),SUMIFS(INDIRECT(ADDRESS(12,3+18*1+(8),,,"J1 B - Butcher Terrace")&amp;":"&amp;ADDRESS(130,3+18*1+(8))),'J1 B - Butcher Terrace'!$A$12:$A$130,"&gt;="&amp;Diagram!$O72,'J1 B - Butcher Terrace'!$A$12:$A$130,"&lt;"&amp;Diagram!$P72)))</f>
        <v>1</v>
      </c>
      <c r="AA72" s="42">
        <f ca="1">IF(OR($I$10="",$O72="",$P72="",$J$35&lt;&gt;"Yes"),0,IF($K$10=0,SUMIFS(INDIRECT(ADDRESS(12,3+18*1+(0),,,"J1 C - (South) Bishopthorpe Roa")&amp;":"&amp;ADDRESS(130,3+18*1+(0))),'J1 C - (South) Bishopthorpe Roa'!$A$12:$A$130,"&gt;="&amp;Diagram!$O72,'J1 C - (South) Bishopthorpe Roa'!$A$12:$A$130,"&lt;"&amp;Diagram!$P72),SUMIFS(INDIRECT(ADDRESS(12,3+18*1+(8),,,"J1 C - (South) Bishopthorpe Roa")&amp;":"&amp;ADDRESS(130,3+18*1+(8))),'J1 C - (South) Bishopthorpe Roa'!$A$12:$A$130,"&gt;="&amp;Diagram!$O72,'J1 C - (South) Bishopthorpe Roa'!$A$12:$A$130,"&lt;"&amp;Diagram!$P72)))</f>
        <v>181</v>
      </c>
      <c r="AB72" s="42">
        <f ca="1">IF(OR($I$10="",$O72="",$P72="",$J$35&lt;&gt;"Yes"),0,IF($K$10=0,SUMIFS(INDIRECT(ADDRESS(12,3+18*2+(0),,,"J1 C - (South) Bishopthorpe Roa")&amp;":"&amp;ADDRESS(130,3+18*2+(0))),'J1 C - (South) Bishopthorpe Roa'!$A$12:$A$130,"&gt;="&amp;Diagram!$O72,'J1 C - (South) Bishopthorpe Roa'!$A$12:$A$130,"&lt;"&amp;Diagram!$P72),SUMIFS(INDIRECT(ADDRESS(12,3+18*2+(8),,,"J1 C - (South) Bishopthorpe Roa")&amp;":"&amp;ADDRESS(130,3+18*2+(8))),'J1 C - (South) Bishopthorpe Roa'!$A$12:$A$130,"&gt;="&amp;Diagram!$O72,'J1 C - (South) Bishopthorpe Roa'!$A$12:$A$130,"&lt;"&amp;Diagram!$P72)))</f>
        <v>14</v>
      </c>
      <c r="AC72" s="42">
        <f ca="1">IF(OR($I$10="",$O72="",$P72="",$J$35&lt;&gt;"Yes"),0,IF($K$10=0,SUMIFS(INDIRECT(ADDRESS(12,3+18*3+(0),,,"J1 C - (South) Bishopthorpe Roa")&amp;":"&amp;ADDRESS(130,3+18*3+(0))),'J1 C - (South) Bishopthorpe Roa'!$A$12:$A$130,"&gt;="&amp;Diagram!$O72,'J1 C - (South) Bishopthorpe Roa'!$A$12:$A$130,"&lt;"&amp;Diagram!$P72),SUMIFS(INDIRECT(ADDRESS(12,3+18*3+(8),,,"J1 C - (South) Bishopthorpe Roa")&amp;":"&amp;ADDRESS(130,3+18*3+(8))),'J1 C - (South) Bishopthorpe Roa'!$A$12:$A$130,"&gt;="&amp;Diagram!$O72,'J1 C - (South) Bishopthorpe Roa'!$A$12:$A$130,"&lt;"&amp;Diagram!$P72)))</f>
        <v>0</v>
      </c>
      <c r="AD72" s="42">
        <f ca="1">IF(OR($I$10="",$O72="",$P72="",$J$35&lt;&gt;"Yes"),0,IF($K$10=0,SUMIFS(INDIRECT(ADDRESS(12,3+18*0+(0),,,"J1 C - (South) Bishopthorpe Roa")&amp;":"&amp;ADDRESS(130,3+18*0+(0))),'J1 C - (South) Bishopthorpe Roa'!$A$12:$A$130,"&gt;="&amp;Diagram!$O72,'J1 C - (South) Bishopthorpe Roa'!$A$12:$A$130,"&lt;"&amp;Diagram!$P72),SUMIFS(INDIRECT(ADDRESS(12,3+18*0+(8),,,"J1 C - (South) Bishopthorpe Roa")&amp;":"&amp;ADDRESS(130,3+18*0+(8))),'J1 C - (South) Bishopthorpe Roa'!$A$12:$A$130,"&gt;="&amp;Diagram!$O72,'J1 C - (South) Bishopthorpe Roa'!$A$12:$A$130,"&lt;"&amp;Diagram!$P72)))</f>
        <v>7</v>
      </c>
      <c r="AE72" s="42">
        <f ca="1">IF(OR($I$10="",$O72="",$P72="",$J$35&lt;&gt;"Yes"),0,IF($K$10=0,SUMIFS(INDIRECT(ADDRESS(12,3+18*0+(0),,,"J1 D - South Bank Avenue")&amp;":"&amp;ADDRESS(130,3+18*0+(0))),'J1 D - South Bank Avenue'!$A$12:$A$130,"&gt;="&amp;Diagram!$O72,'J1 D - South Bank Avenue'!$A$12:$A$130,"&lt;"&amp;Diagram!$P72),SUMIFS(INDIRECT(ADDRESS(12,3+18*0+(8),,,"J1 D - South Bank Avenue")&amp;":"&amp;ADDRESS(130,3+18*0+(8))),'J1 D - South Bank Avenue'!$A$12:$A$130,"&gt;="&amp;Diagram!$O72,'J1 D - South Bank Avenue'!$A$12:$A$130,"&lt;"&amp;Diagram!$P72)))</f>
        <v>24</v>
      </c>
      <c r="AF72" s="42">
        <f ca="1">IF(OR($I$10="",$O72="",$P72="",$J$35&lt;&gt;"Yes"),0,IF($K$10=0,SUMIFS(INDIRECT(ADDRESS(12,3+18*1+(0),,,"J1 D - South Bank Avenue")&amp;":"&amp;ADDRESS(130,3+18*1+(0))),'J1 D - South Bank Avenue'!$A$12:$A$130,"&gt;="&amp;Diagram!$O72,'J1 D - South Bank Avenue'!$A$12:$A$130,"&lt;"&amp;Diagram!$P72),SUMIFS(INDIRECT(ADDRESS(12,3+18*1+(8),,,"J1 D - South Bank Avenue")&amp;":"&amp;ADDRESS(130,3+18*1+(8))),'J1 D - South Bank Avenue'!$A$12:$A$130,"&gt;="&amp;Diagram!$O72,'J1 D - South Bank Avenue'!$A$12:$A$130,"&lt;"&amp;Diagram!$P72)))</f>
        <v>3</v>
      </c>
      <c r="AG72" s="42">
        <f ca="1">IF(OR($I$10="",$O72="",$P72="",$J$35&lt;&gt;"Yes"),0,IF($K$10=0,SUMIFS(INDIRECT(ADDRESS(12,3+18*2+(0),,,"J1 D - South Bank Avenue")&amp;":"&amp;ADDRESS(130,3+18*2+(0))),'J1 D - South Bank Avenue'!$A$12:$A$130,"&gt;="&amp;Diagram!$O72,'J1 D - South Bank Avenue'!$A$12:$A$130,"&lt;"&amp;Diagram!$P72),SUMIFS(INDIRECT(ADDRESS(12,3+18*2+(8),,,"J1 D - South Bank Avenue")&amp;":"&amp;ADDRESS(130,3+18*2+(8))),'J1 D - South Bank Avenue'!$A$12:$A$130,"&gt;="&amp;Diagram!$O72,'J1 D - South Bank Avenue'!$A$12:$A$130,"&lt;"&amp;Diagram!$P72)))</f>
        <v>6</v>
      </c>
      <c r="AH72" s="42">
        <f ca="1">IF(OR($I$10="",$O72="",$P72="",$J$35&lt;&gt;"Yes"),0,IF($K$10=0,SUMIFS(INDIRECT(ADDRESS(12,3+18*3+(0),,,"J1 D - South Bank Avenue")&amp;":"&amp;ADDRESS(130,3+18*3+(0))),'J1 D - South Bank Avenue'!$A$12:$A$130,"&gt;="&amp;Diagram!$O72,'J1 D - South Bank Avenue'!$A$12:$A$130,"&lt;"&amp;Diagram!$P72),SUMIFS(INDIRECT(ADDRESS(12,3+18*3+(8),,,"J1 D - South Bank Avenue")&amp;":"&amp;ADDRESS(130,3+18*3+(8))),'J1 D - South Bank Avenue'!$A$12:$A$130,"&gt;="&amp;Diagram!$O72,'J1 D - South Bank Avenue'!$A$12:$A$130,"&lt;"&amp;Diagram!$P72)))</f>
        <v>0</v>
      </c>
      <c r="AI72" s="42">
        <f t="shared" ca="1" si="12"/>
        <v>25</v>
      </c>
      <c r="AJ72" s="42">
        <f ca="1">IF(OR($I$10="",$O72="",$P72="",$J$36&lt;&gt;"Yes"),0,IF($K$10=0,SUMIFS(INDIRECT(ADDRESS(12,3+18*3+(1),,,"J1 A - (North) Bishopthorpe Roa")&amp;":"&amp;ADDRESS(130,3+18*3+(1))),'J1 A - (North) Bishopthorpe Roa'!$A$12:$A$130,"&gt;="&amp;Diagram!$O72,'J1 A - (North) Bishopthorpe Roa'!$A$12:$A$130,"&lt;"&amp;Diagram!$P72),SUMIFS(INDIRECT(ADDRESS(12,3+18*3+(9),,,"J1 A - (North) Bishopthorpe Roa")&amp;":"&amp;ADDRESS(130,3+18*3+(9))),'J1 A - (North) Bishopthorpe Roa'!$A$12:$A$130,"&gt;="&amp;Diagram!$O72,'J1 A - (North) Bishopthorpe Roa'!$A$12:$A$130,"&lt;"&amp;Diagram!$P72)))</f>
        <v>0</v>
      </c>
      <c r="AK72" s="42">
        <f ca="1">IF(OR($I$10="",$O72="",$P72="",$J$36&lt;&gt;"Yes"),0,IF($K$10=0,SUMIFS(INDIRECT(ADDRESS(12,3+18*0+(1),,,"J1 A - (North) Bishopthorpe Roa")&amp;":"&amp;ADDRESS(130,3+18*0+(1))),'J1 A - (North) Bishopthorpe Roa'!$A$12:$A$130,"&gt;="&amp;Diagram!$O72,'J1 A - (North) Bishopthorpe Roa'!$A$12:$A$130,"&lt;"&amp;Diagram!$P72),SUMIFS(INDIRECT(ADDRESS(12,3+18*0+(9),,,"J1 A - (North) Bishopthorpe Roa")&amp;":"&amp;ADDRESS(130,3+18*0+(9))),'J1 A - (North) Bishopthorpe Roa'!$A$12:$A$130,"&gt;="&amp;Diagram!$O72,'J1 A - (North) Bishopthorpe Roa'!$A$12:$A$130,"&lt;"&amp;Diagram!$P72)))</f>
        <v>3</v>
      </c>
      <c r="AL72" s="42">
        <f ca="1">IF(OR($I$10="",$O72="",$P72="",$J$36&lt;&gt;"Yes"),0,IF($K$10=0,SUMIFS(INDIRECT(ADDRESS(12,3+18*1+(1),,,"J1 A - (North) Bishopthorpe Roa")&amp;":"&amp;ADDRESS(130,3+18*1+(1))),'J1 A - (North) Bishopthorpe Roa'!$A$12:$A$130,"&gt;="&amp;Diagram!$O72,'J1 A - (North) Bishopthorpe Roa'!$A$12:$A$130,"&lt;"&amp;Diagram!$P72),SUMIFS(INDIRECT(ADDRESS(12,3+18*1+(9),,,"J1 A - (North) Bishopthorpe Roa")&amp;":"&amp;ADDRESS(130,3+18*1+(9))),'J1 A - (North) Bishopthorpe Roa'!$A$12:$A$130,"&gt;="&amp;Diagram!$O72,'J1 A - (North) Bishopthorpe Roa'!$A$12:$A$130,"&lt;"&amp;Diagram!$P72)))</f>
        <v>10</v>
      </c>
      <c r="AM72" s="42">
        <f ca="1">IF(OR($I$10="",$O72="",$P72="",$J$36&lt;&gt;"Yes"),0,IF($K$10=0,SUMIFS(INDIRECT(ADDRESS(12,3+18*2+(1),,,"J1 A - (North) Bishopthorpe Roa")&amp;":"&amp;ADDRESS(130,3+18*2+(1))),'J1 A - (North) Bishopthorpe Roa'!$A$12:$A$130,"&gt;="&amp;Diagram!$O72,'J1 A - (North) Bishopthorpe Roa'!$A$12:$A$130,"&lt;"&amp;Diagram!$P72),SUMIFS(INDIRECT(ADDRESS(12,3+18*2+(9),,,"J1 A - (North) Bishopthorpe Roa")&amp;":"&amp;ADDRESS(130,3+18*2+(9))),'J1 A - (North) Bishopthorpe Roa'!$A$12:$A$130,"&gt;="&amp;Diagram!$O72,'J1 A - (North) Bishopthorpe Roa'!$A$12:$A$130,"&lt;"&amp;Diagram!$P72)))</f>
        <v>3</v>
      </c>
      <c r="AN72" s="42">
        <f ca="1">IF(OR($I$10="",$O72="",$P72="",$J$36&lt;&gt;"Yes"),0,IF($K$10=0,SUMIFS(INDIRECT(ADDRESS(12,3+18*2+(1),,,"J1 B - Butcher Terrace")&amp;":"&amp;ADDRESS(130,3+18*2+(1))),'J1 B - Butcher Terrace'!$A$12:$A$130,"&gt;="&amp;Diagram!$O72,'J1 B - Butcher Terrace'!$A$12:$A$130,"&lt;"&amp;Diagram!$P72),SUMIFS(INDIRECT(ADDRESS(12,3+18*2+(9),,,"J1 B - Butcher Terrace")&amp;":"&amp;ADDRESS(130,3+18*2+(9))),'J1 B - Butcher Terrace'!$A$12:$A$130,"&gt;="&amp;Diagram!$O72,'J1 B - Butcher Terrace'!$A$12:$A$130,"&lt;"&amp;Diagram!$P72)))</f>
        <v>0</v>
      </c>
      <c r="AO72" s="42">
        <f ca="1">IF(OR($I$10="",$O72="",$P72="",$J$36&lt;&gt;"Yes"),0,IF($K$10=0,SUMIFS(INDIRECT(ADDRESS(12,3+18*3+(1),,,"J1 B - Butcher Terrace")&amp;":"&amp;ADDRESS(130,3+18*3+(1))),'J1 B - Butcher Terrace'!$A$12:$A$130,"&gt;="&amp;Diagram!$O72,'J1 B - Butcher Terrace'!$A$12:$A$130,"&lt;"&amp;Diagram!$P72),SUMIFS(INDIRECT(ADDRESS(12,3+18*3+(9),,,"J1 B - Butcher Terrace")&amp;":"&amp;ADDRESS(130,3+18*3+(9))),'J1 B - Butcher Terrace'!$A$12:$A$130,"&gt;="&amp;Diagram!$O72,'J1 B - Butcher Terrace'!$A$12:$A$130,"&lt;"&amp;Diagram!$P72)))</f>
        <v>0</v>
      </c>
      <c r="AP72" s="42">
        <f ca="1">IF(OR($I$10="",$O72="",$P72="",$J$36&lt;&gt;"Yes"),0,IF($K$10=0,SUMIFS(INDIRECT(ADDRESS(12,3+18*0+(1),,,"J1 B - Butcher Terrace")&amp;":"&amp;ADDRESS(130,3+18*0+(1))),'J1 B - Butcher Terrace'!$A$12:$A$130,"&gt;="&amp;Diagram!$O72,'J1 B - Butcher Terrace'!$A$12:$A$130,"&lt;"&amp;Diagram!$P72),SUMIFS(INDIRECT(ADDRESS(12,3+18*0+(9),,,"J1 B - Butcher Terrace")&amp;":"&amp;ADDRESS(130,3+18*0+(9))),'J1 B - Butcher Terrace'!$A$12:$A$130,"&gt;="&amp;Diagram!$O72,'J1 B - Butcher Terrace'!$A$12:$A$130,"&lt;"&amp;Diagram!$P72)))</f>
        <v>1</v>
      </c>
      <c r="AQ72" s="42">
        <f ca="1">IF(OR($I$10="",$O72="",$P72="",$J$36&lt;&gt;"Yes"),0,IF($K$10=0,SUMIFS(INDIRECT(ADDRESS(12,3+18*1+(1),,,"J1 B - Butcher Terrace")&amp;":"&amp;ADDRESS(130,3+18*1+(1))),'J1 B - Butcher Terrace'!$A$12:$A$130,"&gt;="&amp;Diagram!$O72,'J1 B - Butcher Terrace'!$A$12:$A$130,"&lt;"&amp;Diagram!$P72),SUMIFS(INDIRECT(ADDRESS(12,3+18*1+(9),,,"J1 B - Butcher Terrace")&amp;":"&amp;ADDRESS(130,3+18*1+(9))),'J1 B - Butcher Terrace'!$A$12:$A$130,"&gt;="&amp;Diagram!$O72,'J1 B - Butcher Terrace'!$A$12:$A$130,"&lt;"&amp;Diagram!$P72)))</f>
        <v>0</v>
      </c>
      <c r="AR72" s="42">
        <f ca="1">IF(OR($I$10="",$O72="",$P72="",$J$36&lt;&gt;"Yes"),0,IF($K$10=0,SUMIFS(INDIRECT(ADDRESS(12,3+18*1+(1),,,"J1 C - (South) Bishopthorpe Roa")&amp;":"&amp;ADDRESS(130,3+18*1+(1))),'J1 C - (South) Bishopthorpe Roa'!$A$12:$A$130,"&gt;="&amp;Diagram!$O72,'J1 C - (South) Bishopthorpe Roa'!$A$12:$A$130,"&lt;"&amp;Diagram!$P72),SUMIFS(INDIRECT(ADDRESS(12,3+18*1+(9),,,"J1 C - (South) Bishopthorpe Roa")&amp;":"&amp;ADDRESS(130,3+18*1+(9))),'J1 C - (South) Bishopthorpe Roa'!$A$12:$A$130,"&gt;="&amp;Diagram!$O72,'J1 C - (South) Bishopthorpe Roa'!$A$12:$A$130,"&lt;"&amp;Diagram!$P72)))</f>
        <v>5</v>
      </c>
      <c r="AS72" s="42">
        <f ca="1">IF(OR($I$10="",$O72="",$P72="",$J$36&lt;&gt;"Yes"),0,IF($K$10=0,SUMIFS(INDIRECT(ADDRESS(12,3+18*2+(1),,,"J1 C - (South) Bishopthorpe Roa")&amp;":"&amp;ADDRESS(130,3+18*2+(1))),'J1 C - (South) Bishopthorpe Roa'!$A$12:$A$130,"&gt;="&amp;Diagram!$O72,'J1 C - (South) Bishopthorpe Roa'!$A$12:$A$130,"&lt;"&amp;Diagram!$P72),SUMIFS(INDIRECT(ADDRESS(12,3+18*2+(9),,,"J1 C - (South) Bishopthorpe Roa")&amp;":"&amp;ADDRESS(130,3+18*2+(9))),'J1 C - (South) Bishopthorpe Roa'!$A$12:$A$130,"&gt;="&amp;Diagram!$O72,'J1 C - (South) Bishopthorpe Roa'!$A$12:$A$130,"&lt;"&amp;Diagram!$P72)))</f>
        <v>0</v>
      </c>
      <c r="AT72" s="42">
        <f ca="1">IF(OR($I$10="",$O72="",$P72="",$J$36&lt;&gt;"Yes"),0,IF($K$10=0,SUMIFS(INDIRECT(ADDRESS(12,3+18*3+(1),,,"J1 C - (South) Bishopthorpe Roa")&amp;":"&amp;ADDRESS(130,3+18*3+(1))),'J1 C - (South) Bishopthorpe Roa'!$A$12:$A$130,"&gt;="&amp;Diagram!$O72,'J1 C - (South) Bishopthorpe Roa'!$A$12:$A$130,"&lt;"&amp;Diagram!$P72),SUMIFS(INDIRECT(ADDRESS(12,3+18*3+(9),,,"J1 C - (South) Bishopthorpe Roa")&amp;":"&amp;ADDRESS(130,3+18*3+(9))),'J1 C - (South) Bishopthorpe Roa'!$A$12:$A$130,"&gt;="&amp;Diagram!$O72,'J1 C - (South) Bishopthorpe Roa'!$A$12:$A$130,"&lt;"&amp;Diagram!$P72)))</f>
        <v>0</v>
      </c>
      <c r="AU72" s="42">
        <f ca="1">IF(OR($I$10="",$O72="",$P72="",$J$36&lt;&gt;"Yes"),0,IF($K$10=0,SUMIFS(INDIRECT(ADDRESS(12,3+18*0+(1),,,"J1 C - (South) Bishopthorpe Roa")&amp;":"&amp;ADDRESS(130,3+18*0+(1))),'J1 C - (South) Bishopthorpe Roa'!$A$12:$A$130,"&gt;="&amp;Diagram!$O72,'J1 C - (South) Bishopthorpe Roa'!$A$12:$A$130,"&lt;"&amp;Diagram!$P72),SUMIFS(INDIRECT(ADDRESS(12,3+18*0+(9),,,"J1 C - (South) Bishopthorpe Roa")&amp;":"&amp;ADDRESS(130,3+18*0+(9))),'J1 C - (South) Bishopthorpe Roa'!$A$12:$A$130,"&gt;="&amp;Diagram!$O72,'J1 C - (South) Bishopthorpe Roa'!$A$12:$A$130,"&lt;"&amp;Diagram!$P72)))</f>
        <v>0</v>
      </c>
      <c r="AV72" s="42">
        <f ca="1">IF(OR($I$10="",$O72="",$P72="",$J$36&lt;&gt;"Yes"),0,IF($K$10=0,SUMIFS(INDIRECT(ADDRESS(12,3+18*0+(1),,,"J1 D - South Bank Avenue")&amp;":"&amp;ADDRESS(130,3+18*0+(1))),'J1 D - South Bank Avenue'!$A$12:$A$130,"&gt;="&amp;Diagram!$O72,'J1 D - South Bank Avenue'!$A$12:$A$130,"&lt;"&amp;Diagram!$P72),SUMIFS(INDIRECT(ADDRESS(12,3+18*0+(9),,,"J1 D - South Bank Avenue")&amp;":"&amp;ADDRESS(130,3+18*0+(9))),'J1 D - South Bank Avenue'!$A$12:$A$130,"&gt;="&amp;Diagram!$O72,'J1 D - South Bank Avenue'!$A$12:$A$130,"&lt;"&amp;Diagram!$P72)))</f>
        <v>3</v>
      </c>
      <c r="AW72" s="42">
        <f ca="1">IF(OR($I$10="",$O72="",$P72="",$J$36&lt;&gt;"Yes"),0,IF($K$10=0,SUMIFS(INDIRECT(ADDRESS(12,3+18*1+(1),,,"J1 D - South Bank Avenue")&amp;":"&amp;ADDRESS(130,3+18*1+(1))),'J1 D - South Bank Avenue'!$A$12:$A$130,"&gt;="&amp;Diagram!$O72,'J1 D - South Bank Avenue'!$A$12:$A$130,"&lt;"&amp;Diagram!$P72),SUMIFS(INDIRECT(ADDRESS(12,3+18*1+(9),,,"J1 D - South Bank Avenue")&amp;":"&amp;ADDRESS(130,3+18*1+(9))),'J1 D - South Bank Avenue'!$A$12:$A$130,"&gt;="&amp;Diagram!$O72,'J1 D - South Bank Avenue'!$A$12:$A$130,"&lt;"&amp;Diagram!$P72)))</f>
        <v>0</v>
      </c>
      <c r="AX72" s="42">
        <f ca="1">IF(OR($I$10="",$O72="",$P72="",$J$36&lt;&gt;"Yes"),0,IF($K$10=0,SUMIFS(INDIRECT(ADDRESS(12,3+18*2+(1),,,"J1 D - South Bank Avenue")&amp;":"&amp;ADDRESS(130,3+18*2+(1))),'J1 D - South Bank Avenue'!$A$12:$A$130,"&gt;="&amp;Diagram!$O72,'J1 D - South Bank Avenue'!$A$12:$A$130,"&lt;"&amp;Diagram!$P72),SUMIFS(INDIRECT(ADDRESS(12,3+18*2+(9),,,"J1 D - South Bank Avenue")&amp;":"&amp;ADDRESS(130,3+18*2+(9))),'J1 D - South Bank Avenue'!$A$12:$A$130,"&gt;="&amp;Diagram!$O72,'J1 D - South Bank Avenue'!$A$12:$A$130,"&lt;"&amp;Diagram!$P72)))</f>
        <v>0</v>
      </c>
      <c r="AY72" s="42">
        <f ca="1">IF(OR($I$10="",$O72="",$P72="",$J$36&lt;&gt;"Yes"),0,IF($K$10=0,SUMIFS(INDIRECT(ADDRESS(12,3+18*3+(1),,,"J1 D - South Bank Avenue")&amp;":"&amp;ADDRESS(130,3+18*3+(1))),'J1 D - South Bank Avenue'!$A$12:$A$130,"&gt;="&amp;Diagram!$O72,'J1 D - South Bank Avenue'!$A$12:$A$130,"&lt;"&amp;Diagram!$P72),SUMIFS(INDIRECT(ADDRESS(12,3+18*3+(9),,,"J1 D - South Bank Avenue")&amp;":"&amp;ADDRESS(130,3+18*3+(9))),'J1 D - South Bank Avenue'!$A$12:$A$130,"&gt;="&amp;Diagram!$O72,'J1 D - South Bank Avenue'!$A$12:$A$130,"&lt;"&amp;Diagram!$P72)))</f>
        <v>0</v>
      </c>
      <c r="AZ72" s="42">
        <f t="shared" ca="1" si="13"/>
        <v>2</v>
      </c>
      <c r="BA72" s="42">
        <f ca="1">IF(OR($I$10="",$O72="",$P72="",$J$37&lt;&gt;"Yes"),0,IF($K$10=0,SUMIFS(INDIRECT(ADDRESS(12,3+18*3+(2),,,"J1 A - (North) Bishopthorpe Roa")&amp;":"&amp;ADDRESS(130,3+18*3+(2))),'J1 A - (North) Bishopthorpe Roa'!$A$12:$A$130,"&gt;="&amp;Diagram!$O72,'J1 A - (North) Bishopthorpe Roa'!$A$12:$A$130,"&lt;"&amp;Diagram!$P72),SUMIFS(INDIRECT(ADDRESS(12,3+18*3+(10),,,"J1 A - (North) Bishopthorpe Roa")&amp;":"&amp;ADDRESS(130,3+18*3+(10))),'J1 A - (North) Bishopthorpe Roa'!$A$12:$A$130,"&gt;="&amp;Diagram!$O72,'J1 A - (North) Bishopthorpe Roa'!$A$12:$A$130,"&lt;"&amp;Diagram!$P72)))</f>
        <v>0</v>
      </c>
      <c r="BB72" s="42">
        <f ca="1">IF(OR($I$10="",$O72="",$P72="",$J$37&lt;&gt;"Yes"),0,IF($K$10=0,SUMIFS(INDIRECT(ADDRESS(12,3+18*0+(2),,,"J1 A - (North) Bishopthorpe Roa")&amp;":"&amp;ADDRESS(130,3+18*0+(2))),'J1 A - (North) Bishopthorpe Roa'!$A$12:$A$130,"&gt;="&amp;Diagram!$O72,'J1 A - (North) Bishopthorpe Roa'!$A$12:$A$130,"&lt;"&amp;Diagram!$P72),SUMIFS(INDIRECT(ADDRESS(12,3+18*0+(10),,,"J1 A - (North) Bishopthorpe Roa")&amp;":"&amp;ADDRESS(130,3+18*0+(10))),'J1 A - (North) Bishopthorpe Roa'!$A$12:$A$130,"&gt;="&amp;Diagram!$O72,'J1 A - (North) Bishopthorpe Roa'!$A$12:$A$130,"&lt;"&amp;Diagram!$P72)))</f>
        <v>1</v>
      </c>
      <c r="BC72" s="42">
        <f ca="1">IF(OR($I$10="",$O72="",$P72="",$J$37&lt;&gt;"Yes"),0,IF($K$10=0,SUMIFS(INDIRECT(ADDRESS(12,3+18*1+(2),,,"J1 A - (North) Bishopthorpe Roa")&amp;":"&amp;ADDRESS(130,3+18*1+(2))),'J1 A - (North) Bishopthorpe Roa'!$A$12:$A$130,"&gt;="&amp;Diagram!$O72,'J1 A - (North) Bishopthorpe Roa'!$A$12:$A$130,"&lt;"&amp;Diagram!$P72),SUMIFS(INDIRECT(ADDRESS(12,3+18*1+(10),,,"J1 A - (North) Bishopthorpe Roa")&amp;":"&amp;ADDRESS(130,3+18*1+(10))),'J1 A - (North) Bishopthorpe Roa'!$A$12:$A$130,"&gt;="&amp;Diagram!$O72,'J1 A - (North) Bishopthorpe Roa'!$A$12:$A$130,"&lt;"&amp;Diagram!$P72)))</f>
        <v>1</v>
      </c>
      <c r="BD72" s="42">
        <f ca="1">IF(OR($I$10="",$O72="",$P72="",$J$37&lt;&gt;"Yes"),0,IF($K$10=0,SUMIFS(INDIRECT(ADDRESS(12,3+18*2+(2),,,"J1 A - (North) Bishopthorpe Roa")&amp;":"&amp;ADDRESS(130,3+18*2+(2))),'J1 A - (North) Bishopthorpe Roa'!$A$12:$A$130,"&gt;="&amp;Diagram!$O72,'J1 A - (North) Bishopthorpe Roa'!$A$12:$A$130,"&lt;"&amp;Diagram!$P72),SUMIFS(INDIRECT(ADDRESS(12,3+18*2+(10),,,"J1 A - (North) Bishopthorpe Roa")&amp;":"&amp;ADDRESS(130,3+18*2+(10))),'J1 A - (North) Bishopthorpe Roa'!$A$12:$A$130,"&gt;="&amp;Diagram!$O72,'J1 A - (North) Bishopthorpe Roa'!$A$12:$A$130,"&lt;"&amp;Diagram!$P72)))</f>
        <v>0</v>
      </c>
      <c r="BE72" s="42">
        <f ca="1">IF(OR($I$10="",$O72="",$P72="",$J$37&lt;&gt;"Yes"),0,IF($K$10=0,SUMIFS(INDIRECT(ADDRESS(12,3+18*2+(2),,,"J1 B - Butcher Terrace")&amp;":"&amp;ADDRESS(130,3+18*2+(2))),'J1 B - Butcher Terrace'!$A$12:$A$130,"&gt;="&amp;Diagram!$O72,'J1 B - Butcher Terrace'!$A$12:$A$130,"&lt;"&amp;Diagram!$P72),SUMIFS(INDIRECT(ADDRESS(12,3+18*2+(10),,,"J1 B - Butcher Terrace")&amp;":"&amp;ADDRESS(130,3+18*2+(10))),'J1 B - Butcher Terrace'!$A$12:$A$130,"&gt;="&amp;Diagram!$O72,'J1 B - Butcher Terrace'!$A$12:$A$130,"&lt;"&amp;Diagram!$P72)))</f>
        <v>0</v>
      </c>
      <c r="BF72" s="42">
        <f ca="1">IF(OR($I$10="",$O72="",$P72="",$J$37&lt;&gt;"Yes"),0,IF($K$10=0,SUMIFS(INDIRECT(ADDRESS(12,3+18*3+(2),,,"J1 B - Butcher Terrace")&amp;":"&amp;ADDRESS(130,3+18*3+(2))),'J1 B - Butcher Terrace'!$A$12:$A$130,"&gt;="&amp;Diagram!$O72,'J1 B - Butcher Terrace'!$A$12:$A$130,"&lt;"&amp;Diagram!$P72),SUMIFS(INDIRECT(ADDRESS(12,3+18*3+(10),,,"J1 B - Butcher Terrace")&amp;":"&amp;ADDRESS(130,3+18*3+(10))),'J1 B - Butcher Terrace'!$A$12:$A$130,"&gt;="&amp;Diagram!$O72,'J1 B - Butcher Terrace'!$A$12:$A$130,"&lt;"&amp;Diagram!$P72)))</f>
        <v>0</v>
      </c>
      <c r="BG72" s="42">
        <f ca="1">IF(OR($I$10="",$O72="",$P72="",$J$37&lt;&gt;"Yes"),0,IF($K$10=0,SUMIFS(INDIRECT(ADDRESS(12,3+18*0+(2),,,"J1 B - Butcher Terrace")&amp;":"&amp;ADDRESS(130,3+18*0+(2))),'J1 B - Butcher Terrace'!$A$12:$A$130,"&gt;="&amp;Diagram!$O72,'J1 B - Butcher Terrace'!$A$12:$A$130,"&lt;"&amp;Diagram!$P72),SUMIFS(INDIRECT(ADDRESS(12,3+18*0+(10),,,"J1 B - Butcher Terrace")&amp;":"&amp;ADDRESS(130,3+18*0+(10))),'J1 B - Butcher Terrace'!$A$12:$A$130,"&gt;="&amp;Diagram!$O72,'J1 B - Butcher Terrace'!$A$12:$A$130,"&lt;"&amp;Diagram!$P72)))</f>
        <v>0</v>
      </c>
      <c r="BH72" s="42">
        <f ca="1">IF(OR($I$10="",$O72="",$P72="",$J$37&lt;&gt;"Yes"),0,IF($K$10=0,SUMIFS(INDIRECT(ADDRESS(12,3+18*1+(2),,,"J1 B - Butcher Terrace")&amp;":"&amp;ADDRESS(130,3+18*1+(2))),'J1 B - Butcher Terrace'!$A$12:$A$130,"&gt;="&amp;Diagram!$O72,'J1 B - Butcher Terrace'!$A$12:$A$130,"&lt;"&amp;Diagram!$P72),SUMIFS(INDIRECT(ADDRESS(12,3+18*1+(10),,,"J1 B - Butcher Terrace")&amp;":"&amp;ADDRESS(130,3+18*1+(10))),'J1 B - Butcher Terrace'!$A$12:$A$130,"&gt;="&amp;Diagram!$O72,'J1 B - Butcher Terrace'!$A$12:$A$130,"&lt;"&amp;Diagram!$P72)))</f>
        <v>0</v>
      </c>
      <c r="BI72" s="42">
        <f ca="1">IF(OR($I$10="",$O72="",$P72="",$J$37&lt;&gt;"Yes"),0,IF($K$10=0,SUMIFS(INDIRECT(ADDRESS(12,3+18*1+(2),,,"J1 C - (South) Bishopthorpe Roa")&amp;":"&amp;ADDRESS(130,3+18*1+(2))),'J1 C - (South) Bishopthorpe Roa'!$A$12:$A$130,"&gt;="&amp;Diagram!$O72,'J1 C - (South) Bishopthorpe Roa'!$A$12:$A$130,"&lt;"&amp;Diagram!$P72),SUMIFS(INDIRECT(ADDRESS(12,3+18*1+(10),,,"J1 C - (South) Bishopthorpe Roa")&amp;":"&amp;ADDRESS(130,3+18*1+(10))),'J1 C - (South) Bishopthorpe Roa'!$A$12:$A$130,"&gt;="&amp;Diagram!$O72,'J1 C - (South) Bishopthorpe Roa'!$A$12:$A$130,"&lt;"&amp;Diagram!$P72)))</f>
        <v>0</v>
      </c>
      <c r="BJ72" s="42">
        <f ca="1">IF(OR($I$10="",$O72="",$P72="",$J$37&lt;&gt;"Yes"),0,IF($K$10=0,SUMIFS(INDIRECT(ADDRESS(12,3+18*2+(2),,,"J1 C - (South) Bishopthorpe Roa")&amp;":"&amp;ADDRESS(130,3+18*2+(2))),'J1 C - (South) Bishopthorpe Roa'!$A$12:$A$130,"&gt;="&amp;Diagram!$O72,'J1 C - (South) Bishopthorpe Roa'!$A$12:$A$130,"&lt;"&amp;Diagram!$P72),SUMIFS(INDIRECT(ADDRESS(12,3+18*2+(10),,,"J1 C - (South) Bishopthorpe Roa")&amp;":"&amp;ADDRESS(130,3+18*2+(10))),'J1 C - (South) Bishopthorpe Roa'!$A$12:$A$130,"&gt;="&amp;Diagram!$O72,'J1 C - (South) Bishopthorpe Roa'!$A$12:$A$130,"&lt;"&amp;Diagram!$P72)))</f>
        <v>0</v>
      </c>
      <c r="BK72" s="42">
        <f ca="1">IF(OR($I$10="",$O72="",$P72="",$J$37&lt;&gt;"Yes"),0,IF($K$10=0,SUMIFS(INDIRECT(ADDRESS(12,3+18*3+(2),,,"J1 C - (South) Bishopthorpe Roa")&amp;":"&amp;ADDRESS(130,3+18*3+(2))),'J1 C - (South) Bishopthorpe Roa'!$A$12:$A$130,"&gt;="&amp;Diagram!$O72,'J1 C - (South) Bishopthorpe Roa'!$A$12:$A$130,"&lt;"&amp;Diagram!$P72),SUMIFS(INDIRECT(ADDRESS(12,3+18*3+(10),,,"J1 C - (South) Bishopthorpe Roa")&amp;":"&amp;ADDRESS(130,3+18*3+(10))),'J1 C - (South) Bishopthorpe Roa'!$A$12:$A$130,"&gt;="&amp;Diagram!$O72,'J1 C - (South) Bishopthorpe Roa'!$A$12:$A$130,"&lt;"&amp;Diagram!$P72)))</f>
        <v>0</v>
      </c>
      <c r="BL72" s="42">
        <f ca="1">IF(OR($I$10="",$O72="",$P72="",$J$37&lt;&gt;"Yes"),0,IF($K$10=0,SUMIFS(INDIRECT(ADDRESS(12,3+18*0+(2),,,"J1 C - (South) Bishopthorpe Roa")&amp;":"&amp;ADDRESS(130,3+18*0+(2))),'J1 C - (South) Bishopthorpe Roa'!$A$12:$A$130,"&gt;="&amp;Diagram!$O72,'J1 C - (South) Bishopthorpe Roa'!$A$12:$A$130,"&lt;"&amp;Diagram!$P72),SUMIFS(INDIRECT(ADDRESS(12,3+18*0+(10),,,"J1 C - (South) Bishopthorpe Roa")&amp;":"&amp;ADDRESS(130,3+18*0+(10))),'J1 C - (South) Bishopthorpe Roa'!$A$12:$A$130,"&gt;="&amp;Diagram!$O72,'J1 C - (South) Bishopthorpe Roa'!$A$12:$A$130,"&lt;"&amp;Diagram!$P72)))</f>
        <v>0</v>
      </c>
      <c r="BM72" s="42">
        <f ca="1">IF(OR($I$10="",$O72="",$P72="",$J$37&lt;&gt;"Yes"),0,IF($K$10=0,SUMIFS(INDIRECT(ADDRESS(12,3+18*0+(2),,,"J1 D - South Bank Avenue")&amp;":"&amp;ADDRESS(130,3+18*0+(2))),'J1 D - South Bank Avenue'!$A$12:$A$130,"&gt;="&amp;Diagram!$O72,'J1 D - South Bank Avenue'!$A$12:$A$130,"&lt;"&amp;Diagram!$P72),SUMIFS(INDIRECT(ADDRESS(12,3+18*0+(10),,,"J1 D - South Bank Avenue")&amp;":"&amp;ADDRESS(130,3+18*0+(10))),'J1 D - South Bank Avenue'!$A$12:$A$130,"&gt;="&amp;Diagram!$O72,'J1 D - South Bank Avenue'!$A$12:$A$130,"&lt;"&amp;Diagram!$P72)))</f>
        <v>0</v>
      </c>
      <c r="BN72" s="42">
        <f ca="1">IF(OR($I$10="",$O72="",$P72="",$J$37&lt;&gt;"Yes"),0,IF($K$10=0,SUMIFS(INDIRECT(ADDRESS(12,3+18*1+(2),,,"J1 D - South Bank Avenue")&amp;":"&amp;ADDRESS(130,3+18*1+(2))),'J1 D - South Bank Avenue'!$A$12:$A$130,"&gt;="&amp;Diagram!$O72,'J1 D - South Bank Avenue'!$A$12:$A$130,"&lt;"&amp;Diagram!$P72),SUMIFS(INDIRECT(ADDRESS(12,3+18*1+(10),,,"J1 D - South Bank Avenue")&amp;":"&amp;ADDRESS(130,3+18*1+(10))),'J1 D - South Bank Avenue'!$A$12:$A$130,"&gt;="&amp;Diagram!$O72,'J1 D - South Bank Avenue'!$A$12:$A$130,"&lt;"&amp;Diagram!$P72)))</f>
        <v>0</v>
      </c>
      <c r="BO72" s="42">
        <f ca="1">IF(OR($I$10="",$O72="",$P72="",$J$37&lt;&gt;"Yes"),0,IF($K$10=0,SUMIFS(INDIRECT(ADDRESS(12,3+18*2+(2),,,"J1 D - South Bank Avenue")&amp;":"&amp;ADDRESS(130,3+18*2+(2))),'J1 D - South Bank Avenue'!$A$12:$A$130,"&gt;="&amp;Diagram!$O72,'J1 D - South Bank Avenue'!$A$12:$A$130,"&lt;"&amp;Diagram!$P72),SUMIFS(INDIRECT(ADDRESS(12,3+18*2+(10),,,"J1 D - South Bank Avenue")&amp;":"&amp;ADDRESS(130,3+18*2+(10))),'J1 D - South Bank Avenue'!$A$12:$A$130,"&gt;="&amp;Diagram!$O72,'J1 D - South Bank Avenue'!$A$12:$A$130,"&lt;"&amp;Diagram!$P72)))</f>
        <v>0</v>
      </c>
      <c r="BP72" s="42">
        <f ca="1">IF(OR($I$10="",$O72="",$P72="",$J$37&lt;&gt;"Yes"),0,IF($K$10=0,SUMIFS(INDIRECT(ADDRESS(12,3+18*3+(2),,,"J1 D - South Bank Avenue")&amp;":"&amp;ADDRESS(130,3+18*3+(2))),'J1 D - South Bank Avenue'!$A$12:$A$130,"&gt;="&amp;Diagram!$O72,'J1 D - South Bank Avenue'!$A$12:$A$130,"&lt;"&amp;Diagram!$P72),SUMIFS(INDIRECT(ADDRESS(12,3+18*3+(10),,,"J1 D - South Bank Avenue")&amp;":"&amp;ADDRESS(130,3+18*3+(10))),'J1 D - South Bank Avenue'!$A$12:$A$130,"&gt;="&amp;Diagram!$O72,'J1 D - South Bank Avenue'!$A$12:$A$130,"&lt;"&amp;Diagram!$P72)))</f>
        <v>0</v>
      </c>
      <c r="BQ72" s="42">
        <f t="shared" ca="1" si="14"/>
        <v>0</v>
      </c>
      <c r="BR72" s="42">
        <f ca="1">IF(OR($I$10="",$O72="",$P72="",$J$38&lt;&gt;"Yes"),0,IF($K$10=0,SUMIFS(INDIRECT(ADDRESS(12,3+18*3+(3),,,"J1 A - (North) Bishopthorpe Roa")&amp;":"&amp;ADDRESS(130,3+18*3+(3))),'J1 A - (North) Bishopthorpe Roa'!$A$12:$A$130,"&gt;="&amp;Diagram!$O72,'J1 A - (North) Bishopthorpe Roa'!$A$12:$A$130,"&lt;"&amp;Diagram!$P72),SUMIFS(INDIRECT(ADDRESS(12,3+18*3+(11),,,"J1 A - (North) Bishopthorpe Roa")&amp;":"&amp;ADDRESS(130,3+18*3+(11))),'J1 A - (North) Bishopthorpe Roa'!$A$12:$A$130,"&gt;="&amp;Diagram!$O72,'J1 A - (North) Bishopthorpe Roa'!$A$12:$A$130,"&lt;"&amp;Diagram!$P72)))</f>
        <v>0</v>
      </c>
      <c r="BS72" s="42">
        <f ca="1">IF(OR($I$10="",$O72="",$P72="",$J$38&lt;&gt;"Yes"),0,IF($K$10=0,SUMIFS(INDIRECT(ADDRESS(12,3+18*0+(3),,,"J1 A - (North) Bishopthorpe Roa")&amp;":"&amp;ADDRESS(130,3+18*0+(3))),'J1 A - (North) Bishopthorpe Roa'!$A$12:$A$130,"&gt;="&amp;Diagram!$O72,'J1 A - (North) Bishopthorpe Roa'!$A$12:$A$130,"&lt;"&amp;Diagram!$P72),SUMIFS(INDIRECT(ADDRESS(12,3+18*0+(11),,,"J1 A - (North) Bishopthorpe Roa")&amp;":"&amp;ADDRESS(130,3+18*0+(11))),'J1 A - (North) Bishopthorpe Roa'!$A$12:$A$130,"&gt;="&amp;Diagram!$O72,'J1 A - (North) Bishopthorpe Roa'!$A$12:$A$130,"&lt;"&amp;Diagram!$P72)))</f>
        <v>0</v>
      </c>
      <c r="BT72" s="42">
        <f ca="1">IF(OR($I$10="",$O72="",$P72="",$J$38&lt;&gt;"Yes"),0,IF($K$10=0,SUMIFS(INDIRECT(ADDRESS(12,3+18*1+(3),,,"J1 A - (North) Bishopthorpe Roa")&amp;":"&amp;ADDRESS(130,3+18*1+(3))),'J1 A - (North) Bishopthorpe Roa'!$A$12:$A$130,"&gt;="&amp;Diagram!$O72,'J1 A - (North) Bishopthorpe Roa'!$A$12:$A$130,"&lt;"&amp;Diagram!$P72),SUMIFS(INDIRECT(ADDRESS(12,3+18*1+(11),,,"J1 A - (North) Bishopthorpe Roa")&amp;":"&amp;ADDRESS(130,3+18*1+(11))),'J1 A - (North) Bishopthorpe Roa'!$A$12:$A$130,"&gt;="&amp;Diagram!$O72,'J1 A - (North) Bishopthorpe Roa'!$A$12:$A$130,"&lt;"&amp;Diagram!$P72)))</f>
        <v>0</v>
      </c>
      <c r="BU72" s="42">
        <f ca="1">IF(OR($I$10="",$O72="",$P72="",$J$38&lt;&gt;"Yes"),0,IF($K$10=0,SUMIFS(INDIRECT(ADDRESS(12,3+18*2+(3),,,"J1 A - (North) Bishopthorpe Roa")&amp;":"&amp;ADDRESS(130,3+18*2+(3))),'J1 A - (North) Bishopthorpe Roa'!$A$12:$A$130,"&gt;="&amp;Diagram!$O72,'J1 A - (North) Bishopthorpe Roa'!$A$12:$A$130,"&lt;"&amp;Diagram!$P72),SUMIFS(INDIRECT(ADDRESS(12,3+18*2+(11),,,"J1 A - (North) Bishopthorpe Roa")&amp;":"&amp;ADDRESS(130,3+18*2+(11))),'J1 A - (North) Bishopthorpe Roa'!$A$12:$A$130,"&gt;="&amp;Diagram!$O72,'J1 A - (North) Bishopthorpe Roa'!$A$12:$A$130,"&lt;"&amp;Diagram!$P72)))</f>
        <v>0</v>
      </c>
      <c r="BV72" s="42">
        <f ca="1">IF(OR($I$10="",$O72="",$P72="",$J$38&lt;&gt;"Yes"),0,IF($K$10=0,SUMIFS(INDIRECT(ADDRESS(12,3+18*2+(3),,,"J1 B - Butcher Terrace")&amp;":"&amp;ADDRESS(130,3+18*2+(3))),'J1 B - Butcher Terrace'!$A$12:$A$130,"&gt;="&amp;Diagram!$O72,'J1 B - Butcher Terrace'!$A$12:$A$130,"&lt;"&amp;Diagram!$P72),SUMIFS(INDIRECT(ADDRESS(12,3+18*2+(11),,,"J1 B - Butcher Terrace")&amp;":"&amp;ADDRESS(130,3+18*2+(11))),'J1 B - Butcher Terrace'!$A$12:$A$130,"&gt;="&amp;Diagram!$O72,'J1 B - Butcher Terrace'!$A$12:$A$130,"&lt;"&amp;Diagram!$P72)))</f>
        <v>0</v>
      </c>
      <c r="BW72" s="42">
        <f ca="1">IF(OR($I$10="",$O72="",$P72="",$J$38&lt;&gt;"Yes"),0,IF($K$10=0,SUMIFS(INDIRECT(ADDRESS(12,3+18*3+(3),,,"J1 B - Butcher Terrace")&amp;":"&amp;ADDRESS(130,3+18*3+(3))),'J1 B - Butcher Terrace'!$A$12:$A$130,"&gt;="&amp;Diagram!$O72,'J1 B - Butcher Terrace'!$A$12:$A$130,"&lt;"&amp;Diagram!$P72),SUMIFS(INDIRECT(ADDRESS(12,3+18*3+(11),,,"J1 B - Butcher Terrace")&amp;":"&amp;ADDRESS(130,3+18*3+(11))),'J1 B - Butcher Terrace'!$A$12:$A$130,"&gt;="&amp;Diagram!$O72,'J1 B - Butcher Terrace'!$A$12:$A$130,"&lt;"&amp;Diagram!$P72)))</f>
        <v>0</v>
      </c>
      <c r="BX72" s="42">
        <f ca="1">IF(OR($I$10="",$O72="",$P72="",$J$38&lt;&gt;"Yes"),0,IF($K$10=0,SUMIFS(INDIRECT(ADDRESS(12,3+18*0+(3),,,"J1 B - Butcher Terrace")&amp;":"&amp;ADDRESS(130,3+18*0+(3))),'J1 B - Butcher Terrace'!$A$12:$A$130,"&gt;="&amp;Diagram!$O72,'J1 B - Butcher Terrace'!$A$12:$A$130,"&lt;"&amp;Diagram!$P72),SUMIFS(INDIRECT(ADDRESS(12,3+18*0+(11),,,"J1 B - Butcher Terrace")&amp;":"&amp;ADDRESS(130,3+18*0+(11))),'J1 B - Butcher Terrace'!$A$12:$A$130,"&gt;="&amp;Diagram!$O72,'J1 B - Butcher Terrace'!$A$12:$A$130,"&lt;"&amp;Diagram!$P72)))</f>
        <v>0</v>
      </c>
      <c r="BY72" s="42">
        <f ca="1">IF(OR($I$10="",$O72="",$P72="",$J$38&lt;&gt;"Yes"),0,IF($K$10=0,SUMIFS(INDIRECT(ADDRESS(12,3+18*1+(3),,,"J1 B - Butcher Terrace")&amp;":"&amp;ADDRESS(130,3+18*1+(3))),'J1 B - Butcher Terrace'!$A$12:$A$130,"&gt;="&amp;Diagram!$O72,'J1 B - Butcher Terrace'!$A$12:$A$130,"&lt;"&amp;Diagram!$P72),SUMIFS(INDIRECT(ADDRESS(12,3+18*1+(11),,,"J1 B - Butcher Terrace")&amp;":"&amp;ADDRESS(130,3+18*1+(11))),'J1 B - Butcher Terrace'!$A$12:$A$130,"&gt;="&amp;Diagram!$O72,'J1 B - Butcher Terrace'!$A$12:$A$130,"&lt;"&amp;Diagram!$P72)))</f>
        <v>0</v>
      </c>
      <c r="BZ72" s="42">
        <f ca="1">IF(OR($I$10="",$O72="",$P72="",$J$38&lt;&gt;"Yes"),0,IF($K$10=0,SUMIFS(INDIRECT(ADDRESS(12,3+18*1+(3),,,"J1 C - (South) Bishopthorpe Roa")&amp;":"&amp;ADDRESS(130,3+18*1+(3))),'J1 C - (South) Bishopthorpe Roa'!$A$12:$A$130,"&gt;="&amp;Diagram!$O72,'J1 C - (South) Bishopthorpe Roa'!$A$12:$A$130,"&lt;"&amp;Diagram!$P72),SUMIFS(INDIRECT(ADDRESS(12,3+18*1+(11),,,"J1 C - (South) Bishopthorpe Roa")&amp;":"&amp;ADDRESS(130,3+18*1+(11))),'J1 C - (South) Bishopthorpe Roa'!$A$12:$A$130,"&gt;="&amp;Diagram!$O72,'J1 C - (South) Bishopthorpe Roa'!$A$12:$A$130,"&lt;"&amp;Diagram!$P72)))</f>
        <v>0</v>
      </c>
      <c r="CA72" s="42">
        <f ca="1">IF(OR($I$10="",$O72="",$P72="",$J$38&lt;&gt;"Yes"),0,IF($K$10=0,SUMIFS(INDIRECT(ADDRESS(12,3+18*2+(3),,,"J1 C - (South) Bishopthorpe Roa")&amp;":"&amp;ADDRESS(130,3+18*2+(3))),'J1 C - (South) Bishopthorpe Roa'!$A$12:$A$130,"&gt;="&amp;Diagram!$O72,'J1 C - (South) Bishopthorpe Roa'!$A$12:$A$130,"&lt;"&amp;Diagram!$P72),SUMIFS(INDIRECT(ADDRESS(12,3+18*2+(11),,,"J1 C - (South) Bishopthorpe Roa")&amp;":"&amp;ADDRESS(130,3+18*2+(11))),'J1 C - (South) Bishopthorpe Roa'!$A$12:$A$130,"&gt;="&amp;Diagram!$O72,'J1 C - (South) Bishopthorpe Roa'!$A$12:$A$130,"&lt;"&amp;Diagram!$P72)))</f>
        <v>0</v>
      </c>
      <c r="CB72" s="42">
        <f ca="1">IF(OR($I$10="",$O72="",$P72="",$J$38&lt;&gt;"Yes"),0,IF($K$10=0,SUMIFS(INDIRECT(ADDRESS(12,3+18*3+(3),,,"J1 C - (South) Bishopthorpe Roa")&amp;":"&amp;ADDRESS(130,3+18*3+(3))),'J1 C - (South) Bishopthorpe Roa'!$A$12:$A$130,"&gt;="&amp;Diagram!$O72,'J1 C - (South) Bishopthorpe Roa'!$A$12:$A$130,"&lt;"&amp;Diagram!$P72),SUMIFS(INDIRECT(ADDRESS(12,3+18*3+(11),,,"J1 C - (South) Bishopthorpe Roa")&amp;":"&amp;ADDRESS(130,3+18*3+(11))),'J1 C - (South) Bishopthorpe Roa'!$A$12:$A$130,"&gt;="&amp;Diagram!$O72,'J1 C - (South) Bishopthorpe Roa'!$A$12:$A$130,"&lt;"&amp;Diagram!$P72)))</f>
        <v>0</v>
      </c>
      <c r="CC72" s="42">
        <f ca="1">IF(OR($I$10="",$O72="",$P72="",$J$38&lt;&gt;"Yes"),0,IF($K$10=0,SUMIFS(INDIRECT(ADDRESS(12,3+18*0+(3),,,"J1 C - (South) Bishopthorpe Roa")&amp;":"&amp;ADDRESS(130,3+18*0+(3))),'J1 C - (South) Bishopthorpe Roa'!$A$12:$A$130,"&gt;="&amp;Diagram!$O72,'J1 C - (South) Bishopthorpe Roa'!$A$12:$A$130,"&lt;"&amp;Diagram!$P72),SUMIFS(INDIRECT(ADDRESS(12,3+18*0+(11),,,"J1 C - (South) Bishopthorpe Roa")&amp;":"&amp;ADDRESS(130,3+18*0+(11))),'J1 C - (South) Bishopthorpe Roa'!$A$12:$A$130,"&gt;="&amp;Diagram!$O72,'J1 C - (South) Bishopthorpe Roa'!$A$12:$A$130,"&lt;"&amp;Diagram!$P72)))</f>
        <v>0</v>
      </c>
      <c r="CD72" s="42">
        <f ca="1">IF(OR($I$10="",$O72="",$P72="",$J$38&lt;&gt;"Yes"),0,IF($K$10=0,SUMIFS(INDIRECT(ADDRESS(12,3+18*0+(3),,,"J1 D - South Bank Avenue")&amp;":"&amp;ADDRESS(130,3+18*0+(3))),'J1 D - South Bank Avenue'!$A$12:$A$130,"&gt;="&amp;Diagram!$O72,'J1 D - South Bank Avenue'!$A$12:$A$130,"&lt;"&amp;Diagram!$P72),SUMIFS(INDIRECT(ADDRESS(12,3+18*0+(11),,,"J1 D - South Bank Avenue")&amp;":"&amp;ADDRESS(130,3+18*0+(11))),'J1 D - South Bank Avenue'!$A$12:$A$130,"&gt;="&amp;Diagram!$O72,'J1 D - South Bank Avenue'!$A$12:$A$130,"&lt;"&amp;Diagram!$P72)))</f>
        <v>0</v>
      </c>
      <c r="CE72" s="42">
        <f ca="1">IF(OR($I$10="",$O72="",$P72="",$J$38&lt;&gt;"Yes"),0,IF($K$10=0,SUMIFS(INDIRECT(ADDRESS(12,3+18*1+(3),,,"J1 D - South Bank Avenue")&amp;":"&amp;ADDRESS(130,3+18*1+(3))),'J1 D - South Bank Avenue'!$A$12:$A$130,"&gt;="&amp;Diagram!$O72,'J1 D - South Bank Avenue'!$A$12:$A$130,"&lt;"&amp;Diagram!$P72),SUMIFS(INDIRECT(ADDRESS(12,3+18*1+(11),,,"J1 D - South Bank Avenue")&amp;":"&amp;ADDRESS(130,3+18*1+(11))),'J1 D - South Bank Avenue'!$A$12:$A$130,"&gt;="&amp;Diagram!$O72,'J1 D - South Bank Avenue'!$A$12:$A$130,"&lt;"&amp;Diagram!$P72)))</f>
        <v>0</v>
      </c>
      <c r="CF72" s="42">
        <f ca="1">IF(OR($I$10="",$O72="",$P72="",$J$38&lt;&gt;"Yes"),0,IF($K$10=0,SUMIFS(INDIRECT(ADDRESS(12,3+18*2+(3),,,"J1 D - South Bank Avenue")&amp;":"&amp;ADDRESS(130,3+18*2+(3))),'J1 D - South Bank Avenue'!$A$12:$A$130,"&gt;="&amp;Diagram!$O72,'J1 D - South Bank Avenue'!$A$12:$A$130,"&lt;"&amp;Diagram!$P72),SUMIFS(INDIRECT(ADDRESS(12,3+18*2+(11),,,"J1 D - South Bank Avenue")&amp;":"&amp;ADDRESS(130,3+18*2+(11))),'J1 D - South Bank Avenue'!$A$12:$A$130,"&gt;="&amp;Diagram!$O72,'J1 D - South Bank Avenue'!$A$12:$A$130,"&lt;"&amp;Diagram!$P72)))</f>
        <v>0</v>
      </c>
      <c r="CG72" s="42">
        <f ca="1">IF(OR($I$10="",$O72="",$P72="",$J$38&lt;&gt;"Yes"),0,IF($K$10=0,SUMIFS(INDIRECT(ADDRESS(12,3+18*3+(3),,,"J1 D - South Bank Avenue")&amp;":"&amp;ADDRESS(130,3+18*3+(3))),'J1 D - South Bank Avenue'!$A$12:$A$130,"&gt;="&amp;Diagram!$O72,'J1 D - South Bank Avenue'!$A$12:$A$130,"&lt;"&amp;Diagram!$P72),SUMIFS(INDIRECT(ADDRESS(12,3+18*3+(11),,,"J1 D - South Bank Avenue")&amp;":"&amp;ADDRESS(130,3+18*3+(11))),'J1 D - South Bank Avenue'!$A$12:$A$130,"&gt;="&amp;Diagram!$O72,'J1 D - South Bank Avenue'!$A$12:$A$130,"&lt;"&amp;Diagram!$P72)))</f>
        <v>0</v>
      </c>
      <c r="CH72" s="42">
        <f t="shared" ca="1" si="15"/>
        <v>7</v>
      </c>
      <c r="CI72" s="42">
        <f ca="1">IF(OR($I$10="",$O72="",$P72="",$J$39&lt;&gt;"Yes"),0,IF($K$10=0,SUMIFS(INDIRECT(ADDRESS(12,3+18*3+(4),,,"J1 A - (North) Bishopthorpe Roa")&amp;":"&amp;ADDRESS(130,3+18*3+(4))),'J1 A - (North) Bishopthorpe Roa'!$A$12:$A$130,"&gt;="&amp;Diagram!$O72,'J1 A - (North) Bishopthorpe Roa'!$A$12:$A$130,"&lt;"&amp;Diagram!$P72),SUMIFS(INDIRECT(ADDRESS(12,3+18*3+(12),,,"J1 A - (North) Bishopthorpe Roa")&amp;":"&amp;ADDRESS(130,3+18*3+(12))),'J1 A - (North) Bishopthorpe Roa'!$A$12:$A$130,"&gt;="&amp;Diagram!$O72,'J1 A - (North) Bishopthorpe Roa'!$A$12:$A$130,"&lt;"&amp;Diagram!$P72)))</f>
        <v>0</v>
      </c>
      <c r="CJ72" s="42">
        <f ca="1">IF(OR($I$10="",$O72="",$P72="",$J$39&lt;&gt;"Yes"),0,IF($K$10=0,SUMIFS(INDIRECT(ADDRESS(12,3+18*0+(4),,,"J1 A - (North) Bishopthorpe Roa")&amp;":"&amp;ADDRESS(130,3+18*0+(4))),'J1 A - (North) Bishopthorpe Roa'!$A$12:$A$130,"&gt;="&amp;Diagram!$O72,'J1 A - (North) Bishopthorpe Roa'!$A$12:$A$130,"&lt;"&amp;Diagram!$P72),SUMIFS(INDIRECT(ADDRESS(12,3+18*0+(12),,,"J1 A - (North) Bishopthorpe Roa")&amp;":"&amp;ADDRESS(130,3+18*0+(12))),'J1 A - (North) Bishopthorpe Roa'!$A$12:$A$130,"&gt;="&amp;Diagram!$O72,'J1 A - (North) Bishopthorpe Roa'!$A$12:$A$130,"&lt;"&amp;Diagram!$P72)))</f>
        <v>0</v>
      </c>
      <c r="CK72" s="42">
        <f ca="1">IF(OR($I$10="",$O72="",$P72="",$J$39&lt;&gt;"Yes"),0,IF($K$10=0,SUMIFS(INDIRECT(ADDRESS(12,3+18*1+(4),,,"J1 A - (North) Bishopthorpe Roa")&amp;":"&amp;ADDRESS(130,3+18*1+(4))),'J1 A - (North) Bishopthorpe Roa'!$A$12:$A$130,"&gt;="&amp;Diagram!$O72,'J1 A - (North) Bishopthorpe Roa'!$A$12:$A$130,"&lt;"&amp;Diagram!$P72),SUMIFS(INDIRECT(ADDRESS(12,3+18*1+(12),,,"J1 A - (North) Bishopthorpe Roa")&amp;":"&amp;ADDRESS(130,3+18*1+(12))),'J1 A - (North) Bishopthorpe Roa'!$A$12:$A$130,"&gt;="&amp;Diagram!$O72,'J1 A - (North) Bishopthorpe Roa'!$A$12:$A$130,"&lt;"&amp;Diagram!$P72)))</f>
        <v>4</v>
      </c>
      <c r="CL72" s="42">
        <f ca="1">IF(OR($I$10="",$O72="",$P72="",$J$39&lt;&gt;"Yes"),0,IF($K$10=0,SUMIFS(INDIRECT(ADDRESS(12,3+18*2+(4),,,"J1 A - (North) Bishopthorpe Roa")&amp;":"&amp;ADDRESS(130,3+18*2+(4))),'J1 A - (North) Bishopthorpe Roa'!$A$12:$A$130,"&gt;="&amp;Diagram!$O72,'J1 A - (North) Bishopthorpe Roa'!$A$12:$A$130,"&lt;"&amp;Diagram!$P72),SUMIFS(INDIRECT(ADDRESS(12,3+18*2+(12),,,"J1 A - (North) Bishopthorpe Roa")&amp;":"&amp;ADDRESS(130,3+18*2+(12))),'J1 A - (North) Bishopthorpe Roa'!$A$12:$A$130,"&gt;="&amp;Diagram!$O72,'J1 A - (North) Bishopthorpe Roa'!$A$12:$A$130,"&lt;"&amp;Diagram!$P72)))</f>
        <v>0</v>
      </c>
      <c r="CM72" s="42">
        <f ca="1">IF(OR($I$10="",$O72="",$P72="",$J$39&lt;&gt;"Yes"),0,IF($K$10=0,SUMIFS(INDIRECT(ADDRESS(12,3+18*2+(4),,,"J1 B - Butcher Terrace")&amp;":"&amp;ADDRESS(130,3+18*2+(4))),'J1 B - Butcher Terrace'!$A$12:$A$130,"&gt;="&amp;Diagram!$O72,'J1 B - Butcher Terrace'!$A$12:$A$130,"&lt;"&amp;Diagram!$P72),SUMIFS(INDIRECT(ADDRESS(12,3+18*2+(12),,,"J1 B - Butcher Terrace")&amp;":"&amp;ADDRESS(130,3+18*2+(12))),'J1 B - Butcher Terrace'!$A$12:$A$130,"&gt;="&amp;Diagram!$O72,'J1 B - Butcher Terrace'!$A$12:$A$130,"&lt;"&amp;Diagram!$P72)))</f>
        <v>0</v>
      </c>
      <c r="CN72" s="42">
        <f ca="1">IF(OR($I$10="",$O72="",$P72="",$J$39&lt;&gt;"Yes"),0,IF($K$10=0,SUMIFS(INDIRECT(ADDRESS(12,3+18*3+(4),,,"J1 B - Butcher Terrace")&amp;":"&amp;ADDRESS(130,3+18*3+(4))),'J1 B - Butcher Terrace'!$A$12:$A$130,"&gt;="&amp;Diagram!$O72,'J1 B - Butcher Terrace'!$A$12:$A$130,"&lt;"&amp;Diagram!$P72),SUMIFS(INDIRECT(ADDRESS(12,3+18*3+(12),,,"J1 B - Butcher Terrace")&amp;":"&amp;ADDRESS(130,3+18*3+(12))),'J1 B - Butcher Terrace'!$A$12:$A$130,"&gt;="&amp;Diagram!$O72,'J1 B - Butcher Terrace'!$A$12:$A$130,"&lt;"&amp;Diagram!$P72)))</f>
        <v>0</v>
      </c>
      <c r="CO72" s="42">
        <f ca="1">IF(OR($I$10="",$O72="",$P72="",$J$39&lt;&gt;"Yes"),0,IF($K$10=0,SUMIFS(INDIRECT(ADDRESS(12,3+18*0+(4),,,"J1 B - Butcher Terrace")&amp;":"&amp;ADDRESS(130,3+18*0+(4))),'J1 B - Butcher Terrace'!$A$12:$A$130,"&gt;="&amp;Diagram!$O72,'J1 B - Butcher Terrace'!$A$12:$A$130,"&lt;"&amp;Diagram!$P72),SUMIFS(INDIRECT(ADDRESS(12,3+18*0+(12),,,"J1 B - Butcher Terrace")&amp;":"&amp;ADDRESS(130,3+18*0+(12))),'J1 B - Butcher Terrace'!$A$12:$A$130,"&gt;="&amp;Diagram!$O72,'J1 B - Butcher Terrace'!$A$12:$A$130,"&lt;"&amp;Diagram!$P72)))</f>
        <v>0</v>
      </c>
      <c r="CP72" s="42">
        <f ca="1">IF(OR($I$10="",$O72="",$P72="",$J$39&lt;&gt;"Yes"),0,IF($K$10=0,SUMIFS(INDIRECT(ADDRESS(12,3+18*1+(4),,,"J1 B - Butcher Terrace")&amp;":"&amp;ADDRESS(130,3+18*1+(4))),'J1 B - Butcher Terrace'!$A$12:$A$130,"&gt;="&amp;Diagram!$O72,'J1 B - Butcher Terrace'!$A$12:$A$130,"&lt;"&amp;Diagram!$P72),SUMIFS(INDIRECT(ADDRESS(12,3+18*1+(12),,,"J1 B - Butcher Terrace")&amp;":"&amp;ADDRESS(130,3+18*1+(12))),'J1 B - Butcher Terrace'!$A$12:$A$130,"&gt;="&amp;Diagram!$O72,'J1 B - Butcher Terrace'!$A$12:$A$130,"&lt;"&amp;Diagram!$P72)))</f>
        <v>0</v>
      </c>
      <c r="CQ72" s="42">
        <f ca="1">IF(OR($I$10="",$O72="",$P72="",$J$39&lt;&gt;"Yes"),0,IF($K$10=0,SUMIFS(INDIRECT(ADDRESS(12,3+18*1+(4),,,"J1 C - (South) Bishopthorpe Roa")&amp;":"&amp;ADDRESS(130,3+18*1+(4))),'J1 C - (South) Bishopthorpe Roa'!$A$12:$A$130,"&gt;="&amp;Diagram!$O72,'J1 C - (South) Bishopthorpe Roa'!$A$12:$A$130,"&lt;"&amp;Diagram!$P72),SUMIFS(INDIRECT(ADDRESS(12,3+18*1+(12),,,"J1 C - (South) Bishopthorpe Roa")&amp;":"&amp;ADDRESS(130,3+18*1+(12))),'J1 C - (South) Bishopthorpe Roa'!$A$12:$A$130,"&gt;="&amp;Diagram!$O72,'J1 C - (South) Bishopthorpe Roa'!$A$12:$A$130,"&lt;"&amp;Diagram!$P72)))</f>
        <v>3</v>
      </c>
      <c r="CR72" s="42">
        <f ca="1">IF(OR($I$10="",$O72="",$P72="",$J$39&lt;&gt;"Yes"),0,IF($K$10=0,SUMIFS(INDIRECT(ADDRESS(12,3+18*2+(4),,,"J1 C - (South) Bishopthorpe Roa")&amp;":"&amp;ADDRESS(130,3+18*2+(4))),'J1 C - (South) Bishopthorpe Roa'!$A$12:$A$130,"&gt;="&amp;Diagram!$O72,'J1 C - (South) Bishopthorpe Roa'!$A$12:$A$130,"&lt;"&amp;Diagram!$P72),SUMIFS(INDIRECT(ADDRESS(12,3+18*2+(12),,,"J1 C - (South) Bishopthorpe Roa")&amp;":"&amp;ADDRESS(130,3+18*2+(12))),'J1 C - (South) Bishopthorpe Roa'!$A$12:$A$130,"&gt;="&amp;Diagram!$O72,'J1 C - (South) Bishopthorpe Roa'!$A$12:$A$130,"&lt;"&amp;Diagram!$P72)))</f>
        <v>0</v>
      </c>
      <c r="CS72" s="42">
        <f ca="1">IF(OR($I$10="",$O72="",$P72="",$J$39&lt;&gt;"Yes"),0,IF($K$10=0,SUMIFS(INDIRECT(ADDRESS(12,3+18*3+(4),,,"J1 C - (South) Bishopthorpe Roa")&amp;":"&amp;ADDRESS(130,3+18*3+(4))),'J1 C - (South) Bishopthorpe Roa'!$A$12:$A$130,"&gt;="&amp;Diagram!$O72,'J1 C - (South) Bishopthorpe Roa'!$A$12:$A$130,"&lt;"&amp;Diagram!$P72),SUMIFS(INDIRECT(ADDRESS(12,3+18*3+(12),,,"J1 C - (South) Bishopthorpe Roa")&amp;":"&amp;ADDRESS(130,3+18*3+(12))),'J1 C - (South) Bishopthorpe Roa'!$A$12:$A$130,"&gt;="&amp;Diagram!$O72,'J1 C - (South) Bishopthorpe Roa'!$A$12:$A$130,"&lt;"&amp;Diagram!$P72)))</f>
        <v>0</v>
      </c>
      <c r="CT72" s="42">
        <f ca="1">IF(OR($I$10="",$O72="",$P72="",$J$39&lt;&gt;"Yes"),0,IF($K$10=0,SUMIFS(INDIRECT(ADDRESS(12,3+18*0+(4),,,"J1 C - (South) Bishopthorpe Roa")&amp;":"&amp;ADDRESS(130,3+18*0+(4))),'J1 C - (South) Bishopthorpe Roa'!$A$12:$A$130,"&gt;="&amp;Diagram!$O72,'J1 C - (South) Bishopthorpe Roa'!$A$12:$A$130,"&lt;"&amp;Diagram!$P72),SUMIFS(INDIRECT(ADDRESS(12,3+18*0+(12),,,"J1 C - (South) Bishopthorpe Roa")&amp;":"&amp;ADDRESS(130,3+18*0+(12))),'J1 C - (South) Bishopthorpe Roa'!$A$12:$A$130,"&gt;="&amp;Diagram!$O72,'J1 C - (South) Bishopthorpe Roa'!$A$12:$A$130,"&lt;"&amp;Diagram!$P72)))</f>
        <v>0</v>
      </c>
      <c r="CU72" s="42">
        <f ca="1">IF(OR($I$10="",$O72="",$P72="",$J$39&lt;&gt;"Yes"),0,IF($K$10=0,SUMIFS(INDIRECT(ADDRESS(12,3+18*0+(4),,,"J1 D - South Bank Avenue")&amp;":"&amp;ADDRESS(130,3+18*0+(4))),'J1 D - South Bank Avenue'!$A$12:$A$130,"&gt;="&amp;Diagram!$O72,'J1 D - South Bank Avenue'!$A$12:$A$130,"&lt;"&amp;Diagram!$P72),SUMIFS(INDIRECT(ADDRESS(12,3+18*0+(12),,,"J1 D - South Bank Avenue")&amp;":"&amp;ADDRESS(130,3+18*0+(12))),'J1 D - South Bank Avenue'!$A$12:$A$130,"&gt;="&amp;Diagram!$O72,'J1 D - South Bank Avenue'!$A$12:$A$130,"&lt;"&amp;Diagram!$P72)))</f>
        <v>0</v>
      </c>
      <c r="CV72" s="42">
        <f ca="1">IF(OR($I$10="",$O72="",$P72="",$J$39&lt;&gt;"Yes"),0,IF($K$10=0,SUMIFS(INDIRECT(ADDRESS(12,3+18*1+(4),,,"J1 D - South Bank Avenue")&amp;":"&amp;ADDRESS(130,3+18*1+(4))),'J1 D - South Bank Avenue'!$A$12:$A$130,"&gt;="&amp;Diagram!$O72,'J1 D - South Bank Avenue'!$A$12:$A$130,"&lt;"&amp;Diagram!$P72),SUMIFS(INDIRECT(ADDRESS(12,3+18*1+(12),,,"J1 D - South Bank Avenue")&amp;":"&amp;ADDRESS(130,3+18*1+(12))),'J1 D - South Bank Avenue'!$A$12:$A$130,"&gt;="&amp;Diagram!$O72,'J1 D - South Bank Avenue'!$A$12:$A$130,"&lt;"&amp;Diagram!$P72)))</f>
        <v>0</v>
      </c>
      <c r="CW72" s="42">
        <f ca="1">IF(OR($I$10="",$O72="",$P72="",$J$39&lt;&gt;"Yes"),0,IF($K$10=0,SUMIFS(INDIRECT(ADDRESS(12,3+18*2+(4),,,"J1 D - South Bank Avenue")&amp;":"&amp;ADDRESS(130,3+18*2+(4))),'J1 D - South Bank Avenue'!$A$12:$A$130,"&gt;="&amp;Diagram!$O72,'J1 D - South Bank Avenue'!$A$12:$A$130,"&lt;"&amp;Diagram!$P72),SUMIFS(INDIRECT(ADDRESS(12,3+18*2+(12),,,"J1 D - South Bank Avenue")&amp;":"&amp;ADDRESS(130,3+18*2+(12))),'J1 D - South Bank Avenue'!$A$12:$A$130,"&gt;="&amp;Diagram!$O72,'J1 D - South Bank Avenue'!$A$12:$A$130,"&lt;"&amp;Diagram!$P72)))</f>
        <v>0</v>
      </c>
      <c r="CX72" s="42">
        <f ca="1">IF(OR($I$10="",$O72="",$P72="",$J$39&lt;&gt;"Yes"),0,IF($K$10=0,SUMIFS(INDIRECT(ADDRESS(12,3+18*3+(4),,,"J1 D - South Bank Avenue")&amp;":"&amp;ADDRESS(130,3+18*3+(4))),'J1 D - South Bank Avenue'!$A$12:$A$130,"&gt;="&amp;Diagram!$O72,'J1 D - South Bank Avenue'!$A$12:$A$130,"&lt;"&amp;Diagram!$P72),SUMIFS(INDIRECT(ADDRESS(12,3+18*3+(12),,,"J1 D - South Bank Avenue")&amp;":"&amp;ADDRESS(130,3+18*3+(12))),'J1 D - South Bank Avenue'!$A$12:$A$130,"&gt;="&amp;Diagram!$O72,'J1 D - South Bank Avenue'!$A$12:$A$130,"&lt;"&amp;Diagram!$P72)))</f>
        <v>0</v>
      </c>
      <c r="CY72" s="42">
        <f t="shared" ca="1" si="16"/>
        <v>130</v>
      </c>
      <c r="CZ72" s="42">
        <f ca="1">IF(OR($I$10="",$O72="",$P72="",$J$40&lt;&gt;"Yes"),0,IF($K$10=0,SUMIFS(INDIRECT(ADDRESS(12,3+18*3+(5),,,"J1 A - (North) Bishopthorpe Roa")&amp;":"&amp;ADDRESS(130,3+18*3+(5))),'J1 A - (North) Bishopthorpe Roa'!$A$12:$A$130,"&gt;="&amp;Diagram!$O72,'J1 A - (North) Bishopthorpe Roa'!$A$12:$A$130,"&lt;"&amp;Diagram!$P72),SUMIFS(INDIRECT(ADDRESS(12,3+18*3+(13),,,"J1 A - (North) Bishopthorpe Roa")&amp;":"&amp;ADDRESS(130,3+18*3+(13))),'J1 A - (North) Bishopthorpe Roa'!$A$12:$A$130,"&gt;="&amp;Diagram!$O72,'J1 A - (North) Bishopthorpe Roa'!$A$12:$A$130,"&lt;"&amp;Diagram!$P72)))</f>
        <v>0</v>
      </c>
      <c r="DA72" s="42">
        <f ca="1">IF(OR($I$10="",$O72="",$P72="",$J$40&lt;&gt;"Yes"),0,IF($K$10=0,SUMIFS(INDIRECT(ADDRESS(12,3+18*0+(5),,,"J1 A - (North) Bishopthorpe Roa")&amp;":"&amp;ADDRESS(130,3+18*0+(5))),'J1 A - (North) Bishopthorpe Roa'!$A$12:$A$130,"&gt;="&amp;Diagram!$O72,'J1 A - (North) Bishopthorpe Roa'!$A$12:$A$130,"&lt;"&amp;Diagram!$P72),SUMIFS(INDIRECT(ADDRESS(12,3+18*0+(13),,,"J1 A - (North) Bishopthorpe Roa")&amp;":"&amp;ADDRESS(130,3+18*0+(13))),'J1 A - (North) Bishopthorpe Roa'!$A$12:$A$130,"&gt;="&amp;Diagram!$O72,'J1 A - (North) Bishopthorpe Roa'!$A$12:$A$130,"&lt;"&amp;Diagram!$P72)))</f>
        <v>13</v>
      </c>
      <c r="DB72" s="42">
        <f ca="1">IF(OR($I$10="",$O72="",$P72="",$J$40&lt;&gt;"Yes"),0,IF($K$10=0,SUMIFS(INDIRECT(ADDRESS(12,3+18*1+(5),,,"J1 A - (North) Bishopthorpe Roa")&amp;":"&amp;ADDRESS(130,3+18*1+(5))),'J1 A - (North) Bishopthorpe Roa'!$A$12:$A$130,"&gt;="&amp;Diagram!$O72,'J1 A - (North) Bishopthorpe Roa'!$A$12:$A$130,"&lt;"&amp;Diagram!$P72),SUMIFS(INDIRECT(ADDRESS(12,3+18*1+(13),,,"J1 A - (North) Bishopthorpe Roa")&amp;":"&amp;ADDRESS(130,3+18*1+(13))),'J1 A - (North) Bishopthorpe Roa'!$A$12:$A$130,"&gt;="&amp;Diagram!$O72,'J1 A - (North) Bishopthorpe Roa'!$A$12:$A$130,"&lt;"&amp;Diagram!$P72)))</f>
        <v>35</v>
      </c>
      <c r="DC72" s="42">
        <f ca="1">IF(OR($I$10="",$O72="",$P72="",$J$40&lt;&gt;"Yes"),0,IF($K$10=0,SUMIFS(INDIRECT(ADDRESS(12,3+18*2+(5),,,"J1 A - (North) Bishopthorpe Roa")&amp;":"&amp;ADDRESS(130,3+18*2+(5))),'J1 A - (North) Bishopthorpe Roa'!$A$12:$A$130,"&gt;="&amp;Diagram!$O72,'J1 A - (North) Bishopthorpe Roa'!$A$12:$A$130,"&lt;"&amp;Diagram!$P72),SUMIFS(INDIRECT(ADDRESS(12,3+18*2+(13),,,"J1 A - (North) Bishopthorpe Roa")&amp;":"&amp;ADDRESS(130,3+18*2+(13))),'J1 A - (North) Bishopthorpe Roa'!$A$12:$A$130,"&gt;="&amp;Diagram!$O72,'J1 A - (North) Bishopthorpe Roa'!$A$12:$A$130,"&lt;"&amp;Diagram!$P72)))</f>
        <v>5</v>
      </c>
      <c r="DD72" s="42">
        <f ca="1">IF(OR($I$10="",$O72="",$P72="",$J$40&lt;&gt;"Yes"),0,IF($K$10=0,SUMIFS(INDIRECT(ADDRESS(12,3+18*2+(5),,,"J1 B - Butcher Terrace")&amp;":"&amp;ADDRESS(130,3+18*2+(5))),'J1 B - Butcher Terrace'!$A$12:$A$130,"&gt;="&amp;Diagram!$O72,'J1 B - Butcher Terrace'!$A$12:$A$130,"&lt;"&amp;Diagram!$P72),SUMIFS(INDIRECT(ADDRESS(12,3+18*2+(13),,,"J1 B - Butcher Terrace")&amp;":"&amp;ADDRESS(130,3+18*2+(13))),'J1 B - Butcher Terrace'!$A$12:$A$130,"&gt;="&amp;Diagram!$O72,'J1 B - Butcher Terrace'!$A$12:$A$130,"&lt;"&amp;Diagram!$P72)))</f>
        <v>8</v>
      </c>
      <c r="DE72" s="42">
        <f ca="1">IF(OR($I$10="",$O72="",$P72="",$J$40&lt;&gt;"Yes"),0,IF($K$10=0,SUMIFS(INDIRECT(ADDRESS(12,3+18*3+(5),,,"J1 B - Butcher Terrace")&amp;":"&amp;ADDRESS(130,3+18*3+(5))),'J1 B - Butcher Terrace'!$A$12:$A$130,"&gt;="&amp;Diagram!$O72,'J1 B - Butcher Terrace'!$A$12:$A$130,"&lt;"&amp;Diagram!$P72),SUMIFS(INDIRECT(ADDRESS(12,3+18*3+(13),,,"J1 B - Butcher Terrace")&amp;":"&amp;ADDRESS(130,3+18*3+(13))),'J1 B - Butcher Terrace'!$A$12:$A$130,"&gt;="&amp;Diagram!$O72,'J1 B - Butcher Terrace'!$A$12:$A$130,"&lt;"&amp;Diagram!$P72)))</f>
        <v>0</v>
      </c>
      <c r="DF72" s="42">
        <f ca="1">IF(OR($I$10="",$O72="",$P72="",$J$40&lt;&gt;"Yes"),0,IF($K$10=0,SUMIFS(INDIRECT(ADDRESS(12,3+18*0+(5),,,"J1 B - Butcher Terrace")&amp;":"&amp;ADDRESS(130,3+18*0+(5))),'J1 B - Butcher Terrace'!$A$12:$A$130,"&gt;="&amp;Diagram!$O72,'J1 B - Butcher Terrace'!$A$12:$A$130,"&lt;"&amp;Diagram!$P72),SUMIFS(INDIRECT(ADDRESS(12,3+18*0+(13),,,"J1 B - Butcher Terrace")&amp;":"&amp;ADDRESS(130,3+18*0+(13))),'J1 B - Butcher Terrace'!$A$12:$A$130,"&gt;="&amp;Diagram!$O72,'J1 B - Butcher Terrace'!$A$12:$A$130,"&lt;"&amp;Diagram!$P72)))</f>
        <v>11</v>
      </c>
      <c r="DG72" s="42">
        <f ca="1">IF(OR($I$10="",$O72="",$P72="",$J$40&lt;&gt;"Yes"),0,IF($K$10=0,SUMIFS(INDIRECT(ADDRESS(12,3+18*1+(5),,,"J1 B - Butcher Terrace")&amp;":"&amp;ADDRESS(130,3+18*1+(5))),'J1 B - Butcher Terrace'!$A$12:$A$130,"&gt;="&amp;Diagram!$O72,'J1 B - Butcher Terrace'!$A$12:$A$130,"&lt;"&amp;Diagram!$P72),SUMIFS(INDIRECT(ADDRESS(12,3+18*1+(13),,,"J1 B - Butcher Terrace")&amp;":"&amp;ADDRESS(130,3+18*1+(13))),'J1 B - Butcher Terrace'!$A$12:$A$130,"&gt;="&amp;Diagram!$O72,'J1 B - Butcher Terrace'!$A$12:$A$130,"&lt;"&amp;Diagram!$P72)))</f>
        <v>23</v>
      </c>
      <c r="DH72" s="42">
        <f ca="1">IF(OR($I$10="",$O72="",$P72="",$J$40&lt;&gt;"Yes"),0,IF($K$10=0,SUMIFS(INDIRECT(ADDRESS(12,3+18*1+(5),,,"J1 C - (South) Bishopthorpe Roa")&amp;":"&amp;ADDRESS(130,3+18*1+(5))),'J1 C - (South) Bishopthorpe Roa'!$A$12:$A$130,"&gt;="&amp;Diagram!$O72,'J1 C - (South) Bishopthorpe Roa'!$A$12:$A$130,"&lt;"&amp;Diagram!$P72),SUMIFS(INDIRECT(ADDRESS(12,3+18*1+(13),,,"J1 C - (South) Bishopthorpe Roa")&amp;":"&amp;ADDRESS(130,3+18*1+(13))),'J1 C - (South) Bishopthorpe Roa'!$A$12:$A$130,"&gt;="&amp;Diagram!$O72,'J1 C - (South) Bishopthorpe Roa'!$A$12:$A$130,"&lt;"&amp;Diagram!$P72)))</f>
        <v>9</v>
      </c>
      <c r="DI72" s="42">
        <f ca="1">IF(OR($I$10="",$O72="",$P72="",$J$40&lt;&gt;"Yes"),0,IF($K$10=0,SUMIFS(INDIRECT(ADDRESS(12,3+18*2+(5),,,"J1 C - (South) Bishopthorpe Roa")&amp;":"&amp;ADDRESS(130,3+18*2+(5))),'J1 C - (South) Bishopthorpe Roa'!$A$12:$A$130,"&gt;="&amp;Diagram!$O72,'J1 C - (South) Bishopthorpe Roa'!$A$12:$A$130,"&lt;"&amp;Diagram!$P72),SUMIFS(INDIRECT(ADDRESS(12,3+18*2+(13),,,"J1 C - (South) Bishopthorpe Roa")&amp;":"&amp;ADDRESS(130,3+18*2+(13))),'J1 C - (South) Bishopthorpe Roa'!$A$12:$A$130,"&gt;="&amp;Diagram!$O72,'J1 C - (South) Bishopthorpe Roa'!$A$12:$A$130,"&lt;"&amp;Diagram!$P72)))</f>
        <v>5</v>
      </c>
      <c r="DJ72" s="42">
        <f ca="1">IF(OR($I$10="",$O72="",$P72="",$J$40&lt;&gt;"Yes"),0,IF($K$10=0,SUMIFS(INDIRECT(ADDRESS(12,3+18*3+(5),,,"J1 C - (South) Bishopthorpe Roa")&amp;":"&amp;ADDRESS(130,3+18*3+(5))),'J1 C - (South) Bishopthorpe Roa'!$A$12:$A$130,"&gt;="&amp;Diagram!$O72,'J1 C - (South) Bishopthorpe Roa'!$A$12:$A$130,"&lt;"&amp;Diagram!$P72),SUMIFS(INDIRECT(ADDRESS(12,3+18*3+(13),,,"J1 C - (South) Bishopthorpe Roa")&amp;":"&amp;ADDRESS(130,3+18*3+(13))),'J1 C - (South) Bishopthorpe Roa'!$A$12:$A$130,"&gt;="&amp;Diagram!$O72,'J1 C - (South) Bishopthorpe Roa'!$A$12:$A$130,"&lt;"&amp;Diagram!$P72)))</f>
        <v>0</v>
      </c>
      <c r="DK72" s="42">
        <f ca="1">IF(OR($I$10="",$O72="",$P72="",$J$40&lt;&gt;"Yes"),0,IF($K$10=0,SUMIFS(INDIRECT(ADDRESS(12,3+18*0+(5),,,"J1 C - (South) Bishopthorpe Roa")&amp;":"&amp;ADDRESS(130,3+18*0+(5))),'J1 C - (South) Bishopthorpe Roa'!$A$12:$A$130,"&gt;="&amp;Diagram!$O72,'J1 C - (South) Bishopthorpe Roa'!$A$12:$A$130,"&lt;"&amp;Diagram!$P72),SUMIFS(INDIRECT(ADDRESS(12,3+18*0+(13),,,"J1 C - (South) Bishopthorpe Roa")&amp;":"&amp;ADDRESS(130,3+18*0+(13))),'J1 C - (South) Bishopthorpe Roa'!$A$12:$A$130,"&gt;="&amp;Diagram!$O72,'J1 C - (South) Bishopthorpe Roa'!$A$12:$A$130,"&lt;"&amp;Diagram!$P72)))</f>
        <v>1</v>
      </c>
      <c r="DL72" s="42">
        <f ca="1">IF(OR($I$10="",$O72="",$P72="",$J$40&lt;&gt;"Yes"),0,IF($K$10=0,SUMIFS(INDIRECT(ADDRESS(12,3+18*0+(5),,,"J1 D - South Bank Avenue")&amp;":"&amp;ADDRESS(130,3+18*0+(5))),'J1 D - South Bank Avenue'!$A$12:$A$130,"&gt;="&amp;Diagram!$O72,'J1 D - South Bank Avenue'!$A$12:$A$130,"&lt;"&amp;Diagram!$P72),SUMIFS(INDIRECT(ADDRESS(12,3+18*0+(13),,,"J1 D - South Bank Avenue")&amp;":"&amp;ADDRESS(130,3+18*0+(13))),'J1 D - South Bank Avenue'!$A$12:$A$130,"&gt;="&amp;Diagram!$O72,'J1 D - South Bank Avenue'!$A$12:$A$130,"&lt;"&amp;Diagram!$P72)))</f>
        <v>2</v>
      </c>
      <c r="DM72" s="42">
        <f ca="1">IF(OR($I$10="",$O72="",$P72="",$J$40&lt;&gt;"Yes"),0,IF($K$10=0,SUMIFS(INDIRECT(ADDRESS(12,3+18*1+(5),,,"J1 D - South Bank Avenue")&amp;":"&amp;ADDRESS(130,3+18*1+(5))),'J1 D - South Bank Avenue'!$A$12:$A$130,"&gt;="&amp;Diagram!$O72,'J1 D - South Bank Avenue'!$A$12:$A$130,"&lt;"&amp;Diagram!$P72),SUMIFS(INDIRECT(ADDRESS(12,3+18*1+(13),,,"J1 D - South Bank Avenue")&amp;":"&amp;ADDRESS(130,3+18*1+(13))),'J1 D - South Bank Avenue'!$A$12:$A$130,"&gt;="&amp;Diagram!$O72,'J1 D - South Bank Avenue'!$A$12:$A$130,"&lt;"&amp;Diagram!$P72)))</f>
        <v>17</v>
      </c>
      <c r="DN72" s="42">
        <f ca="1">IF(OR($I$10="",$O72="",$P72="",$J$40&lt;&gt;"Yes"),0,IF($K$10=0,SUMIFS(INDIRECT(ADDRESS(12,3+18*2+(5),,,"J1 D - South Bank Avenue")&amp;":"&amp;ADDRESS(130,3+18*2+(5))),'J1 D - South Bank Avenue'!$A$12:$A$130,"&gt;="&amp;Diagram!$O72,'J1 D - South Bank Avenue'!$A$12:$A$130,"&lt;"&amp;Diagram!$P72),SUMIFS(INDIRECT(ADDRESS(12,3+18*2+(13),,,"J1 D - South Bank Avenue")&amp;":"&amp;ADDRESS(130,3+18*2+(13))),'J1 D - South Bank Avenue'!$A$12:$A$130,"&gt;="&amp;Diagram!$O72,'J1 D - South Bank Avenue'!$A$12:$A$130,"&lt;"&amp;Diagram!$P72)))</f>
        <v>1</v>
      </c>
      <c r="DO72" s="42">
        <f ca="1">IF(OR($I$10="",$O72="",$P72="",$J$40&lt;&gt;"Yes"),0,IF($K$10=0,SUMIFS(INDIRECT(ADDRESS(12,3+18*3+(5),,,"J1 D - South Bank Avenue")&amp;":"&amp;ADDRESS(130,3+18*3+(5))),'J1 D - South Bank Avenue'!$A$12:$A$130,"&gt;="&amp;Diagram!$O72,'J1 D - South Bank Avenue'!$A$12:$A$130,"&lt;"&amp;Diagram!$P72),SUMIFS(INDIRECT(ADDRESS(12,3+18*3+(13),,,"J1 D - South Bank Avenue")&amp;":"&amp;ADDRESS(130,3+18*3+(13))),'J1 D - South Bank Avenue'!$A$12:$A$130,"&gt;="&amp;Diagram!$O72,'J1 D - South Bank Avenue'!$A$12:$A$130,"&lt;"&amp;Diagram!$P72)))</f>
        <v>0</v>
      </c>
      <c r="DP72" s="42">
        <f t="shared" ca="1" si="17"/>
        <v>15</v>
      </c>
      <c r="DQ72" s="42">
        <f ca="1">IF(OR($I$10="",$O72="",$P72="",$J$41&lt;&gt;"Yes"),0,IF($K$10=0,SUMIFS(INDIRECT(ADDRESS(12,3+18*3+(6),,,"J1 A - (North) Bishopthorpe Roa")&amp;":"&amp;ADDRESS(130,3+18*3+(6))),'J1 A - (North) Bishopthorpe Roa'!$A$12:$A$130,"&gt;="&amp;Diagram!$O72,'J1 A - (North) Bishopthorpe Roa'!$A$12:$A$130,"&lt;"&amp;Diagram!$P72),SUMIFS(INDIRECT(ADDRESS(12,3+18*3+(14),,,"J1 A - (North) Bishopthorpe Roa")&amp;":"&amp;ADDRESS(130,3+18*3+(14))),'J1 A - (North) Bishopthorpe Roa'!$A$12:$A$130,"&gt;="&amp;Diagram!$O72,'J1 A - (North) Bishopthorpe Roa'!$A$12:$A$130,"&lt;"&amp;Diagram!$P72)))</f>
        <v>0</v>
      </c>
      <c r="DR72" s="42">
        <f ca="1">IF(OR($I$10="",$O72="",$P72="",$J$41&lt;&gt;"Yes"),0,IF($K$10=0,SUMIFS(INDIRECT(ADDRESS(12,3+18*0+(6),,,"J1 A - (North) Bishopthorpe Roa")&amp;":"&amp;ADDRESS(130,3+18*0+(6))),'J1 A - (North) Bishopthorpe Roa'!$A$12:$A$130,"&gt;="&amp;Diagram!$O72,'J1 A - (North) Bishopthorpe Roa'!$A$12:$A$130,"&lt;"&amp;Diagram!$P72),SUMIFS(INDIRECT(ADDRESS(12,3+18*0+(14),,,"J1 A - (North) Bishopthorpe Roa")&amp;":"&amp;ADDRESS(130,3+18*0+(14))),'J1 A - (North) Bishopthorpe Roa'!$A$12:$A$130,"&gt;="&amp;Diagram!$O72,'J1 A - (North) Bishopthorpe Roa'!$A$12:$A$130,"&lt;"&amp;Diagram!$P72)))</f>
        <v>1</v>
      </c>
      <c r="DS72" s="42">
        <f ca="1">IF(OR($I$10="",$O72="",$P72="",$J$41&lt;&gt;"Yes"),0,IF($K$10=0,SUMIFS(INDIRECT(ADDRESS(12,3+18*1+(6),,,"J1 A - (North) Bishopthorpe Roa")&amp;":"&amp;ADDRESS(130,3+18*1+(6))),'J1 A - (North) Bishopthorpe Roa'!$A$12:$A$130,"&gt;="&amp;Diagram!$O72,'J1 A - (North) Bishopthorpe Roa'!$A$12:$A$130,"&lt;"&amp;Diagram!$P72),SUMIFS(INDIRECT(ADDRESS(12,3+18*1+(14),,,"J1 A - (North) Bishopthorpe Roa")&amp;":"&amp;ADDRESS(130,3+18*1+(14))),'J1 A - (North) Bishopthorpe Roa'!$A$12:$A$130,"&gt;="&amp;Diagram!$O72,'J1 A - (North) Bishopthorpe Roa'!$A$12:$A$130,"&lt;"&amp;Diagram!$P72)))</f>
        <v>6</v>
      </c>
      <c r="DT72" s="42">
        <f ca="1">IF(OR($I$10="",$O72="",$P72="",$J$41&lt;&gt;"Yes"),0,IF($K$10=0,SUMIFS(INDIRECT(ADDRESS(12,3+18*2+(6),,,"J1 A - (North) Bishopthorpe Roa")&amp;":"&amp;ADDRESS(130,3+18*2+(6))),'J1 A - (North) Bishopthorpe Roa'!$A$12:$A$130,"&gt;="&amp;Diagram!$O72,'J1 A - (North) Bishopthorpe Roa'!$A$12:$A$130,"&lt;"&amp;Diagram!$P72),SUMIFS(INDIRECT(ADDRESS(12,3+18*2+(14),,,"J1 A - (North) Bishopthorpe Roa")&amp;":"&amp;ADDRESS(130,3+18*2+(14))),'J1 A - (North) Bishopthorpe Roa'!$A$12:$A$130,"&gt;="&amp;Diagram!$O72,'J1 A - (North) Bishopthorpe Roa'!$A$12:$A$130,"&lt;"&amp;Diagram!$P72)))</f>
        <v>0</v>
      </c>
      <c r="DU72" s="42">
        <f ca="1">IF(OR($I$10="",$O72="",$P72="",$J$41&lt;&gt;"Yes"),0,IF($K$10=0,SUMIFS(INDIRECT(ADDRESS(12,3+18*2+(6),,,"J1 B - Butcher Terrace")&amp;":"&amp;ADDRESS(130,3+18*2+(6))),'J1 B - Butcher Terrace'!$A$12:$A$130,"&gt;="&amp;Diagram!$O72,'J1 B - Butcher Terrace'!$A$12:$A$130,"&lt;"&amp;Diagram!$P72),SUMIFS(INDIRECT(ADDRESS(12,3+18*2+(14),,,"J1 B - Butcher Terrace")&amp;":"&amp;ADDRESS(130,3+18*2+(14))),'J1 B - Butcher Terrace'!$A$12:$A$130,"&gt;="&amp;Diagram!$O72,'J1 B - Butcher Terrace'!$A$12:$A$130,"&lt;"&amp;Diagram!$P72)))</f>
        <v>1</v>
      </c>
      <c r="DV72" s="42">
        <f ca="1">IF(OR($I$10="",$O72="",$P72="",$J$41&lt;&gt;"Yes"),0,IF($K$10=0,SUMIFS(INDIRECT(ADDRESS(12,3+18*3+(6),,,"J1 B - Butcher Terrace")&amp;":"&amp;ADDRESS(130,3+18*3+(6))),'J1 B - Butcher Terrace'!$A$12:$A$130,"&gt;="&amp;Diagram!$O72,'J1 B - Butcher Terrace'!$A$12:$A$130,"&lt;"&amp;Diagram!$P72),SUMIFS(INDIRECT(ADDRESS(12,3+18*3+(14),,,"J1 B - Butcher Terrace")&amp;":"&amp;ADDRESS(130,3+18*3+(14))),'J1 B - Butcher Terrace'!$A$12:$A$130,"&gt;="&amp;Diagram!$O72,'J1 B - Butcher Terrace'!$A$12:$A$130,"&lt;"&amp;Diagram!$P72)))</f>
        <v>0</v>
      </c>
      <c r="DW72" s="42">
        <f ca="1">IF(OR($I$10="",$O72="",$P72="",$J$41&lt;&gt;"Yes"),0,IF($K$10=0,SUMIFS(INDIRECT(ADDRESS(12,3+18*0+(6),,,"J1 B - Butcher Terrace")&amp;":"&amp;ADDRESS(130,3+18*0+(6))),'J1 B - Butcher Terrace'!$A$12:$A$130,"&gt;="&amp;Diagram!$O72,'J1 B - Butcher Terrace'!$A$12:$A$130,"&lt;"&amp;Diagram!$P72),SUMIFS(INDIRECT(ADDRESS(12,3+18*0+(14),,,"J1 B - Butcher Terrace")&amp;":"&amp;ADDRESS(130,3+18*0+(14))),'J1 B - Butcher Terrace'!$A$12:$A$130,"&gt;="&amp;Diagram!$O72,'J1 B - Butcher Terrace'!$A$12:$A$130,"&lt;"&amp;Diagram!$P72)))</f>
        <v>0</v>
      </c>
      <c r="DX72" s="42">
        <f ca="1">IF(OR($I$10="",$O72="",$P72="",$J$41&lt;&gt;"Yes"),0,IF($K$10=0,SUMIFS(INDIRECT(ADDRESS(12,3+18*1+(6),,,"J1 B - Butcher Terrace")&amp;":"&amp;ADDRESS(130,3+18*1+(6))),'J1 B - Butcher Terrace'!$A$12:$A$130,"&gt;="&amp;Diagram!$O72,'J1 B - Butcher Terrace'!$A$12:$A$130,"&lt;"&amp;Diagram!$P72),SUMIFS(INDIRECT(ADDRESS(12,3+18*1+(14),,,"J1 B - Butcher Terrace")&amp;":"&amp;ADDRESS(130,3+18*1+(14))),'J1 B - Butcher Terrace'!$A$12:$A$130,"&gt;="&amp;Diagram!$O72,'J1 B - Butcher Terrace'!$A$12:$A$130,"&lt;"&amp;Diagram!$P72)))</f>
        <v>1</v>
      </c>
      <c r="DY72" s="42">
        <f ca="1">IF(OR($I$10="",$O72="",$P72="",$J$41&lt;&gt;"Yes"),0,IF($K$10=0,SUMIFS(INDIRECT(ADDRESS(12,3+18*1+(6),,,"J1 C - (South) Bishopthorpe Roa")&amp;":"&amp;ADDRESS(130,3+18*1+(6))),'J1 C - (South) Bishopthorpe Roa'!$A$12:$A$130,"&gt;="&amp;Diagram!$O72,'J1 C - (South) Bishopthorpe Roa'!$A$12:$A$130,"&lt;"&amp;Diagram!$P72),SUMIFS(INDIRECT(ADDRESS(12,3+18*1+(14),,,"J1 C - (South) Bishopthorpe Roa")&amp;":"&amp;ADDRESS(130,3+18*1+(14))),'J1 C - (South) Bishopthorpe Roa'!$A$12:$A$130,"&gt;="&amp;Diagram!$O72,'J1 C - (South) Bishopthorpe Roa'!$A$12:$A$130,"&lt;"&amp;Diagram!$P72)))</f>
        <v>5</v>
      </c>
      <c r="DZ72" s="42">
        <f ca="1">IF(OR($I$10="",$O72="",$P72="",$J$41&lt;&gt;"Yes"),0,IF($K$10=0,SUMIFS(INDIRECT(ADDRESS(12,3+18*2+(6),,,"J1 C - (South) Bishopthorpe Roa")&amp;":"&amp;ADDRESS(130,3+18*2+(6))),'J1 C - (South) Bishopthorpe Roa'!$A$12:$A$130,"&gt;="&amp;Diagram!$O72,'J1 C - (South) Bishopthorpe Roa'!$A$12:$A$130,"&lt;"&amp;Diagram!$P72),SUMIFS(INDIRECT(ADDRESS(12,3+18*2+(14),,,"J1 C - (South) Bishopthorpe Roa")&amp;":"&amp;ADDRESS(130,3+18*2+(14))),'J1 C - (South) Bishopthorpe Roa'!$A$12:$A$130,"&gt;="&amp;Diagram!$O72,'J1 C - (South) Bishopthorpe Roa'!$A$12:$A$130,"&lt;"&amp;Diagram!$P72)))</f>
        <v>1</v>
      </c>
      <c r="EA72" s="42">
        <f ca="1">IF(OR($I$10="",$O72="",$P72="",$J$41&lt;&gt;"Yes"),0,IF($K$10=0,SUMIFS(INDIRECT(ADDRESS(12,3+18*3+(6),,,"J1 C - (South) Bishopthorpe Roa")&amp;":"&amp;ADDRESS(130,3+18*3+(6))),'J1 C - (South) Bishopthorpe Roa'!$A$12:$A$130,"&gt;="&amp;Diagram!$O72,'J1 C - (South) Bishopthorpe Roa'!$A$12:$A$130,"&lt;"&amp;Diagram!$P72),SUMIFS(INDIRECT(ADDRESS(12,3+18*3+(14),,,"J1 C - (South) Bishopthorpe Roa")&amp;":"&amp;ADDRESS(130,3+18*3+(14))),'J1 C - (South) Bishopthorpe Roa'!$A$12:$A$130,"&gt;="&amp;Diagram!$O72,'J1 C - (South) Bishopthorpe Roa'!$A$12:$A$130,"&lt;"&amp;Diagram!$P72)))</f>
        <v>0</v>
      </c>
      <c r="EB72" s="42">
        <f ca="1">IF(OR($I$10="",$O72="",$P72="",$J$41&lt;&gt;"Yes"),0,IF($K$10=0,SUMIFS(INDIRECT(ADDRESS(12,3+18*0+(6),,,"J1 C - (South) Bishopthorpe Roa")&amp;":"&amp;ADDRESS(130,3+18*0+(6))),'J1 C - (South) Bishopthorpe Roa'!$A$12:$A$130,"&gt;="&amp;Diagram!$O72,'J1 C - (South) Bishopthorpe Roa'!$A$12:$A$130,"&lt;"&amp;Diagram!$P72),SUMIFS(INDIRECT(ADDRESS(12,3+18*0+(14),,,"J1 C - (South) Bishopthorpe Roa")&amp;":"&amp;ADDRESS(130,3+18*0+(14))),'J1 C - (South) Bishopthorpe Roa'!$A$12:$A$130,"&gt;="&amp;Diagram!$O72,'J1 C - (South) Bishopthorpe Roa'!$A$12:$A$130,"&lt;"&amp;Diagram!$P72)))</f>
        <v>0</v>
      </c>
      <c r="EC72" s="42">
        <f ca="1">IF(OR($I$10="",$O72="",$P72="",$J$41&lt;&gt;"Yes"),0,IF($K$10=0,SUMIFS(INDIRECT(ADDRESS(12,3+18*0+(6),,,"J1 D - South Bank Avenue")&amp;":"&amp;ADDRESS(130,3+18*0+(6))),'J1 D - South Bank Avenue'!$A$12:$A$130,"&gt;="&amp;Diagram!$O72,'J1 D - South Bank Avenue'!$A$12:$A$130,"&lt;"&amp;Diagram!$P72),SUMIFS(INDIRECT(ADDRESS(12,3+18*0+(14),,,"J1 D - South Bank Avenue")&amp;":"&amp;ADDRESS(130,3+18*0+(14))),'J1 D - South Bank Avenue'!$A$12:$A$130,"&gt;="&amp;Diagram!$O72,'J1 D - South Bank Avenue'!$A$12:$A$130,"&lt;"&amp;Diagram!$P72)))</f>
        <v>0</v>
      </c>
      <c r="ED72" s="42">
        <f ca="1">IF(OR($I$10="",$O72="",$P72="",$J$41&lt;&gt;"Yes"),0,IF($K$10=0,SUMIFS(INDIRECT(ADDRESS(12,3+18*1+(6),,,"J1 D - South Bank Avenue")&amp;":"&amp;ADDRESS(130,3+18*1+(6))),'J1 D - South Bank Avenue'!$A$12:$A$130,"&gt;="&amp;Diagram!$O72,'J1 D - South Bank Avenue'!$A$12:$A$130,"&lt;"&amp;Diagram!$P72),SUMIFS(INDIRECT(ADDRESS(12,3+18*1+(14),,,"J1 D - South Bank Avenue")&amp;":"&amp;ADDRESS(130,3+18*1+(14))),'J1 D - South Bank Avenue'!$A$12:$A$130,"&gt;="&amp;Diagram!$O72,'J1 D - South Bank Avenue'!$A$12:$A$130,"&lt;"&amp;Diagram!$P72)))</f>
        <v>0</v>
      </c>
      <c r="EE72" s="42">
        <f ca="1">IF(OR($I$10="",$O72="",$P72="",$J$41&lt;&gt;"Yes"),0,IF($K$10=0,SUMIFS(INDIRECT(ADDRESS(12,3+18*2+(6),,,"J1 D - South Bank Avenue")&amp;":"&amp;ADDRESS(130,3+18*2+(6))),'J1 D - South Bank Avenue'!$A$12:$A$130,"&gt;="&amp;Diagram!$O72,'J1 D - South Bank Avenue'!$A$12:$A$130,"&lt;"&amp;Diagram!$P72),SUMIFS(INDIRECT(ADDRESS(12,3+18*2+(14),,,"J1 D - South Bank Avenue")&amp;":"&amp;ADDRESS(130,3+18*2+(14))),'J1 D - South Bank Avenue'!$A$12:$A$130,"&gt;="&amp;Diagram!$O72,'J1 D - South Bank Avenue'!$A$12:$A$130,"&lt;"&amp;Diagram!$P72)))</f>
        <v>0</v>
      </c>
      <c r="EF72" s="42">
        <f ca="1">IF(OR($I$10="",$O72="",$P72="",$J$41&lt;&gt;"Yes"),0,IF($K$10=0,SUMIFS(INDIRECT(ADDRESS(12,3+18*3+(6),,,"J1 D - South Bank Avenue")&amp;":"&amp;ADDRESS(130,3+18*3+(6))),'J1 D - South Bank Avenue'!$A$12:$A$130,"&gt;="&amp;Diagram!$O72,'J1 D - South Bank Avenue'!$A$12:$A$130,"&lt;"&amp;Diagram!$P72),SUMIFS(INDIRECT(ADDRESS(12,3+18*3+(14),,,"J1 D - South Bank Avenue")&amp;":"&amp;ADDRESS(130,3+18*3+(14))),'J1 D - South Bank Avenue'!$A$12:$A$130,"&gt;="&amp;Diagram!$O72,'J1 D - South Bank Avenue'!$A$12:$A$130,"&lt;"&amp;Diagram!$P72)))</f>
        <v>0</v>
      </c>
      <c r="EG72" s="42">
        <f t="shared" ca="1" si="18"/>
        <v>1</v>
      </c>
      <c r="EH72" s="42">
        <f ca="1">IF(OR($I$10="",$O72="",$P72="",$J$42&lt;&gt;"Yes"),0,IF($K$10=0,SUMIFS(INDIRECT(ADDRESS(12,3+18*3+(7),,,"J1 A - (North) Bishopthorpe Roa")&amp;":"&amp;ADDRESS(130,3+18*3+(7))),'J1 A - (North) Bishopthorpe Roa'!$A$12:$A$130,"&gt;="&amp;Diagram!$O72,'J1 A - (North) Bishopthorpe Roa'!$A$12:$A$130,"&lt;"&amp;Diagram!$P72),SUMIFS(INDIRECT(ADDRESS(12,3+18*3+(15),,,"J1 A - (North) Bishopthorpe Roa")&amp;":"&amp;ADDRESS(130,3+18*3+(15))),'J1 A - (North) Bishopthorpe Roa'!$A$12:$A$130,"&gt;="&amp;Diagram!$O72,'J1 A - (North) Bishopthorpe Roa'!$A$12:$A$130,"&lt;"&amp;Diagram!$P72)))</f>
        <v>0</v>
      </c>
      <c r="EI72" s="42">
        <f ca="1">IF(OR($I$10="",$O72="",$P72="",$J$42&lt;&gt;"Yes"),0,IF($K$10=0,SUMIFS(INDIRECT(ADDRESS(12,3+18*0+(7),,,"J1 A - (North) Bishopthorpe Roa")&amp;":"&amp;ADDRESS(130,3+18*0+(7))),'J1 A - (North) Bishopthorpe Roa'!$A$12:$A$130,"&gt;="&amp;Diagram!$O72,'J1 A - (North) Bishopthorpe Roa'!$A$12:$A$130,"&lt;"&amp;Diagram!$P72),SUMIFS(INDIRECT(ADDRESS(12,3+18*0+(15),,,"J1 A - (North) Bishopthorpe Roa")&amp;":"&amp;ADDRESS(130,3+18*0+(15))),'J1 A - (North) Bishopthorpe Roa'!$A$12:$A$130,"&gt;="&amp;Diagram!$O72,'J1 A - (North) Bishopthorpe Roa'!$A$12:$A$130,"&lt;"&amp;Diagram!$P72)))</f>
        <v>1</v>
      </c>
      <c r="EJ72" s="42">
        <f ca="1">IF(OR($I$10="",$O72="",$P72="",$J$42&lt;&gt;"Yes"),0,IF($K$10=0,SUMIFS(INDIRECT(ADDRESS(12,3+18*1+(7),,,"J1 A - (North) Bishopthorpe Roa")&amp;":"&amp;ADDRESS(130,3+18*1+(7))),'J1 A - (North) Bishopthorpe Roa'!$A$12:$A$130,"&gt;="&amp;Diagram!$O72,'J1 A - (North) Bishopthorpe Roa'!$A$12:$A$130,"&lt;"&amp;Diagram!$P72),SUMIFS(INDIRECT(ADDRESS(12,3+18*1+(15),,,"J1 A - (North) Bishopthorpe Roa")&amp;":"&amp;ADDRESS(130,3+18*1+(15))),'J1 A - (North) Bishopthorpe Roa'!$A$12:$A$130,"&gt;="&amp;Diagram!$O72,'J1 A - (North) Bishopthorpe Roa'!$A$12:$A$130,"&lt;"&amp;Diagram!$P72)))</f>
        <v>0</v>
      </c>
      <c r="EK72" s="42">
        <f ca="1">IF(OR($I$10="",$O72="",$P72="",$J$42&lt;&gt;"Yes"),0,IF($K$10=0,SUMIFS(INDIRECT(ADDRESS(12,3+18*2+(7),,,"J1 A - (North) Bishopthorpe Roa")&amp;":"&amp;ADDRESS(130,3+18*2+(7))),'J1 A - (North) Bishopthorpe Roa'!$A$12:$A$130,"&gt;="&amp;Diagram!$O72,'J1 A - (North) Bishopthorpe Roa'!$A$12:$A$130,"&lt;"&amp;Diagram!$P72),SUMIFS(INDIRECT(ADDRESS(12,3+18*2+(15),,,"J1 A - (North) Bishopthorpe Roa")&amp;":"&amp;ADDRESS(130,3+18*2+(15))),'J1 A - (North) Bishopthorpe Roa'!$A$12:$A$130,"&gt;="&amp;Diagram!$O72,'J1 A - (North) Bishopthorpe Roa'!$A$12:$A$130,"&lt;"&amp;Diagram!$P72)))</f>
        <v>0</v>
      </c>
      <c r="EL72" s="42">
        <f ca="1">IF(OR($I$10="",$O72="",$P72="",$J$42&lt;&gt;"Yes"),0,IF($K$10=0,SUMIFS(INDIRECT(ADDRESS(12,3+18*2+(7),,,"J1 B - Butcher Terrace")&amp;":"&amp;ADDRESS(130,3+18*2+(7))),'J1 B - Butcher Terrace'!$A$12:$A$130,"&gt;="&amp;Diagram!$O72,'J1 B - Butcher Terrace'!$A$12:$A$130,"&lt;"&amp;Diagram!$P72),SUMIFS(INDIRECT(ADDRESS(12,3+18*2+(15),,,"J1 B - Butcher Terrace")&amp;":"&amp;ADDRESS(130,3+18*2+(15))),'J1 B - Butcher Terrace'!$A$12:$A$130,"&gt;="&amp;Diagram!$O72,'J1 B - Butcher Terrace'!$A$12:$A$130,"&lt;"&amp;Diagram!$P72)))</f>
        <v>0</v>
      </c>
      <c r="EM72" s="42">
        <f ca="1">IF(OR($I$10="",$O72="",$P72="",$J$42&lt;&gt;"Yes"),0,IF($K$10=0,SUMIFS(INDIRECT(ADDRESS(12,3+18*3+(7),,,"J1 B - Butcher Terrace")&amp;":"&amp;ADDRESS(130,3+18*3+(7))),'J1 B - Butcher Terrace'!$A$12:$A$130,"&gt;="&amp;Diagram!$O72,'J1 B - Butcher Terrace'!$A$12:$A$130,"&lt;"&amp;Diagram!$P72),SUMIFS(INDIRECT(ADDRESS(12,3+18*3+(15),,,"J1 B - Butcher Terrace")&amp;":"&amp;ADDRESS(130,3+18*3+(15))),'J1 B - Butcher Terrace'!$A$12:$A$130,"&gt;="&amp;Diagram!$O72,'J1 B - Butcher Terrace'!$A$12:$A$130,"&lt;"&amp;Diagram!$P72)))</f>
        <v>0</v>
      </c>
      <c r="EN72" s="42">
        <f ca="1">IF(OR($I$10="",$O72="",$P72="",$J$42&lt;&gt;"Yes"),0,IF($K$10=0,SUMIFS(INDIRECT(ADDRESS(12,3+18*0+(7),,,"J1 B - Butcher Terrace")&amp;":"&amp;ADDRESS(130,3+18*0+(7))),'J1 B - Butcher Terrace'!$A$12:$A$130,"&gt;="&amp;Diagram!$O72,'J1 B - Butcher Terrace'!$A$12:$A$130,"&lt;"&amp;Diagram!$P72),SUMIFS(INDIRECT(ADDRESS(12,3+18*0+(15),,,"J1 B - Butcher Terrace")&amp;":"&amp;ADDRESS(130,3+18*0+(15))),'J1 B - Butcher Terrace'!$A$12:$A$130,"&gt;="&amp;Diagram!$O72,'J1 B - Butcher Terrace'!$A$12:$A$130,"&lt;"&amp;Diagram!$P72)))</f>
        <v>0</v>
      </c>
      <c r="EO72" s="42">
        <f ca="1">IF(OR($I$10="",$O72="",$P72="",$J$42&lt;&gt;"Yes"),0,IF($K$10=0,SUMIFS(INDIRECT(ADDRESS(12,3+18*1+(7),,,"J1 B - Butcher Terrace")&amp;":"&amp;ADDRESS(130,3+18*1+(7))),'J1 B - Butcher Terrace'!$A$12:$A$130,"&gt;="&amp;Diagram!$O72,'J1 B - Butcher Terrace'!$A$12:$A$130,"&lt;"&amp;Diagram!$P72),SUMIFS(INDIRECT(ADDRESS(12,3+18*1+(15),,,"J1 B - Butcher Terrace")&amp;":"&amp;ADDRESS(130,3+18*1+(15))),'J1 B - Butcher Terrace'!$A$12:$A$130,"&gt;="&amp;Diagram!$O72,'J1 B - Butcher Terrace'!$A$12:$A$130,"&lt;"&amp;Diagram!$P72)))</f>
        <v>0</v>
      </c>
      <c r="EP72" s="42">
        <f ca="1">IF(OR($I$10="",$O72="",$P72="",$J$42&lt;&gt;"Yes"),0,IF($K$10=0,SUMIFS(INDIRECT(ADDRESS(12,3+18*1+(7),,,"J1 C - (South) Bishopthorpe Roa")&amp;":"&amp;ADDRESS(130,3+18*1+(7))),'J1 C - (South) Bishopthorpe Roa'!$A$12:$A$130,"&gt;="&amp;Diagram!$O72,'J1 C - (South) Bishopthorpe Roa'!$A$12:$A$130,"&lt;"&amp;Diagram!$P72),SUMIFS(INDIRECT(ADDRESS(12,3+18*1+(15),,,"J1 C - (South) Bishopthorpe Roa")&amp;":"&amp;ADDRESS(130,3+18*1+(15))),'J1 C - (South) Bishopthorpe Roa'!$A$12:$A$130,"&gt;="&amp;Diagram!$O72,'J1 C - (South) Bishopthorpe Roa'!$A$12:$A$130,"&lt;"&amp;Diagram!$P72)))</f>
        <v>0</v>
      </c>
      <c r="EQ72" s="42">
        <f ca="1">IF(OR($I$10="",$O72="",$P72="",$J$42&lt;&gt;"Yes"),0,IF($K$10=0,SUMIFS(INDIRECT(ADDRESS(12,3+18*2+(7),,,"J1 C - (South) Bishopthorpe Roa")&amp;":"&amp;ADDRESS(130,3+18*2+(7))),'J1 C - (South) Bishopthorpe Roa'!$A$12:$A$130,"&gt;="&amp;Diagram!$O72,'J1 C - (South) Bishopthorpe Roa'!$A$12:$A$130,"&lt;"&amp;Diagram!$P72),SUMIFS(INDIRECT(ADDRESS(12,3+18*2+(15),,,"J1 C - (South) Bishopthorpe Roa")&amp;":"&amp;ADDRESS(130,3+18*2+(15))),'J1 C - (South) Bishopthorpe Roa'!$A$12:$A$130,"&gt;="&amp;Diagram!$O72,'J1 C - (South) Bishopthorpe Roa'!$A$12:$A$130,"&lt;"&amp;Diagram!$P72)))</f>
        <v>0</v>
      </c>
      <c r="ER72" s="42">
        <f ca="1">IF(OR($I$10="",$O72="",$P72="",$J$42&lt;&gt;"Yes"),0,IF($K$10=0,SUMIFS(INDIRECT(ADDRESS(12,3+18*3+(7),,,"J1 C - (South) Bishopthorpe Roa")&amp;":"&amp;ADDRESS(130,3+18*3+(7))),'J1 C - (South) Bishopthorpe Roa'!$A$12:$A$130,"&gt;="&amp;Diagram!$O72,'J1 C - (South) Bishopthorpe Roa'!$A$12:$A$130,"&lt;"&amp;Diagram!$P72),SUMIFS(INDIRECT(ADDRESS(12,3+18*3+(15),,,"J1 C - (South) Bishopthorpe Roa")&amp;":"&amp;ADDRESS(130,3+18*3+(15))),'J1 C - (South) Bishopthorpe Roa'!$A$12:$A$130,"&gt;="&amp;Diagram!$O72,'J1 C - (South) Bishopthorpe Roa'!$A$12:$A$130,"&lt;"&amp;Diagram!$P72)))</f>
        <v>0</v>
      </c>
      <c r="ES72" s="42">
        <f ca="1">IF(OR($I$10="",$O72="",$P72="",$J$42&lt;&gt;"Yes"),0,IF($K$10=0,SUMIFS(INDIRECT(ADDRESS(12,3+18*0+(7),,,"J1 C - (South) Bishopthorpe Roa")&amp;":"&amp;ADDRESS(130,3+18*0+(7))),'J1 C - (South) Bishopthorpe Roa'!$A$12:$A$130,"&gt;="&amp;Diagram!$O72,'J1 C - (South) Bishopthorpe Roa'!$A$12:$A$130,"&lt;"&amp;Diagram!$P72),SUMIFS(INDIRECT(ADDRESS(12,3+18*0+(15),,,"J1 C - (South) Bishopthorpe Roa")&amp;":"&amp;ADDRESS(130,3+18*0+(15))),'J1 C - (South) Bishopthorpe Roa'!$A$12:$A$130,"&gt;="&amp;Diagram!$O72,'J1 C - (South) Bishopthorpe Roa'!$A$12:$A$130,"&lt;"&amp;Diagram!$P72)))</f>
        <v>0</v>
      </c>
      <c r="ET72" s="42">
        <f ca="1">IF(OR($I$10="",$O72="",$P72="",$J$42&lt;&gt;"Yes"),0,IF($K$10=0,SUMIFS(INDIRECT(ADDRESS(12,3+18*0+(7),,,"J1 D - South Bank Avenue")&amp;":"&amp;ADDRESS(130,3+18*0+(7))),'J1 D - South Bank Avenue'!$A$12:$A$130,"&gt;="&amp;Diagram!$O72,'J1 D - South Bank Avenue'!$A$12:$A$130,"&lt;"&amp;Diagram!$P72),SUMIFS(INDIRECT(ADDRESS(12,3+18*0+(15),,,"J1 D - South Bank Avenue")&amp;":"&amp;ADDRESS(130,3+18*0+(15))),'J1 D - South Bank Avenue'!$A$12:$A$130,"&gt;="&amp;Diagram!$O72,'J1 D - South Bank Avenue'!$A$12:$A$130,"&lt;"&amp;Diagram!$P72)))</f>
        <v>0</v>
      </c>
      <c r="EU72" s="42">
        <f ca="1">IF(OR($I$10="",$O72="",$P72="",$J$42&lt;&gt;"Yes"),0,IF($K$10=0,SUMIFS(INDIRECT(ADDRESS(12,3+18*1+(7),,,"J1 D - South Bank Avenue")&amp;":"&amp;ADDRESS(130,3+18*1+(7))),'J1 D - South Bank Avenue'!$A$12:$A$130,"&gt;="&amp;Diagram!$O72,'J1 D - South Bank Avenue'!$A$12:$A$130,"&lt;"&amp;Diagram!$P72),SUMIFS(INDIRECT(ADDRESS(12,3+18*1+(15),,,"J1 D - South Bank Avenue")&amp;":"&amp;ADDRESS(130,3+18*1+(15))),'J1 D - South Bank Avenue'!$A$12:$A$130,"&gt;="&amp;Diagram!$O72,'J1 D - South Bank Avenue'!$A$12:$A$130,"&lt;"&amp;Diagram!$P72)))</f>
        <v>0</v>
      </c>
      <c r="EV72" s="42">
        <f ca="1">IF(OR($I$10="",$O72="",$P72="",$J$42&lt;&gt;"Yes"),0,IF($K$10=0,SUMIFS(INDIRECT(ADDRESS(12,3+18*2+(7),,,"J1 D - South Bank Avenue")&amp;":"&amp;ADDRESS(130,3+18*2+(7))),'J1 D - South Bank Avenue'!$A$12:$A$130,"&gt;="&amp;Diagram!$O72,'J1 D - South Bank Avenue'!$A$12:$A$130,"&lt;"&amp;Diagram!$P72),SUMIFS(INDIRECT(ADDRESS(12,3+18*2+(15),,,"J1 D - South Bank Avenue")&amp;":"&amp;ADDRESS(130,3+18*2+(15))),'J1 D - South Bank Avenue'!$A$12:$A$130,"&gt;="&amp;Diagram!$O72,'J1 D - South Bank Avenue'!$A$12:$A$130,"&lt;"&amp;Diagram!$P72)))</f>
        <v>0</v>
      </c>
      <c r="EW72" s="42">
        <f ca="1">IF(OR($I$10="",$O72="",$P72="",$J$42&lt;&gt;"Yes"),0,IF($K$10=0,SUMIFS(INDIRECT(ADDRESS(12,3+18*3+(7),,,"J1 D - South Bank Avenue")&amp;":"&amp;ADDRESS(130,3+18*3+(7))),'J1 D - South Bank Avenue'!$A$12:$A$130,"&gt;="&amp;Diagram!$O72,'J1 D - South Bank Avenue'!$A$12:$A$130,"&lt;"&amp;Diagram!$P72),SUMIFS(INDIRECT(ADDRESS(12,3+18*3+(15),,,"J1 D - South Bank Avenue")&amp;":"&amp;ADDRESS(130,3+18*3+(15))),'J1 D - South Bank Avenue'!$A$12:$A$130,"&gt;="&amp;Diagram!$O72,'J1 D - South Bank Avenue'!$A$12:$A$130,"&lt;"&amp;Diagram!$P72)))</f>
        <v>0</v>
      </c>
    </row>
    <row r="73" spans="1:153">
      <c r="A73" s="1">
        <v>44395.75</v>
      </c>
      <c r="B73" s="1">
        <v>44395.760416666701</v>
      </c>
      <c r="O73" s="3">
        <v>44395.75</v>
      </c>
      <c r="P73" s="3">
        <v>44395.791666666701</v>
      </c>
      <c r="Q73" s="42">
        <f t="shared" ca="1" si="10"/>
        <v>686</v>
      </c>
      <c r="R73" s="42">
        <f t="shared" ca="1" si="11"/>
        <v>511</v>
      </c>
      <c r="S73" s="42">
        <f ca="1">IF(OR($I$10="",$O73="",$P73="",$J$35&lt;&gt;"Yes"),0,IF($K$10=0,SUMIFS(INDIRECT(ADDRESS(12,3+18*3+(0),,,"J1 A - (North) Bishopthorpe Roa")&amp;":"&amp;ADDRESS(130,3+18*3+(0))),'J1 A - (North) Bishopthorpe Roa'!$A$12:$A$130,"&gt;="&amp;Diagram!$O73,'J1 A - (North) Bishopthorpe Roa'!$A$12:$A$130,"&lt;"&amp;Diagram!$P73),SUMIFS(INDIRECT(ADDRESS(12,3+18*3+(8),,,"J1 A - (North) Bishopthorpe Roa")&amp;":"&amp;ADDRESS(130,3+18*3+(8))),'J1 A - (North) Bishopthorpe Roa'!$A$12:$A$130,"&gt;="&amp;Diagram!$O73,'J1 A - (North) Bishopthorpe Roa'!$A$12:$A$130,"&lt;"&amp;Diagram!$P73)))</f>
        <v>0</v>
      </c>
      <c r="T73" s="42">
        <f ca="1">IF(OR($I$10="",$O73="",$P73="",$J$35&lt;&gt;"Yes"),0,IF($K$10=0,SUMIFS(INDIRECT(ADDRESS(12,3+18*0+(0),,,"J1 A - (North) Bishopthorpe Roa")&amp;":"&amp;ADDRESS(130,3+18*0+(0))),'J1 A - (North) Bishopthorpe Roa'!$A$12:$A$130,"&gt;="&amp;Diagram!$O73,'J1 A - (North) Bishopthorpe Roa'!$A$12:$A$130,"&lt;"&amp;Diagram!$P73),SUMIFS(INDIRECT(ADDRESS(12,3+18*0+(8),,,"J1 A - (North) Bishopthorpe Roa")&amp;":"&amp;ADDRESS(130,3+18*0+(8))),'J1 A - (North) Bishopthorpe Roa'!$A$12:$A$130,"&gt;="&amp;Diagram!$O73,'J1 A - (North) Bishopthorpe Roa'!$A$12:$A$130,"&lt;"&amp;Diagram!$P73)))</f>
        <v>19</v>
      </c>
      <c r="U73" s="42">
        <f ca="1">IF(OR($I$10="",$O73="",$P73="",$J$35&lt;&gt;"Yes"),0,IF($K$10=0,SUMIFS(INDIRECT(ADDRESS(12,3+18*1+(0),,,"J1 A - (North) Bishopthorpe Roa")&amp;":"&amp;ADDRESS(130,3+18*1+(0))),'J1 A - (North) Bishopthorpe Roa'!$A$12:$A$130,"&gt;="&amp;Diagram!$O73,'J1 A - (North) Bishopthorpe Roa'!$A$12:$A$130,"&lt;"&amp;Diagram!$P73),SUMIFS(INDIRECT(ADDRESS(12,3+18*1+(8),,,"J1 A - (North) Bishopthorpe Roa")&amp;":"&amp;ADDRESS(130,3+18*1+(8))),'J1 A - (North) Bishopthorpe Roa'!$A$12:$A$130,"&gt;="&amp;Diagram!$O73,'J1 A - (North) Bishopthorpe Roa'!$A$12:$A$130,"&lt;"&amp;Diagram!$P73)))</f>
        <v>214</v>
      </c>
      <c r="V73" s="42">
        <f ca="1">IF(OR($I$10="",$O73="",$P73="",$J$35&lt;&gt;"Yes"),0,IF($K$10=0,SUMIFS(INDIRECT(ADDRESS(12,3+18*2+(0),,,"J1 A - (North) Bishopthorpe Roa")&amp;":"&amp;ADDRESS(130,3+18*2+(0))),'J1 A - (North) Bishopthorpe Roa'!$A$12:$A$130,"&gt;="&amp;Diagram!$O73,'J1 A - (North) Bishopthorpe Roa'!$A$12:$A$130,"&lt;"&amp;Diagram!$P73),SUMIFS(INDIRECT(ADDRESS(12,3+18*2+(8),,,"J1 A - (North) Bishopthorpe Roa")&amp;":"&amp;ADDRESS(130,3+18*2+(8))),'J1 A - (North) Bishopthorpe Roa'!$A$12:$A$130,"&gt;="&amp;Diagram!$O73,'J1 A - (North) Bishopthorpe Roa'!$A$12:$A$130,"&lt;"&amp;Diagram!$P73)))</f>
        <v>31</v>
      </c>
      <c r="W73" s="42">
        <f ca="1">IF(OR($I$10="",$O73="",$P73="",$J$35&lt;&gt;"Yes"),0,IF($K$10=0,SUMIFS(INDIRECT(ADDRESS(12,3+18*2+(0),,,"J1 B - Butcher Terrace")&amp;":"&amp;ADDRESS(130,3+18*2+(0))),'J1 B - Butcher Terrace'!$A$12:$A$130,"&gt;="&amp;Diagram!$O73,'J1 B - Butcher Terrace'!$A$12:$A$130,"&lt;"&amp;Diagram!$P73),SUMIFS(INDIRECT(ADDRESS(12,3+18*2+(8),,,"J1 B - Butcher Terrace")&amp;":"&amp;ADDRESS(130,3+18*2+(8))),'J1 B - Butcher Terrace'!$A$12:$A$130,"&gt;="&amp;Diagram!$O73,'J1 B - Butcher Terrace'!$A$12:$A$130,"&lt;"&amp;Diagram!$P73)))</f>
        <v>10</v>
      </c>
      <c r="X73" s="42">
        <f ca="1">IF(OR($I$10="",$O73="",$P73="",$J$35&lt;&gt;"Yes"),0,IF($K$10=0,SUMIFS(INDIRECT(ADDRESS(12,3+18*3+(0),,,"J1 B - Butcher Terrace")&amp;":"&amp;ADDRESS(130,3+18*3+(0))),'J1 B - Butcher Terrace'!$A$12:$A$130,"&gt;="&amp;Diagram!$O73,'J1 B - Butcher Terrace'!$A$12:$A$130,"&lt;"&amp;Diagram!$P73),SUMIFS(INDIRECT(ADDRESS(12,3+18*3+(8),,,"J1 B - Butcher Terrace")&amp;":"&amp;ADDRESS(130,3+18*3+(8))),'J1 B - Butcher Terrace'!$A$12:$A$130,"&gt;="&amp;Diagram!$O73,'J1 B - Butcher Terrace'!$A$12:$A$130,"&lt;"&amp;Diagram!$P73)))</f>
        <v>0</v>
      </c>
      <c r="Y73" s="42">
        <f ca="1">IF(OR($I$10="",$O73="",$P73="",$J$35&lt;&gt;"Yes"),0,IF($K$10=0,SUMIFS(INDIRECT(ADDRESS(12,3+18*0+(0),,,"J1 B - Butcher Terrace")&amp;":"&amp;ADDRESS(130,3+18*0+(0))),'J1 B - Butcher Terrace'!$A$12:$A$130,"&gt;="&amp;Diagram!$O73,'J1 B - Butcher Terrace'!$A$12:$A$130,"&lt;"&amp;Diagram!$P73),SUMIFS(INDIRECT(ADDRESS(12,3+18*0+(8),,,"J1 B - Butcher Terrace")&amp;":"&amp;ADDRESS(130,3+18*0+(8))),'J1 B - Butcher Terrace'!$A$12:$A$130,"&gt;="&amp;Diagram!$O73,'J1 B - Butcher Terrace'!$A$12:$A$130,"&lt;"&amp;Diagram!$P73)))</f>
        <v>7</v>
      </c>
      <c r="Z73" s="42">
        <f ca="1">IF(OR($I$10="",$O73="",$P73="",$J$35&lt;&gt;"Yes"),0,IF($K$10=0,SUMIFS(INDIRECT(ADDRESS(12,3+18*1+(0),,,"J1 B - Butcher Terrace")&amp;":"&amp;ADDRESS(130,3+18*1+(0))),'J1 B - Butcher Terrace'!$A$12:$A$130,"&gt;="&amp;Diagram!$O73,'J1 B - Butcher Terrace'!$A$12:$A$130,"&lt;"&amp;Diagram!$P73),SUMIFS(INDIRECT(ADDRESS(12,3+18*1+(8),,,"J1 B - Butcher Terrace")&amp;":"&amp;ADDRESS(130,3+18*1+(8))),'J1 B - Butcher Terrace'!$A$12:$A$130,"&gt;="&amp;Diagram!$O73,'J1 B - Butcher Terrace'!$A$12:$A$130,"&lt;"&amp;Diagram!$P73)))</f>
        <v>1</v>
      </c>
      <c r="AA73" s="42">
        <f ca="1">IF(OR($I$10="",$O73="",$P73="",$J$35&lt;&gt;"Yes"),0,IF($K$10=0,SUMIFS(INDIRECT(ADDRESS(12,3+18*1+(0),,,"J1 C - (South) Bishopthorpe Roa")&amp;":"&amp;ADDRESS(130,3+18*1+(0))),'J1 C - (South) Bishopthorpe Roa'!$A$12:$A$130,"&gt;="&amp;Diagram!$O73,'J1 C - (South) Bishopthorpe Roa'!$A$12:$A$130,"&lt;"&amp;Diagram!$P73),SUMIFS(INDIRECT(ADDRESS(12,3+18*1+(8),,,"J1 C - (South) Bishopthorpe Roa")&amp;":"&amp;ADDRESS(130,3+18*1+(8))),'J1 C - (South) Bishopthorpe Roa'!$A$12:$A$130,"&gt;="&amp;Diagram!$O73,'J1 C - (South) Bishopthorpe Roa'!$A$12:$A$130,"&lt;"&amp;Diagram!$P73)))</f>
        <v>181</v>
      </c>
      <c r="AB73" s="42">
        <f ca="1">IF(OR($I$10="",$O73="",$P73="",$J$35&lt;&gt;"Yes"),0,IF($K$10=0,SUMIFS(INDIRECT(ADDRESS(12,3+18*2+(0),,,"J1 C - (South) Bishopthorpe Roa")&amp;":"&amp;ADDRESS(130,3+18*2+(0))),'J1 C - (South) Bishopthorpe Roa'!$A$12:$A$130,"&gt;="&amp;Diagram!$O73,'J1 C - (South) Bishopthorpe Roa'!$A$12:$A$130,"&lt;"&amp;Diagram!$P73),SUMIFS(INDIRECT(ADDRESS(12,3+18*2+(8),,,"J1 C - (South) Bishopthorpe Roa")&amp;":"&amp;ADDRESS(130,3+18*2+(8))),'J1 C - (South) Bishopthorpe Roa'!$A$12:$A$130,"&gt;="&amp;Diagram!$O73,'J1 C - (South) Bishopthorpe Roa'!$A$12:$A$130,"&lt;"&amp;Diagram!$P73)))</f>
        <v>14</v>
      </c>
      <c r="AC73" s="42">
        <f ca="1">IF(OR($I$10="",$O73="",$P73="",$J$35&lt;&gt;"Yes"),0,IF($K$10=0,SUMIFS(INDIRECT(ADDRESS(12,3+18*3+(0),,,"J1 C - (South) Bishopthorpe Roa")&amp;":"&amp;ADDRESS(130,3+18*3+(0))),'J1 C - (South) Bishopthorpe Roa'!$A$12:$A$130,"&gt;="&amp;Diagram!$O73,'J1 C - (South) Bishopthorpe Roa'!$A$12:$A$130,"&lt;"&amp;Diagram!$P73),SUMIFS(INDIRECT(ADDRESS(12,3+18*3+(8),,,"J1 C - (South) Bishopthorpe Roa")&amp;":"&amp;ADDRESS(130,3+18*3+(8))),'J1 C - (South) Bishopthorpe Roa'!$A$12:$A$130,"&gt;="&amp;Diagram!$O73,'J1 C - (South) Bishopthorpe Roa'!$A$12:$A$130,"&lt;"&amp;Diagram!$P73)))</f>
        <v>0</v>
      </c>
      <c r="AD73" s="42">
        <f ca="1">IF(OR($I$10="",$O73="",$P73="",$J$35&lt;&gt;"Yes"),0,IF($K$10=0,SUMIFS(INDIRECT(ADDRESS(12,3+18*0+(0),,,"J1 C - (South) Bishopthorpe Roa")&amp;":"&amp;ADDRESS(130,3+18*0+(0))),'J1 C - (South) Bishopthorpe Roa'!$A$12:$A$130,"&gt;="&amp;Diagram!$O73,'J1 C - (South) Bishopthorpe Roa'!$A$12:$A$130,"&lt;"&amp;Diagram!$P73),SUMIFS(INDIRECT(ADDRESS(12,3+18*0+(8),,,"J1 C - (South) Bishopthorpe Roa")&amp;":"&amp;ADDRESS(130,3+18*0+(8))),'J1 C - (South) Bishopthorpe Roa'!$A$12:$A$130,"&gt;="&amp;Diagram!$O73,'J1 C - (South) Bishopthorpe Roa'!$A$12:$A$130,"&lt;"&amp;Diagram!$P73)))</f>
        <v>7</v>
      </c>
      <c r="AE73" s="42">
        <f ca="1">IF(OR($I$10="",$O73="",$P73="",$J$35&lt;&gt;"Yes"),0,IF($K$10=0,SUMIFS(INDIRECT(ADDRESS(12,3+18*0+(0),,,"J1 D - South Bank Avenue")&amp;":"&amp;ADDRESS(130,3+18*0+(0))),'J1 D - South Bank Avenue'!$A$12:$A$130,"&gt;="&amp;Diagram!$O73,'J1 D - South Bank Avenue'!$A$12:$A$130,"&lt;"&amp;Diagram!$P73),SUMIFS(INDIRECT(ADDRESS(12,3+18*0+(8),,,"J1 D - South Bank Avenue")&amp;":"&amp;ADDRESS(130,3+18*0+(8))),'J1 D - South Bank Avenue'!$A$12:$A$130,"&gt;="&amp;Diagram!$O73,'J1 D - South Bank Avenue'!$A$12:$A$130,"&lt;"&amp;Diagram!$P73)))</f>
        <v>21</v>
      </c>
      <c r="AF73" s="42">
        <f ca="1">IF(OR($I$10="",$O73="",$P73="",$J$35&lt;&gt;"Yes"),0,IF($K$10=0,SUMIFS(INDIRECT(ADDRESS(12,3+18*1+(0),,,"J1 D - South Bank Avenue")&amp;":"&amp;ADDRESS(130,3+18*1+(0))),'J1 D - South Bank Avenue'!$A$12:$A$130,"&gt;="&amp;Diagram!$O73,'J1 D - South Bank Avenue'!$A$12:$A$130,"&lt;"&amp;Diagram!$P73),SUMIFS(INDIRECT(ADDRESS(12,3+18*1+(8),,,"J1 D - South Bank Avenue")&amp;":"&amp;ADDRESS(130,3+18*1+(8))),'J1 D - South Bank Avenue'!$A$12:$A$130,"&gt;="&amp;Diagram!$O73,'J1 D - South Bank Avenue'!$A$12:$A$130,"&lt;"&amp;Diagram!$P73)))</f>
        <v>1</v>
      </c>
      <c r="AG73" s="42">
        <f ca="1">IF(OR($I$10="",$O73="",$P73="",$J$35&lt;&gt;"Yes"),0,IF($K$10=0,SUMIFS(INDIRECT(ADDRESS(12,3+18*2+(0),,,"J1 D - South Bank Avenue")&amp;":"&amp;ADDRESS(130,3+18*2+(0))),'J1 D - South Bank Avenue'!$A$12:$A$130,"&gt;="&amp;Diagram!$O73,'J1 D - South Bank Avenue'!$A$12:$A$130,"&lt;"&amp;Diagram!$P73),SUMIFS(INDIRECT(ADDRESS(12,3+18*2+(8),,,"J1 D - South Bank Avenue")&amp;":"&amp;ADDRESS(130,3+18*2+(8))),'J1 D - South Bank Avenue'!$A$12:$A$130,"&gt;="&amp;Diagram!$O73,'J1 D - South Bank Avenue'!$A$12:$A$130,"&lt;"&amp;Diagram!$P73)))</f>
        <v>5</v>
      </c>
      <c r="AH73" s="42">
        <f ca="1">IF(OR($I$10="",$O73="",$P73="",$J$35&lt;&gt;"Yes"),0,IF($K$10=0,SUMIFS(INDIRECT(ADDRESS(12,3+18*3+(0),,,"J1 D - South Bank Avenue")&amp;":"&amp;ADDRESS(130,3+18*3+(0))),'J1 D - South Bank Avenue'!$A$12:$A$130,"&gt;="&amp;Diagram!$O73,'J1 D - South Bank Avenue'!$A$12:$A$130,"&lt;"&amp;Diagram!$P73),SUMIFS(INDIRECT(ADDRESS(12,3+18*3+(8),,,"J1 D - South Bank Avenue")&amp;":"&amp;ADDRESS(130,3+18*3+(8))),'J1 D - South Bank Avenue'!$A$12:$A$130,"&gt;="&amp;Diagram!$O73,'J1 D - South Bank Avenue'!$A$12:$A$130,"&lt;"&amp;Diagram!$P73)))</f>
        <v>0</v>
      </c>
      <c r="AI73" s="42">
        <f t="shared" ca="1" si="12"/>
        <v>21</v>
      </c>
      <c r="AJ73" s="42">
        <f ca="1">IF(OR($I$10="",$O73="",$P73="",$J$36&lt;&gt;"Yes"),0,IF($K$10=0,SUMIFS(INDIRECT(ADDRESS(12,3+18*3+(1),,,"J1 A - (North) Bishopthorpe Roa")&amp;":"&amp;ADDRESS(130,3+18*3+(1))),'J1 A - (North) Bishopthorpe Roa'!$A$12:$A$130,"&gt;="&amp;Diagram!$O73,'J1 A - (North) Bishopthorpe Roa'!$A$12:$A$130,"&lt;"&amp;Diagram!$P73),SUMIFS(INDIRECT(ADDRESS(12,3+18*3+(9),,,"J1 A - (North) Bishopthorpe Roa")&amp;":"&amp;ADDRESS(130,3+18*3+(9))),'J1 A - (North) Bishopthorpe Roa'!$A$12:$A$130,"&gt;="&amp;Diagram!$O73,'J1 A - (North) Bishopthorpe Roa'!$A$12:$A$130,"&lt;"&amp;Diagram!$P73)))</f>
        <v>0</v>
      </c>
      <c r="AK73" s="42">
        <f ca="1">IF(OR($I$10="",$O73="",$P73="",$J$36&lt;&gt;"Yes"),0,IF($K$10=0,SUMIFS(INDIRECT(ADDRESS(12,3+18*0+(1),,,"J1 A - (North) Bishopthorpe Roa")&amp;":"&amp;ADDRESS(130,3+18*0+(1))),'J1 A - (North) Bishopthorpe Roa'!$A$12:$A$130,"&gt;="&amp;Diagram!$O73,'J1 A - (North) Bishopthorpe Roa'!$A$12:$A$130,"&lt;"&amp;Diagram!$P73),SUMIFS(INDIRECT(ADDRESS(12,3+18*0+(9),,,"J1 A - (North) Bishopthorpe Roa")&amp;":"&amp;ADDRESS(130,3+18*0+(9))),'J1 A - (North) Bishopthorpe Roa'!$A$12:$A$130,"&gt;="&amp;Diagram!$O73,'J1 A - (North) Bishopthorpe Roa'!$A$12:$A$130,"&lt;"&amp;Diagram!$P73)))</f>
        <v>2</v>
      </c>
      <c r="AL73" s="42">
        <f ca="1">IF(OR($I$10="",$O73="",$P73="",$J$36&lt;&gt;"Yes"),0,IF($K$10=0,SUMIFS(INDIRECT(ADDRESS(12,3+18*1+(1),,,"J1 A - (North) Bishopthorpe Roa")&amp;":"&amp;ADDRESS(130,3+18*1+(1))),'J1 A - (North) Bishopthorpe Roa'!$A$12:$A$130,"&gt;="&amp;Diagram!$O73,'J1 A - (North) Bishopthorpe Roa'!$A$12:$A$130,"&lt;"&amp;Diagram!$P73),SUMIFS(INDIRECT(ADDRESS(12,3+18*1+(9),,,"J1 A - (North) Bishopthorpe Roa")&amp;":"&amp;ADDRESS(130,3+18*1+(9))),'J1 A - (North) Bishopthorpe Roa'!$A$12:$A$130,"&gt;="&amp;Diagram!$O73,'J1 A - (North) Bishopthorpe Roa'!$A$12:$A$130,"&lt;"&amp;Diagram!$P73)))</f>
        <v>10</v>
      </c>
      <c r="AM73" s="42">
        <f ca="1">IF(OR($I$10="",$O73="",$P73="",$J$36&lt;&gt;"Yes"),0,IF($K$10=0,SUMIFS(INDIRECT(ADDRESS(12,3+18*2+(1),,,"J1 A - (North) Bishopthorpe Roa")&amp;":"&amp;ADDRESS(130,3+18*2+(1))),'J1 A - (North) Bishopthorpe Roa'!$A$12:$A$130,"&gt;="&amp;Diagram!$O73,'J1 A - (North) Bishopthorpe Roa'!$A$12:$A$130,"&lt;"&amp;Diagram!$P73),SUMIFS(INDIRECT(ADDRESS(12,3+18*2+(9),,,"J1 A - (North) Bishopthorpe Roa")&amp;":"&amp;ADDRESS(130,3+18*2+(9))),'J1 A - (North) Bishopthorpe Roa'!$A$12:$A$130,"&gt;="&amp;Diagram!$O73,'J1 A - (North) Bishopthorpe Roa'!$A$12:$A$130,"&lt;"&amp;Diagram!$P73)))</f>
        <v>2</v>
      </c>
      <c r="AN73" s="42">
        <f ca="1">IF(OR($I$10="",$O73="",$P73="",$J$36&lt;&gt;"Yes"),0,IF($K$10=0,SUMIFS(INDIRECT(ADDRESS(12,3+18*2+(1),,,"J1 B - Butcher Terrace")&amp;":"&amp;ADDRESS(130,3+18*2+(1))),'J1 B - Butcher Terrace'!$A$12:$A$130,"&gt;="&amp;Diagram!$O73,'J1 B - Butcher Terrace'!$A$12:$A$130,"&lt;"&amp;Diagram!$P73),SUMIFS(INDIRECT(ADDRESS(12,3+18*2+(9),,,"J1 B - Butcher Terrace")&amp;":"&amp;ADDRESS(130,3+18*2+(9))),'J1 B - Butcher Terrace'!$A$12:$A$130,"&gt;="&amp;Diagram!$O73,'J1 B - Butcher Terrace'!$A$12:$A$130,"&lt;"&amp;Diagram!$P73)))</f>
        <v>0</v>
      </c>
      <c r="AO73" s="42">
        <f ca="1">IF(OR($I$10="",$O73="",$P73="",$J$36&lt;&gt;"Yes"),0,IF($K$10=0,SUMIFS(INDIRECT(ADDRESS(12,3+18*3+(1),,,"J1 B - Butcher Terrace")&amp;":"&amp;ADDRESS(130,3+18*3+(1))),'J1 B - Butcher Terrace'!$A$12:$A$130,"&gt;="&amp;Diagram!$O73,'J1 B - Butcher Terrace'!$A$12:$A$130,"&lt;"&amp;Diagram!$P73),SUMIFS(INDIRECT(ADDRESS(12,3+18*3+(9),,,"J1 B - Butcher Terrace")&amp;":"&amp;ADDRESS(130,3+18*3+(9))),'J1 B - Butcher Terrace'!$A$12:$A$130,"&gt;="&amp;Diagram!$O73,'J1 B - Butcher Terrace'!$A$12:$A$130,"&lt;"&amp;Diagram!$P73)))</f>
        <v>0</v>
      </c>
      <c r="AP73" s="42">
        <f ca="1">IF(OR($I$10="",$O73="",$P73="",$J$36&lt;&gt;"Yes"),0,IF($K$10=0,SUMIFS(INDIRECT(ADDRESS(12,3+18*0+(1),,,"J1 B - Butcher Terrace")&amp;":"&amp;ADDRESS(130,3+18*0+(1))),'J1 B - Butcher Terrace'!$A$12:$A$130,"&gt;="&amp;Diagram!$O73,'J1 B - Butcher Terrace'!$A$12:$A$130,"&lt;"&amp;Diagram!$P73),SUMIFS(INDIRECT(ADDRESS(12,3+18*0+(9),,,"J1 B - Butcher Terrace")&amp;":"&amp;ADDRESS(130,3+18*0+(9))),'J1 B - Butcher Terrace'!$A$12:$A$130,"&gt;="&amp;Diagram!$O73,'J1 B - Butcher Terrace'!$A$12:$A$130,"&lt;"&amp;Diagram!$P73)))</f>
        <v>1</v>
      </c>
      <c r="AQ73" s="42">
        <f ca="1">IF(OR($I$10="",$O73="",$P73="",$J$36&lt;&gt;"Yes"),0,IF($K$10=0,SUMIFS(INDIRECT(ADDRESS(12,3+18*1+(1),,,"J1 B - Butcher Terrace")&amp;":"&amp;ADDRESS(130,3+18*1+(1))),'J1 B - Butcher Terrace'!$A$12:$A$130,"&gt;="&amp;Diagram!$O73,'J1 B - Butcher Terrace'!$A$12:$A$130,"&lt;"&amp;Diagram!$P73),SUMIFS(INDIRECT(ADDRESS(12,3+18*1+(9),,,"J1 B - Butcher Terrace")&amp;":"&amp;ADDRESS(130,3+18*1+(9))),'J1 B - Butcher Terrace'!$A$12:$A$130,"&gt;="&amp;Diagram!$O73,'J1 B - Butcher Terrace'!$A$12:$A$130,"&lt;"&amp;Diagram!$P73)))</f>
        <v>0</v>
      </c>
      <c r="AR73" s="42">
        <f ca="1">IF(OR($I$10="",$O73="",$P73="",$J$36&lt;&gt;"Yes"),0,IF($K$10=0,SUMIFS(INDIRECT(ADDRESS(12,3+18*1+(1),,,"J1 C - (South) Bishopthorpe Roa")&amp;":"&amp;ADDRESS(130,3+18*1+(1))),'J1 C - (South) Bishopthorpe Roa'!$A$12:$A$130,"&gt;="&amp;Diagram!$O73,'J1 C - (South) Bishopthorpe Roa'!$A$12:$A$130,"&lt;"&amp;Diagram!$P73),SUMIFS(INDIRECT(ADDRESS(12,3+18*1+(9),,,"J1 C - (South) Bishopthorpe Roa")&amp;":"&amp;ADDRESS(130,3+18*1+(9))),'J1 C - (South) Bishopthorpe Roa'!$A$12:$A$130,"&gt;="&amp;Diagram!$O73,'J1 C - (South) Bishopthorpe Roa'!$A$12:$A$130,"&lt;"&amp;Diagram!$P73)))</f>
        <v>5</v>
      </c>
      <c r="AS73" s="42">
        <f ca="1">IF(OR($I$10="",$O73="",$P73="",$J$36&lt;&gt;"Yes"),0,IF($K$10=0,SUMIFS(INDIRECT(ADDRESS(12,3+18*2+(1),,,"J1 C - (South) Bishopthorpe Roa")&amp;":"&amp;ADDRESS(130,3+18*2+(1))),'J1 C - (South) Bishopthorpe Roa'!$A$12:$A$130,"&gt;="&amp;Diagram!$O73,'J1 C - (South) Bishopthorpe Roa'!$A$12:$A$130,"&lt;"&amp;Diagram!$P73),SUMIFS(INDIRECT(ADDRESS(12,3+18*2+(9),,,"J1 C - (South) Bishopthorpe Roa")&amp;":"&amp;ADDRESS(130,3+18*2+(9))),'J1 C - (South) Bishopthorpe Roa'!$A$12:$A$130,"&gt;="&amp;Diagram!$O73,'J1 C - (South) Bishopthorpe Roa'!$A$12:$A$130,"&lt;"&amp;Diagram!$P73)))</f>
        <v>0</v>
      </c>
      <c r="AT73" s="42">
        <f ca="1">IF(OR($I$10="",$O73="",$P73="",$J$36&lt;&gt;"Yes"),0,IF($K$10=0,SUMIFS(INDIRECT(ADDRESS(12,3+18*3+(1),,,"J1 C - (South) Bishopthorpe Roa")&amp;":"&amp;ADDRESS(130,3+18*3+(1))),'J1 C - (South) Bishopthorpe Roa'!$A$12:$A$130,"&gt;="&amp;Diagram!$O73,'J1 C - (South) Bishopthorpe Roa'!$A$12:$A$130,"&lt;"&amp;Diagram!$P73),SUMIFS(INDIRECT(ADDRESS(12,3+18*3+(9),,,"J1 C - (South) Bishopthorpe Roa")&amp;":"&amp;ADDRESS(130,3+18*3+(9))),'J1 C - (South) Bishopthorpe Roa'!$A$12:$A$130,"&gt;="&amp;Diagram!$O73,'J1 C - (South) Bishopthorpe Roa'!$A$12:$A$130,"&lt;"&amp;Diagram!$P73)))</f>
        <v>0</v>
      </c>
      <c r="AU73" s="42">
        <f ca="1">IF(OR($I$10="",$O73="",$P73="",$J$36&lt;&gt;"Yes"),0,IF($K$10=0,SUMIFS(INDIRECT(ADDRESS(12,3+18*0+(1),,,"J1 C - (South) Bishopthorpe Roa")&amp;":"&amp;ADDRESS(130,3+18*0+(1))),'J1 C - (South) Bishopthorpe Roa'!$A$12:$A$130,"&gt;="&amp;Diagram!$O73,'J1 C - (South) Bishopthorpe Roa'!$A$12:$A$130,"&lt;"&amp;Diagram!$P73),SUMIFS(INDIRECT(ADDRESS(12,3+18*0+(9),,,"J1 C - (South) Bishopthorpe Roa")&amp;":"&amp;ADDRESS(130,3+18*0+(9))),'J1 C - (South) Bishopthorpe Roa'!$A$12:$A$130,"&gt;="&amp;Diagram!$O73,'J1 C - (South) Bishopthorpe Roa'!$A$12:$A$130,"&lt;"&amp;Diagram!$P73)))</f>
        <v>0</v>
      </c>
      <c r="AV73" s="42">
        <f ca="1">IF(OR($I$10="",$O73="",$P73="",$J$36&lt;&gt;"Yes"),0,IF($K$10=0,SUMIFS(INDIRECT(ADDRESS(12,3+18*0+(1),,,"J1 D - South Bank Avenue")&amp;":"&amp;ADDRESS(130,3+18*0+(1))),'J1 D - South Bank Avenue'!$A$12:$A$130,"&gt;="&amp;Diagram!$O73,'J1 D - South Bank Avenue'!$A$12:$A$130,"&lt;"&amp;Diagram!$P73),SUMIFS(INDIRECT(ADDRESS(12,3+18*0+(9),,,"J1 D - South Bank Avenue")&amp;":"&amp;ADDRESS(130,3+18*0+(9))),'J1 D - South Bank Avenue'!$A$12:$A$130,"&gt;="&amp;Diagram!$O73,'J1 D - South Bank Avenue'!$A$12:$A$130,"&lt;"&amp;Diagram!$P73)))</f>
        <v>1</v>
      </c>
      <c r="AW73" s="42">
        <f ca="1">IF(OR($I$10="",$O73="",$P73="",$J$36&lt;&gt;"Yes"),0,IF($K$10=0,SUMIFS(INDIRECT(ADDRESS(12,3+18*1+(1),,,"J1 D - South Bank Avenue")&amp;":"&amp;ADDRESS(130,3+18*1+(1))),'J1 D - South Bank Avenue'!$A$12:$A$130,"&gt;="&amp;Diagram!$O73,'J1 D - South Bank Avenue'!$A$12:$A$130,"&lt;"&amp;Diagram!$P73),SUMIFS(INDIRECT(ADDRESS(12,3+18*1+(9),,,"J1 D - South Bank Avenue")&amp;":"&amp;ADDRESS(130,3+18*1+(9))),'J1 D - South Bank Avenue'!$A$12:$A$130,"&gt;="&amp;Diagram!$O73,'J1 D - South Bank Avenue'!$A$12:$A$130,"&lt;"&amp;Diagram!$P73)))</f>
        <v>0</v>
      </c>
      <c r="AX73" s="42">
        <f ca="1">IF(OR($I$10="",$O73="",$P73="",$J$36&lt;&gt;"Yes"),0,IF($K$10=0,SUMIFS(INDIRECT(ADDRESS(12,3+18*2+(1),,,"J1 D - South Bank Avenue")&amp;":"&amp;ADDRESS(130,3+18*2+(1))),'J1 D - South Bank Avenue'!$A$12:$A$130,"&gt;="&amp;Diagram!$O73,'J1 D - South Bank Avenue'!$A$12:$A$130,"&lt;"&amp;Diagram!$P73),SUMIFS(INDIRECT(ADDRESS(12,3+18*2+(9),,,"J1 D - South Bank Avenue")&amp;":"&amp;ADDRESS(130,3+18*2+(9))),'J1 D - South Bank Avenue'!$A$12:$A$130,"&gt;="&amp;Diagram!$O73,'J1 D - South Bank Avenue'!$A$12:$A$130,"&lt;"&amp;Diagram!$P73)))</f>
        <v>0</v>
      </c>
      <c r="AY73" s="42">
        <f ca="1">IF(OR($I$10="",$O73="",$P73="",$J$36&lt;&gt;"Yes"),0,IF($K$10=0,SUMIFS(INDIRECT(ADDRESS(12,3+18*3+(1),,,"J1 D - South Bank Avenue")&amp;":"&amp;ADDRESS(130,3+18*3+(1))),'J1 D - South Bank Avenue'!$A$12:$A$130,"&gt;="&amp;Diagram!$O73,'J1 D - South Bank Avenue'!$A$12:$A$130,"&lt;"&amp;Diagram!$P73),SUMIFS(INDIRECT(ADDRESS(12,3+18*3+(9),,,"J1 D - South Bank Avenue")&amp;":"&amp;ADDRESS(130,3+18*3+(9))),'J1 D - South Bank Avenue'!$A$12:$A$130,"&gt;="&amp;Diagram!$O73,'J1 D - South Bank Avenue'!$A$12:$A$130,"&lt;"&amp;Diagram!$P73)))</f>
        <v>0</v>
      </c>
      <c r="AZ73" s="42">
        <f t="shared" ca="1" si="13"/>
        <v>1</v>
      </c>
      <c r="BA73" s="42">
        <f ca="1">IF(OR($I$10="",$O73="",$P73="",$J$37&lt;&gt;"Yes"),0,IF($K$10=0,SUMIFS(INDIRECT(ADDRESS(12,3+18*3+(2),,,"J1 A - (North) Bishopthorpe Roa")&amp;":"&amp;ADDRESS(130,3+18*3+(2))),'J1 A - (North) Bishopthorpe Roa'!$A$12:$A$130,"&gt;="&amp;Diagram!$O73,'J1 A - (North) Bishopthorpe Roa'!$A$12:$A$130,"&lt;"&amp;Diagram!$P73),SUMIFS(INDIRECT(ADDRESS(12,3+18*3+(10),,,"J1 A - (North) Bishopthorpe Roa")&amp;":"&amp;ADDRESS(130,3+18*3+(10))),'J1 A - (North) Bishopthorpe Roa'!$A$12:$A$130,"&gt;="&amp;Diagram!$O73,'J1 A - (North) Bishopthorpe Roa'!$A$12:$A$130,"&lt;"&amp;Diagram!$P73)))</f>
        <v>0</v>
      </c>
      <c r="BB73" s="42">
        <f ca="1">IF(OR($I$10="",$O73="",$P73="",$J$37&lt;&gt;"Yes"),0,IF($K$10=0,SUMIFS(INDIRECT(ADDRESS(12,3+18*0+(2),,,"J1 A - (North) Bishopthorpe Roa")&amp;":"&amp;ADDRESS(130,3+18*0+(2))),'J1 A - (North) Bishopthorpe Roa'!$A$12:$A$130,"&gt;="&amp;Diagram!$O73,'J1 A - (North) Bishopthorpe Roa'!$A$12:$A$130,"&lt;"&amp;Diagram!$P73),SUMIFS(INDIRECT(ADDRESS(12,3+18*0+(10),,,"J1 A - (North) Bishopthorpe Roa")&amp;":"&amp;ADDRESS(130,3+18*0+(10))),'J1 A - (North) Bishopthorpe Roa'!$A$12:$A$130,"&gt;="&amp;Diagram!$O73,'J1 A - (North) Bishopthorpe Roa'!$A$12:$A$130,"&lt;"&amp;Diagram!$P73)))</f>
        <v>0</v>
      </c>
      <c r="BC73" s="42">
        <f ca="1">IF(OR($I$10="",$O73="",$P73="",$J$37&lt;&gt;"Yes"),0,IF($K$10=0,SUMIFS(INDIRECT(ADDRESS(12,3+18*1+(2),,,"J1 A - (North) Bishopthorpe Roa")&amp;":"&amp;ADDRESS(130,3+18*1+(2))),'J1 A - (North) Bishopthorpe Roa'!$A$12:$A$130,"&gt;="&amp;Diagram!$O73,'J1 A - (North) Bishopthorpe Roa'!$A$12:$A$130,"&lt;"&amp;Diagram!$P73),SUMIFS(INDIRECT(ADDRESS(12,3+18*1+(10),,,"J1 A - (North) Bishopthorpe Roa")&amp;":"&amp;ADDRESS(130,3+18*1+(10))),'J1 A - (North) Bishopthorpe Roa'!$A$12:$A$130,"&gt;="&amp;Diagram!$O73,'J1 A - (North) Bishopthorpe Roa'!$A$12:$A$130,"&lt;"&amp;Diagram!$P73)))</f>
        <v>1</v>
      </c>
      <c r="BD73" s="42">
        <f ca="1">IF(OR($I$10="",$O73="",$P73="",$J$37&lt;&gt;"Yes"),0,IF($K$10=0,SUMIFS(INDIRECT(ADDRESS(12,3+18*2+(2),,,"J1 A - (North) Bishopthorpe Roa")&amp;":"&amp;ADDRESS(130,3+18*2+(2))),'J1 A - (North) Bishopthorpe Roa'!$A$12:$A$130,"&gt;="&amp;Diagram!$O73,'J1 A - (North) Bishopthorpe Roa'!$A$12:$A$130,"&lt;"&amp;Diagram!$P73),SUMIFS(INDIRECT(ADDRESS(12,3+18*2+(10),,,"J1 A - (North) Bishopthorpe Roa")&amp;":"&amp;ADDRESS(130,3+18*2+(10))),'J1 A - (North) Bishopthorpe Roa'!$A$12:$A$130,"&gt;="&amp;Diagram!$O73,'J1 A - (North) Bishopthorpe Roa'!$A$12:$A$130,"&lt;"&amp;Diagram!$P73)))</f>
        <v>0</v>
      </c>
      <c r="BE73" s="42">
        <f ca="1">IF(OR($I$10="",$O73="",$P73="",$J$37&lt;&gt;"Yes"),0,IF($K$10=0,SUMIFS(INDIRECT(ADDRESS(12,3+18*2+(2),,,"J1 B - Butcher Terrace")&amp;":"&amp;ADDRESS(130,3+18*2+(2))),'J1 B - Butcher Terrace'!$A$12:$A$130,"&gt;="&amp;Diagram!$O73,'J1 B - Butcher Terrace'!$A$12:$A$130,"&lt;"&amp;Diagram!$P73),SUMIFS(INDIRECT(ADDRESS(12,3+18*2+(10),,,"J1 B - Butcher Terrace")&amp;":"&amp;ADDRESS(130,3+18*2+(10))),'J1 B - Butcher Terrace'!$A$12:$A$130,"&gt;="&amp;Diagram!$O73,'J1 B - Butcher Terrace'!$A$12:$A$130,"&lt;"&amp;Diagram!$P73)))</f>
        <v>0</v>
      </c>
      <c r="BF73" s="42">
        <f ca="1">IF(OR($I$10="",$O73="",$P73="",$J$37&lt;&gt;"Yes"),0,IF($K$10=0,SUMIFS(INDIRECT(ADDRESS(12,3+18*3+(2),,,"J1 B - Butcher Terrace")&amp;":"&amp;ADDRESS(130,3+18*3+(2))),'J1 B - Butcher Terrace'!$A$12:$A$130,"&gt;="&amp;Diagram!$O73,'J1 B - Butcher Terrace'!$A$12:$A$130,"&lt;"&amp;Diagram!$P73),SUMIFS(INDIRECT(ADDRESS(12,3+18*3+(10),,,"J1 B - Butcher Terrace")&amp;":"&amp;ADDRESS(130,3+18*3+(10))),'J1 B - Butcher Terrace'!$A$12:$A$130,"&gt;="&amp;Diagram!$O73,'J1 B - Butcher Terrace'!$A$12:$A$130,"&lt;"&amp;Diagram!$P73)))</f>
        <v>0</v>
      </c>
      <c r="BG73" s="42">
        <f ca="1">IF(OR($I$10="",$O73="",$P73="",$J$37&lt;&gt;"Yes"),0,IF($K$10=0,SUMIFS(INDIRECT(ADDRESS(12,3+18*0+(2),,,"J1 B - Butcher Terrace")&amp;":"&amp;ADDRESS(130,3+18*0+(2))),'J1 B - Butcher Terrace'!$A$12:$A$130,"&gt;="&amp;Diagram!$O73,'J1 B - Butcher Terrace'!$A$12:$A$130,"&lt;"&amp;Diagram!$P73),SUMIFS(INDIRECT(ADDRESS(12,3+18*0+(10),,,"J1 B - Butcher Terrace")&amp;":"&amp;ADDRESS(130,3+18*0+(10))),'J1 B - Butcher Terrace'!$A$12:$A$130,"&gt;="&amp;Diagram!$O73,'J1 B - Butcher Terrace'!$A$12:$A$130,"&lt;"&amp;Diagram!$P73)))</f>
        <v>0</v>
      </c>
      <c r="BH73" s="42">
        <f ca="1">IF(OR($I$10="",$O73="",$P73="",$J$37&lt;&gt;"Yes"),0,IF($K$10=0,SUMIFS(INDIRECT(ADDRESS(12,3+18*1+(2),,,"J1 B - Butcher Terrace")&amp;":"&amp;ADDRESS(130,3+18*1+(2))),'J1 B - Butcher Terrace'!$A$12:$A$130,"&gt;="&amp;Diagram!$O73,'J1 B - Butcher Terrace'!$A$12:$A$130,"&lt;"&amp;Diagram!$P73),SUMIFS(INDIRECT(ADDRESS(12,3+18*1+(10),,,"J1 B - Butcher Terrace")&amp;":"&amp;ADDRESS(130,3+18*1+(10))),'J1 B - Butcher Terrace'!$A$12:$A$130,"&gt;="&amp;Diagram!$O73,'J1 B - Butcher Terrace'!$A$12:$A$130,"&lt;"&amp;Diagram!$P73)))</f>
        <v>0</v>
      </c>
      <c r="BI73" s="42">
        <f ca="1">IF(OR($I$10="",$O73="",$P73="",$J$37&lt;&gt;"Yes"),0,IF($K$10=0,SUMIFS(INDIRECT(ADDRESS(12,3+18*1+(2),,,"J1 C - (South) Bishopthorpe Roa")&amp;":"&amp;ADDRESS(130,3+18*1+(2))),'J1 C - (South) Bishopthorpe Roa'!$A$12:$A$130,"&gt;="&amp;Diagram!$O73,'J1 C - (South) Bishopthorpe Roa'!$A$12:$A$130,"&lt;"&amp;Diagram!$P73),SUMIFS(INDIRECT(ADDRESS(12,3+18*1+(10),,,"J1 C - (South) Bishopthorpe Roa")&amp;":"&amp;ADDRESS(130,3+18*1+(10))),'J1 C - (South) Bishopthorpe Roa'!$A$12:$A$130,"&gt;="&amp;Diagram!$O73,'J1 C - (South) Bishopthorpe Roa'!$A$12:$A$130,"&lt;"&amp;Diagram!$P73)))</f>
        <v>0</v>
      </c>
      <c r="BJ73" s="42">
        <f ca="1">IF(OR($I$10="",$O73="",$P73="",$J$37&lt;&gt;"Yes"),0,IF($K$10=0,SUMIFS(INDIRECT(ADDRESS(12,3+18*2+(2),,,"J1 C - (South) Bishopthorpe Roa")&amp;":"&amp;ADDRESS(130,3+18*2+(2))),'J1 C - (South) Bishopthorpe Roa'!$A$12:$A$130,"&gt;="&amp;Diagram!$O73,'J1 C - (South) Bishopthorpe Roa'!$A$12:$A$130,"&lt;"&amp;Diagram!$P73),SUMIFS(INDIRECT(ADDRESS(12,3+18*2+(10),,,"J1 C - (South) Bishopthorpe Roa")&amp;":"&amp;ADDRESS(130,3+18*2+(10))),'J1 C - (South) Bishopthorpe Roa'!$A$12:$A$130,"&gt;="&amp;Diagram!$O73,'J1 C - (South) Bishopthorpe Roa'!$A$12:$A$130,"&lt;"&amp;Diagram!$P73)))</f>
        <v>0</v>
      </c>
      <c r="BK73" s="42">
        <f ca="1">IF(OR($I$10="",$O73="",$P73="",$J$37&lt;&gt;"Yes"),0,IF($K$10=0,SUMIFS(INDIRECT(ADDRESS(12,3+18*3+(2),,,"J1 C - (South) Bishopthorpe Roa")&amp;":"&amp;ADDRESS(130,3+18*3+(2))),'J1 C - (South) Bishopthorpe Roa'!$A$12:$A$130,"&gt;="&amp;Diagram!$O73,'J1 C - (South) Bishopthorpe Roa'!$A$12:$A$130,"&lt;"&amp;Diagram!$P73),SUMIFS(INDIRECT(ADDRESS(12,3+18*3+(10),,,"J1 C - (South) Bishopthorpe Roa")&amp;":"&amp;ADDRESS(130,3+18*3+(10))),'J1 C - (South) Bishopthorpe Roa'!$A$12:$A$130,"&gt;="&amp;Diagram!$O73,'J1 C - (South) Bishopthorpe Roa'!$A$12:$A$130,"&lt;"&amp;Diagram!$P73)))</f>
        <v>0</v>
      </c>
      <c r="BL73" s="42">
        <f ca="1">IF(OR($I$10="",$O73="",$P73="",$J$37&lt;&gt;"Yes"),0,IF($K$10=0,SUMIFS(INDIRECT(ADDRESS(12,3+18*0+(2),,,"J1 C - (South) Bishopthorpe Roa")&amp;":"&amp;ADDRESS(130,3+18*0+(2))),'J1 C - (South) Bishopthorpe Roa'!$A$12:$A$130,"&gt;="&amp;Diagram!$O73,'J1 C - (South) Bishopthorpe Roa'!$A$12:$A$130,"&lt;"&amp;Diagram!$P73),SUMIFS(INDIRECT(ADDRESS(12,3+18*0+(10),,,"J1 C - (South) Bishopthorpe Roa")&amp;":"&amp;ADDRESS(130,3+18*0+(10))),'J1 C - (South) Bishopthorpe Roa'!$A$12:$A$130,"&gt;="&amp;Diagram!$O73,'J1 C - (South) Bishopthorpe Roa'!$A$12:$A$130,"&lt;"&amp;Diagram!$P73)))</f>
        <v>0</v>
      </c>
      <c r="BM73" s="42">
        <f ca="1">IF(OR($I$10="",$O73="",$P73="",$J$37&lt;&gt;"Yes"),0,IF($K$10=0,SUMIFS(INDIRECT(ADDRESS(12,3+18*0+(2),,,"J1 D - South Bank Avenue")&amp;":"&amp;ADDRESS(130,3+18*0+(2))),'J1 D - South Bank Avenue'!$A$12:$A$130,"&gt;="&amp;Diagram!$O73,'J1 D - South Bank Avenue'!$A$12:$A$130,"&lt;"&amp;Diagram!$P73),SUMIFS(INDIRECT(ADDRESS(12,3+18*0+(10),,,"J1 D - South Bank Avenue")&amp;":"&amp;ADDRESS(130,3+18*0+(10))),'J1 D - South Bank Avenue'!$A$12:$A$130,"&gt;="&amp;Diagram!$O73,'J1 D - South Bank Avenue'!$A$12:$A$130,"&lt;"&amp;Diagram!$P73)))</f>
        <v>0</v>
      </c>
      <c r="BN73" s="42">
        <f ca="1">IF(OR($I$10="",$O73="",$P73="",$J$37&lt;&gt;"Yes"),0,IF($K$10=0,SUMIFS(INDIRECT(ADDRESS(12,3+18*1+(2),,,"J1 D - South Bank Avenue")&amp;":"&amp;ADDRESS(130,3+18*1+(2))),'J1 D - South Bank Avenue'!$A$12:$A$130,"&gt;="&amp;Diagram!$O73,'J1 D - South Bank Avenue'!$A$12:$A$130,"&lt;"&amp;Diagram!$P73),SUMIFS(INDIRECT(ADDRESS(12,3+18*1+(10),,,"J1 D - South Bank Avenue")&amp;":"&amp;ADDRESS(130,3+18*1+(10))),'J1 D - South Bank Avenue'!$A$12:$A$130,"&gt;="&amp;Diagram!$O73,'J1 D - South Bank Avenue'!$A$12:$A$130,"&lt;"&amp;Diagram!$P73)))</f>
        <v>0</v>
      </c>
      <c r="BO73" s="42">
        <f ca="1">IF(OR($I$10="",$O73="",$P73="",$J$37&lt;&gt;"Yes"),0,IF($K$10=0,SUMIFS(INDIRECT(ADDRESS(12,3+18*2+(2),,,"J1 D - South Bank Avenue")&amp;":"&amp;ADDRESS(130,3+18*2+(2))),'J1 D - South Bank Avenue'!$A$12:$A$130,"&gt;="&amp;Diagram!$O73,'J1 D - South Bank Avenue'!$A$12:$A$130,"&lt;"&amp;Diagram!$P73),SUMIFS(INDIRECT(ADDRESS(12,3+18*2+(10),,,"J1 D - South Bank Avenue")&amp;":"&amp;ADDRESS(130,3+18*2+(10))),'J1 D - South Bank Avenue'!$A$12:$A$130,"&gt;="&amp;Diagram!$O73,'J1 D - South Bank Avenue'!$A$12:$A$130,"&lt;"&amp;Diagram!$P73)))</f>
        <v>0</v>
      </c>
      <c r="BP73" s="42">
        <f ca="1">IF(OR($I$10="",$O73="",$P73="",$J$37&lt;&gt;"Yes"),0,IF($K$10=0,SUMIFS(INDIRECT(ADDRESS(12,3+18*3+(2),,,"J1 D - South Bank Avenue")&amp;":"&amp;ADDRESS(130,3+18*3+(2))),'J1 D - South Bank Avenue'!$A$12:$A$130,"&gt;="&amp;Diagram!$O73,'J1 D - South Bank Avenue'!$A$12:$A$130,"&lt;"&amp;Diagram!$P73),SUMIFS(INDIRECT(ADDRESS(12,3+18*3+(10),,,"J1 D - South Bank Avenue")&amp;":"&amp;ADDRESS(130,3+18*3+(10))),'J1 D - South Bank Avenue'!$A$12:$A$130,"&gt;="&amp;Diagram!$O73,'J1 D - South Bank Avenue'!$A$12:$A$130,"&lt;"&amp;Diagram!$P73)))</f>
        <v>0</v>
      </c>
      <c r="BQ73" s="42">
        <f t="shared" ca="1" si="14"/>
        <v>0</v>
      </c>
      <c r="BR73" s="42">
        <f ca="1">IF(OR($I$10="",$O73="",$P73="",$J$38&lt;&gt;"Yes"),0,IF($K$10=0,SUMIFS(INDIRECT(ADDRESS(12,3+18*3+(3),,,"J1 A - (North) Bishopthorpe Roa")&amp;":"&amp;ADDRESS(130,3+18*3+(3))),'J1 A - (North) Bishopthorpe Roa'!$A$12:$A$130,"&gt;="&amp;Diagram!$O73,'J1 A - (North) Bishopthorpe Roa'!$A$12:$A$130,"&lt;"&amp;Diagram!$P73),SUMIFS(INDIRECT(ADDRESS(12,3+18*3+(11),,,"J1 A - (North) Bishopthorpe Roa")&amp;":"&amp;ADDRESS(130,3+18*3+(11))),'J1 A - (North) Bishopthorpe Roa'!$A$12:$A$130,"&gt;="&amp;Diagram!$O73,'J1 A - (North) Bishopthorpe Roa'!$A$12:$A$130,"&lt;"&amp;Diagram!$P73)))</f>
        <v>0</v>
      </c>
      <c r="BS73" s="42">
        <f ca="1">IF(OR($I$10="",$O73="",$P73="",$J$38&lt;&gt;"Yes"),0,IF($K$10=0,SUMIFS(INDIRECT(ADDRESS(12,3+18*0+(3),,,"J1 A - (North) Bishopthorpe Roa")&amp;":"&amp;ADDRESS(130,3+18*0+(3))),'J1 A - (North) Bishopthorpe Roa'!$A$12:$A$130,"&gt;="&amp;Diagram!$O73,'J1 A - (North) Bishopthorpe Roa'!$A$12:$A$130,"&lt;"&amp;Diagram!$P73),SUMIFS(INDIRECT(ADDRESS(12,3+18*0+(11),,,"J1 A - (North) Bishopthorpe Roa")&amp;":"&amp;ADDRESS(130,3+18*0+(11))),'J1 A - (North) Bishopthorpe Roa'!$A$12:$A$130,"&gt;="&amp;Diagram!$O73,'J1 A - (North) Bishopthorpe Roa'!$A$12:$A$130,"&lt;"&amp;Diagram!$P73)))</f>
        <v>0</v>
      </c>
      <c r="BT73" s="42">
        <f ca="1">IF(OR($I$10="",$O73="",$P73="",$J$38&lt;&gt;"Yes"),0,IF($K$10=0,SUMIFS(INDIRECT(ADDRESS(12,3+18*1+(3),,,"J1 A - (North) Bishopthorpe Roa")&amp;":"&amp;ADDRESS(130,3+18*1+(3))),'J1 A - (North) Bishopthorpe Roa'!$A$12:$A$130,"&gt;="&amp;Diagram!$O73,'J1 A - (North) Bishopthorpe Roa'!$A$12:$A$130,"&lt;"&amp;Diagram!$P73),SUMIFS(INDIRECT(ADDRESS(12,3+18*1+(11),,,"J1 A - (North) Bishopthorpe Roa")&amp;":"&amp;ADDRESS(130,3+18*1+(11))),'J1 A - (North) Bishopthorpe Roa'!$A$12:$A$130,"&gt;="&amp;Diagram!$O73,'J1 A - (North) Bishopthorpe Roa'!$A$12:$A$130,"&lt;"&amp;Diagram!$P73)))</f>
        <v>0</v>
      </c>
      <c r="BU73" s="42">
        <f ca="1">IF(OR($I$10="",$O73="",$P73="",$J$38&lt;&gt;"Yes"),0,IF($K$10=0,SUMIFS(INDIRECT(ADDRESS(12,3+18*2+(3),,,"J1 A - (North) Bishopthorpe Roa")&amp;":"&amp;ADDRESS(130,3+18*2+(3))),'J1 A - (North) Bishopthorpe Roa'!$A$12:$A$130,"&gt;="&amp;Diagram!$O73,'J1 A - (North) Bishopthorpe Roa'!$A$12:$A$130,"&lt;"&amp;Diagram!$P73),SUMIFS(INDIRECT(ADDRESS(12,3+18*2+(11),,,"J1 A - (North) Bishopthorpe Roa")&amp;":"&amp;ADDRESS(130,3+18*2+(11))),'J1 A - (North) Bishopthorpe Roa'!$A$12:$A$130,"&gt;="&amp;Diagram!$O73,'J1 A - (North) Bishopthorpe Roa'!$A$12:$A$130,"&lt;"&amp;Diagram!$P73)))</f>
        <v>0</v>
      </c>
      <c r="BV73" s="42">
        <f ca="1">IF(OR($I$10="",$O73="",$P73="",$J$38&lt;&gt;"Yes"),0,IF($K$10=0,SUMIFS(INDIRECT(ADDRESS(12,3+18*2+(3),,,"J1 B - Butcher Terrace")&amp;":"&amp;ADDRESS(130,3+18*2+(3))),'J1 B - Butcher Terrace'!$A$12:$A$130,"&gt;="&amp;Diagram!$O73,'J1 B - Butcher Terrace'!$A$12:$A$130,"&lt;"&amp;Diagram!$P73),SUMIFS(INDIRECT(ADDRESS(12,3+18*2+(11),,,"J1 B - Butcher Terrace")&amp;":"&amp;ADDRESS(130,3+18*2+(11))),'J1 B - Butcher Terrace'!$A$12:$A$130,"&gt;="&amp;Diagram!$O73,'J1 B - Butcher Terrace'!$A$12:$A$130,"&lt;"&amp;Diagram!$P73)))</f>
        <v>0</v>
      </c>
      <c r="BW73" s="42">
        <f ca="1">IF(OR($I$10="",$O73="",$P73="",$J$38&lt;&gt;"Yes"),0,IF($K$10=0,SUMIFS(INDIRECT(ADDRESS(12,3+18*3+(3),,,"J1 B - Butcher Terrace")&amp;":"&amp;ADDRESS(130,3+18*3+(3))),'J1 B - Butcher Terrace'!$A$12:$A$130,"&gt;="&amp;Diagram!$O73,'J1 B - Butcher Terrace'!$A$12:$A$130,"&lt;"&amp;Diagram!$P73),SUMIFS(INDIRECT(ADDRESS(12,3+18*3+(11),,,"J1 B - Butcher Terrace")&amp;":"&amp;ADDRESS(130,3+18*3+(11))),'J1 B - Butcher Terrace'!$A$12:$A$130,"&gt;="&amp;Diagram!$O73,'J1 B - Butcher Terrace'!$A$12:$A$130,"&lt;"&amp;Diagram!$P73)))</f>
        <v>0</v>
      </c>
      <c r="BX73" s="42">
        <f ca="1">IF(OR($I$10="",$O73="",$P73="",$J$38&lt;&gt;"Yes"),0,IF($K$10=0,SUMIFS(INDIRECT(ADDRESS(12,3+18*0+(3),,,"J1 B - Butcher Terrace")&amp;":"&amp;ADDRESS(130,3+18*0+(3))),'J1 B - Butcher Terrace'!$A$12:$A$130,"&gt;="&amp;Diagram!$O73,'J1 B - Butcher Terrace'!$A$12:$A$130,"&lt;"&amp;Diagram!$P73),SUMIFS(INDIRECT(ADDRESS(12,3+18*0+(11),,,"J1 B - Butcher Terrace")&amp;":"&amp;ADDRESS(130,3+18*0+(11))),'J1 B - Butcher Terrace'!$A$12:$A$130,"&gt;="&amp;Diagram!$O73,'J1 B - Butcher Terrace'!$A$12:$A$130,"&lt;"&amp;Diagram!$P73)))</f>
        <v>0</v>
      </c>
      <c r="BY73" s="42">
        <f ca="1">IF(OR($I$10="",$O73="",$P73="",$J$38&lt;&gt;"Yes"),0,IF($K$10=0,SUMIFS(INDIRECT(ADDRESS(12,3+18*1+(3),,,"J1 B - Butcher Terrace")&amp;":"&amp;ADDRESS(130,3+18*1+(3))),'J1 B - Butcher Terrace'!$A$12:$A$130,"&gt;="&amp;Diagram!$O73,'J1 B - Butcher Terrace'!$A$12:$A$130,"&lt;"&amp;Diagram!$P73),SUMIFS(INDIRECT(ADDRESS(12,3+18*1+(11),,,"J1 B - Butcher Terrace")&amp;":"&amp;ADDRESS(130,3+18*1+(11))),'J1 B - Butcher Terrace'!$A$12:$A$130,"&gt;="&amp;Diagram!$O73,'J1 B - Butcher Terrace'!$A$12:$A$130,"&lt;"&amp;Diagram!$P73)))</f>
        <v>0</v>
      </c>
      <c r="BZ73" s="42">
        <f ca="1">IF(OR($I$10="",$O73="",$P73="",$J$38&lt;&gt;"Yes"),0,IF($K$10=0,SUMIFS(INDIRECT(ADDRESS(12,3+18*1+(3),,,"J1 C - (South) Bishopthorpe Roa")&amp;":"&amp;ADDRESS(130,3+18*1+(3))),'J1 C - (South) Bishopthorpe Roa'!$A$12:$A$130,"&gt;="&amp;Diagram!$O73,'J1 C - (South) Bishopthorpe Roa'!$A$12:$A$130,"&lt;"&amp;Diagram!$P73),SUMIFS(INDIRECT(ADDRESS(12,3+18*1+(11),,,"J1 C - (South) Bishopthorpe Roa")&amp;":"&amp;ADDRESS(130,3+18*1+(11))),'J1 C - (South) Bishopthorpe Roa'!$A$12:$A$130,"&gt;="&amp;Diagram!$O73,'J1 C - (South) Bishopthorpe Roa'!$A$12:$A$130,"&lt;"&amp;Diagram!$P73)))</f>
        <v>0</v>
      </c>
      <c r="CA73" s="42">
        <f ca="1">IF(OR($I$10="",$O73="",$P73="",$J$38&lt;&gt;"Yes"),0,IF($K$10=0,SUMIFS(INDIRECT(ADDRESS(12,3+18*2+(3),,,"J1 C - (South) Bishopthorpe Roa")&amp;":"&amp;ADDRESS(130,3+18*2+(3))),'J1 C - (South) Bishopthorpe Roa'!$A$12:$A$130,"&gt;="&amp;Diagram!$O73,'J1 C - (South) Bishopthorpe Roa'!$A$12:$A$130,"&lt;"&amp;Diagram!$P73),SUMIFS(INDIRECT(ADDRESS(12,3+18*2+(11),,,"J1 C - (South) Bishopthorpe Roa")&amp;":"&amp;ADDRESS(130,3+18*2+(11))),'J1 C - (South) Bishopthorpe Roa'!$A$12:$A$130,"&gt;="&amp;Diagram!$O73,'J1 C - (South) Bishopthorpe Roa'!$A$12:$A$130,"&lt;"&amp;Diagram!$P73)))</f>
        <v>0</v>
      </c>
      <c r="CB73" s="42">
        <f ca="1">IF(OR($I$10="",$O73="",$P73="",$J$38&lt;&gt;"Yes"),0,IF($K$10=0,SUMIFS(INDIRECT(ADDRESS(12,3+18*3+(3),,,"J1 C - (South) Bishopthorpe Roa")&amp;":"&amp;ADDRESS(130,3+18*3+(3))),'J1 C - (South) Bishopthorpe Roa'!$A$12:$A$130,"&gt;="&amp;Diagram!$O73,'J1 C - (South) Bishopthorpe Roa'!$A$12:$A$130,"&lt;"&amp;Diagram!$P73),SUMIFS(INDIRECT(ADDRESS(12,3+18*3+(11),,,"J1 C - (South) Bishopthorpe Roa")&amp;":"&amp;ADDRESS(130,3+18*3+(11))),'J1 C - (South) Bishopthorpe Roa'!$A$12:$A$130,"&gt;="&amp;Diagram!$O73,'J1 C - (South) Bishopthorpe Roa'!$A$12:$A$130,"&lt;"&amp;Diagram!$P73)))</f>
        <v>0</v>
      </c>
      <c r="CC73" s="42">
        <f ca="1">IF(OR($I$10="",$O73="",$P73="",$J$38&lt;&gt;"Yes"),0,IF($K$10=0,SUMIFS(INDIRECT(ADDRESS(12,3+18*0+(3),,,"J1 C - (South) Bishopthorpe Roa")&amp;":"&amp;ADDRESS(130,3+18*0+(3))),'J1 C - (South) Bishopthorpe Roa'!$A$12:$A$130,"&gt;="&amp;Diagram!$O73,'J1 C - (South) Bishopthorpe Roa'!$A$12:$A$130,"&lt;"&amp;Diagram!$P73),SUMIFS(INDIRECT(ADDRESS(12,3+18*0+(11),,,"J1 C - (South) Bishopthorpe Roa")&amp;":"&amp;ADDRESS(130,3+18*0+(11))),'J1 C - (South) Bishopthorpe Roa'!$A$12:$A$130,"&gt;="&amp;Diagram!$O73,'J1 C - (South) Bishopthorpe Roa'!$A$12:$A$130,"&lt;"&amp;Diagram!$P73)))</f>
        <v>0</v>
      </c>
      <c r="CD73" s="42">
        <f ca="1">IF(OR($I$10="",$O73="",$P73="",$J$38&lt;&gt;"Yes"),0,IF($K$10=0,SUMIFS(INDIRECT(ADDRESS(12,3+18*0+(3),,,"J1 D - South Bank Avenue")&amp;":"&amp;ADDRESS(130,3+18*0+(3))),'J1 D - South Bank Avenue'!$A$12:$A$130,"&gt;="&amp;Diagram!$O73,'J1 D - South Bank Avenue'!$A$12:$A$130,"&lt;"&amp;Diagram!$P73),SUMIFS(INDIRECT(ADDRESS(12,3+18*0+(11),,,"J1 D - South Bank Avenue")&amp;":"&amp;ADDRESS(130,3+18*0+(11))),'J1 D - South Bank Avenue'!$A$12:$A$130,"&gt;="&amp;Diagram!$O73,'J1 D - South Bank Avenue'!$A$12:$A$130,"&lt;"&amp;Diagram!$P73)))</f>
        <v>0</v>
      </c>
      <c r="CE73" s="42">
        <f ca="1">IF(OR($I$10="",$O73="",$P73="",$J$38&lt;&gt;"Yes"),0,IF($K$10=0,SUMIFS(INDIRECT(ADDRESS(12,3+18*1+(3),,,"J1 D - South Bank Avenue")&amp;":"&amp;ADDRESS(130,3+18*1+(3))),'J1 D - South Bank Avenue'!$A$12:$A$130,"&gt;="&amp;Diagram!$O73,'J1 D - South Bank Avenue'!$A$12:$A$130,"&lt;"&amp;Diagram!$P73),SUMIFS(INDIRECT(ADDRESS(12,3+18*1+(11),,,"J1 D - South Bank Avenue")&amp;":"&amp;ADDRESS(130,3+18*1+(11))),'J1 D - South Bank Avenue'!$A$12:$A$130,"&gt;="&amp;Diagram!$O73,'J1 D - South Bank Avenue'!$A$12:$A$130,"&lt;"&amp;Diagram!$P73)))</f>
        <v>0</v>
      </c>
      <c r="CF73" s="42">
        <f ca="1">IF(OR($I$10="",$O73="",$P73="",$J$38&lt;&gt;"Yes"),0,IF($K$10=0,SUMIFS(INDIRECT(ADDRESS(12,3+18*2+(3),,,"J1 D - South Bank Avenue")&amp;":"&amp;ADDRESS(130,3+18*2+(3))),'J1 D - South Bank Avenue'!$A$12:$A$130,"&gt;="&amp;Diagram!$O73,'J1 D - South Bank Avenue'!$A$12:$A$130,"&lt;"&amp;Diagram!$P73),SUMIFS(INDIRECT(ADDRESS(12,3+18*2+(11),,,"J1 D - South Bank Avenue")&amp;":"&amp;ADDRESS(130,3+18*2+(11))),'J1 D - South Bank Avenue'!$A$12:$A$130,"&gt;="&amp;Diagram!$O73,'J1 D - South Bank Avenue'!$A$12:$A$130,"&lt;"&amp;Diagram!$P73)))</f>
        <v>0</v>
      </c>
      <c r="CG73" s="42">
        <f ca="1">IF(OR($I$10="",$O73="",$P73="",$J$38&lt;&gt;"Yes"),0,IF($K$10=0,SUMIFS(INDIRECT(ADDRESS(12,3+18*3+(3),,,"J1 D - South Bank Avenue")&amp;":"&amp;ADDRESS(130,3+18*3+(3))),'J1 D - South Bank Avenue'!$A$12:$A$130,"&gt;="&amp;Diagram!$O73,'J1 D - South Bank Avenue'!$A$12:$A$130,"&lt;"&amp;Diagram!$P73),SUMIFS(INDIRECT(ADDRESS(12,3+18*3+(11),,,"J1 D - South Bank Avenue")&amp;":"&amp;ADDRESS(130,3+18*3+(11))),'J1 D - South Bank Avenue'!$A$12:$A$130,"&gt;="&amp;Diagram!$O73,'J1 D - South Bank Avenue'!$A$12:$A$130,"&lt;"&amp;Diagram!$P73)))</f>
        <v>0</v>
      </c>
      <c r="CH73" s="42">
        <f t="shared" ca="1" si="15"/>
        <v>7</v>
      </c>
      <c r="CI73" s="42">
        <f ca="1">IF(OR($I$10="",$O73="",$P73="",$J$39&lt;&gt;"Yes"),0,IF($K$10=0,SUMIFS(INDIRECT(ADDRESS(12,3+18*3+(4),,,"J1 A - (North) Bishopthorpe Roa")&amp;":"&amp;ADDRESS(130,3+18*3+(4))),'J1 A - (North) Bishopthorpe Roa'!$A$12:$A$130,"&gt;="&amp;Diagram!$O73,'J1 A - (North) Bishopthorpe Roa'!$A$12:$A$130,"&lt;"&amp;Diagram!$P73),SUMIFS(INDIRECT(ADDRESS(12,3+18*3+(12),,,"J1 A - (North) Bishopthorpe Roa")&amp;":"&amp;ADDRESS(130,3+18*3+(12))),'J1 A - (North) Bishopthorpe Roa'!$A$12:$A$130,"&gt;="&amp;Diagram!$O73,'J1 A - (North) Bishopthorpe Roa'!$A$12:$A$130,"&lt;"&amp;Diagram!$P73)))</f>
        <v>0</v>
      </c>
      <c r="CJ73" s="42">
        <f ca="1">IF(OR($I$10="",$O73="",$P73="",$J$39&lt;&gt;"Yes"),0,IF($K$10=0,SUMIFS(INDIRECT(ADDRESS(12,3+18*0+(4),,,"J1 A - (North) Bishopthorpe Roa")&amp;":"&amp;ADDRESS(130,3+18*0+(4))),'J1 A - (North) Bishopthorpe Roa'!$A$12:$A$130,"&gt;="&amp;Diagram!$O73,'J1 A - (North) Bishopthorpe Roa'!$A$12:$A$130,"&lt;"&amp;Diagram!$P73),SUMIFS(INDIRECT(ADDRESS(12,3+18*0+(12),,,"J1 A - (North) Bishopthorpe Roa")&amp;":"&amp;ADDRESS(130,3+18*0+(12))),'J1 A - (North) Bishopthorpe Roa'!$A$12:$A$130,"&gt;="&amp;Diagram!$O73,'J1 A - (North) Bishopthorpe Roa'!$A$12:$A$130,"&lt;"&amp;Diagram!$P73)))</f>
        <v>0</v>
      </c>
      <c r="CK73" s="42">
        <f ca="1">IF(OR($I$10="",$O73="",$P73="",$J$39&lt;&gt;"Yes"),0,IF($K$10=0,SUMIFS(INDIRECT(ADDRESS(12,3+18*1+(4),,,"J1 A - (North) Bishopthorpe Roa")&amp;":"&amp;ADDRESS(130,3+18*1+(4))),'J1 A - (North) Bishopthorpe Roa'!$A$12:$A$130,"&gt;="&amp;Diagram!$O73,'J1 A - (North) Bishopthorpe Roa'!$A$12:$A$130,"&lt;"&amp;Diagram!$P73),SUMIFS(INDIRECT(ADDRESS(12,3+18*1+(12),,,"J1 A - (North) Bishopthorpe Roa")&amp;":"&amp;ADDRESS(130,3+18*1+(12))),'J1 A - (North) Bishopthorpe Roa'!$A$12:$A$130,"&gt;="&amp;Diagram!$O73,'J1 A - (North) Bishopthorpe Roa'!$A$12:$A$130,"&lt;"&amp;Diagram!$P73)))</f>
        <v>4</v>
      </c>
      <c r="CL73" s="42">
        <f ca="1">IF(OR($I$10="",$O73="",$P73="",$J$39&lt;&gt;"Yes"),0,IF($K$10=0,SUMIFS(INDIRECT(ADDRESS(12,3+18*2+(4),,,"J1 A - (North) Bishopthorpe Roa")&amp;":"&amp;ADDRESS(130,3+18*2+(4))),'J1 A - (North) Bishopthorpe Roa'!$A$12:$A$130,"&gt;="&amp;Diagram!$O73,'J1 A - (North) Bishopthorpe Roa'!$A$12:$A$130,"&lt;"&amp;Diagram!$P73),SUMIFS(INDIRECT(ADDRESS(12,3+18*2+(12),,,"J1 A - (North) Bishopthorpe Roa")&amp;":"&amp;ADDRESS(130,3+18*2+(12))),'J1 A - (North) Bishopthorpe Roa'!$A$12:$A$130,"&gt;="&amp;Diagram!$O73,'J1 A - (North) Bishopthorpe Roa'!$A$12:$A$130,"&lt;"&amp;Diagram!$P73)))</f>
        <v>0</v>
      </c>
      <c r="CM73" s="42">
        <f ca="1">IF(OR($I$10="",$O73="",$P73="",$J$39&lt;&gt;"Yes"),0,IF($K$10=0,SUMIFS(INDIRECT(ADDRESS(12,3+18*2+(4),,,"J1 B - Butcher Terrace")&amp;":"&amp;ADDRESS(130,3+18*2+(4))),'J1 B - Butcher Terrace'!$A$12:$A$130,"&gt;="&amp;Diagram!$O73,'J1 B - Butcher Terrace'!$A$12:$A$130,"&lt;"&amp;Diagram!$P73),SUMIFS(INDIRECT(ADDRESS(12,3+18*2+(12),,,"J1 B - Butcher Terrace")&amp;":"&amp;ADDRESS(130,3+18*2+(12))),'J1 B - Butcher Terrace'!$A$12:$A$130,"&gt;="&amp;Diagram!$O73,'J1 B - Butcher Terrace'!$A$12:$A$130,"&lt;"&amp;Diagram!$P73)))</f>
        <v>0</v>
      </c>
      <c r="CN73" s="42">
        <f ca="1">IF(OR($I$10="",$O73="",$P73="",$J$39&lt;&gt;"Yes"),0,IF($K$10=0,SUMIFS(INDIRECT(ADDRESS(12,3+18*3+(4),,,"J1 B - Butcher Terrace")&amp;":"&amp;ADDRESS(130,3+18*3+(4))),'J1 B - Butcher Terrace'!$A$12:$A$130,"&gt;="&amp;Diagram!$O73,'J1 B - Butcher Terrace'!$A$12:$A$130,"&lt;"&amp;Diagram!$P73),SUMIFS(INDIRECT(ADDRESS(12,3+18*3+(12),,,"J1 B - Butcher Terrace")&amp;":"&amp;ADDRESS(130,3+18*3+(12))),'J1 B - Butcher Terrace'!$A$12:$A$130,"&gt;="&amp;Diagram!$O73,'J1 B - Butcher Terrace'!$A$12:$A$130,"&lt;"&amp;Diagram!$P73)))</f>
        <v>0</v>
      </c>
      <c r="CO73" s="42">
        <f ca="1">IF(OR($I$10="",$O73="",$P73="",$J$39&lt;&gt;"Yes"),0,IF($K$10=0,SUMIFS(INDIRECT(ADDRESS(12,3+18*0+(4),,,"J1 B - Butcher Terrace")&amp;":"&amp;ADDRESS(130,3+18*0+(4))),'J1 B - Butcher Terrace'!$A$12:$A$130,"&gt;="&amp;Diagram!$O73,'J1 B - Butcher Terrace'!$A$12:$A$130,"&lt;"&amp;Diagram!$P73),SUMIFS(INDIRECT(ADDRESS(12,3+18*0+(12),,,"J1 B - Butcher Terrace")&amp;":"&amp;ADDRESS(130,3+18*0+(12))),'J1 B - Butcher Terrace'!$A$12:$A$130,"&gt;="&amp;Diagram!$O73,'J1 B - Butcher Terrace'!$A$12:$A$130,"&lt;"&amp;Diagram!$P73)))</f>
        <v>0</v>
      </c>
      <c r="CP73" s="42">
        <f ca="1">IF(OR($I$10="",$O73="",$P73="",$J$39&lt;&gt;"Yes"),0,IF($K$10=0,SUMIFS(INDIRECT(ADDRESS(12,3+18*1+(4),,,"J1 B - Butcher Terrace")&amp;":"&amp;ADDRESS(130,3+18*1+(4))),'J1 B - Butcher Terrace'!$A$12:$A$130,"&gt;="&amp;Diagram!$O73,'J1 B - Butcher Terrace'!$A$12:$A$130,"&lt;"&amp;Diagram!$P73),SUMIFS(INDIRECT(ADDRESS(12,3+18*1+(12),,,"J1 B - Butcher Terrace")&amp;":"&amp;ADDRESS(130,3+18*1+(12))),'J1 B - Butcher Terrace'!$A$12:$A$130,"&gt;="&amp;Diagram!$O73,'J1 B - Butcher Terrace'!$A$12:$A$130,"&lt;"&amp;Diagram!$P73)))</f>
        <v>0</v>
      </c>
      <c r="CQ73" s="42">
        <f ca="1">IF(OR($I$10="",$O73="",$P73="",$J$39&lt;&gt;"Yes"),0,IF($K$10=0,SUMIFS(INDIRECT(ADDRESS(12,3+18*1+(4),,,"J1 C - (South) Bishopthorpe Roa")&amp;":"&amp;ADDRESS(130,3+18*1+(4))),'J1 C - (South) Bishopthorpe Roa'!$A$12:$A$130,"&gt;="&amp;Diagram!$O73,'J1 C - (South) Bishopthorpe Roa'!$A$12:$A$130,"&lt;"&amp;Diagram!$P73),SUMIFS(INDIRECT(ADDRESS(12,3+18*1+(12),,,"J1 C - (South) Bishopthorpe Roa")&amp;":"&amp;ADDRESS(130,3+18*1+(12))),'J1 C - (South) Bishopthorpe Roa'!$A$12:$A$130,"&gt;="&amp;Diagram!$O73,'J1 C - (South) Bishopthorpe Roa'!$A$12:$A$130,"&lt;"&amp;Diagram!$P73)))</f>
        <v>3</v>
      </c>
      <c r="CR73" s="42">
        <f ca="1">IF(OR($I$10="",$O73="",$P73="",$J$39&lt;&gt;"Yes"),0,IF($K$10=0,SUMIFS(INDIRECT(ADDRESS(12,3+18*2+(4),,,"J1 C - (South) Bishopthorpe Roa")&amp;":"&amp;ADDRESS(130,3+18*2+(4))),'J1 C - (South) Bishopthorpe Roa'!$A$12:$A$130,"&gt;="&amp;Diagram!$O73,'J1 C - (South) Bishopthorpe Roa'!$A$12:$A$130,"&lt;"&amp;Diagram!$P73),SUMIFS(INDIRECT(ADDRESS(12,3+18*2+(12),,,"J1 C - (South) Bishopthorpe Roa")&amp;":"&amp;ADDRESS(130,3+18*2+(12))),'J1 C - (South) Bishopthorpe Roa'!$A$12:$A$130,"&gt;="&amp;Diagram!$O73,'J1 C - (South) Bishopthorpe Roa'!$A$12:$A$130,"&lt;"&amp;Diagram!$P73)))</f>
        <v>0</v>
      </c>
      <c r="CS73" s="42">
        <f ca="1">IF(OR($I$10="",$O73="",$P73="",$J$39&lt;&gt;"Yes"),0,IF($K$10=0,SUMIFS(INDIRECT(ADDRESS(12,3+18*3+(4),,,"J1 C - (South) Bishopthorpe Roa")&amp;":"&amp;ADDRESS(130,3+18*3+(4))),'J1 C - (South) Bishopthorpe Roa'!$A$12:$A$130,"&gt;="&amp;Diagram!$O73,'J1 C - (South) Bishopthorpe Roa'!$A$12:$A$130,"&lt;"&amp;Diagram!$P73),SUMIFS(INDIRECT(ADDRESS(12,3+18*3+(12),,,"J1 C - (South) Bishopthorpe Roa")&amp;":"&amp;ADDRESS(130,3+18*3+(12))),'J1 C - (South) Bishopthorpe Roa'!$A$12:$A$130,"&gt;="&amp;Diagram!$O73,'J1 C - (South) Bishopthorpe Roa'!$A$12:$A$130,"&lt;"&amp;Diagram!$P73)))</f>
        <v>0</v>
      </c>
      <c r="CT73" s="42">
        <f ca="1">IF(OR($I$10="",$O73="",$P73="",$J$39&lt;&gt;"Yes"),0,IF($K$10=0,SUMIFS(INDIRECT(ADDRESS(12,3+18*0+(4),,,"J1 C - (South) Bishopthorpe Roa")&amp;":"&amp;ADDRESS(130,3+18*0+(4))),'J1 C - (South) Bishopthorpe Roa'!$A$12:$A$130,"&gt;="&amp;Diagram!$O73,'J1 C - (South) Bishopthorpe Roa'!$A$12:$A$130,"&lt;"&amp;Diagram!$P73),SUMIFS(INDIRECT(ADDRESS(12,3+18*0+(12),,,"J1 C - (South) Bishopthorpe Roa")&amp;":"&amp;ADDRESS(130,3+18*0+(12))),'J1 C - (South) Bishopthorpe Roa'!$A$12:$A$130,"&gt;="&amp;Diagram!$O73,'J1 C - (South) Bishopthorpe Roa'!$A$12:$A$130,"&lt;"&amp;Diagram!$P73)))</f>
        <v>0</v>
      </c>
      <c r="CU73" s="42">
        <f ca="1">IF(OR($I$10="",$O73="",$P73="",$J$39&lt;&gt;"Yes"),0,IF($K$10=0,SUMIFS(INDIRECT(ADDRESS(12,3+18*0+(4),,,"J1 D - South Bank Avenue")&amp;":"&amp;ADDRESS(130,3+18*0+(4))),'J1 D - South Bank Avenue'!$A$12:$A$130,"&gt;="&amp;Diagram!$O73,'J1 D - South Bank Avenue'!$A$12:$A$130,"&lt;"&amp;Diagram!$P73),SUMIFS(INDIRECT(ADDRESS(12,3+18*0+(12),,,"J1 D - South Bank Avenue")&amp;":"&amp;ADDRESS(130,3+18*0+(12))),'J1 D - South Bank Avenue'!$A$12:$A$130,"&gt;="&amp;Diagram!$O73,'J1 D - South Bank Avenue'!$A$12:$A$130,"&lt;"&amp;Diagram!$P73)))</f>
        <v>0</v>
      </c>
      <c r="CV73" s="42">
        <f ca="1">IF(OR($I$10="",$O73="",$P73="",$J$39&lt;&gt;"Yes"),0,IF($K$10=0,SUMIFS(INDIRECT(ADDRESS(12,3+18*1+(4),,,"J1 D - South Bank Avenue")&amp;":"&amp;ADDRESS(130,3+18*1+(4))),'J1 D - South Bank Avenue'!$A$12:$A$130,"&gt;="&amp;Diagram!$O73,'J1 D - South Bank Avenue'!$A$12:$A$130,"&lt;"&amp;Diagram!$P73),SUMIFS(INDIRECT(ADDRESS(12,3+18*1+(12),,,"J1 D - South Bank Avenue")&amp;":"&amp;ADDRESS(130,3+18*1+(12))),'J1 D - South Bank Avenue'!$A$12:$A$130,"&gt;="&amp;Diagram!$O73,'J1 D - South Bank Avenue'!$A$12:$A$130,"&lt;"&amp;Diagram!$P73)))</f>
        <v>0</v>
      </c>
      <c r="CW73" s="42">
        <f ca="1">IF(OR($I$10="",$O73="",$P73="",$J$39&lt;&gt;"Yes"),0,IF($K$10=0,SUMIFS(INDIRECT(ADDRESS(12,3+18*2+(4),,,"J1 D - South Bank Avenue")&amp;":"&amp;ADDRESS(130,3+18*2+(4))),'J1 D - South Bank Avenue'!$A$12:$A$130,"&gt;="&amp;Diagram!$O73,'J1 D - South Bank Avenue'!$A$12:$A$130,"&lt;"&amp;Diagram!$P73),SUMIFS(INDIRECT(ADDRESS(12,3+18*2+(12),,,"J1 D - South Bank Avenue")&amp;":"&amp;ADDRESS(130,3+18*2+(12))),'J1 D - South Bank Avenue'!$A$12:$A$130,"&gt;="&amp;Diagram!$O73,'J1 D - South Bank Avenue'!$A$12:$A$130,"&lt;"&amp;Diagram!$P73)))</f>
        <v>0</v>
      </c>
      <c r="CX73" s="42">
        <f ca="1">IF(OR($I$10="",$O73="",$P73="",$J$39&lt;&gt;"Yes"),0,IF($K$10=0,SUMIFS(INDIRECT(ADDRESS(12,3+18*3+(4),,,"J1 D - South Bank Avenue")&amp;":"&amp;ADDRESS(130,3+18*3+(4))),'J1 D - South Bank Avenue'!$A$12:$A$130,"&gt;="&amp;Diagram!$O73,'J1 D - South Bank Avenue'!$A$12:$A$130,"&lt;"&amp;Diagram!$P73),SUMIFS(INDIRECT(ADDRESS(12,3+18*3+(12),,,"J1 D - South Bank Avenue")&amp;":"&amp;ADDRESS(130,3+18*3+(12))),'J1 D - South Bank Avenue'!$A$12:$A$130,"&gt;="&amp;Diagram!$O73,'J1 D - South Bank Avenue'!$A$12:$A$130,"&lt;"&amp;Diagram!$P73)))</f>
        <v>0</v>
      </c>
      <c r="CY73" s="42">
        <f t="shared" ca="1" si="16"/>
        <v>129</v>
      </c>
      <c r="CZ73" s="42">
        <f ca="1">IF(OR($I$10="",$O73="",$P73="",$J$40&lt;&gt;"Yes"),0,IF($K$10=0,SUMIFS(INDIRECT(ADDRESS(12,3+18*3+(5),,,"J1 A - (North) Bishopthorpe Roa")&amp;":"&amp;ADDRESS(130,3+18*3+(5))),'J1 A - (North) Bishopthorpe Roa'!$A$12:$A$130,"&gt;="&amp;Diagram!$O73,'J1 A - (North) Bishopthorpe Roa'!$A$12:$A$130,"&lt;"&amp;Diagram!$P73),SUMIFS(INDIRECT(ADDRESS(12,3+18*3+(13),,,"J1 A - (North) Bishopthorpe Roa")&amp;":"&amp;ADDRESS(130,3+18*3+(13))),'J1 A - (North) Bishopthorpe Roa'!$A$12:$A$130,"&gt;="&amp;Diagram!$O73,'J1 A - (North) Bishopthorpe Roa'!$A$12:$A$130,"&lt;"&amp;Diagram!$P73)))</f>
        <v>0</v>
      </c>
      <c r="DA73" s="42">
        <f ca="1">IF(OR($I$10="",$O73="",$P73="",$J$40&lt;&gt;"Yes"),0,IF($K$10=0,SUMIFS(INDIRECT(ADDRESS(12,3+18*0+(5),,,"J1 A - (North) Bishopthorpe Roa")&amp;":"&amp;ADDRESS(130,3+18*0+(5))),'J1 A - (North) Bishopthorpe Roa'!$A$12:$A$130,"&gt;="&amp;Diagram!$O73,'J1 A - (North) Bishopthorpe Roa'!$A$12:$A$130,"&lt;"&amp;Diagram!$P73),SUMIFS(INDIRECT(ADDRESS(12,3+18*0+(13),,,"J1 A - (North) Bishopthorpe Roa")&amp;":"&amp;ADDRESS(130,3+18*0+(13))),'J1 A - (North) Bishopthorpe Roa'!$A$12:$A$130,"&gt;="&amp;Diagram!$O73,'J1 A - (North) Bishopthorpe Roa'!$A$12:$A$130,"&lt;"&amp;Diagram!$P73)))</f>
        <v>13</v>
      </c>
      <c r="DB73" s="42">
        <f ca="1">IF(OR($I$10="",$O73="",$P73="",$J$40&lt;&gt;"Yes"),0,IF($K$10=0,SUMIFS(INDIRECT(ADDRESS(12,3+18*1+(5),,,"J1 A - (North) Bishopthorpe Roa")&amp;":"&amp;ADDRESS(130,3+18*1+(5))),'J1 A - (North) Bishopthorpe Roa'!$A$12:$A$130,"&gt;="&amp;Diagram!$O73,'J1 A - (North) Bishopthorpe Roa'!$A$12:$A$130,"&lt;"&amp;Diagram!$P73),SUMIFS(INDIRECT(ADDRESS(12,3+18*1+(13),,,"J1 A - (North) Bishopthorpe Roa")&amp;":"&amp;ADDRESS(130,3+18*1+(13))),'J1 A - (North) Bishopthorpe Roa'!$A$12:$A$130,"&gt;="&amp;Diagram!$O73,'J1 A - (North) Bishopthorpe Roa'!$A$12:$A$130,"&lt;"&amp;Diagram!$P73)))</f>
        <v>29</v>
      </c>
      <c r="DC73" s="42">
        <f ca="1">IF(OR($I$10="",$O73="",$P73="",$J$40&lt;&gt;"Yes"),0,IF($K$10=0,SUMIFS(INDIRECT(ADDRESS(12,3+18*2+(5),,,"J1 A - (North) Bishopthorpe Roa")&amp;":"&amp;ADDRESS(130,3+18*2+(5))),'J1 A - (North) Bishopthorpe Roa'!$A$12:$A$130,"&gt;="&amp;Diagram!$O73,'J1 A - (North) Bishopthorpe Roa'!$A$12:$A$130,"&lt;"&amp;Diagram!$P73),SUMIFS(INDIRECT(ADDRESS(12,3+18*2+(13),,,"J1 A - (North) Bishopthorpe Roa")&amp;":"&amp;ADDRESS(130,3+18*2+(13))),'J1 A - (North) Bishopthorpe Roa'!$A$12:$A$130,"&gt;="&amp;Diagram!$O73,'J1 A - (North) Bishopthorpe Roa'!$A$12:$A$130,"&lt;"&amp;Diagram!$P73)))</f>
        <v>6</v>
      </c>
      <c r="DD73" s="42">
        <f ca="1">IF(OR($I$10="",$O73="",$P73="",$J$40&lt;&gt;"Yes"),0,IF($K$10=0,SUMIFS(INDIRECT(ADDRESS(12,3+18*2+(5),,,"J1 B - Butcher Terrace")&amp;":"&amp;ADDRESS(130,3+18*2+(5))),'J1 B - Butcher Terrace'!$A$12:$A$130,"&gt;="&amp;Diagram!$O73,'J1 B - Butcher Terrace'!$A$12:$A$130,"&lt;"&amp;Diagram!$P73),SUMIFS(INDIRECT(ADDRESS(12,3+18*2+(13),,,"J1 B - Butcher Terrace")&amp;":"&amp;ADDRESS(130,3+18*2+(13))),'J1 B - Butcher Terrace'!$A$12:$A$130,"&gt;="&amp;Diagram!$O73,'J1 B - Butcher Terrace'!$A$12:$A$130,"&lt;"&amp;Diagram!$P73)))</f>
        <v>11</v>
      </c>
      <c r="DE73" s="42">
        <f ca="1">IF(OR($I$10="",$O73="",$P73="",$J$40&lt;&gt;"Yes"),0,IF($K$10=0,SUMIFS(INDIRECT(ADDRESS(12,3+18*3+(5),,,"J1 B - Butcher Terrace")&amp;":"&amp;ADDRESS(130,3+18*3+(5))),'J1 B - Butcher Terrace'!$A$12:$A$130,"&gt;="&amp;Diagram!$O73,'J1 B - Butcher Terrace'!$A$12:$A$130,"&lt;"&amp;Diagram!$P73),SUMIFS(INDIRECT(ADDRESS(12,3+18*3+(13),,,"J1 B - Butcher Terrace")&amp;":"&amp;ADDRESS(130,3+18*3+(13))),'J1 B - Butcher Terrace'!$A$12:$A$130,"&gt;="&amp;Diagram!$O73,'J1 B - Butcher Terrace'!$A$12:$A$130,"&lt;"&amp;Diagram!$P73)))</f>
        <v>0</v>
      </c>
      <c r="DF73" s="42">
        <f ca="1">IF(OR($I$10="",$O73="",$P73="",$J$40&lt;&gt;"Yes"),0,IF($K$10=0,SUMIFS(INDIRECT(ADDRESS(12,3+18*0+(5),,,"J1 B - Butcher Terrace")&amp;":"&amp;ADDRESS(130,3+18*0+(5))),'J1 B - Butcher Terrace'!$A$12:$A$130,"&gt;="&amp;Diagram!$O73,'J1 B - Butcher Terrace'!$A$12:$A$130,"&lt;"&amp;Diagram!$P73),SUMIFS(INDIRECT(ADDRESS(12,3+18*0+(13),,,"J1 B - Butcher Terrace")&amp;":"&amp;ADDRESS(130,3+18*0+(13))),'J1 B - Butcher Terrace'!$A$12:$A$130,"&gt;="&amp;Diagram!$O73,'J1 B - Butcher Terrace'!$A$12:$A$130,"&lt;"&amp;Diagram!$P73)))</f>
        <v>14</v>
      </c>
      <c r="DG73" s="42">
        <f ca="1">IF(OR($I$10="",$O73="",$P73="",$J$40&lt;&gt;"Yes"),0,IF($K$10=0,SUMIFS(INDIRECT(ADDRESS(12,3+18*1+(5),,,"J1 B - Butcher Terrace")&amp;":"&amp;ADDRESS(130,3+18*1+(5))),'J1 B - Butcher Terrace'!$A$12:$A$130,"&gt;="&amp;Diagram!$O73,'J1 B - Butcher Terrace'!$A$12:$A$130,"&lt;"&amp;Diagram!$P73),SUMIFS(INDIRECT(ADDRESS(12,3+18*1+(13),,,"J1 B - Butcher Terrace")&amp;":"&amp;ADDRESS(130,3+18*1+(13))),'J1 B - Butcher Terrace'!$A$12:$A$130,"&gt;="&amp;Diagram!$O73,'J1 B - Butcher Terrace'!$A$12:$A$130,"&lt;"&amp;Diagram!$P73)))</f>
        <v>19</v>
      </c>
      <c r="DH73" s="42">
        <f ca="1">IF(OR($I$10="",$O73="",$P73="",$J$40&lt;&gt;"Yes"),0,IF($K$10=0,SUMIFS(INDIRECT(ADDRESS(12,3+18*1+(5),,,"J1 C - (South) Bishopthorpe Roa")&amp;":"&amp;ADDRESS(130,3+18*1+(5))),'J1 C - (South) Bishopthorpe Roa'!$A$12:$A$130,"&gt;="&amp;Diagram!$O73,'J1 C - (South) Bishopthorpe Roa'!$A$12:$A$130,"&lt;"&amp;Diagram!$P73),SUMIFS(INDIRECT(ADDRESS(12,3+18*1+(13),,,"J1 C - (South) Bishopthorpe Roa")&amp;":"&amp;ADDRESS(130,3+18*1+(13))),'J1 C - (South) Bishopthorpe Roa'!$A$12:$A$130,"&gt;="&amp;Diagram!$O73,'J1 C - (South) Bishopthorpe Roa'!$A$12:$A$130,"&lt;"&amp;Diagram!$P73)))</f>
        <v>9</v>
      </c>
      <c r="DI73" s="42">
        <f ca="1">IF(OR($I$10="",$O73="",$P73="",$J$40&lt;&gt;"Yes"),0,IF($K$10=0,SUMIFS(INDIRECT(ADDRESS(12,3+18*2+(5),,,"J1 C - (South) Bishopthorpe Roa")&amp;":"&amp;ADDRESS(130,3+18*2+(5))),'J1 C - (South) Bishopthorpe Roa'!$A$12:$A$130,"&gt;="&amp;Diagram!$O73,'J1 C - (South) Bishopthorpe Roa'!$A$12:$A$130,"&lt;"&amp;Diagram!$P73),SUMIFS(INDIRECT(ADDRESS(12,3+18*2+(13),,,"J1 C - (South) Bishopthorpe Roa")&amp;":"&amp;ADDRESS(130,3+18*2+(13))),'J1 C - (South) Bishopthorpe Roa'!$A$12:$A$130,"&gt;="&amp;Diagram!$O73,'J1 C - (South) Bishopthorpe Roa'!$A$12:$A$130,"&lt;"&amp;Diagram!$P73)))</f>
        <v>5</v>
      </c>
      <c r="DJ73" s="42">
        <f ca="1">IF(OR($I$10="",$O73="",$P73="",$J$40&lt;&gt;"Yes"),0,IF($K$10=0,SUMIFS(INDIRECT(ADDRESS(12,3+18*3+(5),,,"J1 C - (South) Bishopthorpe Roa")&amp;":"&amp;ADDRESS(130,3+18*3+(5))),'J1 C - (South) Bishopthorpe Roa'!$A$12:$A$130,"&gt;="&amp;Diagram!$O73,'J1 C - (South) Bishopthorpe Roa'!$A$12:$A$130,"&lt;"&amp;Diagram!$P73),SUMIFS(INDIRECT(ADDRESS(12,3+18*3+(13),,,"J1 C - (South) Bishopthorpe Roa")&amp;":"&amp;ADDRESS(130,3+18*3+(13))),'J1 C - (South) Bishopthorpe Roa'!$A$12:$A$130,"&gt;="&amp;Diagram!$O73,'J1 C - (South) Bishopthorpe Roa'!$A$12:$A$130,"&lt;"&amp;Diagram!$P73)))</f>
        <v>0</v>
      </c>
      <c r="DK73" s="42">
        <f ca="1">IF(OR($I$10="",$O73="",$P73="",$J$40&lt;&gt;"Yes"),0,IF($K$10=0,SUMIFS(INDIRECT(ADDRESS(12,3+18*0+(5),,,"J1 C - (South) Bishopthorpe Roa")&amp;":"&amp;ADDRESS(130,3+18*0+(5))),'J1 C - (South) Bishopthorpe Roa'!$A$12:$A$130,"&gt;="&amp;Diagram!$O73,'J1 C - (South) Bishopthorpe Roa'!$A$12:$A$130,"&lt;"&amp;Diagram!$P73),SUMIFS(INDIRECT(ADDRESS(12,3+18*0+(13),,,"J1 C - (South) Bishopthorpe Roa")&amp;":"&amp;ADDRESS(130,3+18*0+(13))),'J1 C - (South) Bishopthorpe Roa'!$A$12:$A$130,"&gt;="&amp;Diagram!$O73,'J1 C - (South) Bishopthorpe Roa'!$A$12:$A$130,"&lt;"&amp;Diagram!$P73)))</f>
        <v>1</v>
      </c>
      <c r="DL73" s="42">
        <f ca="1">IF(OR($I$10="",$O73="",$P73="",$J$40&lt;&gt;"Yes"),0,IF($K$10=0,SUMIFS(INDIRECT(ADDRESS(12,3+18*0+(5),,,"J1 D - South Bank Avenue")&amp;":"&amp;ADDRESS(130,3+18*0+(5))),'J1 D - South Bank Avenue'!$A$12:$A$130,"&gt;="&amp;Diagram!$O73,'J1 D - South Bank Avenue'!$A$12:$A$130,"&lt;"&amp;Diagram!$P73),SUMIFS(INDIRECT(ADDRESS(12,3+18*0+(13),,,"J1 D - South Bank Avenue")&amp;":"&amp;ADDRESS(130,3+18*0+(13))),'J1 D - South Bank Avenue'!$A$12:$A$130,"&gt;="&amp;Diagram!$O73,'J1 D - South Bank Avenue'!$A$12:$A$130,"&lt;"&amp;Diagram!$P73)))</f>
        <v>3</v>
      </c>
      <c r="DM73" s="42">
        <f ca="1">IF(OR($I$10="",$O73="",$P73="",$J$40&lt;&gt;"Yes"),0,IF($K$10=0,SUMIFS(INDIRECT(ADDRESS(12,3+18*1+(5),,,"J1 D - South Bank Avenue")&amp;":"&amp;ADDRESS(130,3+18*1+(5))),'J1 D - South Bank Avenue'!$A$12:$A$130,"&gt;="&amp;Diagram!$O73,'J1 D - South Bank Avenue'!$A$12:$A$130,"&lt;"&amp;Diagram!$P73),SUMIFS(INDIRECT(ADDRESS(12,3+18*1+(13),,,"J1 D - South Bank Avenue")&amp;":"&amp;ADDRESS(130,3+18*1+(13))),'J1 D - South Bank Avenue'!$A$12:$A$130,"&gt;="&amp;Diagram!$O73,'J1 D - South Bank Avenue'!$A$12:$A$130,"&lt;"&amp;Diagram!$P73)))</f>
        <v>18</v>
      </c>
      <c r="DN73" s="42">
        <f ca="1">IF(OR($I$10="",$O73="",$P73="",$J$40&lt;&gt;"Yes"),0,IF($K$10=0,SUMIFS(INDIRECT(ADDRESS(12,3+18*2+(5),,,"J1 D - South Bank Avenue")&amp;":"&amp;ADDRESS(130,3+18*2+(5))),'J1 D - South Bank Avenue'!$A$12:$A$130,"&gt;="&amp;Diagram!$O73,'J1 D - South Bank Avenue'!$A$12:$A$130,"&lt;"&amp;Diagram!$P73),SUMIFS(INDIRECT(ADDRESS(12,3+18*2+(13),,,"J1 D - South Bank Avenue")&amp;":"&amp;ADDRESS(130,3+18*2+(13))),'J1 D - South Bank Avenue'!$A$12:$A$130,"&gt;="&amp;Diagram!$O73,'J1 D - South Bank Avenue'!$A$12:$A$130,"&lt;"&amp;Diagram!$P73)))</f>
        <v>1</v>
      </c>
      <c r="DO73" s="42">
        <f ca="1">IF(OR($I$10="",$O73="",$P73="",$J$40&lt;&gt;"Yes"),0,IF($K$10=0,SUMIFS(INDIRECT(ADDRESS(12,3+18*3+(5),,,"J1 D - South Bank Avenue")&amp;":"&amp;ADDRESS(130,3+18*3+(5))),'J1 D - South Bank Avenue'!$A$12:$A$130,"&gt;="&amp;Diagram!$O73,'J1 D - South Bank Avenue'!$A$12:$A$130,"&lt;"&amp;Diagram!$P73),SUMIFS(INDIRECT(ADDRESS(12,3+18*3+(13),,,"J1 D - South Bank Avenue")&amp;":"&amp;ADDRESS(130,3+18*3+(13))),'J1 D - South Bank Avenue'!$A$12:$A$130,"&gt;="&amp;Diagram!$O73,'J1 D - South Bank Avenue'!$A$12:$A$130,"&lt;"&amp;Diagram!$P73)))</f>
        <v>0</v>
      </c>
      <c r="DP73" s="42">
        <f t="shared" ca="1" si="17"/>
        <v>17</v>
      </c>
      <c r="DQ73" s="42">
        <f ca="1">IF(OR($I$10="",$O73="",$P73="",$J$41&lt;&gt;"Yes"),0,IF($K$10=0,SUMIFS(INDIRECT(ADDRESS(12,3+18*3+(6),,,"J1 A - (North) Bishopthorpe Roa")&amp;":"&amp;ADDRESS(130,3+18*3+(6))),'J1 A - (North) Bishopthorpe Roa'!$A$12:$A$130,"&gt;="&amp;Diagram!$O73,'J1 A - (North) Bishopthorpe Roa'!$A$12:$A$130,"&lt;"&amp;Diagram!$P73),SUMIFS(INDIRECT(ADDRESS(12,3+18*3+(14),,,"J1 A - (North) Bishopthorpe Roa")&amp;":"&amp;ADDRESS(130,3+18*3+(14))),'J1 A - (North) Bishopthorpe Roa'!$A$12:$A$130,"&gt;="&amp;Diagram!$O73,'J1 A - (North) Bishopthorpe Roa'!$A$12:$A$130,"&lt;"&amp;Diagram!$P73)))</f>
        <v>0</v>
      </c>
      <c r="DR73" s="42">
        <f ca="1">IF(OR($I$10="",$O73="",$P73="",$J$41&lt;&gt;"Yes"),0,IF($K$10=0,SUMIFS(INDIRECT(ADDRESS(12,3+18*0+(6),,,"J1 A - (North) Bishopthorpe Roa")&amp;":"&amp;ADDRESS(130,3+18*0+(6))),'J1 A - (North) Bishopthorpe Roa'!$A$12:$A$130,"&gt;="&amp;Diagram!$O73,'J1 A - (North) Bishopthorpe Roa'!$A$12:$A$130,"&lt;"&amp;Diagram!$P73),SUMIFS(INDIRECT(ADDRESS(12,3+18*0+(14),,,"J1 A - (North) Bishopthorpe Roa")&amp;":"&amp;ADDRESS(130,3+18*0+(14))),'J1 A - (North) Bishopthorpe Roa'!$A$12:$A$130,"&gt;="&amp;Diagram!$O73,'J1 A - (North) Bishopthorpe Roa'!$A$12:$A$130,"&lt;"&amp;Diagram!$P73)))</f>
        <v>1</v>
      </c>
      <c r="DS73" s="42">
        <f ca="1">IF(OR($I$10="",$O73="",$P73="",$J$41&lt;&gt;"Yes"),0,IF($K$10=0,SUMIFS(INDIRECT(ADDRESS(12,3+18*1+(6),,,"J1 A - (North) Bishopthorpe Roa")&amp;":"&amp;ADDRESS(130,3+18*1+(6))),'J1 A - (North) Bishopthorpe Roa'!$A$12:$A$130,"&gt;="&amp;Diagram!$O73,'J1 A - (North) Bishopthorpe Roa'!$A$12:$A$130,"&lt;"&amp;Diagram!$P73),SUMIFS(INDIRECT(ADDRESS(12,3+18*1+(14),,,"J1 A - (North) Bishopthorpe Roa")&amp;":"&amp;ADDRESS(130,3+18*1+(14))),'J1 A - (North) Bishopthorpe Roa'!$A$12:$A$130,"&gt;="&amp;Diagram!$O73,'J1 A - (North) Bishopthorpe Roa'!$A$12:$A$130,"&lt;"&amp;Diagram!$P73)))</f>
        <v>7</v>
      </c>
      <c r="DT73" s="42">
        <f ca="1">IF(OR($I$10="",$O73="",$P73="",$J$41&lt;&gt;"Yes"),0,IF($K$10=0,SUMIFS(INDIRECT(ADDRESS(12,3+18*2+(6),,,"J1 A - (North) Bishopthorpe Roa")&amp;":"&amp;ADDRESS(130,3+18*2+(6))),'J1 A - (North) Bishopthorpe Roa'!$A$12:$A$130,"&gt;="&amp;Diagram!$O73,'J1 A - (North) Bishopthorpe Roa'!$A$12:$A$130,"&lt;"&amp;Diagram!$P73),SUMIFS(INDIRECT(ADDRESS(12,3+18*2+(14),,,"J1 A - (North) Bishopthorpe Roa")&amp;":"&amp;ADDRESS(130,3+18*2+(14))),'J1 A - (North) Bishopthorpe Roa'!$A$12:$A$130,"&gt;="&amp;Diagram!$O73,'J1 A - (North) Bishopthorpe Roa'!$A$12:$A$130,"&lt;"&amp;Diagram!$P73)))</f>
        <v>1</v>
      </c>
      <c r="DU73" s="42">
        <f ca="1">IF(OR($I$10="",$O73="",$P73="",$J$41&lt;&gt;"Yes"),0,IF($K$10=0,SUMIFS(INDIRECT(ADDRESS(12,3+18*2+(6),,,"J1 B - Butcher Terrace")&amp;":"&amp;ADDRESS(130,3+18*2+(6))),'J1 B - Butcher Terrace'!$A$12:$A$130,"&gt;="&amp;Diagram!$O73,'J1 B - Butcher Terrace'!$A$12:$A$130,"&lt;"&amp;Diagram!$P73),SUMIFS(INDIRECT(ADDRESS(12,3+18*2+(14),,,"J1 B - Butcher Terrace")&amp;":"&amp;ADDRESS(130,3+18*2+(14))),'J1 B - Butcher Terrace'!$A$12:$A$130,"&gt;="&amp;Diagram!$O73,'J1 B - Butcher Terrace'!$A$12:$A$130,"&lt;"&amp;Diagram!$P73)))</f>
        <v>1</v>
      </c>
      <c r="DV73" s="42">
        <f ca="1">IF(OR($I$10="",$O73="",$P73="",$J$41&lt;&gt;"Yes"),0,IF($K$10=0,SUMIFS(INDIRECT(ADDRESS(12,3+18*3+(6),,,"J1 B - Butcher Terrace")&amp;":"&amp;ADDRESS(130,3+18*3+(6))),'J1 B - Butcher Terrace'!$A$12:$A$130,"&gt;="&amp;Diagram!$O73,'J1 B - Butcher Terrace'!$A$12:$A$130,"&lt;"&amp;Diagram!$P73),SUMIFS(INDIRECT(ADDRESS(12,3+18*3+(14),,,"J1 B - Butcher Terrace")&amp;":"&amp;ADDRESS(130,3+18*3+(14))),'J1 B - Butcher Terrace'!$A$12:$A$130,"&gt;="&amp;Diagram!$O73,'J1 B - Butcher Terrace'!$A$12:$A$130,"&lt;"&amp;Diagram!$P73)))</f>
        <v>0</v>
      </c>
      <c r="DW73" s="42">
        <f ca="1">IF(OR($I$10="",$O73="",$P73="",$J$41&lt;&gt;"Yes"),0,IF($K$10=0,SUMIFS(INDIRECT(ADDRESS(12,3+18*0+(6),,,"J1 B - Butcher Terrace")&amp;":"&amp;ADDRESS(130,3+18*0+(6))),'J1 B - Butcher Terrace'!$A$12:$A$130,"&gt;="&amp;Diagram!$O73,'J1 B - Butcher Terrace'!$A$12:$A$130,"&lt;"&amp;Diagram!$P73),SUMIFS(INDIRECT(ADDRESS(12,3+18*0+(14),,,"J1 B - Butcher Terrace")&amp;":"&amp;ADDRESS(130,3+18*0+(14))),'J1 B - Butcher Terrace'!$A$12:$A$130,"&gt;="&amp;Diagram!$O73,'J1 B - Butcher Terrace'!$A$12:$A$130,"&lt;"&amp;Diagram!$P73)))</f>
        <v>0</v>
      </c>
      <c r="DX73" s="42">
        <f ca="1">IF(OR($I$10="",$O73="",$P73="",$J$41&lt;&gt;"Yes"),0,IF($K$10=0,SUMIFS(INDIRECT(ADDRESS(12,3+18*1+(6),,,"J1 B - Butcher Terrace")&amp;":"&amp;ADDRESS(130,3+18*1+(6))),'J1 B - Butcher Terrace'!$A$12:$A$130,"&gt;="&amp;Diagram!$O73,'J1 B - Butcher Terrace'!$A$12:$A$130,"&lt;"&amp;Diagram!$P73),SUMIFS(INDIRECT(ADDRESS(12,3+18*1+(14),,,"J1 B - Butcher Terrace")&amp;":"&amp;ADDRESS(130,3+18*1+(14))),'J1 B - Butcher Terrace'!$A$12:$A$130,"&gt;="&amp;Diagram!$O73,'J1 B - Butcher Terrace'!$A$12:$A$130,"&lt;"&amp;Diagram!$P73)))</f>
        <v>1</v>
      </c>
      <c r="DY73" s="42">
        <f ca="1">IF(OR($I$10="",$O73="",$P73="",$J$41&lt;&gt;"Yes"),0,IF($K$10=0,SUMIFS(INDIRECT(ADDRESS(12,3+18*1+(6),,,"J1 C - (South) Bishopthorpe Roa")&amp;":"&amp;ADDRESS(130,3+18*1+(6))),'J1 C - (South) Bishopthorpe Roa'!$A$12:$A$130,"&gt;="&amp;Diagram!$O73,'J1 C - (South) Bishopthorpe Roa'!$A$12:$A$130,"&lt;"&amp;Diagram!$P73),SUMIFS(INDIRECT(ADDRESS(12,3+18*1+(14),,,"J1 C - (South) Bishopthorpe Roa")&amp;":"&amp;ADDRESS(130,3+18*1+(14))),'J1 C - (South) Bishopthorpe Roa'!$A$12:$A$130,"&gt;="&amp;Diagram!$O73,'J1 C - (South) Bishopthorpe Roa'!$A$12:$A$130,"&lt;"&amp;Diagram!$P73)))</f>
        <v>5</v>
      </c>
      <c r="DZ73" s="42">
        <f ca="1">IF(OR($I$10="",$O73="",$P73="",$J$41&lt;&gt;"Yes"),0,IF($K$10=0,SUMIFS(INDIRECT(ADDRESS(12,3+18*2+(6),,,"J1 C - (South) Bishopthorpe Roa")&amp;":"&amp;ADDRESS(130,3+18*2+(6))),'J1 C - (South) Bishopthorpe Roa'!$A$12:$A$130,"&gt;="&amp;Diagram!$O73,'J1 C - (South) Bishopthorpe Roa'!$A$12:$A$130,"&lt;"&amp;Diagram!$P73),SUMIFS(INDIRECT(ADDRESS(12,3+18*2+(14),,,"J1 C - (South) Bishopthorpe Roa")&amp;":"&amp;ADDRESS(130,3+18*2+(14))),'J1 C - (South) Bishopthorpe Roa'!$A$12:$A$130,"&gt;="&amp;Diagram!$O73,'J1 C - (South) Bishopthorpe Roa'!$A$12:$A$130,"&lt;"&amp;Diagram!$P73)))</f>
        <v>1</v>
      </c>
      <c r="EA73" s="42">
        <f ca="1">IF(OR($I$10="",$O73="",$P73="",$J$41&lt;&gt;"Yes"),0,IF($K$10=0,SUMIFS(INDIRECT(ADDRESS(12,3+18*3+(6),,,"J1 C - (South) Bishopthorpe Roa")&amp;":"&amp;ADDRESS(130,3+18*3+(6))),'J1 C - (South) Bishopthorpe Roa'!$A$12:$A$130,"&gt;="&amp;Diagram!$O73,'J1 C - (South) Bishopthorpe Roa'!$A$12:$A$130,"&lt;"&amp;Diagram!$P73),SUMIFS(INDIRECT(ADDRESS(12,3+18*3+(14),,,"J1 C - (South) Bishopthorpe Roa")&amp;":"&amp;ADDRESS(130,3+18*3+(14))),'J1 C - (South) Bishopthorpe Roa'!$A$12:$A$130,"&gt;="&amp;Diagram!$O73,'J1 C - (South) Bishopthorpe Roa'!$A$12:$A$130,"&lt;"&amp;Diagram!$P73)))</f>
        <v>0</v>
      </c>
      <c r="EB73" s="42">
        <f ca="1">IF(OR($I$10="",$O73="",$P73="",$J$41&lt;&gt;"Yes"),0,IF($K$10=0,SUMIFS(INDIRECT(ADDRESS(12,3+18*0+(6),,,"J1 C - (South) Bishopthorpe Roa")&amp;":"&amp;ADDRESS(130,3+18*0+(6))),'J1 C - (South) Bishopthorpe Roa'!$A$12:$A$130,"&gt;="&amp;Diagram!$O73,'J1 C - (South) Bishopthorpe Roa'!$A$12:$A$130,"&lt;"&amp;Diagram!$P73),SUMIFS(INDIRECT(ADDRESS(12,3+18*0+(14),,,"J1 C - (South) Bishopthorpe Roa")&amp;":"&amp;ADDRESS(130,3+18*0+(14))),'J1 C - (South) Bishopthorpe Roa'!$A$12:$A$130,"&gt;="&amp;Diagram!$O73,'J1 C - (South) Bishopthorpe Roa'!$A$12:$A$130,"&lt;"&amp;Diagram!$P73)))</f>
        <v>0</v>
      </c>
      <c r="EC73" s="42">
        <f ca="1">IF(OR($I$10="",$O73="",$P73="",$J$41&lt;&gt;"Yes"),0,IF($K$10=0,SUMIFS(INDIRECT(ADDRESS(12,3+18*0+(6),,,"J1 D - South Bank Avenue")&amp;":"&amp;ADDRESS(130,3+18*0+(6))),'J1 D - South Bank Avenue'!$A$12:$A$130,"&gt;="&amp;Diagram!$O73,'J1 D - South Bank Avenue'!$A$12:$A$130,"&lt;"&amp;Diagram!$P73),SUMIFS(INDIRECT(ADDRESS(12,3+18*0+(14),,,"J1 D - South Bank Avenue")&amp;":"&amp;ADDRESS(130,3+18*0+(14))),'J1 D - South Bank Avenue'!$A$12:$A$130,"&gt;="&amp;Diagram!$O73,'J1 D - South Bank Avenue'!$A$12:$A$130,"&lt;"&amp;Diagram!$P73)))</f>
        <v>0</v>
      </c>
      <c r="ED73" s="42">
        <f ca="1">IF(OR($I$10="",$O73="",$P73="",$J$41&lt;&gt;"Yes"),0,IF($K$10=0,SUMIFS(INDIRECT(ADDRESS(12,3+18*1+(6),,,"J1 D - South Bank Avenue")&amp;":"&amp;ADDRESS(130,3+18*1+(6))),'J1 D - South Bank Avenue'!$A$12:$A$130,"&gt;="&amp;Diagram!$O73,'J1 D - South Bank Avenue'!$A$12:$A$130,"&lt;"&amp;Diagram!$P73),SUMIFS(INDIRECT(ADDRESS(12,3+18*1+(14),,,"J1 D - South Bank Avenue")&amp;":"&amp;ADDRESS(130,3+18*1+(14))),'J1 D - South Bank Avenue'!$A$12:$A$130,"&gt;="&amp;Diagram!$O73,'J1 D - South Bank Avenue'!$A$12:$A$130,"&lt;"&amp;Diagram!$P73)))</f>
        <v>0</v>
      </c>
      <c r="EE73" s="42">
        <f ca="1">IF(OR($I$10="",$O73="",$P73="",$J$41&lt;&gt;"Yes"),0,IF($K$10=0,SUMIFS(INDIRECT(ADDRESS(12,3+18*2+(6),,,"J1 D - South Bank Avenue")&amp;":"&amp;ADDRESS(130,3+18*2+(6))),'J1 D - South Bank Avenue'!$A$12:$A$130,"&gt;="&amp;Diagram!$O73,'J1 D - South Bank Avenue'!$A$12:$A$130,"&lt;"&amp;Diagram!$P73),SUMIFS(INDIRECT(ADDRESS(12,3+18*2+(14),,,"J1 D - South Bank Avenue")&amp;":"&amp;ADDRESS(130,3+18*2+(14))),'J1 D - South Bank Avenue'!$A$12:$A$130,"&gt;="&amp;Diagram!$O73,'J1 D - South Bank Avenue'!$A$12:$A$130,"&lt;"&amp;Diagram!$P73)))</f>
        <v>0</v>
      </c>
      <c r="EF73" s="42">
        <f ca="1">IF(OR($I$10="",$O73="",$P73="",$J$41&lt;&gt;"Yes"),0,IF($K$10=0,SUMIFS(INDIRECT(ADDRESS(12,3+18*3+(6),,,"J1 D - South Bank Avenue")&amp;":"&amp;ADDRESS(130,3+18*3+(6))),'J1 D - South Bank Avenue'!$A$12:$A$130,"&gt;="&amp;Diagram!$O73,'J1 D - South Bank Avenue'!$A$12:$A$130,"&lt;"&amp;Diagram!$P73),SUMIFS(INDIRECT(ADDRESS(12,3+18*3+(14),,,"J1 D - South Bank Avenue")&amp;":"&amp;ADDRESS(130,3+18*3+(14))),'J1 D - South Bank Avenue'!$A$12:$A$130,"&gt;="&amp;Diagram!$O73,'J1 D - South Bank Avenue'!$A$12:$A$130,"&lt;"&amp;Diagram!$P73)))</f>
        <v>0</v>
      </c>
      <c r="EG73" s="42">
        <f t="shared" ca="1" si="18"/>
        <v>0</v>
      </c>
      <c r="EH73" s="42">
        <f ca="1">IF(OR($I$10="",$O73="",$P73="",$J$42&lt;&gt;"Yes"),0,IF($K$10=0,SUMIFS(INDIRECT(ADDRESS(12,3+18*3+(7),,,"J1 A - (North) Bishopthorpe Roa")&amp;":"&amp;ADDRESS(130,3+18*3+(7))),'J1 A - (North) Bishopthorpe Roa'!$A$12:$A$130,"&gt;="&amp;Diagram!$O73,'J1 A - (North) Bishopthorpe Roa'!$A$12:$A$130,"&lt;"&amp;Diagram!$P73),SUMIFS(INDIRECT(ADDRESS(12,3+18*3+(15),,,"J1 A - (North) Bishopthorpe Roa")&amp;":"&amp;ADDRESS(130,3+18*3+(15))),'J1 A - (North) Bishopthorpe Roa'!$A$12:$A$130,"&gt;="&amp;Diagram!$O73,'J1 A - (North) Bishopthorpe Roa'!$A$12:$A$130,"&lt;"&amp;Diagram!$P73)))</f>
        <v>0</v>
      </c>
      <c r="EI73" s="42">
        <f ca="1">IF(OR($I$10="",$O73="",$P73="",$J$42&lt;&gt;"Yes"),0,IF($K$10=0,SUMIFS(INDIRECT(ADDRESS(12,3+18*0+(7),,,"J1 A - (North) Bishopthorpe Roa")&amp;":"&amp;ADDRESS(130,3+18*0+(7))),'J1 A - (North) Bishopthorpe Roa'!$A$12:$A$130,"&gt;="&amp;Diagram!$O73,'J1 A - (North) Bishopthorpe Roa'!$A$12:$A$130,"&lt;"&amp;Diagram!$P73),SUMIFS(INDIRECT(ADDRESS(12,3+18*0+(15),,,"J1 A - (North) Bishopthorpe Roa")&amp;":"&amp;ADDRESS(130,3+18*0+(15))),'J1 A - (North) Bishopthorpe Roa'!$A$12:$A$130,"&gt;="&amp;Diagram!$O73,'J1 A - (North) Bishopthorpe Roa'!$A$12:$A$130,"&lt;"&amp;Diagram!$P73)))</f>
        <v>0</v>
      </c>
      <c r="EJ73" s="42">
        <f ca="1">IF(OR($I$10="",$O73="",$P73="",$J$42&lt;&gt;"Yes"),0,IF($K$10=0,SUMIFS(INDIRECT(ADDRESS(12,3+18*1+(7),,,"J1 A - (North) Bishopthorpe Roa")&amp;":"&amp;ADDRESS(130,3+18*1+(7))),'J1 A - (North) Bishopthorpe Roa'!$A$12:$A$130,"&gt;="&amp;Diagram!$O73,'J1 A - (North) Bishopthorpe Roa'!$A$12:$A$130,"&lt;"&amp;Diagram!$P73),SUMIFS(INDIRECT(ADDRESS(12,3+18*1+(15),,,"J1 A - (North) Bishopthorpe Roa")&amp;":"&amp;ADDRESS(130,3+18*1+(15))),'J1 A - (North) Bishopthorpe Roa'!$A$12:$A$130,"&gt;="&amp;Diagram!$O73,'J1 A - (North) Bishopthorpe Roa'!$A$12:$A$130,"&lt;"&amp;Diagram!$P73)))</f>
        <v>0</v>
      </c>
      <c r="EK73" s="42">
        <f ca="1">IF(OR($I$10="",$O73="",$P73="",$J$42&lt;&gt;"Yes"),0,IF($K$10=0,SUMIFS(INDIRECT(ADDRESS(12,3+18*2+(7),,,"J1 A - (North) Bishopthorpe Roa")&amp;":"&amp;ADDRESS(130,3+18*2+(7))),'J1 A - (North) Bishopthorpe Roa'!$A$12:$A$130,"&gt;="&amp;Diagram!$O73,'J1 A - (North) Bishopthorpe Roa'!$A$12:$A$130,"&lt;"&amp;Diagram!$P73),SUMIFS(INDIRECT(ADDRESS(12,3+18*2+(15),,,"J1 A - (North) Bishopthorpe Roa")&amp;":"&amp;ADDRESS(130,3+18*2+(15))),'J1 A - (North) Bishopthorpe Roa'!$A$12:$A$130,"&gt;="&amp;Diagram!$O73,'J1 A - (North) Bishopthorpe Roa'!$A$12:$A$130,"&lt;"&amp;Diagram!$P73)))</f>
        <v>0</v>
      </c>
      <c r="EL73" s="42">
        <f ca="1">IF(OR($I$10="",$O73="",$P73="",$J$42&lt;&gt;"Yes"),0,IF($K$10=0,SUMIFS(INDIRECT(ADDRESS(12,3+18*2+(7),,,"J1 B - Butcher Terrace")&amp;":"&amp;ADDRESS(130,3+18*2+(7))),'J1 B - Butcher Terrace'!$A$12:$A$130,"&gt;="&amp;Diagram!$O73,'J1 B - Butcher Terrace'!$A$12:$A$130,"&lt;"&amp;Diagram!$P73),SUMIFS(INDIRECT(ADDRESS(12,3+18*2+(15),,,"J1 B - Butcher Terrace")&amp;":"&amp;ADDRESS(130,3+18*2+(15))),'J1 B - Butcher Terrace'!$A$12:$A$130,"&gt;="&amp;Diagram!$O73,'J1 B - Butcher Terrace'!$A$12:$A$130,"&lt;"&amp;Diagram!$P73)))</f>
        <v>0</v>
      </c>
      <c r="EM73" s="42">
        <f ca="1">IF(OR($I$10="",$O73="",$P73="",$J$42&lt;&gt;"Yes"),0,IF($K$10=0,SUMIFS(INDIRECT(ADDRESS(12,3+18*3+(7),,,"J1 B - Butcher Terrace")&amp;":"&amp;ADDRESS(130,3+18*3+(7))),'J1 B - Butcher Terrace'!$A$12:$A$130,"&gt;="&amp;Diagram!$O73,'J1 B - Butcher Terrace'!$A$12:$A$130,"&lt;"&amp;Diagram!$P73),SUMIFS(INDIRECT(ADDRESS(12,3+18*3+(15),,,"J1 B - Butcher Terrace")&amp;":"&amp;ADDRESS(130,3+18*3+(15))),'J1 B - Butcher Terrace'!$A$12:$A$130,"&gt;="&amp;Diagram!$O73,'J1 B - Butcher Terrace'!$A$12:$A$130,"&lt;"&amp;Diagram!$P73)))</f>
        <v>0</v>
      </c>
      <c r="EN73" s="42">
        <f ca="1">IF(OR($I$10="",$O73="",$P73="",$J$42&lt;&gt;"Yes"),0,IF($K$10=0,SUMIFS(INDIRECT(ADDRESS(12,3+18*0+(7),,,"J1 B - Butcher Terrace")&amp;":"&amp;ADDRESS(130,3+18*0+(7))),'J1 B - Butcher Terrace'!$A$12:$A$130,"&gt;="&amp;Diagram!$O73,'J1 B - Butcher Terrace'!$A$12:$A$130,"&lt;"&amp;Diagram!$P73),SUMIFS(INDIRECT(ADDRESS(12,3+18*0+(15),,,"J1 B - Butcher Terrace")&amp;":"&amp;ADDRESS(130,3+18*0+(15))),'J1 B - Butcher Terrace'!$A$12:$A$130,"&gt;="&amp;Diagram!$O73,'J1 B - Butcher Terrace'!$A$12:$A$130,"&lt;"&amp;Diagram!$P73)))</f>
        <v>0</v>
      </c>
      <c r="EO73" s="42">
        <f ca="1">IF(OR($I$10="",$O73="",$P73="",$J$42&lt;&gt;"Yes"),0,IF($K$10=0,SUMIFS(INDIRECT(ADDRESS(12,3+18*1+(7),,,"J1 B - Butcher Terrace")&amp;":"&amp;ADDRESS(130,3+18*1+(7))),'J1 B - Butcher Terrace'!$A$12:$A$130,"&gt;="&amp;Diagram!$O73,'J1 B - Butcher Terrace'!$A$12:$A$130,"&lt;"&amp;Diagram!$P73),SUMIFS(INDIRECT(ADDRESS(12,3+18*1+(15),,,"J1 B - Butcher Terrace")&amp;":"&amp;ADDRESS(130,3+18*1+(15))),'J1 B - Butcher Terrace'!$A$12:$A$130,"&gt;="&amp;Diagram!$O73,'J1 B - Butcher Terrace'!$A$12:$A$130,"&lt;"&amp;Diagram!$P73)))</f>
        <v>0</v>
      </c>
      <c r="EP73" s="42">
        <f ca="1">IF(OR($I$10="",$O73="",$P73="",$J$42&lt;&gt;"Yes"),0,IF($K$10=0,SUMIFS(INDIRECT(ADDRESS(12,3+18*1+(7),,,"J1 C - (South) Bishopthorpe Roa")&amp;":"&amp;ADDRESS(130,3+18*1+(7))),'J1 C - (South) Bishopthorpe Roa'!$A$12:$A$130,"&gt;="&amp;Diagram!$O73,'J1 C - (South) Bishopthorpe Roa'!$A$12:$A$130,"&lt;"&amp;Diagram!$P73),SUMIFS(INDIRECT(ADDRESS(12,3+18*1+(15),,,"J1 C - (South) Bishopthorpe Roa")&amp;":"&amp;ADDRESS(130,3+18*1+(15))),'J1 C - (South) Bishopthorpe Roa'!$A$12:$A$130,"&gt;="&amp;Diagram!$O73,'J1 C - (South) Bishopthorpe Roa'!$A$12:$A$130,"&lt;"&amp;Diagram!$P73)))</f>
        <v>0</v>
      </c>
      <c r="EQ73" s="42">
        <f ca="1">IF(OR($I$10="",$O73="",$P73="",$J$42&lt;&gt;"Yes"),0,IF($K$10=0,SUMIFS(INDIRECT(ADDRESS(12,3+18*2+(7),,,"J1 C - (South) Bishopthorpe Roa")&amp;":"&amp;ADDRESS(130,3+18*2+(7))),'J1 C - (South) Bishopthorpe Roa'!$A$12:$A$130,"&gt;="&amp;Diagram!$O73,'J1 C - (South) Bishopthorpe Roa'!$A$12:$A$130,"&lt;"&amp;Diagram!$P73),SUMIFS(INDIRECT(ADDRESS(12,3+18*2+(15),,,"J1 C - (South) Bishopthorpe Roa")&amp;":"&amp;ADDRESS(130,3+18*2+(15))),'J1 C - (South) Bishopthorpe Roa'!$A$12:$A$130,"&gt;="&amp;Diagram!$O73,'J1 C - (South) Bishopthorpe Roa'!$A$12:$A$130,"&lt;"&amp;Diagram!$P73)))</f>
        <v>0</v>
      </c>
      <c r="ER73" s="42">
        <f ca="1">IF(OR($I$10="",$O73="",$P73="",$J$42&lt;&gt;"Yes"),0,IF($K$10=0,SUMIFS(INDIRECT(ADDRESS(12,3+18*3+(7),,,"J1 C - (South) Bishopthorpe Roa")&amp;":"&amp;ADDRESS(130,3+18*3+(7))),'J1 C - (South) Bishopthorpe Roa'!$A$12:$A$130,"&gt;="&amp;Diagram!$O73,'J1 C - (South) Bishopthorpe Roa'!$A$12:$A$130,"&lt;"&amp;Diagram!$P73),SUMIFS(INDIRECT(ADDRESS(12,3+18*3+(15),,,"J1 C - (South) Bishopthorpe Roa")&amp;":"&amp;ADDRESS(130,3+18*3+(15))),'J1 C - (South) Bishopthorpe Roa'!$A$12:$A$130,"&gt;="&amp;Diagram!$O73,'J1 C - (South) Bishopthorpe Roa'!$A$12:$A$130,"&lt;"&amp;Diagram!$P73)))</f>
        <v>0</v>
      </c>
      <c r="ES73" s="42">
        <f ca="1">IF(OR($I$10="",$O73="",$P73="",$J$42&lt;&gt;"Yes"),0,IF($K$10=0,SUMIFS(INDIRECT(ADDRESS(12,3+18*0+(7),,,"J1 C - (South) Bishopthorpe Roa")&amp;":"&amp;ADDRESS(130,3+18*0+(7))),'J1 C - (South) Bishopthorpe Roa'!$A$12:$A$130,"&gt;="&amp;Diagram!$O73,'J1 C - (South) Bishopthorpe Roa'!$A$12:$A$130,"&lt;"&amp;Diagram!$P73),SUMIFS(INDIRECT(ADDRESS(12,3+18*0+(15),,,"J1 C - (South) Bishopthorpe Roa")&amp;":"&amp;ADDRESS(130,3+18*0+(15))),'J1 C - (South) Bishopthorpe Roa'!$A$12:$A$130,"&gt;="&amp;Diagram!$O73,'J1 C - (South) Bishopthorpe Roa'!$A$12:$A$130,"&lt;"&amp;Diagram!$P73)))</f>
        <v>0</v>
      </c>
      <c r="ET73" s="42">
        <f ca="1">IF(OR($I$10="",$O73="",$P73="",$J$42&lt;&gt;"Yes"),0,IF($K$10=0,SUMIFS(INDIRECT(ADDRESS(12,3+18*0+(7),,,"J1 D - South Bank Avenue")&amp;":"&amp;ADDRESS(130,3+18*0+(7))),'J1 D - South Bank Avenue'!$A$12:$A$130,"&gt;="&amp;Diagram!$O73,'J1 D - South Bank Avenue'!$A$12:$A$130,"&lt;"&amp;Diagram!$P73),SUMIFS(INDIRECT(ADDRESS(12,3+18*0+(15),,,"J1 D - South Bank Avenue")&amp;":"&amp;ADDRESS(130,3+18*0+(15))),'J1 D - South Bank Avenue'!$A$12:$A$130,"&gt;="&amp;Diagram!$O73,'J1 D - South Bank Avenue'!$A$12:$A$130,"&lt;"&amp;Diagram!$P73)))</f>
        <v>0</v>
      </c>
      <c r="EU73" s="42">
        <f ca="1">IF(OR($I$10="",$O73="",$P73="",$J$42&lt;&gt;"Yes"),0,IF($K$10=0,SUMIFS(INDIRECT(ADDRESS(12,3+18*1+(7),,,"J1 D - South Bank Avenue")&amp;":"&amp;ADDRESS(130,3+18*1+(7))),'J1 D - South Bank Avenue'!$A$12:$A$130,"&gt;="&amp;Diagram!$O73,'J1 D - South Bank Avenue'!$A$12:$A$130,"&lt;"&amp;Diagram!$P73),SUMIFS(INDIRECT(ADDRESS(12,3+18*1+(15),,,"J1 D - South Bank Avenue")&amp;":"&amp;ADDRESS(130,3+18*1+(15))),'J1 D - South Bank Avenue'!$A$12:$A$130,"&gt;="&amp;Diagram!$O73,'J1 D - South Bank Avenue'!$A$12:$A$130,"&lt;"&amp;Diagram!$P73)))</f>
        <v>0</v>
      </c>
      <c r="EV73" s="42">
        <f ca="1">IF(OR($I$10="",$O73="",$P73="",$J$42&lt;&gt;"Yes"),0,IF($K$10=0,SUMIFS(INDIRECT(ADDRESS(12,3+18*2+(7),,,"J1 D - South Bank Avenue")&amp;":"&amp;ADDRESS(130,3+18*2+(7))),'J1 D - South Bank Avenue'!$A$12:$A$130,"&gt;="&amp;Diagram!$O73,'J1 D - South Bank Avenue'!$A$12:$A$130,"&lt;"&amp;Diagram!$P73),SUMIFS(INDIRECT(ADDRESS(12,3+18*2+(15),,,"J1 D - South Bank Avenue")&amp;":"&amp;ADDRESS(130,3+18*2+(15))),'J1 D - South Bank Avenue'!$A$12:$A$130,"&gt;="&amp;Diagram!$O73,'J1 D - South Bank Avenue'!$A$12:$A$130,"&lt;"&amp;Diagram!$P73)))</f>
        <v>0</v>
      </c>
      <c r="EW73" s="42">
        <f ca="1">IF(OR($I$10="",$O73="",$P73="",$J$42&lt;&gt;"Yes"),0,IF($K$10=0,SUMIFS(INDIRECT(ADDRESS(12,3+18*3+(7),,,"J1 D - South Bank Avenue")&amp;":"&amp;ADDRESS(130,3+18*3+(7))),'J1 D - South Bank Avenue'!$A$12:$A$130,"&gt;="&amp;Diagram!$O73,'J1 D - South Bank Avenue'!$A$12:$A$130,"&lt;"&amp;Diagram!$P73),SUMIFS(INDIRECT(ADDRESS(12,3+18*3+(15),,,"J1 D - South Bank Avenue")&amp;":"&amp;ADDRESS(130,3+18*3+(15))),'J1 D - South Bank Avenue'!$A$12:$A$130,"&gt;="&amp;Diagram!$O73,'J1 D - South Bank Avenue'!$A$12:$A$130,"&lt;"&amp;Diagram!$P73)))</f>
        <v>0</v>
      </c>
    </row>
    <row r="74" spans="1:153">
      <c r="A74" s="1">
        <v>44395.760416666701</v>
      </c>
      <c r="B74" s="1">
        <v>44395.770833333299</v>
      </c>
      <c r="O74" s="3">
        <v>44395.760416666701</v>
      </c>
      <c r="P74" s="3">
        <v>44395.802083333299</v>
      </c>
      <c r="Q74" s="42">
        <f t="shared" ca="1" si="10"/>
        <v>624</v>
      </c>
      <c r="R74" s="42">
        <f t="shared" ca="1" si="11"/>
        <v>478</v>
      </c>
      <c r="S74" s="42">
        <f ca="1">IF(OR($I$10="",$O74="",$P74="",$J$35&lt;&gt;"Yes"),0,IF($K$10=0,SUMIFS(INDIRECT(ADDRESS(12,3+18*3+(0),,,"J1 A - (North) Bishopthorpe Roa")&amp;":"&amp;ADDRESS(130,3+18*3+(0))),'J1 A - (North) Bishopthorpe Roa'!$A$12:$A$130,"&gt;="&amp;Diagram!$O74,'J1 A - (North) Bishopthorpe Roa'!$A$12:$A$130,"&lt;"&amp;Diagram!$P74),SUMIFS(INDIRECT(ADDRESS(12,3+18*3+(8),,,"J1 A - (North) Bishopthorpe Roa")&amp;":"&amp;ADDRESS(130,3+18*3+(8))),'J1 A - (North) Bishopthorpe Roa'!$A$12:$A$130,"&gt;="&amp;Diagram!$O74,'J1 A - (North) Bishopthorpe Roa'!$A$12:$A$130,"&lt;"&amp;Diagram!$P74)))</f>
        <v>1</v>
      </c>
      <c r="T74" s="42">
        <f ca="1">IF(OR($I$10="",$O74="",$P74="",$J$35&lt;&gt;"Yes"),0,IF($K$10=0,SUMIFS(INDIRECT(ADDRESS(12,3+18*0+(0),,,"J1 A - (North) Bishopthorpe Roa")&amp;":"&amp;ADDRESS(130,3+18*0+(0))),'J1 A - (North) Bishopthorpe Roa'!$A$12:$A$130,"&gt;="&amp;Diagram!$O74,'J1 A - (North) Bishopthorpe Roa'!$A$12:$A$130,"&lt;"&amp;Diagram!$P74),SUMIFS(INDIRECT(ADDRESS(12,3+18*0+(8),,,"J1 A - (North) Bishopthorpe Roa")&amp;":"&amp;ADDRESS(130,3+18*0+(8))),'J1 A - (North) Bishopthorpe Roa'!$A$12:$A$130,"&gt;="&amp;Diagram!$O74,'J1 A - (North) Bishopthorpe Roa'!$A$12:$A$130,"&lt;"&amp;Diagram!$P74)))</f>
        <v>17</v>
      </c>
      <c r="U74" s="42">
        <f ca="1">IF(OR($I$10="",$O74="",$P74="",$J$35&lt;&gt;"Yes"),0,IF($K$10=0,SUMIFS(INDIRECT(ADDRESS(12,3+18*1+(0),,,"J1 A - (North) Bishopthorpe Roa")&amp;":"&amp;ADDRESS(130,3+18*1+(0))),'J1 A - (North) Bishopthorpe Roa'!$A$12:$A$130,"&gt;="&amp;Diagram!$O74,'J1 A - (North) Bishopthorpe Roa'!$A$12:$A$130,"&lt;"&amp;Diagram!$P74),SUMIFS(INDIRECT(ADDRESS(12,3+18*1+(8),,,"J1 A - (North) Bishopthorpe Roa")&amp;":"&amp;ADDRESS(130,3+18*1+(8))),'J1 A - (North) Bishopthorpe Roa'!$A$12:$A$130,"&gt;="&amp;Diagram!$O74,'J1 A - (North) Bishopthorpe Roa'!$A$12:$A$130,"&lt;"&amp;Diagram!$P74)))</f>
        <v>196</v>
      </c>
      <c r="V74" s="42">
        <f ca="1">IF(OR($I$10="",$O74="",$P74="",$J$35&lt;&gt;"Yes"),0,IF($K$10=0,SUMIFS(INDIRECT(ADDRESS(12,3+18*2+(0),,,"J1 A - (North) Bishopthorpe Roa")&amp;":"&amp;ADDRESS(130,3+18*2+(0))),'J1 A - (North) Bishopthorpe Roa'!$A$12:$A$130,"&gt;="&amp;Diagram!$O74,'J1 A - (North) Bishopthorpe Roa'!$A$12:$A$130,"&lt;"&amp;Diagram!$P74),SUMIFS(INDIRECT(ADDRESS(12,3+18*2+(8),,,"J1 A - (North) Bishopthorpe Roa")&amp;":"&amp;ADDRESS(130,3+18*2+(8))),'J1 A - (North) Bishopthorpe Roa'!$A$12:$A$130,"&gt;="&amp;Diagram!$O74,'J1 A - (North) Bishopthorpe Roa'!$A$12:$A$130,"&lt;"&amp;Diagram!$P74)))</f>
        <v>29</v>
      </c>
      <c r="W74" s="42">
        <f ca="1">IF(OR($I$10="",$O74="",$P74="",$J$35&lt;&gt;"Yes"),0,IF($K$10=0,SUMIFS(INDIRECT(ADDRESS(12,3+18*2+(0),,,"J1 B - Butcher Terrace")&amp;":"&amp;ADDRESS(130,3+18*2+(0))),'J1 B - Butcher Terrace'!$A$12:$A$130,"&gt;="&amp;Diagram!$O74,'J1 B - Butcher Terrace'!$A$12:$A$130,"&lt;"&amp;Diagram!$P74),SUMIFS(INDIRECT(ADDRESS(12,3+18*2+(8),,,"J1 B - Butcher Terrace")&amp;":"&amp;ADDRESS(130,3+18*2+(8))),'J1 B - Butcher Terrace'!$A$12:$A$130,"&gt;="&amp;Diagram!$O74,'J1 B - Butcher Terrace'!$A$12:$A$130,"&lt;"&amp;Diagram!$P74)))</f>
        <v>11</v>
      </c>
      <c r="X74" s="42">
        <f ca="1">IF(OR($I$10="",$O74="",$P74="",$J$35&lt;&gt;"Yes"),0,IF($K$10=0,SUMIFS(INDIRECT(ADDRESS(12,3+18*3+(0),,,"J1 B - Butcher Terrace")&amp;":"&amp;ADDRESS(130,3+18*3+(0))),'J1 B - Butcher Terrace'!$A$12:$A$130,"&gt;="&amp;Diagram!$O74,'J1 B - Butcher Terrace'!$A$12:$A$130,"&lt;"&amp;Diagram!$P74),SUMIFS(INDIRECT(ADDRESS(12,3+18*3+(8),,,"J1 B - Butcher Terrace")&amp;":"&amp;ADDRESS(130,3+18*3+(8))),'J1 B - Butcher Terrace'!$A$12:$A$130,"&gt;="&amp;Diagram!$O74,'J1 B - Butcher Terrace'!$A$12:$A$130,"&lt;"&amp;Diagram!$P74)))</f>
        <v>0</v>
      </c>
      <c r="Y74" s="42">
        <f ca="1">IF(OR($I$10="",$O74="",$P74="",$J$35&lt;&gt;"Yes"),0,IF($K$10=0,SUMIFS(INDIRECT(ADDRESS(12,3+18*0+(0),,,"J1 B - Butcher Terrace")&amp;":"&amp;ADDRESS(130,3+18*0+(0))),'J1 B - Butcher Terrace'!$A$12:$A$130,"&gt;="&amp;Diagram!$O74,'J1 B - Butcher Terrace'!$A$12:$A$130,"&lt;"&amp;Diagram!$P74),SUMIFS(INDIRECT(ADDRESS(12,3+18*0+(8),,,"J1 B - Butcher Terrace")&amp;":"&amp;ADDRESS(130,3+18*0+(8))),'J1 B - Butcher Terrace'!$A$12:$A$130,"&gt;="&amp;Diagram!$O74,'J1 B - Butcher Terrace'!$A$12:$A$130,"&lt;"&amp;Diagram!$P74)))</f>
        <v>8</v>
      </c>
      <c r="Z74" s="42">
        <f ca="1">IF(OR($I$10="",$O74="",$P74="",$J$35&lt;&gt;"Yes"),0,IF($K$10=0,SUMIFS(INDIRECT(ADDRESS(12,3+18*1+(0),,,"J1 B - Butcher Terrace")&amp;":"&amp;ADDRESS(130,3+18*1+(0))),'J1 B - Butcher Terrace'!$A$12:$A$130,"&gt;="&amp;Diagram!$O74,'J1 B - Butcher Terrace'!$A$12:$A$130,"&lt;"&amp;Diagram!$P74),SUMIFS(INDIRECT(ADDRESS(12,3+18*1+(8),,,"J1 B - Butcher Terrace")&amp;":"&amp;ADDRESS(130,3+18*1+(8))),'J1 B - Butcher Terrace'!$A$12:$A$130,"&gt;="&amp;Diagram!$O74,'J1 B - Butcher Terrace'!$A$12:$A$130,"&lt;"&amp;Diagram!$P74)))</f>
        <v>0</v>
      </c>
      <c r="AA74" s="42">
        <f ca="1">IF(OR($I$10="",$O74="",$P74="",$J$35&lt;&gt;"Yes"),0,IF($K$10=0,SUMIFS(INDIRECT(ADDRESS(12,3+18*1+(0),,,"J1 C - (South) Bishopthorpe Roa")&amp;":"&amp;ADDRESS(130,3+18*1+(0))),'J1 C - (South) Bishopthorpe Roa'!$A$12:$A$130,"&gt;="&amp;Diagram!$O74,'J1 C - (South) Bishopthorpe Roa'!$A$12:$A$130,"&lt;"&amp;Diagram!$P74),SUMIFS(INDIRECT(ADDRESS(12,3+18*1+(8),,,"J1 C - (South) Bishopthorpe Roa")&amp;":"&amp;ADDRESS(130,3+18*1+(8))),'J1 C - (South) Bishopthorpe Roa'!$A$12:$A$130,"&gt;="&amp;Diagram!$O74,'J1 C - (South) Bishopthorpe Roa'!$A$12:$A$130,"&lt;"&amp;Diagram!$P74)))</f>
        <v>170</v>
      </c>
      <c r="AB74" s="42">
        <f ca="1">IF(OR($I$10="",$O74="",$P74="",$J$35&lt;&gt;"Yes"),0,IF($K$10=0,SUMIFS(INDIRECT(ADDRESS(12,3+18*2+(0),,,"J1 C - (South) Bishopthorpe Roa")&amp;":"&amp;ADDRESS(130,3+18*2+(0))),'J1 C - (South) Bishopthorpe Roa'!$A$12:$A$130,"&gt;="&amp;Diagram!$O74,'J1 C - (South) Bishopthorpe Roa'!$A$12:$A$130,"&lt;"&amp;Diagram!$P74),SUMIFS(INDIRECT(ADDRESS(12,3+18*2+(8),,,"J1 C - (South) Bishopthorpe Roa")&amp;":"&amp;ADDRESS(130,3+18*2+(8))),'J1 C - (South) Bishopthorpe Roa'!$A$12:$A$130,"&gt;="&amp;Diagram!$O74,'J1 C - (South) Bishopthorpe Roa'!$A$12:$A$130,"&lt;"&amp;Diagram!$P74)))</f>
        <v>13</v>
      </c>
      <c r="AC74" s="42">
        <f ca="1">IF(OR($I$10="",$O74="",$P74="",$J$35&lt;&gt;"Yes"),0,IF($K$10=0,SUMIFS(INDIRECT(ADDRESS(12,3+18*3+(0),,,"J1 C - (South) Bishopthorpe Roa")&amp;":"&amp;ADDRESS(130,3+18*3+(0))),'J1 C - (South) Bishopthorpe Roa'!$A$12:$A$130,"&gt;="&amp;Diagram!$O74,'J1 C - (South) Bishopthorpe Roa'!$A$12:$A$130,"&lt;"&amp;Diagram!$P74),SUMIFS(INDIRECT(ADDRESS(12,3+18*3+(8),,,"J1 C - (South) Bishopthorpe Roa")&amp;":"&amp;ADDRESS(130,3+18*3+(8))),'J1 C - (South) Bishopthorpe Roa'!$A$12:$A$130,"&gt;="&amp;Diagram!$O74,'J1 C - (South) Bishopthorpe Roa'!$A$12:$A$130,"&lt;"&amp;Diagram!$P74)))</f>
        <v>0</v>
      </c>
      <c r="AD74" s="42">
        <f ca="1">IF(OR($I$10="",$O74="",$P74="",$J$35&lt;&gt;"Yes"),0,IF($K$10=0,SUMIFS(INDIRECT(ADDRESS(12,3+18*0+(0),,,"J1 C - (South) Bishopthorpe Roa")&amp;":"&amp;ADDRESS(130,3+18*0+(0))),'J1 C - (South) Bishopthorpe Roa'!$A$12:$A$130,"&gt;="&amp;Diagram!$O74,'J1 C - (South) Bishopthorpe Roa'!$A$12:$A$130,"&lt;"&amp;Diagram!$P74),SUMIFS(INDIRECT(ADDRESS(12,3+18*0+(8),,,"J1 C - (South) Bishopthorpe Roa")&amp;":"&amp;ADDRESS(130,3+18*0+(8))),'J1 C - (South) Bishopthorpe Roa'!$A$12:$A$130,"&gt;="&amp;Diagram!$O74,'J1 C - (South) Bishopthorpe Roa'!$A$12:$A$130,"&lt;"&amp;Diagram!$P74)))</f>
        <v>7</v>
      </c>
      <c r="AE74" s="42">
        <f ca="1">IF(OR($I$10="",$O74="",$P74="",$J$35&lt;&gt;"Yes"),0,IF($K$10=0,SUMIFS(INDIRECT(ADDRESS(12,3+18*0+(0),,,"J1 D - South Bank Avenue")&amp;":"&amp;ADDRESS(130,3+18*0+(0))),'J1 D - South Bank Avenue'!$A$12:$A$130,"&gt;="&amp;Diagram!$O74,'J1 D - South Bank Avenue'!$A$12:$A$130,"&lt;"&amp;Diagram!$P74),SUMIFS(INDIRECT(ADDRESS(12,3+18*0+(8),,,"J1 D - South Bank Avenue")&amp;":"&amp;ADDRESS(130,3+18*0+(8))),'J1 D - South Bank Avenue'!$A$12:$A$130,"&gt;="&amp;Diagram!$O74,'J1 D - South Bank Avenue'!$A$12:$A$130,"&lt;"&amp;Diagram!$P74)))</f>
        <v>19</v>
      </c>
      <c r="AF74" s="42">
        <f ca="1">IF(OR($I$10="",$O74="",$P74="",$J$35&lt;&gt;"Yes"),0,IF($K$10=0,SUMIFS(INDIRECT(ADDRESS(12,3+18*1+(0),,,"J1 D - South Bank Avenue")&amp;":"&amp;ADDRESS(130,3+18*1+(0))),'J1 D - South Bank Avenue'!$A$12:$A$130,"&gt;="&amp;Diagram!$O74,'J1 D - South Bank Avenue'!$A$12:$A$130,"&lt;"&amp;Diagram!$P74),SUMIFS(INDIRECT(ADDRESS(12,3+18*1+(8),,,"J1 D - South Bank Avenue")&amp;":"&amp;ADDRESS(130,3+18*1+(8))),'J1 D - South Bank Avenue'!$A$12:$A$130,"&gt;="&amp;Diagram!$O74,'J1 D - South Bank Avenue'!$A$12:$A$130,"&lt;"&amp;Diagram!$P74)))</f>
        <v>1</v>
      </c>
      <c r="AG74" s="42">
        <f ca="1">IF(OR($I$10="",$O74="",$P74="",$J$35&lt;&gt;"Yes"),0,IF($K$10=0,SUMIFS(INDIRECT(ADDRESS(12,3+18*2+(0),,,"J1 D - South Bank Avenue")&amp;":"&amp;ADDRESS(130,3+18*2+(0))),'J1 D - South Bank Avenue'!$A$12:$A$130,"&gt;="&amp;Diagram!$O74,'J1 D - South Bank Avenue'!$A$12:$A$130,"&lt;"&amp;Diagram!$P74),SUMIFS(INDIRECT(ADDRESS(12,3+18*2+(8),,,"J1 D - South Bank Avenue")&amp;":"&amp;ADDRESS(130,3+18*2+(8))),'J1 D - South Bank Avenue'!$A$12:$A$130,"&gt;="&amp;Diagram!$O74,'J1 D - South Bank Avenue'!$A$12:$A$130,"&lt;"&amp;Diagram!$P74)))</f>
        <v>6</v>
      </c>
      <c r="AH74" s="42">
        <f ca="1">IF(OR($I$10="",$O74="",$P74="",$J$35&lt;&gt;"Yes"),0,IF($K$10=0,SUMIFS(INDIRECT(ADDRESS(12,3+18*3+(0),,,"J1 D - South Bank Avenue")&amp;":"&amp;ADDRESS(130,3+18*3+(0))),'J1 D - South Bank Avenue'!$A$12:$A$130,"&gt;="&amp;Diagram!$O74,'J1 D - South Bank Avenue'!$A$12:$A$130,"&lt;"&amp;Diagram!$P74),SUMIFS(INDIRECT(ADDRESS(12,3+18*3+(8),,,"J1 D - South Bank Avenue")&amp;":"&amp;ADDRESS(130,3+18*3+(8))),'J1 D - South Bank Avenue'!$A$12:$A$130,"&gt;="&amp;Diagram!$O74,'J1 D - South Bank Avenue'!$A$12:$A$130,"&lt;"&amp;Diagram!$P74)))</f>
        <v>0</v>
      </c>
      <c r="AI74" s="42">
        <f t="shared" ca="1" si="12"/>
        <v>18</v>
      </c>
      <c r="AJ74" s="42">
        <f ca="1">IF(OR($I$10="",$O74="",$P74="",$J$36&lt;&gt;"Yes"),0,IF($K$10=0,SUMIFS(INDIRECT(ADDRESS(12,3+18*3+(1),,,"J1 A - (North) Bishopthorpe Roa")&amp;":"&amp;ADDRESS(130,3+18*3+(1))),'J1 A - (North) Bishopthorpe Roa'!$A$12:$A$130,"&gt;="&amp;Diagram!$O74,'J1 A - (North) Bishopthorpe Roa'!$A$12:$A$130,"&lt;"&amp;Diagram!$P74),SUMIFS(INDIRECT(ADDRESS(12,3+18*3+(9),,,"J1 A - (North) Bishopthorpe Roa")&amp;":"&amp;ADDRESS(130,3+18*3+(9))),'J1 A - (North) Bishopthorpe Roa'!$A$12:$A$130,"&gt;="&amp;Diagram!$O74,'J1 A - (North) Bishopthorpe Roa'!$A$12:$A$130,"&lt;"&amp;Diagram!$P74)))</f>
        <v>0</v>
      </c>
      <c r="AK74" s="42">
        <f ca="1">IF(OR($I$10="",$O74="",$P74="",$J$36&lt;&gt;"Yes"),0,IF($K$10=0,SUMIFS(INDIRECT(ADDRESS(12,3+18*0+(1),,,"J1 A - (North) Bishopthorpe Roa")&amp;":"&amp;ADDRESS(130,3+18*0+(1))),'J1 A - (North) Bishopthorpe Roa'!$A$12:$A$130,"&gt;="&amp;Diagram!$O74,'J1 A - (North) Bishopthorpe Roa'!$A$12:$A$130,"&lt;"&amp;Diagram!$P74),SUMIFS(INDIRECT(ADDRESS(12,3+18*0+(9),,,"J1 A - (North) Bishopthorpe Roa")&amp;":"&amp;ADDRESS(130,3+18*0+(9))),'J1 A - (North) Bishopthorpe Roa'!$A$12:$A$130,"&gt;="&amp;Diagram!$O74,'J1 A - (North) Bishopthorpe Roa'!$A$12:$A$130,"&lt;"&amp;Diagram!$P74)))</f>
        <v>1</v>
      </c>
      <c r="AL74" s="42">
        <f ca="1">IF(OR($I$10="",$O74="",$P74="",$J$36&lt;&gt;"Yes"),0,IF($K$10=0,SUMIFS(INDIRECT(ADDRESS(12,3+18*1+(1),,,"J1 A - (North) Bishopthorpe Roa")&amp;":"&amp;ADDRESS(130,3+18*1+(1))),'J1 A - (North) Bishopthorpe Roa'!$A$12:$A$130,"&gt;="&amp;Diagram!$O74,'J1 A - (North) Bishopthorpe Roa'!$A$12:$A$130,"&lt;"&amp;Diagram!$P74),SUMIFS(INDIRECT(ADDRESS(12,3+18*1+(9),,,"J1 A - (North) Bishopthorpe Roa")&amp;":"&amp;ADDRESS(130,3+18*1+(9))),'J1 A - (North) Bishopthorpe Roa'!$A$12:$A$130,"&gt;="&amp;Diagram!$O74,'J1 A - (North) Bishopthorpe Roa'!$A$12:$A$130,"&lt;"&amp;Diagram!$P74)))</f>
        <v>9</v>
      </c>
      <c r="AM74" s="42">
        <f ca="1">IF(OR($I$10="",$O74="",$P74="",$J$36&lt;&gt;"Yes"),0,IF($K$10=0,SUMIFS(INDIRECT(ADDRESS(12,3+18*2+(1),,,"J1 A - (North) Bishopthorpe Roa")&amp;":"&amp;ADDRESS(130,3+18*2+(1))),'J1 A - (North) Bishopthorpe Roa'!$A$12:$A$130,"&gt;="&amp;Diagram!$O74,'J1 A - (North) Bishopthorpe Roa'!$A$12:$A$130,"&lt;"&amp;Diagram!$P74),SUMIFS(INDIRECT(ADDRESS(12,3+18*2+(9),,,"J1 A - (North) Bishopthorpe Roa")&amp;":"&amp;ADDRESS(130,3+18*2+(9))),'J1 A - (North) Bishopthorpe Roa'!$A$12:$A$130,"&gt;="&amp;Diagram!$O74,'J1 A - (North) Bishopthorpe Roa'!$A$12:$A$130,"&lt;"&amp;Diagram!$P74)))</f>
        <v>2</v>
      </c>
      <c r="AN74" s="42">
        <f ca="1">IF(OR($I$10="",$O74="",$P74="",$J$36&lt;&gt;"Yes"),0,IF($K$10=0,SUMIFS(INDIRECT(ADDRESS(12,3+18*2+(1),,,"J1 B - Butcher Terrace")&amp;":"&amp;ADDRESS(130,3+18*2+(1))),'J1 B - Butcher Terrace'!$A$12:$A$130,"&gt;="&amp;Diagram!$O74,'J1 B - Butcher Terrace'!$A$12:$A$130,"&lt;"&amp;Diagram!$P74),SUMIFS(INDIRECT(ADDRESS(12,3+18*2+(9),,,"J1 B - Butcher Terrace")&amp;":"&amp;ADDRESS(130,3+18*2+(9))),'J1 B - Butcher Terrace'!$A$12:$A$130,"&gt;="&amp;Diagram!$O74,'J1 B - Butcher Terrace'!$A$12:$A$130,"&lt;"&amp;Diagram!$P74)))</f>
        <v>0</v>
      </c>
      <c r="AO74" s="42">
        <f ca="1">IF(OR($I$10="",$O74="",$P74="",$J$36&lt;&gt;"Yes"),0,IF($K$10=0,SUMIFS(INDIRECT(ADDRESS(12,3+18*3+(1),,,"J1 B - Butcher Terrace")&amp;":"&amp;ADDRESS(130,3+18*3+(1))),'J1 B - Butcher Terrace'!$A$12:$A$130,"&gt;="&amp;Diagram!$O74,'J1 B - Butcher Terrace'!$A$12:$A$130,"&lt;"&amp;Diagram!$P74),SUMIFS(INDIRECT(ADDRESS(12,3+18*3+(9),,,"J1 B - Butcher Terrace")&amp;":"&amp;ADDRESS(130,3+18*3+(9))),'J1 B - Butcher Terrace'!$A$12:$A$130,"&gt;="&amp;Diagram!$O74,'J1 B - Butcher Terrace'!$A$12:$A$130,"&lt;"&amp;Diagram!$P74)))</f>
        <v>0</v>
      </c>
      <c r="AP74" s="42">
        <f ca="1">IF(OR($I$10="",$O74="",$P74="",$J$36&lt;&gt;"Yes"),0,IF($K$10=0,SUMIFS(INDIRECT(ADDRESS(12,3+18*0+(1),,,"J1 B - Butcher Terrace")&amp;":"&amp;ADDRESS(130,3+18*0+(1))),'J1 B - Butcher Terrace'!$A$12:$A$130,"&gt;="&amp;Diagram!$O74,'J1 B - Butcher Terrace'!$A$12:$A$130,"&lt;"&amp;Diagram!$P74),SUMIFS(INDIRECT(ADDRESS(12,3+18*0+(9),,,"J1 B - Butcher Terrace")&amp;":"&amp;ADDRESS(130,3+18*0+(9))),'J1 B - Butcher Terrace'!$A$12:$A$130,"&gt;="&amp;Diagram!$O74,'J1 B - Butcher Terrace'!$A$12:$A$130,"&lt;"&amp;Diagram!$P74)))</f>
        <v>1</v>
      </c>
      <c r="AQ74" s="42">
        <f ca="1">IF(OR($I$10="",$O74="",$P74="",$J$36&lt;&gt;"Yes"),0,IF($K$10=0,SUMIFS(INDIRECT(ADDRESS(12,3+18*1+(1),,,"J1 B - Butcher Terrace")&amp;":"&amp;ADDRESS(130,3+18*1+(1))),'J1 B - Butcher Terrace'!$A$12:$A$130,"&gt;="&amp;Diagram!$O74,'J1 B - Butcher Terrace'!$A$12:$A$130,"&lt;"&amp;Diagram!$P74),SUMIFS(INDIRECT(ADDRESS(12,3+18*1+(9),,,"J1 B - Butcher Terrace")&amp;":"&amp;ADDRESS(130,3+18*1+(9))),'J1 B - Butcher Terrace'!$A$12:$A$130,"&gt;="&amp;Diagram!$O74,'J1 B - Butcher Terrace'!$A$12:$A$130,"&lt;"&amp;Diagram!$P74)))</f>
        <v>0</v>
      </c>
      <c r="AR74" s="42">
        <f ca="1">IF(OR($I$10="",$O74="",$P74="",$J$36&lt;&gt;"Yes"),0,IF($K$10=0,SUMIFS(INDIRECT(ADDRESS(12,3+18*1+(1),,,"J1 C - (South) Bishopthorpe Roa")&amp;":"&amp;ADDRESS(130,3+18*1+(1))),'J1 C - (South) Bishopthorpe Roa'!$A$12:$A$130,"&gt;="&amp;Diagram!$O74,'J1 C - (South) Bishopthorpe Roa'!$A$12:$A$130,"&lt;"&amp;Diagram!$P74),SUMIFS(INDIRECT(ADDRESS(12,3+18*1+(9),,,"J1 C - (South) Bishopthorpe Roa")&amp;":"&amp;ADDRESS(130,3+18*1+(9))),'J1 C - (South) Bishopthorpe Roa'!$A$12:$A$130,"&gt;="&amp;Diagram!$O74,'J1 C - (South) Bishopthorpe Roa'!$A$12:$A$130,"&lt;"&amp;Diagram!$P74)))</f>
        <v>4</v>
      </c>
      <c r="AS74" s="42">
        <f ca="1">IF(OR($I$10="",$O74="",$P74="",$J$36&lt;&gt;"Yes"),0,IF($K$10=0,SUMIFS(INDIRECT(ADDRESS(12,3+18*2+(1),,,"J1 C - (South) Bishopthorpe Roa")&amp;":"&amp;ADDRESS(130,3+18*2+(1))),'J1 C - (South) Bishopthorpe Roa'!$A$12:$A$130,"&gt;="&amp;Diagram!$O74,'J1 C - (South) Bishopthorpe Roa'!$A$12:$A$130,"&lt;"&amp;Diagram!$P74),SUMIFS(INDIRECT(ADDRESS(12,3+18*2+(9),,,"J1 C - (South) Bishopthorpe Roa")&amp;":"&amp;ADDRESS(130,3+18*2+(9))),'J1 C - (South) Bishopthorpe Roa'!$A$12:$A$130,"&gt;="&amp;Diagram!$O74,'J1 C - (South) Bishopthorpe Roa'!$A$12:$A$130,"&lt;"&amp;Diagram!$P74)))</f>
        <v>0</v>
      </c>
      <c r="AT74" s="42">
        <f ca="1">IF(OR($I$10="",$O74="",$P74="",$J$36&lt;&gt;"Yes"),0,IF($K$10=0,SUMIFS(INDIRECT(ADDRESS(12,3+18*3+(1),,,"J1 C - (South) Bishopthorpe Roa")&amp;":"&amp;ADDRESS(130,3+18*3+(1))),'J1 C - (South) Bishopthorpe Roa'!$A$12:$A$130,"&gt;="&amp;Diagram!$O74,'J1 C - (South) Bishopthorpe Roa'!$A$12:$A$130,"&lt;"&amp;Diagram!$P74),SUMIFS(INDIRECT(ADDRESS(12,3+18*3+(9),,,"J1 C - (South) Bishopthorpe Roa")&amp;":"&amp;ADDRESS(130,3+18*3+(9))),'J1 C - (South) Bishopthorpe Roa'!$A$12:$A$130,"&gt;="&amp;Diagram!$O74,'J1 C - (South) Bishopthorpe Roa'!$A$12:$A$130,"&lt;"&amp;Diagram!$P74)))</f>
        <v>0</v>
      </c>
      <c r="AU74" s="42">
        <f ca="1">IF(OR($I$10="",$O74="",$P74="",$J$36&lt;&gt;"Yes"),0,IF($K$10=0,SUMIFS(INDIRECT(ADDRESS(12,3+18*0+(1),,,"J1 C - (South) Bishopthorpe Roa")&amp;":"&amp;ADDRESS(130,3+18*0+(1))),'J1 C - (South) Bishopthorpe Roa'!$A$12:$A$130,"&gt;="&amp;Diagram!$O74,'J1 C - (South) Bishopthorpe Roa'!$A$12:$A$130,"&lt;"&amp;Diagram!$P74),SUMIFS(INDIRECT(ADDRESS(12,3+18*0+(9),,,"J1 C - (South) Bishopthorpe Roa")&amp;":"&amp;ADDRESS(130,3+18*0+(9))),'J1 C - (South) Bishopthorpe Roa'!$A$12:$A$130,"&gt;="&amp;Diagram!$O74,'J1 C - (South) Bishopthorpe Roa'!$A$12:$A$130,"&lt;"&amp;Diagram!$P74)))</f>
        <v>0</v>
      </c>
      <c r="AV74" s="42">
        <f ca="1">IF(OR($I$10="",$O74="",$P74="",$J$36&lt;&gt;"Yes"),0,IF($K$10=0,SUMIFS(INDIRECT(ADDRESS(12,3+18*0+(1),,,"J1 D - South Bank Avenue")&amp;":"&amp;ADDRESS(130,3+18*0+(1))),'J1 D - South Bank Avenue'!$A$12:$A$130,"&gt;="&amp;Diagram!$O74,'J1 D - South Bank Avenue'!$A$12:$A$130,"&lt;"&amp;Diagram!$P74),SUMIFS(INDIRECT(ADDRESS(12,3+18*0+(9),,,"J1 D - South Bank Avenue")&amp;":"&amp;ADDRESS(130,3+18*0+(9))),'J1 D - South Bank Avenue'!$A$12:$A$130,"&gt;="&amp;Diagram!$O74,'J1 D - South Bank Avenue'!$A$12:$A$130,"&lt;"&amp;Diagram!$P74)))</f>
        <v>1</v>
      </c>
      <c r="AW74" s="42">
        <f ca="1">IF(OR($I$10="",$O74="",$P74="",$J$36&lt;&gt;"Yes"),0,IF($K$10=0,SUMIFS(INDIRECT(ADDRESS(12,3+18*1+(1),,,"J1 D - South Bank Avenue")&amp;":"&amp;ADDRESS(130,3+18*1+(1))),'J1 D - South Bank Avenue'!$A$12:$A$130,"&gt;="&amp;Diagram!$O74,'J1 D - South Bank Avenue'!$A$12:$A$130,"&lt;"&amp;Diagram!$P74),SUMIFS(INDIRECT(ADDRESS(12,3+18*1+(9),,,"J1 D - South Bank Avenue")&amp;":"&amp;ADDRESS(130,3+18*1+(9))),'J1 D - South Bank Avenue'!$A$12:$A$130,"&gt;="&amp;Diagram!$O74,'J1 D - South Bank Avenue'!$A$12:$A$130,"&lt;"&amp;Diagram!$P74)))</f>
        <v>0</v>
      </c>
      <c r="AX74" s="42">
        <f ca="1">IF(OR($I$10="",$O74="",$P74="",$J$36&lt;&gt;"Yes"),0,IF($K$10=0,SUMIFS(INDIRECT(ADDRESS(12,3+18*2+(1),,,"J1 D - South Bank Avenue")&amp;":"&amp;ADDRESS(130,3+18*2+(1))),'J1 D - South Bank Avenue'!$A$12:$A$130,"&gt;="&amp;Diagram!$O74,'J1 D - South Bank Avenue'!$A$12:$A$130,"&lt;"&amp;Diagram!$P74),SUMIFS(INDIRECT(ADDRESS(12,3+18*2+(9),,,"J1 D - South Bank Avenue")&amp;":"&amp;ADDRESS(130,3+18*2+(9))),'J1 D - South Bank Avenue'!$A$12:$A$130,"&gt;="&amp;Diagram!$O74,'J1 D - South Bank Avenue'!$A$12:$A$130,"&lt;"&amp;Diagram!$P74)))</f>
        <v>0</v>
      </c>
      <c r="AY74" s="42">
        <f ca="1">IF(OR($I$10="",$O74="",$P74="",$J$36&lt;&gt;"Yes"),0,IF($K$10=0,SUMIFS(INDIRECT(ADDRESS(12,3+18*3+(1),,,"J1 D - South Bank Avenue")&amp;":"&amp;ADDRESS(130,3+18*3+(1))),'J1 D - South Bank Avenue'!$A$12:$A$130,"&gt;="&amp;Diagram!$O74,'J1 D - South Bank Avenue'!$A$12:$A$130,"&lt;"&amp;Diagram!$P74),SUMIFS(INDIRECT(ADDRESS(12,3+18*3+(9),,,"J1 D - South Bank Avenue")&amp;":"&amp;ADDRESS(130,3+18*3+(9))),'J1 D - South Bank Avenue'!$A$12:$A$130,"&gt;="&amp;Diagram!$O74,'J1 D - South Bank Avenue'!$A$12:$A$130,"&lt;"&amp;Diagram!$P74)))</f>
        <v>0</v>
      </c>
      <c r="AZ74" s="42">
        <f t="shared" ca="1" si="13"/>
        <v>1</v>
      </c>
      <c r="BA74" s="42">
        <f ca="1">IF(OR($I$10="",$O74="",$P74="",$J$37&lt;&gt;"Yes"),0,IF($K$10=0,SUMIFS(INDIRECT(ADDRESS(12,3+18*3+(2),,,"J1 A - (North) Bishopthorpe Roa")&amp;":"&amp;ADDRESS(130,3+18*3+(2))),'J1 A - (North) Bishopthorpe Roa'!$A$12:$A$130,"&gt;="&amp;Diagram!$O74,'J1 A - (North) Bishopthorpe Roa'!$A$12:$A$130,"&lt;"&amp;Diagram!$P74),SUMIFS(INDIRECT(ADDRESS(12,3+18*3+(10),,,"J1 A - (North) Bishopthorpe Roa")&amp;":"&amp;ADDRESS(130,3+18*3+(10))),'J1 A - (North) Bishopthorpe Roa'!$A$12:$A$130,"&gt;="&amp;Diagram!$O74,'J1 A - (North) Bishopthorpe Roa'!$A$12:$A$130,"&lt;"&amp;Diagram!$P74)))</f>
        <v>0</v>
      </c>
      <c r="BB74" s="42">
        <f ca="1">IF(OR($I$10="",$O74="",$P74="",$J$37&lt;&gt;"Yes"),0,IF($K$10=0,SUMIFS(INDIRECT(ADDRESS(12,3+18*0+(2),,,"J1 A - (North) Bishopthorpe Roa")&amp;":"&amp;ADDRESS(130,3+18*0+(2))),'J1 A - (North) Bishopthorpe Roa'!$A$12:$A$130,"&gt;="&amp;Diagram!$O74,'J1 A - (North) Bishopthorpe Roa'!$A$12:$A$130,"&lt;"&amp;Diagram!$P74),SUMIFS(INDIRECT(ADDRESS(12,3+18*0+(10),,,"J1 A - (North) Bishopthorpe Roa")&amp;":"&amp;ADDRESS(130,3+18*0+(10))),'J1 A - (North) Bishopthorpe Roa'!$A$12:$A$130,"&gt;="&amp;Diagram!$O74,'J1 A - (North) Bishopthorpe Roa'!$A$12:$A$130,"&lt;"&amp;Diagram!$P74)))</f>
        <v>0</v>
      </c>
      <c r="BC74" s="42">
        <f ca="1">IF(OR($I$10="",$O74="",$P74="",$J$37&lt;&gt;"Yes"),0,IF($K$10=0,SUMIFS(INDIRECT(ADDRESS(12,3+18*1+(2),,,"J1 A - (North) Bishopthorpe Roa")&amp;":"&amp;ADDRESS(130,3+18*1+(2))),'J1 A - (North) Bishopthorpe Roa'!$A$12:$A$130,"&gt;="&amp;Diagram!$O74,'J1 A - (North) Bishopthorpe Roa'!$A$12:$A$130,"&lt;"&amp;Diagram!$P74),SUMIFS(INDIRECT(ADDRESS(12,3+18*1+(10),,,"J1 A - (North) Bishopthorpe Roa")&amp;":"&amp;ADDRESS(130,3+18*1+(10))),'J1 A - (North) Bishopthorpe Roa'!$A$12:$A$130,"&gt;="&amp;Diagram!$O74,'J1 A - (North) Bishopthorpe Roa'!$A$12:$A$130,"&lt;"&amp;Diagram!$P74)))</f>
        <v>1</v>
      </c>
      <c r="BD74" s="42">
        <f ca="1">IF(OR($I$10="",$O74="",$P74="",$J$37&lt;&gt;"Yes"),0,IF($K$10=0,SUMIFS(INDIRECT(ADDRESS(12,3+18*2+(2),,,"J1 A - (North) Bishopthorpe Roa")&amp;":"&amp;ADDRESS(130,3+18*2+(2))),'J1 A - (North) Bishopthorpe Roa'!$A$12:$A$130,"&gt;="&amp;Diagram!$O74,'J1 A - (North) Bishopthorpe Roa'!$A$12:$A$130,"&lt;"&amp;Diagram!$P74),SUMIFS(INDIRECT(ADDRESS(12,3+18*2+(10),,,"J1 A - (North) Bishopthorpe Roa")&amp;":"&amp;ADDRESS(130,3+18*2+(10))),'J1 A - (North) Bishopthorpe Roa'!$A$12:$A$130,"&gt;="&amp;Diagram!$O74,'J1 A - (North) Bishopthorpe Roa'!$A$12:$A$130,"&lt;"&amp;Diagram!$P74)))</f>
        <v>0</v>
      </c>
      <c r="BE74" s="42">
        <f ca="1">IF(OR($I$10="",$O74="",$P74="",$J$37&lt;&gt;"Yes"),0,IF($K$10=0,SUMIFS(INDIRECT(ADDRESS(12,3+18*2+(2),,,"J1 B - Butcher Terrace")&amp;":"&amp;ADDRESS(130,3+18*2+(2))),'J1 B - Butcher Terrace'!$A$12:$A$130,"&gt;="&amp;Diagram!$O74,'J1 B - Butcher Terrace'!$A$12:$A$130,"&lt;"&amp;Diagram!$P74),SUMIFS(INDIRECT(ADDRESS(12,3+18*2+(10),,,"J1 B - Butcher Terrace")&amp;":"&amp;ADDRESS(130,3+18*2+(10))),'J1 B - Butcher Terrace'!$A$12:$A$130,"&gt;="&amp;Diagram!$O74,'J1 B - Butcher Terrace'!$A$12:$A$130,"&lt;"&amp;Diagram!$P74)))</f>
        <v>0</v>
      </c>
      <c r="BF74" s="42">
        <f ca="1">IF(OR($I$10="",$O74="",$P74="",$J$37&lt;&gt;"Yes"),0,IF($K$10=0,SUMIFS(INDIRECT(ADDRESS(12,3+18*3+(2),,,"J1 B - Butcher Terrace")&amp;":"&amp;ADDRESS(130,3+18*3+(2))),'J1 B - Butcher Terrace'!$A$12:$A$130,"&gt;="&amp;Diagram!$O74,'J1 B - Butcher Terrace'!$A$12:$A$130,"&lt;"&amp;Diagram!$P74),SUMIFS(INDIRECT(ADDRESS(12,3+18*3+(10),,,"J1 B - Butcher Terrace")&amp;":"&amp;ADDRESS(130,3+18*3+(10))),'J1 B - Butcher Terrace'!$A$12:$A$130,"&gt;="&amp;Diagram!$O74,'J1 B - Butcher Terrace'!$A$12:$A$130,"&lt;"&amp;Diagram!$P74)))</f>
        <v>0</v>
      </c>
      <c r="BG74" s="42">
        <f ca="1">IF(OR($I$10="",$O74="",$P74="",$J$37&lt;&gt;"Yes"),0,IF($K$10=0,SUMIFS(INDIRECT(ADDRESS(12,3+18*0+(2),,,"J1 B - Butcher Terrace")&amp;":"&amp;ADDRESS(130,3+18*0+(2))),'J1 B - Butcher Terrace'!$A$12:$A$130,"&gt;="&amp;Diagram!$O74,'J1 B - Butcher Terrace'!$A$12:$A$130,"&lt;"&amp;Diagram!$P74),SUMIFS(INDIRECT(ADDRESS(12,3+18*0+(10),,,"J1 B - Butcher Terrace")&amp;":"&amp;ADDRESS(130,3+18*0+(10))),'J1 B - Butcher Terrace'!$A$12:$A$130,"&gt;="&amp;Diagram!$O74,'J1 B - Butcher Terrace'!$A$12:$A$130,"&lt;"&amp;Diagram!$P74)))</f>
        <v>0</v>
      </c>
      <c r="BH74" s="42">
        <f ca="1">IF(OR($I$10="",$O74="",$P74="",$J$37&lt;&gt;"Yes"),0,IF($K$10=0,SUMIFS(INDIRECT(ADDRESS(12,3+18*1+(2),,,"J1 B - Butcher Terrace")&amp;":"&amp;ADDRESS(130,3+18*1+(2))),'J1 B - Butcher Terrace'!$A$12:$A$130,"&gt;="&amp;Diagram!$O74,'J1 B - Butcher Terrace'!$A$12:$A$130,"&lt;"&amp;Diagram!$P74),SUMIFS(INDIRECT(ADDRESS(12,3+18*1+(10),,,"J1 B - Butcher Terrace")&amp;":"&amp;ADDRESS(130,3+18*1+(10))),'J1 B - Butcher Terrace'!$A$12:$A$130,"&gt;="&amp;Diagram!$O74,'J1 B - Butcher Terrace'!$A$12:$A$130,"&lt;"&amp;Diagram!$P74)))</f>
        <v>0</v>
      </c>
      <c r="BI74" s="42">
        <f ca="1">IF(OR($I$10="",$O74="",$P74="",$J$37&lt;&gt;"Yes"),0,IF($K$10=0,SUMIFS(INDIRECT(ADDRESS(12,3+18*1+(2),,,"J1 C - (South) Bishopthorpe Roa")&amp;":"&amp;ADDRESS(130,3+18*1+(2))),'J1 C - (South) Bishopthorpe Roa'!$A$12:$A$130,"&gt;="&amp;Diagram!$O74,'J1 C - (South) Bishopthorpe Roa'!$A$12:$A$130,"&lt;"&amp;Diagram!$P74),SUMIFS(INDIRECT(ADDRESS(12,3+18*1+(10),,,"J1 C - (South) Bishopthorpe Roa")&amp;":"&amp;ADDRESS(130,3+18*1+(10))),'J1 C - (South) Bishopthorpe Roa'!$A$12:$A$130,"&gt;="&amp;Diagram!$O74,'J1 C - (South) Bishopthorpe Roa'!$A$12:$A$130,"&lt;"&amp;Diagram!$P74)))</f>
        <v>0</v>
      </c>
      <c r="BJ74" s="42">
        <f ca="1">IF(OR($I$10="",$O74="",$P74="",$J$37&lt;&gt;"Yes"),0,IF($K$10=0,SUMIFS(INDIRECT(ADDRESS(12,3+18*2+(2),,,"J1 C - (South) Bishopthorpe Roa")&amp;":"&amp;ADDRESS(130,3+18*2+(2))),'J1 C - (South) Bishopthorpe Roa'!$A$12:$A$130,"&gt;="&amp;Diagram!$O74,'J1 C - (South) Bishopthorpe Roa'!$A$12:$A$130,"&lt;"&amp;Diagram!$P74),SUMIFS(INDIRECT(ADDRESS(12,3+18*2+(10),,,"J1 C - (South) Bishopthorpe Roa")&amp;":"&amp;ADDRESS(130,3+18*2+(10))),'J1 C - (South) Bishopthorpe Roa'!$A$12:$A$130,"&gt;="&amp;Diagram!$O74,'J1 C - (South) Bishopthorpe Roa'!$A$12:$A$130,"&lt;"&amp;Diagram!$P74)))</f>
        <v>0</v>
      </c>
      <c r="BK74" s="42">
        <f ca="1">IF(OR($I$10="",$O74="",$P74="",$J$37&lt;&gt;"Yes"),0,IF($K$10=0,SUMIFS(INDIRECT(ADDRESS(12,3+18*3+(2),,,"J1 C - (South) Bishopthorpe Roa")&amp;":"&amp;ADDRESS(130,3+18*3+(2))),'J1 C - (South) Bishopthorpe Roa'!$A$12:$A$130,"&gt;="&amp;Diagram!$O74,'J1 C - (South) Bishopthorpe Roa'!$A$12:$A$130,"&lt;"&amp;Diagram!$P74),SUMIFS(INDIRECT(ADDRESS(12,3+18*3+(10),,,"J1 C - (South) Bishopthorpe Roa")&amp;":"&amp;ADDRESS(130,3+18*3+(10))),'J1 C - (South) Bishopthorpe Roa'!$A$12:$A$130,"&gt;="&amp;Diagram!$O74,'J1 C - (South) Bishopthorpe Roa'!$A$12:$A$130,"&lt;"&amp;Diagram!$P74)))</f>
        <v>0</v>
      </c>
      <c r="BL74" s="42">
        <f ca="1">IF(OR($I$10="",$O74="",$P74="",$J$37&lt;&gt;"Yes"),0,IF($K$10=0,SUMIFS(INDIRECT(ADDRESS(12,3+18*0+(2),,,"J1 C - (South) Bishopthorpe Roa")&amp;":"&amp;ADDRESS(130,3+18*0+(2))),'J1 C - (South) Bishopthorpe Roa'!$A$12:$A$130,"&gt;="&amp;Diagram!$O74,'J1 C - (South) Bishopthorpe Roa'!$A$12:$A$130,"&lt;"&amp;Diagram!$P74),SUMIFS(INDIRECT(ADDRESS(12,3+18*0+(10),,,"J1 C - (South) Bishopthorpe Roa")&amp;":"&amp;ADDRESS(130,3+18*0+(10))),'J1 C - (South) Bishopthorpe Roa'!$A$12:$A$130,"&gt;="&amp;Diagram!$O74,'J1 C - (South) Bishopthorpe Roa'!$A$12:$A$130,"&lt;"&amp;Diagram!$P74)))</f>
        <v>0</v>
      </c>
      <c r="BM74" s="42">
        <f ca="1">IF(OR($I$10="",$O74="",$P74="",$J$37&lt;&gt;"Yes"),0,IF($K$10=0,SUMIFS(INDIRECT(ADDRESS(12,3+18*0+(2),,,"J1 D - South Bank Avenue")&amp;":"&amp;ADDRESS(130,3+18*0+(2))),'J1 D - South Bank Avenue'!$A$12:$A$130,"&gt;="&amp;Diagram!$O74,'J1 D - South Bank Avenue'!$A$12:$A$130,"&lt;"&amp;Diagram!$P74),SUMIFS(INDIRECT(ADDRESS(12,3+18*0+(10),,,"J1 D - South Bank Avenue")&amp;":"&amp;ADDRESS(130,3+18*0+(10))),'J1 D - South Bank Avenue'!$A$12:$A$130,"&gt;="&amp;Diagram!$O74,'J1 D - South Bank Avenue'!$A$12:$A$130,"&lt;"&amp;Diagram!$P74)))</f>
        <v>0</v>
      </c>
      <c r="BN74" s="42">
        <f ca="1">IF(OR($I$10="",$O74="",$P74="",$J$37&lt;&gt;"Yes"),0,IF($K$10=0,SUMIFS(INDIRECT(ADDRESS(12,3+18*1+(2),,,"J1 D - South Bank Avenue")&amp;":"&amp;ADDRESS(130,3+18*1+(2))),'J1 D - South Bank Avenue'!$A$12:$A$130,"&gt;="&amp;Diagram!$O74,'J1 D - South Bank Avenue'!$A$12:$A$130,"&lt;"&amp;Diagram!$P74),SUMIFS(INDIRECT(ADDRESS(12,3+18*1+(10),,,"J1 D - South Bank Avenue")&amp;":"&amp;ADDRESS(130,3+18*1+(10))),'J1 D - South Bank Avenue'!$A$12:$A$130,"&gt;="&amp;Diagram!$O74,'J1 D - South Bank Avenue'!$A$12:$A$130,"&lt;"&amp;Diagram!$P74)))</f>
        <v>0</v>
      </c>
      <c r="BO74" s="42">
        <f ca="1">IF(OR($I$10="",$O74="",$P74="",$J$37&lt;&gt;"Yes"),0,IF($K$10=0,SUMIFS(INDIRECT(ADDRESS(12,3+18*2+(2),,,"J1 D - South Bank Avenue")&amp;":"&amp;ADDRESS(130,3+18*2+(2))),'J1 D - South Bank Avenue'!$A$12:$A$130,"&gt;="&amp;Diagram!$O74,'J1 D - South Bank Avenue'!$A$12:$A$130,"&lt;"&amp;Diagram!$P74),SUMIFS(INDIRECT(ADDRESS(12,3+18*2+(10),,,"J1 D - South Bank Avenue")&amp;":"&amp;ADDRESS(130,3+18*2+(10))),'J1 D - South Bank Avenue'!$A$12:$A$130,"&gt;="&amp;Diagram!$O74,'J1 D - South Bank Avenue'!$A$12:$A$130,"&lt;"&amp;Diagram!$P74)))</f>
        <v>0</v>
      </c>
      <c r="BP74" s="42">
        <f ca="1">IF(OR($I$10="",$O74="",$P74="",$J$37&lt;&gt;"Yes"),0,IF($K$10=0,SUMIFS(INDIRECT(ADDRESS(12,3+18*3+(2),,,"J1 D - South Bank Avenue")&amp;":"&amp;ADDRESS(130,3+18*3+(2))),'J1 D - South Bank Avenue'!$A$12:$A$130,"&gt;="&amp;Diagram!$O74,'J1 D - South Bank Avenue'!$A$12:$A$130,"&lt;"&amp;Diagram!$P74),SUMIFS(INDIRECT(ADDRESS(12,3+18*3+(10),,,"J1 D - South Bank Avenue")&amp;":"&amp;ADDRESS(130,3+18*3+(10))),'J1 D - South Bank Avenue'!$A$12:$A$130,"&gt;="&amp;Diagram!$O74,'J1 D - South Bank Avenue'!$A$12:$A$130,"&lt;"&amp;Diagram!$P74)))</f>
        <v>0</v>
      </c>
      <c r="BQ74" s="42">
        <f t="shared" ca="1" si="14"/>
        <v>0</v>
      </c>
      <c r="BR74" s="42">
        <f ca="1">IF(OR($I$10="",$O74="",$P74="",$J$38&lt;&gt;"Yes"),0,IF($K$10=0,SUMIFS(INDIRECT(ADDRESS(12,3+18*3+(3),,,"J1 A - (North) Bishopthorpe Roa")&amp;":"&amp;ADDRESS(130,3+18*3+(3))),'J1 A - (North) Bishopthorpe Roa'!$A$12:$A$130,"&gt;="&amp;Diagram!$O74,'J1 A - (North) Bishopthorpe Roa'!$A$12:$A$130,"&lt;"&amp;Diagram!$P74),SUMIFS(INDIRECT(ADDRESS(12,3+18*3+(11),,,"J1 A - (North) Bishopthorpe Roa")&amp;":"&amp;ADDRESS(130,3+18*3+(11))),'J1 A - (North) Bishopthorpe Roa'!$A$12:$A$130,"&gt;="&amp;Diagram!$O74,'J1 A - (North) Bishopthorpe Roa'!$A$12:$A$130,"&lt;"&amp;Diagram!$P74)))</f>
        <v>0</v>
      </c>
      <c r="BS74" s="42">
        <f ca="1">IF(OR($I$10="",$O74="",$P74="",$J$38&lt;&gt;"Yes"),0,IF($K$10=0,SUMIFS(INDIRECT(ADDRESS(12,3+18*0+(3),,,"J1 A - (North) Bishopthorpe Roa")&amp;":"&amp;ADDRESS(130,3+18*0+(3))),'J1 A - (North) Bishopthorpe Roa'!$A$12:$A$130,"&gt;="&amp;Diagram!$O74,'J1 A - (North) Bishopthorpe Roa'!$A$12:$A$130,"&lt;"&amp;Diagram!$P74),SUMIFS(INDIRECT(ADDRESS(12,3+18*0+(11),,,"J1 A - (North) Bishopthorpe Roa")&amp;":"&amp;ADDRESS(130,3+18*0+(11))),'J1 A - (North) Bishopthorpe Roa'!$A$12:$A$130,"&gt;="&amp;Diagram!$O74,'J1 A - (North) Bishopthorpe Roa'!$A$12:$A$130,"&lt;"&amp;Diagram!$P74)))</f>
        <v>0</v>
      </c>
      <c r="BT74" s="42">
        <f ca="1">IF(OR($I$10="",$O74="",$P74="",$J$38&lt;&gt;"Yes"),0,IF($K$10=0,SUMIFS(INDIRECT(ADDRESS(12,3+18*1+(3),,,"J1 A - (North) Bishopthorpe Roa")&amp;":"&amp;ADDRESS(130,3+18*1+(3))),'J1 A - (North) Bishopthorpe Roa'!$A$12:$A$130,"&gt;="&amp;Diagram!$O74,'J1 A - (North) Bishopthorpe Roa'!$A$12:$A$130,"&lt;"&amp;Diagram!$P74),SUMIFS(INDIRECT(ADDRESS(12,3+18*1+(11),,,"J1 A - (North) Bishopthorpe Roa")&amp;":"&amp;ADDRESS(130,3+18*1+(11))),'J1 A - (North) Bishopthorpe Roa'!$A$12:$A$130,"&gt;="&amp;Diagram!$O74,'J1 A - (North) Bishopthorpe Roa'!$A$12:$A$130,"&lt;"&amp;Diagram!$P74)))</f>
        <v>0</v>
      </c>
      <c r="BU74" s="42">
        <f ca="1">IF(OR($I$10="",$O74="",$P74="",$J$38&lt;&gt;"Yes"),0,IF($K$10=0,SUMIFS(INDIRECT(ADDRESS(12,3+18*2+(3),,,"J1 A - (North) Bishopthorpe Roa")&amp;":"&amp;ADDRESS(130,3+18*2+(3))),'J1 A - (North) Bishopthorpe Roa'!$A$12:$A$130,"&gt;="&amp;Diagram!$O74,'J1 A - (North) Bishopthorpe Roa'!$A$12:$A$130,"&lt;"&amp;Diagram!$P74),SUMIFS(INDIRECT(ADDRESS(12,3+18*2+(11),,,"J1 A - (North) Bishopthorpe Roa")&amp;":"&amp;ADDRESS(130,3+18*2+(11))),'J1 A - (North) Bishopthorpe Roa'!$A$12:$A$130,"&gt;="&amp;Diagram!$O74,'J1 A - (North) Bishopthorpe Roa'!$A$12:$A$130,"&lt;"&amp;Diagram!$P74)))</f>
        <v>0</v>
      </c>
      <c r="BV74" s="42">
        <f ca="1">IF(OR($I$10="",$O74="",$P74="",$J$38&lt;&gt;"Yes"),0,IF($K$10=0,SUMIFS(INDIRECT(ADDRESS(12,3+18*2+(3),,,"J1 B - Butcher Terrace")&amp;":"&amp;ADDRESS(130,3+18*2+(3))),'J1 B - Butcher Terrace'!$A$12:$A$130,"&gt;="&amp;Diagram!$O74,'J1 B - Butcher Terrace'!$A$12:$A$130,"&lt;"&amp;Diagram!$P74),SUMIFS(INDIRECT(ADDRESS(12,3+18*2+(11),,,"J1 B - Butcher Terrace")&amp;":"&amp;ADDRESS(130,3+18*2+(11))),'J1 B - Butcher Terrace'!$A$12:$A$130,"&gt;="&amp;Diagram!$O74,'J1 B - Butcher Terrace'!$A$12:$A$130,"&lt;"&amp;Diagram!$P74)))</f>
        <v>0</v>
      </c>
      <c r="BW74" s="42">
        <f ca="1">IF(OR($I$10="",$O74="",$P74="",$J$38&lt;&gt;"Yes"),0,IF($K$10=0,SUMIFS(INDIRECT(ADDRESS(12,3+18*3+(3),,,"J1 B - Butcher Terrace")&amp;":"&amp;ADDRESS(130,3+18*3+(3))),'J1 B - Butcher Terrace'!$A$12:$A$130,"&gt;="&amp;Diagram!$O74,'J1 B - Butcher Terrace'!$A$12:$A$130,"&lt;"&amp;Diagram!$P74),SUMIFS(INDIRECT(ADDRESS(12,3+18*3+(11),,,"J1 B - Butcher Terrace")&amp;":"&amp;ADDRESS(130,3+18*3+(11))),'J1 B - Butcher Terrace'!$A$12:$A$130,"&gt;="&amp;Diagram!$O74,'J1 B - Butcher Terrace'!$A$12:$A$130,"&lt;"&amp;Diagram!$P74)))</f>
        <v>0</v>
      </c>
      <c r="BX74" s="42">
        <f ca="1">IF(OR($I$10="",$O74="",$P74="",$J$38&lt;&gt;"Yes"),0,IF($K$10=0,SUMIFS(INDIRECT(ADDRESS(12,3+18*0+(3),,,"J1 B - Butcher Terrace")&amp;":"&amp;ADDRESS(130,3+18*0+(3))),'J1 B - Butcher Terrace'!$A$12:$A$130,"&gt;="&amp;Diagram!$O74,'J1 B - Butcher Terrace'!$A$12:$A$130,"&lt;"&amp;Diagram!$P74),SUMIFS(INDIRECT(ADDRESS(12,3+18*0+(11),,,"J1 B - Butcher Terrace")&amp;":"&amp;ADDRESS(130,3+18*0+(11))),'J1 B - Butcher Terrace'!$A$12:$A$130,"&gt;="&amp;Diagram!$O74,'J1 B - Butcher Terrace'!$A$12:$A$130,"&lt;"&amp;Diagram!$P74)))</f>
        <v>0</v>
      </c>
      <c r="BY74" s="42">
        <f ca="1">IF(OR($I$10="",$O74="",$P74="",$J$38&lt;&gt;"Yes"),0,IF($K$10=0,SUMIFS(INDIRECT(ADDRESS(12,3+18*1+(3),,,"J1 B - Butcher Terrace")&amp;":"&amp;ADDRESS(130,3+18*1+(3))),'J1 B - Butcher Terrace'!$A$12:$A$130,"&gt;="&amp;Diagram!$O74,'J1 B - Butcher Terrace'!$A$12:$A$130,"&lt;"&amp;Diagram!$P74),SUMIFS(INDIRECT(ADDRESS(12,3+18*1+(11),,,"J1 B - Butcher Terrace")&amp;":"&amp;ADDRESS(130,3+18*1+(11))),'J1 B - Butcher Terrace'!$A$12:$A$130,"&gt;="&amp;Diagram!$O74,'J1 B - Butcher Terrace'!$A$12:$A$130,"&lt;"&amp;Diagram!$P74)))</f>
        <v>0</v>
      </c>
      <c r="BZ74" s="42">
        <f ca="1">IF(OR($I$10="",$O74="",$P74="",$J$38&lt;&gt;"Yes"),0,IF($K$10=0,SUMIFS(INDIRECT(ADDRESS(12,3+18*1+(3),,,"J1 C - (South) Bishopthorpe Roa")&amp;":"&amp;ADDRESS(130,3+18*1+(3))),'J1 C - (South) Bishopthorpe Roa'!$A$12:$A$130,"&gt;="&amp;Diagram!$O74,'J1 C - (South) Bishopthorpe Roa'!$A$12:$A$130,"&lt;"&amp;Diagram!$P74),SUMIFS(INDIRECT(ADDRESS(12,3+18*1+(11),,,"J1 C - (South) Bishopthorpe Roa")&amp;":"&amp;ADDRESS(130,3+18*1+(11))),'J1 C - (South) Bishopthorpe Roa'!$A$12:$A$130,"&gt;="&amp;Diagram!$O74,'J1 C - (South) Bishopthorpe Roa'!$A$12:$A$130,"&lt;"&amp;Diagram!$P74)))</f>
        <v>0</v>
      </c>
      <c r="CA74" s="42">
        <f ca="1">IF(OR($I$10="",$O74="",$P74="",$J$38&lt;&gt;"Yes"),0,IF($K$10=0,SUMIFS(INDIRECT(ADDRESS(12,3+18*2+(3),,,"J1 C - (South) Bishopthorpe Roa")&amp;":"&amp;ADDRESS(130,3+18*2+(3))),'J1 C - (South) Bishopthorpe Roa'!$A$12:$A$130,"&gt;="&amp;Diagram!$O74,'J1 C - (South) Bishopthorpe Roa'!$A$12:$A$130,"&lt;"&amp;Diagram!$P74),SUMIFS(INDIRECT(ADDRESS(12,3+18*2+(11),,,"J1 C - (South) Bishopthorpe Roa")&amp;":"&amp;ADDRESS(130,3+18*2+(11))),'J1 C - (South) Bishopthorpe Roa'!$A$12:$A$130,"&gt;="&amp;Diagram!$O74,'J1 C - (South) Bishopthorpe Roa'!$A$12:$A$130,"&lt;"&amp;Diagram!$P74)))</f>
        <v>0</v>
      </c>
      <c r="CB74" s="42">
        <f ca="1">IF(OR($I$10="",$O74="",$P74="",$J$38&lt;&gt;"Yes"),0,IF($K$10=0,SUMIFS(INDIRECT(ADDRESS(12,3+18*3+(3),,,"J1 C - (South) Bishopthorpe Roa")&amp;":"&amp;ADDRESS(130,3+18*3+(3))),'J1 C - (South) Bishopthorpe Roa'!$A$12:$A$130,"&gt;="&amp;Diagram!$O74,'J1 C - (South) Bishopthorpe Roa'!$A$12:$A$130,"&lt;"&amp;Diagram!$P74),SUMIFS(INDIRECT(ADDRESS(12,3+18*3+(11),,,"J1 C - (South) Bishopthorpe Roa")&amp;":"&amp;ADDRESS(130,3+18*3+(11))),'J1 C - (South) Bishopthorpe Roa'!$A$12:$A$130,"&gt;="&amp;Diagram!$O74,'J1 C - (South) Bishopthorpe Roa'!$A$12:$A$130,"&lt;"&amp;Diagram!$P74)))</f>
        <v>0</v>
      </c>
      <c r="CC74" s="42">
        <f ca="1">IF(OR($I$10="",$O74="",$P74="",$J$38&lt;&gt;"Yes"),0,IF($K$10=0,SUMIFS(INDIRECT(ADDRESS(12,3+18*0+(3),,,"J1 C - (South) Bishopthorpe Roa")&amp;":"&amp;ADDRESS(130,3+18*0+(3))),'J1 C - (South) Bishopthorpe Roa'!$A$12:$A$130,"&gt;="&amp;Diagram!$O74,'J1 C - (South) Bishopthorpe Roa'!$A$12:$A$130,"&lt;"&amp;Diagram!$P74),SUMIFS(INDIRECT(ADDRESS(12,3+18*0+(11),,,"J1 C - (South) Bishopthorpe Roa")&amp;":"&amp;ADDRESS(130,3+18*0+(11))),'J1 C - (South) Bishopthorpe Roa'!$A$12:$A$130,"&gt;="&amp;Diagram!$O74,'J1 C - (South) Bishopthorpe Roa'!$A$12:$A$130,"&lt;"&amp;Diagram!$P74)))</f>
        <v>0</v>
      </c>
      <c r="CD74" s="42">
        <f ca="1">IF(OR($I$10="",$O74="",$P74="",$J$38&lt;&gt;"Yes"),0,IF($K$10=0,SUMIFS(INDIRECT(ADDRESS(12,3+18*0+(3),,,"J1 D - South Bank Avenue")&amp;":"&amp;ADDRESS(130,3+18*0+(3))),'J1 D - South Bank Avenue'!$A$12:$A$130,"&gt;="&amp;Diagram!$O74,'J1 D - South Bank Avenue'!$A$12:$A$130,"&lt;"&amp;Diagram!$P74),SUMIFS(INDIRECT(ADDRESS(12,3+18*0+(11),,,"J1 D - South Bank Avenue")&amp;":"&amp;ADDRESS(130,3+18*0+(11))),'J1 D - South Bank Avenue'!$A$12:$A$130,"&gt;="&amp;Diagram!$O74,'J1 D - South Bank Avenue'!$A$12:$A$130,"&lt;"&amp;Diagram!$P74)))</f>
        <v>0</v>
      </c>
      <c r="CE74" s="42">
        <f ca="1">IF(OR($I$10="",$O74="",$P74="",$J$38&lt;&gt;"Yes"),0,IF($K$10=0,SUMIFS(INDIRECT(ADDRESS(12,3+18*1+(3),,,"J1 D - South Bank Avenue")&amp;":"&amp;ADDRESS(130,3+18*1+(3))),'J1 D - South Bank Avenue'!$A$12:$A$130,"&gt;="&amp;Diagram!$O74,'J1 D - South Bank Avenue'!$A$12:$A$130,"&lt;"&amp;Diagram!$P74),SUMIFS(INDIRECT(ADDRESS(12,3+18*1+(11),,,"J1 D - South Bank Avenue")&amp;":"&amp;ADDRESS(130,3+18*1+(11))),'J1 D - South Bank Avenue'!$A$12:$A$130,"&gt;="&amp;Diagram!$O74,'J1 D - South Bank Avenue'!$A$12:$A$130,"&lt;"&amp;Diagram!$P74)))</f>
        <v>0</v>
      </c>
      <c r="CF74" s="42">
        <f ca="1">IF(OR($I$10="",$O74="",$P74="",$J$38&lt;&gt;"Yes"),0,IF($K$10=0,SUMIFS(INDIRECT(ADDRESS(12,3+18*2+(3),,,"J1 D - South Bank Avenue")&amp;":"&amp;ADDRESS(130,3+18*2+(3))),'J1 D - South Bank Avenue'!$A$12:$A$130,"&gt;="&amp;Diagram!$O74,'J1 D - South Bank Avenue'!$A$12:$A$130,"&lt;"&amp;Diagram!$P74),SUMIFS(INDIRECT(ADDRESS(12,3+18*2+(11),,,"J1 D - South Bank Avenue")&amp;":"&amp;ADDRESS(130,3+18*2+(11))),'J1 D - South Bank Avenue'!$A$12:$A$130,"&gt;="&amp;Diagram!$O74,'J1 D - South Bank Avenue'!$A$12:$A$130,"&lt;"&amp;Diagram!$P74)))</f>
        <v>0</v>
      </c>
      <c r="CG74" s="42">
        <f ca="1">IF(OR($I$10="",$O74="",$P74="",$J$38&lt;&gt;"Yes"),0,IF($K$10=0,SUMIFS(INDIRECT(ADDRESS(12,3+18*3+(3),,,"J1 D - South Bank Avenue")&amp;":"&amp;ADDRESS(130,3+18*3+(3))),'J1 D - South Bank Avenue'!$A$12:$A$130,"&gt;="&amp;Diagram!$O74,'J1 D - South Bank Avenue'!$A$12:$A$130,"&lt;"&amp;Diagram!$P74),SUMIFS(INDIRECT(ADDRESS(12,3+18*3+(11),,,"J1 D - South Bank Avenue")&amp;":"&amp;ADDRESS(130,3+18*3+(11))),'J1 D - South Bank Avenue'!$A$12:$A$130,"&gt;="&amp;Diagram!$O74,'J1 D - South Bank Avenue'!$A$12:$A$130,"&lt;"&amp;Diagram!$P74)))</f>
        <v>0</v>
      </c>
      <c r="CH74" s="42">
        <f t="shared" ca="1" si="15"/>
        <v>7</v>
      </c>
      <c r="CI74" s="42">
        <f ca="1">IF(OR($I$10="",$O74="",$P74="",$J$39&lt;&gt;"Yes"),0,IF($K$10=0,SUMIFS(INDIRECT(ADDRESS(12,3+18*3+(4),,,"J1 A - (North) Bishopthorpe Roa")&amp;":"&amp;ADDRESS(130,3+18*3+(4))),'J1 A - (North) Bishopthorpe Roa'!$A$12:$A$130,"&gt;="&amp;Diagram!$O74,'J1 A - (North) Bishopthorpe Roa'!$A$12:$A$130,"&lt;"&amp;Diagram!$P74),SUMIFS(INDIRECT(ADDRESS(12,3+18*3+(12),,,"J1 A - (North) Bishopthorpe Roa")&amp;":"&amp;ADDRESS(130,3+18*3+(12))),'J1 A - (North) Bishopthorpe Roa'!$A$12:$A$130,"&gt;="&amp;Diagram!$O74,'J1 A - (North) Bishopthorpe Roa'!$A$12:$A$130,"&lt;"&amp;Diagram!$P74)))</f>
        <v>0</v>
      </c>
      <c r="CJ74" s="42">
        <f ca="1">IF(OR($I$10="",$O74="",$P74="",$J$39&lt;&gt;"Yes"),0,IF($K$10=0,SUMIFS(INDIRECT(ADDRESS(12,3+18*0+(4),,,"J1 A - (North) Bishopthorpe Roa")&amp;":"&amp;ADDRESS(130,3+18*0+(4))),'J1 A - (North) Bishopthorpe Roa'!$A$12:$A$130,"&gt;="&amp;Diagram!$O74,'J1 A - (North) Bishopthorpe Roa'!$A$12:$A$130,"&lt;"&amp;Diagram!$P74),SUMIFS(INDIRECT(ADDRESS(12,3+18*0+(12),,,"J1 A - (North) Bishopthorpe Roa")&amp;":"&amp;ADDRESS(130,3+18*0+(12))),'J1 A - (North) Bishopthorpe Roa'!$A$12:$A$130,"&gt;="&amp;Diagram!$O74,'J1 A - (North) Bishopthorpe Roa'!$A$12:$A$130,"&lt;"&amp;Diagram!$P74)))</f>
        <v>0</v>
      </c>
      <c r="CK74" s="42">
        <f ca="1">IF(OR($I$10="",$O74="",$P74="",$J$39&lt;&gt;"Yes"),0,IF($K$10=0,SUMIFS(INDIRECT(ADDRESS(12,3+18*1+(4),,,"J1 A - (North) Bishopthorpe Roa")&amp;":"&amp;ADDRESS(130,3+18*1+(4))),'J1 A - (North) Bishopthorpe Roa'!$A$12:$A$130,"&gt;="&amp;Diagram!$O74,'J1 A - (North) Bishopthorpe Roa'!$A$12:$A$130,"&lt;"&amp;Diagram!$P74),SUMIFS(INDIRECT(ADDRESS(12,3+18*1+(12),,,"J1 A - (North) Bishopthorpe Roa")&amp;":"&amp;ADDRESS(130,3+18*1+(12))),'J1 A - (North) Bishopthorpe Roa'!$A$12:$A$130,"&gt;="&amp;Diagram!$O74,'J1 A - (North) Bishopthorpe Roa'!$A$12:$A$130,"&lt;"&amp;Diagram!$P74)))</f>
        <v>4</v>
      </c>
      <c r="CL74" s="42">
        <f ca="1">IF(OR($I$10="",$O74="",$P74="",$J$39&lt;&gt;"Yes"),0,IF($K$10=0,SUMIFS(INDIRECT(ADDRESS(12,3+18*2+(4),,,"J1 A - (North) Bishopthorpe Roa")&amp;":"&amp;ADDRESS(130,3+18*2+(4))),'J1 A - (North) Bishopthorpe Roa'!$A$12:$A$130,"&gt;="&amp;Diagram!$O74,'J1 A - (North) Bishopthorpe Roa'!$A$12:$A$130,"&lt;"&amp;Diagram!$P74),SUMIFS(INDIRECT(ADDRESS(12,3+18*2+(12),,,"J1 A - (North) Bishopthorpe Roa")&amp;":"&amp;ADDRESS(130,3+18*2+(12))),'J1 A - (North) Bishopthorpe Roa'!$A$12:$A$130,"&gt;="&amp;Diagram!$O74,'J1 A - (North) Bishopthorpe Roa'!$A$12:$A$130,"&lt;"&amp;Diagram!$P74)))</f>
        <v>0</v>
      </c>
      <c r="CM74" s="42">
        <f ca="1">IF(OR($I$10="",$O74="",$P74="",$J$39&lt;&gt;"Yes"),0,IF($K$10=0,SUMIFS(INDIRECT(ADDRESS(12,3+18*2+(4),,,"J1 B - Butcher Terrace")&amp;":"&amp;ADDRESS(130,3+18*2+(4))),'J1 B - Butcher Terrace'!$A$12:$A$130,"&gt;="&amp;Diagram!$O74,'J1 B - Butcher Terrace'!$A$12:$A$130,"&lt;"&amp;Diagram!$P74),SUMIFS(INDIRECT(ADDRESS(12,3+18*2+(12),,,"J1 B - Butcher Terrace")&amp;":"&amp;ADDRESS(130,3+18*2+(12))),'J1 B - Butcher Terrace'!$A$12:$A$130,"&gt;="&amp;Diagram!$O74,'J1 B - Butcher Terrace'!$A$12:$A$130,"&lt;"&amp;Diagram!$P74)))</f>
        <v>0</v>
      </c>
      <c r="CN74" s="42">
        <f ca="1">IF(OR($I$10="",$O74="",$P74="",$J$39&lt;&gt;"Yes"),0,IF($K$10=0,SUMIFS(INDIRECT(ADDRESS(12,3+18*3+(4),,,"J1 B - Butcher Terrace")&amp;":"&amp;ADDRESS(130,3+18*3+(4))),'J1 B - Butcher Terrace'!$A$12:$A$130,"&gt;="&amp;Diagram!$O74,'J1 B - Butcher Terrace'!$A$12:$A$130,"&lt;"&amp;Diagram!$P74),SUMIFS(INDIRECT(ADDRESS(12,3+18*3+(12),,,"J1 B - Butcher Terrace")&amp;":"&amp;ADDRESS(130,3+18*3+(12))),'J1 B - Butcher Terrace'!$A$12:$A$130,"&gt;="&amp;Diagram!$O74,'J1 B - Butcher Terrace'!$A$12:$A$130,"&lt;"&amp;Diagram!$P74)))</f>
        <v>0</v>
      </c>
      <c r="CO74" s="42">
        <f ca="1">IF(OR($I$10="",$O74="",$P74="",$J$39&lt;&gt;"Yes"),0,IF($K$10=0,SUMIFS(INDIRECT(ADDRESS(12,3+18*0+(4),,,"J1 B - Butcher Terrace")&amp;":"&amp;ADDRESS(130,3+18*0+(4))),'J1 B - Butcher Terrace'!$A$12:$A$130,"&gt;="&amp;Diagram!$O74,'J1 B - Butcher Terrace'!$A$12:$A$130,"&lt;"&amp;Diagram!$P74),SUMIFS(INDIRECT(ADDRESS(12,3+18*0+(12),,,"J1 B - Butcher Terrace")&amp;":"&amp;ADDRESS(130,3+18*0+(12))),'J1 B - Butcher Terrace'!$A$12:$A$130,"&gt;="&amp;Diagram!$O74,'J1 B - Butcher Terrace'!$A$12:$A$130,"&lt;"&amp;Diagram!$P74)))</f>
        <v>0</v>
      </c>
      <c r="CP74" s="42">
        <f ca="1">IF(OR($I$10="",$O74="",$P74="",$J$39&lt;&gt;"Yes"),0,IF($K$10=0,SUMIFS(INDIRECT(ADDRESS(12,3+18*1+(4),,,"J1 B - Butcher Terrace")&amp;":"&amp;ADDRESS(130,3+18*1+(4))),'J1 B - Butcher Terrace'!$A$12:$A$130,"&gt;="&amp;Diagram!$O74,'J1 B - Butcher Terrace'!$A$12:$A$130,"&lt;"&amp;Diagram!$P74),SUMIFS(INDIRECT(ADDRESS(12,3+18*1+(12),,,"J1 B - Butcher Terrace")&amp;":"&amp;ADDRESS(130,3+18*1+(12))),'J1 B - Butcher Terrace'!$A$12:$A$130,"&gt;="&amp;Diagram!$O74,'J1 B - Butcher Terrace'!$A$12:$A$130,"&lt;"&amp;Diagram!$P74)))</f>
        <v>0</v>
      </c>
      <c r="CQ74" s="42">
        <f ca="1">IF(OR($I$10="",$O74="",$P74="",$J$39&lt;&gt;"Yes"),0,IF($K$10=0,SUMIFS(INDIRECT(ADDRESS(12,3+18*1+(4),,,"J1 C - (South) Bishopthorpe Roa")&amp;":"&amp;ADDRESS(130,3+18*1+(4))),'J1 C - (South) Bishopthorpe Roa'!$A$12:$A$130,"&gt;="&amp;Diagram!$O74,'J1 C - (South) Bishopthorpe Roa'!$A$12:$A$130,"&lt;"&amp;Diagram!$P74),SUMIFS(INDIRECT(ADDRESS(12,3+18*1+(12),,,"J1 C - (South) Bishopthorpe Roa")&amp;":"&amp;ADDRESS(130,3+18*1+(12))),'J1 C - (South) Bishopthorpe Roa'!$A$12:$A$130,"&gt;="&amp;Diagram!$O74,'J1 C - (South) Bishopthorpe Roa'!$A$12:$A$130,"&lt;"&amp;Diagram!$P74)))</f>
        <v>3</v>
      </c>
      <c r="CR74" s="42">
        <f ca="1">IF(OR($I$10="",$O74="",$P74="",$J$39&lt;&gt;"Yes"),0,IF($K$10=0,SUMIFS(INDIRECT(ADDRESS(12,3+18*2+(4),,,"J1 C - (South) Bishopthorpe Roa")&amp;":"&amp;ADDRESS(130,3+18*2+(4))),'J1 C - (South) Bishopthorpe Roa'!$A$12:$A$130,"&gt;="&amp;Diagram!$O74,'J1 C - (South) Bishopthorpe Roa'!$A$12:$A$130,"&lt;"&amp;Diagram!$P74),SUMIFS(INDIRECT(ADDRESS(12,3+18*2+(12),,,"J1 C - (South) Bishopthorpe Roa")&amp;":"&amp;ADDRESS(130,3+18*2+(12))),'J1 C - (South) Bishopthorpe Roa'!$A$12:$A$130,"&gt;="&amp;Diagram!$O74,'J1 C - (South) Bishopthorpe Roa'!$A$12:$A$130,"&lt;"&amp;Diagram!$P74)))</f>
        <v>0</v>
      </c>
      <c r="CS74" s="42">
        <f ca="1">IF(OR($I$10="",$O74="",$P74="",$J$39&lt;&gt;"Yes"),0,IF($K$10=0,SUMIFS(INDIRECT(ADDRESS(12,3+18*3+(4),,,"J1 C - (South) Bishopthorpe Roa")&amp;":"&amp;ADDRESS(130,3+18*3+(4))),'J1 C - (South) Bishopthorpe Roa'!$A$12:$A$130,"&gt;="&amp;Diagram!$O74,'J1 C - (South) Bishopthorpe Roa'!$A$12:$A$130,"&lt;"&amp;Diagram!$P74),SUMIFS(INDIRECT(ADDRESS(12,3+18*3+(12),,,"J1 C - (South) Bishopthorpe Roa")&amp;":"&amp;ADDRESS(130,3+18*3+(12))),'J1 C - (South) Bishopthorpe Roa'!$A$12:$A$130,"&gt;="&amp;Diagram!$O74,'J1 C - (South) Bishopthorpe Roa'!$A$12:$A$130,"&lt;"&amp;Diagram!$P74)))</f>
        <v>0</v>
      </c>
      <c r="CT74" s="42">
        <f ca="1">IF(OR($I$10="",$O74="",$P74="",$J$39&lt;&gt;"Yes"),0,IF($K$10=0,SUMIFS(INDIRECT(ADDRESS(12,3+18*0+(4),,,"J1 C - (South) Bishopthorpe Roa")&amp;":"&amp;ADDRESS(130,3+18*0+(4))),'J1 C - (South) Bishopthorpe Roa'!$A$12:$A$130,"&gt;="&amp;Diagram!$O74,'J1 C - (South) Bishopthorpe Roa'!$A$12:$A$130,"&lt;"&amp;Diagram!$P74),SUMIFS(INDIRECT(ADDRESS(12,3+18*0+(12),,,"J1 C - (South) Bishopthorpe Roa")&amp;":"&amp;ADDRESS(130,3+18*0+(12))),'J1 C - (South) Bishopthorpe Roa'!$A$12:$A$130,"&gt;="&amp;Diagram!$O74,'J1 C - (South) Bishopthorpe Roa'!$A$12:$A$130,"&lt;"&amp;Diagram!$P74)))</f>
        <v>0</v>
      </c>
      <c r="CU74" s="42">
        <f ca="1">IF(OR($I$10="",$O74="",$P74="",$J$39&lt;&gt;"Yes"),0,IF($K$10=0,SUMIFS(INDIRECT(ADDRESS(12,3+18*0+(4),,,"J1 D - South Bank Avenue")&amp;":"&amp;ADDRESS(130,3+18*0+(4))),'J1 D - South Bank Avenue'!$A$12:$A$130,"&gt;="&amp;Diagram!$O74,'J1 D - South Bank Avenue'!$A$12:$A$130,"&lt;"&amp;Diagram!$P74),SUMIFS(INDIRECT(ADDRESS(12,3+18*0+(12),,,"J1 D - South Bank Avenue")&amp;":"&amp;ADDRESS(130,3+18*0+(12))),'J1 D - South Bank Avenue'!$A$12:$A$130,"&gt;="&amp;Diagram!$O74,'J1 D - South Bank Avenue'!$A$12:$A$130,"&lt;"&amp;Diagram!$P74)))</f>
        <v>0</v>
      </c>
      <c r="CV74" s="42">
        <f ca="1">IF(OR($I$10="",$O74="",$P74="",$J$39&lt;&gt;"Yes"),0,IF($K$10=0,SUMIFS(INDIRECT(ADDRESS(12,3+18*1+(4),,,"J1 D - South Bank Avenue")&amp;":"&amp;ADDRESS(130,3+18*1+(4))),'J1 D - South Bank Avenue'!$A$12:$A$130,"&gt;="&amp;Diagram!$O74,'J1 D - South Bank Avenue'!$A$12:$A$130,"&lt;"&amp;Diagram!$P74),SUMIFS(INDIRECT(ADDRESS(12,3+18*1+(12),,,"J1 D - South Bank Avenue")&amp;":"&amp;ADDRESS(130,3+18*1+(12))),'J1 D - South Bank Avenue'!$A$12:$A$130,"&gt;="&amp;Diagram!$O74,'J1 D - South Bank Avenue'!$A$12:$A$130,"&lt;"&amp;Diagram!$P74)))</f>
        <v>0</v>
      </c>
      <c r="CW74" s="42">
        <f ca="1">IF(OR($I$10="",$O74="",$P74="",$J$39&lt;&gt;"Yes"),0,IF($K$10=0,SUMIFS(INDIRECT(ADDRESS(12,3+18*2+(4),,,"J1 D - South Bank Avenue")&amp;":"&amp;ADDRESS(130,3+18*2+(4))),'J1 D - South Bank Avenue'!$A$12:$A$130,"&gt;="&amp;Diagram!$O74,'J1 D - South Bank Avenue'!$A$12:$A$130,"&lt;"&amp;Diagram!$P74),SUMIFS(INDIRECT(ADDRESS(12,3+18*2+(12),,,"J1 D - South Bank Avenue")&amp;":"&amp;ADDRESS(130,3+18*2+(12))),'J1 D - South Bank Avenue'!$A$12:$A$130,"&gt;="&amp;Diagram!$O74,'J1 D - South Bank Avenue'!$A$12:$A$130,"&lt;"&amp;Diagram!$P74)))</f>
        <v>0</v>
      </c>
      <c r="CX74" s="42">
        <f ca="1">IF(OR($I$10="",$O74="",$P74="",$J$39&lt;&gt;"Yes"),0,IF($K$10=0,SUMIFS(INDIRECT(ADDRESS(12,3+18*3+(4),,,"J1 D - South Bank Avenue")&amp;":"&amp;ADDRESS(130,3+18*3+(4))),'J1 D - South Bank Avenue'!$A$12:$A$130,"&gt;="&amp;Diagram!$O74,'J1 D - South Bank Avenue'!$A$12:$A$130,"&lt;"&amp;Diagram!$P74),SUMIFS(INDIRECT(ADDRESS(12,3+18*3+(12),,,"J1 D - South Bank Avenue")&amp;":"&amp;ADDRESS(130,3+18*3+(12))),'J1 D - South Bank Avenue'!$A$12:$A$130,"&gt;="&amp;Diagram!$O74,'J1 D - South Bank Avenue'!$A$12:$A$130,"&lt;"&amp;Diagram!$P74)))</f>
        <v>0</v>
      </c>
      <c r="CY74" s="42">
        <f t="shared" ca="1" si="16"/>
        <v>106</v>
      </c>
      <c r="CZ74" s="42">
        <f ca="1">IF(OR($I$10="",$O74="",$P74="",$J$40&lt;&gt;"Yes"),0,IF($K$10=0,SUMIFS(INDIRECT(ADDRESS(12,3+18*3+(5),,,"J1 A - (North) Bishopthorpe Roa")&amp;":"&amp;ADDRESS(130,3+18*3+(5))),'J1 A - (North) Bishopthorpe Roa'!$A$12:$A$130,"&gt;="&amp;Diagram!$O74,'J1 A - (North) Bishopthorpe Roa'!$A$12:$A$130,"&lt;"&amp;Diagram!$P74),SUMIFS(INDIRECT(ADDRESS(12,3+18*3+(13),,,"J1 A - (North) Bishopthorpe Roa")&amp;":"&amp;ADDRESS(130,3+18*3+(13))),'J1 A - (North) Bishopthorpe Roa'!$A$12:$A$130,"&gt;="&amp;Diagram!$O74,'J1 A - (North) Bishopthorpe Roa'!$A$12:$A$130,"&lt;"&amp;Diagram!$P74)))</f>
        <v>0</v>
      </c>
      <c r="DA74" s="42">
        <f ca="1">IF(OR($I$10="",$O74="",$P74="",$J$40&lt;&gt;"Yes"),0,IF($K$10=0,SUMIFS(INDIRECT(ADDRESS(12,3+18*0+(5),,,"J1 A - (North) Bishopthorpe Roa")&amp;":"&amp;ADDRESS(130,3+18*0+(5))),'J1 A - (North) Bishopthorpe Roa'!$A$12:$A$130,"&gt;="&amp;Diagram!$O74,'J1 A - (North) Bishopthorpe Roa'!$A$12:$A$130,"&lt;"&amp;Diagram!$P74),SUMIFS(INDIRECT(ADDRESS(12,3+18*0+(13),,,"J1 A - (North) Bishopthorpe Roa")&amp;":"&amp;ADDRESS(130,3+18*0+(13))),'J1 A - (North) Bishopthorpe Roa'!$A$12:$A$130,"&gt;="&amp;Diagram!$O74,'J1 A - (North) Bishopthorpe Roa'!$A$12:$A$130,"&lt;"&amp;Diagram!$P74)))</f>
        <v>10</v>
      </c>
      <c r="DB74" s="42">
        <f ca="1">IF(OR($I$10="",$O74="",$P74="",$J$40&lt;&gt;"Yes"),0,IF($K$10=0,SUMIFS(INDIRECT(ADDRESS(12,3+18*1+(5),,,"J1 A - (North) Bishopthorpe Roa")&amp;":"&amp;ADDRESS(130,3+18*1+(5))),'J1 A - (North) Bishopthorpe Roa'!$A$12:$A$130,"&gt;="&amp;Diagram!$O74,'J1 A - (North) Bishopthorpe Roa'!$A$12:$A$130,"&lt;"&amp;Diagram!$P74),SUMIFS(INDIRECT(ADDRESS(12,3+18*1+(13),,,"J1 A - (North) Bishopthorpe Roa")&amp;":"&amp;ADDRESS(130,3+18*1+(13))),'J1 A - (North) Bishopthorpe Roa'!$A$12:$A$130,"&gt;="&amp;Diagram!$O74,'J1 A - (North) Bishopthorpe Roa'!$A$12:$A$130,"&lt;"&amp;Diagram!$P74)))</f>
        <v>21</v>
      </c>
      <c r="DC74" s="42">
        <f ca="1">IF(OR($I$10="",$O74="",$P74="",$J$40&lt;&gt;"Yes"),0,IF($K$10=0,SUMIFS(INDIRECT(ADDRESS(12,3+18*2+(5),,,"J1 A - (North) Bishopthorpe Roa")&amp;":"&amp;ADDRESS(130,3+18*2+(5))),'J1 A - (North) Bishopthorpe Roa'!$A$12:$A$130,"&gt;="&amp;Diagram!$O74,'J1 A - (North) Bishopthorpe Roa'!$A$12:$A$130,"&lt;"&amp;Diagram!$P74),SUMIFS(INDIRECT(ADDRESS(12,3+18*2+(13),,,"J1 A - (North) Bishopthorpe Roa")&amp;":"&amp;ADDRESS(130,3+18*2+(13))),'J1 A - (North) Bishopthorpe Roa'!$A$12:$A$130,"&gt;="&amp;Diagram!$O74,'J1 A - (North) Bishopthorpe Roa'!$A$12:$A$130,"&lt;"&amp;Diagram!$P74)))</f>
        <v>3</v>
      </c>
      <c r="DD74" s="42">
        <f ca="1">IF(OR($I$10="",$O74="",$P74="",$J$40&lt;&gt;"Yes"),0,IF($K$10=0,SUMIFS(INDIRECT(ADDRESS(12,3+18*2+(5),,,"J1 B - Butcher Terrace")&amp;":"&amp;ADDRESS(130,3+18*2+(5))),'J1 B - Butcher Terrace'!$A$12:$A$130,"&gt;="&amp;Diagram!$O74,'J1 B - Butcher Terrace'!$A$12:$A$130,"&lt;"&amp;Diagram!$P74),SUMIFS(INDIRECT(ADDRESS(12,3+18*2+(13),,,"J1 B - Butcher Terrace")&amp;":"&amp;ADDRESS(130,3+18*2+(13))),'J1 B - Butcher Terrace'!$A$12:$A$130,"&gt;="&amp;Diagram!$O74,'J1 B - Butcher Terrace'!$A$12:$A$130,"&lt;"&amp;Diagram!$P74)))</f>
        <v>8</v>
      </c>
      <c r="DE74" s="42">
        <f ca="1">IF(OR($I$10="",$O74="",$P74="",$J$40&lt;&gt;"Yes"),0,IF($K$10=0,SUMIFS(INDIRECT(ADDRESS(12,3+18*3+(5),,,"J1 B - Butcher Terrace")&amp;":"&amp;ADDRESS(130,3+18*3+(5))),'J1 B - Butcher Terrace'!$A$12:$A$130,"&gt;="&amp;Diagram!$O74,'J1 B - Butcher Terrace'!$A$12:$A$130,"&lt;"&amp;Diagram!$P74),SUMIFS(INDIRECT(ADDRESS(12,3+18*3+(13),,,"J1 B - Butcher Terrace")&amp;":"&amp;ADDRESS(130,3+18*3+(13))),'J1 B - Butcher Terrace'!$A$12:$A$130,"&gt;="&amp;Diagram!$O74,'J1 B - Butcher Terrace'!$A$12:$A$130,"&lt;"&amp;Diagram!$P74)))</f>
        <v>0</v>
      </c>
      <c r="DF74" s="42">
        <f ca="1">IF(OR($I$10="",$O74="",$P74="",$J$40&lt;&gt;"Yes"),0,IF($K$10=0,SUMIFS(INDIRECT(ADDRESS(12,3+18*0+(5),,,"J1 B - Butcher Terrace")&amp;":"&amp;ADDRESS(130,3+18*0+(5))),'J1 B - Butcher Terrace'!$A$12:$A$130,"&gt;="&amp;Diagram!$O74,'J1 B - Butcher Terrace'!$A$12:$A$130,"&lt;"&amp;Diagram!$P74),SUMIFS(INDIRECT(ADDRESS(12,3+18*0+(13),,,"J1 B - Butcher Terrace")&amp;":"&amp;ADDRESS(130,3+18*0+(13))),'J1 B - Butcher Terrace'!$A$12:$A$130,"&gt;="&amp;Diagram!$O74,'J1 B - Butcher Terrace'!$A$12:$A$130,"&lt;"&amp;Diagram!$P74)))</f>
        <v>14</v>
      </c>
      <c r="DG74" s="42">
        <f ca="1">IF(OR($I$10="",$O74="",$P74="",$J$40&lt;&gt;"Yes"),0,IF($K$10=0,SUMIFS(INDIRECT(ADDRESS(12,3+18*1+(5),,,"J1 B - Butcher Terrace")&amp;":"&amp;ADDRESS(130,3+18*1+(5))),'J1 B - Butcher Terrace'!$A$12:$A$130,"&gt;="&amp;Diagram!$O74,'J1 B - Butcher Terrace'!$A$12:$A$130,"&lt;"&amp;Diagram!$P74),SUMIFS(INDIRECT(ADDRESS(12,3+18*1+(13),,,"J1 B - Butcher Terrace")&amp;":"&amp;ADDRESS(130,3+18*1+(13))),'J1 B - Butcher Terrace'!$A$12:$A$130,"&gt;="&amp;Diagram!$O74,'J1 B - Butcher Terrace'!$A$12:$A$130,"&lt;"&amp;Diagram!$P74)))</f>
        <v>19</v>
      </c>
      <c r="DH74" s="42">
        <f ca="1">IF(OR($I$10="",$O74="",$P74="",$J$40&lt;&gt;"Yes"),0,IF($K$10=0,SUMIFS(INDIRECT(ADDRESS(12,3+18*1+(5),,,"J1 C - (South) Bishopthorpe Roa")&amp;":"&amp;ADDRESS(130,3+18*1+(5))),'J1 C - (South) Bishopthorpe Roa'!$A$12:$A$130,"&gt;="&amp;Diagram!$O74,'J1 C - (South) Bishopthorpe Roa'!$A$12:$A$130,"&lt;"&amp;Diagram!$P74),SUMIFS(INDIRECT(ADDRESS(12,3+18*1+(13),,,"J1 C - (South) Bishopthorpe Roa")&amp;":"&amp;ADDRESS(130,3+18*1+(13))),'J1 C - (South) Bishopthorpe Roa'!$A$12:$A$130,"&gt;="&amp;Diagram!$O74,'J1 C - (South) Bishopthorpe Roa'!$A$12:$A$130,"&lt;"&amp;Diagram!$P74)))</f>
        <v>10</v>
      </c>
      <c r="DI74" s="42">
        <f ca="1">IF(OR($I$10="",$O74="",$P74="",$J$40&lt;&gt;"Yes"),0,IF($K$10=0,SUMIFS(INDIRECT(ADDRESS(12,3+18*2+(5),,,"J1 C - (South) Bishopthorpe Roa")&amp;":"&amp;ADDRESS(130,3+18*2+(5))),'J1 C - (South) Bishopthorpe Roa'!$A$12:$A$130,"&gt;="&amp;Diagram!$O74,'J1 C - (South) Bishopthorpe Roa'!$A$12:$A$130,"&lt;"&amp;Diagram!$P74),SUMIFS(INDIRECT(ADDRESS(12,3+18*2+(13),,,"J1 C - (South) Bishopthorpe Roa")&amp;":"&amp;ADDRESS(130,3+18*2+(13))),'J1 C - (South) Bishopthorpe Roa'!$A$12:$A$130,"&gt;="&amp;Diagram!$O74,'J1 C - (South) Bishopthorpe Roa'!$A$12:$A$130,"&lt;"&amp;Diagram!$P74)))</f>
        <v>3</v>
      </c>
      <c r="DJ74" s="42">
        <f ca="1">IF(OR($I$10="",$O74="",$P74="",$J$40&lt;&gt;"Yes"),0,IF($K$10=0,SUMIFS(INDIRECT(ADDRESS(12,3+18*3+(5),,,"J1 C - (South) Bishopthorpe Roa")&amp;":"&amp;ADDRESS(130,3+18*3+(5))),'J1 C - (South) Bishopthorpe Roa'!$A$12:$A$130,"&gt;="&amp;Diagram!$O74,'J1 C - (South) Bishopthorpe Roa'!$A$12:$A$130,"&lt;"&amp;Diagram!$P74),SUMIFS(INDIRECT(ADDRESS(12,3+18*3+(13),,,"J1 C - (South) Bishopthorpe Roa")&amp;":"&amp;ADDRESS(130,3+18*3+(13))),'J1 C - (South) Bishopthorpe Roa'!$A$12:$A$130,"&gt;="&amp;Diagram!$O74,'J1 C - (South) Bishopthorpe Roa'!$A$12:$A$130,"&lt;"&amp;Diagram!$P74)))</f>
        <v>0</v>
      </c>
      <c r="DK74" s="42">
        <f ca="1">IF(OR($I$10="",$O74="",$P74="",$J$40&lt;&gt;"Yes"),0,IF($K$10=0,SUMIFS(INDIRECT(ADDRESS(12,3+18*0+(5),,,"J1 C - (South) Bishopthorpe Roa")&amp;":"&amp;ADDRESS(130,3+18*0+(5))),'J1 C - (South) Bishopthorpe Roa'!$A$12:$A$130,"&gt;="&amp;Diagram!$O74,'J1 C - (South) Bishopthorpe Roa'!$A$12:$A$130,"&lt;"&amp;Diagram!$P74),SUMIFS(INDIRECT(ADDRESS(12,3+18*0+(13),,,"J1 C - (South) Bishopthorpe Roa")&amp;":"&amp;ADDRESS(130,3+18*0+(13))),'J1 C - (South) Bishopthorpe Roa'!$A$12:$A$130,"&gt;="&amp;Diagram!$O74,'J1 C - (South) Bishopthorpe Roa'!$A$12:$A$130,"&lt;"&amp;Diagram!$P74)))</f>
        <v>1</v>
      </c>
      <c r="DL74" s="42">
        <f ca="1">IF(OR($I$10="",$O74="",$P74="",$J$40&lt;&gt;"Yes"),0,IF($K$10=0,SUMIFS(INDIRECT(ADDRESS(12,3+18*0+(5),,,"J1 D - South Bank Avenue")&amp;":"&amp;ADDRESS(130,3+18*0+(5))),'J1 D - South Bank Avenue'!$A$12:$A$130,"&gt;="&amp;Diagram!$O74,'J1 D - South Bank Avenue'!$A$12:$A$130,"&lt;"&amp;Diagram!$P74),SUMIFS(INDIRECT(ADDRESS(12,3+18*0+(13),,,"J1 D - South Bank Avenue")&amp;":"&amp;ADDRESS(130,3+18*0+(13))),'J1 D - South Bank Avenue'!$A$12:$A$130,"&gt;="&amp;Diagram!$O74,'J1 D - South Bank Avenue'!$A$12:$A$130,"&lt;"&amp;Diagram!$P74)))</f>
        <v>3</v>
      </c>
      <c r="DM74" s="42">
        <f ca="1">IF(OR($I$10="",$O74="",$P74="",$J$40&lt;&gt;"Yes"),0,IF($K$10=0,SUMIFS(INDIRECT(ADDRESS(12,3+18*1+(5),,,"J1 D - South Bank Avenue")&amp;":"&amp;ADDRESS(130,3+18*1+(5))),'J1 D - South Bank Avenue'!$A$12:$A$130,"&gt;="&amp;Diagram!$O74,'J1 D - South Bank Avenue'!$A$12:$A$130,"&lt;"&amp;Diagram!$P74),SUMIFS(INDIRECT(ADDRESS(12,3+18*1+(13),,,"J1 D - South Bank Avenue")&amp;":"&amp;ADDRESS(130,3+18*1+(13))),'J1 D - South Bank Avenue'!$A$12:$A$130,"&gt;="&amp;Diagram!$O74,'J1 D - South Bank Avenue'!$A$12:$A$130,"&lt;"&amp;Diagram!$P74)))</f>
        <v>13</v>
      </c>
      <c r="DN74" s="42">
        <f ca="1">IF(OR($I$10="",$O74="",$P74="",$J$40&lt;&gt;"Yes"),0,IF($K$10=0,SUMIFS(INDIRECT(ADDRESS(12,3+18*2+(5),,,"J1 D - South Bank Avenue")&amp;":"&amp;ADDRESS(130,3+18*2+(5))),'J1 D - South Bank Avenue'!$A$12:$A$130,"&gt;="&amp;Diagram!$O74,'J1 D - South Bank Avenue'!$A$12:$A$130,"&lt;"&amp;Diagram!$P74),SUMIFS(INDIRECT(ADDRESS(12,3+18*2+(13),,,"J1 D - South Bank Avenue")&amp;":"&amp;ADDRESS(130,3+18*2+(13))),'J1 D - South Bank Avenue'!$A$12:$A$130,"&gt;="&amp;Diagram!$O74,'J1 D - South Bank Avenue'!$A$12:$A$130,"&lt;"&amp;Diagram!$P74)))</f>
        <v>1</v>
      </c>
      <c r="DO74" s="42">
        <f ca="1">IF(OR($I$10="",$O74="",$P74="",$J$40&lt;&gt;"Yes"),0,IF($K$10=0,SUMIFS(INDIRECT(ADDRESS(12,3+18*3+(5),,,"J1 D - South Bank Avenue")&amp;":"&amp;ADDRESS(130,3+18*3+(5))),'J1 D - South Bank Avenue'!$A$12:$A$130,"&gt;="&amp;Diagram!$O74,'J1 D - South Bank Avenue'!$A$12:$A$130,"&lt;"&amp;Diagram!$P74),SUMIFS(INDIRECT(ADDRESS(12,3+18*3+(13),,,"J1 D - South Bank Avenue")&amp;":"&amp;ADDRESS(130,3+18*3+(13))),'J1 D - South Bank Avenue'!$A$12:$A$130,"&gt;="&amp;Diagram!$O74,'J1 D - South Bank Avenue'!$A$12:$A$130,"&lt;"&amp;Diagram!$P74)))</f>
        <v>0</v>
      </c>
      <c r="DP74" s="42">
        <f t="shared" ca="1" si="17"/>
        <v>14</v>
      </c>
      <c r="DQ74" s="42">
        <f ca="1">IF(OR($I$10="",$O74="",$P74="",$J$41&lt;&gt;"Yes"),0,IF($K$10=0,SUMIFS(INDIRECT(ADDRESS(12,3+18*3+(6),,,"J1 A - (North) Bishopthorpe Roa")&amp;":"&amp;ADDRESS(130,3+18*3+(6))),'J1 A - (North) Bishopthorpe Roa'!$A$12:$A$130,"&gt;="&amp;Diagram!$O74,'J1 A - (North) Bishopthorpe Roa'!$A$12:$A$130,"&lt;"&amp;Diagram!$P74),SUMIFS(INDIRECT(ADDRESS(12,3+18*3+(14),,,"J1 A - (North) Bishopthorpe Roa")&amp;":"&amp;ADDRESS(130,3+18*3+(14))),'J1 A - (North) Bishopthorpe Roa'!$A$12:$A$130,"&gt;="&amp;Diagram!$O74,'J1 A - (North) Bishopthorpe Roa'!$A$12:$A$130,"&lt;"&amp;Diagram!$P74)))</f>
        <v>0</v>
      </c>
      <c r="DR74" s="42">
        <f ca="1">IF(OR($I$10="",$O74="",$P74="",$J$41&lt;&gt;"Yes"),0,IF($K$10=0,SUMIFS(INDIRECT(ADDRESS(12,3+18*0+(6),,,"J1 A - (North) Bishopthorpe Roa")&amp;":"&amp;ADDRESS(130,3+18*0+(6))),'J1 A - (North) Bishopthorpe Roa'!$A$12:$A$130,"&gt;="&amp;Diagram!$O74,'J1 A - (North) Bishopthorpe Roa'!$A$12:$A$130,"&lt;"&amp;Diagram!$P74),SUMIFS(INDIRECT(ADDRESS(12,3+18*0+(14),,,"J1 A - (North) Bishopthorpe Roa")&amp;":"&amp;ADDRESS(130,3+18*0+(14))),'J1 A - (North) Bishopthorpe Roa'!$A$12:$A$130,"&gt;="&amp;Diagram!$O74,'J1 A - (North) Bishopthorpe Roa'!$A$12:$A$130,"&lt;"&amp;Diagram!$P74)))</f>
        <v>1</v>
      </c>
      <c r="DS74" s="42">
        <f ca="1">IF(OR($I$10="",$O74="",$P74="",$J$41&lt;&gt;"Yes"),0,IF($K$10=0,SUMIFS(INDIRECT(ADDRESS(12,3+18*1+(6),,,"J1 A - (North) Bishopthorpe Roa")&amp;":"&amp;ADDRESS(130,3+18*1+(6))),'J1 A - (North) Bishopthorpe Roa'!$A$12:$A$130,"&gt;="&amp;Diagram!$O74,'J1 A - (North) Bishopthorpe Roa'!$A$12:$A$130,"&lt;"&amp;Diagram!$P74),SUMIFS(INDIRECT(ADDRESS(12,3+18*1+(14),,,"J1 A - (North) Bishopthorpe Roa")&amp;":"&amp;ADDRESS(130,3+18*1+(14))),'J1 A - (North) Bishopthorpe Roa'!$A$12:$A$130,"&gt;="&amp;Diagram!$O74,'J1 A - (North) Bishopthorpe Roa'!$A$12:$A$130,"&lt;"&amp;Diagram!$P74)))</f>
        <v>6</v>
      </c>
      <c r="DT74" s="42">
        <f ca="1">IF(OR($I$10="",$O74="",$P74="",$J$41&lt;&gt;"Yes"),0,IF($K$10=0,SUMIFS(INDIRECT(ADDRESS(12,3+18*2+(6),,,"J1 A - (North) Bishopthorpe Roa")&amp;":"&amp;ADDRESS(130,3+18*2+(6))),'J1 A - (North) Bishopthorpe Roa'!$A$12:$A$130,"&gt;="&amp;Diagram!$O74,'J1 A - (North) Bishopthorpe Roa'!$A$12:$A$130,"&lt;"&amp;Diagram!$P74),SUMIFS(INDIRECT(ADDRESS(12,3+18*2+(14),,,"J1 A - (North) Bishopthorpe Roa")&amp;":"&amp;ADDRESS(130,3+18*2+(14))),'J1 A - (North) Bishopthorpe Roa'!$A$12:$A$130,"&gt;="&amp;Diagram!$O74,'J1 A - (North) Bishopthorpe Roa'!$A$12:$A$130,"&lt;"&amp;Diagram!$P74)))</f>
        <v>1</v>
      </c>
      <c r="DU74" s="42">
        <f ca="1">IF(OR($I$10="",$O74="",$P74="",$J$41&lt;&gt;"Yes"),0,IF($K$10=0,SUMIFS(INDIRECT(ADDRESS(12,3+18*2+(6),,,"J1 B - Butcher Terrace")&amp;":"&amp;ADDRESS(130,3+18*2+(6))),'J1 B - Butcher Terrace'!$A$12:$A$130,"&gt;="&amp;Diagram!$O74,'J1 B - Butcher Terrace'!$A$12:$A$130,"&lt;"&amp;Diagram!$P74),SUMIFS(INDIRECT(ADDRESS(12,3+18*2+(14),,,"J1 B - Butcher Terrace")&amp;":"&amp;ADDRESS(130,3+18*2+(14))),'J1 B - Butcher Terrace'!$A$12:$A$130,"&gt;="&amp;Diagram!$O74,'J1 B - Butcher Terrace'!$A$12:$A$130,"&lt;"&amp;Diagram!$P74)))</f>
        <v>1</v>
      </c>
      <c r="DV74" s="42">
        <f ca="1">IF(OR($I$10="",$O74="",$P74="",$J$41&lt;&gt;"Yes"),0,IF($K$10=0,SUMIFS(INDIRECT(ADDRESS(12,3+18*3+(6),,,"J1 B - Butcher Terrace")&amp;":"&amp;ADDRESS(130,3+18*3+(6))),'J1 B - Butcher Terrace'!$A$12:$A$130,"&gt;="&amp;Diagram!$O74,'J1 B - Butcher Terrace'!$A$12:$A$130,"&lt;"&amp;Diagram!$P74),SUMIFS(INDIRECT(ADDRESS(12,3+18*3+(14),,,"J1 B - Butcher Terrace")&amp;":"&amp;ADDRESS(130,3+18*3+(14))),'J1 B - Butcher Terrace'!$A$12:$A$130,"&gt;="&amp;Diagram!$O74,'J1 B - Butcher Terrace'!$A$12:$A$130,"&lt;"&amp;Diagram!$P74)))</f>
        <v>0</v>
      </c>
      <c r="DW74" s="42">
        <f ca="1">IF(OR($I$10="",$O74="",$P74="",$J$41&lt;&gt;"Yes"),0,IF($K$10=0,SUMIFS(INDIRECT(ADDRESS(12,3+18*0+(6),,,"J1 B - Butcher Terrace")&amp;":"&amp;ADDRESS(130,3+18*0+(6))),'J1 B - Butcher Terrace'!$A$12:$A$130,"&gt;="&amp;Diagram!$O74,'J1 B - Butcher Terrace'!$A$12:$A$130,"&lt;"&amp;Diagram!$P74),SUMIFS(INDIRECT(ADDRESS(12,3+18*0+(14),,,"J1 B - Butcher Terrace")&amp;":"&amp;ADDRESS(130,3+18*0+(14))),'J1 B - Butcher Terrace'!$A$12:$A$130,"&gt;="&amp;Diagram!$O74,'J1 B - Butcher Terrace'!$A$12:$A$130,"&lt;"&amp;Diagram!$P74)))</f>
        <v>0</v>
      </c>
      <c r="DX74" s="42">
        <f ca="1">IF(OR($I$10="",$O74="",$P74="",$J$41&lt;&gt;"Yes"),0,IF($K$10=0,SUMIFS(INDIRECT(ADDRESS(12,3+18*1+(6),,,"J1 B - Butcher Terrace")&amp;":"&amp;ADDRESS(130,3+18*1+(6))),'J1 B - Butcher Terrace'!$A$12:$A$130,"&gt;="&amp;Diagram!$O74,'J1 B - Butcher Terrace'!$A$12:$A$130,"&lt;"&amp;Diagram!$P74),SUMIFS(INDIRECT(ADDRESS(12,3+18*1+(14),,,"J1 B - Butcher Terrace")&amp;":"&amp;ADDRESS(130,3+18*1+(14))),'J1 B - Butcher Terrace'!$A$12:$A$130,"&gt;="&amp;Diagram!$O74,'J1 B - Butcher Terrace'!$A$12:$A$130,"&lt;"&amp;Diagram!$P74)))</f>
        <v>1</v>
      </c>
      <c r="DY74" s="42">
        <f ca="1">IF(OR($I$10="",$O74="",$P74="",$J$41&lt;&gt;"Yes"),0,IF($K$10=0,SUMIFS(INDIRECT(ADDRESS(12,3+18*1+(6),,,"J1 C - (South) Bishopthorpe Roa")&amp;":"&amp;ADDRESS(130,3+18*1+(6))),'J1 C - (South) Bishopthorpe Roa'!$A$12:$A$130,"&gt;="&amp;Diagram!$O74,'J1 C - (South) Bishopthorpe Roa'!$A$12:$A$130,"&lt;"&amp;Diagram!$P74),SUMIFS(INDIRECT(ADDRESS(12,3+18*1+(14),,,"J1 C - (South) Bishopthorpe Roa")&amp;":"&amp;ADDRESS(130,3+18*1+(14))),'J1 C - (South) Bishopthorpe Roa'!$A$12:$A$130,"&gt;="&amp;Diagram!$O74,'J1 C - (South) Bishopthorpe Roa'!$A$12:$A$130,"&lt;"&amp;Diagram!$P74)))</f>
        <v>3</v>
      </c>
      <c r="DZ74" s="42">
        <f ca="1">IF(OR($I$10="",$O74="",$P74="",$J$41&lt;&gt;"Yes"),0,IF($K$10=0,SUMIFS(INDIRECT(ADDRESS(12,3+18*2+(6),,,"J1 C - (South) Bishopthorpe Roa")&amp;":"&amp;ADDRESS(130,3+18*2+(6))),'J1 C - (South) Bishopthorpe Roa'!$A$12:$A$130,"&gt;="&amp;Diagram!$O74,'J1 C - (South) Bishopthorpe Roa'!$A$12:$A$130,"&lt;"&amp;Diagram!$P74),SUMIFS(INDIRECT(ADDRESS(12,3+18*2+(14),,,"J1 C - (South) Bishopthorpe Roa")&amp;":"&amp;ADDRESS(130,3+18*2+(14))),'J1 C - (South) Bishopthorpe Roa'!$A$12:$A$130,"&gt;="&amp;Diagram!$O74,'J1 C - (South) Bishopthorpe Roa'!$A$12:$A$130,"&lt;"&amp;Diagram!$P74)))</f>
        <v>1</v>
      </c>
      <c r="EA74" s="42">
        <f ca="1">IF(OR($I$10="",$O74="",$P74="",$J$41&lt;&gt;"Yes"),0,IF($K$10=0,SUMIFS(INDIRECT(ADDRESS(12,3+18*3+(6),,,"J1 C - (South) Bishopthorpe Roa")&amp;":"&amp;ADDRESS(130,3+18*3+(6))),'J1 C - (South) Bishopthorpe Roa'!$A$12:$A$130,"&gt;="&amp;Diagram!$O74,'J1 C - (South) Bishopthorpe Roa'!$A$12:$A$130,"&lt;"&amp;Diagram!$P74),SUMIFS(INDIRECT(ADDRESS(12,3+18*3+(14),,,"J1 C - (South) Bishopthorpe Roa")&amp;":"&amp;ADDRESS(130,3+18*3+(14))),'J1 C - (South) Bishopthorpe Roa'!$A$12:$A$130,"&gt;="&amp;Diagram!$O74,'J1 C - (South) Bishopthorpe Roa'!$A$12:$A$130,"&lt;"&amp;Diagram!$P74)))</f>
        <v>0</v>
      </c>
      <c r="EB74" s="42">
        <f ca="1">IF(OR($I$10="",$O74="",$P74="",$J$41&lt;&gt;"Yes"),0,IF($K$10=0,SUMIFS(INDIRECT(ADDRESS(12,3+18*0+(6),,,"J1 C - (South) Bishopthorpe Roa")&amp;":"&amp;ADDRESS(130,3+18*0+(6))),'J1 C - (South) Bishopthorpe Roa'!$A$12:$A$130,"&gt;="&amp;Diagram!$O74,'J1 C - (South) Bishopthorpe Roa'!$A$12:$A$130,"&lt;"&amp;Diagram!$P74),SUMIFS(INDIRECT(ADDRESS(12,3+18*0+(14),,,"J1 C - (South) Bishopthorpe Roa")&amp;":"&amp;ADDRESS(130,3+18*0+(14))),'J1 C - (South) Bishopthorpe Roa'!$A$12:$A$130,"&gt;="&amp;Diagram!$O74,'J1 C - (South) Bishopthorpe Roa'!$A$12:$A$130,"&lt;"&amp;Diagram!$P74)))</f>
        <v>0</v>
      </c>
      <c r="EC74" s="42">
        <f ca="1">IF(OR($I$10="",$O74="",$P74="",$J$41&lt;&gt;"Yes"),0,IF($K$10=0,SUMIFS(INDIRECT(ADDRESS(12,3+18*0+(6),,,"J1 D - South Bank Avenue")&amp;":"&amp;ADDRESS(130,3+18*0+(6))),'J1 D - South Bank Avenue'!$A$12:$A$130,"&gt;="&amp;Diagram!$O74,'J1 D - South Bank Avenue'!$A$12:$A$130,"&lt;"&amp;Diagram!$P74),SUMIFS(INDIRECT(ADDRESS(12,3+18*0+(14),,,"J1 D - South Bank Avenue")&amp;":"&amp;ADDRESS(130,3+18*0+(14))),'J1 D - South Bank Avenue'!$A$12:$A$130,"&gt;="&amp;Diagram!$O74,'J1 D - South Bank Avenue'!$A$12:$A$130,"&lt;"&amp;Diagram!$P74)))</f>
        <v>0</v>
      </c>
      <c r="ED74" s="42">
        <f ca="1">IF(OR($I$10="",$O74="",$P74="",$J$41&lt;&gt;"Yes"),0,IF($K$10=0,SUMIFS(INDIRECT(ADDRESS(12,3+18*1+(6),,,"J1 D - South Bank Avenue")&amp;":"&amp;ADDRESS(130,3+18*1+(6))),'J1 D - South Bank Avenue'!$A$12:$A$130,"&gt;="&amp;Diagram!$O74,'J1 D - South Bank Avenue'!$A$12:$A$130,"&lt;"&amp;Diagram!$P74),SUMIFS(INDIRECT(ADDRESS(12,3+18*1+(14),,,"J1 D - South Bank Avenue")&amp;":"&amp;ADDRESS(130,3+18*1+(14))),'J1 D - South Bank Avenue'!$A$12:$A$130,"&gt;="&amp;Diagram!$O74,'J1 D - South Bank Avenue'!$A$12:$A$130,"&lt;"&amp;Diagram!$P74)))</f>
        <v>0</v>
      </c>
      <c r="EE74" s="42">
        <f ca="1">IF(OR($I$10="",$O74="",$P74="",$J$41&lt;&gt;"Yes"),0,IF($K$10=0,SUMIFS(INDIRECT(ADDRESS(12,3+18*2+(6),,,"J1 D - South Bank Avenue")&amp;":"&amp;ADDRESS(130,3+18*2+(6))),'J1 D - South Bank Avenue'!$A$12:$A$130,"&gt;="&amp;Diagram!$O74,'J1 D - South Bank Avenue'!$A$12:$A$130,"&lt;"&amp;Diagram!$P74),SUMIFS(INDIRECT(ADDRESS(12,3+18*2+(14),,,"J1 D - South Bank Avenue")&amp;":"&amp;ADDRESS(130,3+18*2+(14))),'J1 D - South Bank Avenue'!$A$12:$A$130,"&gt;="&amp;Diagram!$O74,'J1 D - South Bank Avenue'!$A$12:$A$130,"&lt;"&amp;Diagram!$P74)))</f>
        <v>0</v>
      </c>
      <c r="EF74" s="42">
        <f ca="1">IF(OR($I$10="",$O74="",$P74="",$J$41&lt;&gt;"Yes"),0,IF($K$10=0,SUMIFS(INDIRECT(ADDRESS(12,3+18*3+(6),,,"J1 D - South Bank Avenue")&amp;":"&amp;ADDRESS(130,3+18*3+(6))),'J1 D - South Bank Avenue'!$A$12:$A$130,"&gt;="&amp;Diagram!$O74,'J1 D - South Bank Avenue'!$A$12:$A$130,"&lt;"&amp;Diagram!$P74),SUMIFS(INDIRECT(ADDRESS(12,3+18*3+(14),,,"J1 D - South Bank Avenue")&amp;":"&amp;ADDRESS(130,3+18*3+(14))),'J1 D - South Bank Avenue'!$A$12:$A$130,"&gt;="&amp;Diagram!$O74,'J1 D - South Bank Avenue'!$A$12:$A$130,"&lt;"&amp;Diagram!$P74)))</f>
        <v>0</v>
      </c>
      <c r="EG74" s="42">
        <f t="shared" ca="1" si="18"/>
        <v>0</v>
      </c>
      <c r="EH74" s="42">
        <f ca="1">IF(OR($I$10="",$O74="",$P74="",$J$42&lt;&gt;"Yes"),0,IF($K$10=0,SUMIFS(INDIRECT(ADDRESS(12,3+18*3+(7),,,"J1 A - (North) Bishopthorpe Roa")&amp;":"&amp;ADDRESS(130,3+18*3+(7))),'J1 A - (North) Bishopthorpe Roa'!$A$12:$A$130,"&gt;="&amp;Diagram!$O74,'J1 A - (North) Bishopthorpe Roa'!$A$12:$A$130,"&lt;"&amp;Diagram!$P74),SUMIFS(INDIRECT(ADDRESS(12,3+18*3+(15),,,"J1 A - (North) Bishopthorpe Roa")&amp;":"&amp;ADDRESS(130,3+18*3+(15))),'J1 A - (North) Bishopthorpe Roa'!$A$12:$A$130,"&gt;="&amp;Diagram!$O74,'J1 A - (North) Bishopthorpe Roa'!$A$12:$A$130,"&lt;"&amp;Diagram!$P74)))</f>
        <v>0</v>
      </c>
      <c r="EI74" s="42">
        <f ca="1">IF(OR($I$10="",$O74="",$P74="",$J$42&lt;&gt;"Yes"),0,IF($K$10=0,SUMIFS(INDIRECT(ADDRESS(12,3+18*0+(7),,,"J1 A - (North) Bishopthorpe Roa")&amp;":"&amp;ADDRESS(130,3+18*0+(7))),'J1 A - (North) Bishopthorpe Roa'!$A$12:$A$130,"&gt;="&amp;Diagram!$O74,'J1 A - (North) Bishopthorpe Roa'!$A$12:$A$130,"&lt;"&amp;Diagram!$P74),SUMIFS(INDIRECT(ADDRESS(12,3+18*0+(15),,,"J1 A - (North) Bishopthorpe Roa")&amp;":"&amp;ADDRESS(130,3+18*0+(15))),'J1 A - (North) Bishopthorpe Roa'!$A$12:$A$130,"&gt;="&amp;Diagram!$O74,'J1 A - (North) Bishopthorpe Roa'!$A$12:$A$130,"&lt;"&amp;Diagram!$P74)))</f>
        <v>0</v>
      </c>
      <c r="EJ74" s="42">
        <f ca="1">IF(OR($I$10="",$O74="",$P74="",$J$42&lt;&gt;"Yes"),0,IF($K$10=0,SUMIFS(INDIRECT(ADDRESS(12,3+18*1+(7),,,"J1 A - (North) Bishopthorpe Roa")&amp;":"&amp;ADDRESS(130,3+18*1+(7))),'J1 A - (North) Bishopthorpe Roa'!$A$12:$A$130,"&gt;="&amp;Diagram!$O74,'J1 A - (North) Bishopthorpe Roa'!$A$12:$A$130,"&lt;"&amp;Diagram!$P74),SUMIFS(INDIRECT(ADDRESS(12,3+18*1+(15),,,"J1 A - (North) Bishopthorpe Roa")&amp;":"&amp;ADDRESS(130,3+18*1+(15))),'J1 A - (North) Bishopthorpe Roa'!$A$12:$A$130,"&gt;="&amp;Diagram!$O74,'J1 A - (North) Bishopthorpe Roa'!$A$12:$A$130,"&lt;"&amp;Diagram!$P74)))</f>
        <v>0</v>
      </c>
      <c r="EK74" s="42">
        <f ca="1">IF(OR($I$10="",$O74="",$P74="",$J$42&lt;&gt;"Yes"),0,IF($K$10=0,SUMIFS(INDIRECT(ADDRESS(12,3+18*2+(7),,,"J1 A - (North) Bishopthorpe Roa")&amp;":"&amp;ADDRESS(130,3+18*2+(7))),'J1 A - (North) Bishopthorpe Roa'!$A$12:$A$130,"&gt;="&amp;Diagram!$O74,'J1 A - (North) Bishopthorpe Roa'!$A$12:$A$130,"&lt;"&amp;Diagram!$P74),SUMIFS(INDIRECT(ADDRESS(12,3+18*2+(15),,,"J1 A - (North) Bishopthorpe Roa")&amp;":"&amp;ADDRESS(130,3+18*2+(15))),'J1 A - (North) Bishopthorpe Roa'!$A$12:$A$130,"&gt;="&amp;Diagram!$O74,'J1 A - (North) Bishopthorpe Roa'!$A$12:$A$130,"&lt;"&amp;Diagram!$P74)))</f>
        <v>0</v>
      </c>
      <c r="EL74" s="42">
        <f ca="1">IF(OR($I$10="",$O74="",$P74="",$J$42&lt;&gt;"Yes"),0,IF($K$10=0,SUMIFS(INDIRECT(ADDRESS(12,3+18*2+(7),,,"J1 B - Butcher Terrace")&amp;":"&amp;ADDRESS(130,3+18*2+(7))),'J1 B - Butcher Terrace'!$A$12:$A$130,"&gt;="&amp;Diagram!$O74,'J1 B - Butcher Terrace'!$A$12:$A$130,"&lt;"&amp;Diagram!$P74),SUMIFS(INDIRECT(ADDRESS(12,3+18*2+(15),,,"J1 B - Butcher Terrace")&amp;":"&amp;ADDRESS(130,3+18*2+(15))),'J1 B - Butcher Terrace'!$A$12:$A$130,"&gt;="&amp;Diagram!$O74,'J1 B - Butcher Terrace'!$A$12:$A$130,"&lt;"&amp;Diagram!$P74)))</f>
        <v>0</v>
      </c>
      <c r="EM74" s="42">
        <f ca="1">IF(OR($I$10="",$O74="",$P74="",$J$42&lt;&gt;"Yes"),0,IF($K$10=0,SUMIFS(INDIRECT(ADDRESS(12,3+18*3+(7),,,"J1 B - Butcher Terrace")&amp;":"&amp;ADDRESS(130,3+18*3+(7))),'J1 B - Butcher Terrace'!$A$12:$A$130,"&gt;="&amp;Diagram!$O74,'J1 B - Butcher Terrace'!$A$12:$A$130,"&lt;"&amp;Diagram!$P74),SUMIFS(INDIRECT(ADDRESS(12,3+18*3+(15),,,"J1 B - Butcher Terrace")&amp;":"&amp;ADDRESS(130,3+18*3+(15))),'J1 B - Butcher Terrace'!$A$12:$A$130,"&gt;="&amp;Diagram!$O74,'J1 B - Butcher Terrace'!$A$12:$A$130,"&lt;"&amp;Diagram!$P74)))</f>
        <v>0</v>
      </c>
      <c r="EN74" s="42">
        <f ca="1">IF(OR($I$10="",$O74="",$P74="",$J$42&lt;&gt;"Yes"),0,IF($K$10=0,SUMIFS(INDIRECT(ADDRESS(12,3+18*0+(7),,,"J1 B - Butcher Terrace")&amp;":"&amp;ADDRESS(130,3+18*0+(7))),'J1 B - Butcher Terrace'!$A$12:$A$130,"&gt;="&amp;Diagram!$O74,'J1 B - Butcher Terrace'!$A$12:$A$130,"&lt;"&amp;Diagram!$P74),SUMIFS(INDIRECT(ADDRESS(12,3+18*0+(15),,,"J1 B - Butcher Terrace")&amp;":"&amp;ADDRESS(130,3+18*0+(15))),'J1 B - Butcher Terrace'!$A$12:$A$130,"&gt;="&amp;Diagram!$O74,'J1 B - Butcher Terrace'!$A$12:$A$130,"&lt;"&amp;Diagram!$P74)))</f>
        <v>0</v>
      </c>
      <c r="EO74" s="42">
        <f ca="1">IF(OR($I$10="",$O74="",$P74="",$J$42&lt;&gt;"Yes"),0,IF($K$10=0,SUMIFS(INDIRECT(ADDRESS(12,3+18*1+(7),,,"J1 B - Butcher Terrace")&amp;":"&amp;ADDRESS(130,3+18*1+(7))),'J1 B - Butcher Terrace'!$A$12:$A$130,"&gt;="&amp;Diagram!$O74,'J1 B - Butcher Terrace'!$A$12:$A$130,"&lt;"&amp;Diagram!$P74),SUMIFS(INDIRECT(ADDRESS(12,3+18*1+(15),,,"J1 B - Butcher Terrace")&amp;":"&amp;ADDRESS(130,3+18*1+(15))),'J1 B - Butcher Terrace'!$A$12:$A$130,"&gt;="&amp;Diagram!$O74,'J1 B - Butcher Terrace'!$A$12:$A$130,"&lt;"&amp;Diagram!$P74)))</f>
        <v>0</v>
      </c>
      <c r="EP74" s="42">
        <f ca="1">IF(OR($I$10="",$O74="",$P74="",$J$42&lt;&gt;"Yes"),0,IF($K$10=0,SUMIFS(INDIRECT(ADDRESS(12,3+18*1+(7),,,"J1 C - (South) Bishopthorpe Roa")&amp;":"&amp;ADDRESS(130,3+18*1+(7))),'J1 C - (South) Bishopthorpe Roa'!$A$12:$A$130,"&gt;="&amp;Diagram!$O74,'J1 C - (South) Bishopthorpe Roa'!$A$12:$A$130,"&lt;"&amp;Diagram!$P74),SUMIFS(INDIRECT(ADDRESS(12,3+18*1+(15),,,"J1 C - (South) Bishopthorpe Roa")&amp;":"&amp;ADDRESS(130,3+18*1+(15))),'J1 C - (South) Bishopthorpe Roa'!$A$12:$A$130,"&gt;="&amp;Diagram!$O74,'J1 C - (South) Bishopthorpe Roa'!$A$12:$A$130,"&lt;"&amp;Diagram!$P74)))</f>
        <v>0</v>
      </c>
      <c r="EQ74" s="42">
        <f ca="1">IF(OR($I$10="",$O74="",$P74="",$J$42&lt;&gt;"Yes"),0,IF($K$10=0,SUMIFS(INDIRECT(ADDRESS(12,3+18*2+(7),,,"J1 C - (South) Bishopthorpe Roa")&amp;":"&amp;ADDRESS(130,3+18*2+(7))),'J1 C - (South) Bishopthorpe Roa'!$A$12:$A$130,"&gt;="&amp;Diagram!$O74,'J1 C - (South) Bishopthorpe Roa'!$A$12:$A$130,"&lt;"&amp;Diagram!$P74),SUMIFS(INDIRECT(ADDRESS(12,3+18*2+(15),,,"J1 C - (South) Bishopthorpe Roa")&amp;":"&amp;ADDRESS(130,3+18*2+(15))),'J1 C - (South) Bishopthorpe Roa'!$A$12:$A$130,"&gt;="&amp;Diagram!$O74,'J1 C - (South) Bishopthorpe Roa'!$A$12:$A$130,"&lt;"&amp;Diagram!$P74)))</f>
        <v>0</v>
      </c>
      <c r="ER74" s="42">
        <f ca="1">IF(OR($I$10="",$O74="",$P74="",$J$42&lt;&gt;"Yes"),0,IF($K$10=0,SUMIFS(INDIRECT(ADDRESS(12,3+18*3+(7),,,"J1 C - (South) Bishopthorpe Roa")&amp;":"&amp;ADDRESS(130,3+18*3+(7))),'J1 C - (South) Bishopthorpe Roa'!$A$12:$A$130,"&gt;="&amp;Diagram!$O74,'J1 C - (South) Bishopthorpe Roa'!$A$12:$A$130,"&lt;"&amp;Diagram!$P74),SUMIFS(INDIRECT(ADDRESS(12,3+18*3+(15),,,"J1 C - (South) Bishopthorpe Roa")&amp;":"&amp;ADDRESS(130,3+18*3+(15))),'J1 C - (South) Bishopthorpe Roa'!$A$12:$A$130,"&gt;="&amp;Diagram!$O74,'J1 C - (South) Bishopthorpe Roa'!$A$12:$A$130,"&lt;"&amp;Diagram!$P74)))</f>
        <v>0</v>
      </c>
      <c r="ES74" s="42">
        <f ca="1">IF(OR($I$10="",$O74="",$P74="",$J$42&lt;&gt;"Yes"),0,IF($K$10=0,SUMIFS(INDIRECT(ADDRESS(12,3+18*0+(7),,,"J1 C - (South) Bishopthorpe Roa")&amp;":"&amp;ADDRESS(130,3+18*0+(7))),'J1 C - (South) Bishopthorpe Roa'!$A$12:$A$130,"&gt;="&amp;Diagram!$O74,'J1 C - (South) Bishopthorpe Roa'!$A$12:$A$130,"&lt;"&amp;Diagram!$P74),SUMIFS(INDIRECT(ADDRESS(12,3+18*0+(15),,,"J1 C - (South) Bishopthorpe Roa")&amp;":"&amp;ADDRESS(130,3+18*0+(15))),'J1 C - (South) Bishopthorpe Roa'!$A$12:$A$130,"&gt;="&amp;Diagram!$O74,'J1 C - (South) Bishopthorpe Roa'!$A$12:$A$130,"&lt;"&amp;Diagram!$P74)))</f>
        <v>0</v>
      </c>
      <c r="ET74" s="42">
        <f ca="1">IF(OR($I$10="",$O74="",$P74="",$J$42&lt;&gt;"Yes"),0,IF($K$10=0,SUMIFS(INDIRECT(ADDRESS(12,3+18*0+(7),,,"J1 D - South Bank Avenue")&amp;":"&amp;ADDRESS(130,3+18*0+(7))),'J1 D - South Bank Avenue'!$A$12:$A$130,"&gt;="&amp;Diagram!$O74,'J1 D - South Bank Avenue'!$A$12:$A$130,"&lt;"&amp;Diagram!$P74),SUMIFS(INDIRECT(ADDRESS(12,3+18*0+(15),,,"J1 D - South Bank Avenue")&amp;":"&amp;ADDRESS(130,3+18*0+(15))),'J1 D - South Bank Avenue'!$A$12:$A$130,"&gt;="&amp;Diagram!$O74,'J1 D - South Bank Avenue'!$A$12:$A$130,"&lt;"&amp;Diagram!$P74)))</f>
        <v>0</v>
      </c>
      <c r="EU74" s="42">
        <f ca="1">IF(OR($I$10="",$O74="",$P74="",$J$42&lt;&gt;"Yes"),0,IF($K$10=0,SUMIFS(INDIRECT(ADDRESS(12,3+18*1+(7),,,"J1 D - South Bank Avenue")&amp;":"&amp;ADDRESS(130,3+18*1+(7))),'J1 D - South Bank Avenue'!$A$12:$A$130,"&gt;="&amp;Diagram!$O74,'J1 D - South Bank Avenue'!$A$12:$A$130,"&lt;"&amp;Diagram!$P74),SUMIFS(INDIRECT(ADDRESS(12,3+18*1+(15),,,"J1 D - South Bank Avenue")&amp;":"&amp;ADDRESS(130,3+18*1+(15))),'J1 D - South Bank Avenue'!$A$12:$A$130,"&gt;="&amp;Diagram!$O74,'J1 D - South Bank Avenue'!$A$12:$A$130,"&lt;"&amp;Diagram!$P74)))</f>
        <v>0</v>
      </c>
      <c r="EV74" s="42">
        <f ca="1">IF(OR($I$10="",$O74="",$P74="",$J$42&lt;&gt;"Yes"),0,IF($K$10=0,SUMIFS(INDIRECT(ADDRESS(12,3+18*2+(7),,,"J1 D - South Bank Avenue")&amp;":"&amp;ADDRESS(130,3+18*2+(7))),'J1 D - South Bank Avenue'!$A$12:$A$130,"&gt;="&amp;Diagram!$O74,'J1 D - South Bank Avenue'!$A$12:$A$130,"&lt;"&amp;Diagram!$P74),SUMIFS(INDIRECT(ADDRESS(12,3+18*2+(15),,,"J1 D - South Bank Avenue")&amp;":"&amp;ADDRESS(130,3+18*2+(15))),'J1 D - South Bank Avenue'!$A$12:$A$130,"&gt;="&amp;Diagram!$O74,'J1 D - South Bank Avenue'!$A$12:$A$130,"&lt;"&amp;Diagram!$P74)))</f>
        <v>0</v>
      </c>
      <c r="EW74" s="42">
        <f ca="1">IF(OR($I$10="",$O74="",$P74="",$J$42&lt;&gt;"Yes"),0,IF($K$10=0,SUMIFS(INDIRECT(ADDRESS(12,3+18*3+(7),,,"J1 D - South Bank Avenue")&amp;":"&amp;ADDRESS(130,3+18*3+(7))),'J1 D - South Bank Avenue'!$A$12:$A$130,"&gt;="&amp;Diagram!$O74,'J1 D - South Bank Avenue'!$A$12:$A$130,"&lt;"&amp;Diagram!$P74),SUMIFS(INDIRECT(ADDRESS(12,3+18*3+(15),,,"J1 D - South Bank Avenue")&amp;":"&amp;ADDRESS(130,3+18*3+(15))),'J1 D - South Bank Avenue'!$A$12:$A$130,"&gt;="&amp;Diagram!$O74,'J1 D - South Bank Avenue'!$A$12:$A$130,"&lt;"&amp;Diagram!$P74)))</f>
        <v>0</v>
      </c>
    </row>
    <row r="75" spans="1:153">
      <c r="A75" s="1">
        <v>44395.770833333299</v>
      </c>
      <c r="B75" s="1">
        <v>44395.78125</v>
      </c>
      <c r="O75" s="3">
        <v>44395.770833333299</v>
      </c>
      <c r="P75" s="3">
        <v>44395.8125</v>
      </c>
      <c r="Q75" s="42">
        <f t="shared" ca="1" si="10"/>
        <v>611</v>
      </c>
      <c r="R75" s="42">
        <f t="shared" ca="1" si="11"/>
        <v>478</v>
      </c>
      <c r="S75" s="42">
        <f ca="1">IF(OR($I$10="",$O75="",$P75="",$J$35&lt;&gt;"Yes"),0,IF($K$10=0,SUMIFS(INDIRECT(ADDRESS(12,3+18*3+(0),,,"J1 A - (North) Bishopthorpe Roa")&amp;":"&amp;ADDRESS(130,3+18*3+(0))),'J1 A - (North) Bishopthorpe Roa'!$A$12:$A$130,"&gt;="&amp;Diagram!$O75,'J1 A - (North) Bishopthorpe Roa'!$A$12:$A$130,"&lt;"&amp;Diagram!$P75),SUMIFS(INDIRECT(ADDRESS(12,3+18*3+(8),,,"J1 A - (North) Bishopthorpe Roa")&amp;":"&amp;ADDRESS(130,3+18*3+(8))),'J1 A - (North) Bishopthorpe Roa'!$A$12:$A$130,"&gt;="&amp;Diagram!$O75,'J1 A - (North) Bishopthorpe Roa'!$A$12:$A$130,"&lt;"&amp;Diagram!$P75)))</f>
        <v>1</v>
      </c>
      <c r="T75" s="42">
        <f ca="1">IF(OR($I$10="",$O75="",$P75="",$J$35&lt;&gt;"Yes"),0,IF($K$10=0,SUMIFS(INDIRECT(ADDRESS(12,3+18*0+(0),,,"J1 A - (North) Bishopthorpe Roa")&amp;":"&amp;ADDRESS(130,3+18*0+(0))),'J1 A - (North) Bishopthorpe Roa'!$A$12:$A$130,"&gt;="&amp;Diagram!$O75,'J1 A - (North) Bishopthorpe Roa'!$A$12:$A$130,"&lt;"&amp;Diagram!$P75),SUMIFS(INDIRECT(ADDRESS(12,3+18*0+(8),,,"J1 A - (North) Bishopthorpe Roa")&amp;":"&amp;ADDRESS(130,3+18*0+(8))),'J1 A - (North) Bishopthorpe Roa'!$A$12:$A$130,"&gt;="&amp;Diagram!$O75,'J1 A - (North) Bishopthorpe Roa'!$A$12:$A$130,"&lt;"&amp;Diagram!$P75)))</f>
        <v>20</v>
      </c>
      <c r="U75" s="42">
        <f ca="1">IF(OR($I$10="",$O75="",$P75="",$J$35&lt;&gt;"Yes"),0,IF($K$10=0,SUMIFS(INDIRECT(ADDRESS(12,3+18*1+(0),,,"J1 A - (North) Bishopthorpe Roa")&amp;":"&amp;ADDRESS(130,3+18*1+(0))),'J1 A - (North) Bishopthorpe Roa'!$A$12:$A$130,"&gt;="&amp;Diagram!$O75,'J1 A - (North) Bishopthorpe Roa'!$A$12:$A$130,"&lt;"&amp;Diagram!$P75),SUMIFS(INDIRECT(ADDRESS(12,3+18*1+(8),,,"J1 A - (North) Bishopthorpe Roa")&amp;":"&amp;ADDRESS(130,3+18*1+(8))),'J1 A - (North) Bishopthorpe Roa'!$A$12:$A$130,"&gt;="&amp;Diagram!$O75,'J1 A - (North) Bishopthorpe Roa'!$A$12:$A$130,"&lt;"&amp;Diagram!$P75)))</f>
        <v>196</v>
      </c>
      <c r="V75" s="42">
        <f ca="1">IF(OR($I$10="",$O75="",$P75="",$J$35&lt;&gt;"Yes"),0,IF($K$10=0,SUMIFS(INDIRECT(ADDRESS(12,3+18*2+(0),,,"J1 A - (North) Bishopthorpe Roa")&amp;":"&amp;ADDRESS(130,3+18*2+(0))),'J1 A - (North) Bishopthorpe Roa'!$A$12:$A$130,"&gt;="&amp;Diagram!$O75,'J1 A - (North) Bishopthorpe Roa'!$A$12:$A$130,"&lt;"&amp;Diagram!$P75),SUMIFS(INDIRECT(ADDRESS(12,3+18*2+(8),,,"J1 A - (North) Bishopthorpe Roa")&amp;":"&amp;ADDRESS(130,3+18*2+(8))),'J1 A - (North) Bishopthorpe Roa'!$A$12:$A$130,"&gt;="&amp;Diagram!$O75,'J1 A - (North) Bishopthorpe Roa'!$A$12:$A$130,"&lt;"&amp;Diagram!$P75)))</f>
        <v>27</v>
      </c>
      <c r="W75" s="42">
        <f ca="1">IF(OR($I$10="",$O75="",$P75="",$J$35&lt;&gt;"Yes"),0,IF($K$10=0,SUMIFS(INDIRECT(ADDRESS(12,3+18*2+(0),,,"J1 B - Butcher Terrace")&amp;":"&amp;ADDRESS(130,3+18*2+(0))),'J1 B - Butcher Terrace'!$A$12:$A$130,"&gt;="&amp;Diagram!$O75,'J1 B - Butcher Terrace'!$A$12:$A$130,"&lt;"&amp;Diagram!$P75),SUMIFS(INDIRECT(ADDRESS(12,3+18*2+(8),,,"J1 B - Butcher Terrace")&amp;":"&amp;ADDRESS(130,3+18*2+(8))),'J1 B - Butcher Terrace'!$A$12:$A$130,"&gt;="&amp;Diagram!$O75,'J1 B - Butcher Terrace'!$A$12:$A$130,"&lt;"&amp;Diagram!$P75)))</f>
        <v>11</v>
      </c>
      <c r="X75" s="42">
        <f ca="1">IF(OR($I$10="",$O75="",$P75="",$J$35&lt;&gt;"Yes"),0,IF($K$10=0,SUMIFS(INDIRECT(ADDRESS(12,3+18*3+(0),,,"J1 B - Butcher Terrace")&amp;":"&amp;ADDRESS(130,3+18*3+(0))),'J1 B - Butcher Terrace'!$A$12:$A$130,"&gt;="&amp;Diagram!$O75,'J1 B - Butcher Terrace'!$A$12:$A$130,"&lt;"&amp;Diagram!$P75),SUMIFS(INDIRECT(ADDRESS(12,3+18*3+(8),,,"J1 B - Butcher Terrace")&amp;":"&amp;ADDRESS(130,3+18*3+(8))),'J1 B - Butcher Terrace'!$A$12:$A$130,"&gt;="&amp;Diagram!$O75,'J1 B - Butcher Terrace'!$A$12:$A$130,"&lt;"&amp;Diagram!$P75)))</f>
        <v>0</v>
      </c>
      <c r="Y75" s="42">
        <f ca="1">IF(OR($I$10="",$O75="",$P75="",$J$35&lt;&gt;"Yes"),0,IF($K$10=0,SUMIFS(INDIRECT(ADDRESS(12,3+18*0+(0),,,"J1 B - Butcher Terrace")&amp;":"&amp;ADDRESS(130,3+18*0+(0))),'J1 B - Butcher Terrace'!$A$12:$A$130,"&gt;="&amp;Diagram!$O75,'J1 B - Butcher Terrace'!$A$12:$A$130,"&lt;"&amp;Diagram!$P75),SUMIFS(INDIRECT(ADDRESS(12,3+18*0+(8),,,"J1 B - Butcher Terrace")&amp;":"&amp;ADDRESS(130,3+18*0+(8))),'J1 B - Butcher Terrace'!$A$12:$A$130,"&gt;="&amp;Diagram!$O75,'J1 B - Butcher Terrace'!$A$12:$A$130,"&lt;"&amp;Diagram!$P75)))</f>
        <v>8</v>
      </c>
      <c r="Z75" s="42">
        <f ca="1">IF(OR($I$10="",$O75="",$P75="",$J$35&lt;&gt;"Yes"),0,IF($K$10=0,SUMIFS(INDIRECT(ADDRESS(12,3+18*1+(0),,,"J1 B - Butcher Terrace")&amp;":"&amp;ADDRESS(130,3+18*1+(0))),'J1 B - Butcher Terrace'!$A$12:$A$130,"&gt;="&amp;Diagram!$O75,'J1 B - Butcher Terrace'!$A$12:$A$130,"&lt;"&amp;Diagram!$P75),SUMIFS(INDIRECT(ADDRESS(12,3+18*1+(8),,,"J1 B - Butcher Terrace")&amp;":"&amp;ADDRESS(130,3+18*1+(8))),'J1 B - Butcher Terrace'!$A$12:$A$130,"&gt;="&amp;Diagram!$O75,'J1 B - Butcher Terrace'!$A$12:$A$130,"&lt;"&amp;Diagram!$P75)))</f>
        <v>0</v>
      </c>
      <c r="AA75" s="42">
        <f ca="1">IF(OR($I$10="",$O75="",$P75="",$J$35&lt;&gt;"Yes"),0,IF($K$10=0,SUMIFS(INDIRECT(ADDRESS(12,3+18*1+(0),,,"J1 C - (South) Bishopthorpe Roa")&amp;":"&amp;ADDRESS(130,3+18*1+(0))),'J1 C - (South) Bishopthorpe Roa'!$A$12:$A$130,"&gt;="&amp;Diagram!$O75,'J1 C - (South) Bishopthorpe Roa'!$A$12:$A$130,"&lt;"&amp;Diagram!$P75),SUMIFS(INDIRECT(ADDRESS(12,3+18*1+(8),,,"J1 C - (South) Bishopthorpe Roa")&amp;":"&amp;ADDRESS(130,3+18*1+(8))),'J1 C - (South) Bishopthorpe Roa'!$A$12:$A$130,"&gt;="&amp;Diagram!$O75,'J1 C - (South) Bishopthorpe Roa'!$A$12:$A$130,"&lt;"&amp;Diagram!$P75)))</f>
        <v>173</v>
      </c>
      <c r="AB75" s="42">
        <f ca="1">IF(OR($I$10="",$O75="",$P75="",$J$35&lt;&gt;"Yes"),0,IF($K$10=0,SUMIFS(INDIRECT(ADDRESS(12,3+18*2+(0),,,"J1 C - (South) Bishopthorpe Roa")&amp;":"&amp;ADDRESS(130,3+18*2+(0))),'J1 C - (South) Bishopthorpe Roa'!$A$12:$A$130,"&gt;="&amp;Diagram!$O75,'J1 C - (South) Bishopthorpe Roa'!$A$12:$A$130,"&lt;"&amp;Diagram!$P75),SUMIFS(INDIRECT(ADDRESS(12,3+18*2+(8),,,"J1 C - (South) Bishopthorpe Roa")&amp;":"&amp;ADDRESS(130,3+18*2+(8))),'J1 C - (South) Bishopthorpe Roa'!$A$12:$A$130,"&gt;="&amp;Diagram!$O75,'J1 C - (South) Bishopthorpe Roa'!$A$12:$A$130,"&lt;"&amp;Diagram!$P75)))</f>
        <v>13</v>
      </c>
      <c r="AC75" s="42">
        <f ca="1">IF(OR($I$10="",$O75="",$P75="",$J$35&lt;&gt;"Yes"),0,IF($K$10=0,SUMIFS(INDIRECT(ADDRESS(12,3+18*3+(0),,,"J1 C - (South) Bishopthorpe Roa")&amp;":"&amp;ADDRESS(130,3+18*3+(0))),'J1 C - (South) Bishopthorpe Roa'!$A$12:$A$130,"&gt;="&amp;Diagram!$O75,'J1 C - (South) Bishopthorpe Roa'!$A$12:$A$130,"&lt;"&amp;Diagram!$P75),SUMIFS(INDIRECT(ADDRESS(12,3+18*3+(8),,,"J1 C - (South) Bishopthorpe Roa")&amp;":"&amp;ADDRESS(130,3+18*3+(8))),'J1 C - (South) Bishopthorpe Roa'!$A$12:$A$130,"&gt;="&amp;Diagram!$O75,'J1 C - (South) Bishopthorpe Roa'!$A$12:$A$130,"&lt;"&amp;Diagram!$P75)))</f>
        <v>0</v>
      </c>
      <c r="AD75" s="42">
        <f ca="1">IF(OR($I$10="",$O75="",$P75="",$J$35&lt;&gt;"Yes"),0,IF($K$10=0,SUMIFS(INDIRECT(ADDRESS(12,3+18*0+(0),,,"J1 C - (South) Bishopthorpe Roa")&amp;":"&amp;ADDRESS(130,3+18*0+(0))),'J1 C - (South) Bishopthorpe Roa'!$A$12:$A$130,"&gt;="&amp;Diagram!$O75,'J1 C - (South) Bishopthorpe Roa'!$A$12:$A$130,"&lt;"&amp;Diagram!$P75),SUMIFS(INDIRECT(ADDRESS(12,3+18*0+(8),,,"J1 C - (South) Bishopthorpe Roa")&amp;":"&amp;ADDRESS(130,3+18*0+(8))),'J1 C - (South) Bishopthorpe Roa'!$A$12:$A$130,"&gt;="&amp;Diagram!$O75,'J1 C - (South) Bishopthorpe Roa'!$A$12:$A$130,"&lt;"&amp;Diagram!$P75)))</f>
        <v>6</v>
      </c>
      <c r="AE75" s="42">
        <f ca="1">IF(OR($I$10="",$O75="",$P75="",$J$35&lt;&gt;"Yes"),0,IF($K$10=0,SUMIFS(INDIRECT(ADDRESS(12,3+18*0+(0),,,"J1 D - South Bank Avenue")&amp;":"&amp;ADDRESS(130,3+18*0+(0))),'J1 D - South Bank Avenue'!$A$12:$A$130,"&gt;="&amp;Diagram!$O75,'J1 D - South Bank Avenue'!$A$12:$A$130,"&lt;"&amp;Diagram!$P75),SUMIFS(INDIRECT(ADDRESS(12,3+18*0+(8),,,"J1 D - South Bank Avenue")&amp;":"&amp;ADDRESS(130,3+18*0+(8))),'J1 D - South Bank Avenue'!$A$12:$A$130,"&gt;="&amp;Diagram!$O75,'J1 D - South Bank Avenue'!$A$12:$A$130,"&lt;"&amp;Diagram!$P75)))</f>
        <v>17</v>
      </c>
      <c r="AF75" s="42">
        <f ca="1">IF(OR($I$10="",$O75="",$P75="",$J$35&lt;&gt;"Yes"),0,IF($K$10=0,SUMIFS(INDIRECT(ADDRESS(12,3+18*1+(0),,,"J1 D - South Bank Avenue")&amp;":"&amp;ADDRESS(130,3+18*1+(0))),'J1 D - South Bank Avenue'!$A$12:$A$130,"&gt;="&amp;Diagram!$O75,'J1 D - South Bank Avenue'!$A$12:$A$130,"&lt;"&amp;Diagram!$P75),SUMIFS(INDIRECT(ADDRESS(12,3+18*1+(8),,,"J1 D - South Bank Avenue")&amp;":"&amp;ADDRESS(130,3+18*1+(8))),'J1 D - South Bank Avenue'!$A$12:$A$130,"&gt;="&amp;Diagram!$O75,'J1 D - South Bank Avenue'!$A$12:$A$130,"&lt;"&amp;Diagram!$P75)))</f>
        <v>1</v>
      </c>
      <c r="AG75" s="42">
        <f ca="1">IF(OR($I$10="",$O75="",$P75="",$J$35&lt;&gt;"Yes"),0,IF($K$10=0,SUMIFS(INDIRECT(ADDRESS(12,3+18*2+(0),,,"J1 D - South Bank Avenue")&amp;":"&amp;ADDRESS(130,3+18*2+(0))),'J1 D - South Bank Avenue'!$A$12:$A$130,"&gt;="&amp;Diagram!$O75,'J1 D - South Bank Avenue'!$A$12:$A$130,"&lt;"&amp;Diagram!$P75),SUMIFS(INDIRECT(ADDRESS(12,3+18*2+(8),,,"J1 D - South Bank Avenue")&amp;":"&amp;ADDRESS(130,3+18*2+(8))),'J1 D - South Bank Avenue'!$A$12:$A$130,"&gt;="&amp;Diagram!$O75,'J1 D - South Bank Avenue'!$A$12:$A$130,"&lt;"&amp;Diagram!$P75)))</f>
        <v>5</v>
      </c>
      <c r="AH75" s="42">
        <f ca="1">IF(OR($I$10="",$O75="",$P75="",$J$35&lt;&gt;"Yes"),0,IF($K$10=0,SUMIFS(INDIRECT(ADDRESS(12,3+18*3+(0),,,"J1 D - South Bank Avenue")&amp;":"&amp;ADDRESS(130,3+18*3+(0))),'J1 D - South Bank Avenue'!$A$12:$A$130,"&gt;="&amp;Diagram!$O75,'J1 D - South Bank Avenue'!$A$12:$A$130,"&lt;"&amp;Diagram!$P75),SUMIFS(INDIRECT(ADDRESS(12,3+18*3+(8),,,"J1 D - South Bank Avenue")&amp;":"&amp;ADDRESS(130,3+18*3+(8))),'J1 D - South Bank Avenue'!$A$12:$A$130,"&gt;="&amp;Diagram!$O75,'J1 D - South Bank Avenue'!$A$12:$A$130,"&lt;"&amp;Diagram!$P75)))</f>
        <v>0</v>
      </c>
      <c r="AI75" s="42">
        <f t="shared" ca="1" si="12"/>
        <v>17</v>
      </c>
      <c r="AJ75" s="42">
        <f ca="1">IF(OR($I$10="",$O75="",$P75="",$J$36&lt;&gt;"Yes"),0,IF($K$10=0,SUMIFS(INDIRECT(ADDRESS(12,3+18*3+(1),,,"J1 A - (North) Bishopthorpe Roa")&amp;":"&amp;ADDRESS(130,3+18*3+(1))),'J1 A - (North) Bishopthorpe Roa'!$A$12:$A$130,"&gt;="&amp;Diagram!$O75,'J1 A - (North) Bishopthorpe Roa'!$A$12:$A$130,"&lt;"&amp;Diagram!$P75),SUMIFS(INDIRECT(ADDRESS(12,3+18*3+(9),,,"J1 A - (North) Bishopthorpe Roa")&amp;":"&amp;ADDRESS(130,3+18*3+(9))),'J1 A - (North) Bishopthorpe Roa'!$A$12:$A$130,"&gt;="&amp;Diagram!$O75,'J1 A - (North) Bishopthorpe Roa'!$A$12:$A$130,"&lt;"&amp;Diagram!$P75)))</f>
        <v>0</v>
      </c>
      <c r="AK75" s="42">
        <f ca="1">IF(OR($I$10="",$O75="",$P75="",$J$36&lt;&gt;"Yes"),0,IF($K$10=0,SUMIFS(INDIRECT(ADDRESS(12,3+18*0+(1),,,"J1 A - (North) Bishopthorpe Roa")&amp;":"&amp;ADDRESS(130,3+18*0+(1))),'J1 A - (North) Bishopthorpe Roa'!$A$12:$A$130,"&gt;="&amp;Diagram!$O75,'J1 A - (North) Bishopthorpe Roa'!$A$12:$A$130,"&lt;"&amp;Diagram!$P75),SUMIFS(INDIRECT(ADDRESS(12,3+18*0+(9),,,"J1 A - (North) Bishopthorpe Roa")&amp;":"&amp;ADDRESS(130,3+18*0+(9))),'J1 A - (North) Bishopthorpe Roa'!$A$12:$A$130,"&gt;="&amp;Diagram!$O75,'J1 A - (North) Bishopthorpe Roa'!$A$12:$A$130,"&lt;"&amp;Diagram!$P75)))</f>
        <v>1</v>
      </c>
      <c r="AL75" s="42">
        <f ca="1">IF(OR($I$10="",$O75="",$P75="",$J$36&lt;&gt;"Yes"),0,IF($K$10=0,SUMIFS(INDIRECT(ADDRESS(12,3+18*1+(1),,,"J1 A - (North) Bishopthorpe Roa")&amp;":"&amp;ADDRESS(130,3+18*1+(1))),'J1 A - (North) Bishopthorpe Roa'!$A$12:$A$130,"&gt;="&amp;Diagram!$O75,'J1 A - (North) Bishopthorpe Roa'!$A$12:$A$130,"&lt;"&amp;Diagram!$P75),SUMIFS(INDIRECT(ADDRESS(12,3+18*1+(9),,,"J1 A - (North) Bishopthorpe Roa")&amp;":"&amp;ADDRESS(130,3+18*1+(9))),'J1 A - (North) Bishopthorpe Roa'!$A$12:$A$130,"&gt;="&amp;Diagram!$O75,'J1 A - (North) Bishopthorpe Roa'!$A$12:$A$130,"&lt;"&amp;Diagram!$P75)))</f>
        <v>8</v>
      </c>
      <c r="AM75" s="42">
        <f ca="1">IF(OR($I$10="",$O75="",$P75="",$J$36&lt;&gt;"Yes"),0,IF($K$10=0,SUMIFS(INDIRECT(ADDRESS(12,3+18*2+(1),,,"J1 A - (North) Bishopthorpe Roa")&amp;":"&amp;ADDRESS(130,3+18*2+(1))),'J1 A - (North) Bishopthorpe Roa'!$A$12:$A$130,"&gt;="&amp;Diagram!$O75,'J1 A - (North) Bishopthorpe Roa'!$A$12:$A$130,"&lt;"&amp;Diagram!$P75),SUMIFS(INDIRECT(ADDRESS(12,3+18*2+(9),,,"J1 A - (North) Bishopthorpe Roa")&amp;":"&amp;ADDRESS(130,3+18*2+(9))),'J1 A - (North) Bishopthorpe Roa'!$A$12:$A$130,"&gt;="&amp;Diagram!$O75,'J1 A - (North) Bishopthorpe Roa'!$A$12:$A$130,"&lt;"&amp;Diagram!$P75)))</f>
        <v>1</v>
      </c>
      <c r="AN75" s="42">
        <f ca="1">IF(OR($I$10="",$O75="",$P75="",$J$36&lt;&gt;"Yes"),0,IF($K$10=0,SUMIFS(INDIRECT(ADDRESS(12,3+18*2+(1),,,"J1 B - Butcher Terrace")&amp;":"&amp;ADDRESS(130,3+18*2+(1))),'J1 B - Butcher Terrace'!$A$12:$A$130,"&gt;="&amp;Diagram!$O75,'J1 B - Butcher Terrace'!$A$12:$A$130,"&lt;"&amp;Diagram!$P75),SUMIFS(INDIRECT(ADDRESS(12,3+18*2+(9),,,"J1 B - Butcher Terrace")&amp;":"&amp;ADDRESS(130,3+18*2+(9))),'J1 B - Butcher Terrace'!$A$12:$A$130,"&gt;="&amp;Diagram!$O75,'J1 B - Butcher Terrace'!$A$12:$A$130,"&lt;"&amp;Diagram!$P75)))</f>
        <v>0</v>
      </c>
      <c r="AO75" s="42">
        <f ca="1">IF(OR($I$10="",$O75="",$P75="",$J$36&lt;&gt;"Yes"),0,IF($K$10=0,SUMIFS(INDIRECT(ADDRESS(12,3+18*3+(1),,,"J1 B - Butcher Terrace")&amp;":"&amp;ADDRESS(130,3+18*3+(1))),'J1 B - Butcher Terrace'!$A$12:$A$130,"&gt;="&amp;Diagram!$O75,'J1 B - Butcher Terrace'!$A$12:$A$130,"&lt;"&amp;Diagram!$P75),SUMIFS(INDIRECT(ADDRESS(12,3+18*3+(9),,,"J1 B - Butcher Terrace")&amp;":"&amp;ADDRESS(130,3+18*3+(9))),'J1 B - Butcher Terrace'!$A$12:$A$130,"&gt;="&amp;Diagram!$O75,'J1 B - Butcher Terrace'!$A$12:$A$130,"&lt;"&amp;Diagram!$P75)))</f>
        <v>0</v>
      </c>
      <c r="AP75" s="42">
        <f ca="1">IF(OR($I$10="",$O75="",$P75="",$J$36&lt;&gt;"Yes"),0,IF($K$10=0,SUMIFS(INDIRECT(ADDRESS(12,3+18*0+(1),,,"J1 B - Butcher Terrace")&amp;":"&amp;ADDRESS(130,3+18*0+(1))),'J1 B - Butcher Terrace'!$A$12:$A$130,"&gt;="&amp;Diagram!$O75,'J1 B - Butcher Terrace'!$A$12:$A$130,"&lt;"&amp;Diagram!$P75),SUMIFS(INDIRECT(ADDRESS(12,3+18*0+(9),,,"J1 B - Butcher Terrace")&amp;":"&amp;ADDRESS(130,3+18*0+(9))),'J1 B - Butcher Terrace'!$A$12:$A$130,"&gt;="&amp;Diagram!$O75,'J1 B - Butcher Terrace'!$A$12:$A$130,"&lt;"&amp;Diagram!$P75)))</f>
        <v>0</v>
      </c>
      <c r="AQ75" s="42">
        <f ca="1">IF(OR($I$10="",$O75="",$P75="",$J$36&lt;&gt;"Yes"),0,IF($K$10=0,SUMIFS(INDIRECT(ADDRESS(12,3+18*1+(1),,,"J1 B - Butcher Terrace")&amp;":"&amp;ADDRESS(130,3+18*1+(1))),'J1 B - Butcher Terrace'!$A$12:$A$130,"&gt;="&amp;Diagram!$O75,'J1 B - Butcher Terrace'!$A$12:$A$130,"&lt;"&amp;Diagram!$P75),SUMIFS(INDIRECT(ADDRESS(12,3+18*1+(9),,,"J1 B - Butcher Terrace")&amp;":"&amp;ADDRESS(130,3+18*1+(9))),'J1 B - Butcher Terrace'!$A$12:$A$130,"&gt;="&amp;Diagram!$O75,'J1 B - Butcher Terrace'!$A$12:$A$130,"&lt;"&amp;Diagram!$P75)))</f>
        <v>0</v>
      </c>
      <c r="AR75" s="42">
        <f ca="1">IF(OR($I$10="",$O75="",$P75="",$J$36&lt;&gt;"Yes"),0,IF($K$10=0,SUMIFS(INDIRECT(ADDRESS(12,3+18*1+(1),,,"J1 C - (South) Bishopthorpe Roa")&amp;":"&amp;ADDRESS(130,3+18*1+(1))),'J1 C - (South) Bishopthorpe Roa'!$A$12:$A$130,"&gt;="&amp;Diagram!$O75,'J1 C - (South) Bishopthorpe Roa'!$A$12:$A$130,"&lt;"&amp;Diagram!$P75),SUMIFS(INDIRECT(ADDRESS(12,3+18*1+(9),,,"J1 C - (South) Bishopthorpe Roa")&amp;":"&amp;ADDRESS(130,3+18*1+(9))),'J1 C - (South) Bishopthorpe Roa'!$A$12:$A$130,"&gt;="&amp;Diagram!$O75,'J1 C - (South) Bishopthorpe Roa'!$A$12:$A$130,"&lt;"&amp;Diagram!$P75)))</f>
        <v>5</v>
      </c>
      <c r="AS75" s="42">
        <f ca="1">IF(OR($I$10="",$O75="",$P75="",$J$36&lt;&gt;"Yes"),0,IF($K$10=0,SUMIFS(INDIRECT(ADDRESS(12,3+18*2+(1),,,"J1 C - (South) Bishopthorpe Roa")&amp;":"&amp;ADDRESS(130,3+18*2+(1))),'J1 C - (South) Bishopthorpe Roa'!$A$12:$A$130,"&gt;="&amp;Diagram!$O75,'J1 C - (South) Bishopthorpe Roa'!$A$12:$A$130,"&lt;"&amp;Diagram!$P75),SUMIFS(INDIRECT(ADDRESS(12,3+18*2+(9),,,"J1 C - (South) Bishopthorpe Roa")&amp;":"&amp;ADDRESS(130,3+18*2+(9))),'J1 C - (South) Bishopthorpe Roa'!$A$12:$A$130,"&gt;="&amp;Diagram!$O75,'J1 C - (South) Bishopthorpe Roa'!$A$12:$A$130,"&lt;"&amp;Diagram!$P75)))</f>
        <v>0</v>
      </c>
      <c r="AT75" s="42">
        <f ca="1">IF(OR($I$10="",$O75="",$P75="",$J$36&lt;&gt;"Yes"),0,IF($K$10=0,SUMIFS(INDIRECT(ADDRESS(12,3+18*3+(1),,,"J1 C - (South) Bishopthorpe Roa")&amp;":"&amp;ADDRESS(130,3+18*3+(1))),'J1 C - (South) Bishopthorpe Roa'!$A$12:$A$130,"&gt;="&amp;Diagram!$O75,'J1 C - (South) Bishopthorpe Roa'!$A$12:$A$130,"&lt;"&amp;Diagram!$P75),SUMIFS(INDIRECT(ADDRESS(12,3+18*3+(9),,,"J1 C - (South) Bishopthorpe Roa")&amp;":"&amp;ADDRESS(130,3+18*3+(9))),'J1 C - (South) Bishopthorpe Roa'!$A$12:$A$130,"&gt;="&amp;Diagram!$O75,'J1 C - (South) Bishopthorpe Roa'!$A$12:$A$130,"&lt;"&amp;Diagram!$P75)))</f>
        <v>0</v>
      </c>
      <c r="AU75" s="42">
        <f ca="1">IF(OR($I$10="",$O75="",$P75="",$J$36&lt;&gt;"Yes"),0,IF($K$10=0,SUMIFS(INDIRECT(ADDRESS(12,3+18*0+(1),,,"J1 C - (South) Bishopthorpe Roa")&amp;":"&amp;ADDRESS(130,3+18*0+(1))),'J1 C - (South) Bishopthorpe Roa'!$A$12:$A$130,"&gt;="&amp;Diagram!$O75,'J1 C - (South) Bishopthorpe Roa'!$A$12:$A$130,"&lt;"&amp;Diagram!$P75),SUMIFS(INDIRECT(ADDRESS(12,3+18*0+(9),,,"J1 C - (South) Bishopthorpe Roa")&amp;":"&amp;ADDRESS(130,3+18*0+(9))),'J1 C - (South) Bishopthorpe Roa'!$A$12:$A$130,"&gt;="&amp;Diagram!$O75,'J1 C - (South) Bishopthorpe Roa'!$A$12:$A$130,"&lt;"&amp;Diagram!$P75)))</f>
        <v>0</v>
      </c>
      <c r="AV75" s="42">
        <f ca="1">IF(OR($I$10="",$O75="",$P75="",$J$36&lt;&gt;"Yes"),0,IF($K$10=0,SUMIFS(INDIRECT(ADDRESS(12,3+18*0+(1),,,"J1 D - South Bank Avenue")&amp;":"&amp;ADDRESS(130,3+18*0+(1))),'J1 D - South Bank Avenue'!$A$12:$A$130,"&gt;="&amp;Diagram!$O75,'J1 D - South Bank Avenue'!$A$12:$A$130,"&lt;"&amp;Diagram!$P75),SUMIFS(INDIRECT(ADDRESS(12,3+18*0+(9),,,"J1 D - South Bank Avenue")&amp;":"&amp;ADDRESS(130,3+18*0+(9))),'J1 D - South Bank Avenue'!$A$12:$A$130,"&gt;="&amp;Diagram!$O75,'J1 D - South Bank Avenue'!$A$12:$A$130,"&lt;"&amp;Diagram!$P75)))</f>
        <v>2</v>
      </c>
      <c r="AW75" s="42">
        <f ca="1">IF(OR($I$10="",$O75="",$P75="",$J$36&lt;&gt;"Yes"),0,IF($K$10=0,SUMIFS(INDIRECT(ADDRESS(12,3+18*1+(1),,,"J1 D - South Bank Avenue")&amp;":"&amp;ADDRESS(130,3+18*1+(1))),'J1 D - South Bank Avenue'!$A$12:$A$130,"&gt;="&amp;Diagram!$O75,'J1 D - South Bank Avenue'!$A$12:$A$130,"&lt;"&amp;Diagram!$P75),SUMIFS(INDIRECT(ADDRESS(12,3+18*1+(9),,,"J1 D - South Bank Avenue")&amp;":"&amp;ADDRESS(130,3+18*1+(9))),'J1 D - South Bank Avenue'!$A$12:$A$130,"&gt;="&amp;Diagram!$O75,'J1 D - South Bank Avenue'!$A$12:$A$130,"&lt;"&amp;Diagram!$P75)))</f>
        <v>0</v>
      </c>
      <c r="AX75" s="42">
        <f ca="1">IF(OR($I$10="",$O75="",$P75="",$J$36&lt;&gt;"Yes"),0,IF($K$10=0,SUMIFS(INDIRECT(ADDRESS(12,3+18*2+(1),,,"J1 D - South Bank Avenue")&amp;":"&amp;ADDRESS(130,3+18*2+(1))),'J1 D - South Bank Avenue'!$A$12:$A$130,"&gt;="&amp;Diagram!$O75,'J1 D - South Bank Avenue'!$A$12:$A$130,"&lt;"&amp;Diagram!$P75),SUMIFS(INDIRECT(ADDRESS(12,3+18*2+(9),,,"J1 D - South Bank Avenue")&amp;":"&amp;ADDRESS(130,3+18*2+(9))),'J1 D - South Bank Avenue'!$A$12:$A$130,"&gt;="&amp;Diagram!$O75,'J1 D - South Bank Avenue'!$A$12:$A$130,"&lt;"&amp;Diagram!$P75)))</f>
        <v>0</v>
      </c>
      <c r="AY75" s="42">
        <f ca="1">IF(OR($I$10="",$O75="",$P75="",$J$36&lt;&gt;"Yes"),0,IF($K$10=0,SUMIFS(INDIRECT(ADDRESS(12,3+18*3+(1),,,"J1 D - South Bank Avenue")&amp;":"&amp;ADDRESS(130,3+18*3+(1))),'J1 D - South Bank Avenue'!$A$12:$A$130,"&gt;="&amp;Diagram!$O75,'J1 D - South Bank Avenue'!$A$12:$A$130,"&lt;"&amp;Diagram!$P75),SUMIFS(INDIRECT(ADDRESS(12,3+18*3+(9),,,"J1 D - South Bank Avenue")&amp;":"&amp;ADDRESS(130,3+18*3+(9))),'J1 D - South Bank Avenue'!$A$12:$A$130,"&gt;="&amp;Diagram!$O75,'J1 D - South Bank Avenue'!$A$12:$A$130,"&lt;"&amp;Diagram!$P75)))</f>
        <v>0</v>
      </c>
      <c r="AZ75" s="42">
        <f t="shared" ca="1" si="13"/>
        <v>1</v>
      </c>
      <c r="BA75" s="42">
        <f ca="1">IF(OR($I$10="",$O75="",$P75="",$J$37&lt;&gt;"Yes"),0,IF($K$10=0,SUMIFS(INDIRECT(ADDRESS(12,3+18*3+(2),,,"J1 A - (North) Bishopthorpe Roa")&amp;":"&amp;ADDRESS(130,3+18*3+(2))),'J1 A - (North) Bishopthorpe Roa'!$A$12:$A$130,"&gt;="&amp;Diagram!$O75,'J1 A - (North) Bishopthorpe Roa'!$A$12:$A$130,"&lt;"&amp;Diagram!$P75),SUMIFS(INDIRECT(ADDRESS(12,3+18*3+(10),,,"J1 A - (North) Bishopthorpe Roa")&amp;":"&amp;ADDRESS(130,3+18*3+(10))),'J1 A - (North) Bishopthorpe Roa'!$A$12:$A$130,"&gt;="&amp;Diagram!$O75,'J1 A - (North) Bishopthorpe Roa'!$A$12:$A$130,"&lt;"&amp;Diagram!$P75)))</f>
        <v>0</v>
      </c>
      <c r="BB75" s="42">
        <f ca="1">IF(OR($I$10="",$O75="",$P75="",$J$37&lt;&gt;"Yes"),0,IF($K$10=0,SUMIFS(INDIRECT(ADDRESS(12,3+18*0+(2),,,"J1 A - (North) Bishopthorpe Roa")&amp;":"&amp;ADDRESS(130,3+18*0+(2))),'J1 A - (North) Bishopthorpe Roa'!$A$12:$A$130,"&gt;="&amp;Diagram!$O75,'J1 A - (North) Bishopthorpe Roa'!$A$12:$A$130,"&lt;"&amp;Diagram!$P75),SUMIFS(INDIRECT(ADDRESS(12,3+18*0+(10),,,"J1 A - (North) Bishopthorpe Roa")&amp;":"&amp;ADDRESS(130,3+18*0+(10))),'J1 A - (North) Bishopthorpe Roa'!$A$12:$A$130,"&gt;="&amp;Diagram!$O75,'J1 A - (North) Bishopthorpe Roa'!$A$12:$A$130,"&lt;"&amp;Diagram!$P75)))</f>
        <v>0</v>
      </c>
      <c r="BC75" s="42">
        <f ca="1">IF(OR($I$10="",$O75="",$P75="",$J$37&lt;&gt;"Yes"),0,IF($K$10=0,SUMIFS(INDIRECT(ADDRESS(12,3+18*1+(2),,,"J1 A - (North) Bishopthorpe Roa")&amp;":"&amp;ADDRESS(130,3+18*1+(2))),'J1 A - (North) Bishopthorpe Roa'!$A$12:$A$130,"&gt;="&amp;Diagram!$O75,'J1 A - (North) Bishopthorpe Roa'!$A$12:$A$130,"&lt;"&amp;Diagram!$P75),SUMIFS(INDIRECT(ADDRESS(12,3+18*1+(10),,,"J1 A - (North) Bishopthorpe Roa")&amp;":"&amp;ADDRESS(130,3+18*1+(10))),'J1 A - (North) Bishopthorpe Roa'!$A$12:$A$130,"&gt;="&amp;Diagram!$O75,'J1 A - (North) Bishopthorpe Roa'!$A$12:$A$130,"&lt;"&amp;Diagram!$P75)))</f>
        <v>1</v>
      </c>
      <c r="BD75" s="42">
        <f ca="1">IF(OR($I$10="",$O75="",$P75="",$J$37&lt;&gt;"Yes"),0,IF($K$10=0,SUMIFS(INDIRECT(ADDRESS(12,3+18*2+(2),,,"J1 A - (North) Bishopthorpe Roa")&amp;":"&amp;ADDRESS(130,3+18*2+(2))),'J1 A - (North) Bishopthorpe Roa'!$A$12:$A$130,"&gt;="&amp;Diagram!$O75,'J1 A - (North) Bishopthorpe Roa'!$A$12:$A$130,"&lt;"&amp;Diagram!$P75),SUMIFS(INDIRECT(ADDRESS(12,3+18*2+(10),,,"J1 A - (North) Bishopthorpe Roa")&amp;":"&amp;ADDRESS(130,3+18*2+(10))),'J1 A - (North) Bishopthorpe Roa'!$A$12:$A$130,"&gt;="&amp;Diagram!$O75,'J1 A - (North) Bishopthorpe Roa'!$A$12:$A$130,"&lt;"&amp;Diagram!$P75)))</f>
        <v>0</v>
      </c>
      <c r="BE75" s="42">
        <f ca="1">IF(OR($I$10="",$O75="",$P75="",$J$37&lt;&gt;"Yes"),0,IF($K$10=0,SUMIFS(INDIRECT(ADDRESS(12,3+18*2+(2),,,"J1 B - Butcher Terrace")&amp;":"&amp;ADDRESS(130,3+18*2+(2))),'J1 B - Butcher Terrace'!$A$12:$A$130,"&gt;="&amp;Diagram!$O75,'J1 B - Butcher Terrace'!$A$12:$A$130,"&lt;"&amp;Diagram!$P75),SUMIFS(INDIRECT(ADDRESS(12,3+18*2+(10),,,"J1 B - Butcher Terrace")&amp;":"&amp;ADDRESS(130,3+18*2+(10))),'J1 B - Butcher Terrace'!$A$12:$A$130,"&gt;="&amp;Diagram!$O75,'J1 B - Butcher Terrace'!$A$12:$A$130,"&lt;"&amp;Diagram!$P75)))</f>
        <v>0</v>
      </c>
      <c r="BF75" s="42">
        <f ca="1">IF(OR($I$10="",$O75="",$P75="",$J$37&lt;&gt;"Yes"),0,IF($K$10=0,SUMIFS(INDIRECT(ADDRESS(12,3+18*3+(2),,,"J1 B - Butcher Terrace")&amp;":"&amp;ADDRESS(130,3+18*3+(2))),'J1 B - Butcher Terrace'!$A$12:$A$130,"&gt;="&amp;Diagram!$O75,'J1 B - Butcher Terrace'!$A$12:$A$130,"&lt;"&amp;Diagram!$P75),SUMIFS(INDIRECT(ADDRESS(12,3+18*3+(10),,,"J1 B - Butcher Terrace")&amp;":"&amp;ADDRESS(130,3+18*3+(10))),'J1 B - Butcher Terrace'!$A$12:$A$130,"&gt;="&amp;Diagram!$O75,'J1 B - Butcher Terrace'!$A$12:$A$130,"&lt;"&amp;Diagram!$P75)))</f>
        <v>0</v>
      </c>
      <c r="BG75" s="42">
        <f ca="1">IF(OR($I$10="",$O75="",$P75="",$J$37&lt;&gt;"Yes"),0,IF($K$10=0,SUMIFS(INDIRECT(ADDRESS(12,3+18*0+(2),,,"J1 B - Butcher Terrace")&amp;":"&amp;ADDRESS(130,3+18*0+(2))),'J1 B - Butcher Terrace'!$A$12:$A$130,"&gt;="&amp;Diagram!$O75,'J1 B - Butcher Terrace'!$A$12:$A$130,"&lt;"&amp;Diagram!$P75),SUMIFS(INDIRECT(ADDRESS(12,3+18*0+(10),,,"J1 B - Butcher Terrace")&amp;":"&amp;ADDRESS(130,3+18*0+(10))),'J1 B - Butcher Terrace'!$A$12:$A$130,"&gt;="&amp;Diagram!$O75,'J1 B - Butcher Terrace'!$A$12:$A$130,"&lt;"&amp;Diagram!$P75)))</f>
        <v>0</v>
      </c>
      <c r="BH75" s="42">
        <f ca="1">IF(OR($I$10="",$O75="",$P75="",$J$37&lt;&gt;"Yes"),0,IF($K$10=0,SUMIFS(INDIRECT(ADDRESS(12,3+18*1+(2),,,"J1 B - Butcher Terrace")&amp;":"&amp;ADDRESS(130,3+18*1+(2))),'J1 B - Butcher Terrace'!$A$12:$A$130,"&gt;="&amp;Diagram!$O75,'J1 B - Butcher Terrace'!$A$12:$A$130,"&lt;"&amp;Diagram!$P75),SUMIFS(INDIRECT(ADDRESS(12,3+18*1+(10),,,"J1 B - Butcher Terrace")&amp;":"&amp;ADDRESS(130,3+18*1+(10))),'J1 B - Butcher Terrace'!$A$12:$A$130,"&gt;="&amp;Diagram!$O75,'J1 B - Butcher Terrace'!$A$12:$A$130,"&lt;"&amp;Diagram!$P75)))</f>
        <v>0</v>
      </c>
      <c r="BI75" s="42">
        <f ca="1">IF(OR($I$10="",$O75="",$P75="",$J$37&lt;&gt;"Yes"),0,IF($K$10=0,SUMIFS(INDIRECT(ADDRESS(12,3+18*1+(2),,,"J1 C - (South) Bishopthorpe Roa")&amp;":"&amp;ADDRESS(130,3+18*1+(2))),'J1 C - (South) Bishopthorpe Roa'!$A$12:$A$130,"&gt;="&amp;Diagram!$O75,'J1 C - (South) Bishopthorpe Roa'!$A$12:$A$130,"&lt;"&amp;Diagram!$P75),SUMIFS(INDIRECT(ADDRESS(12,3+18*1+(10),,,"J1 C - (South) Bishopthorpe Roa")&amp;":"&amp;ADDRESS(130,3+18*1+(10))),'J1 C - (South) Bishopthorpe Roa'!$A$12:$A$130,"&gt;="&amp;Diagram!$O75,'J1 C - (South) Bishopthorpe Roa'!$A$12:$A$130,"&lt;"&amp;Diagram!$P75)))</f>
        <v>0</v>
      </c>
      <c r="BJ75" s="42">
        <f ca="1">IF(OR($I$10="",$O75="",$P75="",$J$37&lt;&gt;"Yes"),0,IF($K$10=0,SUMIFS(INDIRECT(ADDRESS(12,3+18*2+(2),,,"J1 C - (South) Bishopthorpe Roa")&amp;":"&amp;ADDRESS(130,3+18*2+(2))),'J1 C - (South) Bishopthorpe Roa'!$A$12:$A$130,"&gt;="&amp;Diagram!$O75,'J1 C - (South) Bishopthorpe Roa'!$A$12:$A$130,"&lt;"&amp;Diagram!$P75),SUMIFS(INDIRECT(ADDRESS(12,3+18*2+(10),,,"J1 C - (South) Bishopthorpe Roa")&amp;":"&amp;ADDRESS(130,3+18*2+(10))),'J1 C - (South) Bishopthorpe Roa'!$A$12:$A$130,"&gt;="&amp;Diagram!$O75,'J1 C - (South) Bishopthorpe Roa'!$A$12:$A$130,"&lt;"&amp;Diagram!$P75)))</f>
        <v>0</v>
      </c>
      <c r="BK75" s="42">
        <f ca="1">IF(OR($I$10="",$O75="",$P75="",$J$37&lt;&gt;"Yes"),0,IF($K$10=0,SUMIFS(INDIRECT(ADDRESS(12,3+18*3+(2),,,"J1 C - (South) Bishopthorpe Roa")&amp;":"&amp;ADDRESS(130,3+18*3+(2))),'J1 C - (South) Bishopthorpe Roa'!$A$12:$A$130,"&gt;="&amp;Diagram!$O75,'J1 C - (South) Bishopthorpe Roa'!$A$12:$A$130,"&lt;"&amp;Diagram!$P75),SUMIFS(INDIRECT(ADDRESS(12,3+18*3+(10),,,"J1 C - (South) Bishopthorpe Roa")&amp;":"&amp;ADDRESS(130,3+18*3+(10))),'J1 C - (South) Bishopthorpe Roa'!$A$12:$A$130,"&gt;="&amp;Diagram!$O75,'J1 C - (South) Bishopthorpe Roa'!$A$12:$A$130,"&lt;"&amp;Diagram!$P75)))</f>
        <v>0</v>
      </c>
      <c r="BL75" s="42">
        <f ca="1">IF(OR($I$10="",$O75="",$P75="",$J$37&lt;&gt;"Yes"),0,IF($K$10=0,SUMIFS(INDIRECT(ADDRESS(12,3+18*0+(2),,,"J1 C - (South) Bishopthorpe Roa")&amp;":"&amp;ADDRESS(130,3+18*0+(2))),'J1 C - (South) Bishopthorpe Roa'!$A$12:$A$130,"&gt;="&amp;Diagram!$O75,'J1 C - (South) Bishopthorpe Roa'!$A$12:$A$130,"&lt;"&amp;Diagram!$P75),SUMIFS(INDIRECT(ADDRESS(12,3+18*0+(10),,,"J1 C - (South) Bishopthorpe Roa")&amp;":"&amp;ADDRESS(130,3+18*0+(10))),'J1 C - (South) Bishopthorpe Roa'!$A$12:$A$130,"&gt;="&amp;Diagram!$O75,'J1 C - (South) Bishopthorpe Roa'!$A$12:$A$130,"&lt;"&amp;Diagram!$P75)))</f>
        <v>0</v>
      </c>
      <c r="BM75" s="42">
        <f ca="1">IF(OR($I$10="",$O75="",$P75="",$J$37&lt;&gt;"Yes"),0,IF($K$10=0,SUMIFS(INDIRECT(ADDRESS(12,3+18*0+(2),,,"J1 D - South Bank Avenue")&amp;":"&amp;ADDRESS(130,3+18*0+(2))),'J1 D - South Bank Avenue'!$A$12:$A$130,"&gt;="&amp;Diagram!$O75,'J1 D - South Bank Avenue'!$A$12:$A$130,"&lt;"&amp;Diagram!$P75),SUMIFS(INDIRECT(ADDRESS(12,3+18*0+(10),,,"J1 D - South Bank Avenue")&amp;":"&amp;ADDRESS(130,3+18*0+(10))),'J1 D - South Bank Avenue'!$A$12:$A$130,"&gt;="&amp;Diagram!$O75,'J1 D - South Bank Avenue'!$A$12:$A$130,"&lt;"&amp;Diagram!$P75)))</f>
        <v>0</v>
      </c>
      <c r="BN75" s="42">
        <f ca="1">IF(OR($I$10="",$O75="",$P75="",$J$37&lt;&gt;"Yes"),0,IF($K$10=0,SUMIFS(INDIRECT(ADDRESS(12,3+18*1+(2),,,"J1 D - South Bank Avenue")&amp;":"&amp;ADDRESS(130,3+18*1+(2))),'J1 D - South Bank Avenue'!$A$12:$A$130,"&gt;="&amp;Diagram!$O75,'J1 D - South Bank Avenue'!$A$12:$A$130,"&lt;"&amp;Diagram!$P75),SUMIFS(INDIRECT(ADDRESS(12,3+18*1+(10),,,"J1 D - South Bank Avenue")&amp;":"&amp;ADDRESS(130,3+18*1+(10))),'J1 D - South Bank Avenue'!$A$12:$A$130,"&gt;="&amp;Diagram!$O75,'J1 D - South Bank Avenue'!$A$12:$A$130,"&lt;"&amp;Diagram!$P75)))</f>
        <v>0</v>
      </c>
      <c r="BO75" s="42">
        <f ca="1">IF(OR($I$10="",$O75="",$P75="",$J$37&lt;&gt;"Yes"),0,IF($K$10=0,SUMIFS(INDIRECT(ADDRESS(12,3+18*2+(2),,,"J1 D - South Bank Avenue")&amp;":"&amp;ADDRESS(130,3+18*2+(2))),'J1 D - South Bank Avenue'!$A$12:$A$130,"&gt;="&amp;Diagram!$O75,'J1 D - South Bank Avenue'!$A$12:$A$130,"&lt;"&amp;Diagram!$P75),SUMIFS(INDIRECT(ADDRESS(12,3+18*2+(10),,,"J1 D - South Bank Avenue")&amp;":"&amp;ADDRESS(130,3+18*2+(10))),'J1 D - South Bank Avenue'!$A$12:$A$130,"&gt;="&amp;Diagram!$O75,'J1 D - South Bank Avenue'!$A$12:$A$130,"&lt;"&amp;Diagram!$P75)))</f>
        <v>0</v>
      </c>
      <c r="BP75" s="42">
        <f ca="1">IF(OR($I$10="",$O75="",$P75="",$J$37&lt;&gt;"Yes"),0,IF($K$10=0,SUMIFS(INDIRECT(ADDRESS(12,3+18*3+(2),,,"J1 D - South Bank Avenue")&amp;":"&amp;ADDRESS(130,3+18*3+(2))),'J1 D - South Bank Avenue'!$A$12:$A$130,"&gt;="&amp;Diagram!$O75,'J1 D - South Bank Avenue'!$A$12:$A$130,"&lt;"&amp;Diagram!$P75),SUMIFS(INDIRECT(ADDRESS(12,3+18*3+(10),,,"J1 D - South Bank Avenue")&amp;":"&amp;ADDRESS(130,3+18*3+(10))),'J1 D - South Bank Avenue'!$A$12:$A$130,"&gt;="&amp;Diagram!$O75,'J1 D - South Bank Avenue'!$A$12:$A$130,"&lt;"&amp;Diagram!$P75)))</f>
        <v>0</v>
      </c>
      <c r="BQ75" s="42">
        <f t="shared" ca="1" si="14"/>
        <v>0</v>
      </c>
      <c r="BR75" s="42">
        <f ca="1">IF(OR($I$10="",$O75="",$P75="",$J$38&lt;&gt;"Yes"),0,IF($K$10=0,SUMIFS(INDIRECT(ADDRESS(12,3+18*3+(3),,,"J1 A - (North) Bishopthorpe Roa")&amp;":"&amp;ADDRESS(130,3+18*3+(3))),'J1 A - (North) Bishopthorpe Roa'!$A$12:$A$130,"&gt;="&amp;Diagram!$O75,'J1 A - (North) Bishopthorpe Roa'!$A$12:$A$130,"&lt;"&amp;Diagram!$P75),SUMIFS(INDIRECT(ADDRESS(12,3+18*3+(11),,,"J1 A - (North) Bishopthorpe Roa")&amp;":"&amp;ADDRESS(130,3+18*3+(11))),'J1 A - (North) Bishopthorpe Roa'!$A$12:$A$130,"&gt;="&amp;Diagram!$O75,'J1 A - (North) Bishopthorpe Roa'!$A$12:$A$130,"&lt;"&amp;Diagram!$P75)))</f>
        <v>0</v>
      </c>
      <c r="BS75" s="42">
        <f ca="1">IF(OR($I$10="",$O75="",$P75="",$J$38&lt;&gt;"Yes"),0,IF($K$10=0,SUMIFS(INDIRECT(ADDRESS(12,3+18*0+(3),,,"J1 A - (North) Bishopthorpe Roa")&amp;":"&amp;ADDRESS(130,3+18*0+(3))),'J1 A - (North) Bishopthorpe Roa'!$A$12:$A$130,"&gt;="&amp;Diagram!$O75,'J1 A - (North) Bishopthorpe Roa'!$A$12:$A$130,"&lt;"&amp;Diagram!$P75),SUMIFS(INDIRECT(ADDRESS(12,3+18*0+(11),,,"J1 A - (North) Bishopthorpe Roa")&amp;":"&amp;ADDRESS(130,3+18*0+(11))),'J1 A - (North) Bishopthorpe Roa'!$A$12:$A$130,"&gt;="&amp;Diagram!$O75,'J1 A - (North) Bishopthorpe Roa'!$A$12:$A$130,"&lt;"&amp;Diagram!$P75)))</f>
        <v>0</v>
      </c>
      <c r="BT75" s="42">
        <f ca="1">IF(OR($I$10="",$O75="",$P75="",$J$38&lt;&gt;"Yes"),0,IF($K$10=0,SUMIFS(INDIRECT(ADDRESS(12,3+18*1+(3),,,"J1 A - (North) Bishopthorpe Roa")&amp;":"&amp;ADDRESS(130,3+18*1+(3))),'J1 A - (North) Bishopthorpe Roa'!$A$12:$A$130,"&gt;="&amp;Diagram!$O75,'J1 A - (North) Bishopthorpe Roa'!$A$12:$A$130,"&lt;"&amp;Diagram!$P75),SUMIFS(INDIRECT(ADDRESS(12,3+18*1+(11),,,"J1 A - (North) Bishopthorpe Roa")&amp;":"&amp;ADDRESS(130,3+18*1+(11))),'J1 A - (North) Bishopthorpe Roa'!$A$12:$A$130,"&gt;="&amp;Diagram!$O75,'J1 A - (North) Bishopthorpe Roa'!$A$12:$A$130,"&lt;"&amp;Diagram!$P75)))</f>
        <v>0</v>
      </c>
      <c r="BU75" s="42">
        <f ca="1">IF(OR($I$10="",$O75="",$P75="",$J$38&lt;&gt;"Yes"),0,IF($K$10=0,SUMIFS(INDIRECT(ADDRESS(12,3+18*2+(3),,,"J1 A - (North) Bishopthorpe Roa")&amp;":"&amp;ADDRESS(130,3+18*2+(3))),'J1 A - (North) Bishopthorpe Roa'!$A$12:$A$130,"&gt;="&amp;Diagram!$O75,'J1 A - (North) Bishopthorpe Roa'!$A$12:$A$130,"&lt;"&amp;Diagram!$P75),SUMIFS(INDIRECT(ADDRESS(12,3+18*2+(11),,,"J1 A - (North) Bishopthorpe Roa")&amp;":"&amp;ADDRESS(130,3+18*2+(11))),'J1 A - (North) Bishopthorpe Roa'!$A$12:$A$130,"&gt;="&amp;Diagram!$O75,'J1 A - (North) Bishopthorpe Roa'!$A$12:$A$130,"&lt;"&amp;Diagram!$P75)))</f>
        <v>0</v>
      </c>
      <c r="BV75" s="42">
        <f ca="1">IF(OR($I$10="",$O75="",$P75="",$J$38&lt;&gt;"Yes"),0,IF($K$10=0,SUMIFS(INDIRECT(ADDRESS(12,3+18*2+(3),,,"J1 B - Butcher Terrace")&amp;":"&amp;ADDRESS(130,3+18*2+(3))),'J1 B - Butcher Terrace'!$A$12:$A$130,"&gt;="&amp;Diagram!$O75,'J1 B - Butcher Terrace'!$A$12:$A$130,"&lt;"&amp;Diagram!$P75),SUMIFS(INDIRECT(ADDRESS(12,3+18*2+(11),,,"J1 B - Butcher Terrace")&amp;":"&amp;ADDRESS(130,3+18*2+(11))),'J1 B - Butcher Terrace'!$A$12:$A$130,"&gt;="&amp;Diagram!$O75,'J1 B - Butcher Terrace'!$A$12:$A$130,"&lt;"&amp;Diagram!$P75)))</f>
        <v>0</v>
      </c>
      <c r="BW75" s="42">
        <f ca="1">IF(OR($I$10="",$O75="",$P75="",$J$38&lt;&gt;"Yes"),0,IF($K$10=0,SUMIFS(INDIRECT(ADDRESS(12,3+18*3+(3),,,"J1 B - Butcher Terrace")&amp;":"&amp;ADDRESS(130,3+18*3+(3))),'J1 B - Butcher Terrace'!$A$12:$A$130,"&gt;="&amp;Diagram!$O75,'J1 B - Butcher Terrace'!$A$12:$A$130,"&lt;"&amp;Diagram!$P75),SUMIFS(INDIRECT(ADDRESS(12,3+18*3+(11),,,"J1 B - Butcher Terrace")&amp;":"&amp;ADDRESS(130,3+18*3+(11))),'J1 B - Butcher Terrace'!$A$12:$A$130,"&gt;="&amp;Diagram!$O75,'J1 B - Butcher Terrace'!$A$12:$A$130,"&lt;"&amp;Diagram!$P75)))</f>
        <v>0</v>
      </c>
      <c r="BX75" s="42">
        <f ca="1">IF(OR($I$10="",$O75="",$P75="",$J$38&lt;&gt;"Yes"),0,IF($K$10=0,SUMIFS(INDIRECT(ADDRESS(12,3+18*0+(3),,,"J1 B - Butcher Terrace")&amp;":"&amp;ADDRESS(130,3+18*0+(3))),'J1 B - Butcher Terrace'!$A$12:$A$130,"&gt;="&amp;Diagram!$O75,'J1 B - Butcher Terrace'!$A$12:$A$130,"&lt;"&amp;Diagram!$P75),SUMIFS(INDIRECT(ADDRESS(12,3+18*0+(11),,,"J1 B - Butcher Terrace")&amp;":"&amp;ADDRESS(130,3+18*0+(11))),'J1 B - Butcher Terrace'!$A$12:$A$130,"&gt;="&amp;Diagram!$O75,'J1 B - Butcher Terrace'!$A$12:$A$130,"&lt;"&amp;Diagram!$P75)))</f>
        <v>0</v>
      </c>
      <c r="BY75" s="42">
        <f ca="1">IF(OR($I$10="",$O75="",$P75="",$J$38&lt;&gt;"Yes"),0,IF($K$10=0,SUMIFS(INDIRECT(ADDRESS(12,3+18*1+(3),,,"J1 B - Butcher Terrace")&amp;":"&amp;ADDRESS(130,3+18*1+(3))),'J1 B - Butcher Terrace'!$A$12:$A$130,"&gt;="&amp;Diagram!$O75,'J1 B - Butcher Terrace'!$A$12:$A$130,"&lt;"&amp;Diagram!$P75),SUMIFS(INDIRECT(ADDRESS(12,3+18*1+(11),,,"J1 B - Butcher Terrace")&amp;":"&amp;ADDRESS(130,3+18*1+(11))),'J1 B - Butcher Terrace'!$A$12:$A$130,"&gt;="&amp;Diagram!$O75,'J1 B - Butcher Terrace'!$A$12:$A$130,"&lt;"&amp;Diagram!$P75)))</f>
        <v>0</v>
      </c>
      <c r="BZ75" s="42">
        <f ca="1">IF(OR($I$10="",$O75="",$P75="",$J$38&lt;&gt;"Yes"),0,IF($K$10=0,SUMIFS(INDIRECT(ADDRESS(12,3+18*1+(3),,,"J1 C - (South) Bishopthorpe Roa")&amp;":"&amp;ADDRESS(130,3+18*1+(3))),'J1 C - (South) Bishopthorpe Roa'!$A$12:$A$130,"&gt;="&amp;Diagram!$O75,'J1 C - (South) Bishopthorpe Roa'!$A$12:$A$130,"&lt;"&amp;Diagram!$P75),SUMIFS(INDIRECT(ADDRESS(12,3+18*1+(11),,,"J1 C - (South) Bishopthorpe Roa")&amp;":"&amp;ADDRESS(130,3+18*1+(11))),'J1 C - (South) Bishopthorpe Roa'!$A$12:$A$130,"&gt;="&amp;Diagram!$O75,'J1 C - (South) Bishopthorpe Roa'!$A$12:$A$130,"&lt;"&amp;Diagram!$P75)))</f>
        <v>0</v>
      </c>
      <c r="CA75" s="42">
        <f ca="1">IF(OR($I$10="",$O75="",$P75="",$J$38&lt;&gt;"Yes"),0,IF($K$10=0,SUMIFS(INDIRECT(ADDRESS(12,3+18*2+(3),,,"J1 C - (South) Bishopthorpe Roa")&amp;":"&amp;ADDRESS(130,3+18*2+(3))),'J1 C - (South) Bishopthorpe Roa'!$A$12:$A$130,"&gt;="&amp;Diagram!$O75,'J1 C - (South) Bishopthorpe Roa'!$A$12:$A$130,"&lt;"&amp;Diagram!$P75),SUMIFS(INDIRECT(ADDRESS(12,3+18*2+(11),,,"J1 C - (South) Bishopthorpe Roa")&amp;":"&amp;ADDRESS(130,3+18*2+(11))),'J1 C - (South) Bishopthorpe Roa'!$A$12:$A$130,"&gt;="&amp;Diagram!$O75,'J1 C - (South) Bishopthorpe Roa'!$A$12:$A$130,"&lt;"&amp;Diagram!$P75)))</f>
        <v>0</v>
      </c>
      <c r="CB75" s="42">
        <f ca="1">IF(OR($I$10="",$O75="",$P75="",$J$38&lt;&gt;"Yes"),0,IF($K$10=0,SUMIFS(INDIRECT(ADDRESS(12,3+18*3+(3),,,"J1 C - (South) Bishopthorpe Roa")&amp;":"&amp;ADDRESS(130,3+18*3+(3))),'J1 C - (South) Bishopthorpe Roa'!$A$12:$A$130,"&gt;="&amp;Diagram!$O75,'J1 C - (South) Bishopthorpe Roa'!$A$12:$A$130,"&lt;"&amp;Diagram!$P75),SUMIFS(INDIRECT(ADDRESS(12,3+18*3+(11),,,"J1 C - (South) Bishopthorpe Roa")&amp;":"&amp;ADDRESS(130,3+18*3+(11))),'J1 C - (South) Bishopthorpe Roa'!$A$12:$A$130,"&gt;="&amp;Diagram!$O75,'J1 C - (South) Bishopthorpe Roa'!$A$12:$A$130,"&lt;"&amp;Diagram!$P75)))</f>
        <v>0</v>
      </c>
      <c r="CC75" s="42">
        <f ca="1">IF(OR($I$10="",$O75="",$P75="",$J$38&lt;&gt;"Yes"),0,IF($K$10=0,SUMIFS(INDIRECT(ADDRESS(12,3+18*0+(3),,,"J1 C - (South) Bishopthorpe Roa")&amp;":"&amp;ADDRESS(130,3+18*0+(3))),'J1 C - (South) Bishopthorpe Roa'!$A$12:$A$130,"&gt;="&amp;Diagram!$O75,'J1 C - (South) Bishopthorpe Roa'!$A$12:$A$130,"&lt;"&amp;Diagram!$P75),SUMIFS(INDIRECT(ADDRESS(12,3+18*0+(11),,,"J1 C - (South) Bishopthorpe Roa")&amp;":"&amp;ADDRESS(130,3+18*0+(11))),'J1 C - (South) Bishopthorpe Roa'!$A$12:$A$130,"&gt;="&amp;Diagram!$O75,'J1 C - (South) Bishopthorpe Roa'!$A$12:$A$130,"&lt;"&amp;Diagram!$P75)))</f>
        <v>0</v>
      </c>
      <c r="CD75" s="42">
        <f ca="1">IF(OR($I$10="",$O75="",$P75="",$J$38&lt;&gt;"Yes"),0,IF($K$10=0,SUMIFS(INDIRECT(ADDRESS(12,3+18*0+(3),,,"J1 D - South Bank Avenue")&amp;":"&amp;ADDRESS(130,3+18*0+(3))),'J1 D - South Bank Avenue'!$A$12:$A$130,"&gt;="&amp;Diagram!$O75,'J1 D - South Bank Avenue'!$A$12:$A$130,"&lt;"&amp;Diagram!$P75),SUMIFS(INDIRECT(ADDRESS(12,3+18*0+(11),,,"J1 D - South Bank Avenue")&amp;":"&amp;ADDRESS(130,3+18*0+(11))),'J1 D - South Bank Avenue'!$A$12:$A$130,"&gt;="&amp;Diagram!$O75,'J1 D - South Bank Avenue'!$A$12:$A$130,"&lt;"&amp;Diagram!$P75)))</f>
        <v>0</v>
      </c>
      <c r="CE75" s="42">
        <f ca="1">IF(OR($I$10="",$O75="",$P75="",$J$38&lt;&gt;"Yes"),0,IF($K$10=0,SUMIFS(INDIRECT(ADDRESS(12,3+18*1+(3),,,"J1 D - South Bank Avenue")&amp;":"&amp;ADDRESS(130,3+18*1+(3))),'J1 D - South Bank Avenue'!$A$12:$A$130,"&gt;="&amp;Diagram!$O75,'J1 D - South Bank Avenue'!$A$12:$A$130,"&lt;"&amp;Diagram!$P75),SUMIFS(INDIRECT(ADDRESS(12,3+18*1+(11),,,"J1 D - South Bank Avenue")&amp;":"&amp;ADDRESS(130,3+18*1+(11))),'J1 D - South Bank Avenue'!$A$12:$A$130,"&gt;="&amp;Diagram!$O75,'J1 D - South Bank Avenue'!$A$12:$A$130,"&lt;"&amp;Diagram!$P75)))</f>
        <v>0</v>
      </c>
      <c r="CF75" s="42">
        <f ca="1">IF(OR($I$10="",$O75="",$P75="",$J$38&lt;&gt;"Yes"),0,IF($K$10=0,SUMIFS(INDIRECT(ADDRESS(12,3+18*2+(3),,,"J1 D - South Bank Avenue")&amp;":"&amp;ADDRESS(130,3+18*2+(3))),'J1 D - South Bank Avenue'!$A$12:$A$130,"&gt;="&amp;Diagram!$O75,'J1 D - South Bank Avenue'!$A$12:$A$130,"&lt;"&amp;Diagram!$P75),SUMIFS(INDIRECT(ADDRESS(12,3+18*2+(11),,,"J1 D - South Bank Avenue")&amp;":"&amp;ADDRESS(130,3+18*2+(11))),'J1 D - South Bank Avenue'!$A$12:$A$130,"&gt;="&amp;Diagram!$O75,'J1 D - South Bank Avenue'!$A$12:$A$130,"&lt;"&amp;Diagram!$P75)))</f>
        <v>0</v>
      </c>
      <c r="CG75" s="42">
        <f ca="1">IF(OR($I$10="",$O75="",$P75="",$J$38&lt;&gt;"Yes"),0,IF($K$10=0,SUMIFS(INDIRECT(ADDRESS(12,3+18*3+(3),,,"J1 D - South Bank Avenue")&amp;":"&amp;ADDRESS(130,3+18*3+(3))),'J1 D - South Bank Avenue'!$A$12:$A$130,"&gt;="&amp;Diagram!$O75,'J1 D - South Bank Avenue'!$A$12:$A$130,"&lt;"&amp;Diagram!$P75),SUMIFS(INDIRECT(ADDRESS(12,3+18*3+(11),,,"J1 D - South Bank Avenue")&amp;":"&amp;ADDRESS(130,3+18*3+(11))),'J1 D - South Bank Avenue'!$A$12:$A$130,"&gt;="&amp;Diagram!$O75,'J1 D - South Bank Avenue'!$A$12:$A$130,"&lt;"&amp;Diagram!$P75)))</f>
        <v>0</v>
      </c>
      <c r="CH75" s="42">
        <f t="shared" ca="1" si="15"/>
        <v>7</v>
      </c>
      <c r="CI75" s="42">
        <f ca="1">IF(OR($I$10="",$O75="",$P75="",$J$39&lt;&gt;"Yes"),0,IF($K$10=0,SUMIFS(INDIRECT(ADDRESS(12,3+18*3+(4),,,"J1 A - (North) Bishopthorpe Roa")&amp;":"&amp;ADDRESS(130,3+18*3+(4))),'J1 A - (North) Bishopthorpe Roa'!$A$12:$A$130,"&gt;="&amp;Diagram!$O75,'J1 A - (North) Bishopthorpe Roa'!$A$12:$A$130,"&lt;"&amp;Diagram!$P75),SUMIFS(INDIRECT(ADDRESS(12,3+18*3+(12),,,"J1 A - (North) Bishopthorpe Roa")&amp;":"&amp;ADDRESS(130,3+18*3+(12))),'J1 A - (North) Bishopthorpe Roa'!$A$12:$A$130,"&gt;="&amp;Diagram!$O75,'J1 A - (North) Bishopthorpe Roa'!$A$12:$A$130,"&lt;"&amp;Diagram!$P75)))</f>
        <v>0</v>
      </c>
      <c r="CJ75" s="42">
        <f ca="1">IF(OR($I$10="",$O75="",$P75="",$J$39&lt;&gt;"Yes"),0,IF($K$10=0,SUMIFS(INDIRECT(ADDRESS(12,3+18*0+(4),,,"J1 A - (North) Bishopthorpe Roa")&amp;":"&amp;ADDRESS(130,3+18*0+(4))),'J1 A - (North) Bishopthorpe Roa'!$A$12:$A$130,"&gt;="&amp;Diagram!$O75,'J1 A - (North) Bishopthorpe Roa'!$A$12:$A$130,"&lt;"&amp;Diagram!$P75),SUMIFS(INDIRECT(ADDRESS(12,3+18*0+(12),,,"J1 A - (North) Bishopthorpe Roa")&amp;":"&amp;ADDRESS(130,3+18*0+(12))),'J1 A - (North) Bishopthorpe Roa'!$A$12:$A$130,"&gt;="&amp;Diagram!$O75,'J1 A - (North) Bishopthorpe Roa'!$A$12:$A$130,"&lt;"&amp;Diagram!$P75)))</f>
        <v>0</v>
      </c>
      <c r="CK75" s="42">
        <f ca="1">IF(OR($I$10="",$O75="",$P75="",$J$39&lt;&gt;"Yes"),0,IF($K$10=0,SUMIFS(INDIRECT(ADDRESS(12,3+18*1+(4),,,"J1 A - (North) Bishopthorpe Roa")&amp;":"&amp;ADDRESS(130,3+18*1+(4))),'J1 A - (North) Bishopthorpe Roa'!$A$12:$A$130,"&gt;="&amp;Diagram!$O75,'J1 A - (North) Bishopthorpe Roa'!$A$12:$A$130,"&lt;"&amp;Diagram!$P75),SUMIFS(INDIRECT(ADDRESS(12,3+18*1+(12),,,"J1 A - (North) Bishopthorpe Roa")&amp;":"&amp;ADDRESS(130,3+18*1+(12))),'J1 A - (North) Bishopthorpe Roa'!$A$12:$A$130,"&gt;="&amp;Diagram!$O75,'J1 A - (North) Bishopthorpe Roa'!$A$12:$A$130,"&lt;"&amp;Diagram!$P75)))</f>
        <v>4</v>
      </c>
      <c r="CL75" s="42">
        <f ca="1">IF(OR($I$10="",$O75="",$P75="",$J$39&lt;&gt;"Yes"),0,IF($K$10=0,SUMIFS(INDIRECT(ADDRESS(12,3+18*2+(4),,,"J1 A - (North) Bishopthorpe Roa")&amp;":"&amp;ADDRESS(130,3+18*2+(4))),'J1 A - (North) Bishopthorpe Roa'!$A$12:$A$130,"&gt;="&amp;Diagram!$O75,'J1 A - (North) Bishopthorpe Roa'!$A$12:$A$130,"&lt;"&amp;Diagram!$P75),SUMIFS(INDIRECT(ADDRESS(12,3+18*2+(12),,,"J1 A - (North) Bishopthorpe Roa")&amp;":"&amp;ADDRESS(130,3+18*2+(12))),'J1 A - (North) Bishopthorpe Roa'!$A$12:$A$130,"&gt;="&amp;Diagram!$O75,'J1 A - (North) Bishopthorpe Roa'!$A$12:$A$130,"&lt;"&amp;Diagram!$P75)))</f>
        <v>0</v>
      </c>
      <c r="CM75" s="42">
        <f ca="1">IF(OR($I$10="",$O75="",$P75="",$J$39&lt;&gt;"Yes"),0,IF($K$10=0,SUMIFS(INDIRECT(ADDRESS(12,3+18*2+(4),,,"J1 B - Butcher Terrace")&amp;":"&amp;ADDRESS(130,3+18*2+(4))),'J1 B - Butcher Terrace'!$A$12:$A$130,"&gt;="&amp;Diagram!$O75,'J1 B - Butcher Terrace'!$A$12:$A$130,"&lt;"&amp;Diagram!$P75),SUMIFS(INDIRECT(ADDRESS(12,3+18*2+(12),,,"J1 B - Butcher Terrace")&amp;":"&amp;ADDRESS(130,3+18*2+(12))),'J1 B - Butcher Terrace'!$A$12:$A$130,"&gt;="&amp;Diagram!$O75,'J1 B - Butcher Terrace'!$A$12:$A$130,"&lt;"&amp;Diagram!$P75)))</f>
        <v>0</v>
      </c>
      <c r="CN75" s="42">
        <f ca="1">IF(OR($I$10="",$O75="",$P75="",$J$39&lt;&gt;"Yes"),0,IF($K$10=0,SUMIFS(INDIRECT(ADDRESS(12,3+18*3+(4),,,"J1 B - Butcher Terrace")&amp;":"&amp;ADDRESS(130,3+18*3+(4))),'J1 B - Butcher Terrace'!$A$12:$A$130,"&gt;="&amp;Diagram!$O75,'J1 B - Butcher Terrace'!$A$12:$A$130,"&lt;"&amp;Diagram!$P75),SUMIFS(INDIRECT(ADDRESS(12,3+18*3+(12),,,"J1 B - Butcher Terrace")&amp;":"&amp;ADDRESS(130,3+18*3+(12))),'J1 B - Butcher Terrace'!$A$12:$A$130,"&gt;="&amp;Diagram!$O75,'J1 B - Butcher Terrace'!$A$12:$A$130,"&lt;"&amp;Diagram!$P75)))</f>
        <v>0</v>
      </c>
      <c r="CO75" s="42">
        <f ca="1">IF(OR($I$10="",$O75="",$P75="",$J$39&lt;&gt;"Yes"),0,IF($K$10=0,SUMIFS(INDIRECT(ADDRESS(12,3+18*0+(4),,,"J1 B - Butcher Terrace")&amp;":"&amp;ADDRESS(130,3+18*0+(4))),'J1 B - Butcher Terrace'!$A$12:$A$130,"&gt;="&amp;Diagram!$O75,'J1 B - Butcher Terrace'!$A$12:$A$130,"&lt;"&amp;Diagram!$P75),SUMIFS(INDIRECT(ADDRESS(12,3+18*0+(12),,,"J1 B - Butcher Terrace")&amp;":"&amp;ADDRESS(130,3+18*0+(12))),'J1 B - Butcher Terrace'!$A$12:$A$130,"&gt;="&amp;Diagram!$O75,'J1 B - Butcher Terrace'!$A$12:$A$130,"&lt;"&amp;Diagram!$P75)))</f>
        <v>0</v>
      </c>
      <c r="CP75" s="42">
        <f ca="1">IF(OR($I$10="",$O75="",$P75="",$J$39&lt;&gt;"Yes"),0,IF($K$10=0,SUMIFS(INDIRECT(ADDRESS(12,3+18*1+(4),,,"J1 B - Butcher Terrace")&amp;":"&amp;ADDRESS(130,3+18*1+(4))),'J1 B - Butcher Terrace'!$A$12:$A$130,"&gt;="&amp;Diagram!$O75,'J1 B - Butcher Terrace'!$A$12:$A$130,"&lt;"&amp;Diagram!$P75),SUMIFS(INDIRECT(ADDRESS(12,3+18*1+(12),,,"J1 B - Butcher Terrace")&amp;":"&amp;ADDRESS(130,3+18*1+(12))),'J1 B - Butcher Terrace'!$A$12:$A$130,"&gt;="&amp;Diagram!$O75,'J1 B - Butcher Terrace'!$A$12:$A$130,"&lt;"&amp;Diagram!$P75)))</f>
        <v>0</v>
      </c>
      <c r="CQ75" s="42">
        <f ca="1">IF(OR($I$10="",$O75="",$P75="",$J$39&lt;&gt;"Yes"),0,IF($K$10=0,SUMIFS(INDIRECT(ADDRESS(12,3+18*1+(4),,,"J1 C - (South) Bishopthorpe Roa")&amp;":"&amp;ADDRESS(130,3+18*1+(4))),'J1 C - (South) Bishopthorpe Roa'!$A$12:$A$130,"&gt;="&amp;Diagram!$O75,'J1 C - (South) Bishopthorpe Roa'!$A$12:$A$130,"&lt;"&amp;Diagram!$P75),SUMIFS(INDIRECT(ADDRESS(12,3+18*1+(12),,,"J1 C - (South) Bishopthorpe Roa")&amp;":"&amp;ADDRESS(130,3+18*1+(12))),'J1 C - (South) Bishopthorpe Roa'!$A$12:$A$130,"&gt;="&amp;Diagram!$O75,'J1 C - (South) Bishopthorpe Roa'!$A$12:$A$130,"&lt;"&amp;Diagram!$P75)))</f>
        <v>3</v>
      </c>
      <c r="CR75" s="42">
        <f ca="1">IF(OR($I$10="",$O75="",$P75="",$J$39&lt;&gt;"Yes"),0,IF($K$10=0,SUMIFS(INDIRECT(ADDRESS(12,3+18*2+(4),,,"J1 C - (South) Bishopthorpe Roa")&amp;":"&amp;ADDRESS(130,3+18*2+(4))),'J1 C - (South) Bishopthorpe Roa'!$A$12:$A$130,"&gt;="&amp;Diagram!$O75,'J1 C - (South) Bishopthorpe Roa'!$A$12:$A$130,"&lt;"&amp;Diagram!$P75),SUMIFS(INDIRECT(ADDRESS(12,3+18*2+(12),,,"J1 C - (South) Bishopthorpe Roa")&amp;":"&amp;ADDRESS(130,3+18*2+(12))),'J1 C - (South) Bishopthorpe Roa'!$A$12:$A$130,"&gt;="&amp;Diagram!$O75,'J1 C - (South) Bishopthorpe Roa'!$A$12:$A$130,"&lt;"&amp;Diagram!$P75)))</f>
        <v>0</v>
      </c>
      <c r="CS75" s="42">
        <f ca="1">IF(OR($I$10="",$O75="",$P75="",$J$39&lt;&gt;"Yes"),0,IF($K$10=0,SUMIFS(INDIRECT(ADDRESS(12,3+18*3+(4),,,"J1 C - (South) Bishopthorpe Roa")&amp;":"&amp;ADDRESS(130,3+18*3+(4))),'J1 C - (South) Bishopthorpe Roa'!$A$12:$A$130,"&gt;="&amp;Diagram!$O75,'J1 C - (South) Bishopthorpe Roa'!$A$12:$A$130,"&lt;"&amp;Diagram!$P75),SUMIFS(INDIRECT(ADDRESS(12,3+18*3+(12),,,"J1 C - (South) Bishopthorpe Roa")&amp;":"&amp;ADDRESS(130,3+18*3+(12))),'J1 C - (South) Bishopthorpe Roa'!$A$12:$A$130,"&gt;="&amp;Diagram!$O75,'J1 C - (South) Bishopthorpe Roa'!$A$12:$A$130,"&lt;"&amp;Diagram!$P75)))</f>
        <v>0</v>
      </c>
      <c r="CT75" s="42">
        <f ca="1">IF(OR($I$10="",$O75="",$P75="",$J$39&lt;&gt;"Yes"),0,IF($K$10=0,SUMIFS(INDIRECT(ADDRESS(12,3+18*0+(4),,,"J1 C - (South) Bishopthorpe Roa")&amp;":"&amp;ADDRESS(130,3+18*0+(4))),'J1 C - (South) Bishopthorpe Roa'!$A$12:$A$130,"&gt;="&amp;Diagram!$O75,'J1 C - (South) Bishopthorpe Roa'!$A$12:$A$130,"&lt;"&amp;Diagram!$P75),SUMIFS(INDIRECT(ADDRESS(12,3+18*0+(12),,,"J1 C - (South) Bishopthorpe Roa")&amp;":"&amp;ADDRESS(130,3+18*0+(12))),'J1 C - (South) Bishopthorpe Roa'!$A$12:$A$130,"&gt;="&amp;Diagram!$O75,'J1 C - (South) Bishopthorpe Roa'!$A$12:$A$130,"&lt;"&amp;Diagram!$P75)))</f>
        <v>0</v>
      </c>
      <c r="CU75" s="42">
        <f ca="1">IF(OR($I$10="",$O75="",$P75="",$J$39&lt;&gt;"Yes"),0,IF($K$10=0,SUMIFS(INDIRECT(ADDRESS(12,3+18*0+(4),,,"J1 D - South Bank Avenue")&amp;":"&amp;ADDRESS(130,3+18*0+(4))),'J1 D - South Bank Avenue'!$A$12:$A$130,"&gt;="&amp;Diagram!$O75,'J1 D - South Bank Avenue'!$A$12:$A$130,"&lt;"&amp;Diagram!$P75),SUMIFS(INDIRECT(ADDRESS(12,3+18*0+(12),,,"J1 D - South Bank Avenue")&amp;":"&amp;ADDRESS(130,3+18*0+(12))),'J1 D - South Bank Avenue'!$A$12:$A$130,"&gt;="&amp;Diagram!$O75,'J1 D - South Bank Avenue'!$A$12:$A$130,"&lt;"&amp;Diagram!$P75)))</f>
        <v>0</v>
      </c>
      <c r="CV75" s="42">
        <f ca="1">IF(OR($I$10="",$O75="",$P75="",$J$39&lt;&gt;"Yes"),0,IF($K$10=0,SUMIFS(INDIRECT(ADDRESS(12,3+18*1+(4),,,"J1 D - South Bank Avenue")&amp;":"&amp;ADDRESS(130,3+18*1+(4))),'J1 D - South Bank Avenue'!$A$12:$A$130,"&gt;="&amp;Diagram!$O75,'J1 D - South Bank Avenue'!$A$12:$A$130,"&lt;"&amp;Diagram!$P75),SUMIFS(INDIRECT(ADDRESS(12,3+18*1+(12),,,"J1 D - South Bank Avenue")&amp;":"&amp;ADDRESS(130,3+18*1+(12))),'J1 D - South Bank Avenue'!$A$12:$A$130,"&gt;="&amp;Diagram!$O75,'J1 D - South Bank Avenue'!$A$12:$A$130,"&lt;"&amp;Diagram!$P75)))</f>
        <v>0</v>
      </c>
      <c r="CW75" s="42">
        <f ca="1">IF(OR($I$10="",$O75="",$P75="",$J$39&lt;&gt;"Yes"),0,IF($K$10=0,SUMIFS(INDIRECT(ADDRESS(12,3+18*2+(4),,,"J1 D - South Bank Avenue")&amp;":"&amp;ADDRESS(130,3+18*2+(4))),'J1 D - South Bank Avenue'!$A$12:$A$130,"&gt;="&amp;Diagram!$O75,'J1 D - South Bank Avenue'!$A$12:$A$130,"&lt;"&amp;Diagram!$P75),SUMIFS(INDIRECT(ADDRESS(12,3+18*2+(12),,,"J1 D - South Bank Avenue")&amp;":"&amp;ADDRESS(130,3+18*2+(12))),'J1 D - South Bank Avenue'!$A$12:$A$130,"&gt;="&amp;Diagram!$O75,'J1 D - South Bank Avenue'!$A$12:$A$130,"&lt;"&amp;Diagram!$P75)))</f>
        <v>0</v>
      </c>
      <c r="CX75" s="42">
        <f ca="1">IF(OR($I$10="",$O75="",$P75="",$J$39&lt;&gt;"Yes"),0,IF($K$10=0,SUMIFS(INDIRECT(ADDRESS(12,3+18*3+(4),,,"J1 D - South Bank Avenue")&amp;":"&amp;ADDRESS(130,3+18*3+(4))),'J1 D - South Bank Avenue'!$A$12:$A$130,"&gt;="&amp;Diagram!$O75,'J1 D - South Bank Avenue'!$A$12:$A$130,"&lt;"&amp;Diagram!$P75),SUMIFS(INDIRECT(ADDRESS(12,3+18*3+(12),,,"J1 D - South Bank Avenue")&amp;":"&amp;ADDRESS(130,3+18*3+(12))),'J1 D - South Bank Avenue'!$A$12:$A$130,"&gt;="&amp;Diagram!$O75,'J1 D - South Bank Avenue'!$A$12:$A$130,"&lt;"&amp;Diagram!$P75)))</f>
        <v>0</v>
      </c>
      <c r="CY75" s="42">
        <f t="shared" ca="1" si="16"/>
        <v>92</v>
      </c>
      <c r="CZ75" s="42">
        <f ca="1">IF(OR($I$10="",$O75="",$P75="",$J$40&lt;&gt;"Yes"),0,IF($K$10=0,SUMIFS(INDIRECT(ADDRESS(12,3+18*3+(5),,,"J1 A - (North) Bishopthorpe Roa")&amp;":"&amp;ADDRESS(130,3+18*3+(5))),'J1 A - (North) Bishopthorpe Roa'!$A$12:$A$130,"&gt;="&amp;Diagram!$O75,'J1 A - (North) Bishopthorpe Roa'!$A$12:$A$130,"&lt;"&amp;Diagram!$P75),SUMIFS(INDIRECT(ADDRESS(12,3+18*3+(13),,,"J1 A - (North) Bishopthorpe Roa")&amp;":"&amp;ADDRESS(130,3+18*3+(13))),'J1 A - (North) Bishopthorpe Roa'!$A$12:$A$130,"&gt;="&amp;Diagram!$O75,'J1 A - (North) Bishopthorpe Roa'!$A$12:$A$130,"&lt;"&amp;Diagram!$P75)))</f>
        <v>0</v>
      </c>
      <c r="DA75" s="42">
        <f ca="1">IF(OR($I$10="",$O75="",$P75="",$J$40&lt;&gt;"Yes"),0,IF($K$10=0,SUMIFS(INDIRECT(ADDRESS(12,3+18*0+(5),,,"J1 A - (North) Bishopthorpe Roa")&amp;":"&amp;ADDRESS(130,3+18*0+(5))),'J1 A - (North) Bishopthorpe Roa'!$A$12:$A$130,"&gt;="&amp;Diagram!$O75,'J1 A - (North) Bishopthorpe Roa'!$A$12:$A$130,"&lt;"&amp;Diagram!$P75),SUMIFS(INDIRECT(ADDRESS(12,3+18*0+(13),,,"J1 A - (North) Bishopthorpe Roa")&amp;":"&amp;ADDRESS(130,3+18*0+(13))),'J1 A - (North) Bishopthorpe Roa'!$A$12:$A$130,"&gt;="&amp;Diagram!$O75,'J1 A - (North) Bishopthorpe Roa'!$A$12:$A$130,"&lt;"&amp;Diagram!$P75)))</f>
        <v>8</v>
      </c>
      <c r="DB75" s="42">
        <f ca="1">IF(OR($I$10="",$O75="",$P75="",$J$40&lt;&gt;"Yes"),0,IF($K$10=0,SUMIFS(INDIRECT(ADDRESS(12,3+18*1+(5),,,"J1 A - (North) Bishopthorpe Roa")&amp;":"&amp;ADDRESS(130,3+18*1+(5))),'J1 A - (North) Bishopthorpe Roa'!$A$12:$A$130,"&gt;="&amp;Diagram!$O75,'J1 A - (North) Bishopthorpe Roa'!$A$12:$A$130,"&lt;"&amp;Diagram!$P75),SUMIFS(INDIRECT(ADDRESS(12,3+18*1+(13),,,"J1 A - (North) Bishopthorpe Roa")&amp;":"&amp;ADDRESS(130,3+18*1+(13))),'J1 A - (North) Bishopthorpe Roa'!$A$12:$A$130,"&gt;="&amp;Diagram!$O75,'J1 A - (North) Bishopthorpe Roa'!$A$12:$A$130,"&lt;"&amp;Diagram!$P75)))</f>
        <v>12</v>
      </c>
      <c r="DC75" s="42">
        <f ca="1">IF(OR($I$10="",$O75="",$P75="",$J$40&lt;&gt;"Yes"),0,IF($K$10=0,SUMIFS(INDIRECT(ADDRESS(12,3+18*2+(5),,,"J1 A - (North) Bishopthorpe Roa")&amp;":"&amp;ADDRESS(130,3+18*2+(5))),'J1 A - (North) Bishopthorpe Roa'!$A$12:$A$130,"&gt;="&amp;Diagram!$O75,'J1 A - (North) Bishopthorpe Roa'!$A$12:$A$130,"&lt;"&amp;Diagram!$P75),SUMIFS(INDIRECT(ADDRESS(12,3+18*2+(13),,,"J1 A - (North) Bishopthorpe Roa")&amp;":"&amp;ADDRESS(130,3+18*2+(13))),'J1 A - (North) Bishopthorpe Roa'!$A$12:$A$130,"&gt;="&amp;Diagram!$O75,'J1 A - (North) Bishopthorpe Roa'!$A$12:$A$130,"&lt;"&amp;Diagram!$P75)))</f>
        <v>6</v>
      </c>
      <c r="DD75" s="42">
        <f ca="1">IF(OR($I$10="",$O75="",$P75="",$J$40&lt;&gt;"Yes"),0,IF($K$10=0,SUMIFS(INDIRECT(ADDRESS(12,3+18*2+(5),,,"J1 B - Butcher Terrace")&amp;":"&amp;ADDRESS(130,3+18*2+(5))),'J1 B - Butcher Terrace'!$A$12:$A$130,"&gt;="&amp;Diagram!$O75,'J1 B - Butcher Terrace'!$A$12:$A$130,"&lt;"&amp;Diagram!$P75),SUMIFS(INDIRECT(ADDRESS(12,3+18*2+(13),,,"J1 B - Butcher Terrace")&amp;":"&amp;ADDRESS(130,3+18*2+(13))),'J1 B - Butcher Terrace'!$A$12:$A$130,"&gt;="&amp;Diagram!$O75,'J1 B - Butcher Terrace'!$A$12:$A$130,"&lt;"&amp;Diagram!$P75)))</f>
        <v>8</v>
      </c>
      <c r="DE75" s="42">
        <f ca="1">IF(OR($I$10="",$O75="",$P75="",$J$40&lt;&gt;"Yes"),0,IF($K$10=0,SUMIFS(INDIRECT(ADDRESS(12,3+18*3+(5),,,"J1 B - Butcher Terrace")&amp;":"&amp;ADDRESS(130,3+18*3+(5))),'J1 B - Butcher Terrace'!$A$12:$A$130,"&gt;="&amp;Diagram!$O75,'J1 B - Butcher Terrace'!$A$12:$A$130,"&lt;"&amp;Diagram!$P75),SUMIFS(INDIRECT(ADDRESS(12,3+18*3+(13),,,"J1 B - Butcher Terrace")&amp;":"&amp;ADDRESS(130,3+18*3+(13))),'J1 B - Butcher Terrace'!$A$12:$A$130,"&gt;="&amp;Diagram!$O75,'J1 B - Butcher Terrace'!$A$12:$A$130,"&lt;"&amp;Diagram!$P75)))</f>
        <v>0</v>
      </c>
      <c r="DF75" s="42">
        <f ca="1">IF(OR($I$10="",$O75="",$P75="",$J$40&lt;&gt;"Yes"),0,IF($K$10=0,SUMIFS(INDIRECT(ADDRESS(12,3+18*0+(5),,,"J1 B - Butcher Terrace")&amp;":"&amp;ADDRESS(130,3+18*0+(5))),'J1 B - Butcher Terrace'!$A$12:$A$130,"&gt;="&amp;Diagram!$O75,'J1 B - Butcher Terrace'!$A$12:$A$130,"&lt;"&amp;Diagram!$P75),SUMIFS(INDIRECT(ADDRESS(12,3+18*0+(13),,,"J1 B - Butcher Terrace")&amp;":"&amp;ADDRESS(130,3+18*0+(13))),'J1 B - Butcher Terrace'!$A$12:$A$130,"&gt;="&amp;Diagram!$O75,'J1 B - Butcher Terrace'!$A$12:$A$130,"&lt;"&amp;Diagram!$P75)))</f>
        <v>10</v>
      </c>
      <c r="DG75" s="42">
        <f ca="1">IF(OR($I$10="",$O75="",$P75="",$J$40&lt;&gt;"Yes"),0,IF($K$10=0,SUMIFS(INDIRECT(ADDRESS(12,3+18*1+(5),,,"J1 B - Butcher Terrace")&amp;":"&amp;ADDRESS(130,3+18*1+(5))),'J1 B - Butcher Terrace'!$A$12:$A$130,"&gt;="&amp;Diagram!$O75,'J1 B - Butcher Terrace'!$A$12:$A$130,"&lt;"&amp;Diagram!$P75),SUMIFS(INDIRECT(ADDRESS(12,3+18*1+(13),,,"J1 B - Butcher Terrace")&amp;":"&amp;ADDRESS(130,3+18*1+(13))),'J1 B - Butcher Terrace'!$A$12:$A$130,"&gt;="&amp;Diagram!$O75,'J1 B - Butcher Terrace'!$A$12:$A$130,"&lt;"&amp;Diagram!$P75)))</f>
        <v>15</v>
      </c>
      <c r="DH75" s="42">
        <f ca="1">IF(OR($I$10="",$O75="",$P75="",$J$40&lt;&gt;"Yes"),0,IF($K$10=0,SUMIFS(INDIRECT(ADDRESS(12,3+18*1+(5),,,"J1 C - (South) Bishopthorpe Roa")&amp;":"&amp;ADDRESS(130,3+18*1+(5))),'J1 C - (South) Bishopthorpe Roa'!$A$12:$A$130,"&gt;="&amp;Diagram!$O75,'J1 C - (South) Bishopthorpe Roa'!$A$12:$A$130,"&lt;"&amp;Diagram!$P75),SUMIFS(INDIRECT(ADDRESS(12,3+18*1+(13),,,"J1 C - (South) Bishopthorpe Roa")&amp;":"&amp;ADDRESS(130,3+18*1+(13))),'J1 C - (South) Bishopthorpe Roa'!$A$12:$A$130,"&gt;="&amp;Diagram!$O75,'J1 C - (South) Bishopthorpe Roa'!$A$12:$A$130,"&lt;"&amp;Diagram!$P75)))</f>
        <v>13</v>
      </c>
      <c r="DI75" s="42">
        <f ca="1">IF(OR($I$10="",$O75="",$P75="",$J$40&lt;&gt;"Yes"),0,IF($K$10=0,SUMIFS(INDIRECT(ADDRESS(12,3+18*2+(5),,,"J1 C - (South) Bishopthorpe Roa")&amp;":"&amp;ADDRESS(130,3+18*2+(5))),'J1 C - (South) Bishopthorpe Roa'!$A$12:$A$130,"&gt;="&amp;Diagram!$O75,'J1 C - (South) Bishopthorpe Roa'!$A$12:$A$130,"&lt;"&amp;Diagram!$P75),SUMIFS(INDIRECT(ADDRESS(12,3+18*2+(13),,,"J1 C - (South) Bishopthorpe Roa")&amp;":"&amp;ADDRESS(130,3+18*2+(13))),'J1 C - (South) Bishopthorpe Roa'!$A$12:$A$130,"&gt;="&amp;Diagram!$O75,'J1 C - (South) Bishopthorpe Roa'!$A$12:$A$130,"&lt;"&amp;Diagram!$P75)))</f>
        <v>5</v>
      </c>
      <c r="DJ75" s="42">
        <f ca="1">IF(OR($I$10="",$O75="",$P75="",$J$40&lt;&gt;"Yes"),0,IF($K$10=0,SUMIFS(INDIRECT(ADDRESS(12,3+18*3+(5),,,"J1 C - (South) Bishopthorpe Roa")&amp;":"&amp;ADDRESS(130,3+18*3+(5))),'J1 C - (South) Bishopthorpe Roa'!$A$12:$A$130,"&gt;="&amp;Diagram!$O75,'J1 C - (South) Bishopthorpe Roa'!$A$12:$A$130,"&lt;"&amp;Diagram!$P75),SUMIFS(INDIRECT(ADDRESS(12,3+18*3+(13),,,"J1 C - (South) Bishopthorpe Roa")&amp;":"&amp;ADDRESS(130,3+18*3+(13))),'J1 C - (South) Bishopthorpe Roa'!$A$12:$A$130,"&gt;="&amp;Diagram!$O75,'J1 C - (South) Bishopthorpe Roa'!$A$12:$A$130,"&lt;"&amp;Diagram!$P75)))</f>
        <v>0</v>
      </c>
      <c r="DK75" s="42">
        <f ca="1">IF(OR($I$10="",$O75="",$P75="",$J$40&lt;&gt;"Yes"),0,IF($K$10=0,SUMIFS(INDIRECT(ADDRESS(12,3+18*0+(5),,,"J1 C - (South) Bishopthorpe Roa")&amp;":"&amp;ADDRESS(130,3+18*0+(5))),'J1 C - (South) Bishopthorpe Roa'!$A$12:$A$130,"&gt;="&amp;Diagram!$O75,'J1 C - (South) Bishopthorpe Roa'!$A$12:$A$130,"&lt;"&amp;Diagram!$P75),SUMIFS(INDIRECT(ADDRESS(12,3+18*0+(13),,,"J1 C - (South) Bishopthorpe Roa")&amp;":"&amp;ADDRESS(130,3+18*0+(13))),'J1 C - (South) Bishopthorpe Roa'!$A$12:$A$130,"&gt;="&amp;Diagram!$O75,'J1 C - (South) Bishopthorpe Roa'!$A$12:$A$130,"&lt;"&amp;Diagram!$P75)))</f>
        <v>0</v>
      </c>
      <c r="DL75" s="42">
        <f ca="1">IF(OR($I$10="",$O75="",$P75="",$J$40&lt;&gt;"Yes"),0,IF($K$10=0,SUMIFS(INDIRECT(ADDRESS(12,3+18*0+(5),,,"J1 D - South Bank Avenue")&amp;":"&amp;ADDRESS(130,3+18*0+(5))),'J1 D - South Bank Avenue'!$A$12:$A$130,"&gt;="&amp;Diagram!$O75,'J1 D - South Bank Avenue'!$A$12:$A$130,"&lt;"&amp;Diagram!$P75),SUMIFS(INDIRECT(ADDRESS(12,3+18*0+(13),,,"J1 D - South Bank Avenue")&amp;":"&amp;ADDRESS(130,3+18*0+(13))),'J1 D - South Bank Avenue'!$A$12:$A$130,"&gt;="&amp;Diagram!$O75,'J1 D - South Bank Avenue'!$A$12:$A$130,"&lt;"&amp;Diagram!$P75)))</f>
        <v>3</v>
      </c>
      <c r="DM75" s="42">
        <f ca="1">IF(OR($I$10="",$O75="",$P75="",$J$40&lt;&gt;"Yes"),0,IF($K$10=0,SUMIFS(INDIRECT(ADDRESS(12,3+18*1+(5),,,"J1 D - South Bank Avenue")&amp;":"&amp;ADDRESS(130,3+18*1+(5))),'J1 D - South Bank Avenue'!$A$12:$A$130,"&gt;="&amp;Diagram!$O75,'J1 D - South Bank Avenue'!$A$12:$A$130,"&lt;"&amp;Diagram!$P75),SUMIFS(INDIRECT(ADDRESS(12,3+18*1+(13),,,"J1 D - South Bank Avenue")&amp;":"&amp;ADDRESS(130,3+18*1+(13))),'J1 D - South Bank Avenue'!$A$12:$A$130,"&gt;="&amp;Diagram!$O75,'J1 D - South Bank Avenue'!$A$12:$A$130,"&lt;"&amp;Diagram!$P75)))</f>
        <v>11</v>
      </c>
      <c r="DN75" s="42">
        <f ca="1">IF(OR($I$10="",$O75="",$P75="",$J$40&lt;&gt;"Yes"),0,IF($K$10=0,SUMIFS(INDIRECT(ADDRESS(12,3+18*2+(5),,,"J1 D - South Bank Avenue")&amp;":"&amp;ADDRESS(130,3+18*2+(5))),'J1 D - South Bank Avenue'!$A$12:$A$130,"&gt;="&amp;Diagram!$O75,'J1 D - South Bank Avenue'!$A$12:$A$130,"&lt;"&amp;Diagram!$P75),SUMIFS(INDIRECT(ADDRESS(12,3+18*2+(13),,,"J1 D - South Bank Avenue")&amp;":"&amp;ADDRESS(130,3+18*2+(13))),'J1 D - South Bank Avenue'!$A$12:$A$130,"&gt;="&amp;Diagram!$O75,'J1 D - South Bank Avenue'!$A$12:$A$130,"&lt;"&amp;Diagram!$P75)))</f>
        <v>1</v>
      </c>
      <c r="DO75" s="42">
        <f ca="1">IF(OR($I$10="",$O75="",$P75="",$J$40&lt;&gt;"Yes"),0,IF($K$10=0,SUMIFS(INDIRECT(ADDRESS(12,3+18*3+(5),,,"J1 D - South Bank Avenue")&amp;":"&amp;ADDRESS(130,3+18*3+(5))),'J1 D - South Bank Avenue'!$A$12:$A$130,"&gt;="&amp;Diagram!$O75,'J1 D - South Bank Avenue'!$A$12:$A$130,"&lt;"&amp;Diagram!$P75),SUMIFS(INDIRECT(ADDRESS(12,3+18*3+(13),,,"J1 D - South Bank Avenue")&amp;":"&amp;ADDRESS(130,3+18*3+(13))),'J1 D - South Bank Avenue'!$A$12:$A$130,"&gt;="&amp;Diagram!$O75,'J1 D - South Bank Avenue'!$A$12:$A$130,"&lt;"&amp;Diagram!$P75)))</f>
        <v>0</v>
      </c>
      <c r="DP75" s="42">
        <f t="shared" ca="1" si="17"/>
        <v>16</v>
      </c>
      <c r="DQ75" s="42">
        <f ca="1">IF(OR($I$10="",$O75="",$P75="",$J$41&lt;&gt;"Yes"),0,IF($K$10=0,SUMIFS(INDIRECT(ADDRESS(12,3+18*3+(6),,,"J1 A - (North) Bishopthorpe Roa")&amp;":"&amp;ADDRESS(130,3+18*3+(6))),'J1 A - (North) Bishopthorpe Roa'!$A$12:$A$130,"&gt;="&amp;Diagram!$O75,'J1 A - (North) Bishopthorpe Roa'!$A$12:$A$130,"&lt;"&amp;Diagram!$P75),SUMIFS(INDIRECT(ADDRESS(12,3+18*3+(14),,,"J1 A - (North) Bishopthorpe Roa")&amp;":"&amp;ADDRESS(130,3+18*3+(14))),'J1 A - (North) Bishopthorpe Roa'!$A$12:$A$130,"&gt;="&amp;Diagram!$O75,'J1 A - (North) Bishopthorpe Roa'!$A$12:$A$130,"&lt;"&amp;Diagram!$P75)))</f>
        <v>0</v>
      </c>
      <c r="DR75" s="42">
        <f ca="1">IF(OR($I$10="",$O75="",$P75="",$J$41&lt;&gt;"Yes"),0,IF($K$10=0,SUMIFS(INDIRECT(ADDRESS(12,3+18*0+(6),,,"J1 A - (North) Bishopthorpe Roa")&amp;":"&amp;ADDRESS(130,3+18*0+(6))),'J1 A - (North) Bishopthorpe Roa'!$A$12:$A$130,"&gt;="&amp;Diagram!$O75,'J1 A - (North) Bishopthorpe Roa'!$A$12:$A$130,"&lt;"&amp;Diagram!$P75),SUMIFS(INDIRECT(ADDRESS(12,3+18*0+(14),,,"J1 A - (North) Bishopthorpe Roa")&amp;":"&amp;ADDRESS(130,3+18*0+(14))),'J1 A - (North) Bishopthorpe Roa'!$A$12:$A$130,"&gt;="&amp;Diagram!$O75,'J1 A - (North) Bishopthorpe Roa'!$A$12:$A$130,"&lt;"&amp;Diagram!$P75)))</f>
        <v>1</v>
      </c>
      <c r="DS75" s="42">
        <f ca="1">IF(OR($I$10="",$O75="",$P75="",$J$41&lt;&gt;"Yes"),0,IF($K$10=0,SUMIFS(INDIRECT(ADDRESS(12,3+18*1+(6),,,"J1 A - (North) Bishopthorpe Roa")&amp;":"&amp;ADDRESS(130,3+18*1+(6))),'J1 A - (North) Bishopthorpe Roa'!$A$12:$A$130,"&gt;="&amp;Diagram!$O75,'J1 A - (North) Bishopthorpe Roa'!$A$12:$A$130,"&lt;"&amp;Diagram!$P75),SUMIFS(INDIRECT(ADDRESS(12,3+18*1+(14),,,"J1 A - (North) Bishopthorpe Roa")&amp;":"&amp;ADDRESS(130,3+18*1+(14))),'J1 A - (North) Bishopthorpe Roa'!$A$12:$A$130,"&gt;="&amp;Diagram!$O75,'J1 A - (North) Bishopthorpe Roa'!$A$12:$A$130,"&lt;"&amp;Diagram!$P75)))</f>
        <v>6</v>
      </c>
      <c r="DT75" s="42">
        <f ca="1">IF(OR($I$10="",$O75="",$P75="",$J$41&lt;&gt;"Yes"),0,IF($K$10=0,SUMIFS(INDIRECT(ADDRESS(12,3+18*2+(6),,,"J1 A - (North) Bishopthorpe Roa")&amp;":"&amp;ADDRESS(130,3+18*2+(6))),'J1 A - (North) Bishopthorpe Roa'!$A$12:$A$130,"&gt;="&amp;Diagram!$O75,'J1 A - (North) Bishopthorpe Roa'!$A$12:$A$130,"&lt;"&amp;Diagram!$P75),SUMIFS(INDIRECT(ADDRESS(12,3+18*2+(14),,,"J1 A - (North) Bishopthorpe Roa")&amp;":"&amp;ADDRESS(130,3+18*2+(14))),'J1 A - (North) Bishopthorpe Roa'!$A$12:$A$130,"&gt;="&amp;Diagram!$O75,'J1 A - (North) Bishopthorpe Roa'!$A$12:$A$130,"&lt;"&amp;Diagram!$P75)))</f>
        <v>1</v>
      </c>
      <c r="DU75" s="42">
        <f ca="1">IF(OR($I$10="",$O75="",$P75="",$J$41&lt;&gt;"Yes"),0,IF($K$10=0,SUMIFS(INDIRECT(ADDRESS(12,3+18*2+(6),,,"J1 B - Butcher Terrace")&amp;":"&amp;ADDRESS(130,3+18*2+(6))),'J1 B - Butcher Terrace'!$A$12:$A$130,"&gt;="&amp;Diagram!$O75,'J1 B - Butcher Terrace'!$A$12:$A$130,"&lt;"&amp;Diagram!$P75),SUMIFS(INDIRECT(ADDRESS(12,3+18*2+(14),,,"J1 B - Butcher Terrace")&amp;":"&amp;ADDRESS(130,3+18*2+(14))),'J1 B - Butcher Terrace'!$A$12:$A$130,"&gt;="&amp;Diagram!$O75,'J1 B - Butcher Terrace'!$A$12:$A$130,"&lt;"&amp;Diagram!$P75)))</f>
        <v>2</v>
      </c>
      <c r="DV75" s="42">
        <f ca="1">IF(OR($I$10="",$O75="",$P75="",$J$41&lt;&gt;"Yes"),0,IF($K$10=0,SUMIFS(INDIRECT(ADDRESS(12,3+18*3+(6),,,"J1 B - Butcher Terrace")&amp;":"&amp;ADDRESS(130,3+18*3+(6))),'J1 B - Butcher Terrace'!$A$12:$A$130,"&gt;="&amp;Diagram!$O75,'J1 B - Butcher Terrace'!$A$12:$A$130,"&lt;"&amp;Diagram!$P75),SUMIFS(INDIRECT(ADDRESS(12,3+18*3+(14),,,"J1 B - Butcher Terrace")&amp;":"&amp;ADDRESS(130,3+18*3+(14))),'J1 B - Butcher Terrace'!$A$12:$A$130,"&gt;="&amp;Diagram!$O75,'J1 B - Butcher Terrace'!$A$12:$A$130,"&lt;"&amp;Diagram!$P75)))</f>
        <v>0</v>
      </c>
      <c r="DW75" s="42">
        <f ca="1">IF(OR($I$10="",$O75="",$P75="",$J$41&lt;&gt;"Yes"),0,IF($K$10=0,SUMIFS(INDIRECT(ADDRESS(12,3+18*0+(6),,,"J1 B - Butcher Terrace")&amp;":"&amp;ADDRESS(130,3+18*0+(6))),'J1 B - Butcher Terrace'!$A$12:$A$130,"&gt;="&amp;Diagram!$O75,'J1 B - Butcher Terrace'!$A$12:$A$130,"&lt;"&amp;Diagram!$P75),SUMIFS(INDIRECT(ADDRESS(12,3+18*0+(14),,,"J1 B - Butcher Terrace")&amp;":"&amp;ADDRESS(130,3+18*0+(14))),'J1 B - Butcher Terrace'!$A$12:$A$130,"&gt;="&amp;Diagram!$O75,'J1 B - Butcher Terrace'!$A$12:$A$130,"&lt;"&amp;Diagram!$P75)))</f>
        <v>0</v>
      </c>
      <c r="DX75" s="42">
        <f ca="1">IF(OR($I$10="",$O75="",$P75="",$J$41&lt;&gt;"Yes"),0,IF($K$10=0,SUMIFS(INDIRECT(ADDRESS(12,3+18*1+(6),,,"J1 B - Butcher Terrace")&amp;":"&amp;ADDRESS(130,3+18*1+(6))),'J1 B - Butcher Terrace'!$A$12:$A$130,"&gt;="&amp;Diagram!$O75,'J1 B - Butcher Terrace'!$A$12:$A$130,"&lt;"&amp;Diagram!$P75),SUMIFS(INDIRECT(ADDRESS(12,3+18*1+(14),,,"J1 B - Butcher Terrace")&amp;":"&amp;ADDRESS(130,3+18*1+(14))),'J1 B - Butcher Terrace'!$A$12:$A$130,"&gt;="&amp;Diagram!$O75,'J1 B - Butcher Terrace'!$A$12:$A$130,"&lt;"&amp;Diagram!$P75)))</f>
        <v>1</v>
      </c>
      <c r="DY75" s="42">
        <f ca="1">IF(OR($I$10="",$O75="",$P75="",$J$41&lt;&gt;"Yes"),0,IF($K$10=0,SUMIFS(INDIRECT(ADDRESS(12,3+18*1+(6),,,"J1 C - (South) Bishopthorpe Roa")&amp;":"&amp;ADDRESS(130,3+18*1+(6))),'J1 C - (South) Bishopthorpe Roa'!$A$12:$A$130,"&gt;="&amp;Diagram!$O75,'J1 C - (South) Bishopthorpe Roa'!$A$12:$A$130,"&lt;"&amp;Diagram!$P75),SUMIFS(INDIRECT(ADDRESS(12,3+18*1+(14),,,"J1 C - (South) Bishopthorpe Roa")&amp;":"&amp;ADDRESS(130,3+18*1+(14))),'J1 C - (South) Bishopthorpe Roa'!$A$12:$A$130,"&gt;="&amp;Diagram!$O75,'J1 C - (South) Bishopthorpe Roa'!$A$12:$A$130,"&lt;"&amp;Diagram!$P75)))</f>
        <v>4</v>
      </c>
      <c r="DZ75" s="42">
        <f ca="1">IF(OR($I$10="",$O75="",$P75="",$J$41&lt;&gt;"Yes"),0,IF($K$10=0,SUMIFS(INDIRECT(ADDRESS(12,3+18*2+(6),,,"J1 C - (South) Bishopthorpe Roa")&amp;":"&amp;ADDRESS(130,3+18*2+(6))),'J1 C - (South) Bishopthorpe Roa'!$A$12:$A$130,"&gt;="&amp;Diagram!$O75,'J1 C - (South) Bishopthorpe Roa'!$A$12:$A$130,"&lt;"&amp;Diagram!$P75),SUMIFS(INDIRECT(ADDRESS(12,3+18*2+(14),,,"J1 C - (South) Bishopthorpe Roa")&amp;":"&amp;ADDRESS(130,3+18*2+(14))),'J1 C - (South) Bishopthorpe Roa'!$A$12:$A$130,"&gt;="&amp;Diagram!$O75,'J1 C - (South) Bishopthorpe Roa'!$A$12:$A$130,"&lt;"&amp;Diagram!$P75)))</f>
        <v>1</v>
      </c>
      <c r="EA75" s="42">
        <f ca="1">IF(OR($I$10="",$O75="",$P75="",$J$41&lt;&gt;"Yes"),0,IF($K$10=0,SUMIFS(INDIRECT(ADDRESS(12,3+18*3+(6),,,"J1 C - (South) Bishopthorpe Roa")&amp;":"&amp;ADDRESS(130,3+18*3+(6))),'J1 C - (South) Bishopthorpe Roa'!$A$12:$A$130,"&gt;="&amp;Diagram!$O75,'J1 C - (South) Bishopthorpe Roa'!$A$12:$A$130,"&lt;"&amp;Diagram!$P75),SUMIFS(INDIRECT(ADDRESS(12,3+18*3+(14),,,"J1 C - (South) Bishopthorpe Roa")&amp;":"&amp;ADDRESS(130,3+18*3+(14))),'J1 C - (South) Bishopthorpe Roa'!$A$12:$A$130,"&gt;="&amp;Diagram!$O75,'J1 C - (South) Bishopthorpe Roa'!$A$12:$A$130,"&lt;"&amp;Diagram!$P75)))</f>
        <v>0</v>
      </c>
      <c r="EB75" s="42">
        <f ca="1">IF(OR($I$10="",$O75="",$P75="",$J$41&lt;&gt;"Yes"),0,IF($K$10=0,SUMIFS(INDIRECT(ADDRESS(12,3+18*0+(6),,,"J1 C - (South) Bishopthorpe Roa")&amp;":"&amp;ADDRESS(130,3+18*0+(6))),'J1 C - (South) Bishopthorpe Roa'!$A$12:$A$130,"&gt;="&amp;Diagram!$O75,'J1 C - (South) Bishopthorpe Roa'!$A$12:$A$130,"&lt;"&amp;Diagram!$P75),SUMIFS(INDIRECT(ADDRESS(12,3+18*0+(14),,,"J1 C - (South) Bishopthorpe Roa")&amp;":"&amp;ADDRESS(130,3+18*0+(14))),'J1 C - (South) Bishopthorpe Roa'!$A$12:$A$130,"&gt;="&amp;Diagram!$O75,'J1 C - (South) Bishopthorpe Roa'!$A$12:$A$130,"&lt;"&amp;Diagram!$P75)))</f>
        <v>0</v>
      </c>
      <c r="EC75" s="42">
        <f ca="1">IF(OR($I$10="",$O75="",$P75="",$J$41&lt;&gt;"Yes"),0,IF($K$10=0,SUMIFS(INDIRECT(ADDRESS(12,3+18*0+(6),,,"J1 D - South Bank Avenue")&amp;":"&amp;ADDRESS(130,3+18*0+(6))),'J1 D - South Bank Avenue'!$A$12:$A$130,"&gt;="&amp;Diagram!$O75,'J1 D - South Bank Avenue'!$A$12:$A$130,"&lt;"&amp;Diagram!$P75),SUMIFS(INDIRECT(ADDRESS(12,3+18*0+(14),,,"J1 D - South Bank Avenue")&amp;":"&amp;ADDRESS(130,3+18*0+(14))),'J1 D - South Bank Avenue'!$A$12:$A$130,"&gt;="&amp;Diagram!$O75,'J1 D - South Bank Avenue'!$A$12:$A$130,"&lt;"&amp;Diagram!$P75)))</f>
        <v>0</v>
      </c>
      <c r="ED75" s="42">
        <f ca="1">IF(OR($I$10="",$O75="",$P75="",$J$41&lt;&gt;"Yes"),0,IF($K$10=0,SUMIFS(INDIRECT(ADDRESS(12,3+18*1+(6),,,"J1 D - South Bank Avenue")&amp;":"&amp;ADDRESS(130,3+18*1+(6))),'J1 D - South Bank Avenue'!$A$12:$A$130,"&gt;="&amp;Diagram!$O75,'J1 D - South Bank Avenue'!$A$12:$A$130,"&lt;"&amp;Diagram!$P75),SUMIFS(INDIRECT(ADDRESS(12,3+18*1+(14),,,"J1 D - South Bank Avenue")&amp;":"&amp;ADDRESS(130,3+18*1+(14))),'J1 D - South Bank Avenue'!$A$12:$A$130,"&gt;="&amp;Diagram!$O75,'J1 D - South Bank Avenue'!$A$12:$A$130,"&lt;"&amp;Diagram!$P75)))</f>
        <v>0</v>
      </c>
      <c r="EE75" s="42">
        <f ca="1">IF(OR($I$10="",$O75="",$P75="",$J$41&lt;&gt;"Yes"),0,IF($K$10=0,SUMIFS(INDIRECT(ADDRESS(12,3+18*2+(6),,,"J1 D - South Bank Avenue")&amp;":"&amp;ADDRESS(130,3+18*2+(6))),'J1 D - South Bank Avenue'!$A$12:$A$130,"&gt;="&amp;Diagram!$O75,'J1 D - South Bank Avenue'!$A$12:$A$130,"&lt;"&amp;Diagram!$P75),SUMIFS(INDIRECT(ADDRESS(12,3+18*2+(14),,,"J1 D - South Bank Avenue")&amp;":"&amp;ADDRESS(130,3+18*2+(14))),'J1 D - South Bank Avenue'!$A$12:$A$130,"&gt;="&amp;Diagram!$O75,'J1 D - South Bank Avenue'!$A$12:$A$130,"&lt;"&amp;Diagram!$P75)))</f>
        <v>0</v>
      </c>
      <c r="EF75" s="42">
        <f ca="1">IF(OR($I$10="",$O75="",$P75="",$J$41&lt;&gt;"Yes"),0,IF($K$10=0,SUMIFS(INDIRECT(ADDRESS(12,3+18*3+(6),,,"J1 D - South Bank Avenue")&amp;":"&amp;ADDRESS(130,3+18*3+(6))),'J1 D - South Bank Avenue'!$A$12:$A$130,"&gt;="&amp;Diagram!$O75,'J1 D - South Bank Avenue'!$A$12:$A$130,"&lt;"&amp;Diagram!$P75),SUMIFS(INDIRECT(ADDRESS(12,3+18*3+(14),,,"J1 D - South Bank Avenue")&amp;":"&amp;ADDRESS(130,3+18*3+(14))),'J1 D - South Bank Avenue'!$A$12:$A$130,"&gt;="&amp;Diagram!$O75,'J1 D - South Bank Avenue'!$A$12:$A$130,"&lt;"&amp;Diagram!$P75)))</f>
        <v>0</v>
      </c>
      <c r="EG75" s="42">
        <f t="shared" ca="1" si="18"/>
        <v>0</v>
      </c>
      <c r="EH75" s="42">
        <f ca="1">IF(OR($I$10="",$O75="",$P75="",$J$42&lt;&gt;"Yes"),0,IF($K$10=0,SUMIFS(INDIRECT(ADDRESS(12,3+18*3+(7),,,"J1 A - (North) Bishopthorpe Roa")&amp;":"&amp;ADDRESS(130,3+18*3+(7))),'J1 A - (North) Bishopthorpe Roa'!$A$12:$A$130,"&gt;="&amp;Diagram!$O75,'J1 A - (North) Bishopthorpe Roa'!$A$12:$A$130,"&lt;"&amp;Diagram!$P75),SUMIFS(INDIRECT(ADDRESS(12,3+18*3+(15),,,"J1 A - (North) Bishopthorpe Roa")&amp;":"&amp;ADDRESS(130,3+18*3+(15))),'J1 A - (North) Bishopthorpe Roa'!$A$12:$A$130,"&gt;="&amp;Diagram!$O75,'J1 A - (North) Bishopthorpe Roa'!$A$12:$A$130,"&lt;"&amp;Diagram!$P75)))</f>
        <v>0</v>
      </c>
      <c r="EI75" s="42">
        <f ca="1">IF(OR($I$10="",$O75="",$P75="",$J$42&lt;&gt;"Yes"),0,IF($K$10=0,SUMIFS(INDIRECT(ADDRESS(12,3+18*0+(7),,,"J1 A - (North) Bishopthorpe Roa")&amp;":"&amp;ADDRESS(130,3+18*0+(7))),'J1 A - (North) Bishopthorpe Roa'!$A$12:$A$130,"&gt;="&amp;Diagram!$O75,'J1 A - (North) Bishopthorpe Roa'!$A$12:$A$130,"&lt;"&amp;Diagram!$P75),SUMIFS(INDIRECT(ADDRESS(12,3+18*0+(15),,,"J1 A - (North) Bishopthorpe Roa")&amp;":"&amp;ADDRESS(130,3+18*0+(15))),'J1 A - (North) Bishopthorpe Roa'!$A$12:$A$130,"&gt;="&amp;Diagram!$O75,'J1 A - (North) Bishopthorpe Roa'!$A$12:$A$130,"&lt;"&amp;Diagram!$P75)))</f>
        <v>0</v>
      </c>
      <c r="EJ75" s="42">
        <f ca="1">IF(OR($I$10="",$O75="",$P75="",$J$42&lt;&gt;"Yes"),0,IF($K$10=0,SUMIFS(INDIRECT(ADDRESS(12,3+18*1+(7),,,"J1 A - (North) Bishopthorpe Roa")&amp;":"&amp;ADDRESS(130,3+18*1+(7))),'J1 A - (North) Bishopthorpe Roa'!$A$12:$A$130,"&gt;="&amp;Diagram!$O75,'J1 A - (North) Bishopthorpe Roa'!$A$12:$A$130,"&lt;"&amp;Diagram!$P75),SUMIFS(INDIRECT(ADDRESS(12,3+18*1+(15),,,"J1 A - (North) Bishopthorpe Roa")&amp;":"&amp;ADDRESS(130,3+18*1+(15))),'J1 A - (North) Bishopthorpe Roa'!$A$12:$A$130,"&gt;="&amp;Diagram!$O75,'J1 A - (North) Bishopthorpe Roa'!$A$12:$A$130,"&lt;"&amp;Diagram!$P75)))</f>
        <v>0</v>
      </c>
      <c r="EK75" s="42">
        <f ca="1">IF(OR($I$10="",$O75="",$P75="",$J$42&lt;&gt;"Yes"),0,IF($K$10=0,SUMIFS(INDIRECT(ADDRESS(12,3+18*2+(7),,,"J1 A - (North) Bishopthorpe Roa")&amp;":"&amp;ADDRESS(130,3+18*2+(7))),'J1 A - (North) Bishopthorpe Roa'!$A$12:$A$130,"&gt;="&amp;Diagram!$O75,'J1 A - (North) Bishopthorpe Roa'!$A$12:$A$130,"&lt;"&amp;Diagram!$P75),SUMIFS(INDIRECT(ADDRESS(12,3+18*2+(15),,,"J1 A - (North) Bishopthorpe Roa")&amp;":"&amp;ADDRESS(130,3+18*2+(15))),'J1 A - (North) Bishopthorpe Roa'!$A$12:$A$130,"&gt;="&amp;Diagram!$O75,'J1 A - (North) Bishopthorpe Roa'!$A$12:$A$130,"&lt;"&amp;Diagram!$P75)))</f>
        <v>0</v>
      </c>
      <c r="EL75" s="42">
        <f ca="1">IF(OR($I$10="",$O75="",$P75="",$J$42&lt;&gt;"Yes"),0,IF($K$10=0,SUMIFS(INDIRECT(ADDRESS(12,3+18*2+(7),,,"J1 B - Butcher Terrace")&amp;":"&amp;ADDRESS(130,3+18*2+(7))),'J1 B - Butcher Terrace'!$A$12:$A$130,"&gt;="&amp;Diagram!$O75,'J1 B - Butcher Terrace'!$A$12:$A$130,"&lt;"&amp;Diagram!$P75),SUMIFS(INDIRECT(ADDRESS(12,3+18*2+(15),,,"J1 B - Butcher Terrace")&amp;":"&amp;ADDRESS(130,3+18*2+(15))),'J1 B - Butcher Terrace'!$A$12:$A$130,"&gt;="&amp;Diagram!$O75,'J1 B - Butcher Terrace'!$A$12:$A$130,"&lt;"&amp;Diagram!$P75)))</f>
        <v>0</v>
      </c>
      <c r="EM75" s="42">
        <f ca="1">IF(OR($I$10="",$O75="",$P75="",$J$42&lt;&gt;"Yes"),0,IF($K$10=0,SUMIFS(INDIRECT(ADDRESS(12,3+18*3+(7),,,"J1 B - Butcher Terrace")&amp;":"&amp;ADDRESS(130,3+18*3+(7))),'J1 B - Butcher Terrace'!$A$12:$A$130,"&gt;="&amp;Diagram!$O75,'J1 B - Butcher Terrace'!$A$12:$A$130,"&lt;"&amp;Diagram!$P75),SUMIFS(INDIRECT(ADDRESS(12,3+18*3+(15),,,"J1 B - Butcher Terrace")&amp;":"&amp;ADDRESS(130,3+18*3+(15))),'J1 B - Butcher Terrace'!$A$12:$A$130,"&gt;="&amp;Diagram!$O75,'J1 B - Butcher Terrace'!$A$12:$A$130,"&lt;"&amp;Diagram!$P75)))</f>
        <v>0</v>
      </c>
      <c r="EN75" s="42">
        <f ca="1">IF(OR($I$10="",$O75="",$P75="",$J$42&lt;&gt;"Yes"),0,IF($K$10=0,SUMIFS(INDIRECT(ADDRESS(12,3+18*0+(7),,,"J1 B - Butcher Terrace")&amp;":"&amp;ADDRESS(130,3+18*0+(7))),'J1 B - Butcher Terrace'!$A$12:$A$130,"&gt;="&amp;Diagram!$O75,'J1 B - Butcher Terrace'!$A$12:$A$130,"&lt;"&amp;Diagram!$P75),SUMIFS(INDIRECT(ADDRESS(12,3+18*0+(15),,,"J1 B - Butcher Terrace")&amp;":"&amp;ADDRESS(130,3+18*0+(15))),'J1 B - Butcher Terrace'!$A$12:$A$130,"&gt;="&amp;Diagram!$O75,'J1 B - Butcher Terrace'!$A$12:$A$130,"&lt;"&amp;Diagram!$P75)))</f>
        <v>0</v>
      </c>
      <c r="EO75" s="42">
        <f ca="1">IF(OR($I$10="",$O75="",$P75="",$J$42&lt;&gt;"Yes"),0,IF($K$10=0,SUMIFS(INDIRECT(ADDRESS(12,3+18*1+(7),,,"J1 B - Butcher Terrace")&amp;":"&amp;ADDRESS(130,3+18*1+(7))),'J1 B - Butcher Terrace'!$A$12:$A$130,"&gt;="&amp;Diagram!$O75,'J1 B - Butcher Terrace'!$A$12:$A$130,"&lt;"&amp;Diagram!$P75),SUMIFS(INDIRECT(ADDRESS(12,3+18*1+(15),,,"J1 B - Butcher Terrace")&amp;":"&amp;ADDRESS(130,3+18*1+(15))),'J1 B - Butcher Terrace'!$A$12:$A$130,"&gt;="&amp;Diagram!$O75,'J1 B - Butcher Terrace'!$A$12:$A$130,"&lt;"&amp;Diagram!$P75)))</f>
        <v>0</v>
      </c>
      <c r="EP75" s="42">
        <f ca="1">IF(OR($I$10="",$O75="",$P75="",$J$42&lt;&gt;"Yes"),0,IF($K$10=0,SUMIFS(INDIRECT(ADDRESS(12,3+18*1+(7),,,"J1 C - (South) Bishopthorpe Roa")&amp;":"&amp;ADDRESS(130,3+18*1+(7))),'J1 C - (South) Bishopthorpe Roa'!$A$12:$A$130,"&gt;="&amp;Diagram!$O75,'J1 C - (South) Bishopthorpe Roa'!$A$12:$A$130,"&lt;"&amp;Diagram!$P75),SUMIFS(INDIRECT(ADDRESS(12,3+18*1+(15),,,"J1 C - (South) Bishopthorpe Roa")&amp;":"&amp;ADDRESS(130,3+18*1+(15))),'J1 C - (South) Bishopthorpe Roa'!$A$12:$A$130,"&gt;="&amp;Diagram!$O75,'J1 C - (South) Bishopthorpe Roa'!$A$12:$A$130,"&lt;"&amp;Diagram!$P75)))</f>
        <v>0</v>
      </c>
      <c r="EQ75" s="42">
        <f ca="1">IF(OR($I$10="",$O75="",$P75="",$J$42&lt;&gt;"Yes"),0,IF($K$10=0,SUMIFS(INDIRECT(ADDRESS(12,3+18*2+(7),,,"J1 C - (South) Bishopthorpe Roa")&amp;":"&amp;ADDRESS(130,3+18*2+(7))),'J1 C - (South) Bishopthorpe Roa'!$A$12:$A$130,"&gt;="&amp;Diagram!$O75,'J1 C - (South) Bishopthorpe Roa'!$A$12:$A$130,"&lt;"&amp;Diagram!$P75),SUMIFS(INDIRECT(ADDRESS(12,3+18*2+(15),,,"J1 C - (South) Bishopthorpe Roa")&amp;":"&amp;ADDRESS(130,3+18*2+(15))),'J1 C - (South) Bishopthorpe Roa'!$A$12:$A$130,"&gt;="&amp;Diagram!$O75,'J1 C - (South) Bishopthorpe Roa'!$A$12:$A$130,"&lt;"&amp;Diagram!$P75)))</f>
        <v>0</v>
      </c>
      <c r="ER75" s="42">
        <f ca="1">IF(OR($I$10="",$O75="",$P75="",$J$42&lt;&gt;"Yes"),0,IF($K$10=0,SUMIFS(INDIRECT(ADDRESS(12,3+18*3+(7),,,"J1 C - (South) Bishopthorpe Roa")&amp;":"&amp;ADDRESS(130,3+18*3+(7))),'J1 C - (South) Bishopthorpe Roa'!$A$12:$A$130,"&gt;="&amp;Diagram!$O75,'J1 C - (South) Bishopthorpe Roa'!$A$12:$A$130,"&lt;"&amp;Diagram!$P75),SUMIFS(INDIRECT(ADDRESS(12,3+18*3+(15),,,"J1 C - (South) Bishopthorpe Roa")&amp;":"&amp;ADDRESS(130,3+18*3+(15))),'J1 C - (South) Bishopthorpe Roa'!$A$12:$A$130,"&gt;="&amp;Diagram!$O75,'J1 C - (South) Bishopthorpe Roa'!$A$12:$A$130,"&lt;"&amp;Diagram!$P75)))</f>
        <v>0</v>
      </c>
      <c r="ES75" s="42">
        <f ca="1">IF(OR($I$10="",$O75="",$P75="",$J$42&lt;&gt;"Yes"),0,IF($K$10=0,SUMIFS(INDIRECT(ADDRESS(12,3+18*0+(7),,,"J1 C - (South) Bishopthorpe Roa")&amp;":"&amp;ADDRESS(130,3+18*0+(7))),'J1 C - (South) Bishopthorpe Roa'!$A$12:$A$130,"&gt;="&amp;Diagram!$O75,'J1 C - (South) Bishopthorpe Roa'!$A$12:$A$130,"&lt;"&amp;Diagram!$P75),SUMIFS(INDIRECT(ADDRESS(12,3+18*0+(15),,,"J1 C - (South) Bishopthorpe Roa")&amp;":"&amp;ADDRESS(130,3+18*0+(15))),'J1 C - (South) Bishopthorpe Roa'!$A$12:$A$130,"&gt;="&amp;Diagram!$O75,'J1 C - (South) Bishopthorpe Roa'!$A$12:$A$130,"&lt;"&amp;Diagram!$P75)))</f>
        <v>0</v>
      </c>
      <c r="ET75" s="42">
        <f ca="1">IF(OR($I$10="",$O75="",$P75="",$J$42&lt;&gt;"Yes"),0,IF($K$10=0,SUMIFS(INDIRECT(ADDRESS(12,3+18*0+(7),,,"J1 D - South Bank Avenue")&amp;":"&amp;ADDRESS(130,3+18*0+(7))),'J1 D - South Bank Avenue'!$A$12:$A$130,"&gt;="&amp;Diagram!$O75,'J1 D - South Bank Avenue'!$A$12:$A$130,"&lt;"&amp;Diagram!$P75),SUMIFS(INDIRECT(ADDRESS(12,3+18*0+(15),,,"J1 D - South Bank Avenue")&amp;":"&amp;ADDRESS(130,3+18*0+(15))),'J1 D - South Bank Avenue'!$A$12:$A$130,"&gt;="&amp;Diagram!$O75,'J1 D - South Bank Avenue'!$A$12:$A$130,"&lt;"&amp;Diagram!$P75)))</f>
        <v>0</v>
      </c>
      <c r="EU75" s="42">
        <f ca="1">IF(OR($I$10="",$O75="",$P75="",$J$42&lt;&gt;"Yes"),0,IF($K$10=0,SUMIFS(INDIRECT(ADDRESS(12,3+18*1+(7),,,"J1 D - South Bank Avenue")&amp;":"&amp;ADDRESS(130,3+18*1+(7))),'J1 D - South Bank Avenue'!$A$12:$A$130,"&gt;="&amp;Diagram!$O75,'J1 D - South Bank Avenue'!$A$12:$A$130,"&lt;"&amp;Diagram!$P75),SUMIFS(INDIRECT(ADDRESS(12,3+18*1+(15),,,"J1 D - South Bank Avenue")&amp;":"&amp;ADDRESS(130,3+18*1+(15))),'J1 D - South Bank Avenue'!$A$12:$A$130,"&gt;="&amp;Diagram!$O75,'J1 D - South Bank Avenue'!$A$12:$A$130,"&lt;"&amp;Diagram!$P75)))</f>
        <v>0</v>
      </c>
      <c r="EV75" s="42">
        <f ca="1">IF(OR($I$10="",$O75="",$P75="",$J$42&lt;&gt;"Yes"),0,IF($K$10=0,SUMIFS(INDIRECT(ADDRESS(12,3+18*2+(7),,,"J1 D - South Bank Avenue")&amp;":"&amp;ADDRESS(130,3+18*2+(7))),'J1 D - South Bank Avenue'!$A$12:$A$130,"&gt;="&amp;Diagram!$O75,'J1 D - South Bank Avenue'!$A$12:$A$130,"&lt;"&amp;Diagram!$P75),SUMIFS(INDIRECT(ADDRESS(12,3+18*2+(15),,,"J1 D - South Bank Avenue")&amp;":"&amp;ADDRESS(130,3+18*2+(15))),'J1 D - South Bank Avenue'!$A$12:$A$130,"&gt;="&amp;Diagram!$O75,'J1 D - South Bank Avenue'!$A$12:$A$130,"&lt;"&amp;Diagram!$P75)))</f>
        <v>0</v>
      </c>
      <c r="EW75" s="42">
        <f ca="1">IF(OR($I$10="",$O75="",$P75="",$J$42&lt;&gt;"Yes"),0,IF($K$10=0,SUMIFS(INDIRECT(ADDRESS(12,3+18*3+(7),,,"J1 D - South Bank Avenue")&amp;":"&amp;ADDRESS(130,3+18*3+(7))),'J1 D - South Bank Avenue'!$A$12:$A$130,"&gt;="&amp;Diagram!$O75,'J1 D - South Bank Avenue'!$A$12:$A$130,"&lt;"&amp;Diagram!$P75),SUMIFS(INDIRECT(ADDRESS(12,3+18*3+(15),,,"J1 D - South Bank Avenue")&amp;":"&amp;ADDRESS(130,3+18*3+(15))),'J1 D - South Bank Avenue'!$A$12:$A$130,"&gt;="&amp;Diagram!$O75,'J1 D - South Bank Avenue'!$A$12:$A$130,"&lt;"&amp;Diagram!$P75)))</f>
        <v>0</v>
      </c>
    </row>
    <row r="76" spans="1:153">
      <c r="A76" s="1">
        <v>44395.78125</v>
      </c>
      <c r="B76" s="1">
        <v>44395.791666666701</v>
      </c>
      <c r="O76" s="3">
        <v>44395.78125</v>
      </c>
      <c r="P76" s="3">
        <v>44395.822916666701</v>
      </c>
      <c r="Q76" s="42">
        <f t="shared" ca="1" si="10"/>
        <v>563</v>
      </c>
      <c r="R76" s="42">
        <f t="shared" ca="1" si="11"/>
        <v>443</v>
      </c>
      <c r="S76" s="42">
        <f ca="1">IF(OR($I$10="",$O76="",$P76="",$J$35&lt;&gt;"Yes"),0,IF($K$10=0,SUMIFS(INDIRECT(ADDRESS(12,3+18*3+(0),,,"J1 A - (North) Bishopthorpe Roa")&amp;":"&amp;ADDRESS(130,3+18*3+(0))),'J1 A - (North) Bishopthorpe Roa'!$A$12:$A$130,"&gt;="&amp;Diagram!$O76,'J1 A - (North) Bishopthorpe Roa'!$A$12:$A$130,"&lt;"&amp;Diagram!$P76),SUMIFS(INDIRECT(ADDRESS(12,3+18*3+(8),,,"J1 A - (North) Bishopthorpe Roa")&amp;":"&amp;ADDRESS(130,3+18*3+(8))),'J1 A - (North) Bishopthorpe Roa'!$A$12:$A$130,"&gt;="&amp;Diagram!$O76,'J1 A - (North) Bishopthorpe Roa'!$A$12:$A$130,"&lt;"&amp;Diagram!$P76)))</f>
        <v>2</v>
      </c>
      <c r="T76" s="42">
        <f ca="1">IF(OR($I$10="",$O76="",$P76="",$J$35&lt;&gt;"Yes"),0,IF($K$10=0,SUMIFS(INDIRECT(ADDRESS(12,3+18*0+(0),,,"J1 A - (North) Bishopthorpe Roa")&amp;":"&amp;ADDRESS(130,3+18*0+(0))),'J1 A - (North) Bishopthorpe Roa'!$A$12:$A$130,"&gt;="&amp;Diagram!$O76,'J1 A - (North) Bishopthorpe Roa'!$A$12:$A$130,"&lt;"&amp;Diagram!$P76),SUMIFS(INDIRECT(ADDRESS(12,3+18*0+(8),,,"J1 A - (North) Bishopthorpe Roa")&amp;":"&amp;ADDRESS(130,3+18*0+(8))),'J1 A - (North) Bishopthorpe Roa'!$A$12:$A$130,"&gt;="&amp;Diagram!$O76,'J1 A - (North) Bishopthorpe Roa'!$A$12:$A$130,"&lt;"&amp;Diagram!$P76)))</f>
        <v>20</v>
      </c>
      <c r="U76" s="42">
        <f ca="1">IF(OR($I$10="",$O76="",$P76="",$J$35&lt;&gt;"Yes"),0,IF($K$10=0,SUMIFS(INDIRECT(ADDRESS(12,3+18*1+(0),,,"J1 A - (North) Bishopthorpe Roa")&amp;":"&amp;ADDRESS(130,3+18*1+(0))),'J1 A - (North) Bishopthorpe Roa'!$A$12:$A$130,"&gt;="&amp;Diagram!$O76,'J1 A - (North) Bishopthorpe Roa'!$A$12:$A$130,"&lt;"&amp;Diagram!$P76),SUMIFS(INDIRECT(ADDRESS(12,3+18*1+(8),,,"J1 A - (North) Bishopthorpe Roa")&amp;":"&amp;ADDRESS(130,3+18*1+(8))),'J1 A - (North) Bishopthorpe Roa'!$A$12:$A$130,"&gt;="&amp;Diagram!$O76,'J1 A - (North) Bishopthorpe Roa'!$A$12:$A$130,"&lt;"&amp;Diagram!$P76)))</f>
        <v>185</v>
      </c>
      <c r="V76" s="42">
        <f ca="1">IF(OR($I$10="",$O76="",$P76="",$J$35&lt;&gt;"Yes"),0,IF($K$10=0,SUMIFS(INDIRECT(ADDRESS(12,3+18*2+(0),,,"J1 A - (North) Bishopthorpe Roa")&amp;":"&amp;ADDRESS(130,3+18*2+(0))),'J1 A - (North) Bishopthorpe Roa'!$A$12:$A$130,"&gt;="&amp;Diagram!$O76,'J1 A - (North) Bishopthorpe Roa'!$A$12:$A$130,"&lt;"&amp;Diagram!$P76),SUMIFS(INDIRECT(ADDRESS(12,3+18*2+(8),,,"J1 A - (North) Bishopthorpe Roa")&amp;":"&amp;ADDRESS(130,3+18*2+(8))),'J1 A - (North) Bishopthorpe Roa'!$A$12:$A$130,"&gt;="&amp;Diagram!$O76,'J1 A - (North) Bishopthorpe Roa'!$A$12:$A$130,"&lt;"&amp;Diagram!$P76)))</f>
        <v>21</v>
      </c>
      <c r="W76" s="42">
        <f ca="1">IF(OR($I$10="",$O76="",$P76="",$J$35&lt;&gt;"Yes"),0,IF($K$10=0,SUMIFS(INDIRECT(ADDRESS(12,3+18*2+(0),,,"J1 B - Butcher Terrace")&amp;":"&amp;ADDRESS(130,3+18*2+(0))),'J1 B - Butcher Terrace'!$A$12:$A$130,"&gt;="&amp;Diagram!$O76,'J1 B - Butcher Terrace'!$A$12:$A$130,"&lt;"&amp;Diagram!$P76),SUMIFS(INDIRECT(ADDRESS(12,3+18*2+(8),,,"J1 B - Butcher Terrace")&amp;":"&amp;ADDRESS(130,3+18*2+(8))),'J1 B - Butcher Terrace'!$A$12:$A$130,"&gt;="&amp;Diagram!$O76,'J1 B - Butcher Terrace'!$A$12:$A$130,"&lt;"&amp;Diagram!$P76)))</f>
        <v>8</v>
      </c>
      <c r="X76" s="42">
        <f ca="1">IF(OR($I$10="",$O76="",$P76="",$J$35&lt;&gt;"Yes"),0,IF($K$10=0,SUMIFS(INDIRECT(ADDRESS(12,3+18*3+(0),,,"J1 B - Butcher Terrace")&amp;":"&amp;ADDRESS(130,3+18*3+(0))),'J1 B - Butcher Terrace'!$A$12:$A$130,"&gt;="&amp;Diagram!$O76,'J1 B - Butcher Terrace'!$A$12:$A$130,"&lt;"&amp;Diagram!$P76),SUMIFS(INDIRECT(ADDRESS(12,3+18*3+(8),,,"J1 B - Butcher Terrace")&amp;":"&amp;ADDRESS(130,3+18*3+(8))),'J1 B - Butcher Terrace'!$A$12:$A$130,"&gt;="&amp;Diagram!$O76,'J1 B - Butcher Terrace'!$A$12:$A$130,"&lt;"&amp;Diagram!$P76)))</f>
        <v>0</v>
      </c>
      <c r="Y76" s="42">
        <f ca="1">IF(OR($I$10="",$O76="",$P76="",$J$35&lt;&gt;"Yes"),0,IF($K$10=0,SUMIFS(INDIRECT(ADDRESS(12,3+18*0+(0),,,"J1 B - Butcher Terrace")&amp;":"&amp;ADDRESS(130,3+18*0+(0))),'J1 B - Butcher Terrace'!$A$12:$A$130,"&gt;="&amp;Diagram!$O76,'J1 B - Butcher Terrace'!$A$12:$A$130,"&lt;"&amp;Diagram!$P76),SUMIFS(INDIRECT(ADDRESS(12,3+18*0+(8),,,"J1 B - Butcher Terrace")&amp;":"&amp;ADDRESS(130,3+18*0+(8))),'J1 B - Butcher Terrace'!$A$12:$A$130,"&gt;="&amp;Diagram!$O76,'J1 B - Butcher Terrace'!$A$12:$A$130,"&lt;"&amp;Diagram!$P76)))</f>
        <v>9</v>
      </c>
      <c r="Z76" s="42">
        <f ca="1">IF(OR($I$10="",$O76="",$P76="",$J$35&lt;&gt;"Yes"),0,IF($K$10=0,SUMIFS(INDIRECT(ADDRESS(12,3+18*1+(0),,,"J1 B - Butcher Terrace")&amp;":"&amp;ADDRESS(130,3+18*1+(0))),'J1 B - Butcher Terrace'!$A$12:$A$130,"&gt;="&amp;Diagram!$O76,'J1 B - Butcher Terrace'!$A$12:$A$130,"&lt;"&amp;Diagram!$P76),SUMIFS(INDIRECT(ADDRESS(12,3+18*1+(8),,,"J1 B - Butcher Terrace")&amp;":"&amp;ADDRESS(130,3+18*1+(8))),'J1 B - Butcher Terrace'!$A$12:$A$130,"&gt;="&amp;Diagram!$O76,'J1 B - Butcher Terrace'!$A$12:$A$130,"&lt;"&amp;Diagram!$P76)))</f>
        <v>0</v>
      </c>
      <c r="AA76" s="42">
        <f ca="1">IF(OR($I$10="",$O76="",$P76="",$J$35&lt;&gt;"Yes"),0,IF($K$10=0,SUMIFS(INDIRECT(ADDRESS(12,3+18*1+(0),,,"J1 C - (South) Bishopthorpe Roa")&amp;":"&amp;ADDRESS(130,3+18*1+(0))),'J1 C - (South) Bishopthorpe Roa'!$A$12:$A$130,"&gt;="&amp;Diagram!$O76,'J1 C - (South) Bishopthorpe Roa'!$A$12:$A$130,"&lt;"&amp;Diagram!$P76),SUMIFS(INDIRECT(ADDRESS(12,3+18*1+(8),,,"J1 C - (South) Bishopthorpe Roa")&amp;":"&amp;ADDRESS(130,3+18*1+(8))),'J1 C - (South) Bishopthorpe Roa'!$A$12:$A$130,"&gt;="&amp;Diagram!$O76,'J1 C - (South) Bishopthorpe Roa'!$A$12:$A$130,"&lt;"&amp;Diagram!$P76)))</f>
        <v>160</v>
      </c>
      <c r="AB76" s="42">
        <f ca="1">IF(OR($I$10="",$O76="",$P76="",$J$35&lt;&gt;"Yes"),0,IF($K$10=0,SUMIFS(INDIRECT(ADDRESS(12,3+18*2+(0),,,"J1 C - (South) Bishopthorpe Roa")&amp;":"&amp;ADDRESS(130,3+18*2+(0))),'J1 C - (South) Bishopthorpe Roa'!$A$12:$A$130,"&gt;="&amp;Diagram!$O76,'J1 C - (South) Bishopthorpe Roa'!$A$12:$A$130,"&lt;"&amp;Diagram!$P76),SUMIFS(INDIRECT(ADDRESS(12,3+18*2+(8),,,"J1 C - (South) Bishopthorpe Roa")&amp;":"&amp;ADDRESS(130,3+18*2+(8))),'J1 C - (South) Bishopthorpe Roa'!$A$12:$A$130,"&gt;="&amp;Diagram!$O76,'J1 C - (South) Bishopthorpe Roa'!$A$12:$A$130,"&lt;"&amp;Diagram!$P76)))</f>
        <v>8</v>
      </c>
      <c r="AC76" s="42">
        <f ca="1">IF(OR($I$10="",$O76="",$P76="",$J$35&lt;&gt;"Yes"),0,IF($K$10=0,SUMIFS(INDIRECT(ADDRESS(12,3+18*3+(0),,,"J1 C - (South) Bishopthorpe Roa")&amp;":"&amp;ADDRESS(130,3+18*3+(0))),'J1 C - (South) Bishopthorpe Roa'!$A$12:$A$130,"&gt;="&amp;Diagram!$O76,'J1 C - (South) Bishopthorpe Roa'!$A$12:$A$130,"&lt;"&amp;Diagram!$P76),SUMIFS(INDIRECT(ADDRESS(12,3+18*3+(8),,,"J1 C - (South) Bishopthorpe Roa")&amp;":"&amp;ADDRESS(130,3+18*3+(8))),'J1 C - (South) Bishopthorpe Roa'!$A$12:$A$130,"&gt;="&amp;Diagram!$O76,'J1 C - (South) Bishopthorpe Roa'!$A$12:$A$130,"&lt;"&amp;Diagram!$P76)))</f>
        <v>0</v>
      </c>
      <c r="AD76" s="42">
        <f ca="1">IF(OR($I$10="",$O76="",$P76="",$J$35&lt;&gt;"Yes"),0,IF($K$10=0,SUMIFS(INDIRECT(ADDRESS(12,3+18*0+(0),,,"J1 C - (South) Bishopthorpe Roa")&amp;":"&amp;ADDRESS(130,3+18*0+(0))),'J1 C - (South) Bishopthorpe Roa'!$A$12:$A$130,"&gt;="&amp;Diagram!$O76,'J1 C - (South) Bishopthorpe Roa'!$A$12:$A$130,"&lt;"&amp;Diagram!$P76),SUMIFS(INDIRECT(ADDRESS(12,3+18*0+(8),,,"J1 C - (South) Bishopthorpe Roa")&amp;":"&amp;ADDRESS(130,3+18*0+(8))),'J1 C - (South) Bishopthorpe Roa'!$A$12:$A$130,"&gt;="&amp;Diagram!$O76,'J1 C - (South) Bishopthorpe Roa'!$A$12:$A$130,"&lt;"&amp;Diagram!$P76)))</f>
        <v>4</v>
      </c>
      <c r="AE76" s="42">
        <f ca="1">IF(OR($I$10="",$O76="",$P76="",$J$35&lt;&gt;"Yes"),0,IF($K$10=0,SUMIFS(INDIRECT(ADDRESS(12,3+18*0+(0),,,"J1 D - South Bank Avenue")&amp;":"&amp;ADDRESS(130,3+18*0+(0))),'J1 D - South Bank Avenue'!$A$12:$A$130,"&gt;="&amp;Diagram!$O76,'J1 D - South Bank Avenue'!$A$12:$A$130,"&lt;"&amp;Diagram!$P76),SUMIFS(INDIRECT(ADDRESS(12,3+18*0+(8),,,"J1 D - South Bank Avenue")&amp;":"&amp;ADDRESS(130,3+18*0+(8))),'J1 D - South Bank Avenue'!$A$12:$A$130,"&gt;="&amp;Diagram!$O76,'J1 D - South Bank Avenue'!$A$12:$A$130,"&lt;"&amp;Diagram!$P76)))</f>
        <v>22</v>
      </c>
      <c r="AF76" s="42">
        <f ca="1">IF(OR($I$10="",$O76="",$P76="",$J$35&lt;&gt;"Yes"),0,IF($K$10=0,SUMIFS(INDIRECT(ADDRESS(12,3+18*1+(0),,,"J1 D - South Bank Avenue")&amp;":"&amp;ADDRESS(130,3+18*1+(0))),'J1 D - South Bank Avenue'!$A$12:$A$130,"&gt;="&amp;Diagram!$O76,'J1 D - South Bank Avenue'!$A$12:$A$130,"&lt;"&amp;Diagram!$P76),SUMIFS(INDIRECT(ADDRESS(12,3+18*1+(8),,,"J1 D - South Bank Avenue")&amp;":"&amp;ADDRESS(130,3+18*1+(8))),'J1 D - South Bank Avenue'!$A$12:$A$130,"&gt;="&amp;Diagram!$O76,'J1 D - South Bank Avenue'!$A$12:$A$130,"&lt;"&amp;Diagram!$P76)))</f>
        <v>2</v>
      </c>
      <c r="AG76" s="42">
        <f ca="1">IF(OR($I$10="",$O76="",$P76="",$J$35&lt;&gt;"Yes"),0,IF($K$10=0,SUMIFS(INDIRECT(ADDRESS(12,3+18*2+(0),,,"J1 D - South Bank Avenue")&amp;":"&amp;ADDRESS(130,3+18*2+(0))),'J1 D - South Bank Avenue'!$A$12:$A$130,"&gt;="&amp;Diagram!$O76,'J1 D - South Bank Avenue'!$A$12:$A$130,"&lt;"&amp;Diagram!$P76),SUMIFS(INDIRECT(ADDRESS(12,3+18*2+(8),,,"J1 D - South Bank Avenue")&amp;":"&amp;ADDRESS(130,3+18*2+(8))),'J1 D - South Bank Avenue'!$A$12:$A$130,"&gt;="&amp;Diagram!$O76,'J1 D - South Bank Avenue'!$A$12:$A$130,"&lt;"&amp;Diagram!$P76)))</f>
        <v>2</v>
      </c>
      <c r="AH76" s="42">
        <f ca="1">IF(OR($I$10="",$O76="",$P76="",$J$35&lt;&gt;"Yes"),0,IF($K$10=0,SUMIFS(INDIRECT(ADDRESS(12,3+18*3+(0),,,"J1 D - South Bank Avenue")&amp;":"&amp;ADDRESS(130,3+18*3+(0))),'J1 D - South Bank Avenue'!$A$12:$A$130,"&gt;="&amp;Diagram!$O76,'J1 D - South Bank Avenue'!$A$12:$A$130,"&lt;"&amp;Diagram!$P76),SUMIFS(INDIRECT(ADDRESS(12,3+18*3+(8),,,"J1 D - South Bank Avenue")&amp;":"&amp;ADDRESS(130,3+18*3+(8))),'J1 D - South Bank Avenue'!$A$12:$A$130,"&gt;="&amp;Diagram!$O76,'J1 D - South Bank Avenue'!$A$12:$A$130,"&lt;"&amp;Diagram!$P76)))</f>
        <v>0</v>
      </c>
      <c r="AI76" s="42">
        <f t="shared" ca="1" si="12"/>
        <v>13</v>
      </c>
      <c r="AJ76" s="42">
        <f ca="1">IF(OR($I$10="",$O76="",$P76="",$J$36&lt;&gt;"Yes"),0,IF($K$10=0,SUMIFS(INDIRECT(ADDRESS(12,3+18*3+(1),,,"J1 A - (North) Bishopthorpe Roa")&amp;":"&amp;ADDRESS(130,3+18*3+(1))),'J1 A - (North) Bishopthorpe Roa'!$A$12:$A$130,"&gt;="&amp;Diagram!$O76,'J1 A - (North) Bishopthorpe Roa'!$A$12:$A$130,"&lt;"&amp;Diagram!$P76),SUMIFS(INDIRECT(ADDRESS(12,3+18*3+(9),,,"J1 A - (North) Bishopthorpe Roa")&amp;":"&amp;ADDRESS(130,3+18*3+(9))),'J1 A - (North) Bishopthorpe Roa'!$A$12:$A$130,"&gt;="&amp;Diagram!$O76,'J1 A - (North) Bishopthorpe Roa'!$A$12:$A$130,"&lt;"&amp;Diagram!$P76)))</f>
        <v>0</v>
      </c>
      <c r="AK76" s="42">
        <f ca="1">IF(OR($I$10="",$O76="",$P76="",$J$36&lt;&gt;"Yes"),0,IF($K$10=0,SUMIFS(INDIRECT(ADDRESS(12,3+18*0+(1),,,"J1 A - (North) Bishopthorpe Roa")&amp;":"&amp;ADDRESS(130,3+18*0+(1))),'J1 A - (North) Bishopthorpe Roa'!$A$12:$A$130,"&gt;="&amp;Diagram!$O76,'J1 A - (North) Bishopthorpe Roa'!$A$12:$A$130,"&lt;"&amp;Diagram!$P76),SUMIFS(INDIRECT(ADDRESS(12,3+18*0+(9),,,"J1 A - (North) Bishopthorpe Roa")&amp;":"&amp;ADDRESS(130,3+18*0+(9))),'J1 A - (North) Bishopthorpe Roa'!$A$12:$A$130,"&gt;="&amp;Diagram!$O76,'J1 A - (North) Bishopthorpe Roa'!$A$12:$A$130,"&lt;"&amp;Diagram!$P76)))</f>
        <v>0</v>
      </c>
      <c r="AL76" s="42">
        <f ca="1">IF(OR($I$10="",$O76="",$P76="",$J$36&lt;&gt;"Yes"),0,IF($K$10=0,SUMIFS(INDIRECT(ADDRESS(12,3+18*1+(1),,,"J1 A - (North) Bishopthorpe Roa")&amp;":"&amp;ADDRESS(130,3+18*1+(1))),'J1 A - (North) Bishopthorpe Roa'!$A$12:$A$130,"&gt;="&amp;Diagram!$O76,'J1 A - (North) Bishopthorpe Roa'!$A$12:$A$130,"&lt;"&amp;Diagram!$P76),SUMIFS(INDIRECT(ADDRESS(12,3+18*1+(9),,,"J1 A - (North) Bishopthorpe Roa")&amp;":"&amp;ADDRESS(130,3+18*1+(9))),'J1 A - (North) Bishopthorpe Roa'!$A$12:$A$130,"&gt;="&amp;Diagram!$O76,'J1 A - (North) Bishopthorpe Roa'!$A$12:$A$130,"&lt;"&amp;Diagram!$P76)))</f>
        <v>4</v>
      </c>
      <c r="AM76" s="42">
        <f ca="1">IF(OR($I$10="",$O76="",$P76="",$J$36&lt;&gt;"Yes"),0,IF($K$10=0,SUMIFS(INDIRECT(ADDRESS(12,3+18*2+(1),,,"J1 A - (North) Bishopthorpe Roa")&amp;":"&amp;ADDRESS(130,3+18*2+(1))),'J1 A - (North) Bishopthorpe Roa'!$A$12:$A$130,"&gt;="&amp;Diagram!$O76,'J1 A - (North) Bishopthorpe Roa'!$A$12:$A$130,"&lt;"&amp;Diagram!$P76),SUMIFS(INDIRECT(ADDRESS(12,3+18*2+(9),,,"J1 A - (North) Bishopthorpe Roa")&amp;":"&amp;ADDRESS(130,3+18*2+(9))),'J1 A - (North) Bishopthorpe Roa'!$A$12:$A$130,"&gt;="&amp;Diagram!$O76,'J1 A - (North) Bishopthorpe Roa'!$A$12:$A$130,"&lt;"&amp;Diagram!$P76)))</f>
        <v>0</v>
      </c>
      <c r="AN76" s="42">
        <f ca="1">IF(OR($I$10="",$O76="",$P76="",$J$36&lt;&gt;"Yes"),0,IF($K$10=0,SUMIFS(INDIRECT(ADDRESS(12,3+18*2+(1),,,"J1 B - Butcher Terrace")&amp;":"&amp;ADDRESS(130,3+18*2+(1))),'J1 B - Butcher Terrace'!$A$12:$A$130,"&gt;="&amp;Diagram!$O76,'J1 B - Butcher Terrace'!$A$12:$A$130,"&lt;"&amp;Diagram!$P76),SUMIFS(INDIRECT(ADDRESS(12,3+18*2+(9),,,"J1 B - Butcher Terrace")&amp;":"&amp;ADDRESS(130,3+18*2+(9))),'J1 B - Butcher Terrace'!$A$12:$A$130,"&gt;="&amp;Diagram!$O76,'J1 B - Butcher Terrace'!$A$12:$A$130,"&lt;"&amp;Diagram!$P76)))</f>
        <v>0</v>
      </c>
      <c r="AO76" s="42">
        <f ca="1">IF(OR($I$10="",$O76="",$P76="",$J$36&lt;&gt;"Yes"),0,IF($K$10=0,SUMIFS(INDIRECT(ADDRESS(12,3+18*3+(1),,,"J1 B - Butcher Terrace")&amp;":"&amp;ADDRESS(130,3+18*3+(1))),'J1 B - Butcher Terrace'!$A$12:$A$130,"&gt;="&amp;Diagram!$O76,'J1 B - Butcher Terrace'!$A$12:$A$130,"&lt;"&amp;Diagram!$P76),SUMIFS(INDIRECT(ADDRESS(12,3+18*3+(9),,,"J1 B - Butcher Terrace")&amp;":"&amp;ADDRESS(130,3+18*3+(9))),'J1 B - Butcher Terrace'!$A$12:$A$130,"&gt;="&amp;Diagram!$O76,'J1 B - Butcher Terrace'!$A$12:$A$130,"&lt;"&amp;Diagram!$P76)))</f>
        <v>0</v>
      </c>
      <c r="AP76" s="42">
        <f ca="1">IF(OR($I$10="",$O76="",$P76="",$J$36&lt;&gt;"Yes"),0,IF($K$10=0,SUMIFS(INDIRECT(ADDRESS(12,3+18*0+(1),,,"J1 B - Butcher Terrace")&amp;":"&amp;ADDRESS(130,3+18*0+(1))),'J1 B - Butcher Terrace'!$A$12:$A$130,"&gt;="&amp;Diagram!$O76,'J1 B - Butcher Terrace'!$A$12:$A$130,"&lt;"&amp;Diagram!$P76),SUMIFS(INDIRECT(ADDRESS(12,3+18*0+(9),,,"J1 B - Butcher Terrace")&amp;":"&amp;ADDRESS(130,3+18*0+(9))),'J1 B - Butcher Terrace'!$A$12:$A$130,"&gt;="&amp;Diagram!$O76,'J1 B - Butcher Terrace'!$A$12:$A$130,"&lt;"&amp;Diagram!$P76)))</f>
        <v>0</v>
      </c>
      <c r="AQ76" s="42">
        <f ca="1">IF(OR($I$10="",$O76="",$P76="",$J$36&lt;&gt;"Yes"),0,IF($K$10=0,SUMIFS(INDIRECT(ADDRESS(12,3+18*1+(1),,,"J1 B - Butcher Terrace")&amp;":"&amp;ADDRESS(130,3+18*1+(1))),'J1 B - Butcher Terrace'!$A$12:$A$130,"&gt;="&amp;Diagram!$O76,'J1 B - Butcher Terrace'!$A$12:$A$130,"&lt;"&amp;Diagram!$P76),SUMIFS(INDIRECT(ADDRESS(12,3+18*1+(9),,,"J1 B - Butcher Terrace")&amp;":"&amp;ADDRESS(130,3+18*1+(9))),'J1 B - Butcher Terrace'!$A$12:$A$130,"&gt;="&amp;Diagram!$O76,'J1 B - Butcher Terrace'!$A$12:$A$130,"&lt;"&amp;Diagram!$P76)))</f>
        <v>0</v>
      </c>
      <c r="AR76" s="42">
        <f ca="1">IF(OR($I$10="",$O76="",$P76="",$J$36&lt;&gt;"Yes"),0,IF($K$10=0,SUMIFS(INDIRECT(ADDRESS(12,3+18*1+(1),,,"J1 C - (South) Bishopthorpe Roa")&amp;":"&amp;ADDRESS(130,3+18*1+(1))),'J1 C - (South) Bishopthorpe Roa'!$A$12:$A$130,"&gt;="&amp;Diagram!$O76,'J1 C - (South) Bishopthorpe Roa'!$A$12:$A$130,"&lt;"&amp;Diagram!$P76),SUMIFS(INDIRECT(ADDRESS(12,3+18*1+(9),,,"J1 C - (South) Bishopthorpe Roa")&amp;":"&amp;ADDRESS(130,3+18*1+(9))),'J1 C - (South) Bishopthorpe Roa'!$A$12:$A$130,"&gt;="&amp;Diagram!$O76,'J1 C - (South) Bishopthorpe Roa'!$A$12:$A$130,"&lt;"&amp;Diagram!$P76)))</f>
        <v>6</v>
      </c>
      <c r="AS76" s="42">
        <f ca="1">IF(OR($I$10="",$O76="",$P76="",$J$36&lt;&gt;"Yes"),0,IF($K$10=0,SUMIFS(INDIRECT(ADDRESS(12,3+18*2+(1),,,"J1 C - (South) Bishopthorpe Roa")&amp;":"&amp;ADDRESS(130,3+18*2+(1))),'J1 C - (South) Bishopthorpe Roa'!$A$12:$A$130,"&gt;="&amp;Diagram!$O76,'J1 C - (South) Bishopthorpe Roa'!$A$12:$A$130,"&lt;"&amp;Diagram!$P76),SUMIFS(INDIRECT(ADDRESS(12,3+18*2+(9),,,"J1 C - (South) Bishopthorpe Roa")&amp;":"&amp;ADDRESS(130,3+18*2+(9))),'J1 C - (South) Bishopthorpe Roa'!$A$12:$A$130,"&gt;="&amp;Diagram!$O76,'J1 C - (South) Bishopthorpe Roa'!$A$12:$A$130,"&lt;"&amp;Diagram!$P76)))</f>
        <v>1</v>
      </c>
      <c r="AT76" s="42">
        <f ca="1">IF(OR($I$10="",$O76="",$P76="",$J$36&lt;&gt;"Yes"),0,IF($K$10=0,SUMIFS(INDIRECT(ADDRESS(12,3+18*3+(1),,,"J1 C - (South) Bishopthorpe Roa")&amp;":"&amp;ADDRESS(130,3+18*3+(1))),'J1 C - (South) Bishopthorpe Roa'!$A$12:$A$130,"&gt;="&amp;Diagram!$O76,'J1 C - (South) Bishopthorpe Roa'!$A$12:$A$130,"&lt;"&amp;Diagram!$P76),SUMIFS(INDIRECT(ADDRESS(12,3+18*3+(9),,,"J1 C - (South) Bishopthorpe Roa")&amp;":"&amp;ADDRESS(130,3+18*3+(9))),'J1 C - (South) Bishopthorpe Roa'!$A$12:$A$130,"&gt;="&amp;Diagram!$O76,'J1 C - (South) Bishopthorpe Roa'!$A$12:$A$130,"&lt;"&amp;Diagram!$P76)))</f>
        <v>0</v>
      </c>
      <c r="AU76" s="42">
        <f ca="1">IF(OR($I$10="",$O76="",$P76="",$J$36&lt;&gt;"Yes"),0,IF($K$10=0,SUMIFS(INDIRECT(ADDRESS(12,3+18*0+(1),,,"J1 C - (South) Bishopthorpe Roa")&amp;":"&amp;ADDRESS(130,3+18*0+(1))),'J1 C - (South) Bishopthorpe Roa'!$A$12:$A$130,"&gt;="&amp;Diagram!$O76,'J1 C - (South) Bishopthorpe Roa'!$A$12:$A$130,"&lt;"&amp;Diagram!$P76),SUMIFS(INDIRECT(ADDRESS(12,3+18*0+(9),,,"J1 C - (South) Bishopthorpe Roa")&amp;":"&amp;ADDRESS(130,3+18*0+(9))),'J1 C - (South) Bishopthorpe Roa'!$A$12:$A$130,"&gt;="&amp;Diagram!$O76,'J1 C - (South) Bishopthorpe Roa'!$A$12:$A$130,"&lt;"&amp;Diagram!$P76)))</f>
        <v>0</v>
      </c>
      <c r="AV76" s="42">
        <f ca="1">IF(OR($I$10="",$O76="",$P76="",$J$36&lt;&gt;"Yes"),0,IF($K$10=0,SUMIFS(INDIRECT(ADDRESS(12,3+18*0+(1),,,"J1 D - South Bank Avenue")&amp;":"&amp;ADDRESS(130,3+18*0+(1))),'J1 D - South Bank Avenue'!$A$12:$A$130,"&gt;="&amp;Diagram!$O76,'J1 D - South Bank Avenue'!$A$12:$A$130,"&lt;"&amp;Diagram!$P76),SUMIFS(INDIRECT(ADDRESS(12,3+18*0+(9),,,"J1 D - South Bank Avenue")&amp;":"&amp;ADDRESS(130,3+18*0+(9))),'J1 D - South Bank Avenue'!$A$12:$A$130,"&gt;="&amp;Diagram!$O76,'J1 D - South Bank Avenue'!$A$12:$A$130,"&lt;"&amp;Diagram!$P76)))</f>
        <v>2</v>
      </c>
      <c r="AW76" s="42">
        <f ca="1">IF(OR($I$10="",$O76="",$P76="",$J$36&lt;&gt;"Yes"),0,IF($K$10=0,SUMIFS(INDIRECT(ADDRESS(12,3+18*1+(1),,,"J1 D - South Bank Avenue")&amp;":"&amp;ADDRESS(130,3+18*1+(1))),'J1 D - South Bank Avenue'!$A$12:$A$130,"&gt;="&amp;Diagram!$O76,'J1 D - South Bank Avenue'!$A$12:$A$130,"&lt;"&amp;Diagram!$P76),SUMIFS(INDIRECT(ADDRESS(12,3+18*1+(9),,,"J1 D - South Bank Avenue")&amp;":"&amp;ADDRESS(130,3+18*1+(9))),'J1 D - South Bank Avenue'!$A$12:$A$130,"&gt;="&amp;Diagram!$O76,'J1 D - South Bank Avenue'!$A$12:$A$130,"&lt;"&amp;Diagram!$P76)))</f>
        <v>0</v>
      </c>
      <c r="AX76" s="42">
        <f ca="1">IF(OR($I$10="",$O76="",$P76="",$J$36&lt;&gt;"Yes"),0,IF($K$10=0,SUMIFS(INDIRECT(ADDRESS(12,3+18*2+(1),,,"J1 D - South Bank Avenue")&amp;":"&amp;ADDRESS(130,3+18*2+(1))),'J1 D - South Bank Avenue'!$A$12:$A$130,"&gt;="&amp;Diagram!$O76,'J1 D - South Bank Avenue'!$A$12:$A$130,"&lt;"&amp;Diagram!$P76),SUMIFS(INDIRECT(ADDRESS(12,3+18*2+(9),,,"J1 D - South Bank Avenue")&amp;":"&amp;ADDRESS(130,3+18*2+(9))),'J1 D - South Bank Avenue'!$A$12:$A$130,"&gt;="&amp;Diagram!$O76,'J1 D - South Bank Avenue'!$A$12:$A$130,"&lt;"&amp;Diagram!$P76)))</f>
        <v>0</v>
      </c>
      <c r="AY76" s="42">
        <f ca="1">IF(OR($I$10="",$O76="",$P76="",$J$36&lt;&gt;"Yes"),0,IF($K$10=0,SUMIFS(INDIRECT(ADDRESS(12,3+18*3+(1),,,"J1 D - South Bank Avenue")&amp;":"&amp;ADDRESS(130,3+18*3+(1))),'J1 D - South Bank Avenue'!$A$12:$A$130,"&gt;="&amp;Diagram!$O76,'J1 D - South Bank Avenue'!$A$12:$A$130,"&lt;"&amp;Diagram!$P76),SUMIFS(INDIRECT(ADDRESS(12,3+18*3+(9),,,"J1 D - South Bank Avenue")&amp;":"&amp;ADDRESS(130,3+18*3+(9))),'J1 D - South Bank Avenue'!$A$12:$A$130,"&gt;="&amp;Diagram!$O76,'J1 D - South Bank Avenue'!$A$12:$A$130,"&lt;"&amp;Diagram!$P76)))</f>
        <v>0</v>
      </c>
      <c r="AZ76" s="42">
        <f t="shared" ca="1" si="13"/>
        <v>0</v>
      </c>
      <c r="BA76" s="42">
        <f ca="1">IF(OR($I$10="",$O76="",$P76="",$J$37&lt;&gt;"Yes"),0,IF($K$10=0,SUMIFS(INDIRECT(ADDRESS(12,3+18*3+(2),,,"J1 A - (North) Bishopthorpe Roa")&amp;":"&amp;ADDRESS(130,3+18*3+(2))),'J1 A - (North) Bishopthorpe Roa'!$A$12:$A$130,"&gt;="&amp;Diagram!$O76,'J1 A - (North) Bishopthorpe Roa'!$A$12:$A$130,"&lt;"&amp;Diagram!$P76),SUMIFS(INDIRECT(ADDRESS(12,3+18*3+(10),,,"J1 A - (North) Bishopthorpe Roa")&amp;":"&amp;ADDRESS(130,3+18*3+(10))),'J1 A - (North) Bishopthorpe Roa'!$A$12:$A$130,"&gt;="&amp;Diagram!$O76,'J1 A - (North) Bishopthorpe Roa'!$A$12:$A$130,"&lt;"&amp;Diagram!$P76)))</f>
        <v>0</v>
      </c>
      <c r="BB76" s="42">
        <f ca="1">IF(OR($I$10="",$O76="",$P76="",$J$37&lt;&gt;"Yes"),0,IF($K$10=0,SUMIFS(INDIRECT(ADDRESS(12,3+18*0+(2),,,"J1 A - (North) Bishopthorpe Roa")&amp;":"&amp;ADDRESS(130,3+18*0+(2))),'J1 A - (North) Bishopthorpe Roa'!$A$12:$A$130,"&gt;="&amp;Diagram!$O76,'J1 A - (North) Bishopthorpe Roa'!$A$12:$A$130,"&lt;"&amp;Diagram!$P76),SUMIFS(INDIRECT(ADDRESS(12,3+18*0+(10),,,"J1 A - (North) Bishopthorpe Roa")&amp;":"&amp;ADDRESS(130,3+18*0+(10))),'J1 A - (North) Bishopthorpe Roa'!$A$12:$A$130,"&gt;="&amp;Diagram!$O76,'J1 A - (North) Bishopthorpe Roa'!$A$12:$A$130,"&lt;"&amp;Diagram!$P76)))</f>
        <v>0</v>
      </c>
      <c r="BC76" s="42">
        <f ca="1">IF(OR($I$10="",$O76="",$P76="",$J$37&lt;&gt;"Yes"),0,IF($K$10=0,SUMIFS(INDIRECT(ADDRESS(12,3+18*1+(2),,,"J1 A - (North) Bishopthorpe Roa")&amp;":"&amp;ADDRESS(130,3+18*1+(2))),'J1 A - (North) Bishopthorpe Roa'!$A$12:$A$130,"&gt;="&amp;Diagram!$O76,'J1 A - (North) Bishopthorpe Roa'!$A$12:$A$130,"&lt;"&amp;Diagram!$P76),SUMIFS(INDIRECT(ADDRESS(12,3+18*1+(10),,,"J1 A - (North) Bishopthorpe Roa")&amp;":"&amp;ADDRESS(130,3+18*1+(10))),'J1 A - (North) Bishopthorpe Roa'!$A$12:$A$130,"&gt;="&amp;Diagram!$O76,'J1 A - (North) Bishopthorpe Roa'!$A$12:$A$130,"&lt;"&amp;Diagram!$P76)))</f>
        <v>0</v>
      </c>
      <c r="BD76" s="42">
        <f ca="1">IF(OR($I$10="",$O76="",$P76="",$J$37&lt;&gt;"Yes"),0,IF($K$10=0,SUMIFS(INDIRECT(ADDRESS(12,3+18*2+(2),,,"J1 A - (North) Bishopthorpe Roa")&amp;":"&amp;ADDRESS(130,3+18*2+(2))),'J1 A - (North) Bishopthorpe Roa'!$A$12:$A$130,"&gt;="&amp;Diagram!$O76,'J1 A - (North) Bishopthorpe Roa'!$A$12:$A$130,"&lt;"&amp;Diagram!$P76),SUMIFS(INDIRECT(ADDRESS(12,3+18*2+(10),,,"J1 A - (North) Bishopthorpe Roa")&amp;":"&amp;ADDRESS(130,3+18*2+(10))),'J1 A - (North) Bishopthorpe Roa'!$A$12:$A$130,"&gt;="&amp;Diagram!$O76,'J1 A - (North) Bishopthorpe Roa'!$A$12:$A$130,"&lt;"&amp;Diagram!$P76)))</f>
        <v>0</v>
      </c>
      <c r="BE76" s="42">
        <f ca="1">IF(OR($I$10="",$O76="",$P76="",$J$37&lt;&gt;"Yes"),0,IF($K$10=0,SUMIFS(INDIRECT(ADDRESS(12,3+18*2+(2),,,"J1 B - Butcher Terrace")&amp;":"&amp;ADDRESS(130,3+18*2+(2))),'J1 B - Butcher Terrace'!$A$12:$A$130,"&gt;="&amp;Diagram!$O76,'J1 B - Butcher Terrace'!$A$12:$A$130,"&lt;"&amp;Diagram!$P76),SUMIFS(INDIRECT(ADDRESS(12,3+18*2+(10),,,"J1 B - Butcher Terrace")&amp;":"&amp;ADDRESS(130,3+18*2+(10))),'J1 B - Butcher Terrace'!$A$12:$A$130,"&gt;="&amp;Diagram!$O76,'J1 B - Butcher Terrace'!$A$12:$A$130,"&lt;"&amp;Diagram!$P76)))</f>
        <v>0</v>
      </c>
      <c r="BF76" s="42">
        <f ca="1">IF(OR($I$10="",$O76="",$P76="",$J$37&lt;&gt;"Yes"),0,IF($K$10=0,SUMIFS(INDIRECT(ADDRESS(12,3+18*3+(2),,,"J1 B - Butcher Terrace")&amp;":"&amp;ADDRESS(130,3+18*3+(2))),'J1 B - Butcher Terrace'!$A$12:$A$130,"&gt;="&amp;Diagram!$O76,'J1 B - Butcher Terrace'!$A$12:$A$130,"&lt;"&amp;Diagram!$P76),SUMIFS(INDIRECT(ADDRESS(12,3+18*3+(10),,,"J1 B - Butcher Terrace")&amp;":"&amp;ADDRESS(130,3+18*3+(10))),'J1 B - Butcher Terrace'!$A$12:$A$130,"&gt;="&amp;Diagram!$O76,'J1 B - Butcher Terrace'!$A$12:$A$130,"&lt;"&amp;Diagram!$P76)))</f>
        <v>0</v>
      </c>
      <c r="BG76" s="42">
        <f ca="1">IF(OR($I$10="",$O76="",$P76="",$J$37&lt;&gt;"Yes"),0,IF($K$10=0,SUMIFS(INDIRECT(ADDRESS(12,3+18*0+(2),,,"J1 B - Butcher Terrace")&amp;":"&amp;ADDRESS(130,3+18*0+(2))),'J1 B - Butcher Terrace'!$A$12:$A$130,"&gt;="&amp;Diagram!$O76,'J1 B - Butcher Terrace'!$A$12:$A$130,"&lt;"&amp;Diagram!$P76),SUMIFS(INDIRECT(ADDRESS(12,3+18*0+(10),,,"J1 B - Butcher Terrace")&amp;":"&amp;ADDRESS(130,3+18*0+(10))),'J1 B - Butcher Terrace'!$A$12:$A$130,"&gt;="&amp;Diagram!$O76,'J1 B - Butcher Terrace'!$A$12:$A$130,"&lt;"&amp;Diagram!$P76)))</f>
        <v>0</v>
      </c>
      <c r="BH76" s="42">
        <f ca="1">IF(OR($I$10="",$O76="",$P76="",$J$37&lt;&gt;"Yes"),0,IF($K$10=0,SUMIFS(INDIRECT(ADDRESS(12,3+18*1+(2),,,"J1 B - Butcher Terrace")&amp;":"&amp;ADDRESS(130,3+18*1+(2))),'J1 B - Butcher Terrace'!$A$12:$A$130,"&gt;="&amp;Diagram!$O76,'J1 B - Butcher Terrace'!$A$12:$A$130,"&lt;"&amp;Diagram!$P76),SUMIFS(INDIRECT(ADDRESS(12,3+18*1+(10),,,"J1 B - Butcher Terrace")&amp;":"&amp;ADDRESS(130,3+18*1+(10))),'J1 B - Butcher Terrace'!$A$12:$A$130,"&gt;="&amp;Diagram!$O76,'J1 B - Butcher Terrace'!$A$12:$A$130,"&lt;"&amp;Diagram!$P76)))</f>
        <v>0</v>
      </c>
      <c r="BI76" s="42">
        <f ca="1">IF(OR($I$10="",$O76="",$P76="",$J$37&lt;&gt;"Yes"),0,IF($K$10=0,SUMIFS(INDIRECT(ADDRESS(12,3+18*1+(2),,,"J1 C - (South) Bishopthorpe Roa")&amp;":"&amp;ADDRESS(130,3+18*1+(2))),'J1 C - (South) Bishopthorpe Roa'!$A$12:$A$130,"&gt;="&amp;Diagram!$O76,'J1 C - (South) Bishopthorpe Roa'!$A$12:$A$130,"&lt;"&amp;Diagram!$P76),SUMIFS(INDIRECT(ADDRESS(12,3+18*1+(10),,,"J1 C - (South) Bishopthorpe Roa")&amp;":"&amp;ADDRESS(130,3+18*1+(10))),'J1 C - (South) Bishopthorpe Roa'!$A$12:$A$130,"&gt;="&amp;Diagram!$O76,'J1 C - (South) Bishopthorpe Roa'!$A$12:$A$130,"&lt;"&amp;Diagram!$P76)))</f>
        <v>0</v>
      </c>
      <c r="BJ76" s="42">
        <f ca="1">IF(OR($I$10="",$O76="",$P76="",$J$37&lt;&gt;"Yes"),0,IF($K$10=0,SUMIFS(INDIRECT(ADDRESS(12,3+18*2+(2),,,"J1 C - (South) Bishopthorpe Roa")&amp;":"&amp;ADDRESS(130,3+18*2+(2))),'J1 C - (South) Bishopthorpe Roa'!$A$12:$A$130,"&gt;="&amp;Diagram!$O76,'J1 C - (South) Bishopthorpe Roa'!$A$12:$A$130,"&lt;"&amp;Diagram!$P76),SUMIFS(INDIRECT(ADDRESS(12,3+18*2+(10),,,"J1 C - (South) Bishopthorpe Roa")&amp;":"&amp;ADDRESS(130,3+18*2+(10))),'J1 C - (South) Bishopthorpe Roa'!$A$12:$A$130,"&gt;="&amp;Diagram!$O76,'J1 C - (South) Bishopthorpe Roa'!$A$12:$A$130,"&lt;"&amp;Diagram!$P76)))</f>
        <v>0</v>
      </c>
      <c r="BK76" s="42">
        <f ca="1">IF(OR($I$10="",$O76="",$P76="",$J$37&lt;&gt;"Yes"),0,IF($K$10=0,SUMIFS(INDIRECT(ADDRESS(12,3+18*3+(2),,,"J1 C - (South) Bishopthorpe Roa")&amp;":"&amp;ADDRESS(130,3+18*3+(2))),'J1 C - (South) Bishopthorpe Roa'!$A$12:$A$130,"&gt;="&amp;Diagram!$O76,'J1 C - (South) Bishopthorpe Roa'!$A$12:$A$130,"&lt;"&amp;Diagram!$P76),SUMIFS(INDIRECT(ADDRESS(12,3+18*3+(10),,,"J1 C - (South) Bishopthorpe Roa")&amp;":"&amp;ADDRESS(130,3+18*3+(10))),'J1 C - (South) Bishopthorpe Roa'!$A$12:$A$130,"&gt;="&amp;Diagram!$O76,'J1 C - (South) Bishopthorpe Roa'!$A$12:$A$130,"&lt;"&amp;Diagram!$P76)))</f>
        <v>0</v>
      </c>
      <c r="BL76" s="42">
        <f ca="1">IF(OR($I$10="",$O76="",$P76="",$J$37&lt;&gt;"Yes"),0,IF($K$10=0,SUMIFS(INDIRECT(ADDRESS(12,3+18*0+(2),,,"J1 C - (South) Bishopthorpe Roa")&amp;":"&amp;ADDRESS(130,3+18*0+(2))),'J1 C - (South) Bishopthorpe Roa'!$A$12:$A$130,"&gt;="&amp;Diagram!$O76,'J1 C - (South) Bishopthorpe Roa'!$A$12:$A$130,"&lt;"&amp;Diagram!$P76),SUMIFS(INDIRECT(ADDRESS(12,3+18*0+(10),,,"J1 C - (South) Bishopthorpe Roa")&amp;":"&amp;ADDRESS(130,3+18*0+(10))),'J1 C - (South) Bishopthorpe Roa'!$A$12:$A$130,"&gt;="&amp;Diagram!$O76,'J1 C - (South) Bishopthorpe Roa'!$A$12:$A$130,"&lt;"&amp;Diagram!$P76)))</f>
        <v>0</v>
      </c>
      <c r="BM76" s="42">
        <f ca="1">IF(OR($I$10="",$O76="",$P76="",$J$37&lt;&gt;"Yes"),0,IF($K$10=0,SUMIFS(INDIRECT(ADDRESS(12,3+18*0+(2),,,"J1 D - South Bank Avenue")&amp;":"&amp;ADDRESS(130,3+18*0+(2))),'J1 D - South Bank Avenue'!$A$12:$A$130,"&gt;="&amp;Diagram!$O76,'J1 D - South Bank Avenue'!$A$12:$A$130,"&lt;"&amp;Diagram!$P76),SUMIFS(INDIRECT(ADDRESS(12,3+18*0+(10),,,"J1 D - South Bank Avenue")&amp;":"&amp;ADDRESS(130,3+18*0+(10))),'J1 D - South Bank Avenue'!$A$12:$A$130,"&gt;="&amp;Diagram!$O76,'J1 D - South Bank Avenue'!$A$12:$A$130,"&lt;"&amp;Diagram!$P76)))</f>
        <v>0</v>
      </c>
      <c r="BN76" s="42">
        <f ca="1">IF(OR($I$10="",$O76="",$P76="",$J$37&lt;&gt;"Yes"),0,IF($K$10=0,SUMIFS(INDIRECT(ADDRESS(12,3+18*1+(2),,,"J1 D - South Bank Avenue")&amp;":"&amp;ADDRESS(130,3+18*1+(2))),'J1 D - South Bank Avenue'!$A$12:$A$130,"&gt;="&amp;Diagram!$O76,'J1 D - South Bank Avenue'!$A$12:$A$130,"&lt;"&amp;Diagram!$P76),SUMIFS(INDIRECT(ADDRESS(12,3+18*1+(10),,,"J1 D - South Bank Avenue")&amp;":"&amp;ADDRESS(130,3+18*1+(10))),'J1 D - South Bank Avenue'!$A$12:$A$130,"&gt;="&amp;Diagram!$O76,'J1 D - South Bank Avenue'!$A$12:$A$130,"&lt;"&amp;Diagram!$P76)))</f>
        <v>0</v>
      </c>
      <c r="BO76" s="42">
        <f ca="1">IF(OR($I$10="",$O76="",$P76="",$J$37&lt;&gt;"Yes"),0,IF($K$10=0,SUMIFS(INDIRECT(ADDRESS(12,3+18*2+(2),,,"J1 D - South Bank Avenue")&amp;":"&amp;ADDRESS(130,3+18*2+(2))),'J1 D - South Bank Avenue'!$A$12:$A$130,"&gt;="&amp;Diagram!$O76,'J1 D - South Bank Avenue'!$A$12:$A$130,"&lt;"&amp;Diagram!$P76),SUMIFS(INDIRECT(ADDRESS(12,3+18*2+(10),,,"J1 D - South Bank Avenue")&amp;":"&amp;ADDRESS(130,3+18*2+(10))),'J1 D - South Bank Avenue'!$A$12:$A$130,"&gt;="&amp;Diagram!$O76,'J1 D - South Bank Avenue'!$A$12:$A$130,"&lt;"&amp;Diagram!$P76)))</f>
        <v>0</v>
      </c>
      <c r="BP76" s="42">
        <f ca="1">IF(OR($I$10="",$O76="",$P76="",$J$37&lt;&gt;"Yes"),0,IF($K$10=0,SUMIFS(INDIRECT(ADDRESS(12,3+18*3+(2),,,"J1 D - South Bank Avenue")&amp;":"&amp;ADDRESS(130,3+18*3+(2))),'J1 D - South Bank Avenue'!$A$12:$A$130,"&gt;="&amp;Diagram!$O76,'J1 D - South Bank Avenue'!$A$12:$A$130,"&lt;"&amp;Diagram!$P76),SUMIFS(INDIRECT(ADDRESS(12,3+18*3+(10),,,"J1 D - South Bank Avenue")&amp;":"&amp;ADDRESS(130,3+18*3+(10))),'J1 D - South Bank Avenue'!$A$12:$A$130,"&gt;="&amp;Diagram!$O76,'J1 D - South Bank Avenue'!$A$12:$A$130,"&lt;"&amp;Diagram!$P76)))</f>
        <v>0</v>
      </c>
      <c r="BQ76" s="42">
        <f t="shared" ca="1" si="14"/>
        <v>0</v>
      </c>
      <c r="BR76" s="42">
        <f ca="1">IF(OR($I$10="",$O76="",$P76="",$J$38&lt;&gt;"Yes"),0,IF($K$10=0,SUMIFS(INDIRECT(ADDRESS(12,3+18*3+(3),,,"J1 A - (North) Bishopthorpe Roa")&amp;":"&amp;ADDRESS(130,3+18*3+(3))),'J1 A - (North) Bishopthorpe Roa'!$A$12:$A$130,"&gt;="&amp;Diagram!$O76,'J1 A - (North) Bishopthorpe Roa'!$A$12:$A$130,"&lt;"&amp;Diagram!$P76),SUMIFS(INDIRECT(ADDRESS(12,3+18*3+(11),,,"J1 A - (North) Bishopthorpe Roa")&amp;":"&amp;ADDRESS(130,3+18*3+(11))),'J1 A - (North) Bishopthorpe Roa'!$A$12:$A$130,"&gt;="&amp;Diagram!$O76,'J1 A - (North) Bishopthorpe Roa'!$A$12:$A$130,"&lt;"&amp;Diagram!$P76)))</f>
        <v>0</v>
      </c>
      <c r="BS76" s="42">
        <f ca="1">IF(OR($I$10="",$O76="",$P76="",$J$38&lt;&gt;"Yes"),0,IF($K$10=0,SUMIFS(INDIRECT(ADDRESS(12,3+18*0+(3),,,"J1 A - (North) Bishopthorpe Roa")&amp;":"&amp;ADDRESS(130,3+18*0+(3))),'J1 A - (North) Bishopthorpe Roa'!$A$12:$A$130,"&gt;="&amp;Diagram!$O76,'J1 A - (North) Bishopthorpe Roa'!$A$12:$A$130,"&lt;"&amp;Diagram!$P76),SUMIFS(INDIRECT(ADDRESS(12,3+18*0+(11),,,"J1 A - (North) Bishopthorpe Roa")&amp;":"&amp;ADDRESS(130,3+18*0+(11))),'J1 A - (North) Bishopthorpe Roa'!$A$12:$A$130,"&gt;="&amp;Diagram!$O76,'J1 A - (North) Bishopthorpe Roa'!$A$12:$A$130,"&lt;"&amp;Diagram!$P76)))</f>
        <v>0</v>
      </c>
      <c r="BT76" s="42">
        <f ca="1">IF(OR($I$10="",$O76="",$P76="",$J$38&lt;&gt;"Yes"),0,IF($K$10=0,SUMIFS(INDIRECT(ADDRESS(12,3+18*1+(3),,,"J1 A - (North) Bishopthorpe Roa")&amp;":"&amp;ADDRESS(130,3+18*1+(3))),'J1 A - (North) Bishopthorpe Roa'!$A$12:$A$130,"&gt;="&amp;Diagram!$O76,'J1 A - (North) Bishopthorpe Roa'!$A$12:$A$130,"&lt;"&amp;Diagram!$P76),SUMIFS(INDIRECT(ADDRESS(12,3+18*1+(11),,,"J1 A - (North) Bishopthorpe Roa")&amp;":"&amp;ADDRESS(130,3+18*1+(11))),'J1 A - (North) Bishopthorpe Roa'!$A$12:$A$130,"&gt;="&amp;Diagram!$O76,'J1 A - (North) Bishopthorpe Roa'!$A$12:$A$130,"&lt;"&amp;Diagram!$P76)))</f>
        <v>0</v>
      </c>
      <c r="BU76" s="42">
        <f ca="1">IF(OR($I$10="",$O76="",$P76="",$J$38&lt;&gt;"Yes"),0,IF($K$10=0,SUMIFS(INDIRECT(ADDRESS(12,3+18*2+(3),,,"J1 A - (North) Bishopthorpe Roa")&amp;":"&amp;ADDRESS(130,3+18*2+(3))),'J1 A - (North) Bishopthorpe Roa'!$A$12:$A$130,"&gt;="&amp;Diagram!$O76,'J1 A - (North) Bishopthorpe Roa'!$A$12:$A$130,"&lt;"&amp;Diagram!$P76),SUMIFS(INDIRECT(ADDRESS(12,3+18*2+(11),,,"J1 A - (North) Bishopthorpe Roa")&amp;":"&amp;ADDRESS(130,3+18*2+(11))),'J1 A - (North) Bishopthorpe Roa'!$A$12:$A$130,"&gt;="&amp;Diagram!$O76,'J1 A - (North) Bishopthorpe Roa'!$A$12:$A$130,"&lt;"&amp;Diagram!$P76)))</f>
        <v>0</v>
      </c>
      <c r="BV76" s="42">
        <f ca="1">IF(OR($I$10="",$O76="",$P76="",$J$38&lt;&gt;"Yes"),0,IF($K$10=0,SUMIFS(INDIRECT(ADDRESS(12,3+18*2+(3),,,"J1 B - Butcher Terrace")&amp;":"&amp;ADDRESS(130,3+18*2+(3))),'J1 B - Butcher Terrace'!$A$12:$A$130,"&gt;="&amp;Diagram!$O76,'J1 B - Butcher Terrace'!$A$12:$A$130,"&lt;"&amp;Diagram!$P76),SUMIFS(INDIRECT(ADDRESS(12,3+18*2+(11),,,"J1 B - Butcher Terrace")&amp;":"&amp;ADDRESS(130,3+18*2+(11))),'J1 B - Butcher Terrace'!$A$12:$A$130,"&gt;="&amp;Diagram!$O76,'J1 B - Butcher Terrace'!$A$12:$A$130,"&lt;"&amp;Diagram!$P76)))</f>
        <v>0</v>
      </c>
      <c r="BW76" s="42">
        <f ca="1">IF(OR($I$10="",$O76="",$P76="",$J$38&lt;&gt;"Yes"),0,IF($K$10=0,SUMIFS(INDIRECT(ADDRESS(12,3+18*3+(3),,,"J1 B - Butcher Terrace")&amp;":"&amp;ADDRESS(130,3+18*3+(3))),'J1 B - Butcher Terrace'!$A$12:$A$130,"&gt;="&amp;Diagram!$O76,'J1 B - Butcher Terrace'!$A$12:$A$130,"&lt;"&amp;Diagram!$P76),SUMIFS(INDIRECT(ADDRESS(12,3+18*3+(11),,,"J1 B - Butcher Terrace")&amp;":"&amp;ADDRESS(130,3+18*3+(11))),'J1 B - Butcher Terrace'!$A$12:$A$130,"&gt;="&amp;Diagram!$O76,'J1 B - Butcher Terrace'!$A$12:$A$130,"&lt;"&amp;Diagram!$P76)))</f>
        <v>0</v>
      </c>
      <c r="BX76" s="42">
        <f ca="1">IF(OR($I$10="",$O76="",$P76="",$J$38&lt;&gt;"Yes"),0,IF($K$10=0,SUMIFS(INDIRECT(ADDRESS(12,3+18*0+(3),,,"J1 B - Butcher Terrace")&amp;":"&amp;ADDRESS(130,3+18*0+(3))),'J1 B - Butcher Terrace'!$A$12:$A$130,"&gt;="&amp;Diagram!$O76,'J1 B - Butcher Terrace'!$A$12:$A$130,"&lt;"&amp;Diagram!$P76),SUMIFS(INDIRECT(ADDRESS(12,3+18*0+(11),,,"J1 B - Butcher Terrace")&amp;":"&amp;ADDRESS(130,3+18*0+(11))),'J1 B - Butcher Terrace'!$A$12:$A$130,"&gt;="&amp;Diagram!$O76,'J1 B - Butcher Terrace'!$A$12:$A$130,"&lt;"&amp;Diagram!$P76)))</f>
        <v>0</v>
      </c>
      <c r="BY76" s="42">
        <f ca="1">IF(OR($I$10="",$O76="",$P76="",$J$38&lt;&gt;"Yes"),0,IF($K$10=0,SUMIFS(INDIRECT(ADDRESS(12,3+18*1+(3),,,"J1 B - Butcher Terrace")&amp;":"&amp;ADDRESS(130,3+18*1+(3))),'J1 B - Butcher Terrace'!$A$12:$A$130,"&gt;="&amp;Diagram!$O76,'J1 B - Butcher Terrace'!$A$12:$A$130,"&lt;"&amp;Diagram!$P76),SUMIFS(INDIRECT(ADDRESS(12,3+18*1+(11),,,"J1 B - Butcher Terrace")&amp;":"&amp;ADDRESS(130,3+18*1+(11))),'J1 B - Butcher Terrace'!$A$12:$A$130,"&gt;="&amp;Diagram!$O76,'J1 B - Butcher Terrace'!$A$12:$A$130,"&lt;"&amp;Diagram!$P76)))</f>
        <v>0</v>
      </c>
      <c r="BZ76" s="42">
        <f ca="1">IF(OR($I$10="",$O76="",$P76="",$J$38&lt;&gt;"Yes"),0,IF($K$10=0,SUMIFS(INDIRECT(ADDRESS(12,3+18*1+(3),,,"J1 C - (South) Bishopthorpe Roa")&amp;":"&amp;ADDRESS(130,3+18*1+(3))),'J1 C - (South) Bishopthorpe Roa'!$A$12:$A$130,"&gt;="&amp;Diagram!$O76,'J1 C - (South) Bishopthorpe Roa'!$A$12:$A$130,"&lt;"&amp;Diagram!$P76),SUMIFS(INDIRECT(ADDRESS(12,3+18*1+(11),,,"J1 C - (South) Bishopthorpe Roa")&amp;":"&amp;ADDRESS(130,3+18*1+(11))),'J1 C - (South) Bishopthorpe Roa'!$A$12:$A$130,"&gt;="&amp;Diagram!$O76,'J1 C - (South) Bishopthorpe Roa'!$A$12:$A$130,"&lt;"&amp;Diagram!$P76)))</f>
        <v>0</v>
      </c>
      <c r="CA76" s="42">
        <f ca="1">IF(OR($I$10="",$O76="",$P76="",$J$38&lt;&gt;"Yes"),0,IF($K$10=0,SUMIFS(INDIRECT(ADDRESS(12,3+18*2+(3),,,"J1 C - (South) Bishopthorpe Roa")&amp;":"&amp;ADDRESS(130,3+18*2+(3))),'J1 C - (South) Bishopthorpe Roa'!$A$12:$A$130,"&gt;="&amp;Diagram!$O76,'J1 C - (South) Bishopthorpe Roa'!$A$12:$A$130,"&lt;"&amp;Diagram!$P76),SUMIFS(INDIRECT(ADDRESS(12,3+18*2+(11),,,"J1 C - (South) Bishopthorpe Roa")&amp;":"&amp;ADDRESS(130,3+18*2+(11))),'J1 C - (South) Bishopthorpe Roa'!$A$12:$A$130,"&gt;="&amp;Diagram!$O76,'J1 C - (South) Bishopthorpe Roa'!$A$12:$A$130,"&lt;"&amp;Diagram!$P76)))</f>
        <v>0</v>
      </c>
      <c r="CB76" s="42">
        <f ca="1">IF(OR($I$10="",$O76="",$P76="",$J$38&lt;&gt;"Yes"),0,IF($K$10=0,SUMIFS(INDIRECT(ADDRESS(12,3+18*3+(3),,,"J1 C - (South) Bishopthorpe Roa")&amp;":"&amp;ADDRESS(130,3+18*3+(3))),'J1 C - (South) Bishopthorpe Roa'!$A$12:$A$130,"&gt;="&amp;Diagram!$O76,'J1 C - (South) Bishopthorpe Roa'!$A$12:$A$130,"&lt;"&amp;Diagram!$P76),SUMIFS(INDIRECT(ADDRESS(12,3+18*3+(11),,,"J1 C - (South) Bishopthorpe Roa")&amp;":"&amp;ADDRESS(130,3+18*3+(11))),'J1 C - (South) Bishopthorpe Roa'!$A$12:$A$130,"&gt;="&amp;Diagram!$O76,'J1 C - (South) Bishopthorpe Roa'!$A$12:$A$130,"&lt;"&amp;Diagram!$P76)))</f>
        <v>0</v>
      </c>
      <c r="CC76" s="42">
        <f ca="1">IF(OR($I$10="",$O76="",$P76="",$J$38&lt;&gt;"Yes"),0,IF($K$10=0,SUMIFS(INDIRECT(ADDRESS(12,3+18*0+(3),,,"J1 C - (South) Bishopthorpe Roa")&amp;":"&amp;ADDRESS(130,3+18*0+(3))),'J1 C - (South) Bishopthorpe Roa'!$A$12:$A$130,"&gt;="&amp;Diagram!$O76,'J1 C - (South) Bishopthorpe Roa'!$A$12:$A$130,"&lt;"&amp;Diagram!$P76),SUMIFS(INDIRECT(ADDRESS(12,3+18*0+(11),,,"J1 C - (South) Bishopthorpe Roa")&amp;":"&amp;ADDRESS(130,3+18*0+(11))),'J1 C - (South) Bishopthorpe Roa'!$A$12:$A$130,"&gt;="&amp;Diagram!$O76,'J1 C - (South) Bishopthorpe Roa'!$A$12:$A$130,"&lt;"&amp;Diagram!$P76)))</f>
        <v>0</v>
      </c>
      <c r="CD76" s="42">
        <f ca="1">IF(OR($I$10="",$O76="",$P76="",$J$38&lt;&gt;"Yes"),0,IF($K$10=0,SUMIFS(INDIRECT(ADDRESS(12,3+18*0+(3),,,"J1 D - South Bank Avenue")&amp;":"&amp;ADDRESS(130,3+18*0+(3))),'J1 D - South Bank Avenue'!$A$12:$A$130,"&gt;="&amp;Diagram!$O76,'J1 D - South Bank Avenue'!$A$12:$A$130,"&lt;"&amp;Diagram!$P76),SUMIFS(INDIRECT(ADDRESS(12,3+18*0+(11),,,"J1 D - South Bank Avenue")&amp;":"&amp;ADDRESS(130,3+18*0+(11))),'J1 D - South Bank Avenue'!$A$12:$A$130,"&gt;="&amp;Diagram!$O76,'J1 D - South Bank Avenue'!$A$12:$A$130,"&lt;"&amp;Diagram!$P76)))</f>
        <v>0</v>
      </c>
      <c r="CE76" s="42">
        <f ca="1">IF(OR($I$10="",$O76="",$P76="",$J$38&lt;&gt;"Yes"),0,IF($K$10=0,SUMIFS(INDIRECT(ADDRESS(12,3+18*1+(3),,,"J1 D - South Bank Avenue")&amp;":"&amp;ADDRESS(130,3+18*1+(3))),'J1 D - South Bank Avenue'!$A$12:$A$130,"&gt;="&amp;Diagram!$O76,'J1 D - South Bank Avenue'!$A$12:$A$130,"&lt;"&amp;Diagram!$P76),SUMIFS(INDIRECT(ADDRESS(12,3+18*1+(11),,,"J1 D - South Bank Avenue")&amp;":"&amp;ADDRESS(130,3+18*1+(11))),'J1 D - South Bank Avenue'!$A$12:$A$130,"&gt;="&amp;Diagram!$O76,'J1 D - South Bank Avenue'!$A$12:$A$130,"&lt;"&amp;Diagram!$P76)))</f>
        <v>0</v>
      </c>
      <c r="CF76" s="42">
        <f ca="1">IF(OR($I$10="",$O76="",$P76="",$J$38&lt;&gt;"Yes"),0,IF($K$10=0,SUMIFS(INDIRECT(ADDRESS(12,3+18*2+(3),,,"J1 D - South Bank Avenue")&amp;":"&amp;ADDRESS(130,3+18*2+(3))),'J1 D - South Bank Avenue'!$A$12:$A$130,"&gt;="&amp;Diagram!$O76,'J1 D - South Bank Avenue'!$A$12:$A$130,"&lt;"&amp;Diagram!$P76),SUMIFS(INDIRECT(ADDRESS(12,3+18*2+(11),,,"J1 D - South Bank Avenue")&amp;":"&amp;ADDRESS(130,3+18*2+(11))),'J1 D - South Bank Avenue'!$A$12:$A$130,"&gt;="&amp;Diagram!$O76,'J1 D - South Bank Avenue'!$A$12:$A$130,"&lt;"&amp;Diagram!$P76)))</f>
        <v>0</v>
      </c>
      <c r="CG76" s="42">
        <f ca="1">IF(OR($I$10="",$O76="",$P76="",$J$38&lt;&gt;"Yes"),0,IF($K$10=0,SUMIFS(INDIRECT(ADDRESS(12,3+18*3+(3),,,"J1 D - South Bank Avenue")&amp;":"&amp;ADDRESS(130,3+18*3+(3))),'J1 D - South Bank Avenue'!$A$12:$A$130,"&gt;="&amp;Diagram!$O76,'J1 D - South Bank Avenue'!$A$12:$A$130,"&lt;"&amp;Diagram!$P76),SUMIFS(INDIRECT(ADDRESS(12,3+18*3+(11),,,"J1 D - South Bank Avenue")&amp;":"&amp;ADDRESS(130,3+18*3+(11))),'J1 D - South Bank Avenue'!$A$12:$A$130,"&gt;="&amp;Diagram!$O76,'J1 D - South Bank Avenue'!$A$12:$A$130,"&lt;"&amp;Diagram!$P76)))</f>
        <v>0</v>
      </c>
      <c r="CH76" s="42">
        <f t="shared" ca="1" si="15"/>
        <v>5</v>
      </c>
      <c r="CI76" s="42">
        <f ca="1">IF(OR($I$10="",$O76="",$P76="",$J$39&lt;&gt;"Yes"),0,IF($K$10=0,SUMIFS(INDIRECT(ADDRESS(12,3+18*3+(4),,,"J1 A - (North) Bishopthorpe Roa")&amp;":"&amp;ADDRESS(130,3+18*3+(4))),'J1 A - (North) Bishopthorpe Roa'!$A$12:$A$130,"&gt;="&amp;Diagram!$O76,'J1 A - (North) Bishopthorpe Roa'!$A$12:$A$130,"&lt;"&amp;Diagram!$P76),SUMIFS(INDIRECT(ADDRESS(12,3+18*3+(12),,,"J1 A - (North) Bishopthorpe Roa")&amp;":"&amp;ADDRESS(130,3+18*3+(12))),'J1 A - (North) Bishopthorpe Roa'!$A$12:$A$130,"&gt;="&amp;Diagram!$O76,'J1 A - (North) Bishopthorpe Roa'!$A$12:$A$130,"&lt;"&amp;Diagram!$P76)))</f>
        <v>0</v>
      </c>
      <c r="CJ76" s="42">
        <f ca="1">IF(OR($I$10="",$O76="",$P76="",$J$39&lt;&gt;"Yes"),0,IF($K$10=0,SUMIFS(INDIRECT(ADDRESS(12,3+18*0+(4),,,"J1 A - (North) Bishopthorpe Roa")&amp;":"&amp;ADDRESS(130,3+18*0+(4))),'J1 A - (North) Bishopthorpe Roa'!$A$12:$A$130,"&gt;="&amp;Diagram!$O76,'J1 A - (North) Bishopthorpe Roa'!$A$12:$A$130,"&lt;"&amp;Diagram!$P76),SUMIFS(INDIRECT(ADDRESS(12,3+18*0+(12),,,"J1 A - (North) Bishopthorpe Roa")&amp;":"&amp;ADDRESS(130,3+18*0+(12))),'J1 A - (North) Bishopthorpe Roa'!$A$12:$A$130,"&gt;="&amp;Diagram!$O76,'J1 A - (North) Bishopthorpe Roa'!$A$12:$A$130,"&lt;"&amp;Diagram!$P76)))</f>
        <v>0</v>
      </c>
      <c r="CK76" s="42">
        <f ca="1">IF(OR($I$10="",$O76="",$P76="",$J$39&lt;&gt;"Yes"),0,IF($K$10=0,SUMIFS(INDIRECT(ADDRESS(12,3+18*1+(4),,,"J1 A - (North) Bishopthorpe Roa")&amp;":"&amp;ADDRESS(130,3+18*1+(4))),'J1 A - (North) Bishopthorpe Roa'!$A$12:$A$130,"&gt;="&amp;Diagram!$O76,'J1 A - (North) Bishopthorpe Roa'!$A$12:$A$130,"&lt;"&amp;Diagram!$P76),SUMIFS(INDIRECT(ADDRESS(12,3+18*1+(12),,,"J1 A - (North) Bishopthorpe Roa")&amp;":"&amp;ADDRESS(130,3+18*1+(12))),'J1 A - (North) Bishopthorpe Roa'!$A$12:$A$130,"&gt;="&amp;Diagram!$O76,'J1 A - (North) Bishopthorpe Roa'!$A$12:$A$130,"&lt;"&amp;Diagram!$P76)))</f>
        <v>2</v>
      </c>
      <c r="CL76" s="42">
        <f ca="1">IF(OR($I$10="",$O76="",$P76="",$J$39&lt;&gt;"Yes"),0,IF($K$10=0,SUMIFS(INDIRECT(ADDRESS(12,3+18*2+(4),,,"J1 A - (North) Bishopthorpe Roa")&amp;":"&amp;ADDRESS(130,3+18*2+(4))),'J1 A - (North) Bishopthorpe Roa'!$A$12:$A$130,"&gt;="&amp;Diagram!$O76,'J1 A - (North) Bishopthorpe Roa'!$A$12:$A$130,"&lt;"&amp;Diagram!$P76),SUMIFS(INDIRECT(ADDRESS(12,3+18*2+(12),,,"J1 A - (North) Bishopthorpe Roa")&amp;":"&amp;ADDRESS(130,3+18*2+(12))),'J1 A - (North) Bishopthorpe Roa'!$A$12:$A$130,"&gt;="&amp;Diagram!$O76,'J1 A - (North) Bishopthorpe Roa'!$A$12:$A$130,"&lt;"&amp;Diagram!$P76)))</f>
        <v>0</v>
      </c>
      <c r="CM76" s="42">
        <f ca="1">IF(OR($I$10="",$O76="",$P76="",$J$39&lt;&gt;"Yes"),0,IF($K$10=0,SUMIFS(INDIRECT(ADDRESS(12,3+18*2+(4),,,"J1 B - Butcher Terrace")&amp;":"&amp;ADDRESS(130,3+18*2+(4))),'J1 B - Butcher Terrace'!$A$12:$A$130,"&gt;="&amp;Diagram!$O76,'J1 B - Butcher Terrace'!$A$12:$A$130,"&lt;"&amp;Diagram!$P76),SUMIFS(INDIRECT(ADDRESS(12,3+18*2+(12),,,"J1 B - Butcher Terrace")&amp;":"&amp;ADDRESS(130,3+18*2+(12))),'J1 B - Butcher Terrace'!$A$12:$A$130,"&gt;="&amp;Diagram!$O76,'J1 B - Butcher Terrace'!$A$12:$A$130,"&lt;"&amp;Diagram!$P76)))</f>
        <v>0</v>
      </c>
      <c r="CN76" s="42">
        <f ca="1">IF(OR($I$10="",$O76="",$P76="",$J$39&lt;&gt;"Yes"),0,IF($K$10=0,SUMIFS(INDIRECT(ADDRESS(12,3+18*3+(4),,,"J1 B - Butcher Terrace")&amp;":"&amp;ADDRESS(130,3+18*3+(4))),'J1 B - Butcher Terrace'!$A$12:$A$130,"&gt;="&amp;Diagram!$O76,'J1 B - Butcher Terrace'!$A$12:$A$130,"&lt;"&amp;Diagram!$P76),SUMIFS(INDIRECT(ADDRESS(12,3+18*3+(12),,,"J1 B - Butcher Terrace")&amp;":"&amp;ADDRESS(130,3+18*3+(12))),'J1 B - Butcher Terrace'!$A$12:$A$130,"&gt;="&amp;Diagram!$O76,'J1 B - Butcher Terrace'!$A$12:$A$130,"&lt;"&amp;Diagram!$P76)))</f>
        <v>0</v>
      </c>
      <c r="CO76" s="42">
        <f ca="1">IF(OR($I$10="",$O76="",$P76="",$J$39&lt;&gt;"Yes"),0,IF($K$10=0,SUMIFS(INDIRECT(ADDRESS(12,3+18*0+(4),,,"J1 B - Butcher Terrace")&amp;":"&amp;ADDRESS(130,3+18*0+(4))),'J1 B - Butcher Terrace'!$A$12:$A$130,"&gt;="&amp;Diagram!$O76,'J1 B - Butcher Terrace'!$A$12:$A$130,"&lt;"&amp;Diagram!$P76),SUMIFS(INDIRECT(ADDRESS(12,3+18*0+(12),,,"J1 B - Butcher Terrace")&amp;":"&amp;ADDRESS(130,3+18*0+(12))),'J1 B - Butcher Terrace'!$A$12:$A$130,"&gt;="&amp;Diagram!$O76,'J1 B - Butcher Terrace'!$A$12:$A$130,"&lt;"&amp;Diagram!$P76)))</f>
        <v>0</v>
      </c>
      <c r="CP76" s="42">
        <f ca="1">IF(OR($I$10="",$O76="",$P76="",$J$39&lt;&gt;"Yes"),0,IF($K$10=0,SUMIFS(INDIRECT(ADDRESS(12,3+18*1+(4),,,"J1 B - Butcher Terrace")&amp;":"&amp;ADDRESS(130,3+18*1+(4))),'J1 B - Butcher Terrace'!$A$12:$A$130,"&gt;="&amp;Diagram!$O76,'J1 B - Butcher Terrace'!$A$12:$A$130,"&lt;"&amp;Diagram!$P76),SUMIFS(INDIRECT(ADDRESS(12,3+18*1+(12),,,"J1 B - Butcher Terrace")&amp;":"&amp;ADDRESS(130,3+18*1+(12))),'J1 B - Butcher Terrace'!$A$12:$A$130,"&gt;="&amp;Diagram!$O76,'J1 B - Butcher Terrace'!$A$12:$A$130,"&lt;"&amp;Diagram!$P76)))</f>
        <v>0</v>
      </c>
      <c r="CQ76" s="42">
        <f ca="1">IF(OR($I$10="",$O76="",$P76="",$J$39&lt;&gt;"Yes"),0,IF($K$10=0,SUMIFS(INDIRECT(ADDRESS(12,3+18*1+(4),,,"J1 C - (South) Bishopthorpe Roa")&amp;":"&amp;ADDRESS(130,3+18*1+(4))),'J1 C - (South) Bishopthorpe Roa'!$A$12:$A$130,"&gt;="&amp;Diagram!$O76,'J1 C - (South) Bishopthorpe Roa'!$A$12:$A$130,"&lt;"&amp;Diagram!$P76),SUMIFS(INDIRECT(ADDRESS(12,3+18*1+(12),,,"J1 C - (South) Bishopthorpe Roa")&amp;":"&amp;ADDRESS(130,3+18*1+(12))),'J1 C - (South) Bishopthorpe Roa'!$A$12:$A$130,"&gt;="&amp;Diagram!$O76,'J1 C - (South) Bishopthorpe Roa'!$A$12:$A$130,"&lt;"&amp;Diagram!$P76)))</f>
        <v>3</v>
      </c>
      <c r="CR76" s="42">
        <f ca="1">IF(OR($I$10="",$O76="",$P76="",$J$39&lt;&gt;"Yes"),0,IF($K$10=0,SUMIFS(INDIRECT(ADDRESS(12,3+18*2+(4),,,"J1 C - (South) Bishopthorpe Roa")&amp;":"&amp;ADDRESS(130,3+18*2+(4))),'J1 C - (South) Bishopthorpe Roa'!$A$12:$A$130,"&gt;="&amp;Diagram!$O76,'J1 C - (South) Bishopthorpe Roa'!$A$12:$A$130,"&lt;"&amp;Diagram!$P76),SUMIFS(INDIRECT(ADDRESS(12,3+18*2+(12),,,"J1 C - (South) Bishopthorpe Roa")&amp;":"&amp;ADDRESS(130,3+18*2+(12))),'J1 C - (South) Bishopthorpe Roa'!$A$12:$A$130,"&gt;="&amp;Diagram!$O76,'J1 C - (South) Bishopthorpe Roa'!$A$12:$A$130,"&lt;"&amp;Diagram!$P76)))</f>
        <v>0</v>
      </c>
      <c r="CS76" s="42">
        <f ca="1">IF(OR($I$10="",$O76="",$P76="",$J$39&lt;&gt;"Yes"),0,IF($K$10=0,SUMIFS(INDIRECT(ADDRESS(12,3+18*3+(4),,,"J1 C - (South) Bishopthorpe Roa")&amp;":"&amp;ADDRESS(130,3+18*3+(4))),'J1 C - (South) Bishopthorpe Roa'!$A$12:$A$130,"&gt;="&amp;Diagram!$O76,'J1 C - (South) Bishopthorpe Roa'!$A$12:$A$130,"&lt;"&amp;Diagram!$P76),SUMIFS(INDIRECT(ADDRESS(12,3+18*3+(12),,,"J1 C - (South) Bishopthorpe Roa")&amp;":"&amp;ADDRESS(130,3+18*3+(12))),'J1 C - (South) Bishopthorpe Roa'!$A$12:$A$130,"&gt;="&amp;Diagram!$O76,'J1 C - (South) Bishopthorpe Roa'!$A$12:$A$130,"&lt;"&amp;Diagram!$P76)))</f>
        <v>0</v>
      </c>
      <c r="CT76" s="42">
        <f ca="1">IF(OR($I$10="",$O76="",$P76="",$J$39&lt;&gt;"Yes"),0,IF($K$10=0,SUMIFS(INDIRECT(ADDRESS(12,3+18*0+(4),,,"J1 C - (South) Bishopthorpe Roa")&amp;":"&amp;ADDRESS(130,3+18*0+(4))),'J1 C - (South) Bishopthorpe Roa'!$A$12:$A$130,"&gt;="&amp;Diagram!$O76,'J1 C - (South) Bishopthorpe Roa'!$A$12:$A$130,"&lt;"&amp;Diagram!$P76),SUMIFS(INDIRECT(ADDRESS(12,3+18*0+(12),,,"J1 C - (South) Bishopthorpe Roa")&amp;":"&amp;ADDRESS(130,3+18*0+(12))),'J1 C - (South) Bishopthorpe Roa'!$A$12:$A$130,"&gt;="&amp;Diagram!$O76,'J1 C - (South) Bishopthorpe Roa'!$A$12:$A$130,"&lt;"&amp;Diagram!$P76)))</f>
        <v>0</v>
      </c>
      <c r="CU76" s="42">
        <f ca="1">IF(OR($I$10="",$O76="",$P76="",$J$39&lt;&gt;"Yes"),0,IF($K$10=0,SUMIFS(INDIRECT(ADDRESS(12,3+18*0+(4),,,"J1 D - South Bank Avenue")&amp;":"&amp;ADDRESS(130,3+18*0+(4))),'J1 D - South Bank Avenue'!$A$12:$A$130,"&gt;="&amp;Diagram!$O76,'J1 D - South Bank Avenue'!$A$12:$A$130,"&lt;"&amp;Diagram!$P76),SUMIFS(INDIRECT(ADDRESS(12,3+18*0+(12),,,"J1 D - South Bank Avenue")&amp;":"&amp;ADDRESS(130,3+18*0+(12))),'J1 D - South Bank Avenue'!$A$12:$A$130,"&gt;="&amp;Diagram!$O76,'J1 D - South Bank Avenue'!$A$12:$A$130,"&lt;"&amp;Diagram!$P76)))</f>
        <v>0</v>
      </c>
      <c r="CV76" s="42">
        <f ca="1">IF(OR($I$10="",$O76="",$P76="",$J$39&lt;&gt;"Yes"),0,IF($K$10=0,SUMIFS(INDIRECT(ADDRESS(12,3+18*1+(4),,,"J1 D - South Bank Avenue")&amp;":"&amp;ADDRESS(130,3+18*1+(4))),'J1 D - South Bank Avenue'!$A$12:$A$130,"&gt;="&amp;Diagram!$O76,'J1 D - South Bank Avenue'!$A$12:$A$130,"&lt;"&amp;Diagram!$P76),SUMIFS(INDIRECT(ADDRESS(12,3+18*1+(12),,,"J1 D - South Bank Avenue")&amp;":"&amp;ADDRESS(130,3+18*1+(12))),'J1 D - South Bank Avenue'!$A$12:$A$130,"&gt;="&amp;Diagram!$O76,'J1 D - South Bank Avenue'!$A$12:$A$130,"&lt;"&amp;Diagram!$P76)))</f>
        <v>0</v>
      </c>
      <c r="CW76" s="42">
        <f ca="1">IF(OR($I$10="",$O76="",$P76="",$J$39&lt;&gt;"Yes"),0,IF($K$10=0,SUMIFS(INDIRECT(ADDRESS(12,3+18*2+(4),,,"J1 D - South Bank Avenue")&amp;":"&amp;ADDRESS(130,3+18*2+(4))),'J1 D - South Bank Avenue'!$A$12:$A$130,"&gt;="&amp;Diagram!$O76,'J1 D - South Bank Avenue'!$A$12:$A$130,"&lt;"&amp;Diagram!$P76),SUMIFS(INDIRECT(ADDRESS(12,3+18*2+(12),,,"J1 D - South Bank Avenue")&amp;":"&amp;ADDRESS(130,3+18*2+(12))),'J1 D - South Bank Avenue'!$A$12:$A$130,"&gt;="&amp;Diagram!$O76,'J1 D - South Bank Avenue'!$A$12:$A$130,"&lt;"&amp;Diagram!$P76)))</f>
        <v>0</v>
      </c>
      <c r="CX76" s="42">
        <f ca="1">IF(OR($I$10="",$O76="",$P76="",$J$39&lt;&gt;"Yes"),0,IF($K$10=0,SUMIFS(INDIRECT(ADDRESS(12,3+18*3+(4),,,"J1 D - South Bank Avenue")&amp;":"&amp;ADDRESS(130,3+18*3+(4))),'J1 D - South Bank Avenue'!$A$12:$A$130,"&gt;="&amp;Diagram!$O76,'J1 D - South Bank Avenue'!$A$12:$A$130,"&lt;"&amp;Diagram!$P76),SUMIFS(INDIRECT(ADDRESS(12,3+18*3+(12),,,"J1 D - South Bank Avenue")&amp;":"&amp;ADDRESS(130,3+18*3+(12))),'J1 D - South Bank Avenue'!$A$12:$A$130,"&gt;="&amp;Diagram!$O76,'J1 D - South Bank Avenue'!$A$12:$A$130,"&lt;"&amp;Diagram!$P76)))</f>
        <v>0</v>
      </c>
      <c r="CY76" s="42">
        <f t="shared" ca="1" si="16"/>
        <v>87</v>
      </c>
      <c r="CZ76" s="42">
        <f ca="1">IF(OR($I$10="",$O76="",$P76="",$J$40&lt;&gt;"Yes"),0,IF($K$10=0,SUMIFS(INDIRECT(ADDRESS(12,3+18*3+(5),,,"J1 A - (North) Bishopthorpe Roa")&amp;":"&amp;ADDRESS(130,3+18*3+(5))),'J1 A - (North) Bishopthorpe Roa'!$A$12:$A$130,"&gt;="&amp;Diagram!$O76,'J1 A - (North) Bishopthorpe Roa'!$A$12:$A$130,"&lt;"&amp;Diagram!$P76),SUMIFS(INDIRECT(ADDRESS(12,3+18*3+(13),,,"J1 A - (North) Bishopthorpe Roa")&amp;":"&amp;ADDRESS(130,3+18*3+(13))),'J1 A - (North) Bishopthorpe Roa'!$A$12:$A$130,"&gt;="&amp;Diagram!$O76,'J1 A - (North) Bishopthorpe Roa'!$A$12:$A$130,"&lt;"&amp;Diagram!$P76)))</f>
        <v>0</v>
      </c>
      <c r="DA76" s="42">
        <f ca="1">IF(OR($I$10="",$O76="",$P76="",$J$40&lt;&gt;"Yes"),0,IF($K$10=0,SUMIFS(INDIRECT(ADDRESS(12,3+18*0+(5),,,"J1 A - (North) Bishopthorpe Roa")&amp;":"&amp;ADDRESS(130,3+18*0+(5))),'J1 A - (North) Bishopthorpe Roa'!$A$12:$A$130,"&gt;="&amp;Diagram!$O76,'J1 A - (North) Bishopthorpe Roa'!$A$12:$A$130,"&lt;"&amp;Diagram!$P76),SUMIFS(INDIRECT(ADDRESS(12,3+18*0+(13),,,"J1 A - (North) Bishopthorpe Roa")&amp;":"&amp;ADDRESS(130,3+18*0+(13))),'J1 A - (North) Bishopthorpe Roa'!$A$12:$A$130,"&gt;="&amp;Diagram!$O76,'J1 A - (North) Bishopthorpe Roa'!$A$12:$A$130,"&lt;"&amp;Diagram!$P76)))</f>
        <v>6</v>
      </c>
      <c r="DB76" s="42">
        <f ca="1">IF(OR($I$10="",$O76="",$P76="",$J$40&lt;&gt;"Yes"),0,IF($K$10=0,SUMIFS(INDIRECT(ADDRESS(12,3+18*1+(5),,,"J1 A - (North) Bishopthorpe Roa")&amp;":"&amp;ADDRESS(130,3+18*1+(5))),'J1 A - (North) Bishopthorpe Roa'!$A$12:$A$130,"&gt;="&amp;Diagram!$O76,'J1 A - (North) Bishopthorpe Roa'!$A$12:$A$130,"&lt;"&amp;Diagram!$P76),SUMIFS(INDIRECT(ADDRESS(12,3+18*1+(13),,,"J1 A - (North) Bishopthorpe Roa")&amp;":"&amp;ADDRESS(130,3+18*1+(13))),'J1 A - (North) Bishopthorpe Roa'!$A$12:$A$130,"&gt;="&amp;Diagram!$O76,'J1 A - (North) Bishopthorpe Roa'!$A$12:$A$130,"&lt;"&amp;Diagram!$P76)))</f>
        <v>12</v>
      </c>
      <c r="DC76" s="42">
        <f ca="1">IF(OR($I$10="",$O76="",$P76="",$J$40&lt;&gt;"Yes"),0,IF($K$10=0,SUMIFS(INDIRECT(ADDRESS(12,3+18*2+(5),,,"J1 A - (North) Bishopthorpe Roa")&amp;":"&amp;ADDRESS(130,3+18*2+(5))),'J1 A - (North) Bishopthorpe Roa'!$A$12:$A$130,"&gt;="&amp;Diagram!$O76,'J1 A - (North) Bishopthorpe Roa'!$A$12:$A$130,"&lt;"&amp;Diagram!$P76),SUMIFS(INDIRECT(ADDRESS(12,3+18*2+(13),,,"J1 A - (North) Bishopthorpe Roa")&amp;":"&amp;ADDRESS(130,3+18*2+(13))),'J1 A - (North) Bishopthorpe Roa'!$A$12:$A$130,"&gt;="&amp;Diagram!$O76,'J1 A - (North) Bishopthorpe Roa'!$A$12:$A$130,"&lt;"&amp;Diagram!$P76)))</f>
        <v>6</v>
      </c>
      <c r="DD76" s="42">
        <f ca="1">IF(OR($I$10="",$O76="",$P76="",$J$40&lt;&gt;"Yes"),0,IF($K$10=0,SUMIFS(INDIRECT(ADDRESS(12,3+18*2+(5),,,"J1 B - Butcher Terrace")&amp;":"&amp;ADDRESS(130,3+18*2+(5))),'J1 B - Butcher Terrace'!$A$12:$A$130,"&gt;="&amp;Diagram!$O76,'J1 B - Butcher Terrace'!$A$12:$A$130,"&lt;"&amp;Diagram!$P76),SUMIFS(INDIRECT(ADDRESS(12,3+18*2+(13),,,"J1 B - Butcher Terrace")&amp;":"&amp;ADDRESS(130,3+18*2+(13))),'J1 B - Butcher Terrace'!$A$12:$A$130,"&gt;="&amp;Diagram!$O76,'J1 B - Butcher Terrace'!$A$12:$A$130,"&lt;"&amp;Diagram!$P76)))</f>
        <v>9</v>
      </c>
      <c r="DE76" s="42">
        <f ca="1">IF(OR($I$10="",$O76="",$P76="",$J$40&lt;&gt;"Yes"),0,IF($K$10=0,SUMIFS(INDIRECT(ADDRESS(12,3+18*3+(5),,,"J1 B - Butcher Terrace")&amp;":"&amp;ADDRESS(130,3+18*3+(5))),'J1 B - Butcher Terrace'!$A$12:$A$130,"&gt;="&amp;Diagram!$O76,'J1 B - Butcher Terrace'!$A$12:$A$130,"&lt;"&amp;Diagram!$P76),SUMIFS(INDIRECT(ADDRESS(12,3+18*3+(13),,,"J1 B - Butcher Terrace")&amp;":"&amp;ADDRESS(130,3+18*3+(13))),'J1 B - Butcher Terrace'!$A$12:$A$130,"&gt;="&amp;Diagram!$O76,'J1 B - Butcher Terrace'!$A$12:$A$130,"&lt;"&amp;Diagram!$P76)))</f>
        <v>0</v>
      </c>
      <c r="DF76" s="42">
        <f ca="1">IF(OR($I$10="",$O76="",$P76="",$J$40&lt;&gt;"Yes"),0,IF($K$10=0,SUMIFS(INDIRECT(ADDRESS(12,3+18*0+(5),,,"J1 B - Butcher Terrace")&amp;":"&amp;ADDRESS(130,3+18*0+(5))),'J1 B - Butcher Terrace'!$A$12:$A$130,"&gt;="&amp;Diagram!$O76,'J1 B - Butcher Terrace'!$A$12:$A$130,"&lt;"&amp;Diagram!$P76),SUMIFS(INDIRECT(ADDRESS(12,3+18*0+(13),,,"J1 B - Butcher Terrace")&amp;":"&amp;ADDRESS(130,3+18*0+(13))),'J1 B - Butcher Terrace'!$A$12:$A$130,"&gt;="&amp;Diagram!$O76,'J1 B - Butcher Terrace'!$A$12:$A$130,"&lt;"&amp;Diagram!$P76)))</f>
        <v>5</v>
      </c>
      <c r="DG76" s="42">
        <f ca="1">IF(OR($I$10="",$O76="",$P76="",$J$40&lt;&gt;"Yes"),0,IF($K$10=0,SUMIFS(INDIRECT(ADDRESS(12,3+18*1+(5),,,"J1 B - Butcher Terrace")&amp;":"&amp;ADDRESS(130,3+18*1+(5))),'J1 B - Butcher Terrace'!$A$12:$A$130,"&gt;="&amp;Diagram!$O76,'J1 B - Butcher Terrace'!$A$12:$A$130,"&lt;"&amp;Diagram!$P76),SUMIFS(INDIRECT(ADDRESS(12,3+18*1+(13),,,"J1 B - Butcher Terrace")&amp;":"&amp;ADDRESS(130,3+18*1+(13))),'J1 B - Butcher Terrace'!$A$12:$A$130,"&gt;="&amp;Diagram!$O76,'J1 B - Butcher Terrace'!$A$12:$A$130,"&lt;"&amp;Diagram!$P76)))</f>
        <v>13</v>
      </c>
      <c r="DH76" s="42">
        <f ca="1">IF(OR($I$10="",$O76="",$P76="",$J$40&lt;&gt;"Yes"),0,IF($K$10=0,SUMIFS(INDIRECT(ADDRESS(12,3+18*1+(5),,,"J1 C - (South) Bishopthorpe Roa")&amp;":"&amp;ADDRESS(130,3+18*1+(5))),'J1 C - (South) Bishopthorpe Roa'!$A$12:$A$130,"&gt;="&amp;Diagram!$O76,'J1 C - (South) Bishopthorpe Roa'!$A$12:$A$130,"&lt;"&amp;Diagram!$P76),SUMIFS(INDIRECT(ADDRESS(12,3+18*1+(13),,,"J1 C - (South) Bishopthorpe Roa")&amp;":"&amp;ADDRESS(130,3+18*1+(13))),'J1 C - (South) Bishopthorpe Roa'!$A$12:$A$130,"&gt;="&amp;Diagram!$O76,'J1 C - (South) Bishopthorpe Roa'!$A$12:$A$130,"&lt;"&amp;Diagram!$P76)))</f>
        <v>15</v>
      </c>
      <c r="DI76" s="42">
        <f ca="1">IF(OR($I$10="",$O76="",$P76="",$J$40&lt;&gt;"Yes"),0,IF($K$10=0,SUMIFS(INDIRECT(ADDRESS(12,3+18*2+(5),,,"J1 C - (South) Bishopthorpe Roa")&amp;":"&amp;ADDRESS(130,3+18*2+(5))),'J1 C - (South) Bishopthorpe Roa'!$A$12:$A$130,"&gt;="&amp;Diagram!$O76,'J1 C - (South) Bishopthorpe Roa'!$A$12:$A$130,"&lt;"&amp;Diagram!$P76),SUMIFS(INDIRECT(ADDRESS(12,3+18*2+(13),,,"J1 C - (South) Bishopthorpe Roa")&amp;":"&amp;ADDRESS(130,3+18*2+(13))),'J1 C - (South) Bishopthorpe Roa'!$A$12:$A$130,"&gt;="&amp;Diagram!$O76,'J1 C - (South) Bishopthorpe Roa'!$A$12:$A$130,"&lt;"&amp;Diagram!$P76)))</f>
        <v>8</v>
      </c>
      <c r="DJ76" s="42">
        <f ca="1">IF(OR($I$10="",$O76="",$P76="",$J$40&lt;&gt;"Yes"),0,IF($K$10=0,SUMIFS(INDIRECT(ADDRESS(12,3+18*3+(5),,,"J1 C - (South) Bishopthorpe Roa")&amp;":"&amp;ADDRESS(130,3+18*3+(5))),'J1 C - (South) Bishopthorpe Roa'!$A$12:$A$130,"&gt;="&amp;Diagram!$O76,'J1 C - (South) Bishopthorpe Roa'!$A$12:$A$130,"&lt;"&amp;Diagram!$P76),SUMIFS(INDIRECT(ADDRESS(12,3+18*3+(13),,,"J1 C - (South) Bishopthorpe Roa")&amp;":"&amp;ADDRESS(130,3+18*3+(13))),'J1 C - (South) Bishopthorpe Roa'!$A$12:$A$130,"&gt;="&amp;Diagram!$O76,'J1 C - (South) Bishopthorpe Roa'!$A$12:$A$130,"&lt;"&amp;Diagram!$P76)))</f>
        <v>0</v>
      </c>
      <c r="DK76" s="42">
        <f ca="1">IF(OR($I$10="",$O76="",$P76="",$J$40&lt;&gt;"Yes"),0,IF($K$10=0,SUMIFS(INDIRECT(ADDRESS(12,3+18*0+(5),,,"J1 C - (South) Bishopthorpe Roa")&amp;":"&amp;ADDRESS(130,3+18*0+(5))),'J1 C - (South) Bishopthorpe Roa'!$A$12:$A$130,"&gt;="&amp;Diagram!$O76,'J1 C - (South) Bishopthorpe Roa'!$A$12:$A$130,"&lt;"&amp;Diagram!$P76),SUMIFS(INDIRECT(ADDRESS(12,3+18*0+(13),,,"J1 C - (South) Bishopthorpe Roa")&amp;":"&amp;ADDRESS(130,3+18*0+(13))),'J1 C - (South) Bishopthorpe Roa'!$A$12:$A$130,"&gt;="&amp;Diagram!$O76,'J1 C - (South) Bishopthorpe Roa'!$A$12:$A$130,"&lt;"&amp;Diagram!$P76)))</f>
        <v>0</v>
      </c>
      <c r="DL76" s="42">
        <f ca="1">IF(OR($I$10="",$O76="",$P76="",$J$40&lt;&gt;"Yes"),0,IF($K$10=0,SUMIFS(INDIRECT(ADDRESS(12,3+18*0+(5),,,"J1 D - South Bank Avenue")&amp;":"&amp;ADDRESS(130,3+18*0+(5))),'J1 D - South Bank Avenue'!$A$12:$A$130,"&gt;="&amp;Diagram!$O76,'J1 D - South Bank Avenue'!$A$12:$A$130,"&lt;"&amp;Diagram!$P76),SUMIFS(INDIRECT(ADDRESS(12,3+18*0+(13),,,"J1 D - South Bank Avenue")&amp;":"&amp;ADDRESS(130,3+18*0+(13))),'J1 D - South Bank Avenue'!$A$12:$A$130,"&gt;="&amp;Diagram!$O76,'J1 D - South Bank Avenue'!$A$12:$A$130,"&lt;"&amp;Diagram!$P76)))</f>
        <v>4</v>
      </c>
      <c r="DM76" s="42">
        <f ca="1">IF(OR($I$10="",$O76="",$P76="",$J$40&lt;&gt;"Yes"),0,IF($K$10=0,SUMIFS(INDIRECT(ADDRESS(12,3+18*1+(5),,,"J1 D - South Bank Avenue")&amp;":"&amp;ADDRESS(130,3+18*1+(5))),'J1 D - South Bank Avenue'!$A$12:$A$130,"&gt;="&amp;Diagram!$O76,'J1 D - South Bank Avenue'!$A$12:$A$130,"&lt;"&amp;Diagram!$P76),SUMIFS(INDIRECT(ADDRESS(12,3+18*1+(13),,,"J1 D - South Bank Avenue")&amp;":"&amp;ADDRESS(130,3+18*1+(13))),'J1 D - South Bank Avenue'!$A$12:$A$130,"&gt;="&amp;Diagram!$O76,'J1 D - South Bank Avenue'!$A$12:$A$130,"&lt;"&amp;Diagram!$P76)))</f>
        <v>9</v>
      </c>
      <c r="DN76" s="42">
        <f ca="1">IF(OR($I$10="",$O76="",$P76="",$J$40&lt;&gt;"Yes"),0,IF($K$10=0,SUMIFS(INDIRECT(ADDRESS(12,3+18*2+(5),,,"J1 D - South Bank Avenue")&amp;":"&amp;ADDRESS(130,3+18*2+(5))),'J1 D - South Bank Avenue'!$A$12:$A$130,"&gt;="&amp;Diagram!$O76,'J1 D - South Bank Avenue'!$A$12:$A$130,"&lt;"&amp;Diagram!$P76),SUMIFS(INDIRECT(ADDRESS(12,3+18*2+(13),,,"J1 D - South Bank Avenue")&amp;":"&amp;ADDRESS(130,3+18*2+(13))),'J1 D - South Bank Avenue'!$A$12:$A$130,"&gt;="&amp;Diagram!$O76,'J1 D - South Bank Avenue'!$A$12:$A$130,"&lt;"&amp;Diagram!$P76)))</f>
        <v>0</v>
      </c>
      <c r="DO76" s="42">
        <f ca="1">IF(OR($I$10="",$O76="",$P76="",$J$40&lt;&gt;"Yes"),0,IF($K$10=0,SUMIFS(INDIRECT(ADDRESS(12,3+18*3+(5),,,"J1 D - South Bank Avenue")&amp;":"&amp;ADDRESS(130,3+18*3+(5))),'J1 D - South Bank Avenue'!$A$12:$A$130,"&gt;="&amp;Diagram!$O76,'J1 D - South Bank Avenue'!$A$12:$A$130,"&lt;"&amp;Diagram!$P76),SUMIFS(INDIRECT(ADDRESS(12,3+18*3+(13),,,"J1 D - South Bank Avenue")&amp;":"&amp;ADDRESS(130,3+18*3+(13))),'J1 D - South Bank Avenue'!$A$12:$A$130,"&gt;="&amp;Diagram!$O76,'J1 D - South Bank Avenue'!$A$12:$A$130,"&lt;"&amp;Diagram!$P76)))</f>
        <v>0</v>
      </c>
      <c r="DP76" s="42">
        <f t="shared" ca="1" si="17"/>
        <v>15</v>
      </c>
      <c r="DQ76" s="42">
        <f ca="1">IF(OR($I$10="",$O76="",$P76="",$J$41&lt;&gt;"Yes"),0,IF($K$10=0,SUMIFS(INDIRECT(ADDRESS(12,3+18*3+(6),,,"J1 A - (North) Bishopthorpe Roa")&amp;":"&amp;ADDRESS(130,3+18*3+(6))),'J1 A - (North) Bishopthorpe Roa'!$A$12:$A$130,"&gt;="&amp;Diagram!$O76,'J1 A - (North) Bishopthorpe Roa'!$A$12:$A$130,"&lt;"&amp;Diagram!$P76),SUMIFS(INDIRECT(ADDRESS(12,3+18*3+(14),,,"J1 A - (North) Bishopthorpe Roa")&amp;":"&amp;ADDRESS(130,3+18*3+(14))),'J1 A - (North) Bishopthorpe Roa'!$A$12:$A$130,"&gt;="&amp;Diagram!$O76,'J1 A - (North) Bishopthorpe Roa'!$A$12:$A$130,"&lt;"&amp;Diagram!$P76)))</f>
        <v>0</v>
      </c>
      <c r="DR76" s="42">
        <f ca="1">IF(OR($I$10="",$O76="",$P76="",$J$41&lt;&gt;"Yes"),0,IF($K$10=0,SUMIFS(INDIRECT(ADDRESS(12,3+18*0+(6),,,"J1 A - (North) Bishopthorpe Roa")&amp;":"&amp;ADDRESS(130,3+18*0+(6))),'J1 A - (North) Bishopthorpe Roa'!$A$12:$A$130,"&gt;="&amp;Diagram!$O76,'J1 A - (North) Bishopthorpe Roa'!$A$12:$A$130,"&lt;"&amp;Diagram!$P76),SUMIFS(INDIRECT(ADDRESS(12,3+18*0+(14),,,"J1 A - (North) Bishopthorpe Roa")&amp;":"&amp;ADDRESS(130,3+18*0+(14))),'J1 A - (North) Bishopthorpe Roa'!$A$12:$A$130,"&gt;="&amp;Diagram!$O76,'J1 A - (North) Bishopthorpe Roa'!$A$12:$A$130,"&lt;"&amp;Diagram!$P76)))</f>
        <v>1</v>
      </c>
      <c r="DS76" s="42">
        <f ca="1">IF(OR($I$10="",$O76="",$P76="",$J$41&lt;&gt;"Yes"),0,IF($K$10=0,SUMIFS(INDIRECT(ADDRESS(12,3+18*1+(6),,,"J1 A - (North) Bishopthorpe Roa")&amp;":"&amp;ADDRESS(130,3+18*1+(6))),'J1 A - (North) Bishopthorpe Roa'!$A$12:$A$130,"&gt;="&amp;Diagram!$O76,'J1 A - (North) Bishopthorpe Roa'!$A$12:$A$130,"&lt;"&amp;Diagram!$P76),SUMIFS(INDIRECT(ADDRESS(12,3+18*1+(14),,,"J1 A - (North) Bishopthorpe Roa")&amp;":"&amp;ADDRESS(130,3+18*1+(14))),'J1 A - (North) Bishopthorpe Roa'!$A$12:$A$130,"&gt;="&amp;Diagram!$O76,'J1 A - (North) Bishopthorpe Roa'!$A$12:$A$130,"&lt;"&amp;Diagram!$P76)))</f>
        <v>8</v>
      </c>
      <c r="DT76" s="42">
        <f ca="1">IF(OR($I$10="",$O76="",$P76="",$J$41&lt;&gt;"Yes"),0,IF($K$10=0,SUMIFS(INDIRECT(ADDRESS(12,3+18*2+(6),,,"J1 A - (North) Bishopthorpe Roa")&amp;":"&amp;ADDRESS(130,3+18*2+(6))),'J1 A - (North) Bishopthorpe Roa'!$A$12:$A$130,"&gt;="&amp;Diagram!$O76,'J1 A - (North) Bishopthorpe Roa'!$A$12:$A$130,"&lt;"&amp;Diagram!$P76),SUMIFS(INDIRECT(ADDRESS(12,3+18*2+(14),,,"J1 A - (North) Bishopthorpe Roa")&amp;":"&amp;ADDRESS(130,3+18*2+(14))),'J1 A - (North) Bishopthorpe Roa'!$A$12:$A$130,"&gt;="&amp;Diagram!$O76,'J1 A - (North) Bishopthorpe Roa'!$A$12:$A$130,"&lt;"&amp;Diagram!$P76)))</f>
        <v>1</v>
      </c>
      <c r="DU76" s="42">
        <f ca="1">IF(OR($I$10="",$O76="",$P76="",$J$41&lt;&gt;"Yes"),0,IF($K$10=0,SUMIFS(INDIRECT(ADDRESS(12,3+18*2+(6),,,"J1 B - Butcher Terrace")&amp;":"&amp;ADDRESS(130,3+18*2+(6))),'J1 B - Butcher Terrace'!$A$12:$A$130,"&gt;="&amp;Diagram!$O76,'J1 B - Butcher Terrace'!$A$12:$A$130,"&lt;"&amp;Diagram!$P76),SUMIFS(INDIRECT(ADDRESS(12,3+18*2+(14),,,"J1 B - Butcher Terrace")&amp;":"&amp;ADDRESS(130,3+18*2+(14))),'J1 B - Butcher Terrace'!$A$12:$A$130,"&gt;="&amp;Diagram!$O76,'J1 B - Butcher Terrace'!$A$12:$A$130,"&lt;"&amp;Diagram!$P76)))</f>
        <v>1</v>
      </c>
      <c r="DV76" s="42">
        <f ca="1">IF(OR($I$10="",$O76="",$P76="",$J$41&lt;&gt;"Yes"),0,IF($K$10=0,SUMIFS(INDIRECT(ADDRESS(12,3+18*3+(6),,,"J1 B - Butcher Terrace")&amp;":"&amp;ADDRESS(130,3+18*3+(6))),'J1 B - Butcher Terrace'!$A$12:$A$130,"&gt;="&amp;Diagram!$O76,'J1 B - Butcher Terrace'!$A$12:$A$130,"&lt;"&amp;Diagram!$P76),SUMIFS(INDIRECT(ADDRESS(12,3+18*3+(14),,,"J1 B - Butcher Terrace")&amp;":"&amp;ADDRESS(130,3+18*3+(14))),'J1 B - Butcher Terrace'!$A$12:$A$130,"&gt;="&amp;Diagram!$O76,'J1 B - Butcher Terrace'!$A$12:$A$130,"&lt;"&amp;Diagram!$P76)))</f>
        <v>0</v>
      </c>
      <c r="DW76" s="42">
        <f ca="1">IF(OR($I$10="",$O76="",$P76="",$J$41&lt;&gt;"Yes"),0,IF($K$10=0,SUMIFS(INDIRECT(ADDRESS(12,3+18*0+(6),,,"J1 B - Butcher Terrace")&amp;":"&amp;ADDRESS(130,3+18*0+(6))),'J1 B - Butcher Terrace'!$A$12:$A$130,"&gt;="&amp;Diagram!$O76,'J1 B - Butcher Terrace'!$A$12:$A$130,"&lt;"&amp;Diagram!$P76),SUMIFS(INDIRECT(ADDRESS(12,3+18*0+(14),,,"J1 B - Butcher Terrace")&amp;":"&amp;ADDRESS(130,3+18*0+(14))),'J1 B - Butcher Terrace'!$A$12:$A$130,"&gt;="&amp;Diagram!$O76,'J1 B - Butcher Terrace'!$A$12:$A$130,"&lt;"&amp;Diagram!$P76)))</f>
        <v>0</v>
      </c>
      <c r="DX76" s="42">
        <f ca="1">IF(OR($I$10="",$O76="",$P76="",$J$41&lt;&gt;"Yes"),0,IF($K$10=0,SUMIFS(INDIRECT(ADDRESS(12,3+18*1+(6),,,"J1 B - Butcher Terrace")&amp;":"&amp;ADDRESS(130,3+18*1+(6))),'J1 B - Butcher Terrace'!$A$12:$A$130,"&gt;="&amp;Diagram!$O76,'J1 B - Butcher Terrace'!$A$12:$A$130,"&lt;"&amp;Diagram!$P76),SUMIFS(INDIRECT(ADDRESS(12,3+18*1+(14),,,"J1 B - Butcher Terrace")&amp;":"&amp;ADDRESS(130,3+18*1+(14))),'J1 B - Butcher Terrace'!$A$12:$A$130,"&gt;="&amp;Diagram!$O76,'J1 B - Butcher Terrace'!$A$12:$A$130,"&lt;"&amp;Diagram!$P76)))</f>
        <v>0</v>
      </c>
      <c r="DY76" s="42">
        <f ca="1">IF(OR($I$10="",$O76="",$P76="",$J$41&lt;&gt;"Yes"),0,IF($K$10=0,SUMIFS(INDIRECT(ADDRESS(12,3+18*1+(6),,,"J1 C - (South) Bishopthorpe Roa")&amp;":"&amp;ADDRESS(130,3+18*1+(6))),'J1 C - (South) Bishopthorpe Roa'!$A$12:$A$130,"&gt;="&amp;Diagram!$O76,'J1 C - (South) Bishopthorpe Roa'!$A$12:$A$130,"&lt;"&amp;Diagram!$P76),SUMIFS(INDIRECT(ADDRESS(12,3+18*1+(14),,,"J1 C - (South) Bishopthorpe Roa")&amp;":"&amp;ADDRESS(130,3+18*1+(14))),'J1 C - (South) Bishopthorpe Roa'!$A$12:$A$130,"&gt;="&amp;Diagram!$O76,'J1 C - (South) Bishopthorpe Roa'!$A$12:$A$130,"&lt;"&amp;Diagram!$P76)))</f>
        <v>4</v>
      </c>
      <c r="DZ76" s="42">
        <f ca="1">IF(OR($I$10="",$O76="",$P76="",$J$41&lt;&gt;"Yes"),0,IF($K$10=0,SUMIFS(INDIRECT(ADDRESS(12,3+18*2+(6),,,"J1 C - (South) Bishopthorpe Roa")&amp;":"&amp;ADDRESS(130,3+18*2+(6))),'J1 C - (South) Bishopthorpe Roa'!$A$12:$A$130,"&gt;="&amp;Diagram!$O76,'J1 C - (South) Bishopthorpe Roa'!$A$12:$A$130,"&lt;"&amp;Diagram!$P76),SUMIFS(INDIRECT(ADDRESS(12,3+18*2+(14),,,"J1 C - (South) Bishopthorpe Roa")&amp;":"&amp;ADDRESS(130,3+18*2+(14))),'J1 C - (South) Bishopthorpe Roa'!$A$12:$A$130,"&gt;="&amp;Diagram!$O76,'J1 C - (South) Bishopthorpe Roa'!$A$12:$A$130,"&lt;"&amp;Diagram!$P76)))</f>
        <v>0</v>
      </c>
      <c r="EA76" s="42">
        <f ca="1">IF(OR($I$10="",$O76="",$P76="",$J$41&lt;&gt;"Yes"),0,IF($K$10=0,SUMIFS(INDIRECT(ADDRESS(12,3+18*3+(6),,,"J1 C - (South) Bishopthorpe Roa")&amp;":"&amp;ADDRESS(130,3+18*3+(6))),'J1 C - (South) Bishopthorpe Roa'!$A$12:$A$130,"&gt;="&amp;Diagram!$O76,'J1 C - (South) Bishopthorpe Roa'!$A$12:$A$130,"&lt;"&amp;Diagram!$P76),SUMIFS(INDIRECT(ADDRESS(12,3+18*3+(14),,,"J1 C - (South) Bishopthorpe Roa")&amp;":"&amp;ADDRESS(130,3+18*3+(14))),'J1 C - (South) Bishopthorpe Roa'!$A$12:$A$130,"&gt;="&amp;Diagram!$O76,'J1 C - (South) Bishopthorpe Roa'!$A$12:$A$130,"&lt;"&amp;Diagram!$P76)))</f>
        <v>0</v>
      </c>
      <c r="EB76" s="42">
        <f ca="1">IF(OR($I$10="",$O76="",$P76="",$J$41&lt;&gt;"Yes"),0,IF($K$10=0,SUMIFS(INDIRECT(ADDRESS(12,3+18*0+(6),,,"J1 C - (South) Bishopthorpe Roa")&amp;":"&amp;ADDRESS(130,3+18*0+(6))),'J1 C - (South) Bishopthorpe Roa'!$A$12:$A$130,"&gt;="&amp;Diagram!$O76,'J1 C - (South) Bishopthorpe Roa'!$A$12:$A$130,"&lt;"&amp;Diagram!$P76),SUMIFS(INDIRECT(ADDRESS(12,3+18*0+(14),,,"J1 C - (South) Bishopthorpe Roa")&amp;":"&amp;ADDRESS(130,3+18*0+(14))),'J1 C - (South) Bishopthorpe Roa'!$A$12:$A$130,"&gt;="&amp;Diagram!$O76,'J1 C - (South) Bishopthorpe Roa'!$A$12:$A$130,"&lt;"&amp;Diagram!$P76)))</f>
        <v>0</v>
      </c>
      <c r="EC76" s="42">
        <f ca="1">IF(OR($I$10="",$O76="",$P76="",$J$41&lt;&gt;"Yes"),0,IF($K$10=0,SUMIFS(INDIRECT(ADDRESS(12,3+18*0+(6),,,"J1 D - South Bank Avenue")&amp;":"&amp;ADDRESS(130,3+18*0+(6))),'J1 D - South Bank Avenue'!$A$12:$A$130,"&gt;="&amp;Diagram!$O76,'J1 D - South Bank Avenue'!$A$12:$A$130,"&lt;"&amp;Diagram!$P76),SUMIFS(INDIRECT(ADDRESS(12,3+18*0+(14),,,"J1 D - South Bank Avenue")&amp;":"&amp;ADDRESS(130,3+18*0+(14))),'J1 D - South Bank Avenue'!$A$12:$A$130,"&gt;="&amp;Diagram!$O76,'J1 D - South Bank Avenue'!$A$12:$A$130,"&lt;"&amp;Diagram!$P76)))</f>
        <v>0</v>
      </c>
      <c r="ED76" s="42">
        <f ca="1">IF(OR($I$10="",$O76="",$P76="",$J$41&lt;&gt;"Yes"),0,IF($K$10=0,SUMIFS(INDIRECT(ADDRESS(12,3+18*1+(6),,,"J1 D - South Bank Avenue")&amp;":"&amp;ADDRESS(130,3+18*1+(6))),'J1 D - South Bank Avenue'!$A$12:$A$130,"&gt;="&amp;Diagram!$O76,'J1 D - South Bank Avenue'!$A$12:$A$130,"&lt;"&amp;Diagram!$P76),SUMIFS(INDIRECT(ADDRESS(12,3+18*1+(14),,,"J1 D - South Bank Avenue")&amp;":"&amp;ADDRESS(130,3+18*1+(14))),'J1 D - South Bank Avenue'!$A$12:$A$130,"&gt;="&amp;Diagram!$O76,'J1 D - South Bank Avenue'!$A$12:$A$130,"&lt;"&amp;Diagram!$P76)))</f>
        <v>0</v>
      </c>
      <c r="EE76" s="42">
        <f ca="1">IF(OR($I$10="",$O76="",$P76="",$J$41&lt;&gt;"Yes"),0,IF($K$10=0,SUMIFS(INDIRECT(ADDRESS(12,3+18*2+(6),,,"J1 D - South Bank Avenue")&amp;":"&amp;ADDRESS(130,3+18*2+(6))),'J1 D - South Bank Avenue'!$A$12:$A$130,"&gt;="&amp;Diagram!$O76,'J1 D - South Bank Avenue'!$A$12:$A$130,"&lt;"&amp;Diagram!$P76),SUMIFS(INDIRECT(ADDRESS(12,3+18*2+(14),,,"J1 D - South Bank Avenue")&amp;":"&amp;ADDRESS(130,3+18*2+(14))),'J1 D - South Bank Avenue'!$A$12:$A$130,"&gt;="&amp;Diagram!$O76,'J1 D - South Bank Avenue'!$A$12:$A$130,"&lt;"&amp;Diagram!$P76)))</f>
        <v>0</v>
      </c>
      <c r="EF76" s="42">
        <f ca="1">IF(OR($I$10="",$O76="",$P76="",$J$41&lt;&gt;"Yes"),0,IF($K$10=0,SUMIFS(INDIRECT(ADDRESS(12,3+18*3+(6),,,"J1 D - South Bank Avenue")&amp;":"&amp;ADDRESS(130,3+18*3+(6))),'J1 D - South Bank Avenue'!$A$12:$A$130,"&gt;="&amp;Diagram!$O76,'J1 D - South Bank Avenue'!$A$12:$A$130,"&lt;"&amp;Diagram!$P76),SUMIFS(INDIRECT(ADDRESS(12,3+18*3+(14),,,"J1 D - South Bank Avenue")&amp;":"&amp;ADDRESS(130,3+18*3+(14))),'J1 D - South Bank Avenue'!$A$12:$A$130,"&gt;="&amp;Diagram!$O76,'J1 D - South Bank Avenue'!$A$12:$A$130,"&lt;"&amp;Diagram!$P76)))</f>
        <v>0</v>
      </c>
      <c r="EG76" s="42">
        <f t="shared" ca="1" si="18"/>
        <v>0</v>
      </c>
      <c r="EH76" s="42">
        <f ca="1">IF(OR($I$10="",$O76="",$P76="",$J$42&lt;&gt;"Yes"),0,IF($K$10=0,SUMIFS(INDIRECT(ADDRESS(12,3+18*3+(7),,,"J1 A - (North) Bishopthorpe Roa")&amp;":"&amp;ADDRESS(130,3+18*3+(7))),'J1 A - (North) Bishopthorpe Roa'!$A$12:$A$130,"&gt;="&amp;Diagram!$O76,'J1 A - (North) Bishopthorpe Roa'!$A$12:$A$130,"&lt;"&amp;Diagram!$P76),SUMIFS(INDIRECT(ADDRESS(12,3+18*3+(15),,,"J1 A - (North) Bishopthorpe Roa")&amp;":"&amp;ADDRESS(130,3+18*3+(15))),'J1 A - (North) Bishopthorpe Roa'!$A$12:$A$130,"&gt;="&amp;Diagram!$O76,'J1 A - (North) Bishopthorpe Roa'!$A$12:$A$130,"&lt;"&amp;Diagram!$P76)))</f>
        <v>0</v>
      </c>
      <c r="EI76" s="42">
        <f ca="1">IF(OR($I$10="",$O76="",$P76="",$J$42&lt;&gt;"Yes"),0,IF($K$10=0,SUMIFS(INDIRECT(ADDRESS(12,3+18*0+(7),,,"J1 A - (North) Bishopthorpe Roa")&amp;":"&amp;ADDRESS(130,3+18*0+(7))),'J1 A - (North) Bishopthorpe Roa'!$A$12:$A$130,"&gt;="&amp;Diagram!$O76,'J1 A - (North) Bishopthorpe Roa'!$A$12:$A$130,"&lt;"&amp;Diagram!$P76),SUMIFS(INDIRECT(ADDRESS(12,3+18*0+(15),,,"J1 A - (North) Bishopthorpe Roa")&amp;":"&amp;ADDRESS(130,3+18*0+(15))),'J1 A - (North) Bishopthorpe Roa'!$A$12:$A$130,"&gt;="&amp;Diagram!$O76,'J1 A - (North) Bishopthorpe Roa'!$A$12:$A$130,"&lt;"&amp;Diagram!$P76)))</f>
        <v>0</v>
      </c>
      <c r="EJ76" s="42">
        <f ca="1">IF(OR($I$10="",$O76="",$P76="",$J$42&lt;&gt;"Yes"),0,IF($K$10=0,SUMIFS(INDIRECT(ADDRESS(12,3+18*1+(7),,,"J1 A - (North) Bishopthorpe Roa")&amp;":"&amp;ADDRESS(130,3+18*1+(7))),'J1 A - (North) Bishopthorpe Roa'!$A$12:$A$130,"&gt;="&amp;Diagram!$O76,'J1 A - (North) Bishopthorpe Roa'!$A$12:$A$130,"&lt;"&amp;Diagram!$P76),SUMIFS(INDIRECT(ADDRESS(12,3+18*1+(15),,,"J1 A - (North) Bishopthorpe Roa")&amp;":"&amp;ADDRESS(130,3+18*1+(15))),'J1 A - (North) Bishopthorpe Roa'!$A$12:$A$130,"&gt;="&amp;Diagram!$O76,'J1 A - (North) Bishopthorpe Roa'!$A$12:$A$130,"&lt;"&amp;Diagram!$P76)))</f>
        <v>0</v>
      </c>
      <c r="EK76" s="42">
        <f ca="1">IF(OR($I$10="",$O76="",$P76="",$J$42&lt;&gt;"Yes"),0,IF($K$10=0,SUMIFS(INDIRECT(ADDRESS(12,3+18*2+(7),,,"J1 A - (North) Bishopthorpe Roa")&amp;":"&amp;ADDRESS(130,3+18*2+(7))),'J1 A - (North) Bishopthorpe Roa'!$A$12:$A$130,"&gt;="&amp;Diagram!$O76,'J1 A - (North) Bishopthorpe Roa'!$A$12:$A$130,"&lt;"&amp;Diagram!$P76),SUMIFS(INDIRECT(ADDRESS(12,3+18*2+(15),,,"J1 A - (North) Bishopthorpe Roa")&amp;":"&amp;ADDRESS(130,3+18*2+(15))),'J1 A - (North) Bishopthorpe Roa'!$A$12:$A$130,"&gt;="&amp;Diagram!$O76,'J1 A - (North) Bishopthorpe Roa'!$A$12:$A$130,"&lt;"&amp;Diagram!$P76)))</f>
        <v>0</v>
      </c>
      <c r="EL76" s="42">
        <f ca="1">IF(OR($I$10="",$O76="",$P76="",$J$42&lt;&gt;"Yes"),0,IF($K$10=0,SUMIFS(INDIRECT(ADDRESS(12,3+18*2+(7),,,"J1 B - Butcher Terrace")&amp;":"&amp;ADDRESS(130,3+18*2+(7))),'J1 B - Butcher Terrace'!$A$12:$A$130,"&gt;="&amp;Diagram!$O76,'J1 B - Butcher Terrace'!$A$12:$A$130,"&lt;"&amp;Diagram!$P76),SUMIFS(INDIRECT(ADDRESS(12,3+18*2+(15),,,"J1 B - Butcher Terrace")&amp;":"&amp;ADDRESS(130,3+18*2+(15))),'J1 B - Butcher Terrace'!$A$12:$A$130,"&gt;="&amp;Diagram!$O76,'J1 B - Butcher Terrace'!$A$12:$A$130,"&lt;"&amp;Diagram!$P76)))</f>
        <v>0</v>
      </c>
      <c r="EM76" s="42">
        <f ca="1">IF(OR($I$10="",$O76="",$P76="",$J$42&lt;&gt;"Yes"),0,IF($K$10=0,SUMIFS(INDIRECT(ADDRESS(12,3+18*3+(7),,,"J1 B - Butcher Terrace")&amp;":"&amp;ADDRESS(130,3+18*3+(7))),'J1 B - Butcher Terrace'!$A$12:$A$130,"&gt;="&amp;Diagram!$O76,'J1 B - Butcher Terrace'!$A$12:$A$130,"&lt;"&amp;Diagram!$P76),SUMIFS(INDIRECT(ADDRESS(12,3+18*3+(15),,,"J1 B - Butcher Terrace")&amp;":"&amp;ADDRESS(130,3+18*3+(15))),'J1 B - Butcher Terrace'!$A$12:$A$130,"&gt;="&amp;Diagram!$O76,'J1 B - Butcher Terrace'!$A$12:$A$130,"&lt;"&amp;Diagram!$P76)))</f>
        <v>0</v>
      </c>
      <c r="EN76" s="42">
        <f ca="1">IF(OR($I$10="",$O76="",$P76="",$J$42&lt;&gt;"Yes"),0,IF($K$10=0,SUMIFS(INDIRECT(ADDRESS(12,3+18*0+(7),,,"J1 B - Butcher Terrace")&amp;":"&amp;ADDRESS(130,3+18*0+(7))),'J1 B - Butcher Terrace'!$A$12:$A$130,"&gt;="&amp;Diagram!$O76,'J1 B - Butcher Terrace'!$A$12:$A$130,"&lt;"&amp;Diagram!$P76),SUMIFS(INDIRECT(ADDRESS(12,3+18*0+(15),,,"J1 B - Butcher Terrace")&amp;":"&amp;ADDRESS(130,3+18*0+(15))),'J1 B - Butcher Terrace'!$A$12:$A$130,"&gt;="&amp;Diagram!$O76,'J1 B - Butcher Terrace'!$A$12:$A$130,"&lt;"&amp;Diagram!$P76)))</f>
        <v>0</v>
      </c>
      <c r="EO76" s="42">
        <f ca="1">IF(OR($I$10="",$O76="",$P76="",$J$42&lt;&gt;"Yes"),0,IF($K$10=0,SUMIFS(INDIRECT(ADDRESS(12,3+18*1+(7),,,"J1 B - Butcher Terrace")&amp;":"&amp;ADDRESS(130,3+18*1+(7))),'J1 B - Butcher Terrace'!$A$12:$A$130,"&gt;="&amp;Diagram!$O76,'J1 B - Butcher Terrace'!$A$12:$A$130,"&lt;"&amp;Diagram!$P76),SUMIFS(INDIRECT(ADDRESS(12,3+18*1+(15),,,"J1 B - Butcher Terrace")&amp;":"&amp;ADDRESS(130,3+18*1+(15))),'J1 B - Butcher Terrace'!$A$12:$A$130,"&gt;="&amp;Diagram!$O76,'J1 B - Butcher Terrace'!$A$12:$A$130,"&lt;"&amp;Diagram!$P76)))</f>
        <v>0</v>
      </c>
      <c r="EP76" s="42">
        <f ca="1">IF(OR($I$10="",$O76="",$P76="",$J$42&lt;&gt;"Yes"),0,IF($K$10=0,SUMIFS(INDIRECT(ADDRESS(12,3+18*1+(7),,,"J1 C - (South) Bishopthorpe Roa")&amp;":"&amp;ADDRESS(130,3+18*1+(7))),'J1 C - (South) Bishopthorpe Roa'!$A$12:$A$130,"&gt;="&amp;Diagram!$O76,'J1 C - (South) Bishopthorpe Roa'!$A$12:$A$130,"&lt;"&amp;Diagram!$P76),SUMIFS(INDIRECT(ADDRESS(12,3+18*1+(15),,,"J1 C - (South) Bishopthorpe Roa")&amp;":"&amp;ADDRESS(130,3+18*1+(15))),'J1 C - (South) Bishopthorpe Roa'!$A$12:$A$130,"&gt;="&amp;Diagram!$O76,'J1 C - (South) Bishopthorpe Roa'!$A$12:$A$130,"&lt;"&amp;Diagram!$P76)))</f>
        <v>0</v>
      </c>
      <c r="EQ76" s="42">
        <f ca="1">IF(OR($I$10="",$O76="",$P76="",$J$42&lt;&gt;"Yes"),0,IF($K$10=0,SUMIFS(INDIRECT(ADDRESS(12,3+18*2+(7),,,"J1 C - (South) Bishopthorpe Roa")&amp;":"&amp;ADDRESS(130,3+18*2+(7))),'J1 C - (South) Bishopthorpe Roa'!$A$12:$A$130,"&gt;="&amp;Diagram!$O76,'J1 C - (South) Bishopthorpe Roa'!$A$12:$A$130,"&lt;"&amp;Diagram!$P76),SUMIFS(INDIRECT(ADDRESS(12,3+18*2+(15),,,"J1 C - (South) Bishopthorpe Roa")&amp;":"&amp;ADDRESS(130,3+18*2+(15))),'J1 C - (South) Bishopthorpe Roa'!$A$12:$A$130,"&gt;="&amp;Diagram!$O76,'J1 C - (South) Bishopthorpe Roa'!$A$12:$A$130,"&lt;"&amp;Diagram!$P76)))</f>
        <v>0</v>
      </c>
      <c r="ER76" s="42">
        <f ca="1">IF(OR($I$10="",$O76="",$P76="",$J$42&lt;&gt;"Yes"),0,IF($K$10=0,SUMIFS(INDIRECT(ADDRESS(12,3+18*3+(7),,,"J1 C - (South) Bishopthorpe Roa")&amp;":"&amp;ADDRESS(130,3+18*3+(7))),'J1 C - (South) Bishopthorpe Roa'!$A$12:$A$130,"&gt;="&amp;Diagram!$O76,'J1 C - (South) Bishopthorpe Roa'!$A$12:$A$130,"&lt;"&amp;Diagram!$P76),SUMIFS(INDIRECT(ADDRESS(12,3+18*3+(15),,,"J1 C - (South) Bishopthorpe Roa")&amp;":"&amp;ADDRESS(130,3+18*3+(15))),'J1 C - (South) Bishopthorpe Roa'!$A$12:$A$130,"&gt;="&amp;Diagram!$O76,'J1 C - (South) Bishopthorpe Roa'!$A$12:$A$130,"&lt;"&amp;Diagram!$P76)))</f>
        <v>0</v>
      </c>
      <c r="ES76" s="42">
        <f ca="1">IF(OR($I$10="",$O76="",$P76="",$J$42&lt;&gt;"Yes"),0,IF($K$10=0,SUMIFS(INDIRECT(ADDRESS(12,3+18*0+(7),,,"J1 C - (South) Bishopthorpe Roa")&amp;":"&amp;ADDRESS(130,3+18*0+(7))),'J1 C - (South) Bishopthorpe Roa'!$A$12:$A$130,"&gt;="&amp;Diagram!$O76,'J1 C - (South) Bishopthorpe Roa'!$A$12:$A$130,"&lt;"&amp;Diagram!$P76),SUMIFS(INDIRECT(ADDRESS(12,3+18*0+(15),,,"J1 C - (South) Bishopthorpe Roa")&amp;":"&amp;ADDRESS(130,3+18*0+(15))),'J1 C - (South) Bishopthorpe Roa'!$A$12:$A$130,"&gt;="&amp;Diagram!$O76,'J1 C - (South) Bishopthorpe Roa'!$A$12:$A$130,"&lt;"&amp;Diagram!$P76)))</f>
        <v>0</v>
      </c>
      <c r="ET76" s="42">
        <f ca="1">IF(OR($I$10="",$O76="",$P76="",$J$42&lt;&gt;"Yes"),0,IF($K$10=0,SUMIFS(INDIRECT(ADDRESS(12,3+18*0+(7),,,"J1 D - South Bank Avenue")&amp;":"&amp;ADDRESS(130,3+18*0+(7))),'J1 D - South Bank Avenue'!$A$12:$A$130,"&gt;="&amp;Diagram!$O76,'J1 D - South Bank Avenue'!$A$12:$A$130,"&lt;"&amp;Diagram!$P76),SUMIFS(INDIRECT(ADDRESS(12,3+18*0+(15),,,"J1 D - South Bank Avenue")&amp;":"&amp;ADDRESS(130,3+18*0+(15))),'J1 D - South Bank Avenue'!$A$12:$A$130,"&gt;="&amp;Diagram!$O76,'J1 D - South Bank Avenue'!$A$12:$A$130,"&lt;"&amp;Diagram!$P76)))</f>
        <v>0</v>
      </c>
      <c r="EU76" s="42">
        <f ca="1">IF(OR($I$10="",$O76="",$P76="",$J$42&lt;&gt;"Yes"),0,IF($K$10=0,SUMIFS(INDIRECT(ADDRESS(12,3+18*1+(7),,,"J1 D - South Bank Avenue")&amp;":"&amp;ADDRESS(130,3+18*1+(7))),'J1 D - South Bank Avenue'!$A$12:$A$130,"&gt;="&amp;Diagram!$O76,'J1 D - South Bank Avenue'!$A$12:$A$130,"&lt;"&amp;Diagram!$P76),SUMIFS(INDIRECT(ADDRESS(12,3+18*1+(15),,,"J1 D - South Bank Avenue")&amp;":"&amp;ADDRESS(130,3+18*1+(15))),'J1 D - South Bank Avenue'!$A$12:$A$130,"&gt;="&amp;Diagram!$O76,'J1 D - South Bank Avenue'!$A$12:$A$130,"&lt;"&amp;Diagram!$P76)))</f>
        <v>0</v>
      </c>
      <c r="EV76" s="42">
        <f ca="1">IF(OR($I$10="",$O76="",$P76="",$J$42&lt;&gt;"Yes"),0,IF($K$10=0,SUMIFS(INDIRECT(ADDRESS(12,3+18*2+(7),,,"J1 D - South Bank Avenue")&amp;":"&amp;ADDRESS(130,3+18*2+(7))),'J1 D - South Bank Avenue'!$A$12:$A$130,"&gt;="&amp;Diagram!$O76,'J1 D - South Bank Avenue'!$A$12:$A$130,"&lt;"&amp;Diagram!$P76),SUMIFS(INDIRECT(ADDRESS(12,3+18*2+(15),,,"J1 D - South Bank Avenue")&amp;":"&amp;ADDRESS(130,3+18*2+(15))),'J1 D - South Bank Avenue'!$A$12:$A$130,"&gt;="&amp;Diagram!$O76,'J1 D - South Bank Avenue'!$A$12:$A$130,"&lt;"&amp;Diagram!$P76)))</f>
        <v>0</v>
      </c>
      <c r="EW76" s="42">
        <f ca="1">IF(OR($I$10="",$O76="",$P76="",$J$42&lt;&gt;"Yes"),0,IF($K$10=0,SUMIFS(INDIRECT(ADDRESS(12,3+18*3+(7),,,"J1 D - South Bank Avenue")&amp;":"&amp;ADDRESS(130,3+18*3+(7))),'J1 D - South Bank Avenue'!$A$12:$A$130,"&gt;="&amp;Diagram!$O76,'J1 D - South Bank Avenue'!$A$12:$A$130,"&lt;"&amp;Diagram!$P76),SUMIFS(INDIRECT(ADDRESS(12,3+18*3+(15),,,"J1 D - South Bank Avenue")&amp;":"&amp;ADDRESS(130,3+18*3+(15))),'J1 D - South Bank Avenue'!$A$12:$A$130,"&gt;="&amp;Diagram!$O76,'J1 D - South Bank Avenue'!$A$12:$A$130,"&lt;"&amp;Diagram!$P76)))</f>
        <v>0</v>
      </c>
    </row>
    <row r="77" spans="1:153">
      <c r="A77" s="1">
        <v>44395.791666666701</v>
      </c>
      <c r="B77" s="1">
        <v>44395.802083333299</v>
      </c>
      <c r="O77" s="3">
        <v>44395.791666666701</v>
      </c>
      <c r="P77" s="3">
        <v>44395.833333333299</v>
      </c>
      <c r="Q77" s="42">
        <f t="shared" ca="1" si="10"/>
        <v>551</v>
      </c>
      <c r="R77" s="42">
        <f t="shared" ca="1" si="11"/>
        <v>425</v>
      </c>
      <c r="S77" s="42">
        <f ca="1">IF(OR($I$10="",$O77="",$P77="",$J$35&lt;&gt;"Yes"),0,IF($K$10=0,SUMIFS(INDIRECT(ADDRESS(12,3+18*3+(0),,,"J1 A - (North) Bishopthorpe Roa")&amp;":"&amp;ADDRESS(130,3+18*3+(0))),'J1 A - (North) Bishopthorpe Roa'!$A$12:$A$130,"&gt;="&amp;Diagram!$O77,'J1 A - (North) Bishopthorpe Roa'!$A$12:$A$130,"&lt;"&amp;Diagram!$P77),SUMIFS(INDIRECT(ADDRESS(12,3+18*3+(8),,,"J1 A - (North) Bishopthorpe Roa")&amp;":"&amp;ADDRESS(130,3+18*3+(8))),'J1 A - (North) Bishopthorpe Roa'!$A$12:$A$130,"&gt;="&amp;Diagram!$O77,'J1 A - (North) Bishopthorpe Roa'!$A$12:$A$130,"&lt;"&amp;Diagram!$P77)))</f>
        <v>2</v>
      </c>
      <c r="T77" s="42">
        <f ca="1">IF(OR($I$10="",$O77="",$P77="",$J$35&lt;&gt;"Yes"),0,IF($K$10=0,SUMIFS(INDIRECT(ADDRESS(12,3+18*0+(0),,,"J1 A - (North) Bishopthorpe Roa")&amp;":"&amp;ADDRESS(130,3+18*0+(0))),'J1 A - (North) Bishopthorpe Roa'!$A$12:$A$130,"&gt;="&amp;Diagram!$O77,'J1 A - (North) Bishopthorpe Roa'!$A$12:$A$130,"&lt;"&amp;Diagram!$P77),SUMIFS(INDIRECT(ADDRESS(12,3+18*0+(8),,,"J1 A - (North) Bishopthorpe Roa")&amp;":"&amp;ADDRESS(130,3+18*0+(8))),'J1 A - (North) Bishopthorpe Roa'!$A$12:$A$130,"&gt;="&amp;Diagram!$O77,'J1 A - (North) Bishopthorpe Roa'!$A$12:$A$130,"&lt;"&amp;Diagram!$P77)))</f>
        <v>20</v>
      </c>
      <c r="U77" s="42">
        <f ca="1">IF(OR($I$10="",$O77="",$P77="",$J$35&lt;&gt;"Yes"),0,IF($K$10=0,SUMIFS(INDIRECT(ADDRESS(12,3+18*1+(0),,,"J1 A - (North) Bishopthorpe Roa")&amp;":"&amp;ADDRESS(130,3+18*1+(0))),'J1 A - (North) Bishopthorpe Roa'!$A$12:$A$130,"&gt;="&amp;Diagram!$O77,'J1 A - (North) Bishopthorpe Roa'!$A$12:$A$130,"&lt;"&amp;Diagram!$P77),SUMIFS(INDIRECT(ADDRESS(12,3+18*1+(8),,,"J1 A - (North) Bishopthorpe Roa")&amp;":"&amp;ADDRESS(130,3+18*1+(8))),'J1 A - (North) Bishopthorpe Roa'!$A$12:$A$130,"&gt;="&amp;Diagram!$O77,'J1 A - (North) Bishopthorpe Roa'!$A$12:$A$130,"&lt;"&amp;Diagram!$P77)))</f>
        <v>173</v>
      </c>
      <c r="V77" s="42">
        <f ca="1">IF(OR($I$10="",$O77="",$P77="",$J$35&lt;&gt;"Yes"),0,IF($K$10=0,SUMIFS(INDIRECT(ADDRESS(12,3+18*2+(0),,,"J1 A - (North) Bishopthorpe Roa")&amp;":"&amp;ADDRESS(130,3+18*2+(0))),'J1 A - (North) Bishopthorpe Roa'!$A$12:$A$130,"&gt;="&amp;Diagram!$O77,'J1 A - (North) Bishopthorpe Roa'!$A$12:$A$130,"&lt;"&amp;Diagram!$P77),SUMIFS(INDIRECT(ADDRESS(12,3+18*2+(8),,,"J1 A - (North) Bishopthorpe Roa")&amp;":"&amp;ADDRESS(130,3+18*2+(8))),'J1 A - (North) Bishopthorpe Roa'!$A$12:$A$130,"&gt;="&amp;Diagram!$O77,'J1 A - (North) Bishopthorpe Roa'!$A$12:$A$130,"&lt;"&amp;Diagram!$P77)))</f>
        <v>19</v>
      </c>
      <c r="W77" s="42">
        <f ca="1">IF(OR($I$10="",$O77="",$P77="",$J$35&lt;&gt;"Yes"),0,IF($K$10=0,SUMIFS(INDIRECT(ADDRESS(12,3+18*2+(0),,,"J1 B - Butcher Terrace")&amp;":"&amp;ADDRESS(130,3+18*2+(0))),'J1 B - Butcher Terrace'!$A$12:$A$130,"&gt;="&amp;Diagram!$O77,'J1 B - Butcher Terrace'!$A$12:$A$130,"&lt;"&amp;Diagram!$P77),SUMIFS(INDIRECT(ADDRESS(12,3+18*2+(8),,,"J1 B - Butcher Terrace")&amp;":"&amp;ADDRESS(130,3+18*2+(8))),'J1 B - Butcher Terrace'!$A$12:$A$130,"&gt;="&amp;Diagram!$O77,'J1 B - Butcher Terrace'!$A$12:$A$130,"&lt;"&amp;Diagram!$P77)))</f>
        <v>10</v>
      </c>
      <c r="X77" s="42">
        <f ca="1">IF(OR($I$10="",$O77="",$P77="",$J$35&lt;&gt;"Yes"),0,IF($K$10=0,SUMIFS(INDIRECT(ADDRESS(12,3+18*3+(0),,,"J1 B - Butcher Terrace")&amp;":"&amp;ADDRESS(130,3+18*3+(0))),'J1 B - Butcher Terrace'!$A$12:$A$130,"&gt;="&amp;Diagram!$O77,'J1 B - Butcher Terrace'!$A$12:$A$130,"&lt;"&amp;Diagram!$P77),SUMIFS(INDIRECT(ADDRESS(12,3+18*3+(8),,,"J1 B - Butcher Terrace")&amp;":"&amp;ADDRESS(130,3+18*3+(8))),'J1 B - Butcher Terrace'!$A$12:$A$130,"&gt;="&amp;Diagram!$O77,'J1 B - Butcher Terrace'!$A$12:$A$130,"&lt;"&amp;Diagram!$P77)))</f>
        <v>0</v>
      </c>
      <c r="Y77" s="42">
        <f ca="1">IF(OR($I$10="",$O77="",$P77="",$J$35&lt;&gt;"Yes"),0,IF($K$10=0,SUMIFS(INDIRECT(ADDRESS(12,3+18*0+(0),,,"J1 B - Butcher Terrace")&amp;":"&amp;ADDRESS(130,3+18*0+(0))),'J1 B - Butcher Terrace'!$A$12:$A$130,"&gt;="&amp;Diagram!$O77,'J1 B - Butcher Terrace'!$A$12:$A$130,"&lt;"&amp;Diagram!$P77),SUMIFS(INDIRECT(ADDRESS(12,3+18*0+(8),,,"J1 B - Butcher Terrace")&amp;":"&amp;ADDRESS(130,3+18*0+(8))),'J1 B - Butcher Terrace'!$A$12:$A$130,"&gt;="&amp;Diagram!$O77,'J1 B - Butcher Terrace'!$A$12:$A$130,"&lt;"&amp;Diagram!$P77)))</f>
        <v>13</v>
      </c>
      <c r="Z77" s="42">
        <f ca="1">IF(OR($I$10="",$O77="",$P77="",$J$35&lt;&gt;"Yes"),0,IF($K$10=0,SUMIFS(INDIRECT(ADDRESS(12,3+18*1+(0),,,"J1 B - Butcher Terrace")&amp;":"&amp;ADDRESS(130,3+18*1+(0))),'J1 B - Butcher Terrace'!$A$12:$A$130,"&gt;="&amp;Diagram!$O77,'J1 B - Butcher Terrace'!$A$12:$A$130,"&lt;"&amp;Diagram!$P77),SUMIFS(INDIRECT(ADDRESS(12,3+18*1+(8),,,"J1 B - Butcher Terrace")&amp;":"&amp;ADDRESS(130,3+18*1+(8))),'J1 B - Butcher Terrace'!$A$12:$A$130,"&gt;="&amp;Diagram!$O77,'J1 B - Butcher Terrace'!$A$12:$A$130,"&lt;"&amp;Diagram!$P77)))</f>
        <v>0</v>
      </c>
      <c r="AA77" s="42">
        <f ca="1">IF(OR($I$10="",$O77="",$P77="",$J$35&lt;&gt;"Yes"),0,IF($K$10=0,SUMIFS(INDIRECT(ADDRESS(12,3+18*1+(0),,,"J1 C - (South) Bishopthorpe Roa")&amp;":"&amp;ADDRESS(130,3+18*1+(0))),'J1 C - (South) Bishopthorpe Roa'!$A$12:$A$130,"&gt;="&amp;Diagram!$O77,'J1 C - (South) Bishopthorpe Roa'!$A$12:$A$130,"&lt;"&amp;Diagram!$P77),SUMIFS(INDIRECT(ADDRESS(12,3+18*1+(8),,,"J1 C - (South) Bishopthorpe Roa")&amp;":"&amp;ADDRESS(130,3+18*1+(8))),'J1 C - (South) Bishopthorpe Roa'!$A$12:$A$130,"&gt;="&amp;Diagram!$O77,'J1 C - (South) Bishopthorpe Roa'!$A$12:$A$130,"&lt;"&amp;Diagram!$P77)))</f>
        <v>152</v>
      </c>
      <c r="AB77" s="42">
        <f ca="1">IF(OR($I$10="",$O77="",$P77="",$J$35&lt;&gt;"Yes"),0,IF($K$10=0,SUMIFS(INDIRECT(ADDRESS(12,3+18*2+(0),,,"J1 C - (South) Bishopthorpe Roa")&amp;":"&amp;ADDRESS(130,3+18*2+(0))),'J1 C - (South) Bishopthorpe Roa'!$A$12:$A$130,"&gt;="&amp;Diagram!$O77,'J1 C - (South) Bishopthorpe Roa'!$A$12:$A$130,"&lt;"&amp;Diagram!$P77),SUMIFS(INDIRECT(ADDRESS(12,3+18*2+(8),,,"J1 C - (South) Bishopthorpe Roa")&amp;":"&amp;ADDRESS(130,3+18*2+(8))),'J1 C - (South) Bishopthorpe Roa'!$A$12:$A$130,"&gt;="&amp;Diagram!$O77,'J1 C - (South) Bishopthorpe Roa'!$A$12:$A$130,"&lt;"&amp;Diagram!$P77)))</f>
        <v>8</v>
      </c>
      <c r="AC77" s="42">
        <f ca="1">IF(OR($I$10="",$O77="",$P77="",$J$35&lt;&gt;"Yes"),0,IF($K$10=0,SUMIFS(INDIRECT(ADDRESS(12,3+18*3+(0),,,"J1 C - (South) Bishopthorpe Roa")&amp;":"&amp;ADDRESS(130,3+18*3+(0))),'J1 C - (South) Bishopthorpe Roa'!$A$12:$A$130,"&gt;="&amp;Diagram!$O77,'J1 C - (South) Bishopthorpe Roa'!$A$12:$A$130,"&lt;"&amp;Diagram!$P77),SUMIFS(INDIRECT(ADDRESS(12,3+18*3+(8),,,"J1 C - (South) Bishopthorpe Roa")&amp;":"&amp;ADDRESS(130,3+18*3+(8))),'J1 C - (South) Bishopthorpe Roa'!$A$12:$A$130,"&gt;="&amp;Diagram!$O77,'J1 C - (South) Bishopthorpe Roa'!$A$12:$A$130,"&lt;"&amp;Diagram!$P77)))</f>
        <v>0</v>
      </c>
      <c r="AD77" s="42">
        <f ca="1">IF(OR($I$10="",$O77="",$P77="",$J$35&lt;&gt;"Yes"),0,IF($K$10=0,SUMIFS(INDIRECT(ADDRESS(12,3+18*0+(0),,,"J1 C - (South) Bishopthorpe Roa")&amp;":"&amp;ADDRESS(130,3+18*0+(0))),'J1 C - (South) Bishopthorpe Roa'!$A$12:$A$130,"&gt;="&amp;Diagram!$O77,'J1 C - (South) Bishopthorpe Roa'!$A$12:$A$130,"&lt;"&amp;Diagram!$P77),SUMIFS(INDIRECT(ADDRESS(12,3+18*0+(8),,,"J1 C - (South) Bishopthorpe Roa")&amp;":"&amp;ADDRESS(130,3+18*0+(8))),'J1 C - (South) Bishopthorpe Roa'!$A$12:$A$130,"&gt;="&amp;Diagram!$O77,'J1 C - (South) Bishopthorpe Roa'!$A$12:$A$130,"&lt;"&amp;Diagram!$P77)))</f>
        <v>2</v>
      </c>
      <c r="AE77" s="42">
        <f ca="1">IF(OR($I$10="",$O77="",$P77="",$J$35&lt;&gt;"Yes"),0,IF($K$10=0,SUMIFS(INDIRECT(ADDRESS(12,3+18*0+(0),,,"J1 D - South Bank Avenue")&amp;":"&amp;ADDRESS(130,3+18*0+(0))),'J1 D - South Bank Avenue'!$A$12:$A$130,"&gt;="&amp;Diagram!$O77,'J1 D - South Bank Avenue'!$A$12:$A$130,"&lt;"&amp;Diagram!$P77),SUMIFS(INDIRECT(ADDRESS(12,3+18*0+(8),,,"J1 D - South Bank Avenue")&amp;":"&amp;ADDRESS(130,3+18*0+(8))),'J1 D - South Bank Avenue'!$A$12:$A$130,"&gt;="&amp;Diagram!$O77,'J1 D - South Bank Avenue'!$A$12:$A$130,"&lt;"&amp;Diagram!$P77)))</f>
        <v>22</v>
      </c>
      <c r="AF77" s="42">
        <f ca="1">IF(OR($I$10="",$O77="",$P77="",$J$35&lt;&gt;"Yes"),0,IF($K$10=0,SUMIFS(INDIRECT(ADDRESS(12,3+18*1+(0),,,"J1 D - South Bank Avenue")&amp;":"&amp;ADDRESS(130,3+18*1+(0))),'J1 D - South Bank Avenue'!$A$12:$A$130,"&gt;="&amp;Diagram!$O77,'J1 D - South Bank Avenue'!$A$12:$A$130,"&lt;"&amp;Diagram!$P77),SUMIFS(INDIRECT(ADDRESS(12,3+18*1+(8),,,"J1 D - South Bank Avenue")&amp;":"&amp;ADDRESS(130,3+18*1+(8))),'J1 D - South Bank Avenue'!$A$12:$A$130,"&gt;="&amp;Diagram!$O77,'J1 D - South Bank Avenue'!$A$12:$A$130,"&lt;"&amp;Diagram!$P77)))</f>
        <v>2</v>
      </c>
      <c r="AG77" s="42">
        <f ca="1">IF(OR($I$10="",$O77="",$P77="",$J$35&lt;&gt;"Yes"),0,IF($K$10=0,SUMIFS(INDIRECT(ADDRESS(12,3+18*2+(0),,,"J1 D - South Bank Avenue")&amp;":"&amp;ADDRESS(130,3+18*2+(0))),'J1 D - South Bank Avenue'!$A$12:$A$130,"&gt;="&amp;Diagram!$O77,'J1 D - South Bank Avenue'!$A$12:$A$130,"&lt;"&amp;Diagram!$P77),SUMIFS(INDIRECT(ADDRESS(12,3+18*2+(8),,,"J1 D - South Bank Avenue")&amp;":"&amp;ADDRESS(130,3+18*2+(8))),'J1 D - South Bank Avenue'!$A$12:$A$130,"&gt;="&amp;Diagram!$O77,'J1 D - South Bank Avenue'!$A$12:$A$130,"&lt;"&amp;Diagram!$P77)))</f>
        <v>2</v>
      </c>
      <c r="AH77" s="42">
        <f ca="1">IF(OR($I$10="",$O77="",$P77="",$J$35&lt;&gt;"Yes"),0,IF($K$10=0,SUMIFS(INDIRECT(ADDRESS(12,3+18*3+(0),,,"J1 D - South Bank Avenue")&amp;":"&amp;ADDRESS(130,3+18*3+(0))),'J1 D - South Bank Avenue'!$A$12:$A$130,"&gt;="&amp;Diagram!$O77,'J1 D - South Bank Avenue'!$A$12:$A$130,"&lt;"&amp;Diagram!$P77),SUMIFS(INDIRECT(ADDRESS(12,3+18*3+(8),,,"J1 D - South Bank Avenue")&amp;":"&amp;ADDRESS(130,3+18*3+(8))),'J1 D - South Bank Avenue'!$A$12:$A$130,"&gt;="&amp;Diagram!$O77,'J1 D - South Bank Avenue'!$A$12:$A$130,"&lt;"&amp;Diagram!$P77)))</f>
        <v>0</v>
      </c>
      <c r="AI77" s="42">
        <f t="shared" ca="1" si="12"/>
        <v>14</v>
      </c>
      <c r="AJ77" s="42">
        <f ca="1">IF(OR($I$10="",$O77="",$P77="",$J$36&lt;&gt;"Yes"),0,IF($K$10=0,SUMIFS(INDIRECT(ADDRESS(12,3+18*3+(1),,,"J1 A - (North) Bishopthorpe Roa")&amp;":"&amp;ADDRESS(130,3+18*3+(1))),'J1 A - (North) Bishopthorpe Roa'!$A$12:$A$130,"&gt;="&amp;Diagram!$O77,'J1 A - (North) Bishopthorpe Roa'!$A$12:$A$130,"&lt;"&amp;Diagram!$P77),SUMIFS(INDIRECT(ADDRESS(12,3+18*3+(9),,,"J1 A - (North) Bishopthorpe Roa")&amp;":"&amp;ADDRESS(130,3+18*3+(9))),'J1 A - (North) Bishopthorpe Roa'!$A$12:$A$130,"&gt;="&amp;Diagram!$O77,'J1 A - (North) Bishopthorpe Roa'!$A$12:$A$130,"&lt;"&amp;Diagram!$P77)))</f>
        <v>0</v>
      </c>
      <c r="AK77" s="42">
        <f ca="1">IF(OR($I$10="",$O77="",$P77="",$J$36&lt;&gt;"Yes"),0,IF($K$10=0,SUMIFS(INDIRECT(ADDRESS(12,3+18*0+(1),,,"J1 A - (North) Bishopthorpe Roa")&amp;":"&amp;ADDRESS(130,3+18*0+(1))),'J1 A - (North) Bishopthorpe Roa'!$A$12:$A$130,"&gt;="&amp;Diagram!$O77,'J1 A - (North) Bishopthorpe Roa'!$A$12:$A$130,"&lt;"&amp;Diagram!$P77),SUMIFS(INDIRECT(ADDRESS(12,3+18*0+(9),,,"J1 A - (North) Bishopthorpe Roa")&amp;":"&amp;ADDRESS(130,3+18*0+(9))),'J1 A - (North) Bishopthorpe Roa'!$A$12:$A$130,"&gt;="&amp;Diagram!$O77,'J1 A - (North) Bishopthorpe Roa'!$A$12:$A$130,"&lt;"&amp;Diagram!$P77)))</f>
        <v>1</v>
      </c>
      <c r="AL77" s="42">
        <f ca="1">IF(OR($I$10="",$O77="",$P77="",$J$36&lt;&gt;"Yes"),0,IF($K$10=0,SUMIFS(INDIRECT(ADDRESS(12,3+18*1+(1),,,"J1 A - (North) Bishopthorpe Roa")&amp;":"&amp;ADDRESS(130,3+18*1+(1))),'J1 A - (North) Bishopthorpe Roa'!$A$12:$A$130,"&gt;="&amp;Diagram!$O77,'J1 A - (North) Bishopthorpe Roa'!$A$12:$A$130,"&lt;"&amp;Diagram!$P77),SUMIFS(INDIRECT(ADDRESS(12,3+18*1+(9),,,"J1 A - (North) Bishopthorpe Roa")&amp;":"&amp;ADDRESS(130,3+18*1+(9))),'J1 A - (North) Bishopthorpe Roa'!$A$12:$A$130,"&gt;="&amp;Diagram!$O77,'J1 A - (North) Bishopthorpe Roa'!$A$12:$A$130,"&lt;"&amp;Diagram!$P77)))</f>
        <v>3</v>
      </c>
      <c r="AM77" s="42">
        <f ca="1">IF(OR($I$10="",$O77="",$P77="",$J$36&lt;&gt;"Yes"),0,IF($K$10=0,SUMIFS(INDIRECT(ADDRESS(12,3+18*2+(1),,,"J1 A - (North) Bishopthorpe Roa")&amp;":"&amp;ADDRESS(130,3+18*2+(1))),'J1 A - (North) Bishopthorpe Roa'!$A$12:$A$130,"&gt;="&amp;Diagram!$O77,'J1 A - (North) Bishopthorpe Roa'!$A$12:$A$130,"&lt;"&amp;Diagram!$P77),SUMIFS(INDIRECT(ADDRESS(12,3+18*2+(9),,,"J1 A - (North) Bishopthorpe Roa")&amp;":"&amp;ADDRESS(130,3+18*2+(9))),'J1 A - (North) Bishopthorpe Roa'!$A$12:$A$130,"&gt;="&amp;Diagram!$O77,'J1 A - (North) Bishopthorpe Roa'!$A$12:$A$130,"&lt;"&amp;Diagram!$P77)))</f>
        <v>0</v>
      </c>
      <c r="AN77" s="42">
        <f ca="1">IF(OR($I$10="",$O77="",$P77="",$J$36&lt;&gt;"Yes"),0,IF($K$10=0,SUMIFS(INDIRECT(ADDRESS(12,3+18*2+(1),,,"J1 B - Butcher Terrace")&amp;":"&amp;ADDRESS(130,3+18*2+(1))),'J1 B - Butcher Terrace'!$A$12:$A$130,"&gt;="&amp;Diagram!$O77,'J1 B - Butcher Terrace'!$A$12:$A$130,"&lt;"&amp;Diagram!$P77),SUMIFS(INDIRECT(ADDRESS(12,3+18*2+(9),,,"J1 B - Butcher Terrace")&amp;":"&amp;ADDRESS(130,3+18*2+(9))),'J1 B - Butcher Terrace'!$A$12:$A$130,"&gt;="&amp;Diagram!$O77,'J1 B - Butcher Terrace'!$A$12:$A$130,"&lt;"&amp;Diagram!$P77)))</f>
        <v>0</v>
      </c>
      <c r="AO77" s="42">
        <f ca="1">IF(OR($I$10="",$O77="",$P77="",$J$36&lt;&gt;"Yes"),0,IF($K$10=0,SUMIFS(INDIRECT(ADDRESS(12,3+18*3+(1),,,"J1 B - Butcher Terrace")&amp;":"&amp;ADDRESS(130,3+18*3+(1))),'J1 B - Butcher Terrace'!$A$12:$A$130,"&gt;="&amp;Diagram!$O77,'J1 B - Butcher Terrace'!$A$12:$A$130,"&lt;"&amp;Diagram!$P77),SUMIFS(INDIRECT(ADDRESS(12,3+18*3+(9),,,"J1 B - Butcher Terrace")&amp;":"&amp;ADDRESS(130,3+18*3+(9))),'J1 B - Butcher Terrace'!$A$12:$A$130,"&gt;="&amp;Diagram!$O77,'J1 B - Butcher Terrace'!$A$12:$A$130,"&lt;"&amp;Diagram!$P77)))</f>
        <v>0</v>
      </c>
      <c r="AP77" s="42">
        <f ca="1">IF(OR($I$10="",$O77="",$P77="",$J$36&lt;&gt;"Yes"),0,IF($K$10=0,SUMIFS(INDIRECT(ADDRESS(12,3+18*0+(1),,,"J1 B - Butcher Terrace")&amp;":"&amp;ADDRESS(130,3+18*0+(1))),'J1 B - Butcher Terrace'!$A$12:$A$130,"&gt;="&amp;Diagram!$O77,'J1 B - Butcher Terrace'!$A$12:$A$130,"&lt;"&amp;Diagram!$P77),SUMIFS(INDIRECT(ADDRESS(12,3+18*0+(9),,,"J1 B - Butcher Terrace")&amp;":"&amp;ADDRESS(130,3+18*0+(9))),'J1 B - Butcher Terrace'!$A$12:$A$130,"&gt;="&amp;Diagram!$O77,'J1 B - Butcher Terrace'!$A$12:$A$130,"&lt;"&amp;Diagram!$P77)))</f>
        <v>1</v>
      </c>
      <c r="AQ77" s="42">
        <f ca="1">IF(OR($I$10="",$O77="",$P77="",$J$36&lt;&gt;"Yes"),0,IF($K$10=0,SUMIFS(INDIRECT(ADDRESS(12,3+18*1+(1),,,"J1 B - Butcher Terrace")&amp;":"&amp;ADDRESS(130,3+18*1+(1))),'J1 B - Butcher Terrace'!$A$12:$A$130,"&gt;="&amp;Diagram!$O77,'J1 B - Butcher Terrace'!$A$12:$A$130,"&lt;"&amp;Diagram!$P77),SUMIFS(INDIRECT(ADDRESS(12,3+18*1+(9),,,"J1 B - Butcher Terrace")&amp;":"&amp;ADDRESS(130,3+18*1+(9))),'J1 B - Butcher Terrace'!$A$12:$A$130,"&gt;="&amp;Diagram!$O77,'J1 B - Butcher Terrace'!$A$12:$A$130,"&lt;"&amp;Diagram!$P77)))</f>
        <v>0</v>
      </c>
      <c r="AR77" s="42">
        <f ca="1">IF(OR($I$10="",$O77="",$P77="",$J$36&lt;&gt;"Yes"),0,IF($K$10=0,SUMIFS(INDIRECT(ADDRESS(12,3+18*1+(1),,,"J1 C - (South) Bishopthorpe Roa")&amp;":"&amp;ADDRESS(130,3+18*1+(1))),'J1 C - (South) Bishopthorpe Roa'!$A$12:$A$130,"&gt;="&amp;Diagram!$O77,'J1 C - (South) Bishopthorpe Roa'!$A$12:$A$130,"&lt;"&amp;Diagram!$P77),SUMIFS(INDIRECT(ADDRESS(12,3+18*1+(9),,,"J1 C - (South) Bishopthorpe Roa")&amp;":"&amp;ADDRESS(130,3+18*1+(9))),'J1 C - (South) Bishopthorpe Roa'!$A$12:$A$130,"&gt;="&amp;Diagram!$O77,'J1 C - (South) Bishopthorpe Roa'!$A$12:$A$130,"&lt;"&amp;Diagram!$P77)))</f>
        <v>6</v>
      </c>
      <c r="AS77" s="42">
        <f ca="1">IF(OR($I$10="",$O77="",$P77="",$J$36&lt;&gt;"Yes"),0,IF($K$10=0,SUMIFS(INDIRECT(ADDRESS(12,3+18*2+(1),,,"J1 C - (South) Bishopthorpe Roa")&amp;":"&amp;ADDRESS(130,3+18*2+(1))),'J1 C - (South) Bishopthorpe Roa'!$A$12:$A$130,"&gt;="&amp;Diagram!$O77,'J1 C - (South) Bishopthorpe Roa'!$A$12:$A$130,"&lt;"&amp;Diagram!$P77),SUMIFS(INDIRECT(ADDRESS(12,3+18*2+(9),,,"J1 C - (South) Bishopthorpe Roa")&amp;":"&amp;ADDRESS(130,3+18*2+(9))),'J1 C - (South) Bishopthorpe Roa'!$A$12:$A$130,"&gt;="&amp;Diagram!$O77,'J1 C - (South) Bishopthorpe Roa'!$A$12:$A$130,"&lt;"&amp;Diagram!$P77)))</f>
        <v>1</v>
      </c>
      <c r="AT77" s="42">
        <f ca="1">IF(OR($I$10="",$O77="",$P77="",$J$36&lt;&gt;"Yes"),0,IF($K$10=0,SUMIFS(INDIRECT(ADDRESS(12,3+18*3+(1),,,"J1 C - (South) Bishopthorpe Roa")&amp;":"&amp;ADDRESS(130,3+18*3+(1))),'J1 C - (South) Bishopthorpe Roa'!$A$12:$A$130,"&gt;="&amp;Diagram!$O77,'J1 C - (South) Bishopthorpe Roa'!$A$12:$A$130,"&lt;"&amp;Diagram!$P77),SUMIFS(INDIRECT(ADDRESS(12,3+18*3+(9),,,"J1 C - (South) Bishopthorpe Roa")&amp;":"&amp;ADDRESS(130,3+18*3+(9))),'J1 C - (South) Bishopthorpe Roa'!$A$12:$A$130,"&gt;="&amp;Diagram!$O77,'J1 C - (South) Bishopthorpe Roa'!$A$12:$A$130,"&lt;"&amp;Diagram!$P77)))</f>
        <v>0</v>
      </c>
      <c r="AU77" s="42">
        <f ca="1">IF(OR($I$10="",$O77="",$P77="",$J$36&lt;&gt;"Yes"),0,IF($K$10=0,SUMIFS(INDIRECT(ADDRESS(12,3+18*0+(1),,,"J1 C - (South) Bishopthorpe Roa")&amp;":"&amp;ADDRESS(130,3+18*0+(1))),'J1 C - (South) Bishopthorpe Roa'!$A$12:$A$130,"&gt;="&amp;Diagram!$O77,'J1 C - (South) Bishopthorpe Roa'!$A$12:$A$130,"&lt;"&amp;Diagram!$P77),SUMIFS(INDIRECT(ADDRESS(12,3+18*0+(9),,,"J1 C - (South) Bishopthorpe Roa")&amp;":"&amp;ADDRESS(130,3+18*0+(9))),'J1 C - (South) Bishopthorpe Roa'!$A$12:$A$130,"&gt;="&amp;Diagram!$O77,'J1 C - (South) Bishopthorpe Roa'!$A$12:$A$130,"&lt;"&amp;Diagram!$P77)))</f>
        <v>0</v>
      </c>
      <c r="AV77" s="42">
        <f ca="1">IF(OR($I$10="",$O77="",$P77="",$J$36&lt;&gt;"Yes"),0,IF($K$10=0,SUMIFS(INDIRECT(ADDRESS(12,3+18*0+(1),,,"J1 D - South Bank Avenue")&amp;":"&amp;ADDRESS(130,3+18*0+(1))),'J1 D - South Bank Avenue'!$A$12:$A$130,"&gt;="&amp;Diagram!$O77,'J1 D - South Bank Avenue'!$A$12:$A$130,"&lt;"&amp;Diagram!$P77),SUMIFS(INDIRECT(ADDRESS(12,3+18*0+(9),,,"J1 D - South Bank Avenue")&amp;":"&amp;ADDRESS(130,3+18*0+(9))),'J1 D - South Bank Avenue'!$A$12:$A$130,"&gt;="&amp;Diagram!$O77,'J1 D - South Bank Avenue'!$A$12:$A$130,"&lt;"&amp;Diagram!$P77)))</f>
        <v>2</v>
      </c>
      <c r="AW77" s="42">
        <f ca="1">IF(OR($I$10="",$O77="",$P77="",$J$36&lt;&gt;"Yes"),0,IF($K$10=0,SUMIFS(INDIRECT(ADDRESS(12,3+18*1+(1),,,"J1 D - South Bank Avenue")&amp;":"&amp;ADDRESS(130,3+18*1+(1))),'J1 D - South Bank Avenue'!$A$12:$A$130,"&gt;="&amp;Diagram!$O77,'J1 D - South Bank Avenue'!$A$12:$A$130,"&lt;"&amp;Diagram!$P77),SUMIFS(INDIRECT(ADDRESS(12,3+18*1+(9),,,"J1 D - South Bank Avenue")&amp;":"&amp;ADDRESS(130,3+18*1+(9))),'J1 D - South Bank Avenue'!$A$12:$A$130,"&gt;="&amp;Diagram!$O77,'J1 D - South Bank Avenue'!$A$12:$A$130,"&lt;"&amp;Diagram!$P77)))</f>
        <v>0</v>
      </c>
      <c r="AX77" s="42">
        <f ca="1">IF(OR($I$10="",$O77="",$P77="",$J$36&lt;&gt;"Yes"),0,IF($K$10=0,SUMIFS(INDIRECT(ADDRESS(12,3+18*2+(1),,,"J1 D - South Bank Avenue")&amp;":"&amp;ADDRESS(130,3+18*2+(1))),'J1 D - South Bank Avenue'!$A$12:$A$130,"&gt;="&amp;Diagram!$O77,'J1 D - South Bank Avenue'!$A$12:$A$130,"&lt;"&amp;Diagram!$P77),SUMIFS(INDIRECT(ADDRESS(12,3+18*2+(9),,,"J1 D - South Bank Avenue")&amp;":"&amp;ADDRESS(130,3+18*2+(9))),'J1 D - South Bank Avenue'!$A$12:$A$130,"&gt;="&amp;Diagram!$O77,'J1 D - South Bank Avenue'!$A$12:$A$130,"&lt;"&amp;Diagram!$P77)))</f>
        <v>0</v>
      </c>
      <c r="AY77" s="42">
        <f ca="1">IF(OR($I$10="",$O77="",$P77="",$J$36&lt;&gt;"Yes"),0,IF($K$10=0,SUMIFS(INDIRECT(ADDRESS(12,3+18*3+(1),,,"J1 D - South Bank Avenue")&amp;":"&amp;ADDRESS(130,3+18*3+(1))),'J1 D - South Bank Avenue'!$A$12:$A$130,"&gt;="&amp;Diagram!$O77,'J1 D - South Bank Avenue'!$A$12:$A$130,"&lt;"&amp;Diagram!$P77),SUMIFS(INDIRECT(ADDRESS(12,3+18*3+(9),,,"J1 D - South Bank Avenue")&amp;":"&amp;ADDRESS(130,3+18*3+(9))),'J1 D - South Bank Avenue'!$A$12:$A$130,"&gt;="&amp;Diagram!$O77,'J1 D - South Bank Avenue'!$A$12:$A$130,"&lt;"&amp;Diagram!$P77)))</f>
        <v>0</v>
      </c>
      <c r="AZ77" s="42">
        <f t="shared" ca="1" si="13"/>
        <v>0</v>
      </c>
      <c r="BA77" s="42">
        <f ca="1">IF(OR($I$10="",$O77="",$P77="",$J$37&lt;&gt;"Yes"),0,IF($K$10=0,SUMIFS(INDIRECT(ADDRESS(12,3+18*3+(2),,,"J1 A - (North) Bishopthorpe Roa")&amp;":"&amp;ADDRESS(130,3+18*3+(2))),'J1 A - (North) Bishopthorpe Roa'!$A$12:$A$130,"&gt;="&amp;Diagram!$O77,'J1 A - (North) Bishopthorpe Roa'!$A$12:$A$130,"&lt;"&amp;Diagram!$P77),SUMIFS(INDIRECT(ADDRESS(12,3+18*3+(10),,,"J1 A - (North) Bishopthorpe Roa")&amp;":"&amp;ADDRESS(130,3+18*3+(10))),'J1 A - (North) Bishopthorpe Roa'!$A$12:$A$130,"&gt;="&amp;Diagram!$O77,'J1 A - (North) Bishopthorpe Roa'!$A$12:$A$130,"&lt;"&amp;Diagram!$P77)))</f>
        <v>0</v>
      </c>
      <c r="BB77" s="42">
        <f ca="1">IF(OR($I$10="",$O77="",$P77="",$J$37&lt;&gt;"Yes"),0,IF($K$10=0,SUMIFS(INDIRECT(ADDRESS(12,3+18*0+(2),,,"J1 A - (North) Bishopthorpe Roa")&amp;":"&amp;ADDRESS(130,3+18*0+(2))),'J1 A - (North) Bishopthorpe Roa'!$A$12:$A$130,"&gt;="&amp;Diagram!$O77,'J1 A - (North) Bishopthorpe Roa'!$A$12:$A$130,"&lt;"&amp;Diagram!$P77),SUMIFS(INDIRECT(ADDRESS(12,3+18*0+(10),,,"J1 A - (North) Bishopthorpe Roa")&amp;":"&amp;ADDRESS(130,3+18*0+(10))),'J1 A - (North) Bishopthorpe Roa'!$A$12:$A$130,"&gt;="&amp;Diagram!$O77,'J1 A - (North) Bishopthorpe Roa'!$A$12:$A$130,"&lt;"&amp;Diagram!$P77)))</f>
        <v>0</v>
      </c>
      <c r="BC77" s="42">
        <f ca="1">IF(OR($I$10="",$O77="",$P77="",$J$37&lt;&gt;"Yes"),0,IF($K$10=0,SUMIFS(INDIRECT(ADDRESS(12,3+18*1+(2),,,"J1 A - (North) Bishopthorpe Roa")&amp;":"&amp;ADDRESS(130,3+18*1+(2))),'J1 A - (North) Bishopthorpe Roa'!$A$12:$A$130,"&gt;="&amp;Diagram!$O77,'J1 A - (North) Bishopthorpe Roa'!$A$12:$A$130,"&lt;"&amp;Diagram!$P77),SUMIFS(INDIRECT(ADDRESS(12,3+18*1+(10),,,"J1 A - (North) Bishopthorpe Roa")&amp;":"&amp;ADDRESS(130,3+18*1+(10))),'J1 A - (North) Bishopthorpe Roa'!$A$12:$A$130,"&gt;="&amp;Diagram!$O77,'J1 A - (North) Bishopthorpe Roa'!$A$12:$A$130,"&lt;"&amp;Diagram!$P77)))</f>
        <v>0</v>
      </c>
      <c r="BD77" s="42">
        <f ca="1">IF(OR($I$10="",$O77="",$P77="",$J$37&lt;&gt;"Yes"),0,IF($K$10=0,SUMIFS(INDIRECT(ADDRESS(12,3+18*2+(2),,,"J1 A - (North) Bishopthorpe Roa")&amp;":"&amp;ADDRESS(130,3+18*2+(2))),'J1 A - (North) Bishopthorpe Roa'!$A$12:$A$130,"&gt;="&amp;Diagram!$O77,'J1 A - (North) Bishopthorpe Roa'!$A$12:$A$130,"&lt;"&amp;Diagram!$P77),SUMIFS(INDIRECT(ADDRESS(12,3+18*2+(10),,,"J1 A - (North) Bishopthorpe Roa")&amp;":"&amp;ADDRESS(130,3+18*2+(10))),'J1 A - (North) Bishopthorpe Roa'!$A$12:$A$130,"&gt;="&amp;Diagram!$O77,'J1 A - (North) Bishopthorpe Roa'!$A$12:$A$130,"&lt;"&amp;Diagram!$P77)))</f>
        <v>0</v>
      </c>
      <c r="BE77" s="42">
        <f ca="1">IF(OR($I$10="",$O77="",$P77="",$J$37&lt;&gt;"Yes"),0,IF($K$10=0,SUMIFS(INDIRECT(ADDRESS(12,3+18*2+(2),,,"J1 B - Butcher Terrace")&amp;":"&amp;ADDRESS(130,3+18*2+(2))),'J1 B - Butcher Terrace'!$A$12:$A$130,"&gt;="&amp;Diagram!$O77,'J1 B - Butcher Terrace'!$A$12:$A$130,"&lt;"&amp;Diagram!$P77),SUMIFS(INDIRECT(ADDRESS(12,3+18*2+(10),,,"J1 B - Butcher Terrace")&amp;":"&amp;ADDRESS(130,3+18*2+(10))),'J1 B - Butcher Terrace'!$A$12:$A$130,"&gt;="&amp;Diagram!$O77,'J1 B - Butcher Terrace'!$A$12:$A$130,"&lt;"&amp;Diagram!$P77)))</f>
        <v>0</v>
      </c>
      <c r="BF77" s="42">
        <f ca="1">IF(OR($I$10="",$O77="",$P77="",$J$37&lt;&gt;"Yes"),0,IF($K$10=0,SUMIFS(INDIRECT(ADDRESS(12,3+18*3+(2),,,"J1 B - Butcher Terrace")&amp;":"&amp;ADDRESS(130,3+18*3+(2))),'J1 B - Butcher Terrace'!$A$12:$A$130,"&gt;="&amp;Diagram!$O77,'J1 B - Butcher Terrace'!$A$12:$A$130,"&lt;"&amp;Diagram!$P77),SUMIFS(INDIRECT(ADDRESS(12,3+18*3+(10),,,"J1 B - Butcher Terrace")&amp;":"&amp;ADDRESS(130,3+18*3+(10))),'J1 B - Butcher Terrace'!$A$12:$A$130,"&gt;="&amp;Diagram!$O77,'J1 B - Butcher Terrace'!$A$12:$A$130,"&lt;"&amp;Diagram!$P77)))</f>
        <v>0</v>
      </c>
      <c r="BG77" s="42">
        <f ca="1">IF(OR($I$10="",$O77="",$P77="",$J$37&lt;&gt;"Yes"),0,IF($K$10=0,SUMIFS(INDIRECT(ADDRESS(12,3+18*0+(2),,,"J1 B - Butcher Terrace")&amp;":"&amp;ADDRESS(130,3+18*0+(2))),'J1 B - Butcher Terrace'!$A$12:$A$130,"&gt;="&amp;Diagram!$O77,'J1 B - Butcher Terrace'!$A$12:$A$130,"&lt;"&amp;Diagram!$P77),SUMIFS(INDIRECT(ADDRESS(12,3+18*0+(10),,,"J1 B - Butcher Terrace")&amp;":"&amp;ADDRESS(130,3+18*0+(10))),'J1 B - Butcher Terrace'!$A$12:$A$130,"&gt;="&amp;Diagram!$O77,'J1 B - Butcher Terrace'!$A$12:$A$130,"&lt;"&amp;Diagram!$P77)))</f>
        <v>0</v>
      </c>
      <c r="BH77" s="42">
        <f ca="1">IF(OR($I$10="",$O77="",$P77="",$J$37&lt;&gt;"Yes"),0,IF($K$10=0,SUMIFS(INDIRECT(ADDRESS(12,3+18*1+(2),,,"J1 B - Butcher Terrace")&amp;":"&amp;ADDRESS(130,3+18*1+(2))),'J1 B - Butcher Terrace'!$A$12:$A$130,"&gt;="&amp;Diagram!$O77,'J1 B - Butcher Terrace'!$A$12:$A$130,"&lt;"&amp;Diagram!$P77),SUMIFS(INDIRECT(ADDRESS(12,3+18*1+(10),,,"J1 B - Butcher Terrace")&amp;":"&amp;ADDRESS(130,3+18*1+(10))),'J1 B - Butcher Terrace'!$A$12:$A$130,"&gt;="&amp;Diagram!$O77,'J1 B - Butcher Terrace'!$A$12:$A$130,"&lt;"&amp;Diagram!$P77)))</f>
        <v>0</v>
      </c>
      <c r="BI77" s="42">
        <f ca="1">IF(OR($I$10="",$O77="",$P77="",$J$37&lt;&gt;"Yes"),0,IF($K$10=0,SUMIFS(INDIRECT(ADDRESS(12,3+18*1+(2),,,"J1 C - (South) Bishopthorpe Roa")&amp;":"&amp;ADDRESS(130,3+18*1+(2))),'J1 C - (South) Bishopthorpe Roa'!$A$12:$A$130,"&gt;="&amp;Diagram!$O77,'J1 C - (South) Bishopthorpe Roa'!$A$12:$A$130,"&lt;"&amp;Diagram!$P77),SUMIFS(INDIRECT(ADDRESS(12,3+18*1+(10),,,"J1 C - (South) Bishopthorpe Roa")&amp;":"&amp;ADDRESS(130,3+18*1+(10))),'J1 C - (South) Bishopthorpe Roa'!$A$12:$A$130,"&gt;="&amp;Diagram!$O77,'J1 C - (South) Bishopthorpe Roa'!$A$12:$A$130,"&lt;"&amp;Diagram!$P77)))</f>
        <v>0</v>
      </c>
      <c r="BJ77" s="42">
        <f ca="1">IF(OR($I$10="",$O77="",$P77="",$J$37&lt;&gt;"Yes"),0,IF($K$10=0,SUMIFS(INDIRECT(ADDRESS(12,3+18*2+(2),,,"J1 C - (South) Bishopthorpe Roa")&amp;":"&amp;ADDRESS(130,3+18*2+(2))),'J1 C - (South) Bishopthorpe Roa'!$A$12:$A$130,"&gt;="&amp;Diagram!$O77,'J1 C - (South) Bishopthorpe Roa'!$A$12:$A$130,"&lt;"&amp;Diagram!$P77),SUMIFS(INDIRECT(ADDRESS(12,3+18*2+(10),,,"J1 C - (South) Bishopthorpe Roa")&amp;":"&amp;ADDRESS(130,3+18*2+(10))),'J1 C - (South) Bishopthorpe Roa'!$A$12:$A$130,"&gt;="&amp;Diagram!$O77,'J1 C - (South) Bishopthorpe Roa'!$A$12:$A$130,"&lt;"&amp;Diagram!$P77)))</f>
        <v>0</v>
      </c>
      <c r="BK77" s="42">
        <f ca="1">IF(OR($I$10="",$O77="",$P77="",$J$37&lt;&gt;"Yes"),0,IF($K$10=0,SUMIFS(INDIRECT(ADDRESS(12,3+18*3+(2),,,"J1 C - (South) Bishopthorpe Roa")&amp;":"&amp;ADDRESS(130,3+18*3+(2))),'J1 C - (South) Bishopthorpe Roa'!$A$12:$A$130,"&gt;="&amp;Diagram!$O77,'J1 C - (South) Bishopthorpe Roa'!$A$12:$A$130,"&lt;"&amp;Diagram!$P77),SUMIFS(INDIRECT(ADDRESS(12,3+18*3+(10),,,"J1 C - (South) Bishopthorpe Roa")&amp;":"&amp;ADDRESS(130,3+18*3+(10))),'J1 C - (South) Bishopthorpe Roa'!$A$12:$A$130,"&gt;="&amp;Diagram!$O77,'J1 C - (South) Bishopthorpe Roa'!$A$12:$A$130,"&lt;"&amp;Diagram!$P77)))</f>
        <v>0</v>
      </c>
      <c r="BL77" s="42">
        <f ca="1">IF(OR($I$10="",$O77="",$P77="",$J$37&lt;&gt;"Yes"),0,IF($K$10=0,SUMIFS(INDIRECT(ADDRESS(12,3+18*0+(2),,,"J1 C - (South) Bishopthorpe Roa")&amp;":"&amp;ADDRESS(130,3+18*0+(2))),'J1 C - (South) Bishopthorpe Roa'!$A$12:$A$130,"&gt;="&amp;Diagram!$O77,'J1 C - (South) Bishopthorpe Roa'!$A$12:$A$130,"&lt;"&amp;Diagram!$P77),SUMIFS(INDIRECT(ADDRESS(12,3+18*0+(10),,,"J1 C - (South) Bishopthorpe Roa")&amp;":"&amp;ADDRESS(130,3+18*0+(10))),'J1 C - (South) Bishopthorpe Roa'!$A$12:$A$130,"&gt;="&amp;Diagram!$O77,'J1 C - (South) Bishopthorpe Roa'!$A$12:$A$130,"&lt;"&amp;Diagram!$P77)))</f>
        <v>0</v>
      </c>
      <c r="BM77" s="42">
        <f ca="1">IF(OR($I$10="",$O77="",$P77="",$J$37&lt;&gt;"Yes"),0,IF($K$10=0,SUMIFS(INDIRECT(ADDRESS(12,3+18*0+(2),,,"J1 D - South Bank Avenue")&amp;":"&amp;ADDRESS(130,3+18*0+(2))),'J1 D - South Bank Avenue'!$A$12:$A$130,"&gt;="&amp;Diagram!$O77,'J1 D - South Bank Avenue'!$A$12:$A$130,"&lt;"&amp;Diagram!$P77),SUMIFS(INDIRECT(ADDRESS(12,3+18*0+(10),,,"J1 D - South Bank Avenue")&amp;":"&amp;ADDRESS(130,3+18*0+(10))),'J1 D - South Bank Avenue'!$A$12:$A$130,"&gt;="&amp;Diagram!$O77,'J1 D - South Bank Avenue'!$A$12:$A$130,"&lt;"&amp;Diagram!$P77)))</f>
        <v>0</v>
      </c>
      <c r="BN77" s="42">
        <f ca="1">IF(OR($I$10="",$O77="",$P77="",$J$37&lt;&gt;"Yes"),0,IF($K$10=0,SUMIFS(INDIRECT(ADDRESS(12,3+18*1+(2),,,"J1 D - South Bank Avenue")&amp;":"&amp;ADDRESS(130,3+18*1+(2))),'J1 D - South Bank Avenue'!$A$12:$A$130,"&gt;="&amp;Diagram!$O77,'J1 D - South Bank Avenue'!$A$12:$A$130,"&lt;"&amp;Diagram!$P77),SUMIFS(INDIRECT(ADDRESS(12,3+18*1+(10),,,"J1 D - South Bank Avenue")&amp;":"&amp;ADDRESS(130,3+18*1+(10))),'J1 D - South Bank Avenue'!$A$12:$A$130,"&gt;="&amp;Diagram!$O77,'J1 D - South Bank Avenue'!$A$12:$A$130,"&lt;"&amp;Diagram!$P77)))</f>
        <v>0</v>
      </c>
      <c r="BO77" s="42">
        <f ca="1">IF(OR($I$10="",$O77="",$P77="",$J$37&lt;&gt;"Yes"),0,IF($K$10=0,SUMIFS(INDIRECT(ADDRESS(12,3+18*2+(2),,,"J1 D - South Bank Avenue")&amp;":"&amp;ADDRESS(130,3+18*2+(2))),'J1 D - South Bank Avenue'!$A$12:$A$130,"&gt;="&amp;Diagram!$O77,'J1 D - South Bank Avenue'!$A$12:$A$130,"&lt;"&amp;Diagram!$P77),SUMIFS(INDIRECT(ADDRESS(12,3+18*2+(10),,,"J1 D - South Bank Avenue")&amp;":"&amp;ADDRESS(130,3+18*2+(10))),'J1 D - South Bank Avenue'!$A$12:$A$130,"&gt;="&amp;Diagram!$O77,'J1 D - South Bank Avenue'!$A$12:$A$130,"&lt;"&amp;Diagram!$P77)))</f>
        <v>0</v>
      </c>
      <c r="BP77" s="42">
        <f ca="1">IF(OR($I$10="",$O77="",$P77="",$J$37&lt;&gt;"Yes"),0,IF($K$10=0,SUMIFS(INDIRECT(ADDRESS(12,3+18*3+(2),,,"J1 D - South Bank Avenue")&amp;":"&amp;ADDRESS(130,3+18*3+(2))),'J1 D - South Bank Avenue'!$A$12:$A$130,"&gt;="&amp;Diagram!$O77,'J1 D - South Bank Avenue'!$A$12:$A$130,"&lt;"&amp;Diagram!$P77),SUMIFS(INDIRECT(ADDRESS(12,3+18*3+(10),,,"J1 D - South Bank Avenue")&amp;":"&amp;ADDRESS(130,3+18*3+(10))),'J1 D - South Bank Avenue'!$A$12:$A$130,"&gt;="&amp;Diagram!$O77,'J1 D - South Bank Avenue'!$A$12:$A$130,"&lt;"&amp;Diagram!$P77)))</f>
        <v>0</v>
      </c>
      <c r="BQ77" s="42">
        <f t="shared" ca="1" si="14"/>
        <v>0</v>
      </c>
      <c r="BR77" s="42">
        <f ca="1">IF(OR($I$10="",$O77="",$P77="",$J$38&lt;&gt;"Yes"),0,IF($K$10=0,SUMIFS(INDIRECT(ADDRESS(12,3+18*3+(3),,,"J1 A - (North) Bishopthorpe Roa")&amp;":"&amp;ADDRESS(130,3+18*3+(3))),'J1 A - (North) Bishopthorpe Roa'!$A$12:$A$130,"&gt;="&amp;Diagram!$O77,'J1 A - (North) Bishopthorpe Roa'!$A$12:$A$130,"&lt;"&amp;Diagram!$P77),SUMIFS(INDIRECT(ADDRESS(12,3+18*3+(11),,,"J1 A - (North) Bishopthorpe Roa")&amp;":"&amp;ADDRESS(130,3+18*3+(11))),'J1 A - (North) Bishopthorpe Roa'!$A$12:$A$130,"&gt;="&amp;Diagram!$O77,'J1 A - (North) Bishopthorpe Roa'!$A$12:$A$130,"&lt;"&amp;Diagram!$P77)))</f>
        <v>0</v>
      </c>
      <c r="BS77" s="42">
        <f ca="1">IF(OR($I$10="",$O77="",$P77="",$J$38&lt;&gt;"Yes"),0,IF($K$10=0,SUMIFS(INDIRECT(ADDRESS(12,3+18*0+(3),,,"J1 A - (North) Bishopthorpe Roa")&amp;":"&amp;ADDRESS(130,3+18*0+(3))),'J1 A - (North) Bishopthorpe Roa'!$A$12:$A$130,"&gt;="&amp;Diagram!$O77,'J1 A - (North) Bishopthorpe Roa'!$A$12:$A$130,"&lt;"&amp;Diagram!$P77),SUMIFS(INDIRECT(ADDRESS(12,3+18*0+(11),,,"J1 A - (North) Bishopthorpe Roa")&amp;":"&amp;ADDRESS(130,3+18*0+(11))),'J1 A - (North) Bishopthorpe Roa'!$A$12:$A$130,"&gt;="&amp;Diagram!$O77,'J1 A - (North) Bishopthorpe Roa'!$A$12:$A$130,"&lt;"&amp;Diagram!$P77)))</f>
        <v>0</v>
      </c>
      <c r="BT77" s="42">
        <f ca="1">IF(OR($I$10="",$O77="",$P77="",$J$38&lt;&gt;"Yes"),0,IF($K$10=0,SUMIFS(INDIRECT(ADDRESS(12,3+18*1+(3),,,"J1 A - (North) Bishopthorpe Roa")&amp;":"&amp;ADDRESS(130,3+18*1+(3))),'J1 A - (North) Bishopthorpe Roa'!$A$12:$A$130,"&gt;="&amp;Diagram!$O77,'J1 A - (North) Bishopthorpe Roa'!$A$12:$A$130,"&lt;"&amp;Diagram!$P77),SUMIFS(INDIRECT(ADDRESS(12,3+18*1+(11),,,"J1 A - (North) Bishopthorpe Roa")&amp;":"&amp;ADDRESS(130,3+18*1+(11))),'J1 A - (North) Bishopthorpe Roa'!$A$12:$A$130,"&gt;="&amp;Diagram!$O77,'J1 A - (North) Bishopthorpe Roa'!$A$12:$A$130,"&lt;"&amp;Diagram!$P77)))</f>
        <v>0</v>
      </c>
      <c r="BU77" s="42">
        <f ca="1">IF(OR($I$10="",$O77="",$P77="",$J$38&lt;&gt;"Yes"),0,IF($K$10=0,SUMIFS(INDIRECT(ADDRESS(12,3+18*2+(3),,,"J1 A - (North) Bishopthorpe Roa")&amp;":"&amp;ADDRESS(130,3+18*2+(3))),'J1 A - (North) Bishopthorpe Roa'!$A$12:$A$130,"&gt;="&amp;Diagram!$O77,'J1 A - (North) Bishopthorpe Roa'!$A$12:$A$130,"&lt;"&amp;Diagram!$P77),SUMIFS(INDIRECT(ADDRESS(12,3+18*2+(11),,,"J1 A - (North) Bishopthorpe Roa")&amp;":"&amp;ADDRESS(130,3+18*2+(11))),'J1 A - (North) Bishopthorpe Roa'!$A$12:$A$130,"&gt;="&amp;Diagram!$O77,'J1 A - (North) Bishopthorpe Roa'!$A$12:$A$130,"&lt;"&amp;Diagram!$P77)))</f>
        <v>0</v>
      </c>
      <c r="BV77" s="42">
        <f ca="1">IF(OR($I$10="",$O77="",$P77="",$J$38&lt;&gt;"Yes"),0,IF($K$10=0,SUMIFS(INDIRECT(ADDRESS(12,3+18*2+(3),,,"J1 B - Butcher Terrace")&amp;":"&amp;ADDRESS(130,3+18*2+(3))),'J1 B - Butcher Terrace'!$A$12:$A$130,"&gt;="&amp;Diagram!$O77,'J1 B - Butcher Terrace'!$A$12:$A$130,"&lt;"&amp;Diagram!$P77),SUMIFS(INDIRECT(ADDRESS(12,3+18*2+(11),,,"J1 B - Butcher Terrace")&amp;":"&amp;ADDRESS(130,3+18*2+(11))),'J1 B - Butcher Terrace'!$A$12:$A$130,"&gt;="&amp;Diagram!$O77,'J1 B - Butcher Terrace'!$A$12:$A$130,"&lt;"&amp;Diagram!$P77)))</f>
        <v>0</v>
      </c>
      <c r="BW77" s="42">
        <f ca="1">IF(OR($I$10="",$O77="",$P77="",$J$38&lt;&gt;"Yes"),0,IF($K$10=0,SUMIFS(INDIRECT(ADDRESS(12,3+18*3+(3),,,"J1 B - Butcher Terrace")&amp;":"&amp;ADDRESS(130,3+18*3+(3))),'J1 B - Butcher Terrace'!$A$12:$A$130,"&gt;="&amp;Diagram!$O77,'J1 B - Butcher Terrace'!$A$12:$A$130,"&lt;"&amp;Diagram!$P77),SUMIFS(INDIRECT(ADDRESS(12,3+18*3+(11),,,"J1 B - Butcher Terrace")&amp;":"&amp;ADDRESS(130,3+18*3+(11))),'J1 B - Butcher Terrace'!$A$12:$A$130,"&gt;="&amp;Diagram!$O77,'J1 B - Butcher Terrace'!$A$12:$A$130,"&lt;"&amp;Diagram!$P77)))</f>
        <v>0</v>
      </c>
      <c r="BX77" s="42">
        <f ca="1">IF(OR($I$10="",$O77="",$P77="",$J$38&lt;&gt;"Yes"),0,IF($K$10=0,SUMIFS(INDIRECT(ADDRESS(12,3+18*0+(3),,,"J1 B - Butcher Terrace")&amp;":"&amp;ADDRESS(130,3+18*0+(3))),'J1 B - Butcher Terrace'!$A$12:$A$130,"&gt;="&amp;Diagram!$O77,'J1 B - Butcher Terrace'!$A$12:$A$130,"&lt;"&amp;Diagram!$P77),SUMIFS(INDIRECT(ADDRESS(12,3+18*0+(11),,,"J1 B - Butcher Terrace")&amp;":"&amp;ADDRESS(130,3+18*0+(11))),'J1 B - Butcher Terrace'!$A$12:$A$130,"&gt;="&amp;Diagram!$O77,'J1 B - Butcher Terrace'!$A$12:$A$130,"&lt;"&amp;Diagram!$P77)))</f>
        <v>0</v>
      </c>
      <c r="BY77" s="42">
        <f ca="1">IF(OR($I$10="",$O77="",$P77="",$J$38&lt;&gt;"Yes"),0,IF($K$10=0,SUMIFS(INDIRECT(ADDRESS(12,3+18*1+(3),,,"J1 B - Butcher Terrace")&amp;":"&amp;ADDRESS(130,3+18*1+(3))),'J1 B - Butcher Terrace'!$A$12:$A$130,"&gt;="&amp;Diagram!$O77,'J1 B - Butcher Terrace'!$A$12:$A$130,"&lt;"&amp;Diagram!$P77),SUMIFS(INDIRECT(ADDRESS(12,3+18*1+(11),,,"J1 B - Butcher Terrace")&amp;":"&amp;ADDRESS(130,3+18*1+(11))),'J1 B - Butcher Terrace'!$A$12:$A$130,"&gt;="&amp;Diagram!$O77,'J1 B - Butcher Terrace'!$A$12:$A$130,"&lt;"&amp;Diagram!$P77)))</f>
        <v>0</v>
      </c>
      <c r="BZ77" s="42">
        <f ca="1">IF(OR($I$10="",$O77="",$P77="",$J$38&lt;&gt;"Yes"),0,IF($K$10=0,SUMIFS(INDIRECT(ADDRESS(12,3+18*1+(3),,,"J1 C - (South) Bishopthorpe Roa")&amp;":"&amp;ADDRESS(130,3+18*1+(3))),'J1 C - (South) Bishopthorpe Roa'!$A$12:$A$130,"&gt;="&amp;Diagram!$O77,'J1 C - (South) Bishopthorpe Roa'!$A$12:$A$130,"&lt;"&amp;Diagram!$P77),SUMIFS(INDIRECT(ADDRESS(12,3+18*1+(11),,,"J1 C - (South) Bishopthorpe Roa")&amp;":"&amp;ADDRESS(130,3+18*1+(11))),'J1 C - (South) Bishopthorpe Roa'!$A$12:$A$130,"&gt;="&amp;Diagram!$O77,'J1 C - (South) Bishopthorpe Roa'!$A$12:$A$130,"&lt;"&amp;Diagram!$P77)))</f>
        <v>0</v>
      </c>
      <c r="CA77" s="42">
        <f ca="1">IF(OR($I$10="",$O77="",$P77="",$J$38&lt;&gt;"Yes"),0,IF($K$10=0,SUMIFS(INDIRECT(ADDRESS(12,3+18*2+(3),,,"J1 C - (South) Bishopthorpe Roa")&amp;":"&amp;ADDRESS(130,3+18*2+(3))),'J1 C - (South) Bishopthorpe Roa'!$A$12:$A$130,"&gt;="&amp;Diagram!$O77,'J1 C - (South) Bishopthorpe Roa'!$A$12:$A$130,"&lt;"&amp;Diagram!$P77),SUMIFS(INDIRECT(ADDRESS(12,3+18*2+(11),,,"J1 C - (South) Bishopthorpe Roa")&amp;":"&amp;ADDRESS(130,3+18*2+(11))),'J1 C - (South) Bishopthorpe Roa'!$A$12:$A$130,"&gt;="&amp;Diagram!$O77,'J1 C - (South) Bishopthorpe Roa'!$A$12:$A$130,"&lt;"&amp;Diagram!$P77)))</f>
        <v>0</v>
      </c>
      <c r="CB77" s="42">
        <f ca="1">IF(OR($I$10="",$O77="",$P77="",$J$38&lt;&gt;"Yes"),0,IF($K$10=0,SUMIFS(INDIRECT(ADDRESS(12,3+18*3+(3),,,"J1 C - (South) Bishopthorpe Roa")&amp;":"&amp;ADDRESS(130,3+18*3+(3))),'J1 C - (South) Bishopthorpe Roa'!$A$12:$A$130,"&gt;="&amp;Diagram!$O77,'J1 C - (South) Bishopthorpe Roa'!$A$12:$A$130,"&lt;"&amp;Diagram!$P77),SUMIFS(INDIRECT(ADDRESS(12,3+18*3+(11),,,"J1 C - (South) Bishopthorpe Roa")&amp;":"&amp;ADDRESS(130,3+18*3+(11))),'J1 C - (South) Bishopthorpe Roa'!$A$12:$A$130,"&gt;="&amp;Diagram!$O77,'J1 C - (South) Bishopthorpe Roa'!$A$12:$A$130,"&lt;"&amp;Diagram!$P77)))</f>
        <v>0</v>
      </c>
      <c r="CC77" s="42">
        <f ca="1">IF(OR($I$10="",$O77="",$P77="",$J$38&lt;&gt;"Yes"),0,IF($K$10=0,SUMIFS(INDIRECT(ADDRESS(12,3+18*0+(3),,,"J1 C - (South) Bishopthorpe Roa")&amp;":"&amp;ADDRESS(130,3+18*0+(3))),'J1 C - (South) Bishopthorpe Roa'!$A$12:$A$130,"&gt;="&amp;Diagram!$O77,'J1 C - (South) Bishopthorpe Roa'!$A$12:$A$130,"&lt;"&amp;Diagram!$P77),SUMIFS(INDIRECT(ADDRESS(12,3+18*0+(11),,,"J1 C - (South) Bishopthorpe Roa")&amp;":"&amp;ADDRESS(130,3+18*0+(11))),'J1 C - (South) Bishopthorpe Roa'!$A$12:$A$130,"&gt;="&amp;Diagram!$O77,'J1 C - (South) Bishopthorpe Roa'!$A$12:$A$130,"&lt;"&amp;Diagram!$P77)))</f>
        <v>0</v>
      </c>
      <c r="CD77" s="42">
        <f ca="1">IF(OR($I$10="",$O77="",$P77="",$J$38&lt;&gt;"Yes"),0,IF($K$10=0,SUMIFS(INDIRECT(ADDRESS(12,3+18*0+(3),,,"J1 D - South Bank Avenue")&amp;":"&amp;ADDRESS(130,3+18*0+(3))),'J1 D - South Bank Avenue'!$A$12:$A$130,"&gt;="&amp;Diagram!$O77,'J1 D - South Bank Avenue'!$A$12:$A$130,"&lt;"&amp;Diagram!$P77),SUMIFS(INDIRECT(ADDRESS(12,3+18*0+(11),,,"J1 D - South Bank Avenue")&amp;":"&amp;ADDRESS(130,3+18*0+(11))),'J1 D - South Bank Avenue'!$A$12:$A$130,"&gt;="&amp;Diagram!$O77,'J1 D - South Bank Avenue'!$A$12:$A$130,"&lt;"&amp;Diagram!$P77)))</f>
        <v>0</v>
      </c>
      <c r="CE77" s="42">
        <f ca="1">IF(OR($I$10="",$O77="",$P77="",$J$38&lt;&gt;"Yes"),0,IF($K$10=0,SUMIFS(INDIRECT(ADDRESS(12,3+18*1+(3),,,"J1 D - South Bank Avenue")&amp;":"&amp;ADDRESS(130,3+18*1+(3))),'J1 D - South Bank Avenue'!$A$12:$A$130,"&gt;="&amp;Diagram!$O77,'J1 D - South Bank Avenue'!$A$12:$A$130,"&lt;"&amp;Diagram!$P77),SUMIFS(INDIRECT(ADDRESS(12,3+18*1+(11),,,"J1 D - South Bank Avenue")&amp;":"&amp;ADDRESS(130,3+18*1+(11))),'J1 D - South Bank Avenue'!$A$12:$A$130,"&gt;="&amp;Diagram!$O77,'J1 D - South Bank Avenue'!$A$12:$A$130,"&lt;"&amp;Diagram!$P77)))</f>
        <v>0</v>
      </c>
      <c r="CF77" s="42">
        <f ca="1">IF(OR($I$10="",$O77="",$P77="",$J$38&lt;&gt;"Yes"),0,IF($K$10=0,SUMIFS(INDIRECT(ADDRESS(12,3+18*2+(3),,,"J1 D - South Bank Avenue")&amp;":"&amp;ADDRESS(130,3+18*2+(3))),'J1 D - South Bank Avenue'!$A$12:$A$130,"&gt;="&amp;Diagram!$O77,'J1 D - South Bank Avenue'!$A$12:$A$130,"&lt;"&amp;Diagram!$P77),SUMIFS(INDIRECT(ADDRESS(12,3+18*2+(11),,,"J1 D - South Bank Avenue")&amp;":"&amp;ADDRESS(130,3+18*2+(11))),'J1 D - South Bank Avenue'!$A$12:$A$130,"&gt;="&amp;Diagram!$O77,'J1 D - South Bank Avenue'!$A$12:$A$130,"&lt;"&amp;Diagram!$P77)))</f>
        <v>0</v>
      </c>
      <c r="CG77" s="42">
        <f ca="1">IF(OR($I$10="",$O77="",$P77="",$J$38&lt;&gt;"Yes"),0,IF($K$10=0,SUMIFS(INDIRECT(ADDRESS(12,3+18*3+(3),,,"J1 D - South Bank Avenue")&amp;":"&amp;ADDRESS(130,3+18*3+(3))),'J1 D - South Bank Avenue'!$A$12:$A$130,"&gt;="&amp;Diagram!$O77,'J1 D - South Bank Avenue'!$A$12:$A$130,"&lt;"&amp;Diagram!$P77),SUMIFS(INDIRECT(ADDRESS(12,3+18*3+(11),,,"J1 D - South Bank Avenue")&amp;":"&amp;ADDRESS(130,3+18*3+(11))),'J1 D - South Bank Avenue'!$A$12:$A$130,"&gt;="&amp;Diagram!$O77,'J1 D - South Bank Avenue'!$A$12:$A$130,"&lt;"&amp;Diagram!$P77)))</f>
        <v>0</v>
      </c>
      <c r="CH77" s="42">
        <f t="shared" ca="1" si="15"/>
        <v>4</v>
      </c>
      <c r="CI77" s="42">
        <f ca="1">IF(OR($I$10="",$O77="",$P77="",$J$39&lt;&gt;"Yes"),0,IF($K$10=0,SUMIFS(INDIRECT(ADDRESS(12,3+18*3+(4),,,"J1 A - (North) Bishopthorpe Roa")&amp;":"&amp;ADDRESS(130,3+18*3+(4))),'J1 A - (North) Bishopthorpe Roa'!$A$12:$A$130,"&gt;="&amp;Diagram!$O77,'J1 A - (North) Bishopthorpe Roa'!$A$12:$A$130,"&lt;"&amp;Diagram!$P77),SUMIFS(INDIRECT(ADDRESS(12,3+18*3+(12),,,"J1 A - (North) Bishopthorpe Roa")&amp;":"&amp;ADDRESS(130,3+18*3+(12))),'J1 A - (North) Bishopthorpe Roa'!$A$12:$A$130,"&gt;="&amp;Diagram!$O77,'J1 A - (North) Bishopthorpe Roa'!$A$12:$A$130,"&lt;"&amp;Diagram!$P77)))</f>
        <v>0</v>
      </c>
      <c r="CJ77" s="42">
        <f ca="1">IF(OR($I$10="",$O77="",$P77="",$J$39&lt;&gt;"Yes"),0,IF($K$10=0,SUMIFS(INDIRECT(ADDRESS(12,3+18*0+(4),,,"J1 A - (North) Bishopthorpe Roa")&amp;":"&amp;ADDRESS(130,3+18*0+(4))),'J1 A - (North) Bishopthorpe Roa'!$A$12:$A$130,"&gt;="&amp;Diagram!$O77,'J1 A - (North) Bishopthorpe Roa'!$A$12:$A$130,"&lt;"&amp;Diagram!$P77),SUMIFS(INDIRECT(ADDRESS(12,3+18*0+(12),,,"J1 A - (North) Bishopthorpe Roa")&amp;":"&amp;ADDRESS(130,3+18*0+(12))),'J1 A - (North) Bishopthorpe Roa'!$A$12:$A$130,"&gt;="&amp;Diagram!$O77,'J1 A - (North) Bishopthorpe Roa'!$A$12:$A$130,"&lt;"&amp;Diagram!$P77)))</f>
        <v>0</v>
      </c>
      <c r="CK77" s="42">
        <f ca="1">IF(OR($I$10="",$O77="",$P77="",$J$39&lt;&gt;"Yes"),0,IF($K$10=0,SUMIFS(INDIRECT(ADDRESS(12,3+18*1+(4),,,"J1 A - (North) Bishopthorpe Roa")&amp;":"&amp;ADDRESS(130,3+18*1+(4))),'J1 A - (North) Bishopthorpe Roa'!$A$12:$A$130,"&gt;="&amp;Diagram!$O77,'J1 A - (North) Bishopthorpe Roa'!$A$12:$A$130,"&lt;"&amp;Diagram!$P77),SUMIFS(INDIRECT(ADDRESS(12,3+18*1+(12),,,"J1 A - (North) Bishopthorpe Roa")&amp;":"&amp;ADDRESS(130,3+18*1+(12))),'J1 A - (North) Bishopthorpe Roa'!$A$12:$A$130,"&gt;="&amp;Diagram!$O77,'J1 A - (North) Bishopthorpe Roa'!$A$12:$A$130,"&lt;"&amp;Diagram!$P77)))</f>
        <v>2</v>
      </c>
      <c r="CL77" s="42">
        <f ca="1">IF(OR($I$10="",$O77="",$P77="",$J$39&lt;&gt;"Yes"),0,IF($K$10=0,SUMIFS(INDIRECT(ADDRESS(12,3+18*2+(4),,,"J1 A - (North) Bishopthorpe Roa")&amp;":"&amp;ADDRESS(130,3+18*2+(4))),'J1 A - (North) Bishopthorpe Roa'!$A$12:$A$130,"&gt;="&amp;Diagram!$O77,'J1 A - (North) Bishopthorpe Roa'!$A$12:$A$130,"&lt;"&amp;Diagram!$P77),SUMIFS(INDIRECT(ADDRESS(12,3+18*2+(12),,,"J1 A - (North) Bishopthorpe Roa")&amp;":"&amp;ADDRESS(130,3+18*2+(12))),'J1 A - (North) Bishopthorpe Roa'!$A$12:$A$130,"&gt;="&amp;Diagram!$O77,'J1 A - (North) Bishopthorpe Roa'!$A$12:$A$130,"&lt;"&amp;Diagram!$P77)))</f>
        <v>0</v>
      </c>
      <c r="CM77" s="42">
        <f ca="1">IF(OR($I$10="",$O77="",$P77="",$J$39&lt;&gt;"Yes"),0,IF($K$10=0,SUMIFS(INDIRECT(ADDRESS(12,3+18*2+(4),,,"J1 B - Butcher Terrace")&amp;":"&amp;ADDRESS(130,3+18*2+(4))),'J1 B - Butcher Terrace'!$A$12:$A$130,"&gt;="&amp;Diagram!$O77,'J1 B - Butcher Terrace'!$A$12:$A$130,"&lt;"&amp;Diagram!$P77),SUMIFS(INDIRECT(ADDRESS(12,3+18*2+(12),,,"J1 B - Butcher Terrace")&amp;":"&amp;ADDRESS(130,3+18*2+(12))),'J1 B - Butcher Terrace'!$A$12:$A$130,"&gt;="&amp;Diagram!$O77,'J1 B - Butcher Terrace'!$A$12:$A$130,"&lt;"&amp;Diagram!$P77)))</f>
        <v>0</v>
      </c>
      <c r="CN77" s="42">
        <f ca="1">IF(OR($I$10="",$O77="",$P77="",$J$39&lt;&gt;"Yes"),0,IF($K$10=0,SUMIFS(INDIRECT(ADDRESS(12,3+18*3+(4),,,"J1 B - Butcher Terrace")&amp;":"&amp;ADDRESS(130,3+18*3+(4))),'J1 B - Butcher Terrace'!$A$12:$A$130,"&gt;="&amp;Diagram!$O77,'J1 B - Butcher Terrace'!$A$12:$A$130,"&lt;"&amp;Diagram!$P77),SUMIFS(INDIRECT(ADDRESS(12,3+18*3+(12),,,"J1 B - Butcher Terrace")&amp;":"&amp;ADDRESS(130,3+18*3+(12))),'J1 B - Butcher Terrace'!$A$12:$A$130,"&gt;="&amp;Diagram!$O77,'J1 B - Butcher Terrace'!$A$12:$A$130,"&lt;"&amp;Diagram!$P77)))</f>
        <v>0</v>
      </c>
      <c r="CO77" s="42">
        <f ca="1">IF(OR($I$10="",$O77="",$P77="",$J$39&lt;&gt;"Yes"),0,IF($K$10=0,SUMIFS(INDIRECT(ADDRESS(12,3+18*0+(4),,,"J1 B - Butcher Terrace")&amp;":"&amp;ADDRESS(130,3+18*0+(4))),'J1 B - Butcher Terrace'!$A$12:$A$130,"&gt;="&amp;Diagram!$O77,'J1 B - Butcher Terrace'!$A$12:$A$130,"&lt;"&amp;Diagram!$P77),SUMIFS(INDIRECT(ADDRESS(12,3+18*0+(12),,,"J1 B - Butcher Terrace")&amp;":"&amp;ADDRESS(130,3+18*0+(12))),'J1 B - Butcher Terrace'!$A$12:$A$130,"&gt;="&amp;Diagram!$O77,'J1 B - Butcher Terrace'!$A$12:$A$130,"&lt;"&amp;Diagram!$P77)))</f>
        <v>0</v>
      </c>
      <c r="CP77" s="42">
        <f ca="1">IF(OR($I$10="",$O77="",$P77="",$J$39&lt;&gt;"Yes"),0,IF($K$10=0,SUMIFS(INDIRECT(ADDRESS(12,3+18*1+(4),,,"J1 B - Butcher Terrace")&amp;":"&amp;ADDRESS(130,3+18*1+(4))),'J1 B - Butcher Terrace'!$A$12:$A$130,"&gt;="&amp;Diagram!$O77,'J1 B - Butcher Terrace'!$A$12:$A$130,"&lt;"&amp;Diagram!$P77),SUMIFS(INDIRECT(ADDRESS(12,3+18*1+(12),,,"J1 B - Butcher Terrace")&amp;":"&amp;ADDRESS(130,3+18*1+(12))),'J1 B - Butcher Terrace'!$A$12:$A$130,"&gt;="&amp;Diagram!$O77,'J1 B - Butcher Terrace'!$A$12:$A$130,"&lt;"&amp;Diagram!$P77)))</f>
        <v>0</v>
      </c>
      <c r="CQ77" s="42">
        <f ca="1">IF(OR($I$10="",$O77="",$P77="",$J$39&lt;&gt;"Yes"),0,IF($K$10=0,SUMIFS(INDIRECT(ADDRESS(12,3+18*1+(4),,,"J1 C - (South) Bishopthorpe Roa")&amp;":"&amp;ADDRESS(130,3+18*1+(4))),'J1 C - (South) Bishopthorpe Roa'!$A$12:$A$130,"&gt;="&amp;Diagram!$O77,'J1 C - (South) Bishopthorpe Roa'!$A$12:$A$130,"&lt;"&amp;Diagram!$P77),SUMIFS(INDIRECT(ADDRESS(12,3+18*1+(12),,,"J1 C - (South) Bishopthorpe Roa")&amp;":"&amp;ADDRESS(130,3+18*1+(12))),'J1 C - (South) Bishopthorpe Roa'!$A$12:$A$130,"&gt;="&amp;Diagram!$O77,'J1 C - (South) Bishopthorpe Roa'!$A$12:$A$130,"&lt;"&amp;Diagram!$P77)))</f>
        <v>2</v>
      </c>
      <c r="CR77" s="42">
        <f ca="1">IF(OR($I$10="",$O77="",$P77="",$J$39&lt;&gt;"Yes"),0,IF($K$10=0,SUMIFS(INDIRECT(ADDRESS(12,3+18*2+(4),,,"J1 C - (South) Bishopthorpe Roa")&amp;":"&amp;ADDRESS(130,3+18*2+(4))),'J1 C - (South) Bishopthorpe Roa'!$A$12:$A$130,"&gt;="&amp;Diagram!$O77,'J1 C - (South) Bishopthorpe Roa'!$A$12:$A$130,"&lt;"&amp;Diagram!$P77),SUMIFS(INDIRECT(ADDRESS(12,3+18*2+(12),,,"J1 C - (South) Bishopthorpe Roa")&amp;":"&amp;ADDRESS(130,3+18*2+(12))),'J1 C - (South) Bishopthorpe Roa'!$A$12:$A$130,"&gt;="&amp;Diagram!$O77,'J1 C - (South) Bishopthorpe Roa'!$A$12:$A$130,"&lt;"&amp;Diagram!$P77)))</f>
        <v>0</v>
      </c>
      <c r="CS77" s="42">
        <f ca="1">IF(OR($I$10="",$O77="",$P77="",$J$39&lt;&gt;"Yes"),0,IF($K$10=0,SUMIFS(INDIRECT(ADDRESS(12,3+18*3+(4),,,"J1 C - (South) Bishopthorpe Roa")&amp;":"&amp;ADDRESS(130,3+18*3+(4))),'J1 C - (South) Bishopthorpe Roa'!$A$12:$A$130,"&gt;="&amp;Diagram!$O77,'J1 C - (South) Bishopthorpe Roa'!$A$12:$A$130,"&lt;"&amp;Diagram!$P77),SUMIFS(INDIRECT(ADDRESS(12,3+18*3+(12),,,"J1 C - (South) Bishopthorpe Roa")&amp;":"&amp;ADDRESS(130,3+18*3+(12))),'J1 C - (South) Bishopthorpe Roa'!$A$12:$A$130,"&gt;="&amp;Diagram!$O77,'J1 C - (South) Bishopthorpe Roa'!$A$12:$A$130,"&lt;"&amp;Diagram!$P77)))</f>
        <v>0</v>
      </c>
      <c r="CT77" s="42">
        <f ca="1">IF(OR($I$10="",$O77="",$P77="",$J$39&lt;&gt;"Yes"),0,IF($K$10=0,SUMIFS(INDIRECT(ADDRESS(12,3+18*0+(4),,,"J1 C - (South) Bishopthorpe Roa")&amp;":"&amp;ADDRESS(130,3+18*0+(4))),'J1 C - (South) Bishopthorpe Roa'!$A$12:$A$130,"&gt;="&amp;Diagram!$O77,'J1 C - (South) Bishopthorpe Roa'!$A$12:$A$130,"&lt;"&amp;Diagram!$P77),SUMIFS(INDIRECT(ADDRESS(12,3+18*0+(12),,,"J1 C - (South) Bishopthorpe Roa")&amp;":"&amp;ADDRESS(130,3+18*0+(12))),'J1 C - (South) Bishopthorpe Roa'!$A$12:$A$130,"&gt;="&amp;Diagram!$O77,'J1 C - (South) Bishopthorpe Roa'!$A$12:$A$130,"&lt;"&amp;Diagram!$P77)))</f>
        <v>0</v>
      </c>
      <c r="CU77" s="42">
        <f ca="1">IF(OR($I$10="",$O77="",$P77="",$J$39&lt;&gt;"Yes"),0,IF($K$10=0,SUMIFS(INDIRECT(ADDRESS(12,3+18*0+(4),,,"J1 D - South Bank Avenue")&amp;":"&amp;ADDRESS(130,3+18*0+(4))),'J1 D - South Bank Avenue'!$A$12:$A$130,"&gt;="&amp;Diagram!$O77,'J1 D - South Bank Avenue'!$A$12:$A$130,"&lt;"&amp;Diagram!$P77),SUMIFS(INDIRECT(ADDRESS(12,3+18*0+(12),,,"J1 D - South Bank Avenue")&amp;":"&amp;ADDRESS(130,3+18*0+(12))),'J1 D - South Bank Avenue'!$A$12:$A$130,"&gt;="&amp;Diagram!$O77,'J1 D - South Bank Avenue'!$A$12:$A$130,"&lt;"&amp;Diagram!$P77)))</f>
        <v>0</v>
      </c>
      <c r="CV77" s="42">
        <f ca="1">IF(OR($I$10="",$O77="",$P77="",$J$39&lt;&gt;"Yes"),0,IF($K$10=0,SUMIFS(INDIRECT(ADDRESS(12,3+18*1+(4),,,"J1 D - South Bank Avenue")&amp;":"&amp;ADDRESS(130,3+18*1+(4))),'J1 D - South Bank Avenue'!$A$12:$A$130,"&gt;="&amp;Diagram!$O77,'J1 D - South Bank Avenue'!$A$12:$A$130,"&lt;"&amp;Diagram!$P77),SUMIFS(INDIRECT(ADDRESS(12,3+18*1+(12),,,"J1 D - South Bank Avenue")&amp;":"&amp;ADDRESS(130,3+18*1+(12))),'J1 D - South Bank Avenue'!$A$12:$A$130,"&gt;="&amp;Diagram!$O77,'J1 D - South Bank Avenue'!$A$12:$A$130,"&lt;"&amp;Diagram!$P77)))</f>
        <v>0</v>
      </c>
      <c r="CW77" s="42">
        <f ca="1">IF(OR($I$10="",$O77="",$P77="",$J$39&lt;&gt;"Yes"),0,IF($K$10=0,SUMIFS(INDIRECT(ADDRESS(12,3+18*2+(4),,,"J1 D - South Bank Avenue")&amp;":"&amp;ADDRESS(130,3+18*2+(4))),'J1 D - South Bank Avenue'!$A$12:$A$130,"&gt;="&amp;Diagram!$O77,'J1 D - South Bank Avenue'!$A$12:$A$130,"&lt;"&amp;Diagram!$P77),SUMIFS(INDIRECT(ADDRESS(12,3+18*2+(12),,,"J1 D - South Bank Avenue")&amp;":"&amp;ADDRESS(130,3+18*2+(12))),'J1 D - South Bank Avenue'!$A$12:$A$130,"&gt;="&amp;Diagram!$O77,'J1 D - South Bank Avenue'!$A$12:$A$130,"&lt;"&amp;Diagram!$P77)))</f>
        <v>0</v>
      </c>
      <c r="CX77" s="42">
        <f ca="1">IF(OR($I$10="",$O77="",$P77="",$J$39&lt;&gt;"Yes"),0,IF($K$10=0,SUMIFS(INDIRECT(ADDRESS(12,3+18*3+(4),,,"J1 D - South Bank Avenue")&amp;":"&amp;ADDRESS(130,3+18*3+(4))),'J1 D - South Bank Avenue'!$A$12:$A$130,"&gt;="&amp;Diagram!$O77,'J1 D - South Bank Avenue'!$A$12:$A$130,"&lt;"&amp;Diagram!$P77),SUMIFS(INDIRECT(ADDRESS(12,3+18*3+(12),,,"J1 D - South Bank Avenue")&amp;":"&amp;ADDRESS(130,3+18*3+(12))),'J1 D - South Bank Avenue'!$A$12:$A$130,"&gt;="&amp;Diagram!$O77,'J1 D - South Bank Avenue'!$A$12:$A$130,"&lt;"&amp;Diagram!$P77)))</f>
        <v>0</v>
      </c>
      <c r="CY77" s="42">
        <f t="shared" ca="1" si="16"/>
        <v>89</v>
      </c>
      <c r="CZ77" s="42">
        <f ca="1">IF(OR($I$10="",$O77="",$P77="",$J$40&lt;&gt;"Yes"),0,IF($K$10=0,SUMIFS(INDIRECT(ADDRESS(12,3+18*3+(5),,,"J1 A - (North) Bishopthorpe Roa")&amp;":"&amp;ADDRESS(130,3+18*3+(5))),'J1 A - (North) Bishopthorpe Roa'!$A$12:$A$130,"&gt;="&amp;Diagram!$O77,'J1 A - (North) Bishopthorpe Roa'!$A$12:$A$130,"&lt;"&amp;Diagram!$P77),SUMIFS(INDIRECT(ADDRESS(12,3+18*3+(13),,,"J1 A - (North) Bishopthorpe Roa")&amp;":"&amp;ADDRESS(130,3+18*3+(13))),'J1 A - (North) Bishopthorpe Roa'!$A$12:$A$130,"&gt;="&amp;Diagram!$O77,'J1 A - (North) Bishopthorpe Roa'!$A$12:$A$130,"&lt;"&amp;Diagram!$P77)))</f>
        <v>0</v>
      </c>
      <c r="DA77" s="42">
        <f ca="1">IF(OR($I$10="",$O77="",$P77="",$J$40&lt;&gt;"Yes"),0,IF($K$10=0,SUMIFS(INDIRECT(ADDRESS(12,3+18*0+(5),,,"J1 A - (North) Bishopthorpe Roa")&amp;":"&amp;ADDRESS(130,3+18*0+(5))),'J1 A - (North) Bishopthorpe Roa'!$A$12:$A$130,"&gt;="&amp;Diagram!$O77,'J1 A - (North) Bishopthorpe Roa'!$A$12:$A$130,"&lt;"&amp;Diagram!$P77),SUMIFS(INDIRECT(ADDRESS(12,3+18*0+(13),,,"J1 A - (North) Bishopthorpe Roa")&amp;":"&amp;ADDRESS(130,3+18*0+(13))),'J1 A - (North) Bishopthorpe Roa'!$A$12:$A$130,"&gt;="&amp;Diagram!$O77,'J1 A - (North) Bishopthorpe Roa'!$A$12:$A$130,"&lt;"&amp;Diagram!$P77)))</f>
        <v>7</v>
      </c>
      <c r="DB77" s="42">
        <f ca="1">IF(OR($I$10="",$O77="",$P77="",$J$40&lt;&gt;"Yes"),0,IF($K$10=0,SUMIFS(INDIRECT(ADDRESS(12,3+18*1+(5),,,"J1 A - (North) Bishopthorpe Roa")&amp;":"&amp;ADDRESS(130,3+18*1+(5))),'J1 A - (North) Bishopthorpe Roa'!$A$12:$A$130,"&gt;="&amp;Diagram!$O77,'J1 A - (North) Bishopthorpe Roa'!$A$12:$A$130,"&lt;"&amp;Diagram!$P77),SUMIFS(INDIRECT(ADDRESS(12,3+18*1+(13),,,"J1 A - (North) Bishopthorpe Roa")&amp;":"&amp;ADDRESS(130,3+18*1+(13))),'J1 A - (North) Bishopthorpe Roa'!$A$12:$A$130,"&gt;="&amp;Diagram!$O77,'J1 A - (North) Bishopthorpe Roa'!$A$12:$A$130,"&lt;"&amp;Diagram!$P77)))</f>
        <v>10</v>
      </c>
      <c r="DC77" s="42">
        <f ca="1">IF(OR($I$10="",$O77="",$P77="",$J$40&lt;&gt;"Yes"),0,IF($K$10=0,SUMIFS(INDIRECT(ADDRESS(12,3+18*2+(5),,,"J1 A - (North) Bishopthorpe Roa")&amp;":"&amp;ADDRESS(130,3+18*2+(5))),'J1 A - (North) Bishopthorpe Roa'!$A$12:$A$130,"&gt;="&amp;Diagram!$O77,'J1 A - (North) Bishopthorpe Roa'!$A$12:$A$130,"&lt;"&amp;Diagram!$P77),SUMIFS(INDIRECT(ADDRESS(12,3+18*2+(13),,,"J1 A - (North) Bishopthorpe Roa")&amp;":"&amp;ADDRESS(130,3+18*2+(13))),'J1 A - (North) Bishopthorpe Roa'!$A$12:$A$130,"&gt;="&amp;Diagram!$O77,'J1 A - (North) Bishopthorpe Roa'!$A$12:$A$130,"&lt;"&amp;Diagram!$P77)))</f>
        <v>8</v>
      </c>
      <c r="DD77" s="42">
        <f ca="1">IF(OR($I$10="",$O77="",$P77="",$J$40&lt;&gt;"Yes"),0,IF($K$10=0,SUMIFS(INDIRECT(ADDRESS(12,3+18*2+(5),,,"J1 B - Butcher Terrace")&amp;":"&amp;ADDRESS(130,3+18*2+(5))),'J1 B - Butcher Terrace'!$A$12:$A$130,"&gt;="&amp;Diagram!$O77,'J1 B - Butcher Terrace'!$A$12:$A$130,"&lt;"&amp;Diagram!$P77),SUMIFS(INDIRECT(ADDRESS(12,3+18*2+(13),,,"J1 B - Butcher Terrace")&amp;":"&amp;ADDRESS(130,3+18*2+(13))),'J1 B - Butcher Terrace'!$A$12:$A$130,"&gt;="&amp;Diagram!$O77,'J1 B - Butcher Terrace'!$A$12:$A$130,"&lt;"&amp;Diagram!$P77)))</f>
        <v>7</v>
      </c>
      <c r="DE77" s="42">
        <f ca="1">IF(OR($I$10="",$O77="",$P77="",$J$40&lt;&gt;"Yes"),0,IF($K$10=0,SUMIFS(INDIRECT(ADDRESS(12,3+18*3+(5),,,"J1 B - Butcher Terrace")&amp;":"&amp;ADDRESS(130,3+18*3+(5))),'J1 B - Butcher Terrace'!$A$12:$A$130,"&gt;="&amp;Diagram!$O77,'J1 B - Butcher Terrace'!$A$12:$A$130,"&lt;"&amp;Diagram!$P77),SUMIFS(INDIRECT(ADDRESS(12,3+18*3+(13),,,"J1 B - Butcher Terrace")&amp;":"&amp;ADDRESS(130,3+18*3+(13))),'J1 B - Butcher Terrace'!$A$12:$A$130,"&gt;="&amp;Diagram!$O77,'J1 B - Butcher Terrace'!$A$12:$A$130,"&lt;"&amp;Diagram!$P77)))</f>
        <v>0</v>
      </c>
      <c r="DF77" s="42">
        <f ca="1">IF(OR($I$10="",$O77="",$P77="",$J$40&lt;&gt;"Yes"),0,IF($K$10=0,SUMIFS(INDIRECT(ADDRESS(12,3+18*0+(5),,,"J1 B - Butcher Terrace")&amp;":"&amp;ADDRESS(130,3+18*0+(5))),'J1 B - Butcher Terrace'!$A$12:$A$130,"&gt;="&amp;Diagram!$O77,'J1 B - Butcher Terrace'!$A$12:$A$130,"&lt;"&amp;Diagram!$P77),SUMIFS(INDIRECT(ADDRESS(12,3+18*0+(13),,,"J1 B - Butcher Terrace")&amp;":"&amp;ADDRESS(130,3+18*0+(13))),'J1 B - Butcher Terrace'!$A$12:$A$130,"&gt;="&amp;Diagram!$O77,'J1 B - Butcher Terrace'!$A$12:$A$130,"&lt;"&amp;Diagram!$P77)))</f>
        <v>7</v>
      </c>
      <c r="DG77" s="42">
        <f ca="1">IF(OR($I$10="",$O77="",$P77="",$J$40&lt;&gt;"Yes"),0,IF($K$10=0,SUMIFS(INDIRECT(ADDRESS(12,3+18*1+(5),,,"J1 B - Butcher Terrace")&amp;":"&amp;ADDRESS(130,3+18*1+(5))),'J1 B - Butcher Terrace'!$A$12:$A$130,"&gt;="&amp;Diagram!$O77,'J1 B - Butcher Terrace'!$A$12:$A$130,"&lt;"&amp;Diagram!$P77),SUMIFS(INDIRECT(ADDRESS(12,3+18*1+(13),,,"J1 B - Butcher Terrace")&amp;":"&amp;ADDRESS(130,3+18*1+(13))),'J1 B - Butcher Terrace'!$A$12:$A$130,"&gt;="&amp;Diagram!$O77,'J1 B - Butcher Terrace'!$A$12:$A$130,"&lt;"&amp;Diagram!$P77)))</f>
        <v>13</v>
      </c>
      <c r="DH77" s="42">
        <f ca="1">IF(OR($I$10="",$O77="",$P77="",$J$40&lt;&gt;"Yes"),0,IF($K$10=0,SUMIFS(INDIRECT(ADDRESS(12,3+18*1+(5),,,"J1 C - (South) Bishopthorpe Roa")&amp;":"&amp;ADDRESS(130,3+18*1+(5))),'J1 C - (South) Bishopthorpe Roa'!$A$12:$A$130,"&gt;="&amp;Diagram!$O77,'J1 C - (South) Bishopthorpe Roa'!$A$12:$A$130,"&lt;"&amp;Diagram!$P77),SUMIFS(INDIRECT(ADDRESS(12,3+18*1+(13),,,"J1 C - (South) Bishopthorpe Roa")&amp;":"&amp;ADDRESS(130,3+18*1+(13))),'J1 C - (South) Bishopthorpe Roa'!$A$12:$A$130,"&gt;="&amp;Diagram!$O77,'J1 C - (South) Bishopthorpe Roa'!$A$12:$A$130,"&lt;"&amp;Diagram!$P77)))</f>
        <v>14</v>
      </c>
      <c r="DI77" s="42">
        <f ca="1">IF(OR($I$10="",$O77="",$P77="",$J$40&lt;&gt;"Yes"),0,IF($K$10=0,SUMIFS(INDIRECT(ADDRESS(12,3+18*2+(5),,,"J1 C - (South) Bishopthorpe Roa")&amp;":"&amp;ADDRESS(130,3+18*2+(5))),'J1 C - (South) Bishopthorpe Roa'!$A$12:$A$130,"&gt;="&amp;Diagram!$O77,'J1 C - (South) Bishopthorpe Roa'!$A$12:$A$130,"&lt;"&amp;Diagram!$P77),SUMIFS(INDIRECT(ADDRESS(12,3+18*2+(13),,,"J1 C - (South) Bishopthorpe Roa")&amp;":"&amp;ADDRESS(130,3+18*2+(13))),'J1 C - (South) Bishopthorpe Roa'!$A$12:$A$130,"&gt;="&amp;Diagram!$O77,'J1 C - (South) Bishopthorpe Roa'!$A$12:$A$130,"&lt;"&amp;Diagram!$P77)))</f>
        <v>9</v>
      </c>
      <c r="DJ77" s="42">
        <f ca="1">IF(OR($I$10="",$O77="",$P77="",$J$40&lt;&gt;"Yes"),0,IF($K$10=0,SUMIFS(INDIRECT(ADDRESS(12,3+18*3+(5),,,"J1 C - (South) Bishopthorpe Roa")&amp;":"&amp;ADDRESS(130,3+18*3+(5))),'J1 C - (South) Bishopthorpe Roa'!$A$12:$A$130,"&gt;="&amp;Diagram!$O77,'J1 C - (South) Bishopthorpe Roa'!$A$12:$A$130,"&lt;"&amp;Diagram!$P77),SUMIFS(INDIRECT(ADDRESS(12,3+18*3+(13),,,"J1 C - (South) Bishopthorpe Roa")&amp;":"&amp;ADDRESS(130,3+18*3+(13))),'J1 C - (South) Bishopthorpe Roa'!$A$12:$A$130,"&gt;="&amp;Diagram!$O77,'J1 C - (South) Bishopthorpe Roa'!$A$12:$A$130,"&lt;"&amp;Diagram!$P77)))</f>
        <v>0</v>
      </c>
      <c r="DK77" s="42">
        <f ca="1">IF(OR($I$10="",$O77="",$P77="",$J$40&lt;&gt;"Yes"),0,IF($K$10=0,SUMIFS(INDIRECT(ADDRESS(12,3+18*0+(5),,,"J1 C - (South) Bishopthorpe Roa")&amp;":"&amp;ADDRESS(130,3+18*0+(5))),'J1 C - (South) Bishopthorpe Roa'!$A$12:$A$130,"&gt;="&amp;Diagram!$O77,'J1 C - (South) Bishopthorpe Roa'!$A$12:$A$130,"&lt;"&amp;Diagram!$P77),SUMIFS(INDIRECT(ADDRESS(12,3+18*0+(13),,,"J1 C - (South) Bishopthorpe Roa")&amp;":"&amp;ADDRESS(130,3+18*0+(13))),'J1 C - (South) Bishopthorpe Roa'!$A$12:$A$130,"&gt;="&amp;Diagram!$O77,'J1 C - (South) Bishopthorpe Roa'!$A$12:$A$130,"&lt;"&amp;Diagram!$P77)))</f>
        <v>0</v>
      </c>
      <c r="DL77" s="42">
        <f ca="1">IF(OR($I$10="",$O77="",$P77="",$J$40&lt;&gt;"Yes"),0,IF($K$10=0,SUMIFS(INDIRECT(ADDRESS(12,3+18*0+(5),,,"J1 D - South Bank Avenue")&amp;":"&amp;ADDRESS(130,3+18*0+(5))),'J1 D - South Bank Avenue'!$A$12:$A$130,"&gt;="&amp;Diagram!$O77,'J1 D - South Bank Avenue'!$A$12:$A$130,"&lt;"&amp;Diagram!$P77),SUMIFS(INDIRECT(ADDRESS(12,3+18*0+(13),,,"J1 D - South Bank Avenue")&amp;":"&amp;ADDRESS(130,3+18*0+(13))),'J1 D - South Bank Avenue'!$A$12:$A$130,"&gt;="&amp;Diagram!$O77,'J1 D - South Bank Avenue'!$A$12:$A$130,"&lt;"&amp;Diagram!$P77)))</f>
        <v>4</v>
      </c>
      <c r="DM77" s="42">
        <f ca="1">IF(OR($I$10="",$O77="",$P77="",$J$40&lt;&gt;"Yes"),0,IF($K$10=0,SUMIFS(INDIRECT(ADDRESS(12,3+18*1+(5),,,"J1 D - South Bank Avenue")&amp;":"&amp;ADDRESS(130,3+18*1+(5))),'J1 D - South Bank Avenue'!$A$12:$A$130,"&gt;="&amp;Diagram!$O77,'J1 D - South Bank Avenue'!$A$12:$A$130,"&lt;"&amp;Diagram!$P77),SUMIFS(INDIRECT(ADDRESS(12,3+18*1+(13),,,"J1 D - South Bank Avenue")&amp;":"&amp;ADDRESS(130,3+18*1+(13))),'J1 D - South Bank Avenue'!$A$12:$A$130,"&gt;="&amp;Diagram!$O77,'J1 D - South Bank Avenue'!$A$12:$A$130,"&lt;"&amp;Diagram!$P77)))</f>
        <v>10</v>
      </c>
      <c r="DN77" s="42">
        <f ca="1">IF(OR($I$10="",$O77="",$P77="",$J$40&lt;&gt;"Yes"),0,IF($K$10=0,SUMIFS(INDIRECT(ADDRESS(12,3+18*2+(5),,,"J1 D - South Bank Avenue")&amp;":"&amp;ADDRESS(130,3+18*2+(5))),'J1 D - South Bank Avenue'!$A$12:$A$130,"&gt;="&amp;Diagram!$O77,'J1 D - South Bank Avenue'!$A$12:$A$130,"&lt;"&amp;Diagram!$P77),SUMIFS(INDIRECT(ADDRESS(12,3+18*2+(13),,,"J1 D - South Bank Avenue")&amp;":"&amp;ADDRESS(130,3+18*2+(13))),'J1 D - South Bank Avenue'!$A$12:$A$130,"&gt;="&amp;Diagram!$O77,'J1 D - South Bank Avenue'!$A$12:$A$130,"&lt;"&amp;Diagram!$P77)))</f>
        <v>0</v>
      </c>
      <c r="DO77" s="42">
        <f ca="1">IF(OR($I$10="",$O77="",$P77="",$J$40&lt;&gt;"Yes"),0,IF($K$10=0,SUMIFS(INDIRECT(ADDRESS(12,3+18*3+(5),,,"J1 D - South Bank Avenue")&amp;":"&amp;ADDRESS(130,3+18*3+(5))),'J1 D - South Bank Avenue'!$A$12:$A$130,"&gt;="&amp;Diagram!$O77,'J1 D - South Bank Avenue'!$A$12:$A$130,"&lt;"&amp;Diagram!$P77),SUMIFS(INDIRECT(ADDRESS(12,3+18*3+(13),,,"J1 D - South Bank Avenue")&amp;":"&amp;ADDRESS(130,3+18*3+(13))),'J1 D - South Bank Avenue'!$A$12:$A$130,"&gt;="&amp;Diagram!$O77,'J1 D - South Bank Avenue'!$A$12:$A$130,"&lt;"&amp;Diagram!$P77)))</f>
        <v>0</v>
      </c>
      <c r="DP77" s="42">
        <f t="shared" ca="1" si="17"/>
        <v>19</v>
      </c>
      <c r="DQ77" s="42">
        <f ca="1">IF(OR($I$10="",$O77="",$P77="",$J$41&lt;&gt;"Yes"),0,IF($K$10=0,SUMIFS(INDIRECT(ADDRESS(12,3+18*3+(6),,,"J1 A - (North) Bishopthorpe Roa")&amp;":"&amp;ADDRESS(130,3+18*3+(6))),'J1 A - (North) Bishopthorpe Roa'!$A$12:$A$130,"&gt;="&amp;Diagram!$O77,'J1 A - (North) Bishopthorpe Roa'!$A$12:$A$130,"&lt;"&amp;Diagram!$P77),SUMIFS(INDIRECT(ADDRESS(12,3+18*3+(14),,,"J1 A - (North) Bishopthorpe Roa")&amp;":"&amp;ADDRESS(130,3+18*3+(14))),'J1 A - (North) Bishopthorpe Roa'!$A$12:$A$130,"&gt;="&amp;Diagram!$O77,'J1 A - (North) Bishopthorpe Roa'!$A$12:$A$130,"&lt;"&amp;Diagram!$P77)))</f>
        <v>0</v>
      </c>
      <c r="DR77" s="42">
        <f ca="1">IF(OR($I$10="",$O77="",$P77="",$J$41&lt;&gt;"Yes"),0,IF($K$10=0,SUMIFS(INDIRECT(ADDRESS(12,3+18*0+(6),,,"J1 A - (North) Bishopthorpe Roa")&amp;":"&amp;ADDRESS(130,3+18*0+(6))),'J1 A - (North) Bishopthorpe Roa'!$A$12:$A$130,"&gt;="&amp;Diagram!$O77,'J1 A - (North) Bishopthorpe Roa'!$A$12:$A$130,"&lt;"&amp;Diagram!$P77),SUMIFS(INDIRECT(ADDRESS(12,3+18*0+(14),,,"J1 A - (North) Bishopthorpe Roa")&amp;":"&amp;ADDRESS(130,3+18*0+(14))),'J1 A - (North) Bishopthorpe Roa'!$A$12:$A$130,"&gt;="&amp;Diagram!$O77,'J1 A - (North) Bishopthorpe Roa'!$A$12:$A$130,"&lt;"&amp;Diagram!$P77)))</f>
        <v>2</v>
      </c>
      <c r="DS77" s="42">
        <f ca="1">IF(OR($I$10="",$O77="",$P77="",$J$41&lt;&gt;"Yes"),0,IF($K$10=0,SUMIFS(INDIRECT(ADDRESS(12,3+18*1+(6),,,"J1 A - (North) Bishopthorpe Roa")&amp;":"&amp;ADDRESS(130,3+18*1+(6))),'J1 A - (North) Bishopthorpe Roa'!$A$12:$A$130,"&gt;="&amp;Diagram!$O77,'J1 A - (North) Bishopthorpe Roa'!$A$12:$A$130,"&lt;"&amp;Diagram!$P77),SUMIFS(INDIRECT(ADDRESS(12,3+18*1+(14),,,"J1 A - (North) Bishopthorpe Roa")&amp;":"&amp;ADDRESS(130,3+18*1+(14))),'J1 A - (North) Bishopthorpe Roa'!$A$12:$A$130,"&gt;="&amp;Diagram!$O77,'J1 A - (North) Bishopthorpe Roa'!$A$12:$A$130,"&lt;"&amp;Diagram!$P77)))</f>
        <v>7</v>
      </c>
      <c r="DT77" s="42">
        <f ca="1">IF(OR($I$10="",$O77="",$P77="",$J$41&lt;&gt;"Yes"),0,IF($K$10=0,SUMIFS(INDIRECT(ADDRESS(12,3+18*2+(6),,,"J1 A - (North) Bishopthorpe Roa")&amp;":"&amp;ADDRESS(130,3+18*2+(6))),'J1 A - (North) Bishopthorpe Roa'!$A$12:$A$130,"&gt;="&amp;Diagram!$O77,'J1 A - (North) Bishopthorpe Roa'!$A$12:$A$130,"&lt;"&amp;Diagram!$P77),SUMIFS(INDIRECT(ADDRESS(12,3+18*2+(14),,,"J1 A - (North) Bishopthorpe Roa")&amp;":"&amp;ADDRESS(130,3+18*2+(14))),'J1 A - (North) Bishopthorpe Roa'!$A$12:$A$130,"&gt;="&amp;Diagram!$O77,'J1 A - (North) Bishopthorpe Roa'!$A$12:$A$130,"&lt;"&amp;Diagram!$P77)))</f>
        <v>2</v>
      </c>
      <c r="DU77" s="42">
        <f ca="1">IF(OR($I$10="",$O77="",$P77="",$J$41&lt;&gt;"Yes"),0,IF($K$10=0,SUMIFS(INDIRECT(ADDRESS(12,3+18*2+(6),,,"J1 B - Butcher Terrace")&amp;":"&amp;ADDRESS(130,3+18*2+(6))),'J1 B - Butcher Terrace'!$A$12:$A$130,"&gt;="&amp;Diagram!$O77,'J1 B - Butcher Terrace'!$A$12:$A$130,"&lt;"&amp;Diagram!$P77),SUMIFS(INDIRECT(ADDRESS(12,3+18*2+(14),,,"J1 B - Butcher Terrace")&amp;":"&amp;ADDRESS(130,3+18*2+(14))),'J1 B - Butcher Terrace'!$A$12:$A$130,"&gt;="&amp;Diagram!$O77,'J1 B - Butcher Terrace'!$A$12:$A$130,"&lt;"&amp;Diagram!$P77)))</f>
        <v>2</v>
      </c>
      <c r="DV77" s="42">
        <f ca="1">IF(OR($I$10="",$O77="",$P77="",$J$41&lt;&gt;"Yes"),0,IF($K$10=0,SUMIFS(INDIRECT(ADDRESS(12,3+18*3+(6),,,"J1 B - Butcher Terrace")&amp;":"&amp;ADDRESS(130,3+18*3+(6))),'J1 B - Butcher Terrace'!$A$12:$A$130,"&gt;="&amp;Diagram!$O77,'J1 B - Butcher Terrace'!$A$12:$A$130,"&lt;"&amp;Diagram!$P77),SUMIFS(INDIRECT(ADDRESS(12,3+18*3+(14),,,"J1 B - Butcher Terrace")&amp;":"&amp;ADDRESS(130,3+18*3+(14))),'J1 B - Butcher Terrace'!$A$12:$A$130,"&gt;="&amp;Diagram!$O77,'J1 B - Butcher Terrace'!$A$12:$A$130,"&lt;"&amp;Diagram!$P77)))</f>
        <v>0</v>
      </c>
      <c r="DW77" s="42">
        <f ca="1">IF(OR($I$10="",$O77="",$P77="",$J$41&lt;&gt;"Yes"),0,IF($K$10=0,SUMIFS(INDIRECT(ADDRESS(12,3+18*0+(6),,,"J1 B - Butcher Terrace")&amp;":"&amp;ADDRESS(130,3+18*0+(6))),'J1 B - Butcher Terrace'!$A$12:$A$130,"&gt;="&amp;Diagram!$O77,'J1 B - Butcher Terrace'!$A$12:$A$130,"&lt;"&amp;Diagram!$P77),SUMIFS(INDIRECT(ADDRESS(12,3+18*0+(14),,,"J1 B - Butcher Terrace")&amp;":"&amp;ADDRESS(130,3+18*0+(14))),'J1 B - Butcher Terrace'!$A$12:$A$130,"&gt;="&amp;Diagram!$O77,'J1 B - Butcher Terrace'!$A$12:$A$130,"&lt;"&amp;Diagram!$P77)))</f>
        <v>0</v>
      </c>
      <c r="DX77" s="42">
        <f ca="1">IF(OR($I$10="",$O77="",$P77="",$J$41&lt;&gt;"Yes"),0,IF($K$10=0,SUMIFS(INDIRECT(ADDRESS(12,3+18*1+(6),,,"J1 B - Butcher Terrace")&amp;":"&amp;ADDRESS(130,3+18*1+(6))),'J1 B - Butcher Terrace'!$A$12:$A$130,"&gt;="&amp;Diagram!$O77,'J1 B - Butcher Terrace'!$A$12:$A$130,"&lt;"&amp;Diagram!$P77),SUMIFS(INDIRECT(ADDRESS(12,3+18*1+(14),,,"J1 B - Butcher Terrace")&amp;":"&amp;ADDRESS(130,3+18*1+(14))),'J1 B - Butcher Terrace'!$A$12:$A$130,"&gt;="&amp;Diagram!$O77,'J1 B - Butcher Terrace'!$A$12:$A$130,"&lt;"&amp;Diagram!$P77)))</f>
        <v>0</v>
      </c>
      <c r="DY77" s="42">
        <f ca="1">IF(OR($I$10="",$O77="",$P77="",$J$41&lt;&gt;"Yes"),0,IF($K$10=0,SUMIFS(INDIRECT(ADDRESS(12,3+18*1+(6),,,"J1 C - (South) Bishopthorpe Roa")&amp;":"&amp;ADDRESS(130,3+18*1+(6))),'J1 C - (South) Bishopthorpe Roa'!$A$12:$A$130,"&gt;="&amp;Diagram!$O77,'J1 C - (South) Bishopthorpe Roa'!$A$12:$A$130,"&lt;"&amp;Diagram!$P77),SUMIFS(INDIRECT(ADDRESS(12,3+18*1+(14),,,"J1 C - (South) Bishopthorpe Roa")&amp;":"&amp;ADDRESS(130,3+18*1+(14))),'J1 C - (South) Bishopthorpe Roa'!$A$12:$A$130,"&gt;="&amp;Diagram!$O77,'J1 C - (South) Bishopthorpe Roa'!$A$12:$A$130,"&lt;"&amp;Diagram!$P77)))</f>
        <v>6</v>
      </c>
      <c r="DZ77" s="42">
        <f ca="1">IF(OR($I$10="",$O77="",$P77="",$J$41&lt;&gt;"Yes"),0,IF($K$10=0,SUMIFS(INDIRECT(ADDRESS(12,3+18*2+(6),,,"J1 C - (South) Bishopthorpe Roa")&amp;":"&amp;ADDRESS(130,3+18*2+(6))),'J1 C - (South) Bishopthorpe Roa'!$A$12:$A$130,"&gt;="&amp;Diagram!$O77,'J1 C - (South) Bishopthorpe Roa'!$A$12:$A$130,"&lt;"&amp;Diagram!$P77),SUMIFS(INDIRECT(ADDRESS(12,3+18*2+(14),,,"J1 C - (South) Bishopthorpe Roa")&amp;":"&amp;ADDRESS(130,3+18*2+(14))),'J1 C - (South) Bishopthorpe Roa'!$A$12:$A$130,"&gt;="&amp;Diagram!$O77,'J1 C - (South) Bishopthorpe Roa'!$A$12:$A$130,"&lt;"&amp;Diagram!$P77)))</f>
        <v>0</v>
      </c>
      <c r="EA77" s="42">
        <f ca="1">IF(OR($I$10="",$O77="",$P77="",$J$41&lt;&gt;"Yes"),0,IF($K$10=0,SUMIFS(INDIRECT(ADDRESS(12,3+18*3+(6),,,"J1 C - (South) Bishopthorpe Roa")&amp;":"&amp;ADDRESS(130,3+18*3+(6))),'J1 C - (South) Bishopthorpe Roa'!$A$12:$A$130,"&gt;="&amp;Diagram!$O77,'J1 C - (South) Bishopthorpe Roa'!$A$12:$A$130,"&lt;"&amp;Diagram!$P77),SUMIFS(INDIRECT(ADDRESS(12,3+18*3+(14),,,"J1 C - (South) Bishopthorpe Roa")&amp;":"&amp;ADDRESS(130,3+18*3+(14))),'J1 C - (South) Bishopthorpe Roa'!$A$12:$A$130,"&gt;="&amp;Diagram!$O77,'J1 C - (South) Bishopthorpe Roa'!$A$12:$A$130,"&lt;"&amp;Diagram!$P77)))</f>
        <v>0</v>
      </c>
      <c r="EB77" s="42">
        <f ca="1">IF(OR($I$10="",$O77="",$P77="",$J$41&lt;&gt;"Yes"),0,IF($K$10=0,SUMIFS(INDIRECT(ADDRESS(12,3+18*0+(6),,,"J1 C - (South) Bishopthorpe Roa")&amp;":"&amp;ADDRESS(130,3+18*0+(6))),'J1 C - (South) Bishopthorpe Roa'!$A$12:$A$130,"&gt;="&amp;Diagram!$O77,'J1 C - (South) Bishopthorpe Roa'!$A$12:$A$130,"&lt;"&amp;Diagram!$P77),SUMIFS(INDIRECT(ADDRESS(12,3+18*0+(14),,,"J1 C - (South) Bishopthorpe Roa")&amp;":"&amp;ADDRESS(130,3+18*0+(14))),'J1 C - (South) Bishopthorpe Roa'!$A$12:$A$130,"&gt;="&amp;Diagram!$O77,'J1 C - (South) Bishopthorpe Roa'!$A$12:$A$130,"&lt;"&amp;Diagram!$P77)))</f>
        <v>0</v>
      </c>
      <c r="EC77" s="42">
        <f ca="1">IF(OR($I$10="",$O77="",$P77="",$J$41&lt;&gt;"Yes"),0,IF($K$10=0,SUMIFS(INDIRECT(ADDRESS(12,3+18*0+(6),,,"J1 D - South Bank Avenue")&amp;":"&amp;ADDRESS(130,3+18*0+(6))),'J1 D - South Bank Avenue'!$A$12:$A$130,"&gt;="&amp;Diagram!$O77,'J1 D - South Bank Avenue'!$A$12:$A$130,"&lt;"&amp;Diagram!$P77),SUMIFS(INDIRECT(ADDRESS(12,3+18*0+(14),,,"J1 D - South Bank Avenue")&amp;":"&amp;ADDRESS(130,3+18*0+(14))),'J1 D - South Bank Avenue'!$A$12:$A$130,"&gt;="&amp;Diagram!$O77,'J1 D - South Bank Avenue'!$A$12:$A$130,"&lt;"&amp;Diagram!$P77)))</f>
        <v>0</v>
      </c>
      <c r="ED77" s="42">
        <f ca="1">IF(OR($I$10="",$O77="",$P77="",$J$41&lt;&gt;"Yes"),0,IF($K$10=0,SUMIFS(INDIRECT(ADDRESS(12,3+18*1+(6),,,"J1 D - South Bank Avenue")&amp;":"&amp;ADDRESS(130,3+18*1+(6))),'J1 D - South Bank Avenue'!$A$12:$A$130,"&gt;="&amp;Diagram!$O77,'J1 D - South Bank Avenue'!$A$12:$A$130,"&lt;"&amp;Diagram!$P77),SUMIFS(INDIRECT(ADDRESS(12,3+18*1+(14),,,"J1 D - South Bank Avenue")&amp;":"&amp;ADDRESS(130,3+18*1+(14))),'J1 D - South Bank Avenue'!$A$12:$A$130,"&gt;="&amp;Diagram!$O77,'J1 D - South Bank Avenue'!$A$12:$A$130,"&lt;"&amp;Diagram!$P77)))</f>
        <v>0</v>
      </c>
      <c r="EE77" s="42">
        <f ca="1">IF(OR($I$10="",$O77="",$P77="",$J$41&lt;&gt;"Yes"),0,IF($K$10=0,SUMIFS(INDIRECT(ADDRESS(12,3+18*2+(6),,,"J1 D - South Bank Avenue")&amp;":"&amp;ADDRESS(130,3+18*2+(6))),'J1 D - South Bank Avenue'!$A$12:$A$130,"&gt;="&amp;Diagram!$O77,'J1 D - South Bank Avenue'!$A$12:$A$130,"&lt;"&amp;Diagram!$P77),SUMIFS(INDIRECT(ADDRESS(12,3+18*2+(14),,,"J1 D - South Bank Avenue")&amp;":"&amp;ADDRESS(130,3+18*2+(14))),'J1 D - South Bank Avenue'!$A$12:$A$130,"&gt;="&amp;Diagram!$O77,'J1 D - South Bank Avenue'!$A$12:$A$130,"&lt;"&amp;Diagram!$P77)))</f>
        <v>0</v>
      </c>
      <c r="EF77" s="42">
        <f ca="1">IF(OR($I$10="",$O77="",$P77="",$J$41&lt;&gt;"Yes"),0,IF($K$10=0,SUMIFS(INDIRECT(ADDRESS(12,3+18*3+(6),,,"J1 D - South Bank Avenue")&amp;":"&amp;ADDRESS(130,3+18*3+(6))),'J1 D - South Bank Avenue'!$A$12:$A$130,"&gt;="&amp;Diagram!$O77,'J1 D - South Bank Avenue'!$A$12:$A$130,"&lt;"&amp;Diagram!$P77),SUMIFS(INDIRECT(ADDRESS(12,3+18*3+(14),,,"J1 D - South Bank Avenue")&amp;":"&amp;ADDRESS(130,3+18*3+(14))),'J1 D - South Bank Avenue'!$A$12:$A$130,"&gt;="&amp;Diagram!$O77,'J1 D - South Bank Avenue'!$A$12:$A$130,"&lt;"&amp;Diagram!$P77)))</f>
        <v>0</v>
      </c>
      <c r="EG77" s="42">
        <f t="shared" ca="1" si="18"/>
        <v>0</v>
      </c>
      <c r="EH77" s="42">
        <f ca="1">IF(OR($I$10="",$O77="",$P77="",$J$42&lt;&gt;"Yes"),0,IF($K$10=0,SUMIFS(INDIRECT(ADDRESS(12,3+18*3+(7),,,"J1 A - (North) Bishopthorpe Roa")&amp;":"&amp;ADDRESS(130,3+18*3+(7))),'J1 A - (North) Bishopthorpe Roa'!$A$12:$A$130,"&gt;="&amp;Diagram!$O77,'J1 A - (North) Bishopthorpe Roa'!$A$12:$A$130,"&lt;"&amp;Diagram!$P77),SUMIFS(INDIRECT(ADDRESS(12,3+18*3+(15),,,"J1 A - (North) Bishopthorpe Roa")&amp;":"&amp;ADDRESS(130,3+18*3+(15))),'J1 A - (North) Bishopthorpe Roa'!$A$12:$A$130,"&gt;="&amp;Diagram!$O77,'J1 A - (North) Bishopthorpe Roa'!$A$12:$A$130,"&lt;"&amp;Diagram!$P77)))</f>
        <v>0</v>
      </c>
      <c r="EI77" s="42">
        <f ca="1">IF(OR($I$10="",$O77="",$P77="",$J$42&lt;&gt;"Yes"),0,IF($K$10=0,SUMIFS(INDIRECT(ADDRESS(12,3+18*0+(7),,,"J1 A - (North) Bishopthorpe Roa")&amp;":"&amp;ADDRESS(130,3+18*0+(7))),'J1 A - (North) Bishopthorpe Roa'!$A$12:$A$130,"&gt;="&amp;Diagram!$O77,'J1 A - (North) Bishopthorpe Roa'!$A$12:$A$130,"&lt;"&amp;Diagram!$P77),SUMIFS(INDIRECT(ADDRESS(12,3+18*0+(15),,,"J1 A - (North) Bishopthorpe Roa")&amp;":"&amp;ADDRESS(130,3+18*0+(15))),'J1 A - (North) Bishopthorpe Roa'!$A$12:$A$130,"&gt;="&amp;Diagram!$O77,'J1 A - (North) Bishopthorpe Roa'!$A$12:$A$130,"&lt;"&amp;Diagram!$P77)))</f>
        <v>0</v>
      </c>
      <c r="EJ77" s="42">
        <f ca="1">IF(OR($I$10="",$O77="",$P77="",$J$42&lt;&gt;"Yes"),0,IF($K$10=0,SUMIFS(INDIRECT(ADDRESS(12,3+18*1+(7),,,"J1 A - (North) Bishopthorpe Roa")&amp;":"&amp;ADDRESS(130,3+18*1+(7))),'J1 A - (North) Bishopthorpe Roa'!$A$12:$A$130,"&gt;="&amp;Diagram!$O77,'J1 A - (North) Bishopthorpe Roa'!$A$12:$A$130,"&lt;"&amp;Diagram!$P77),SUMIFS(INDIRECT(ADDRESS(12,3+18*1+(15),,,"J1 A - (North) Bishopthorpe Roa")&amp;":"&amp;ADDRESS(130,3+18*1+(15))),'J1 A - (North) Bishopthorpe Roa'!$A$12:$A$130,"&gt;="&amp;Diagram!$O77,'J1 A - (North) Bishopthorpe Roa'!$A$12:$A$130,"&lt;"&amp;Diagram!$P77)))</f>
        <v>0</v>
      </c>
      <c r="EK77" s="42">
        <f ca="1">IF(OR($I$10="",$O77="",$P77="",$J$42&lt;&gt;"Yes"),0,IF($K$10=0,SUMIFS(INDIRECT(ADDRESS(12,3+18*2+(7),,,"J1 A - (North) Bishopthorpe Roa")&amp;":"&amp;ADDRESS(130,3+18*2+(7))),'J1 A - (North) Bishopthorpe Roa'!$A$12:$A$130,"&gt;="&amp;Diagram!$O77,'J1 A - (North) Bishopthorpe Roa'!$A$12:$A$130,"&lt;"&amp;Diagram!$P77),SUMIFS(INDIRECT(ADDRESS(12,3+18*2+(15),,,"J1 A - (North) Bishopthorpe Roa")&amp;":"&amp;ADDRESS(130,3+18*2+(15))),'J1 A - (North) Bishopthorpe Roa'!$A$12:$A$130,"&gt;="&amp;Diagram!$O77,'J1 A - (North) Bishopthorpe Roa'!$A$12:$A$130,"&lt;"&amp;Diagram!$P77)))</f>
        <v>0</v>
      </c>
      <c r="EL77" s="42">
        <f ca="1">IF(OR($I$10="",$O77="",$P77="",$J$42&lt;&gt;"Yes"),0,IF($K$10=0,SUMIFS(INDIRECT(ADDRESS(12,3+18*2+(7),,,"J1 B - Butcher Terrace")&amp;":"&amp;ADDRESS(130,3+18*2+(7))),'J1 B - Butcher Terrace'!$A$12:$A$130,"&gt;="&amp;Diagram!$O77,'J1 B - Butcher Terrace'!$A$12:$A$130,"&lt;"&amp;Diagram!$P77),SUMIFS(INDIRECT(ADDRESS(12,3+18*2+(15),,,"J1 B - Butcher Terrace")&amp;":"&amp;ADDRESS(130,3+18*2+(15))),'J1 B - Butcher Terrace'!$A$12:$A$130,"&gt;="&amp;Diagram!$O77,'J1 B - Butcher Terrace'!$A$12:$A$130,"&lt;"&amp;Diagram!$P77)))</f>
        <v>0</v>
      </c>
      <c r="EM77" s="42">
        <f ca="1">IF(OR($I$10="",$O77="",$P77="",$J$42&lt;&gt;"Yes"),0,IF($K$10=0,SUMIFS(INDIRECT(ADDRESS(12,3+18*3+(7),,,"J1 B - Butcher Terrace")&amp;":"&amp;ADDRESS(130,3+18*3+(7))),'J1 B - Butcher Terrace'!$A$12:$A$130,"&gt;="&amp;Diagram!$O77,'J1 B - Butcher Terrace'!$A$12:$A$130,"&lt;"&amp;Diagram!$P77),SUMIFS(INDIRECT(ADDRESS(12,3+18*3+(15),,,"J1 B - Butcher Terrace")&amp;":"&amp;ADDRESS(130,3+18*3+(15))),'J1 B - Butcher Terrace'!$A$12:$A$130,"&gt;="&amp;Diagram!$O77,'J1 B - Butcher Terrace'!$A$12:$A$130,"&lt;"&amp;Diagram!$P77)))</f>
        <v>0</v>
      </c>
      <c r="EN77" s="42">
        <f ca="1">IF(OR($I$10="",$O77="",$P77="",$J$42&lt;&gt;"Yes"),0,IF($K$10=0,SUMIFS(INDIRECT(ADDRESS(12,3+18*0+(7),,,"J1 B - Butcher Terrace")&amp;":"&amp;ADDRESS(130,3+18*0+(7))),'J1 B - Butcher Terrace'!$A$12:$A$130,"&gt;="&amp;Diagram!$O77,'J1 B - Butcher Terrace'!$A$12:$A$130,"&lt;"&amp;Diagram!$P77),SUMIFS(INDIRECT(ADDRESS(12,3+18*0+(15),,,"J1 B - Butcher Terrace")&amp;":"&amp;ADDRESS(130,3+18*0+(15))),'J1 B - Butcher Terrace'!$A$12:$A$130,"&gt;="&amp;Diagram!$O77,'J1 B - Butcher Terrace'!$A$12:$A$130,"&lt;"&amp;Diagram!$P77)))</f>
        <v>0</v>
      </c>
      <c r="EO77" s="42">
        <f ca="1">IF(OR($I$10="",$O77="",$P77="",$J$42&lt;&gt;"Yes"),0,IF($K$10=0,SUMIFS(INDIRECT(ADDRESS(12,3+18*1+(7),,,"J1 B - Butcher Terrace")&amp;":"&amp;ADDRESS(130,3+18*1+(7))),'J1 B - Butcher Terrace'!$A$12:$A$130,"&gt;="&amp;Diagram!$O77,'J1 B - Butcher Terrace'!$A$12:$A$130,"&lt;"&amp;Diagram!$P77),SUMIFS(INDIRECT(ADDRESS(12,3+18*1+(15),,,"J1 B - Butcher Terrace")&amp;":"&amp;ADDRESS(130,3+18*1+(15))),'J1 B - Butcher Terrace'!$A$12:$A$130,"&gt;="&amp;Diagram!$O77,'J1 B - Butcher Terrace'!$A$12:$A$130,"&lt;"&amp;Diagram!$P77)))</f>
        <v>0</v>
      </c>
      <c r="EP77" s="42">
        <f ca="1">IF(OR($I$10="",$O77="",$P77="",$J$42&lt;&gt;"Yes"),0,IF($K$10=0,SUMIFS(INDIRECT(ADDRESS(12,3+18*1+(7),,,"J1 C - (South) Bishopthorpe Roa")&amp;":"&amp;ADDRESS(130,3+18*1+(7))),'J1 C - (South) Bishopthorpe Roa'!$A$12:$A$130,"&gt;="&amp;Diagram!$O77,'J1 C - (South) Bishopthorpe Roa'!$A$12:$A$130,"&lt;"&amp;Diagram!$P77),SUMIFS(INDIRECT(ADDRESS(12,3+18*1+(15),,,"J1 C - (South) Bishopthorpe Roa")&amp;":"&amp;ADDRESS(130,3+18*1+(15))),'J1 C - (South) Bishopthorpe Roa'!$A$12:$A$130,"&gt;="&amp;Diagram!$O77,'J1 C - (South) Bishopthorpe Roa'!$A$12:$A$130,"&lt;"&amp;Diagram!$P77)))</f>
        <v>0</v>
      </c>
      <c r="EQ77" s="42">
        <f ca="1">IF(OR($I$10="",$O77="",$P77="",$J$42&lt;&gt;"Yes"),0,IF($K$10=0,SUMIFS(INDIRECT(ADDRESS(12,3+18*2+(7),,,"J1 C - (South) Bishopthorpe Roa")&amp;":"&amp;ADDRESS(130,3+18*2+(7))),'J1 C - (South) Bishopthorpe Roa'!$A$12:$A$130,"&gt;="&amp;Diagram!$O77,'J1 C - (South) Bishopthorpe Roa'!$A$12:$A$130,"&lt;"&amp;Diagram!$P77),SUMIFS(INDIRECT(ADDRESS(12,3+18*2+(15),,,"J1 C - (South) Bishopthorpe Roa")&amp;":"&amp;ADDRESS(130,3+18*2+(15))),'J1 C - (South) Bishopthorpe Roa'!$A$12:$A$130,"&gt;="&amp;Diagram!$O77,'J1 C - (South) Bishopthorpe Roa'!$A$12:$A$130,"&lt;"&amp;Diagram!$P77)))</f>
        <v>0</v>
      </c>
      <c r="ER77" s="42">
        <f ca="1">IF(OR($I$10="",$O77="",$P77="",$J$42&lt;&gt;"Yes"),0,IF($K$10=0,SUMIFS(INDIRECT(ADDRESS(12,3+18*3+(7),,,"J1 C - (South) Bishopthorpe Roa")&amp;":"&amp;ADDRESS(130,3+18*3+(7))),'J1 C - (South) Bishopthorpe Roa'!$A$12:$A$130,"&gt;="&amp;Diagram!$O77,'J1 C - (South) Bishopthorpe Roa'!$A$12:$A$130,"&lt;"&amp;Diagram!$P77),SUMIFS(INDIRECT(ADDRESS(12,3+18*3+(15),,,"J1 C - (South) Bishopthorpe Roa")&amp;":"&amp;ADDRESS(130,3+18*3+(15))),'J1 C - (South) Bishopthorpe Roa'!$A$12:$A$130,"&gt;="&amp;Diagram!$O77,'J1 C - (South) Bishopthorpe Roa'!$A$12:$A$130,"&lt;"&amp;Diagram!$P77)))</f>
        <v>0</v>
      </c>
      <c r="ES77" s="42">
        <f ca="1">IF(OR($I$10="",$O77="",$P77="",$J$42&lt;&gt;"Yes"),0,IF($K$10=0,SUMIFS(INDIRECT(ADDRESS(12,3+18*0+(7),,,"J1 C - (South) Bishopthorpe Roa")&amp;":"&amp;ADDRESS(130,3+18*0+(7))),'J1 C - (South) Bishopthorpe Roa'!$A$12:$A$130,"&gt;="&amp;Diagram!$O77,'J1 C - (South) Bishopthorpe Roa'!$A$12:$A$130,"&lt;"&amp;Diagram!$P77),SUMIFS(INDIRECT(ADDRESS(12,3+18*0+(15),,,"J1 C - (South) Bishopthorpe Roa")&amp;":"&amp;ADDRESS(130,3+18*0+(15))),'J1 C - (South) Bishopthorpe Roa'!$A$12:$A$130,"&gt;="&amp;Diagram!$O77,'J1 C - (South) Bishopthorpe Roa'!$A$12:$A$130,"&lt;"&amp;Diagram!$P77)))</f>
        <v>0</v>
      </c>
      <c r="ET77" s="42">
        <f ca="1">IF(OR($I$10="",$O77="",$P77="",$J$42&lt;&gt;"Yes"),0,IF($K$10=0,SUMIFS(INDIRECT(ADDRESS(12,3+18*0+(7),,,"J1 D - South Bank Avenue")&amp;":"&amp;ADDRESS(130,3+18*0+(7))),'J1 D - South Bank Avenue'!$A$12:$A$130,"&gt;="&amp;Diagram!$O77,'J1 D - South Bank Avenue'!$A$12:$A$130,"&lt;"&amp;Diagram!$P77),SUMIFS(INDIRECT(ADDRESS(12,3+18*0+(15),,,"J1 D - South Bank Avenue")&amp;":"&amp;ADDRESS(130,3+18*0+(15))),'J1 D - South Bank Avenue'!$A$12:$A$130,"&gt;="&amp;Diagram!$O77,'J1 D - South Bank Avenue'!$A$12:$A$130,"&lt;"&amp;Diagram!$P77)))</f>
        <v>0</v>
      </c>
      <c r="EU77" s="42">
        <f ca="1">IF(OR($I$10="",$O77="",$P77="",$J$42&lt;&gt;"Yes"),0,IF($K$10=0,SUMIFS(INDIRECT(ADDRESS(12,3+18*1+(7),,,"J1 D - South Bank Avenue")&amp;":"&amp;ADDRESS(130,3+18*1+(7))),'J1 D - South Bank Avenue'!$A$12:$A$130,"&gt;="&amp;Diagram!$O77,'J1 D - South Bank Avenue'!$A$12:$A$130,"&lt;"&amp;Diagram!$P77),SUMIFS(INDIRECT(ADDRESS(12,3+18*1+(15),,,"J1 D - South Bank Avenue")&amp;":"&amp;ADDRESS(130,3+18*1+(15))),'J1 D - South Bank Avenue'!$A$12:$A$130,"&gt;="&amp;Diagram!$O77,'J1 D - South Bank Avenue'!$A$12:$A$130,"&lt;"&amp;Diagram!$P77)))</f>
        <v>0</v>
      </c>
      <c r="EV77" s="42">
        <f ca="1">IF(OR($I$10="",$O77="",$P77="",$J$42&lt;&gt;"Yes"),0,IF($K$10=0,SUMIFS(INDIRECT(ADDRESS(12,3+18*2+(7),,,"J1 D - South Bank Avenue")&amp;":"&amp;ADDRESS(130,3+18*2+(7))),'J1 D - South Bank Avenue'!$A$12:$A$130,"&gt;="&amp;Diagram!$O77,'J1 D - South Bank Avenue'!$A$12:$A$130,"&lt;"&amp;Diagram!$P77),SUMIFS(INDIRECT(ADDRESS(12,3+18*2+(15),,,"J1 D - South Bank Avenue")&amp;":"&amp;ADDRESS(130,3+18*2+(15))),'J1 D - South Bank Avenue'!$A$12:$A$130,"&gt;="&amp;Diagram!$O77,'J1 D - South Bank Avenue'!$A$12:$A$130,"&lt;"&amp;Diagram!$P77)))</f>
        <v>0</v>
      </c>
      <c r="EW77" s="42">
        <f ca="1">IF(OR($I$10="",$O77="",$P77="",$J$42&lt;&gt;"Yes"),0,IF($K$10=0,SUMIFS(INDIRECT(ADDRESS(12,3+18*3+(7),,,"J1 D - South Bank Avenue")&amp;":"&amp;ADDRESS(130,3+18*3+(7))),'J1 D - South Bank Avenue'!$A$12:$A$130,"&gt;="&amp;Diagram!$O77,'J1 D - South Bank Avenue'!$A$12:$A$130,"&lt;"&amp;Diagram!$P77),SUMIFS(INDIRECT(ADDRESS(12,3+18*3+(15),,,"J1 D - South Bank Avenue")&amp;":"&amp;ADDRESS(130,3+18*3+(15))),'J1 D - South Bank Avenue'!$A$12:$A$130,"&gt;="&amp;Diagram!$O77,'J1 D - South Bank Avenue'!$A$12:$A$130,"&lt;"&amp;Diagram!$P77)))</f>
        <v>0</v>
      </c>
    </row>
    <row r="78" spans="1:153">
      <c r="A78" s="1">
        <v>44395.802083333299</v>
      </c>
      <c r="B78" s="1">
        <v>44395.8125</v>
      </c>
      <c r="O78" s="3">
        <v>44395.802083333299</v>
      </c>
      <c r="P78" s="3">
        <v>44395.84375</v>
      </c>
      <c r="Q78" s="42">
        <f t="shared" ca="1" si="10"/>
        <v>544</v>
      </c>
      <c r="R78" s="42">
        <f t="shared" ca="1" si="11"/>
        <v>404</v>
      </c>
      <c r="S78" s="42">
        <f ca="1">IF(OR($I$10="",$O78="",$P78="",$J$35&lt;&gt;"Yes"),0,IF($K$10=0,SUMIFS(INDIRECT(ADDRESS(12,3+18*3+(0),,,"J1 A - (North) Bishopthorpe Roa")&amp;":"&amp;ADDRESS(130,3+18*3+(0))),'J1 A - (North) Bishopthorpe Roa'!$A$12:$A$130,"&gt;="&amp;Diagram!$O78,'J1 A - (North) Bishopthorpe Roa'!$A$12:$A$130,"&lt;"&amp;Diagram!$P78),SUMIFS(INDIRECT(ADDRESS(12,3+18*3+(8),,,"J1 A - (North) Bishopthorpe Roa")&amp;":"&amp;ADDRESS(130,3+18*3+(8))),'J1 A - (North) Bishopthorpe Roa'!$A$12:$A$130,"&gt;="&amp;Diagram!$O78,'J1 A - (North) Bishopthorpe Roa'!$A$12:$A$130,"&lt;"&amp;Diagram!$P78)))</f>
        <v>1</v>
      </c>
      <c r="T78" s="42">
        <f ca="1">IF(OR($I$10="",$O78="",$P78="",$J$35&lt;&gt;"Yes"),0,IF($K$10=0,SUMIFS(INDIRECT(ADDRESS(12,3+18*0+(0),,,"J1 A - (North) Bishopthorpe Roa")&amp;":"&amp;ADDRESS(130,3+18*0+(0))),'J1 A - (North) Bishopthorpe Roa'!$A$12:$A$130,"&gt;="&amp;Diagram!$O78,'J1 A - (North) Bishopthorpe Roa'!$A$12:$A$130,"&lt;"&amp;Diagram!$P78),SUMIFS(INDIRECT(ADDRESS(12,3+18*0+(8),,,"J1 A - (North) Bishopthorpe Roa")&amp;":"&amp;ADDRESS(130,3+18*0+(8))),'J1 A - (North) Bishopthorpe Roa'!$A$12:$A$130,"&gt;="&amp;Diagram!$O78,'J1 A - (North) Bishopthorpe Roa'!$A$12:$A$130,"&lt;"&amp;Diagram!$P78)))</f>
        <v>21</v>
      </c>
      <c r="U78" s="42">
        <f ca="1">IF(OR($I$10="",$O78="",$P78="",$J$35&lt;&gt;"Yes"),0,IF($K$10=0,SUMIFS(INDIRECT(ADDRESS(12,3+18*1+(0),,,"J1 A - (North) Bishopthorpe Roa")&amp;":"&amp;ADDRESS(130,3+18*1+(0))),'J1 A - (North) Bishopthorpe Roa'!$A$12:$A$130,"&gt;="&amp;Diagram!$O78,'J1 A - (North) Bishopthorpe Roa'!$A$12:$A$130,"&lt;"&amp;Diagram!$P78),SUMIFS(INDIRECT(ADDRESS(12,3+18*1+(8),,,"J1 A - (North) Bishopthorpe Roa")&amp;":"&amp;ADDRESS(130,3+18*1+(8))),'J1 A - (North) Bishopthorpe Roa'!$A$12:$A$130,"&gt;="&amp;Diagram!$O78,'J1 A - (North) Bishopthorpe Roa'!$A$12:$A$130,"&lt;"&amp;Diagram!$P78)))</f>
        <v>159</v>
      </c>
      <c r="V78" s="42">
        <f ca="1">IF(OR($I$10="",$O78="",$P78="",$J$35&lt;&gt;"Yes"),0,IF($K$10=0,SUMIFS(INDIRECT(ADDRESS(12,3+18*2+(0),,,"J1 A - (North) Bishopthorpe Roa")&amp;":"&amp;ADDRESS(130,3+18*2+(0))),'J1 A - (North) Bishopthorpe Roa'!$A$12:$A$130,"&gt;="&amp;Diagram!$O78,'J1 A - (North) Bishopthorpe Roa'!$A$12:$A$130,"&lt;"&amp;Diagram!$P78),SUMIFS(INDIRECT(ADDRESS(12,3+18*2+(8),,,"J1 A - (North) Bishopthorpe Roa")&amp;":"&amp;ADDRESS(130,3+18*2+(8))),'J1 A - (North) Bishopthorpe Roa'!$A$12:$A$130,"&gt;="&amp;Diagram!$O78,'J1 A - (North) Bishopthorpe Roa'!$A$12:$A$130,"&lt;"&amp;Diagram!$P78)))</f>
        <v>20</v>
      </c>
      <c r="W78" s="42">
        <f ca="1">IF(OR($I$10="",$O78="",$P78="",$J$35&lt;&gt;"Yes"),0,IF($K$10=0,SUMIFS(INDIRECT(ADDRESS(12,3+18*2+(0),,,"J1 B - Butcher Terrace")&amp;":"&amp;ADDRESS(130,3+18*2+(0))),'J1 B - Butcher Terrace'!$A$12:$A$130,"&gt;="&amp;Diagram!$O78,'J1 B - Butcher Terrace'!$A$12:$A$130,"&lt;"&amp;Diagram!$P78),SUMIFS(INDIRECT(ADDRESS(12,3+18*2+(8),,,"J1 B - Butcher Terrace")&amp;":"&amp;ADDRESS(130,3+18*2+(8))),'J1 B - Butcher Terrace'!$A$12:$A$130,"&gt;="&amp;Diagram!$O78,'J1 B - Butcher Terrace'!$A$12:$A$130,"&lt;"&amp;Diagram!$P78)))</f>
        <v>9</v>
      </c>
      <c r="X78" s="42">
        <f ca="1">IF(OR($I$10="",$O78="",$P78="",$J$35&lt;&gt;"Yes"),0,IF($K$10=0,SUMIFS(INDIRECT(ADDRESS(12,3+18*3+(0),,,"J1 B - Butcher Terrace")&amp;":"&amp;ADDRESS(130,3+18*3+(0))),'J1 B - Butcher Terrace'!$A$12:$A$130,"&gt;="&amp;Diagram!$O78,'J1 B - Butcher Terrace'!$A$12:$A$130,"&lt;"&amp;Diagram!$P78),SUMIFS(INDIRECT(ADDRESS(12,3+18*3+(8),,,"J1 B - Butcher Terrace")&amp;":"&amp;ADDRESS(130,3+18*3+(8))),'J1 B - Butcher Terrace'!$A$12:$A$130,"&gt;="&amp;Diagram!$O78,'J1 B - Butcher Terrace'!$A$12:$A$130,"&lt;"&amp;Diagram!$P78)))</f>
        <v>0</v>
      </c>
      <c r="Y78" s="42">
        <f ca="1">IF(OR($I$10="",$O78="",$P78="",$J$35&lt;&gt;"Yes"),0,IF($K$10=0,SUMIFS(INDIRECT(ADDRESS(12,3+18*0+(0),,,"J1 B - Butcher Terrace")&amp;":"&amp;ADDRESS(130,3+18*0+(0))),'J1 B - Butcher Terrace'!$A$12:$A$130,"&gt;="&amp;Diagram!$O78,'J1 B - Butcher Terrace'!$A$12:$A$130,"&lt;"&amp;Diagram!$P78),SUMIFS(INDIRECT(ADDRESS(12,3+18*0+(8),,,"J1 B - Butcher Terrace")&amp;":"&amp;ADDRESS(130,3+18*0+(8))),'J1 B - Butcher Terrace'!$A$12:$A$130,"&gt;="&amp;Diagram!$O78,'J1 B - Butcher Terrace'!$A$12:$A$130,"&lt;"&amp;Diagram!$P78)))</f>
        <v>10</v>
      </c>
      <c r="Z78" s="42">
        <f ca="1">IF(OR($I$10="",$O78="",$P78="",$J$35&lt;&gt;"Yes"),0,IF($K$10=0,SUMIFS(INDIRECT(ADDRESS(12,3+18*1+(0),,,"J1 B - Butcher Terrace")&amp;":"&amp;ADDRESS(130,3+18*1+(0))),'J1 B - Butcher Terrace'!$A$12:$A$130,"&gt;="&amp;Diagram!$O78,'J1 B - Butcher Terrace'!$A$12:$A$130,"&lt;"&amp;Diagram!$P78),SUMIFS(INDIRECT(ADDRESS(12,3+18*1+(8),,,"J1 B - Butcher Terrace")&amp;":"&amp;ADDRESS(130,3+18*1+(8))),'J1 B - Butcher Terrace'!$A$12:$A$130,"&gt;="&amp;Diagram!$O78,'J1 B - Butcher Terrace'!$A$12:$A$130,"&lt;"&amp;Diagram!$P78)))</f>
        <v>0</v>
      </c>
      <c r="AA78" s="42">
        <f ca="1">IF(OR($I$10="",$O78="",$P78="",$J$35&lt;&gt;"Yes"),0,IF($K$10=0,SUMIFS(INDIRECT(ADDRESS(12,3+18*1+(0),,,"J1 C - (South) Bishopthorpe Roa")&amp;":"&amp;ADDRESS(130,3+18*1+(0))),'J1 C - (South) Bishopthorpe Roa'!$A$12:$A$130,"&gt;="&amp;Diagram!$O78,'J1 C - (South) Bishopthorpe Roa'!$A$12:$A$130,"&lt;"&amp;Diagram!$P78),SUMIFS(INDIRECT(ADDRESS(12,3+18*1+(8),,,"J1 C - (South) Bishopthorpe Roa")&amp;":"&amp;ADDRESS(130,3+18*1+(8))),'J1 C - (South) Bishopthorpe Roa'!$A$12:$A$130,"&gt;="&amp;Diagram!$O78,'J1 C - (South) Bishopthorpe Roa'!$A$12:$A$130,"&lt;"&amp;Diagram!$P78)))</f>
        <v>150</v>
      </c>
      <c r="AB78" s="42">
        <f ca="1">IF(OR($I$10="",$O78="",$P78="",$J$35&lt;&gt;"Yes"),0,IF($K$10=0,SUMIFS(INDIRECT(ADDRESS(12,3+18*2+(0),,,"J1 C - (South) Bishopthorpe Roa")&amp;":"&amp;ADDRESS(130,3+18*2+(0))),'J1 C - (South) Bishopthorpe Roa'!$A$12:$A$130,"&gt;="&amp;Diagram!$O78,'J1 C - (South) Bishopthorpe Roa'!$A$12:$A$130,"&lt;"&amp;Diagram!$P78),SUMIFS(INDIRECT(ADDRESS(12,3+18*2+(8),,,"J1 C - (South) Bishopthorpe Roa")&amp;":"&amp;ADDRESS(130,3+18*2+(8))),'J1 C - (South) Bishopthorpe Roa'!$A$12:$A$130,"&gt;="&amp;Diagram!$O78,'J1 C - (South) Bishopthorpe Roa'!$A$12:$A$130,"&lt;"&amp;Diagram!$P78)))</f>
        <v>6</v>
      </c>
      <c r="AC78" s="42">
        <f ca="1">IF(OR($I$10="",$O78="",$P78="",$J$35&lt;&gt;"Yes"),0,IF($K$10=0,SUMIFS(INDIRECT(ADDRESS(12,3+18*3+(0),,,"J1 C - (South) Bishopthorpe Roa")&amp;":"&amp;ADDRESS(130,3+18*3+(0))),'J1 C - (South) Bishopthorpe Roa'!$A$12:$A$130,"&gt;="&amp;Diagram!$O78,'J1 C - (South) Bishopthorpe Roa'!$A$12:$A$130,"&lt;"&amp;Diagram!$P78),SUMIFS(INDIRECT(ADDRESS(12,3+18*3+(8),,,"J1 C - (South) Bishopthorpe Roa")&amp;":"&amp;ADDRESS(130,3+18*3+(8))),'J1 C - (South) Bishopthorpe Roa'!$A$12:$A$130,"&gt;="&amp;Diagram!$O78,'J1 C - (South) Bishopthorpe Roa'!$A$12:$A$130,"&lt;"&amp;Diagram!$P78)))</f>
        <v>0</v>
      </c>
      <c r="AD78" s="42">
        <f ca="1">IF(OR($I$10="",$O78="",$P78="",$J$35&lt;&gt;"Yes"),0,IF($K$10=0,SUMIFS(INDIRECT(ADDRESS(12,3+18*0+(0),,,"J1 C - (South) Bishopthorpe Roa")&amp;":"&amp;ADDRESS(130,3+18*0+(0))),'J1 C - (South) Bishopthorpe Roa'!$A$12:$A$130,"&gt;="&amp;Diagram!$O78,'J1 C - (South) Bishopthorpe Roa'!$A$12:$A$130,"&lt;"&amp;Diagram!$P78),SUMIFS(INDIRECT(ADDRESS(12,3+18*0+(8),,,"J1 C - (South) Bishopthorpe Roa")&amp;":"&amp;ADDRESS(130,3+18*0+(8))),'J1 C - (South) Bishopthorpe Roa'!$A$12:$A$130,"&gt;="&amp;Diagram!$O78,'J1 C - (South) Bishopthorpe Roa'!$A$12:$A$130,"&lt;"&amp;Diagram!$P78)))</f>
        <v>2</v>
      </c>
      <c r="AE78" s="42">
        <f ca="1">IF(OR($I$10="",$O78="",$P78="",$J$35&lt;&gt;"Yes"),0,IF($K$10=0,SUMIFS(INDIRECT(ADDRESS(12,3+18*0+(0),,,"J1 D - South Bank Avenue")&amp;":"&amp;ADDRESS(130,3+18*0+(0))),'J1 D - South Bank Avenue'!$A$12:$A$130,"&gt;="&amp;Diagram!$O78,'J1 D - South Bank Avenue'!$A$12:$A$130,"&lt;"&amp;Diagram!$P78),SUMIFS(INDIRECT(ADDRESS(12,3+18*0+(8),,,"J1 D - South Bank Avenue")&amp;":"&amp;ADDRESS(130,3+18*0+(8))),'J1 D - South Bank Avenue'!$A$12:$A$130,"&gt;="&amp;Diagram!$O78,'J1 D - South Bank Avenue'!$A$12:$A$130,"&lt;"&amp;Diagram!$P78)))</f>
        <v>23</v>
      </c>
      <c r="AF78" s="42">
        <f ca="1">IF(OR($I$10="",$O78="",$P78="",$J$35&lt;&gt;"Yes"),0,IF($K$10=0,SUMIFS(INDIRECT(ADDRESS(12,3+18*1+(0),,,"J1 D - South Bank Avenue")&amp;":"&amp;ADDRESS(130,3+18*1+(0))),'J1 D - South Bank Avenue'!$A$12:$A$130,"&gt;="&amp;Diagram!$O78,'J1 D - South Bank Avenue'!$A$12:$A$130,"&lt;"&amp;Diagram!$P78),SUMIFS(INDIRECT(ADDRESS(12,3+18*1+(8),,,"J1 D - South Bank Avenue")&amp;":"&amp;ADDRESS(130,3+18*1+(8))),'J1 D - South Bank Avenue'!$A$12:$A$130,"&gt;="&amp;Diagram!$O78,'J1 D - South Bank Avenue'!$A$12:$A$130,"&lt;"&amp;Diagram!$P78)))</f>
        <v>2</v>
      </c>
      <c r="AG78" s="42">
        <f ca="1">IF(OR($I$10="",$O78="",$P78="",$J$35&lt;&gt;"Yes"),0,IF($K$10=0,SUMIFS(INDIRECT(ADDRESS(12,3+18*2+(0),,,"J1 D - South Bank Avenue")&amp;":"&amp;ADDRESS(130,3+18*2+(0))),'J1 D - South Bank Avenue'!$A$12:$A$130,"&gt;="&amp;Diagram!$O78,'J1 D - South Bank Avenue'!$A$12:$A$130,"&lt;"&amp;Diagram!$P78),SUMIFS(INDIRECT(ADDRESS(12,3+18*2+(8),,,"J1 D - South Bank Avenue")&amp;":"&amp;ADDRESS(130,3+18*2+(8))),'J1 D - South Bank Avenue'!$A$12:$A$130,"&gt;="&amp;Diagram!$O78,'J1 D - South Bank Avenue'!$A$12:$A$130,"&lt;"&amp;Diagram!$P78)))</f>
        <v>1</v>
      </c>
      <c r="AH78" s="42">
        <f ca="1">IF(OR($I$10="",$O78="",$P78="",$J$35&lt;&gt;"Yes"),0,IF($K$10=0,SUMIFS(INDIRECT(ADDRESS(12,3+18*3+(0),,,"J1 D - South Bank Avenue")&amp;":"&amp;ADDRESS(130,3+18*3+(0))),'J1 D - South Bank Avenue'!$A$12:$A$130,"&gt;="&amp;Diagram!$O78,'J1 D - South Bank Avenue'!$A$12:$A$130,"&lt;"&amp;Diagram!$P78),SUMIFS(INDIRECT(ADDRESS(12,3+18*3+(8),,,"J1 D - South Bank Avenue")&amp;":"&amp;ADDRESS(130,3+18*3+(8))),'J1 D - South Bank Avenue'!$A$12:$A$130,"&gt;="&amp;Diagram!$O78,'J1 D - South Bank Avenue'!$A$12:$A$130,"&lt;"&amp;Diagram!$P78)))</f>
        <v>0</v>
      </c>
      <c r="AI78" s="42">
        <f t="shared" ca="1" si="12"/>
        <v>18</v>
      </c>
      <c r="AJ78" s="42">
        <f ca="1">IF(OR($I$10="",$O78="",$P78="",$J$36&lt;&gt;"Yes"),0,IF($K$10=0,SUMIFS(INDIRECT(ADDRESS(12,3+18*3+(1),,,"J1 A - (North) Bishopthorpe Roa")&amp;":"&amp;ADDRESS(130,3+18*3+(1))),'J1 A - (North) Bishopthorpe Roa'!$A$12:$A$130,"&gt;="&amp;Diagram!$O78,'J1 A - (North) Bishopthorpe Roa'!$A$12:$A$130,"&lt;"&amp;Diagram!$P78),SUMIFS(INDIRECT(ADDRESS(12,3+18*3+(9),,,"J1 A - (North) Bishopthorpe Roa")&amp;":"&amp;ADDRESS(130,3+18*3+(9))),'J1 A - (North) Bishopthorpe Roa'!$A$12:$A$130,"&gt;="&amp;Diagram!$O78,'J1 A - (North) Bishopthorpe Roa'!$A$12:$A$130,"&lt;"&amp;Diagram!$P78)))</f>
        <v>0</v>
      </c>
      <c r="AK78" s="42">
        <f ca="1">IF(OR($I$10="",$O78="",$P78="",$J$36&lt;&gt;"Yes"),0,IF($K$10=0,SUMIFS(INDIRECT(ADDRESS(12,3+18*0+(1),,,"J1 A - (North) Bishopthorpe Roa")&amp;":"&amp;ADDRESS(130,3+18*0+(1))),'J1 A - (North) Bishopthorpe Roa'!$A$12:$A$130,"&gt;="&amp;Diagram!$O78,'J1 A - (North) Bishopthorpe Roa'!$A$12:$A$130,"&lt;"&amp;Diagram!$P78),SUMIFS(INDIRECT(ADDRESS(12,3+18*0+(9),,,"J1 A - (North) Bishopthorpe Roa")&amp;":"&amp;ADDRESS(130,3+18*0+(9))),'J1 A - (North) Bishopthorpe Roa'!$A$12:$A$130,"&gt;="&amp;Diagram!$O78,'J1 A - (North) Bishopthorpe Roa'!$A$12:$A$130,"&lt;"&amp;Diagram!$P78)))</f>
        <v>1</v>
      </c>
      <c r="AL78" s="42">
        <f ca="1">IF(OR($I$10="",$O78="",$P78="",$J$36&lt;&gt;"Yes"),0,IF($K$10=0,SUMIFS(INDIRECT(ADDRESS(12,3+18*1+(1),,,"J1 A - (North) Bishopthorpe Roa")&amp;":"&amp;ADDRESS(130,3+18*1+(1))),'J1 A - (North) Bishopthorpe Roa'!$A$12:$A$130,"&gt;="&amp;Diagram!$O78,'J1 A - (North) Bishopthorpe Roa'!$A$12:$A$130,"&lt;"&amp;Diagram!$P78),SUMIFS(INDIRECT(ADDRESS(12,3+18*1+(9),,,"J1 A - (North) Bishopthorpe Roa")&amp;":"&amp;ADDRESS(130,3+18*1+(9))),'J1 A - (North) Bishopthorpe Roa'!$A$12:$A$130,"&gt;="&amp;Diagram!$O78,'J1 A - (North) Bishopthorpe Roa'!$A$12:$A$130,"&lt;"&amp;Diagram!$P78)))</f>
        <v>3</v>
      </c>
      <c r="AM78" s="42">
        <f ca="1">IF(OR($I$10="",$O78="",$P78="",$J$36&lt;&gt;"Yes"),0,IF($K$10=0,SUMIFS(INDIRECT(ADDRESS(12,3+18*2+(1),,,"J1 A - (North) Bishopthorpe Roa")&amp;":"&amp;ADDRESS(130,3+18*2+(1))),'J1 A - (North) Bishopthorpe Roa'!$A$12:$A$130,"&gt;="&amp;Diagram!$O78,'J1 A - (North) Bishopthorpe Roa'!$A$12:$A$130,"&lt;"&amp;Diagram!$P78),SUMIFS(INDIRECT(ADDRESS(12,3+18*2+(9),,,"J1 A - (North) Bishopthorpe Roa")&amp;":"&amp;ADDRESS(130,3+18*2+(9))),'J1 A - (North) Bishopthorpe Roa'!$A$12:$A$130,"&gt;="&amp;Diagram!$O78,'J1 A - (North) Bishopthorpe Roa'!$A$12:$A$130,"&lt;"&amp;Diagram!$P78)))</f>
        <v>1</v>
      </c>
      <c r="AN78" s="42">
        <f ca="1">IF(OR($I$10="",$O78="",$P78="",$J$36&lt;&gt;"Yes"),0,IF($K$10=0,SUMIFS(INDIRECT(ADDRESS(12,3+18*2+(1),,,"J1 B - Butcher Terrace")&amp;":"&amp;ADDRESS(130,3+18*2+(1))),'J1 B - Butcher Terrace'!$A$12:$A$130,"&gt;="&amp;Diagram!$O78,'J1 B - Butcher Terrace'!$A$12:$A$130,"&lt;"&amp;Diagram!$P78),SUMIFS(INDIRECT(ADDRESS(12,3+18*2+(9),,,"J1 B - Butcher Terrace")&amp;":"&amp;ADDRESS(130,3+18*2+(9))),'J1 B - Butcher Terrace'!$A$12:$A$130,"&gt;="&amp;Diagram!$O78,'J1 B - Butcher Terrace'!$A$12:$A$130,"&lt;"&amp;Diagram!$P78)))</f>
        <v>0</v>
      </c>
      <c r="AO78" s="42">
        <f ca="1">IF(OR($I$10="",$O78="",$P78="",$J$36&lt;&gt;"Yes"),0,IF($K$10=0,SUMIFS(INDIRECT(ADDRESS(12,3+18*3+(1),,,"J1 B - Butcher Terrace")&amp;":"&amp;ADDRESS(130,3+18*3+(1))),'J1 B - Butcher Terrace'!$A$12:$A$130,"&gt;="&amp;Diagram!$O78,'J1 B - Butcher Terrace'!$A$12:$A$130,"&lt;"&amp;Diagram!$P78),SUMIFS(INDIRECT(ADDRESS(12,3+18*3+(9),,,"J1 B - Butcher Terrace")&amp;":"&amp;ADDRESS(130,3+18*3+(9))),'J1 B - Butcher Terrace'!$A$12:$A$130,"&gt;="&amp;Diagram!$O78,'J1 B - Butcher Terrace'!$A$12:$A$130,"&lt;"&amp;Diagram!$P78)))</f>
        <v>0</v>
      </c>
      <c r="AP78" s="42">
        <f ca="1">IF(OR($I$10="",$O78="",$P78="",$J$36&lt;&gt;"Yes"),0,IF($K$10=0,SUMIFS(INDIRECT(ADDRESS(12,3+18*0+(1),,,"J1 B - Butcher Terrace")&amp;":"&amp;ADDRESS(130,3+18*0+(1))),'J1 B - Butcher Terrace'!$A$12:$A$130,"&gt;="&amp;Diagram!$O78,'J1 B - Butcher Terrace'!$A$12:$A$130,"&lt;"&amp;Diagram!$P78),SUMIFS(INDIRECT(ADDRESS(12,3+18*0+(9),,,"J1 B - Butcher Terrace")&amp;":"&amp;ADDRESS(130,3+18*0+(9))),'J1 B - Butcher Terrace'!$A$12:$A$130,"&gt;="&amp;Diagram!$O78,'J1 B - Butcher Terrace'!$A$12:$A$130,"&lt;"&amp;Diagram!$P78)))</f>
        <v>1</v>
      </c>
      <c r="AQ78" s="42">
        <f ca="1">IF(OR($I$10="",$O78="",$P78="",$J$36&lt;&gt;"Yes"),0,IF($K$10=0,SUMIFS(INDIRECT(ADDRESS(12,3+18*1+(1),,,"J1 B - Butcher Terrace")&amp;":"&amp;ADDRESS(130,3+18*1+(1))),'J1 B - Butcher Terrace'!$A$12:$A$130,"&gt;="&amp;Diagram!$O78,'J1 B - Butcher Terrace'!$A$12:$A$130,"&lt;"&amp;Diagram!$P78),SUMIFS(INDIRECT(ADDRESS(12,3+18*1+(9),,,"J1 B - Butcher Terrace")&amp;":"&amp;ADDRESS(130,3+18*1+(9))),'J1 B - Butcher Terrace'!$A$12:$A$130,"&gt;="&amp;Diagram!$O78,'J1 B - Butcher Terrace'!$A$12:$A$130,"&lt;"&amp;Diagram!$P78)))</f>
        <v>0</v>
      </c>
      <c r="AR78" s="42">
        <f ca="1">IF(OR($I$10="",$O78="",$P78="",$J$36&lt;&gt;"Yes"),0,IF($K$10=0,SUMIFS(INDIRECT(ADDRESS(12,3+18*1+(1),,,"J1 C - (South) Bishopthorpe Roa")&amp;":"&amp;ADDRESS(130,3+18*1+(1))),'J1 C - (South) Bishopthorpe Roa'!$A$12:$A$130,"&gt;="&amp;Diagram!$O78,'J1 C - (South) Bishopthorpe Roa'!$A$12:$A$130,"&lt;"&amp;Diagram!$P78),SUMIFS(INDIRECT(ADDRESS(12,3+18*1+(9),,,"J1 C - (South) Bishopthorpe Roa")&amp;":"&amp;ADDRESS(130,3+18*1+(9))),'J1 C - (South) Bishopthorpe Roa'!$A$12:$A$130,"&gt;="&amp;Diagram!$O78,'J1 C - (South) Bishopthorpe Roa'!$A$12:$A$130,"&lt;"&amp;Diagram!$P78)))</f>
        <v>8</v>
      </c>
      <c r="AS78" s="42">
        <f ca="1">IF(OR($I$10="",$O78="",$P78="",$J$36&lt;&gt;"Yes"),0,IF($K$10=0,SUMIFS(INDIRECT(ADDRESS(12,3+18*2+(1),,,"J1 C - (South) Bishopthorpe Roa")&amp;":"&amp;ADDRESS(130,3+18*2+(1))),'J1 C - (South) Bishopthorpe Roa'!$A$12:$A$130,"&gt;="&amp;Diagram!$O78,'J1 C - (South) Bishopthorpe Roa'!$A$12:$A$130,"&lt;"&amp;Diagram!$P78),SUMIFS(INDIRECT(ADDRESS(12,3+18*2+(9),,,"J1 C - (South) Bishopthorpe Roa")&amp;":"&amp;ADDRESS(130,3+18*2+(9))),'J1 C - (South) Bishopthorpe Roa'!$A$12:$A$130,"&gt;="&amp;Diagram!$O78,'J1 C - (South) Bishopthorpe Roa'!$A$12:$A$130,"&lt;"&amp;Diagram!$P78)))</f>
        <v>1</v>
      </c>
      <c r="AT78" s="42">
        <f ca="1">IF(OR($I$10="",$O78="",$P78="",$J$36&lt;&gt;"Yes"),0,IF($K$10=0,SUMIFS(INDIRECT(ADDRESS(12,3+18*3+(1),,,"J1 C - (South) Bishopthorpe Roa")&amp;":"&amp;ADDRESS(130,3+18*3+(1))),'J1 C - (South) Bishopthorpe Roa'!$A$12:$A$130,"&gt;="&amp;Diagram!$O78,'J1 C - (South) Bishopthorpe Roa'!$A$12:$A$130,"&lt;"&amp;Diagram!$P78),SUMIFS(INDIRECT(ADDRESS(12,3+18*3+(9),,,"J1 C - (South) Bishopthorpe Roa")&amp;":"&amp;ADDRESS(130,3+18*3+(9))),'J1 C - (South) Bishopthorpe Roa'!$A$12:$A$130,"&gt;="&amp;Diagram!$O78,'J1 C - (South) Bishopthorpe Roa'!$A$12:$A$130,"&lt;"&amp;Diagram!$P78)))</f>
        <v>0</v>
      </c>
      <c r="AU78" s="42">
        <f ca="1">IF(OR($I$10="",$O78="",$P78="",$J$36&lt;&gt;"Yes"),0,IF($K$10=0,SUMIFS(INDIRECT(ADDRESS(12,3+18*0+(1),,,"J1 C - (South) Bishopthorpe Roa")&amp;":"&amp;ADDRESS(130,3+18*0+(1))),'J1 C - (South) Bishopthorpe Roa'!$A$12:$A$130,"&gt;="&amp;Diagram!$O78,'J1 C - (South) Bishopthorpe Roa'!$A$12:$A$130,"&lt;"&amp;Diagram!$P78),SUMIFS(INDIRECT(ADDRESS(12,3+18*0+(9),,,"J1 C - (South) Bishopthorpe Roa")&amp;":"&amp;ADDRESS(130,3+18*0+(9))),'J1 C - (South) Bishopthorpe Roa'!$A$12:$A$130,"&gt;="&amp;Diagram!$O78,'J1 C - (South) Bishopthorpe Roa'!$A$12:$A$130,"&lt;"&amp;Diagram!$P78)))</f>
        <v>0</v>
      </c>
      <c r="AV78" s="42">
        <f ca="1">IF(OR($I$10="",$O78="",$P78="",$J$36&lt;&gt;"Yes"),0,IF($K$10=0,SUMIFS(INDIRECT(ADDRESS(12,3+18*0+(1),,,"J1 D - South Bank Avenue")&amp;":"&amp;ADDRESS(130,3+18*0+(1))),'J1 D - South Bank Avenue'!$A$12:$A$130,"&gt;="&amp;Diagram!$O78,'J1 D - South Bank Avenue'!$A$12:$A$130,"&lt;"&amp;Diagram!$P78),SUMIFS(INDIRECT(ADDRESS(12,3+18*0+(9),,,"J1 D - South Bank Avenue")&amp;":"&amp;ADDRESS(130,3+18*0+(9))),'J1 D - South Bank Avenue'!$A$12:$A$130,"&gt;="&amp;Diagram!$O78,'J1 D - South Bank Avenue'!$A$12:$A$130,"&lt;"&amp;Diagram!$P78)))</f>
        <v>2</v>
      </c>
      <c r="AW78" s="42">
        <f ca="1">IF(OR($I$10="",$O78="",$P78="",$J$36&lt;&gt;"Yes"),0,IF($K$10=0,SUMIFS(INDIRECT(ADDRESS(12,3+18*1+(1),,,"J1 D - South Bank Avenue")&amp;":"&amp;ADDRESS(130,3+18*1+(1))),'J1 D - South Bank Avenue'!$A$12:$A$130,"&gt;="&amp;Diagram!$O78,'J1 D - South Bank Avenue'!$A$12:$A$130,"&lt;"&amp;Diagram!$P78),SUMIFS(INDIRECT(ADDRESS(12,3+18*1+(9),,,"J1 D - South Bank Avenue")&amp;":"&amp;ADDRESS(130,3+18*1+(9))),'J1 D - South Bank Avenue'!$A$12:$A$130,"&gt;="&amp;Diagram!$O78,'J1 D - South Bank Avenue'!$A$12:$A$130,"&lt;"&amp;Diagram!$P78)))</f>
        <v>0</v>
      </c>
      <c r="AX78" s="42">
        <f ca="1">IF(OR($I$10="",$O78="",$P78="",$J$36&lt;&gt;"Yes"),0,IF($K$10=0,SUMIFS(INDIRECT(ADDRESS(12,3+18*2+(1),,,"J1 D - South Bank Avenue")&amp;":"&amp;ADDRESS(130,3+18*2+(1))),'J1 D - South Bank Avenue'!$A$12:$A$130,"&gt;="&amp;Diagram!$O78,'J1 D - South Bank Avenue'!$A$12:$A$130,"&lt;"&amp;Diagram!$P78),SUMIFS(INDIRECT(ADDRESS(12,3+18*2+(9),,,"J1 D - South Bank Avenue")&amp;":"&amp;ADDRESS(130,3+18*2+(9))),'J1 D - South Bank Avenue'!$A$12:$A$130,"&gt;="&amp;Diagram!$O78,'J1 D - South Bank Avenue'!$A$12:$A$130,"&lt;"&amp;Diagram!$P78)))</f>
        <v>1</v>
      </c>
      <c r="AY78" s="42">
        <f ca="1">IF(OR($I$10="",$O78="",$P78="",$J$36&lt;&gt;"Yes"),0,IF($K$10=0,SUMIFS(INDIRECT(ADDRESS(12,3+18*3+(1),,,"J1 D - South Bank Avenue")&amp;":"&amp;ADDRESS(130,3+18*3+(1))),'J1 D - South Bank Avenue'!$A$12:$A$130,"&gt;="&amp;Diagram!$O78,'J1 D - South Bank Avenue'!$A$12:$A$130,"&lt;"&amp;Diagram!$P78),SUMIFS(INDIRECT(ADDRESS(12,3+18*3+(9),,,"J1 D - South Bank Avenue")&amp;":"&amp;ADDRESS(130,3+18*3+(9))),'J1 D - South Bank Avenue'!$A$12:$A$130,"&gt;="&amp;Diagram!$O78,'J1 D - South Bank Avenue'!$A$12:$A$130,"&lt;"&amp;Diagram!$P78)))</f>
        <v>0</v>
      </c>
      <c r="AZ78" s="42">
        <f t="shared" ca="1" si="13"/>
        <v>0</v>
      </c>
      <c r="BA78" s="42">
        <f ca="1">IF(OR($I$10="",$O78="",$P78="",$J$37&lt;&gt;"Yes"),0,IF($K$10=0,SUMIFS(INDIRECT(ADDRESS(12,3+18*3+(2),,,"J1 A - (North) Bishopthorpe Roa")&amp;":"&amp;ADDRESS(130,3+18*3+(2))),'J1 A - (North) Bishopthorpe Roa'!$A$12:$A$130,"&gt;="&amp;Diagram!$O78,'J1 A - (North) Bishopthorpe Roa'!$A$12:$A$130,"&lt;"&amp;Diagram!$P78),SUMIFS(INDIRECT(ADDRESS(12,3+18*3+(10),,,"J1 A - (North) Bishopthorpe Roa")&amp;":"&amp;ADDRESS(130,3+18*3+(10))),'J1 A - (North) Bishopthorpe Roa'!$A$12:$A$130,"&gt;="&amp;Diagram!$O78,'J1 A - (North) Bishopthorpe Roa'!$A$12:$A$130,"&lt;"&amp;Diagram!$P78)))</f>
        <v>0</v>
      </c>
      <c r="BB78" s="42">
        <f ca="1">IF(OR($I$10="",$O78="",$P78="",$J$37&lt;&gt;"Yes"),0,IF($K$10=0,SUMIFS(INDIRECT(ADDRESS(12,3+18*0+(2),,,"J1 A - (North) Bishopthorpe Roa")&amp;":"&amp;ADDRESS(130,3+18*0+(2))),'J1 A - (North) Bishopthorpe Roa'!$A$12:$A$130,"&gt;="&amp;Diagram!$O78,'J1 A - (North) Bishopthorpe Roa'!$A$12:$A$130,"&lt;"&amp;Diagram!$P78),SUMIFS(INDIRECT(ADDRESS(12,3+18*0+(10),,,"J1 A - (North) Bishopthorpe Roa")&amp;":"&amp;ADDRESS(130,3+18*0+(10))),'J1 A - (North) Bishopthorpe Roa'!$A$12:$A$130,"&gt;="&amp;Diagram!$O78,'J1 A - (North) Bishopthorpe Roa'!$A$12:$A$130,"&lt;"&amp;Diagram!$P78)))</f>
        <v>0</v>
      </c>
      <c r="BC78" s="42">
        <f ca="1">IF(OR($I$10="",$O78="",$P78="",$J$37&lt;&gt;"Yes"),0,IF($K$10=0,SUMIFS(INDIRECT(ADDRESS(12,3+18*1+(2),,,"J1 A - (North) Bishopthorpe Roa")&amp;":"&amp;ADDRESS(130,3+18*1+(2))),'J1 A - (North) Bishopthorpe Roa'!$A$12:$A$130,"&gt;="&amp;Diagram!$O78,'J1 A - (North) Bishopthorpe Roa'!$A$12:$A$130,"&lt;"&amp;Diagram!$P78),SUMIFS(INDIRECT(ADDRESS(12,3+18*1+(10),,,"J1 A - (North) Bishopthorpe Roa")&amp;":"&amp;ADDRESS(130,3+18*1+(10))),'J1 A - (North) Bishopthorpe Roa'!$A$12:$A$130,"&gt;="&amp;Diagram!$O78,'J1 A - (North) Bishopthorpe Roa'!$A$12:$A$130,"&lt;"&amp;Diagram!$P78)))</f>
        <v>0</v>
      </c>
      <c r="BD78" s="42">
        <f ca="1">IF(OR($I$10="",$O78="",$P78="",$J$37&lt;&gt;"Yes"),0,IF($K$10=0,SUMIFS(INDIRECT(ADDRESS(12,3+18*2+(2),,,"J1 A - (North) Bishopthorpe Roa")&amp;":"&amp;ADDRESS(130,3+18*2+(2))),'J1 A - (North) Bishopthorpe Roa'!$A$12:$A$130,"&gt;="&amp;Diagram!$O78,'J1 A - (North) Bishopthorpe Roa'!$A$12:$A$130,"&lt;"&amp;Diagram!$P78),SUMIFS(INDIRECT(ADDRESS(12,3+18*2+(10),,,"J1 A - (North) Bishopthorpe Roa")&amp;":"&amp;ADDRESS(130,3+18*2+(10))),'J1 A - (North) Bishopthorpe Roa'!$A$12:$A$130,"&gt;="&amp;Diagram!$O78,'J1 A - (North) Bishopthorpe Roa'!$A$12:$A$130,"&lt;"&amp;Diagram!$P78)))</f>
        <v>0</v>
      </c>
      <c r="BE78" s="42">
        <f ca="1">IF(OR($I$10="",$O78="",$P78="",$J$37&lt;&gt;"Yes"),0,IF($K$10=0,SUMIFS(INDIRECT(ADDRESS(12,3+18*2+(2),,,"J1 B - Butcher Terrace")&amp;":"&amp;ADDRESS(130,3+18*2+(2))),'J1 B - Butcher Terrace'!$A$12:$A$130,"&gt;="&amp;Diagram!$O78,'J1 B - Butcher Terrace'!$A$12:$A$130,"&lt;"&amp;Diagram!$P78),SUMIFS(INDIRECT(ADDRESS(12,3+18*2+(10),,,"J1 B - Butcher Terrace")&amp;":"&amp;ADDRESS(130,3+18*2+(10))),'J1 B - Butcher Terrace'!$A$12:$A$130,"&gt;="&amp;Diagram!$O78,'J1 B - Butcher Terrace'!$A$12:$A$130,"&lt;"&amp;Diagram!$P78)))</f>
        <v>0</v>
      </c>
      <c r="BF78" s="42">
        <f ca="1">IF(OR($I$10="",$O78="",$P78="",$J$37&lt;&gt;"Yes"),0,IF($K$10=0,SUMIFS(INDIRECT(ADDRESS(12,3+18*3+(2),,,"J1 B - Butcher Terrace")&amp;":"&amp;ADDRESS(130,3+18*3+(2))),'J1 B - Butcher Terrace'!$A$12:$A$130,"&gt;="&amp;Diagram!$O78,'J1 B - Butcher Terrace'!$A$12:$A$130,"&lt;"&amp;Diagram!$P78),SUMIFS(INDIRECT(ADDRESS(12,3+18*3+(10),,,"J1 B - Butcher Terrace")&amp;":"&amp;ADDRESS(130,3+18*3+(10))),'J1 B - Butcher Terrace'!$A$12:$A$130,"&gt;="&amp;Diagram!$O78,'J1 B - Butcher Terrace'!$A$12:$A$130,"&lt;"&amp;Diagram!$P78)))</f>
        <v>0</v>
      </c>
      <c r="BG78" s="42">
        <f ca="1">IF(OR($I$10="",$O78="",$P78="",$J$37&lt;&gt;"Yes"),0,IF($K$10=0,SUMIFS(INDIRECT(ADDRESS(12,3+18*0+(2),,,"J1 B - Butcher Terrace")&amp;":"&amp;ADDRESS(130,3+18*0+(2))),'J1 B - Butcher Terrace'!$A$12:$A$130,"&gt;="&amp;Diagram!$O78,'J1 B - Butcher Terrace'!$A$12:$A$130,"&lt;"&amp;Diagram!$P78),SUMIFS(INDIRECT(ADDRESS(12,3+18*0+(10),,,"J1 B - Butcher Terrace")&amp;":"&amp;ADDRESS(130,3+18*0+(10))),'J1 B - Butcher Terrace'!$A$12:$A$130,"&gt;="&amp;Diagram!$O78,'J1 B - Butcher Terrace'!$A$12:$A$130,"&lt;"&amp;Diagram!$P78)))</f>
        <v>0</v>
      </c>
      <c r="BH78" s="42">
        <f ca="1">IF(OR($I$10="",$O78="",$P78="",$J$37&lt;&gt;"Yes"),0,IF($K$10=0,SUMIFS(INDIRECT(ADDRESS(12,3+18*1+(2),,,"J1 B - Butcher Terrace")&amp;":"&amp;ADDRESS(130,3+18*1+(2))),'J1 B - Butcher Terrace'!$A$12:$A$130,"&gt;="&amp;Diagram!$O78,'J1 B - Butcher Terrace'!$A$12:$A$130,"&lt;"&amp;Diagram!$P78),SUMIFS(INDIRECT(ADDRESS(12,3+18*1+(10),,,"J1 B - Butcher Terrace")&amp;":"&amp;ADDRESS(130,3+18*1+(10))),'J1 B - Butcher Terrace'!$A$12:$A$130,"&gt;="&amp;Diagram!$O78,'J1 B - Butcher Terrace'!$A$12:$A$130,"&lt;"&amp;Diagram!$P78)))</f>
        <v>0</v>
      </c>
      <c r="BI78" s="42">
        <f ca="1">IF(OR($I$10="",$O78="",$P78="",$J$37&lt;&gt;"Yes"),0,IF($K$10=0,SUMIFS(INDIRECT(ADDRESS(12,3+18*1+(2),,,"J1 C - (South) Bishopthorpe Roa")&amp;":"&amp;ADDRESS(130,3+18*1+(2))),'J1 C - (South) Bishopthorpe Roa'!$A$12:$A$130,"&gt;="&amp;Diagram!$O78,'J1 C - (South) Bishopthorpe Roa'!$A$12:$A$130,"&lt;"&amp;Diagram!$P78),SUMIFS(INDIRECT(ADDRESS(12,3+18*1+(10),,,"J1 C - (South) Bishopthorpe Roa")&amp;":"&amp;ADDRESS(130,3+18*1+(10))),'J1 C - (South) Bishopthorpe Roa'!$A$12:$A$130,"&gt;="&amp;Diagram!$O78,'J1 C - (South) Bishopthorpe Roa'!$A$12:$A$130,"&lt;"&amp;Diagram!$P78)))</f>
        <v>0</v>
      </c>
      <c r="BJ78" s="42">
        <f ca="1">IF(OR($I$10="",$O78="",$P78="",$J$37&lt;&gt;"Yes"),0,IF($K$10=0,SUMIFS(INDIRECT(ADDRESS(12,3+18*2+(2),,,"J1 C - (South) Bishopthorpe Roa")&amp;":"&amp;ADDRESS(130,3+18*2+(2))),'J1 C - (South) Bishopthorpe Roa'!$A$12:$A$130,"&gt;="&amp;Diagram!$O78,'J1 C - (South) Bishopthorpe Roa'!$A$12:$A$130,"&lt;"&amp;Diagram!$P78),SUMIFS(INDIRECT(ADDRESS(12,3+18*2+(10),,,"J1 C - (South) Bishopthorpe Roa")&amp;":"&amp;ADDRESS(130,3+18*2+(10))),'J1 C - (South) Bishopthorpe Roa'!$A$12:$A$130,"&gt;="&amp;Diagram!$O78,'J1 C - (South) Bishopthorpe Roa'!$A$12:$A$130,"&lt;"&amp;Diagram!$P78)))</f>
        <v>0</v>
      </c>
      <c r="BK78" s="42">
        <f ca="1">IF(OR($I$10="",$O78="",$P78="",$J$37&lt;&gt;"Yes"),0,IF($K$10=0,SUMIFS(INDIRECT(ADDRESS(12,3+18*3+(2),,,"J1 C - (South) Bishopthorpe Roa")&amp;":"&amp;ADDRESS(130,3+18*3+(2))),'J1 C - (South) Bishopthorpe Roa'!$A$12:$A$130,"&gt;="&amp;Diagram!$O78,'J1 C - (South) Bishopthorpe Roa'!$A$12:$A$130,"&lt;"&amp;Diagram!$P78),SUMIFS(INDIRECT(ADDRESS(12,3+18*3+(10),,,"J1 C - (South) Bishopthorpe Roa")&amp;":"&amp;ADDRESS(130,3+18*3+(10))),'J1 C - (South) Bishopthorpe Roa'!$A$12:$A$130,"&gt;="&amp;Diagram!$O78,'J1 C - (South) Bishopthorpe Roa'!$A$12:$A$130,"&lt;"&amp;Diagram!$P78)))</f>
        <v>0</v>
      </c>
      <c r="BL78" s="42">
        <f ca="1">IF(OR($I$10="",$O78="",$P78="",$J$37&lt;&gt;"Yes"),0,IF($K$10=0,SUMIFS(INDIRECT(ADDRESS(12,3+18*0+(2),,,"J1 C - (South) Bishopthorpe Roa")&amp;":"&amp;ADDRESS(130,3+18*0+(2))),'J1 C - (South) Bishopthorpe Roa'!$A$12:$A$130,"&gt;="&amp;Diagram!$O78,'J1 C - (South) Bishopthorpe Roa'!$A$12:$A$130,"&lt;"&amp;Diagram!$P78),SUMIFS(INDIRECT(ADDRESS(12,3+18*0+(10),,,"J1 C - (South) Bishopthorpe Roa")&amp;":"&amp;ADDRESS(130,3+18*0+(10))),'J1 C - (South) Bishopthorpe Roa'!$A$12:$A$130,"&gt;="&amp;Diagram!$O78,'J1 C - (South) Bishopthorpe Roa'!$A$12:$A$130,"&lt;"&amp;Diagram!$P78)))</f>
        <v>0</v>
      </c>
      <c r="BM78" s="42">
        <f ca="1">IF(OR($I$10="",$O78="",$P78="",$J$37&lt;&gt;"Yes"),0,IF($K$10=0,SUMIFS(INDIRECT(ADDRESS(12,3+18*0+(2),,,"J1 D - South Bank Avenue")&amp;":"&amp;ADDRESS(130,3+18*0+(2))),'J1 D - South Bank Avenue'!$A$12:$A$130,"&gt;="&amp;Diagram!$O78,'J1 D - South Bank Avenue'!$A$12:$A$130,"&lt;"&amp;Diagram!$P78),SUMIFS(INDIRECT(ADDRESS(12,3+18*0+(10),,,"J1 D - South Bank Avenue")&amp;":"&amp;ADDRESS(130,3+18*0+(10))),'J1 D - South Bank Avenue'!$A$12:$A$130,"&gt;="&amp;Diagram!$O78,'J1 D - South Bank Avenue'!$A$12:$A$130,"&lt;"&amp;Diagram!$P78)))</f>
        <v>0</v>
      </c>
      <c r="BN78" s="42">
        <f ca="1">IF(OR($I$10="",$O78="",$P78="",$J$37&lt;&gt;"Yes"),0,IF($K$10=0,SUMIFS(INDIRECT(ADDRESS(12,3+18*1+(2),,,"J1 D - South Bank Avenue")&amp;":"&amp;ADDRESS(130,3+18*1+(2))),'J1 D - South Bank Avenue'!$A$12:$A$130,"&gt;="&amp;Diagram!$O78,'J1 D - South Bank Avenue'!$A$12:$A$130,"&lt;"&amp;Diagram!$P78),SUMIFS(INDIRECT(ADDRESS(12,3+18*1+(10),,,"J1 D - South Bank Avenue")&amp;":"&amp;ADDRESS(130,3+18*1+(10))),'J1 D - South Bank Avenue'!$A$12:$A$130,"&gt;="&amp;Diagram!$O78,'J1 D - South Bank Avenue'!$A$12:$A$130,"&lt;"&amp;Diagram!$P78)))</f>
        <v>0</v>
      </c>
      <c r="BO78" s="42">
        <f ca="1">IF(OR($I$10="",$O78="",$P78="",$J$37&lt;&gt;"Yes"),0,IF($K$10=0,SUMIFS(INDIRECT(ADDRESS(12,3+18*2+(2),,,"J1 D - South Bank Avenue")&amp;":"&amp;ADDRESS(130,3+18*2+(2))),'J1 D - South Bank Avenue'!$A$12:$A$130,"&gt;="&amp;Diagram!$O78,'J1 D - South Bank Avenue'!$A$12:$A$130,"&lt;"&amp;Diagram!$P78),SUMIFS(INDIRECT(ADDRESS(12,3+18*2+(10),,,"J1 D - South Bank Avenue")&amp;":"&amp;ADDRESS(130,3+18*2+(10))),'J1 D - South Bank Avenue'!$A$12:$A$130,"&gt;="&amp;Diagram!$O78,'J1 D - South Bank Avenue'!$A$12:$A$130,"&lt;"&amp;Diagram!$P78)))</f>
        <v>0</v>
      </c>
      <c r="BP78" s="42">
        <f ca="1">IF(OR($I$10="",$O78="",$P78="",$J$37&lt;&gt;"Yes"),0,IF($K$10=0,SUMIFS(INDIRECT(ADDRESS(12,3+18*3+(2),,,"J1 D - South Bank Avenue")&amp;":"&amp;ADDRESS(130,3+18*3+(2))),'J1 D - South Bank Avenue'!$A$12:$A$130,"&gt;="&amp;Diagram!$O78,'J1 D - South Bank Avenue'!$A$12:$A$130,"&lt;"&amp;Diagram!$P78),SUMIFS(INDIRECT(ADDRESS(12,3+18*3+(10),,,"J1 D - South Bank Avenue")&amp;":"&amp;ADDRESS(130,3+18*3+(10))),'J1 D - South Bank Avenue'!$A$12:$A$130,"&gt;="&amp;Diagram!$O78,'J1 D - South Bank Avenue'!$A$12:$A$130,"&lt;"&amp;Diagram!$P78)))</f>
        <v>0</v>
      </c>
      <c r="BQ78" s="42">
        <f t="shared" ca="1" si="14"/>
        <v>0</v>
      </c>
      <c r="BR78" s="42">
        <f ca="1">IF(OR($I$10="",$O78="",$P78="",$J$38&lt;&gt;"Yes"),0,IF($K$10=0,SUMIFS(INDIRECT(ADDRESS(12,3+18*3+(3),,,"J1 A - (North) Bishopthorpe Roa")&amp;":"&amp;ADDRESS(130,3+18*3+(3))),'J1 A - (North) Bishopthorpe Roa'!$A$12:$A$130,"&gt;="&amp;Diagram!$O78,'J1 A - (North) Bishopthorpe Roa'!$A$12:$A$130,"&lt;"&amp;Diagram!$P78),SUMIFS(INDIRECT(ADDRESS(12,3+18*3+(11),,,"J1 A - (North) Bishopthorpe Roa")&amp;":"&amp;ADDRESS(130,3+18*3+(11))),'J1 A - (North) Bishopthorpe Roa'!$A$12:$A$130,"&gt;="&amp;Diagram!$O78,'J1 A - (North) Bishopthorpe Roa'!$A$12:$A$130,"&lt;"&amp;Diagram!$P78)))</f>
        <v>0</v>
      </c>
      <c r="BS78" s="42">
        <f ca="1">IF(OR($I$10="",$O78="",$P78="",$J$38&lt;&gt;"Yes"),0,IF($K$10=0,SUMIFS(INDIRECT(ADDRESS(12,3+18*0+(3),,,"J1 A - (North) Bishopthorpe Roa")&amp;":"&amp;ADDRESS(130,3+18*0+(3))),'J1 A - (North) Bishopthorpe Roa'!$A$12:$A$130,"&gt;="&amp;Diagram!$O78,'J1 A - (North) Bishopthorpe Roa'!$A$12:$A$130,"&lt;"&amp;Diagram!$P78),SUMIFS(INDIRECT(ADDRESS(12,3+18*0+(11),,,"J1 A - (North) Bishopthorpe Roa")&amp;":"&amp;ADDRESS(130,3+18*0+(11))),'J1 A - (North) Bishopthorpe Roa'!$A$12:$A$130,"&gt;="&amp;Diagram!$O78,'J1 A - (North) Bishopthorpe Roa'!$A$12:$A$130,"&lt;"&amp;Diagram!$P78)))</f>
        <v>0</v>
      </c>
      <c r="BT78" s="42">
        <f ca="1">IF(OR($I$10="",$O78="",$P78="",$J$38&lt;&gt;"Yes"),0,IF($K$10=0,SUMIFS(INDIRECT(ADDRESS(12,3+18*1+(3),,,"J1 A - (North) Bishopthorpe Roa")&amp;":"&amp;ADDRESS(130,3+18*1+(3))),'J1 A - (North) Bishopthorpe Roa'!$A$12:$A$130,"&gt;="&amp;Diagram!$O78,'J1 A - (North) Bishopthorpe Roa'!$A$12:$A$130,"&lt;"&amp;Diagram!$P78),SUMIFS(INDIRECT(ADDRESS(12,3+18*1+(11),,,"J1 A - (North) Bishopthorpe Roa")&amp;":"&amp;ADDRESS(130,3+18*1+(11))),'J1 A - (North) Bishopthorpe Roa'!$A$12:$A$130,"&gt;="&amp;Diagram!$O78,'J1 A - (North) Bishopthorpe Roa'!$A$12:$A$130,"&lt;"&amp;Diagram!$P78)))</f>
        <v>0</v>
      </c>
      <c r="BU78" s="42">
        <f ca="1">IF(OR($I$10="",$O78="",$P78="",$J$38&lt;&gt;"Yes"),0,IF($K$10=0,SUMIFS(INDIRECT(ADDRESS(12,3+18*2+(3),,,"J1 A - (North) Bishopthorpe Roa")&amp;":"&amp;ADDRESS(130,3+18*2+(3))),'J1 A - (North) Bishopthorpe Roa'!$A$12:$A$130,"&gt;="&amp;Diagram!$O78,'J1 A - (North) Bishopthorpe Roa'!$A$12:$A$130,"&lt;"&amp;Diagram!$P78),SUMIFS(INDIRECT(ADDRESS(12,3+18*2+(11),,,"J1 A - (North) Bishopthorpe Roa")&amp;":"&amp;ADDRESS(130,3+18*2+(11))),'J1 A - (North) Bishopthorpe Roa'!$A$12:$A$130,"&gt;="&amp;Diagram!$O78,'J1 A - (North) Bishopthorpe Roa'!$A$12:$A$130,"&lt;"&amp;Diagram!$P78)))</f>
        <v>0</v>
      </c>
      <c r="BV78" s="42">
        <f ca="1">IF(OR($I$10="",$O78="",$P78="",$J$38&lt;&gt;"Yes"),0,IF($K$10=0,SUMIFS(INDIRECT(ADDRESS(12,3+18*2+(3),,,"J1 B - Butcher Terrace")&amp;":"&amp;ADDRESS(130,3+18*2+(3))),'J1 B - Butcher Terrace'!$A$12:$A$130,"&gt;="&amp;Diagram!$O78,'J1 B - Butcher Terrace'!$A$12:$A$130,"&lt;"&amp;Diagram!$P78),SUMIFS(INDIRECT(ADDRESS(12,3+18*2+(11),,,"J1 B - Butcher Terrace")&amp;":"&amp;ADDRESS(130,3+18*2+(11))),'J1 B - Butcher Terrace'!$A$12:$A$130,"&gt;="&amp;Diagram!$O78,'J1 B - Butcher Terrace'!$A$12:$A$130,"&lt;"&amp;Diagram!$P78)))</f>
        <v>0</v>
      </c>
      <c r="BW78" s="42">
        <f ca="1">IF(OR($I$10="",$O78="",$P78="",$J$38&lt;&gt;"Yes"),0,IF($K$10=0,SUMIFS(INDIRECT(ADDRESS(12,3+18*3+(3),,,"J1 B - Butcher Terrace")&amp;":"&amp;ADDRESS(130,3+18*3+(3))),'J1 B - Butcher Terrace'!$A$12:$A$130,"&gt;="&amp;Diagram!$O78,'J1 B - Butcher Terrace'!$A$12:$A$130,"&lt;"&amp;Diagram!$P78),SUMIFS(INDIRECT(ADDRESS(12,3+18*3+(11),,,"J1 B - Butcher Terrace")&amp;":"&amp;ADDRESS(130,3+18*3+(11))),'J1 B - Butcher Terrace'!$A$12:$A$130,"&gt;="&amp;Diagram!$O78,'J1 B - Butcher Terrace'!$A$12:$A$130,"&lt;"&amp;Diagram!$P78)))</f>
        <v>0</v>
      </c>
      <c r="BX78" s="42">
        <f ca="1">IF(OR($I$10="",$O78="",$P78="",$J$38&lt;&gt;"Yes"),0,IF($K$10=0,SUMIFS(INDIRECT(ADDRESS(12,3+18*0+(3),,,"J1 B - Butcher Terrace")&amp;":"&amp;ADDRESS(130,3+18*0+(3))),'J1 B - Butcher Terrace'!$A$12:$A$130,"&gt;="&amp;Diagram!$O78,'J1 B - Butcher Terrace'!$A$12:$A$130,"&lt;"&amp;Diagram!$P78),SUMIFS(INDIRECT(ADDRESS(12,3+18*0+(11),,,"J1 B - Butcher Terrace")&amp;":"&amp;ADDRESS(130,3+18*0+(11))),'J1 B - Butcher Terrace'!$A$12:$A$130,"&gt;="&amp;Diagram!$O78,'J1 B - Butcher Terrace'!$A$12:$A$130,"&lt;"&amp;Diagram!$P78)))</f>
        <v>0</v>
      </c>
      <c r="BY78" s="42">
        <f ca="1">IF(OR($I$10="",$O78="",$P78="",$J$38&lt;&gt;"Yes"),0,IF($K$10=0,SUMIFS(INDIRECT(ADDRESS(12,3+18*1+(3),,,"J1 B - Butcher Terrace")&amp;":"&amp;ADDRESS(130,3+18*1+(3))),'J1 B - Butcher Terrace'!$A$12:$A$130,"&gt;="&amp;Diagram!$O78,'J1 B - Butcher Terrace'!$A$12:$A$130,"&lt;"&amp;Diagram!$P78),SUMIFS(INDIRECT(ADDRESS(12,3+18*1+(11),,,"J1 B - Butcher Terrace")&amp;":"&amp;ADDRESS(130,3+18*1+(11))),'J1 B - Butcher Terrace'!$A$12:$A$130,"&gt;="&amp;Diagram!$O78,'J1 B - Butcher Terrace'!$A$12:$A$130,"&lt;"&amp;Diagram!$P78)))</f>
        <v>0</v>
      </c>
      <c r="BZ78" s="42">
        <f ca="1">IF(OR($I$10="",$O78="",$P78="",$J$38&lt;&gt;"Yes"),0,IF($K$10=0,SUMIFS(INDIRECT(ADDRESS(12,3+18*1+(3),,,"J1 C - (South) Bishopthorpe Roa")&amp;":"&amp;ADDRESS(130,3+18*1+(3))),'J1 C - (South) Bishopthorpe Roa'!$A$12:$A$130,"&gt;="&amp;Diagram!$O78,'J1 C - (South) Bishopthorpe Roa'!$A$12:$A$130,"&lt;"&amp;Diagram!$P78),SUMIFS(INDIRECT(ADDRESS(12,3+18*1+(11),,,"J1 C - (South) Bishopthorpe Roa")&amp;":"&amp;ADDRESS(130,3+18*1+(11))),'J1 C - (South) Bishopthorpe Roa'!$A$12:$A$130,"&gt;="&amp;Diagram!$O78,'J1 C - (South) Bishopthorpe Roa'!$A$12:$A$130,"&lt;"&amp;Diagram!$P78)))</f>
        <v>0</v>
      </c>
      <c r="CA78" s="42">
        <f ca="1">IF(OR($I$10="",$O78="",$P78="",$J$38&lt;&gt;"Yes"),0,IF($K$10=0,SUMIFS(INDIRECT(ADDRESS(12,3+18*2+(3),,,"J1 C - (South) Bishopthorpe Roa")&amp;":"&amp;ADDRESS(130,3+18*2+(3))),'J1 C - (South) Bishopthorpe Roa'!$A$12:$A$130,"&gt;="&amp;Diagram!$O78,'J1 C - (South) Bishopthorpe Roa'!$A$12:$A$130,"&lt;"&amp;Diagram!$P78),SUMIFS(INDIRECT(ADDRESS(12,3+18*2+(11),,,"J1 C - (South) Bishopthorpe Roa")&amp;":"&amp;ADDRESS(130,3+18*2+(11))),'J1 C - (South) Bishopthorpe Roa'!$A$12:$A$130,"&gt;="&amp;Diagram!$O78,'J1 C - (South) Bishopthorpe Roa'!$A$12:$A$130,"&lt;"&amp;Diagram!$P78)))</f>
        <v>0</v>
      </c>
      <c r="CB78" s="42">
        <f ca="1">IF(OR($I$10="",$O78="",$P78="",$J$38&lt;&gt;"Yes"),0,IF($K$10=0,SUMIFS(INDIRECT(ADDRESS(12,3+18*3+(3),,,"J1 C - (South) Bishopthorpe Roa")&amp;":"&amp;ADDRESS(130,3+18*3+(3))),'J1 C - (South) Bishopthorpe Roa'!$A$12:$A$130,"&gt;="&amp;Diagram!$O78,'J1 C - (South) Bishopthorpe Roa'!$A$12:$A$130,"&lt;"&amp;Diagram!$P78),SUMIFS(INDIRECT(ADDRESS(12,3+18*3+(11),,,"J1 C - (South) Bishopthorpe Roa")&amp;":"&amp;ADDRESS(130,3+18*3+(11))),'J1 C - (South) Bishopthorpe Roa'!$A$12:$A$130,"&gt;="&amp;Diagram!$O78,'J1 C - (South) Bishopthorpe Roa'!$A$12:$A$130,"&lt;"&amp;Diagram!$P78)))</f>
        <v>0</v>
      </c>
      <c r="CC78" s="42">
        <f ca="1">IF(OR($I$10="",$O78="",$P78="",$J$38&lt;&gt;"Yes"),0,IF($K$10=0,SUMIFS(INDIRECT(ADDRESS(12,3+18*0+(3),,,"J1 C - (South) Bishopthorpe Roa")&amp;":"&amp;ADDRESS(130,3+18*0+(3))),'J1 C - (South) Bishopthorpe Roa'!$A$12:$A$130,"&gt;="&amp;Diagram!$O78,'J1 C - (South) Bishopthorpe Roa'!$A$12:$A$130,"&lt;"&amp;Diagram!$P78),SUMIFS(INDIRECT(ADDRESS(12,3+18*0+(11),,,"J1 C - (South) Bishopthorpe Roa")&amp;":"&amp;ADDRESS(130,3+18*0+(11))),'J1 C - (South) Bishopthorpe Roa'!$A$12:$A$130,"&gt;="&amp;Diagram!$O78,'J1 C - (South) Bishopthorpe Roa'!$A$12:$A$130,"&lt;"&amp;Diagram!$P78)))</f>
        <v>0</v>
      </c>
      <c r="CD78" s="42">
        <f ca="1">IF(OR($I$10="",$O78="",$P78="",$J$38&lt;&gt;"Yes"),0,IF($K$10=0,SUMIFS(INDIRECT(ADDRESS(12,3+18*0+(3),,,"J1 D - South Bank Avenue")&amp;":"&amp;ADDRESS(130,3+18*0+(3))),'J1 D - South Bank Avenue'!$A$12:$A$130,"&gt;="&amp;Diagram!$O78,'J1 D - South Bank Avenue'!$A$12:$A$130,"&lt;"&amp;Diagram!$P78),SUMIFS(INDIRECT(ADDRESS(12,3+18*0+(11),,,"J1 D - South Bank Avenue")&amp;":"&amp;ADDRESS(130,3+18*0+(11))),'J1 D - South Bank Avenue'!$A$12:$A$130,"&gt;="&amp;Diagram!$O78,'J1 D - South Bank Avenue'!$A$12:$A$130,"&lt;"&amp;Diagram!$P78)))</f>
        <v>0</v>
      </c>
      <c r="CE78" s="42">
        <f ca="1">IF(OR($I$10="",$O78="",$P78="",$J$38&lt;&gt;"Yes"),0,IF($K$10=0,SUMIFS(INDIRECT(ADDRESS(12,3+18*1+(3),,,"J1 D - South Bank Avenue")&amp;":"&amp;ADDRESS(130,3+18*1+(3))),'J1 D - South Bank Avenue'!$A$12:$A$130,"&gt;="&amp;Diagram!$O78,'J1 D - South Bank Avenue'!$A$12:$A$130,"&lt;"&amp;Diagram!$P78),SUMIFS(INDIRECT(ADDRESS(12,3+18*1+(11),,,"J1 D - South Bank Avenue")&amp;":"&amp;ADDRESS(130,3+18*1+(11))),'J1 D - South Bank Avenue'!$A$12:$A$130,"&gt;="&amp;Diagram!$O78,'J1 D - South Bank Avenue'!$A$12:$A$130,"&lt;"&amp;Diagram!$P78)))</f>
        <v>0</v>
      </c>
      <c r="CF78" s="42">
        <f ca="1">IF(OR($I$10="",$O78="",$P78="",$J$38&lt;&gt;"Yes"),0,IF($K$10=0,SUMIFS(INDIRECT(ADDRESS(12,3+18*2+(3),,,"J1 D - South Bank Avenue")&amp;":"&amp;ADDRESS(130,3+18*2+(3))),'J1 D - South Bank Avenue'!$A$12:$A$130,"&gt;="&amp;Diagram!$O78,'J1 D - South Bank Avenue'!$A$12:$A$130,"&lt;"&amp;Diagram!$P78),SUMIFS(INDIRECT(ADDRESS(12,3+18*2+(11),,,"J1 D - South Bank Avenue")&amp;":"&amp;ADDRESS(130,3+18*2+(11))),'J1 D - South Bank Avenue'!$A$12:$A$130,"&gt;="&amp;Diagram!$O78,'J1 D - South Bank Avenue'!$A$12:$A$130,"&lt;"&amp;Diagram!$P78)))</f>
        <v>0</v>
      </c>
      <c r="CG78" s="42">
        <f ca="1">IF(OR($I$10="",$O78="",$P78="",$J$38&lt;&gt;"Yes"),0,IF($K$10=0,SUMIFS(INDIRECT(ADDRESS(12,3+18*3+(3),,,"J1 D - South Bank Avenue")&amp;":"&amp;ADDRESS(130,3+18*3+(3))),'J1 D - South Bank Avenue'!$A$12:$A$130,"&gt;="&amp;Diagram!$O78,'J1 D - South Bank Avenue'!$A$12:$A$130,"&lt;"&amp;Diagram!$P78),SUMIFS(INDIRECT(ADDRESS(12,3+18*3+(11),,,"J1 D - South Bank Avenue")&amp;":"&amp;ADDRESS(130,3+18*3+(11))),'J1 D - South Bank Avenue'!$A$12:$A$130,"&gt;="&amp;Diagram!$O78,'J1 D - South Bank Avenue'!$A$12:$A$130,"&lt;"&amp;Diagram!$P78)))</f>
        <v>0</v>
      </c>
      <c r="CH78" s="42">
        <f t="shared" ca="1" si="15"/>
        <v>3</v>
      </c>
      <c r="CI78" s="42">
        <f ca="1">IF(OR($I$10="",$O78="",$P78="",$J$39&lt;&gt;"Yes"),0,IF($K$10=0,SUMIFS(INDIRECT(ADDRESS(12,3+18*3+(4),,,"J1 A - (North) Bishopthorpe Roa")&amp;":"&amp;ADDRESS(130,3+18*3+(4))),'J1 A - (North) Bishopthorpe Roa'!$A$12:$A$130,"&gt;="&amp;Diagram!$O78,'J1 A - (North) Bishopthorpe Roa'!$A$12:$A$130,"&lt;"&amp;Diagram!$P78),SUMIFS(INDIRECT(ADDRESS(12,3+18*3+(12),,,"J1 A - (North) Bishopthorpe Roa")&amp;":"&amp;ADDRESS(130,3+18*3+(12))),'J1 A - (North) Bishopthorpe Roa'!$A$12:$A$130,"&gt;="&amp;Diagram!$O78,'J1 A - (North) Bishopthorpe Roa'!$A$12:$A$130,"&lt;"&amp;Diagram!$P78)))</f>
        <v>0</v>
      </c>
      <c r="CJ78" s="42">
        <f ca="1">IF(OR($I$10="",$O78="",$P78="",$J$39&lt;&gt;"Yes"),0,IF($K$10=0,SUMIFS(INDIRECT(ADDRESS(12,3+18*0+(4),,,"J1 A - (North) Bishopthorpe Roa")&amp;":"&amp;ADDRESS(130,3+18*0+(4))),'J1 A - (North) Bishopthorpe Roa'!$A$12:$A$130,"&gt;="&amp;Diagram!$O78,'J1 A - (North) Bishopthorpe Roa'!$A$12:$A$130,"&lt;"&amp;Diagram!$P78),SUMIFS(INDIRECT(ADDRESS(12,3+18*0+(12),,,"J1 A - (North) Bishopthorpe Roa")&amp;":"&amp;ADDRESS(130,3+18*0+(12))),'J1 A - (North) Bishopthorpe Roa'!$A$12:$A$130,"&gt;="&amp;Diagram!$O78,'J1 A - (North) Bishopthorpe Roa'!$A$12:$A$130,"&lt;"&amp;Diagram!$P78)))</f>
        <v>0</v>
      </c>
      <c r="CK78" s="42">
        <f ca="1">IF(OR($I$10="",$O78="",$P78="",$J$39&lt;&gt;"Yes"),0,IF($K$10=0,SUMIFS(INDIRECT(ADDRESS(12,3+18*1+(4),,,"J1 A - (North) Bishopthorpe Roa")&amp;":"&amp;ADDRESS(130,3+18*1+(4))),'J1 A - (North) Bishopthorpe Roa'!$A$12:$A$130,"&gt;="&amp;Diagram!$O78,'J1 A - (North) Bishopthorpe Roa'!$A$12:$A$130,"&lt;"&amp;Diagram!$P78),SUMIFS(INDIRECT(ADDRESS(12,3+18*1+(12),,,"J1 A - (North) Bishopthorpe Roa")&amp;":"&amp;ADDRESS(130,3+18*1+(12))),'J1 A - (North) Bishopthorpe Roa'!$A$12:$A$130,"&gt;="&amp;Diagram!$O78,'J1 A - (North) Bishopthorpe Roa'!$A$12:$A$130,"&lt;"&amp;Diagram!$P78)))</f>
        <v>1</v>
      </c>
      <c r="CL78" s="42">
        <f ca="1">IF(OR($I$10="",$O78="",$P78="",$J$39&lt;&gt;"Yes"),0,IF($K$10=0,SUMIFS(INDIRECT(ADDRESS(12,3+18*2+(4),,,"J1 A - (North) Bishopthorpe Roa")&amp;":"&amp;ADDRESS(130,3+18*2+(4))),'J1 A - (North) Bishopthorpe Roa'!$A$12:$A$130,"&gt;="&amp;Diagram!$O78,'J1 A - (North) Bishopthorpe Roa'!$A$12:$A$130,"&lt;"&amp;Diagram!$P78),SUMIFS(INDIRECT(ADDRESS(12,3+18*2+(12),,,"J1 A - (North) Bishopthorpe Roa")&amp;":"&amp;ADDRESS(130,3+18*2+(12))),'J1 A - (North) Bishopthorpe Roa'!$A$12:$A$130,"&gt;="&amp;Diagram!$O78,'J1 A - (North) Bishopthorpe Roa'!$A$12:$A$130,"&lt;"&amp;Diagram!$P78)))</f>
        <v>0</v>
      </c>
      <c r="CM78" s="42">
        <f ca="1">IF(OR($I$10="",$O78="",$P78="",$J$39&lt;&gt;"Yes"),0,IF($K$10=0,SUMIFS(INDIRECT(ADDRESS(12,3+18*2+(4),,,"J1 B - Butcher Terrace")&amp;":"&amp;ADDRESS(130,3+18*2+(4))),'J1 B - Butcher Terrace'!$A$12:$A$130,"&gt;="&amp;Diagram!$O78,'J1 B - Butcher Terrace'!$A$12:$A$130,"&lt;"&amp;Diagram!$P78),SUMIFS(INDIRECT(ADDRESS(12,3+18*2+(12),,,"J1 B - Butcher Terrace")&amp;":"&amp;ADDRESS(130,3+18*2+(12))),'J1 B - Butcher Terrace'!$A$12:$A$130,"&gt;="&amp;Diagram!$O78,'J1 B - Butcher Terrace'!$A$12:$A$130,"&lt;"&amp;Diagram!$P78)))</f>
        <v>0</v>
      </c>
      <c r="CN78" s="42">
        <f ca="1">IF(OR($I$10="",$O78="",$P78="",$J$39&lt;&gt;"Yes"),0,IF($K$10=0,SUMIFS(INDIRECT(ADDRESS(12,3+18*3+(4),,,"J1 B - Butcher Terrace")&amp;":"&amp;ADDRESS(130,3+18*3+(4))),'J1 B - Butcher Terrace'!$A$12:$A$130,"&gt;="&amp;Diagram!$O78,'J1 B - Butcher Terrace'!$A$12:$A$130,"&lt;"&amp;Diagram!$P78),SUMIFS(INDIRECT(ADDRESS(12,3+18*3+(12),,,"J1 B - Butcher Terrace")&amp;":"&amp;ADDRESS(130,3+18*3+(12))),'J1 B - Butcher Terrace'!$A$12:$A$130,"&gt;="&amp;Diagram!$O78,'J1 B - Butcher Terrace'!$A$12:$A$130,"&lt;"&amp;Diagram!$P78)))</f>
        <v>0</v>
      </c>
      <c r="CO78" s="42">
        <f ca="1">IF(OR($I$10="",$O78="",$P78="",$J$39&lt;&gt;"Yes"),0,IF($K$10=0,SUMIFS(INDIRECT(ADDRESS(12,3+18*0+(4),,,"J1 B - Butcher Terrace")&amp;":"&amp;ADDRESS(130,3+18*0+(4))),'J1 B - Butcher Terrace'!$A$12:$A$130,"&gt;="&amp;Diagram!$O78,'J1 B - Butcher Terrace'!$A$12:$A$130,"&lt;"&amp;Diagram!$P78),SUMIFS(INDIRECT(ADDRESS(12,3+18*0+(12),,,"J1 B - Butcher Terrace")&amp;":"&amp;ADDRESS(130,3+18*0+(12))),'J1 B - Butcher Terrace'!$A$12:$A$130,"&gt;="&amp;Diagram!$O78,'J1 B - Butcher Terrace'!$A$12:$A$130,"&lt;"&amp;Diagram!$P78)))</f>
        <v>0</v>
      </c>
      <c r="CP78" s="42">
        <f ca="1">IF(OR($I$10="",$O78="",$P78="",$J$39&lt;&gt;"Yes"),0,IF($K$10=0,SUMIFS(INDIRECT(ADDRESS(12,3+18*1+(4),,,"J1 B - Butcher Terrace")&amp;":"&amp;ADDRESS(130,3+18*1+(4))),'J1 B - Butcher Terrace'!$A$12:$A$130,"&gt;="&amp;Diagram!$O78,'J1 B - Butcher Terrace'!$A$12:$A$130,"&lt;"&amp;Diagram!$P78),SUMIFS(INDIRECT(ADDRESS(12,3+18*1+(12),,,"J1 B - Butcher Terrace")&amp;":"&amp;ADDRESS(130,3+18*1+(12))),'J1 B - Butcher Terrace'!$A$12:$A$130,"&gt;="&amp;Diagram!$O78,'J1 B - Butcher Terrace'!$A$12:$A$130,"&lt;"&amp;Diagram!$P78)))</f>
        <v>0</v>
      </c>
      <c r="CQ78" s="42">
        <f ca="1">IF(OR($I$10="",$O78="",$P78="",$J$39&lt;&gt;"Yes"),0,IF($K$10=0,SUMIFS(INDIRECT(ADDRESS(12,3+18*1+(4),,,"J1 C - (South) Bishopthorpe Roa")&amp;":"&amp;ADDRESS(130,3+18*1+(4))),'J1 C - (South) Bishopthorpe Roa'!$A$12:$A$130,"&gt;="&amp;Diagram!$O78,'J1 C - (South) Bishopthorpe Roa'!$A$12:$A$130,"&lt;"&amp;Diagram!$P78),SUMIFS(INDIRECT(ADDRESS(12,3+18*1+(12),,,"J1 C - (South) Bishopthorpe Roa")&amp;":"&amp;ADDRESS(130,3+18*1+(12))),'J1 C - (South) Bishopthorpe Roa'!$A$12:$A$130,"&gt;="&amp;Diagram!$O78,'J1 C - (South) Bishopthorpe Roa'!$A$12:$A$130,"&lt;"&amp;Diagram!$P78)))</f>
        <v>2</v>
      </c>
      <c r="CR78" s="42">
        <f ca="1">IF(OR($I$10="",$O78="",$P78="",$J$39&lt;&gt;"Yes"),0,IF($K$10=0,SUMIFS(INDIRECT(ADDRESS(12,3+18*2+(4),,,"J1 C - (South) Bishopthorpe Roa")&amp;":"&amp;ADDRESS(130,3+18*2+(4))),'J1 C - (South) Bishopthorpe Roa'!$A$12:$A$130,"&gt;="&amp;Diagram!$O78,'J1 C - (South) Bishopthorpe Roa'!$A$12:$A$130,"&lt;"&amp;Diagram!$P78),SUMIFS(INDIRECT(ADDRESS(12,3+18*2+(12),,,"J1 C - (South) Bishopthorpe Roa")&amp;":"&amp;ADDRESS(130,3+18*2+(12))),'J1 C - (South) Bishopthorpe Roa'!$A$12:$A$130,"&gt;="&amp;Diagram!$O78,'J1 C - (South) Bishopthorpe Roa'!$A$12:$A$130,"&lt;"&amp;Diagram!$P78)))</f>
        <v>0</v>
      </c>
      <c r="CS78" s="42">
        <f ca="1">IF(OR($I$10="",$O78="",$P78="",$J$39&lt;&gt;"Yes"),0,IF($K$10=0,SUMIFS(INDIRECT(ADDRESS(12,3+18*3+(4),,,"J1 C - (South) Bishopthorpe Roa")&amp;":"&amp;ADDRESS(130,3+18*3+(4))),'J1 C - (South) Bishopthorpe Roa'!$A$12:$A$130,"&gt;="&amp;Diagram!$O78,'J1 C - (South) Bishopthorpe Roa'!$A$12:$A$130,"&lt;"&amp;Diagram!$P78),SUMIFS(INDIRECT(ADDRESS(12,3+18*3+(12),,,"J1 C - (South) Bishopthorpe Roa")&amp;":"&amp;ADDRESS(130,3+18*3+(12))),'J1 C - (South) Bishopthorpe Roa'!$A$12:$A$130,"&gt;="&amp;Diagram!$O78,'J1 C - (South) Bishopthorpe Roa'!$A$12:$A$130,"&lt;"&amp;Diagram!$P78)))</f>
        <v>0</v>
      </c>
      <c r="CT78" s="42">
        <f ca="1">IF(OR($I$10="",$O78="",$P78="",$J$39&lt;&gt;"Yes"),0,IF($K$10=0,SUMIFS(INDIRECT(ADDRESS(12,3+18*0+(4),,,"J1 C - (South) Bishopthorpe Roa")&amp;":"&amp;ADDRESS(130,3+18*0+(4))),'J1 C - (South) Bishopthorpe Roa'!$A$12:$A$130,"&gt;="&amp;Diagram!$O78,'J1 C - (South) Bishopthorpe Roa'!$A$12:$A$130,"&lt;"&amp;Diagram!$P78),SUMIFS(INDIRECT(ADDRESS(12,3+18*0+(12),,,"J1 C - (South) Bishopthorpe Roa")&amp;":"&amp;ADDRESS(130,3+18*0+(12))),'J1 C - (South) Bishopthorpe Roa'!$A$12:$A$130,"&gt;="&amp;Diagram!$O78,'J1 C - (South) Bishopthorpe Roa'!$A$12:$A$130,"&lt;"&amp;Diagram!$P78)))</f>
        <v>0</v>
      </c>
      <c r="CU78" s="42">
        <f ca="1">IF(OR($I$10="",$O78="",$P78="",$J$39&lt;&gt;"Yes"),0,IF($K$10=0,SUMIFS(INDIRECT(ADDRESS(12,3+18*0+(4),,,"J1 D - South Bank Avenue")&amp;":"&amp;ADDRESS(130,3+18*0+(4))),'J1 D - South Bank Avenue'!$A$12:$A$130,"&gt;="&amp;Diagram!$O78,'J1 D - South Bank Avenue'!$A$12:$A$130,"&lt;"&amp;Diagram!$P78),SUMIFS(INDIRECT(ADDRESS(12,3+18*0+(12),,,"J1 D - South Bank Avenue")&amp;":"&amp;ADDRESS(130,3+18*0+(12))),'J1 D - South Bank Avenue'!$A$12:$A$130,"&gt;="&amp;Diagram!$O78,'J1 D - South Bank Avenue'!$A$12:$A$130,"&lt;"&amp;Diagram!$P78)))</f>
        <v>0</v>
      </c>
      <c r="CV78" s="42">
        <f ca="1">IF(OR($I$10="",$O78="",$P78="",$J$39&lt;&gt;"Yes"),0,IF($K$10=0,SUMIFS(INDIRECT(ADDRESS(12,3+18*1+(4),,,"J1 D - South Bank Avenue")&amp;":"&amp;ADDRESS(130,3+18*1+(4))),'J1 D - South Bank Avenue'!$A$12:$A$130,"&gt;="&amp;Diagram!$O78,'J1 D - South Bank Avenue'!$A$12:$A$130,"&lt;"&amp;Diagram!$P78),SUMIFS(INDIRECT(ADDRESS(12,3+18*1+(12),,,"J1 D - South Bank Avenue")&amp;":"&amp;ADDRESS(130,3+18*1+(12))),'J1 D - South Bank Avenue'!$A$12:$A$130,"&gt;="&amp;Diagram!$O78,'J1 D - South Bank Avenue'!$A$12:$A$130,"&lt;"&amp;Diagram!$P78)))</f>
        <v>0</v>
      </c>
      <c r="CW78" s="42">
        <f ca="1">IF(OR($I$10="",$O78="",$P78="",$J$39&lt;&gt;"Yes"),0,IF($K$10=0,SUMIFS(INDIRECT(ADDRESS(12,3+18*2+(4),,,"J1 D - South Bank Avenue")&amp;":"&amp;ADDRESS(130,3+18*2+(4))),'J1 D - South Bank Avenue'!$A$12:$A$130,"&gt;="&amp;Diagram!$O78,'J1 D - South Bank Avenue'!$A$12:$A$130,"&lt;"&amp;Diagram!$P78),SUMIFS(INDIRECT(ADDRESS(12,3+18*2+(12),,,"J1 D - South Bank Avenue")&amp;":"&amp;ADDRESS(130,3+18*2+(12))),'J1 D - South Bank Avenue'!$A$12:$A$130,"&gt;="&amp;Diagram!$O78,'J1 D - South Bank Avenue'!$A$12:$A$130,"&lt;"&amp;Diagram!$P78)))</f>
        <v>0</v>
      </c>
      <c r="CX78" s="42">
        <f ca="1">IF(OR($I$10="",$O78="",$P78="",$J$39&lt;&gt;"Yes"),0,IF($K$10=0,SUMIFS(INDIRECT(ADDRESS(12,3+18*3+(4),,,"J1 D - South Bank Avenue")&amp;":"&amp;ADDRESS(130,3+18*3+(4))),'J1 D - South Bank Avenue'!$A$12:$A$130,"&gt;="&amp;Diagram!$O78,'J1 D - South Bank Avenue'!$A$12:$A$130,"&lt;"&amp;Diagram!$P78),SUMIFS(INDIRECT(ADDRESS(12,3+18*3+(12),,,"J1 D - South Bank Avenue")&amp;":"&amp;ADDRESS(130,3+18*3+(12))),'J1 D - South Bank Avenue'!$A$12:$A$130,"&gt;="&amp;Diagram!$O78,'J1 D - South Bank Avenue'!$A$12:$A$130,"&lt;"&amp;Diagram!$P78)))</f>
        <v>0</v>
      </c>
      <c r="CY78" s="42">
        <f t="shared" ca="1" si="16"/>
        <v>100</v>
      </c>
      <c r="CZ78" s="42">
        <f ca="1">IF(OR($I$10="",$O78="",$P78="",$J$40&lt;&gt;"Yes"),0,IF($K$10=0,SUMIFS(INDIRECT(ADDRESS(12,3+18*3+(5),,,"J1 A - (North) Bishopthorpe Roa")&amp;":"&amp;ADDRESS(130,3+18*3+(5))),'J1 A - (North) Bishopthorpe Roa'!$A$12:$A$130,"&gt;="&amp;Diagram!$O78,'J1 A - (North) Bishopthorpe Roa'!$A$12:$A$130,"&lt;"&amp;Diagram!$P78),SUMIFS(INDIRECT(ADDRESS(12,3+18*3+(13),,,"J1 A - (North) Bishopthorpe Roa")&amp;":"&amp;ADDRESS(130,3+18*3+(13))),'J1 A - (North) Bishopthorpe Roa'!$A$12:$A$130,"&gt;="&amp;Diagram!$O78,'J1 A - (North) Bishopthorpe Roa'!$A$12:$A$130,"&lt;"&amp;Diagram!$P78)))</f>
        <v>0</v>
      </c>
      <c r="DA78" s="42">
        <f ca="1">IF(OR($I$10="",$O78="",$P78="",$J$40&lt;&gt;"Yes"),0,IF($K$10=0,SUMIFS(INDIRECT(ADDRESS(12,3+18*0+(5),,,"J1 A - (North) Bishopthorpe Roa")&amp;":"&amp;ADDRESS(130,3+18*0+(5))),'J1 A - (North) Bishopthorpe Roa'!$A$12:$A$130,"&gt;="&amp;Diagram!$O78,'J1 A - (North) Bishopthorpe Roa'!$A$12:$A$130,"&lt;"&amp;Diagram!$P78),SUMIFS(INDIRECT(ADDRESS(12,3+18*0+(13),,,"J1 A - (North) Bishopthorpe Roa")&amp;":"&amp;ADDRESS(130,3+18*0+(13))),'J1 A - (North) Bishopthorpe Roa'!$A$12:$A$130,"&gt;="&amp;Diagram!$O78,'J1 A - (North) Bishopthorpe Roa'!$A$12:$A$130,"&lt;"&amp;Diagram!$P78)))</f>
        <v>8</v>
      </c>
      <c r="DB78" s="42">
        <f ca="1">IF(OR($I$10="",$O78="",$P78="",$J$40&lt;&gt;"Yes"),0,IF($K$10=0,SUMIFS(INDIRECT(ADDRESS(12,3+18*1+(5),,,"J1 A - (North) Bishopthorpe Roa")&amp;":"&amp;ADDRESS(130,3+18*1+(5))),'J1 A - (North) Bishopthorpe Roa'!$A$12:$A$130,"&gt;="&amp;Diagram!$O78,'J1 A - (North) Bishopthorpe Roa'!$A$12:$A$130,"&lt;"&amp;Diagram!$P78),SUMIFS(INDIRECT(ADDRESS(12,3+18*1+(13),,,"J1 A - (North) Bishopthorpe Roa")&amp;":"&amp;ADDRESS(130,3+18*1+(13))),'J1 A - (North) Bishopthorpe Roa'!$A$12:$A$130,"&gt;="&amp;Diagram!$O78,'J1 A - (North) Bishopthorpe Roa'!$A$12:$A$130,"&lt;"&amp;Diagram!$P78)))</f>
        <v>11</v>
      </c>
      <c r="DC78" s="42">
        <f ca="1">IF(OR($I$10="",$O78="",$P78="",$J$40&lt;&gt;"Yes"),0,IF($K$10=0,SUMIFS(INDIRECT(ADDRESS(12,3+18*2+(5),,,"J1 A - (North) Bishopthorpe Roa")&amp;":"&amp;ADDRESS(130,3+18*2+(5))),'J1 A - (North) Bishopthorpe Roa'!$A$12:$A$130,"&gt;="&amp;Diagram!$O78,'J1 A - (North) Bishopthorpe Roa'!$A$12:$A$130,"&lt;"&amp;Diagram!$P78),SUMIFS(INDIRECT(ADDRESS(12,3+18*2+(13),,,"J1 A - (North) Bishopthorpe Roa")&amp;":"&amp;ADDRESS(130,3+18*2+(13))),'J1 A - (North) Bishopthorpe Roa'!$A$12:$A$130,"&gt;="&amp;Diagram!$O78,'J1 A - (North) Bishopthorpe Roa'!$A$12:$A$130,"&lt;"&amp;Diagram!$P78)))</f>
        <v>10</v>
      </c>
      <c r="DD78" s="42">
        <f ca="1">IF(OR($I$10="",$O78="",$P78="",$J$40&lt;&gt;"Yes"),0,IF($K$10=0,SUMIFS(INDIRECT(ADDRESS(12,3+18*2+(5),,,"J1 B - Butcher Terrace")&amp;":"&amp;ADDRESS(130,3+18*2+(5))),'J1 B - Butcher Terrace'!$A$12:$A$130,"&gt;="&amp;Diagram!$O78,'J1 B - Butcher Terrace'!$A$12:$A$130,"&lt;"&amp;Diagram!$P78),SUMIFS(INDIRECT(ADDRESS(12,3+18*2+(13),,,"J1 B - Butcher Terrace")&amp;":"&amp;ADDRESS(130,3+18*2+(13))),'J1 B - Butcher Terrace'!$A$12:$A$130,"&gt;="&amp;Diagram!$O78,'J1 B - Butcher Terrace'!$A$12:$A$130,"&lt;"&amp;Diagram!$P78)))</f>
        <v>7</v>
      </c>
      <c r="DE78" s="42">
        <f ca="1">IF(OR($I$10="",$O78="",$P78="",$J$40&lt;&gt;"Yes"),0,IF($K$10=0,SUMIFS(INDIRECT(ADDRESS(12,3+18*3+(5),,,"J1 B - Butcher Terrace")&amp;":"&amp;ADDRESS(130,3+18*3+(5))),'J1 B - Butcher Terrace'!$A$12:$A$130,"&gt;="&amp;Diagram!$O78,'J1 B - Butcher Terrace'!$A$12:$A$130,"&lt;"&amp;Diagram!$P78),SUMIFS(INDIRECT(ADDRESS(12,3+18*3+(13),,,"J1 B - Butcher Terrace")&amp;":"&amp;ADDRESS(130,3+18*3+(13))),'J1 B - Butcher Terrace'!$A$12:$A$130,"&gt;="&amp;Diagram!$O78,'J1 B - Butcher Terrace'!$A$12:$A$130,"&lt;"&amp;Diagram!$P78)))</f>
        <v>0</v>
      </c>
      <c r="DF78" s="42">
        <f ca="1">IF(OR($I$10="",$O78="",$P78="",$J$40&lt;&gt;"Yes"),0,IF($K$10=0,SUMIFS(INDIRECT(ADDRESS(12,3+18*0+(5),,,"J1 B - Butcher Terrace")&amp;":"&amp;ADDRESS(130,3+18*0+(5))),'J1 B - Butcher Terrace'!$A$12:$A$130,"&gt;="&amp;Diagram!$O78,'J1 B - Butcher Terrace'!$A$12:$A$130,"&lt;"&amp;Diagram!$P78),SUMIFS(INDIRECT(ADDRESS(12,3+18*0+(13),,,"J1 B - Butcher Terrace")&amp;":"&amp;ADDRESS(130,3+18*0+(13))),'J1 B - Butcher Terrace'!$A$12:$A$130,"&gt;="&amp;Diagram!$O78,'J1 B - Butcher Terrace'!$A$12:$A$130,"&lt;"&amp;Diagram!$P78)))</f>
        <v>6</v>
      </c>
      <c r="DG78" s="42">
        <f ca="1">IF(OR($I$10="",$O78="",$P78="",$J$40&lt;&gt;"Yes"),0,IF($K$10=0,SUMIFS(INDIRECT(ADDRESS(12,3+18*1+(5),,,"J1 B - Butcher Terrace")&amp;":"&amp;ADDRESS(130,3+18*1+(5))),'J1 B - Butcher Terrace'!$A$12:$A$130,"&gt;="&amp;Diagram!$O78,'J1 B - Butcher Terrace'!$A$12:$A$130,"&lt;"&amp;Diagram!$P78),SUMIFS(INDIRECT(ADDRESS(12,3+18*1+(13),,,"J1 B - Butcher Terrace")&amp;":"&amp;ADDRESS(130,3+18*1+(13))),'J1 B - Butcher Terrace'!$A$12:$A$130,"&gt;="&amp;Diagram!$O78,'J1 B - Butcher Terrace'!$A$12:$A$130,"&lt;"&amp;Diagram!$P78)))</f>
        <v>16</v>
      </c>
      <c r="DH78" s="42">
        <f ca="1">IF(OR($I$10="",$O78="",$P78="",$J$40&lt;&gt;"Yes"),0,IF($K$10=0,SUMIFS(INDIRECT(ADDRESS(12,3+18*1+(5),,,"J1 C - (South) Bishopthorpe Roa")&amp;":"&amp;ADDRESS(130,3+18*1+(5))),'J1 C - (South) Bishopthorpe Roa'!$A$12:$A$130,"&gt;="&amp;Diagram!$O78,'J1 C - (South) Bishopthorpe Roa'!$A$12:$A$130,"&lt;"&amp;Diagram!$P78),SUMIFS(INDIRECT(ADDRESS(12,3+18*1+(13),,,"J1 C - (South) Bishopthorpe Roa")&amp;":"&amp;ADDRESS(130,3+18*1+(13))),'J1 C - (South) Bishopthorpe Roa'!$A$12:$A$130,"&gt;="&amp;Diagram!$O78,'J1 C - (South) Bishopthorpe Roa'!$A$12:$A$130,"&lt;"&amp;Diagram!$P78)))</f>
        <v>13</v>
      </c>
      <c r="DI78" s="42">
        <f ca="1">IF(OR($I$10="",$O78="",$P78="",$J$40&lt;&gt;"Yes"),0,IF($K$10=0,SUMIFS(INDIRECT(ADDRESS(12,3+18*2+(5),,,"J1 C - (South) Bishopthorpe Roa")&amp;":"&amp;ADDRESS(130,3+18*2+(5))),'J1 C - (South) Bishopthorpe Roa'!$A$12:$A$130,"&gt;="&amp;Diagram!$O78,'J1 C - (South) Bishopthorpe Roa'!$A$12:$A$130,"&lt;"&amp;Diagram!$P78),SUMIFS(INDIRECT(ADDRESS(12,3+18*2+(13),,,"J1 C - (South) Bishopthorpe Roa")&amp;":"&amp;ADDRESS(130,3+18*2+(13))),'J1 C - (South) Bishopthorpe Roa'!$A$12:$A$130,"&gt;="&amp;Diagram!$O78,'J1 C - (South) Bishopthorpe Roa'!$A$12:$A$130,"&lt;"&amp;Diagram!$P78)))</f>
        <v>10</v>
      </c>
      <c r="DJ78" s="42">
        <f ca="1">IF(OR($I$10="",$O78="",$P78="",$J$40&lt;&gt;"Yes"),0,IF($K$10=0,SUMIFS(INDIRECT(ADDRESS(12,3+18*3+(5),,,"J1 C - (South) Bishopthorpe Roa")&amp;":"&amp;ADDRESS(130,3+18*3+(5))),'J1 C - (South) Bishopthorpe Roa'!$A$12:$A$130,"&gt;="&amp;Diagram!$O78,'J1 C - (South) Bishopthorpe Roa'!$A$12:$A$130,"&lt;"&amp;Diagram!$P78),SUMIFS(INDIRECT(ADDRESS(12,3+18*3+(13),,,"J1 C - (South) Bishopthorpe Roa")&amp;":"&amp;ADDRESS(130,3+18*3+(13))),'J1 C - (South) Bishopthorpe Roa'!$A$12:$A$130,"&gt;="&amp;Diagram!$O78,'J1 C - (South) Bishopthorpe Roa'!$A$12:$A$130,"&lt;"&amp;Diagram!$P78)))</f>
        <v>0</v>
      </c>
      <c r="DK78" s="42">
        <f ca="1">IF(OR($I$10="",$O78="",$P78="",$J$40&lt;&gt;"Yes"),0,IF($K$10=0,SUMIFS(INDIRECT(ADDRESS(12,3+18*0+(5),,,"J1 C - (South) Bishopthorpe Roa")&amp;":"&amp;ADDRESS(130,3+18*0+(5))),'J1 C - (South) Bishopthorpe Roa'!$A$12:$A$130,"&gt;="&amp;Diagram!$O78,'J1 C - (South) Bishopthorpe Roa'!$A$12:$A$130,"&lt;"&amp;Diagram!$P78),SUMIFS(INDIRECT(ADDRESS(12,3+18*0+(13),,,"J1 C - (South) Bishopthorpe Roa")&amp;":"&amp;ADDRESS(130,3+18*0+(13))),'J1 C - (South) Bishopthorpe Roa'!$A$12:$A$130,"&gt;="&amp;Diagram!$O78,'J1 C - (South) Bishopthorpe Roa'!$A$12:$A$130,"&lt;"&amp;Diagram!$P78)))</f>
        <v>0</v>
      </c>
      <c r="DL78" s="42">
        <f ca="1">IF(OR($I$10="",$O78="",$P78="",$J$40&lt;&gt;"Yes"),0,IF($K$10=0,SUMIFS(INDIRECT(ADDRESS(12,3+18*0+(5),,,"J1 D - South Bank Avenue")&amp;":"&amp;ADDRESS(130,3+18*0+(5))),'J1 D - South Bank Avenue'!$A$12:$A$130,"&gt;="&amp;Diagram!$O78,'J1 D - South Bank Avenue'!$A$12:$A$130,"&lt;"&amp;Diagram!$P78),SUMIFS(INDIRECT(ADDRESS(12,3+18*0+(13),,,"J1 D - South Bank Avenue")&amp;":"&amp;ADDRESS(130,3+18*0+(13))),'J1 D - South Bank Avenue'!$A$12:$A$130,"&gt;="&amp;Diagram!$O78,'J1 D - South Bank Avenue'!$A$12:$A$130,"&lt;"&amp;Diagram!$P78)))</f>
        <v>6</v>
      </c>
      <c r="DM78" s="42">
        <f ca="1">IF(OR($I$10="",$O78="",$P78="",$J$40&lt;&gt;"Yes"),0,IF($K$10=0,SUMIFS(INDIRECT(ADDRESS(12,3+18*1+(5),,,"J1 D - South Bank Avenue")&amp;":"&amp;ADDRESS(130,3+18*1+(5))),'J1 D - South Bank Avenue'!$A$12:$A$130,"&gt;="&amp;Diagram!$O78,'J1 D - South Bank Avenue'!$A$12:$A$130,"&lt;"&amp;Diagram!$P78),SUMIFS(INDIRECT(ADDRESS(12,3+18*1+(13),,,"J1 D - South Bank Avenue")&amp;":"&amp;ADDRESS(130,3+18*1+(13))),'J1 D - South Bank Avenue'!$A$12:$A$130,"&gt;="&amp;Diagram!$O78,'J1 D - South Bank Avenue'!$A$12:$A$130,"&lt;"&amp;Diagram!$P78)))</f>
        <v>11</v>
      </c>
      <c r="DN78" s="42">
        <f ca="1">IF(OR($I$10="",$O78="",$P78="",$J$40&lt;&gt;"Yes"),0,IF($K$10=0,SUMIFS(INDIRECT(ADDRESS(12,3+18*2+(5),,,"J1 D - South Bank Avenue")&amp;":"&amp;ADDRESS(130,3+18*2+(5))),'J1 D - South Bank Avenue'!$A$12:$A$130,"&gt;="&amp;Diagram!$O78,'J1 D - South Bank Avenue'!$A$12:$A$130,"&lt;"&amp;Diagram!$P78),SUMIFS(INDIRECT(ADDRESS(12,3+18*2+(13),,,"J1 D - South Bank Avenue")&amp;":"&amp;ADDRESS(130,3+18*2+(13))),'J1 D - South Bank Avenue'!$A$12:$A$130,"&gt;="&amp;Diagram!$O78,'J1 D - South Bank Avenue'!$A$12:$A$130,"&lt;"&amp;Diagram!$P78)))</f>
        <v>2</v>
      </c>
      <c r="DO78" s="42">
        <f ca="1">IF(OR($I$10="",$O78="",$P78="",$J$40&lt;&gt;"Yes"),0,IF($K$10=0,SUMIFS(INDIRECT(ADDRESS(12,3+18*3+(5),,,"J1 D - South Bank Avenue")&amp;":"&amp;ADDRESS(130,3+18*3+(5))),'J1 D - South Bank Avenue'!$A$12:$A$130,"&gt;="&amp;Diagram!$O78,'J1 D - South Bank Avenue'!$A$12:$A$130,"&lt;"&amp;Diagram!$P78),SUMIFS(INDIRECT(ADDRESS(12,3+18*3+(13),,,"J1 D - South Bank Avenue")&amp;":"&amp;ADDRESS(130,3+18*3+(13))),'J1 D - South Bank Avenue'!$A$12:$A$130,"&gt;="&amp;Diagram!$O78,'J1 D - South Bank Avenue'!$A$12:$A$130,"&lt;"&amp;Diagram!$P78)))</f>
        <v>0</v>
      </c>
      <c r="DP78" s="42">
        <f t="shared" ca="1" si="17"/>
        <v>19</v>
      </c>
      <c r="DQ78" s="42">
        <f ca="1">IF(OR($I$10="",$O78="",$P78="",$J$41&lt;&gt;"Yes"),0,IF($K$10=0,SUMIFS(INDIRECT(ADDRESS(12,3+18*3+(6),,,"J1 A - (North) Bishopthorpe Roa")&amp;":"&amp;ADDRESS(130,3+18*3+(6))),'J1 A - (North) Bishopthorpe Roa'!$A$12:$A$130,"&gt;="&amp;Diagram!$O78,'J1 A - (North) Bishopthorpe Roa'!$A$12:$A$130,"&lt;"&amp;Diagram!$P78),SUMIFS(INDIRECT(ADDRESS(12,3+18*3+(14),,,"J1 A - (North) Bishopthorpe Roa")&amp;":"&amp;ADDRESS(130,3+18*3+(14))),'J1 A - (North) Bishopthorpe Roa'!$A$12:$A$130,"&gt;="&amp;Diagram!$O78,'J1 A - (North) Bishopthorpe Roa'!$A$12:$A$130,"&lt;"&amp;Diagram!$P78)))</f>
        <v>0</v>
      </c>
      <c r="DR78" s="42">
        <f ca="1">IF(OR($I$10="",$O78="",$P78="",$J$41&lt;&gt;"Yes"),0,IF($K$10=0,SUMIFS(INDIRECT(ADDRESS(12,3+18*0+(6),,,"J1 A - (North) Bishopthorpe Roa")&amp;":"&amp;ADDRESS(130,3+18*0+(6))),'J1 A - (North) Bishopthorpe Roa'!$A$12:$A$130,"&gt;="&amp;Diagram!$O78,'J1 A - (North) Bishopthorpe Roa'!$A$12:$A$130,"&lt;"&amp;Diagram!$P78),SUMIFS(INDIRECT(ADDRESS(12,3+18*0+(14),,,"J1 A - (North) Bishopthorpe Roa")&amp;":"&amp;ADDRESS(130,3+18*0+(14))),'J1 A - (North) Bishopthorpe Roa'!$A$12:$A$130,"&gt;="&amp;Diagram!$O78,'J1 A - (North) Bishopthorpe Roa'!$A$12:$A$130,"&lt;"&amp;Diagram!$P78)))</f>
        <v>1</v>
      </c>
      <c r="DS78" s="42">
        <f ca="1">IF(OR($I$10="",$O78="",$P78="",$J$41&lt;&gt;"Yes"),0,IF($K$10=0,SUMIFS(INDIRECT(ADDRESS(12,3+18*1+(6),,,"J1 A - (North) Bishopthorpe Roa")&amp;":"&amp;ADDRESS(130,3+18*1+(6))),'J1 A - (North) Bishopthorpe Roa'!$A$12:$A$130,"&gt;="&amp;Diagram!$O78,'J1 A - (North) Bishopthorpe Roa'!$A$12:$A$130,"&lt;"&amp;Diagram!$P78),SUMIFS(INDIRECT(ADDRESS(12,3+18*1+(14),,,"J1 A - (North) Bishopthorpe Roa")&amp;":"&amp;ADDRESS(130,3+18*1+(14))),'J1 A - (North) Bishopthorpe Roa'!$A$12:$A$130,"&gt;="&amp;Diagram!$O78,'J1 A - (North) Bishopthorpe Roa'!$A$12:$A$130,"&lt;"&amp;Diagram!$P78)))</f>
        <v>7</v>
      </c>
      <c r="DT78" s="42">
        <f ca="1">IF(OR($I$10="",$O78="",$P78="",$J$41&lt;&gt;"Yes"),0,IF($K$10=0,SUMIFS(INDIRECT(ADDRESS(12,3+18*2+(6),,,"J1 A - (North) Bishopthorpe Roa")&amp;":"&amp;ADDRESS(130,3+18*2+(6))),'J1 A - (North) Bishopthorpe Roa'!$A$12:$A$130,"&gt;="&amp;Diagram!$O78,'J1 A - (North) Bishopthorpe Roa'!$A$12:$A$130,"&lt;"&amp;Diagram!$P78),SUMIFS(INDIRECT(ADDRESS(12,3+18*2+(14),,,"J1 A - (North) Bishopthorpe Roa")&amp;":"&amp;ADDRESS(130,3+18*2+(14))),'J1 A - (North) Bishopthorpe Roa'!$A$12:$A$130,"&gt;="&amp;Diagram!$O78,'J1 A - (North) Bishopthorpe Roa'!$A$12:$A$130,"&lt;"&amp;Diagram!$P78)))</f>
        <v>2</v>
      </c>
      <c r="DU78" s="42">
        <f ca="1">IF(OR($I$10="",$O78="",$P78="",$J$41&lt;&gt;"Yes"),0,IF($K$10=0,SUMIFS(INDIRECT(ADDRESS(12,3+18*2+(6),,,"J1 B - Butcher Terrace")&amp;":"&amp;ADDRESS(130,3+18*2+(6))),'J1 B - Butcher Terrace'!$A$12:$A$130,"&gt;="&amp;Diagram!$O78,'J1 B - Butcher Terrace'!$A$12:$A$130,"&lt;"&amp;Diagram!$P78),SUMIFS(INDIRECT(ADDRESS(12,3+18*2+(14),,,"J1 B - Butcher Terrace")&amp;":"&amp;ADDRESS(130,3+18*2+(14))),'J1 B - Butcher Terrace'!$A$12:$A$130,"&gt;="&amp;Diagram!$O78,'J1 B - Butcher Terrace'!$A$12:$A$130,"&lt;"&amp;Diagram!$P78)))</f>
        <v>3</v>
      </c>
      <c r="DV78" s="42">
        <f ca="1">IF(OR($I$10="",$O78="",$P78="",$J$41&lt;&gt;"Yes"),0,IF($K$10=0,SUMIFS(INDIRECT(ADDRESS(12,3+18*3+(6),,,"J1 B - Butcher Terrace")&amp;":"&amp;ADDRESS(130,3+18*3+(6))),'J1 B - Butcher Terrace'!$A$12:$A$130,"&gt;="&amp;Diagram!$O78,'J1 B - Butcher Terrace'!$A$12:$A$130,"&lt;"&amp;Diagram!$P78),SUMIFS(INDIRECT(ADDRESS(12,3+18*3+(14),,,"J1 B - Butcher Terrace")&amp;":"&amp;ADDRESS(130,3+18*3+(14))),'J1 B - Butcher Terrace'!$A$12:$A$130,"&gt;="&amp;Diagram!$O78,'J1 B - Butcher Terrace'!$A$12:$A$130,"&lt;"&amp;Diagram!$P78)))</f>
        <v>0</v>
      </c>
      <c r="DW78" s="42">
        <f ca="1">IF(OR($I$10="",$O78="",$P78="",$J$41&lt;&gt;"Yes"),0,IF($K$10=0,SUMIFS(INDIRECT(ADDRESS(12,3+18*0+(6),,,"J1 B - Butcher Terrace")&amp;":"&amp;ADDRESS(130,3+18*0+(6))),'J1 B - Butcher Terrace'!$A$12:$A$130,"&gt;="&amp;Diagram!$O78,'J1 B - Butcher Terrace'!$A$12:$A$130,"&lt;"&amp;Diagram!$P78),SUMIFS(INDIRECT(ADDRESS(12,3+18*0+(14),,,"J1 B - Butcher Terrace")&amp;":"&amp;ADDRESS(130,3+18*0+(14))),'J1 B - Butcher Terrace'!$A$12:$A$130,"&gt;="&amp;Diagram!$O78,'J1 B - Butcher Terrace'!$A$12:$A$130,"&lt;"&amp;Diagram!$P78)))</f>
        <v>1</v>
      </c>
      <c r="DX78" s="42">
        <f ca="1">IF(OR($I$10="",$O78="",$P78="",$J$41&lt;&gt;"Yes"),0,IF($K$10=0,SUMIFS(INDIRECT(ADDRESS(12,3+18*1+(6),,,"J1 B - Butcher Terrace")&amp;":"&amp;ADDRESS(130,3+18*1+(6))),'J1 B - Butcher Terrace'!$A$12:$A$130,"&gt;="&amp;Diagram!$O78,'J1 B - Butcher Terrace'!$A$12:$A$130,"&lt;"&amp;Diagram!$P78),SUMIFS(INDIRECT(ADDRESS(12,3+18*1+(14),,,"J1 B - Butcher Terrace")&amp;":"&amp;ADDRESS(130,3+18*1+(14))),'J1 B - Butcher Terrace'!$A$12:$A$130,"&gt;="&amp;Diagram!$O78,'J1 B - Butcher Terrace'!$A$12:$A$130,"&lt;"&amp;Diagram!$P78)))</f>
        <v>0</v>
      </c>
      <c r="DY78" s="42">
        <f ca="1">IF(OR($I$10="",$O78="",$P78="",$J$41&lt;&gt;"Yes"),0,IF($K$10=0,SUMIFS(INDIRECT(ADDRESS(12,3+18*1+(6),,,"J1 C - (South) Bishopthorpe Roa")&amp;":"&amp;ADDRESS(130,3+18*1+(6))),'J1 C - (South) Bishopthorpe Roa'!$A$12:$A$130,"&gt;="&amp;Diagram!$O78,'J1 C - (South) Bishopthorpe Roa'!$A$12:$A$130,"&lt;"&amp;Diagram!$P78),SUMIFS(INDIRECT(ADDRESS(12,3+18*1+(14),,,"J1 C - (South) Bishopthorpe Roa")&amp;":"&amp;ADDRESS(130,3+18*1+(14))),'J1 C - (South) Bishopthorpe Roa'!$A$12:$A$130,"&gt;="&amp;Diagram!$O78,'J1 C - (South) Bishopthorpe Roa'!$A$12:$A$130,"&lt;"&amp;Diagram!$P78)))</f>
        <v>5</v>
      </c>
      <c r="DZ78" s="42">
        <f ca="1">IF(OR($I$10="",$O78="",$P78="",$J$41&lt;&gt;"Yes"),0,IF($K$10=0,SUMIFS(INDIRECT(ADDRESS(12,3+18*2+(6),,,"J1 C - (South) Bishopthorpe Roa")&amp;":"&amp;ADDRESS(130,3+18*2+(6))),'J1 C - (South) Bishopthorpe Roa'!$A$12:$A$130,"&gt;="&amp;Diagram!$O78,'J1 C - (South) Bishopthorpe Roa'!$A$12:$A$130,"&lt;"&amp;Diagram!$P78),SUMIFS(INDIRECT(ADDRESS(12,3+18*2+(14),,,"J1 C - (South) Bishopthorpe Roa")&amp;":"&amp;ADDRESS(130,3+18*2+(14))),'J1 C - (South) Bishopthorpe Roa'!$A$12:$A$130,"&gt;="&amp;Diagram!$O78,'J1 C - (South) Bishopthorpe Roa'!$A$12:$A$130,"&lt;"&amp;Diagram!$P78)))</f>
        <v>0</v>
      </c>
      <c r="EA78" s="42">
        <f ca="1">IF(OR($I$10="",$O78="",$P78="",$J$41&lt;&gt;"Yes"),0,IF($K$10=0,SUMIFS(INDIRECT(ADDRESS(12,3+18*3+(6),,,"J1 C - (South) Bishopthorpe Roa")&amp;":"&amp;ADDRESS(130,3+18*3+(6))),'J1 C - (South) Bishopthorpe Roa'!$A$12:$A$130,"&gt;="&amp;Diagram!$O78,'J1 C - (South) Bishopthorpe Roa'!$A$12:$A$130,"&lt;"&amp;Diagram!$P78),SUMIFS(INDIRECT(ADDRESS(12,3+18*3+(14),,,"J1 C - (South) Bishopthorpe Roa")&amp;":"&amp;ADDRESS(130,3+18*3+(14))),'J1 C - (South) Bishopthorpe Roa'!$A$12:$A$130,"&gt;="&amp;Diagram!$O78,'J1 C - (South) Bishopthorpe Roa'!$A$12:$A$130,"&lt;"&amp;Diagram!$P78)))</f>
        <v>0</v>
      </c>
      <c r="EB78" s="42">
        <f ca="1">IF(OR($I$10="",$O78="",$P78="",$J$41&lt;&gt;"Yes"),0,IF($K$10=0,SUMIFS(INDIRECT(ADDRESS(12,3+18*0+(6),,,"J1 C - (South) Bishopthorpe Roa")&amp;":"&amp;ADDRESS(130,3+18*0+(6))),'J1 C - (South) Bishopthorpe Roa'!$A$12:$A$130,"&gt;="&amp;Diagram!$O78,'J1 C - (South) Bishopthorpe Roa'!$A$12:$A$130,"&lt;"&amp;Diagram!$P78),SUMIFS(INDIRECT(ADDRESS(12,3+18*0+(14),,,"J1 C - (South) Bishopthorpe Roa")&amp;":"&amp;ADDRESS(130,3+18*0+(14))),'J1 C - (South) Bishopthorpe Roa'!$A$12:$A$130,"&gt;="&amp;Diagram!$O78,'J1 C - (South) Bishopthorpe Roa'!$A$12:$A$130,"&lt;"&amp;Diagram!$P78)))</f>
        <v>0</v>
      </c>
      <c r="EC78" s="42">
        <f ca="1">IF(OR($I$10="",$O78="",$P78="",$J$41&lt;&gt;"Yes"),0,IF($K$10=0,SUMIFS(INDIRECT(ADDRESS(12,3+18*0+(6),,,"J1 D - South Bank Avenue")&amp;":"&amp;ADDRESS(130,3+18*0+(6))),'J1 D - South Bank Avenue'!$A$12:$A$130,"&gt;="&amp;Diagram!$O78,'J1 D - South Bank Avenue'!$A$12:$A$130,"&lt;"&amp;Diagram!$P78),SUMIFS(INDIRECT(ADDRESS(12,3+18*0+(14),,,"J1 D - South Bank Avenue")&amp;":"&amp;ADDRESS(130,3+18*0+(14))),'J1 D - South Bank Avenue'!$A$12:$A$130,"&gt;="&amp;Diagram!$O78,'J1 D - South Bank Avenue'!$A$12:$A$130,"&lt;"&amp;Diagram!$P78)))</f>
        <v>0</v>
      </c>
      <c r="ED78" s="42">
        <f ca="1">IF(OR($I$10="",$O78="",$P78="",$J$41&lt;&gt;"Yes"),0,IF($K$10=0,SUMIFS(INDIRECT(ADDRESS(12,3+18*1+(6),,,"J1 D - South Bank Avenue")&amp;":"&amp;ADDRESS(130,3+18*1+(6))),'J1 D - South Bank Avenue'!$A$12:$A$130,"&gt;="&amp;Diagram!$O78,'J1 D - South Bank Avenue'!$A$12:$A$130,"&lt;"&amp;Diagram!$P78),SUMIFS(INDIRECT(ADDRESS(12,3+18*1+(14),,,"J1 D - South Bank Avenue")&amp;":"&amp;ADDRESS(130,3+18*1+(14))),'J1 D - South Bank Avenue'!$A$12:$A$130,"&gt;="&amp;Diagram!$O78,'J1 D - South Bank Avenue'!$A$12:$A$130,"&lt;"&amp;Diagram!$P78)))</f>
        <v>0</v>
      </c>
      <c r="EE78" s="42">
        <f ca="1">IF(OR($I$10="",$O78="",$P78="",$J$41&lt;&gt;"Yes"),0,IF($K$10=0,SUMIFS(INDIRECT(ADDRESS(12,3+18*2+(6),,,"J1 D - South Bank Avenue")&amp;":"&amp;ADDRESS(130,3+18*2+(6))),'J1 D - South Bank Avenue'!$A$12:$A$130,"&gt;="&amp;Diagram!$O78,'J1 D - South Bank Avenue'!$A$12:$A$130,"&lt;"&amp;Diagram!$P78),SUMIFS(INDIRECT(ADDRESS(12,3+18*2+(14),,,"J1 D - South Bank Avenue")&amp;":"&amp;ADDRESS(130,3+18*2+(14))),'J1 D - South Bank Avenue'!$A$12:$A$130,"&gt;="&amp;Diagram!$O78,'J1 D - South Bank Avenue'!$A$12:$A$130,"&lt;"&amp;Diagram!$P78)))</f>
        <v>0</v>
      </c>
      <c r="EF78" s="42">
        <f ca="1">IF(OR($I$10="",$O78="",$P78="",$J$41&lt;&gt;"Yes"),0,IF($K$10=0,SUMIFS(INDIRECT(ADDRESS(12,3+18*3+(6),,,"J1 D - South Bank Avenue")&amp;":"&amp;ADDRESS(130,3+18*3+(6))),'J1 D - South Bank Avenue'!$A$12:$A$130,"&gt;="&amp;Diagram!$O78,'J1 D - South Bank Avenue'!$A$12:$A$130,"&lt;"&amp;Diagram!$P78),SUMIFS(INDIRECT(ADDRESS(12,3+18*3+(14),,,"J1 D - South Bank Avenue")&amp;":"&amp;ADDRESS(130,3+18*3+(14))),'J1 D - South Bank Avenue'!$A$12:$A$130,"&gt;="&amp;Diagram!$O78,'J1 D - South Bank Avenue'!$A$12:$A$130,"&lt;"&amp;Diagram!$P78)))</f>
        <v>0</v>
      </c>
      <c r="EG78" s="42">
        <f t="shared" ca="1" si="18"/>
        <v>0</v>
      </c>
      <c r="EH78" s="42">
        <f ca="1">IF(OR($I$10="",$O78="",$P78="",$J$42&lt;&gt;"Yes"),0,IF($K$10=0,SUMIFS(INDIRECT(ADDRESS(12,3+18*3+(7),,,"J1 A - (North) Bishopthorpe Roa")&amp;":"&amp;ADDRESS(130,3+18*3+(7))),'J1 A - (North) Bishopthorpe Roa'!$A$12:$A$130,"&gt;="&amp;Diagram!$O78,'J1 A - (North) Bishopthorpe Roa'!$A$12:$A$130,"&lt;"&amp;Diagram!$P78),SUMIFS(INDIRECT(ADDRESS(12,3+18*3+(15),,,"J1 A - (North) Bishopthorpe Roa")&amp;":"&amp;ADDRESS(130,3+18*3+(15))),'J1 A - (North) Bishopthorpe Roa'!$A$12:$A$130,"&gt;="&amp;Diagram!$O78,'J1 A - (North) Bishopthorpe Roa'!$A$12:$A$130,"&lt;"&amp;Diagram!$P78)))</f>
        <v>0</v>
      </c>
      <c r="EI78" s="42">
        <f ca="1">IF(OR($I$10="",$O78="",$P78="",$J$42&lt;&gt;"Yes"),0,IF($K$10=0,SUMIFS(INDIRECT(ADDRESS(12,3+18*0+(7),,,"J1 A - (North) Bishopthorpe Roa")&amp;":"&amp;ADDRESS(130,3+18*0+(7))),'J1 A - (North) Bishopthorpe Roa'!$A$12:$A$130,"&gt;="&amp;Diagram!$O78,'J1 A - (North) Bishopthorpe Roa'!$A$12:$A$130,"&lt;"&amp;Diagram!$P78),SUMIFS(INDIRECT(ADDRESS(12,3+18*0+(15),,,"J1 A - (North) Bishopthorpe Roa")&amp;":"&amp;ADDRESS(130,3+18*0+(15))),'J1 A - (North) Bishopthorpe Roa'!$A$12:$A$130,"&gt;="&amp;Diagram!$O78,'J1 A - (North) Bishopthorpe Roa'!$A$12:$A$130,"&lt;"&amp;Diagram!$P78)))</f>
        <v>0</v>
      </c>
      <c r="EJ78" s="42">
        <f ca="1">IF(OR($I$10="",$O78="",$P78="",$J$42&lt;&gt;"Yes"),0,IF($K$10=0,SUMIFS(INDIRECT(ADDRESS(12,3+18*1+(7),,,"J1 A - (North) Bishopthorpe Roa")&amp;":"&amp;ADDRESS(130,3+18*1+(7))),'J1 A - (North) Bishopthorpe Roa'!$A$12:$A$130,"&gt;="&amp;Diagram!$O78,'J1 A - (North) Bishopthorpe Roa'!$A$12:$A$130,"&lt;"&amp;Diagram!$P78),SUMIFS(INDIRECT(ADDRESS(12,3+18*1+(15),,,"J1 A - (North) Bishopthorpe Roa")&amp;":"&amp;ADDRESS(130,3+18*1+(15))),'J1 A - (North) Bishopthorpe Roa'!$A$12:$A$130,"&gt;="&amp;Diagram!$O78,'J1 A - (North) Bishopthorpe Roa'!$A$12:$A$130,"&lt;"&amp;Diagram!$P78)))</f>
        <v>0</v>
      </c>
      <c r="EK78" s="42">
        <f ca="1">IF(OR($I$10="",$O78="",$P78="",$J$42&lt;&gt;"Yes"),0,IF($K$10=0,SUMIFS(INDIRECT(ADDRESS(12,3+18*2+(7),,,"J1 A - (North) Bishopthorpe Roa")&amp;":"&amp;ADDRESS(130,3+18*2+(7))),'J1 A - (North) Bishopthorpe Roa'!$A$12:$A$130,"&gt;="&amp;Diagram!$O78,'J1 A - (North) Bishopthorpe Roa'!$A$12:$A$130,"&lt;"&amp;Diagram!$P78),SUMIFS(INDIRECT(ADDRESS(12,3+18*2+(15),,,"J1 A - (North) Bishopthorpe Roa")&amp;":"&amp;ADDRESS(130,3+18*2+(15))),'J1 A - (North) Bishopthorpe Roa'!$A$12:$A$130,"&gt;="&amp;Diagram!$O78,'J1 A - (North) Bishopthorpe Roa'!$A$12:$A$130,"&lt;"&amp;Diagram!$P78)))</f>
        <v>0</v>
      </c>
      <c r="EL78" s="42">
        <f ca="1">IF(OR($I$10="",$O78="",$P78="",$J$42&lt;&gt;"Yes"),0,IF($K$10=0,SUMIFS(INDIRECT(ADDRESS(12,3+18*2+(7),,,"J1 B - Butcher Terrace")&amp;":"&amp;ADDRESS(130,3+18*2+(7))),'J1 B - Butcher Terrace'!$A$12:$A$130,"&gt;="&amp;Diagram!$O78,'J1 B - Butcher Terrace'!$A$12:$A$130,"&lt;"&amp;Diagram!$P78),SUMIFS(INDIRECT(ADDRESS(12,3+18*2+(15),,,"J1 B - Butcher Terrace")&amp;":"&amp;ADDRESS(130,3+18*2+(15))),'J1 B - Butcher Terrace'!$A$12:$A$130,"&gt;="&amp;Diagram!$O78,'J1 B - Butcher Terrace'!$A$12:$A$130,"&lt;"&amp;Diagram!$P78)))</f>
        <v>0</v>
      </c>
      <c r="EM78" s="42">
        <f ca="1">IF(OR($I$10="",$O78="",$P78="",$J$42&lt;&gt;"Yes"),0,IF($K$10=0,SUMIFS(INDIRECT(ADDRESS(12,3+18*3+(7),,,"J1 B - Butcher Terrace")&amp;":"&amp;ADDRESS(130,3+18*3+(7))),'J1 B - Butcher Terrace'!$A$12:$A$130,"&gt;="&amp;Diagram!$O78,'J1 B - Butcher Terrace'!$A$12:$A$130,"&lt;"&amp;Diagram!$P78),SUMIFS(INDIRECT(ADDRESS(12,3+18*3+(15),,,"J1 B - Butcher Terrace")&amp;":"&amp;ADDRESS(130,3+18*3+(15))),'J1 B - Butcher Terrace'!$A$12:$A$130,"&gt;="&amp;Diagram!$O78,'J1 B - Butcher Terrace'!$A$12:$A$130,"&lt;"&amp;Diagram!$P78)))</f>
        <v>0</v>
      </c>
      <c r="EN78" s="42">
        <f ca="1">IF(OR($I$10="",$O78="",$P78="",$J$42&lt;&gt;"Yes"),0,IF($K$10=0,SUMIFS(INDIRECT(ADDRESS(12,3+18*0+(7),,,"J1 B - Butcher Terrace")&amp;":"&amp;ADDRESS(130,3+18*0+(7))),'J1 B - Butcher Terrace'!$A$12:$A$130,"&gt;="&amp;Diagram!$O78,'J1 B - Butcher Terrace'!$A$12:$A$130,"&lt;"&amp;Diagram!$P78),SUMIFS(INDIRECT(ADDRESS(12,3+18*0+(15),,,"J1 B - Butcher Terrace")&amp;":"&amp;ADDRESS(130,3+18*0+(15))),'J1 B - Butcher Terrace'!$A$12:$A$130,"&gt;="&amp;Diagram!$O78,'J1 B - Butcher Terrace'!$A$12:$A$130,"&lt;"&amp;Diagram!$P78)))</f>
        <v>0</v>
      </c>
      <c r="EO78" s="42">
        <f ca="1">IF(OR($I$10="",$O78="",$P78="",$J$42&lt;&gt;"Yes"),0,IF($K$10=0,SUMIFS(INDIRECT(ADDRESS(12,3+18*1+(7),,,"J1 B - Butcher Terrace")&amp;":"&amp;ADDRESS(130,3+18*1+(7))),'J1 B - Butcher Terrace'!$A$12:$A$130,"&gt;="&amp;Diagram!$O78,'J1 B - Butcher Terrace'!$A$12:$A$130,"&lt;"&amp;Diagram!$P78),SUMIFS(INDIRECT(ADDRESS(12,3+18*1+(15),,,"J1 B - Butcher Terrace")&amp;":"&amp;ADDRESS(130,3+18*1+(15))),'J1 B - Butcher Terrace'!$A$12:$A$130,"&gt;="&amp;Diagram!$O78,'J1 B - Butcher Terrace'!$A$12:$A$130,"&lt;"&amp;Diagram!$P78)))</f>
        <v>0</v>
      </c>
      <c r="EP78" s="42">
        <f ca="1">IF(OR($I$10="",$O78="",$P78="",$J$42&lt;&gt;"Yes"),0,IF($K$10=0,SUMIFS(INDIRECT(ADDRESS(12,3+18*1+(7),,,"J1 C - (South) Bishopthorpe Roa")&amp;":"&amp;ADDRESS(130,3+18*1+(7))),'J1 C - (South) Bishopthorpe Roa'!$A$12:$A$130,"&gt;="&amp;Diagram!$O78,'J1 C - (South) Bishopthorpe Roa'!$A$12:$A$130,"&lt;"&amp;Diagram!$P78),SUMIFS(INDIRECT(ADDRESS(12,3+18*1+(15),,,"J1 C - (South) Bishopthorpe Roa")&amp;":"&amp;ADDRESS(130,3+18*1+(15))),'J1 C - (South) Bishopthorpe Roa'!$A$12:$A$130,"&gt;="&amp;Diagram!$O78,'J1 C - (South) Bishopthorpe Roa'!$A$12:$A$130,"&lt;"&amp;Diagram!$P78)))</f>
        <v>0</v>
      </c>
      <c r="EQ78" s="42">
        <f ca="1">IF(OR($I$10="",$O78="",$P78="",$J$42&lt;&gt;"Yes"),0,IF($K$10=0,SUMIFS(INDIRECT(ADDRESS(12,3+18*2+(7),,,"J1 C - (South) Bishopthorpe Roa")&amp;":"&amp;ADDRESS(130,3+18*2+(7))),'J1 C - (South) Bishopthorpe Roa'!$A$12:$A$130,"&gt;="&amp;Diagram!$O78,'J1 C - (South) Bishopthorpe Roa'!$A$12:$A$130,"&lt;"&amp;Diagram!$P78),SUMIFS(INDIRECT(ADDRESS(12,3+18*2+(15),,,"J1 C - (South) Bishopthorpe Roa")&amp;":"&amp;ADDRESS(130,3+18*2+(15))),'J1 C - (South) Bishopthorpe Roa'!$A$12:$A$130,"&gt;="&amp;Diagram!$O78,'J1 C - (South) Bishopthorpe Roa'!$A$12:$A$130,"&lt;"&amp;Diagram!$P78)))</f>
        <v>0</v>
      </c>
      <c r="ER78" s="42">
        <f ca="1">IF(OR($I$10="",$O78="",$P78="",$J$42&lt;&gt;"Yes"),0,IF($K$10=0,SUMIFS(INDIRECT(ADDRESS(12,3+18*3+(7),,,"J1 C - (South) Bishopthorpe Roa")&amp;":"&amp;ADDRESS(130,3+18*3+(7))),'J1 C - (South) Bishopthorpe Roa'!$A$12:$A$130,"&gt;="&amp;Diagram!$O78,'J1 C - (South) Bishopthorpe Roa'!$A$12:$A$130,"&lt;"&amp;Diagram!$P78),SUMIFS(INDIRECT(ADDRESS(12,3+18*3+(15),,,"J1 C - (South) Bishopthorpe Roa")&amp;":"&amp;ADDRESS(130,3+18*3+(15))),'J1 C - (South) Bishopthorpe Roa'!$A$12:$A$130,"&gt;="&amp;Diagram!$O78,'J1 C - (South) Bishopthorpe Roa'!$A$12:$A$130,"&lt;"&amp;Diagram!$P78)))</f>
        <v>0</v>
      </c>
      <c r="ES78" s="42">
        <f ca="1">IF(OR($I$10="",$O78="",$P78="",$J$42&lt;&gt;"Yes"),0,IF($K$10=0,SUMIFS(INDIRECT(ADDRESS(12,3+18*0+(7),,,"J1 C - (South) Bishopthorpe Roa")&amp;":"&amp;ADDRESS(130,3+18*0+(7))),'J1 C - (South) Bishopthorpe Roa'!$A$12:$A$130,"&gt;="&amp;Diagram!$O78,'J1 C - (South) Bishopthorpe Roa'!$A$12:$A$130,"&lt;"&amp;Diagram!$P78),SUMIFS(INDIRECT(ADDRESS(12,3+18*0+(15),,,"J1 C - (South) Bishopthorpe Roa")&amp;":"&amp;ADDRESS(130,3+18*0+(15))),'J1 C - (South) Bishopthorpe Roa'!$A$12:$A$130,"&gt;="&amp;Diagram!$O78,'J1 C - (South) Bishopthorpe Roa'!$A$12:$A$130,"&lt;"&amp;Diagram!$P78)))</f>
        <v>0</v>
      </c>
      <c r="ET78" s="42">
        <f ca="1">IF(OR($I$10="",$O78="",$P78="",$J$42&lt;&gt;"Yes"),0,IF($K$10=0,SUMIFS(INDIRECT(ADDRESS(12,3+18*0+(7),,,"J1 D - South Bank Avenue")&amp;":"&amp;ADDRESS(130,3+18*0+(7))),'J1 D - South Bank Avenue'!$A$12:$A$130,"&gt;="&amp;Diagram!$O78,'J1 D - South Bank Avenue'!$A$12:$A$130,"&lt;"&amp;Diagram!$P78),SUMIFS(INDIRECT(ADDRESS(12,3+18*0+(15),,,"J1 D - South Bank Avenue")&amp;":"&amp;ADDRESS(130,3+18*0+(15))),'J1 D - South Bank Avenue'!$A$12:$A$130,"&gt;="&amp;Diagram!$O78,'J1 D - South Bank Avenue'!$A$12:$A$130,"&lt;"&amp;Diagram!$P78)))</f>
        <v>0</v>
      </c>
      <c r="EU78" s="42">
        <f ca="1">IF(OR($I$10="",$O78="",$P78="",$J$42&lt;&gt;"Yes"),0,IF($K$10=0,SUMIFS(INDIRECT(ADDRESS(12,3+18*1+(7),,,"J1 D - South Bank Avenue")&amp;":"&amp;ADDRESS(130,3+18*1+(7))),'J1 D - South Bank Avenue'!$A$12:$A$130,"&gt;="&amp;Diagram!$O78,'J1 D - South Bank Avenue'!$A$12:$A$130,"&lt;"&amp;Diagram!$P78),SUMIFS(INDIRECT(ADDRESS(12,3+18*1+(15),,,"J1 D - South Bank Avenue")&amp;":"&amp;ADDRESS(130,3+18*1+(15))),'J1 D - South Bank Avenue'!$A$12:$A$130,"&gt;="&amp;Diagram!$O78,'J1 D - South Bank Avenue'!$A$12:$A$130,"&lt;"&amp;Diagram!$P78)))</f>
        <v>0</v>
      </c>
      <c r="EV78" s="42">
        <f ca="1">IF(OR($I$10="",$O78="",$P78="",$J$42&lt;&gt;"Yes"),0,IF($K$10=0,SUMIFS(INDIRECT(ADDRESS(12,3+18*2+(7),,,"J1 D - South Bank Avenue")&amp;":"&amp;ADDRESS(130,3+18*2+(7))),'J1 D - South Bank Avenue'!$A$12:$A$130,"&gt;="&amp;Diagram!$O78,'J1 D - South Bank Avenue'!$A$12:$A$130,"&lt;"&amp;Diagram!$P78),SUMIFS(INDIRECT(ADDRESS(12,3+18*2+(15),,,"J1 D - South Bank Avenue")&amp;":"&amp;ADDRESS(130,3+18*2+(15))),'J1 D - South Bank Avenue'!$A$12:$A$130,"&gt;="&amp;Diagram!$O78,'J1 D - South Bank Avenue'!$A$12:$A$130,"&lt;"&amp;Diagram!$P78)))</f>
        <v>0</v>
      </c>
      <c r="EW78" s="42">
        <f ca="1">IF(OR($I$10="",$O78="",$P78="",$J$42&lt;&gt;"Yes"),0,IF($K$10=0,SUMIFS(INDIRECT(ADDRESS(12,3+18*3+(7),,,"J1 D - South Bank Avenue")&amp;":"&amp;ADDRESS(130,3+18*3+(7))),'J1 D - South Bank Avenue'!$A$12:$A$130,"&gt;="&amp;Diagram!$O78,'J1 D - South Bank Avenue'!$A$12:$A$130,"&lt;"&amp;Diagram!$P78),SUMIFS(INDIRECT(ADDRESS(12,3+18*3+(15),,,"J1 D - South Bank Avenue")&amp;":"&amp;ADDRESS(130,3+18*3+(15))),'J1 D - South Bank Avenue'!$A$12:$A$130,"&gt;="&amp;Diagram!$O78,'J1 D - South Bank Avenue'!$A$12:$A$130,"&lt;"&amp;Diagram!$P78)))</f>
        <v>0</v>
      </c>
    </row>
    <row r="79" spans="1:153">
      <c r="A79" s="1">
        <v>44395.8125</v>
      </c>
      <c r="B79" s="1">
        <v>44395.822916666701</v>
      </c>
      <c r="O79" s="3">
        <v>44395.8125</v>
      </c>
      <c r="P79" s="3">
        <v>44395.854166666701</v>
      </c>
      <c r="Q79" s="42">
        <f t="shared" ca="1" si="10"/>
        <v>496</v>
      </c>
      <c r="R79" s="42">
        <f t="shared" ca="1" si="11"/>
        <v>363</v>
      </c>
      <c r="S79" s="42">
        <f ca="1">IF(OR($I$10="",$O79="",$P79="",$J$35&lt;&gt;"Yes"),0,IF($K$10=0,SUMIFS(INDIRECT(ADDRESS(12,3+18*3+(0),,,"J1 A - (North) Bishopthorpe Roa")&amp;":"&amp;ADDRESS(130,3+18*3+(0))),'J1 A - (North) Bishopthorpe Roa'!$A$12:$A$130,"&gt;="&amp;Diagram!$O79,'J1 A - (North) Bishopthorpe Roa'!$A$12:$A$130,"&lt;"&amp;Diagram!$P79),SUMIFS(INDIRECT(ADDRESS(12,3+18*3+(8),,,"J1 A - (North) Bishopthorpe Roa")&amp;":"&amp;ADDRESS(130,3+18*3+(8))),'J1 A - (North) Bishopthorpe Roa'!$A$12:$A$130,"&gt;="&amp;Diagram!$O79,'J1 A - (North) Bishopthorpe Roa'!$A$12:$A$130,"&lt;"&amp;Diagram!$P79)))</f>
        <v>1</v>
      </c>
      <c r="T79" s="42">
        <f ca="1">IF(OR($I$10="",$O79="",$P79="",$J$35&lt;&gt;"Yes"),0,IF($K$10=0,SUMIFS(INDIRECT(ADDRESS(12,3+18*0+(0),,,"J1 A - (North) Bishopthorpe Roa")&amp;":"&amp;ADDRESS(130,3+18*0+(0))),'J1 A - (North) Bishopthorpe Roa'!$A$12:$A$130,"&gt;="&amp;Diagram!$O79,'J1 A - (North) Bishopthorpe Roa'!$A$12:$A$130,"&lt;"&amp;Diagram!$P79),SUMIFS(INDIRECT(ADDRESS(12,3+18*0+(8),,,"J1 A - (North) Bishopthorpe Roa")&amp;":"&amp;ADDRESS(130,3+18*0+(8))),'J1 A - (North) Bishopthorpe Roa'!$A$12:$A$130,"&gt;="&amp;Diagram!$O79,'J1 A - (North) Bishopthorpe Roa'!$A$12:$A$130,"&lt;"&amp;Diagram!$P79)))</f>
        <v>16</v>
      </c>
      <c r="U79" s="42">
        <f ca="1">IF(OR($I$10="",$O79="",$P79="",$J$35&lt;&gt;"Yes"),0,IF($K$10=0,SUMIFS(INDIRECT(ADDRESS(12,3+18*1+(0),,,"J1 A - (North) Bishopthorpe Roa")&amp;":"&amp;ADDRESS(130,3+18*1+(0))),'J1 A - (North) Bishopthorpe Roa'!$A$12:$A$130,"&gt;="&amp;Diagram!$O79,'J1 A - (North) Bishopthorpe Roa'!$A$12:$A$130,"&lt;"&amp;Diagram!$P79),SUMIFS(INDIRECT(ADDRESS(12,3+18*1+(8),,,"J1 A - (North) Bishopthorpe Roa")&amp;":"&amp;ADDRESS(130,3+18*1+(8))),'J1 A - (North) Bishopthorpe Roa'!$A$12:$A$130,"&gt;="&amp;Diagram!$O79,'J1 A - (North) Bishopthorpe Roa'!$A$12:$A$130,"&lt;"&amp;Diagram!$P79)))</f>
        <v>149</v>
      </c>
      <c r="V79" s="42">
        <f ca="1">IF(OR($I$10="",$O79="",$P79="",$J$35&lt;&gt;"Yes"),0,IF($K$10=0,SUMIFS(INDIRECT(ADDRESS(12,3+18*2+(0),,,"J1 A - (North) Bishopthorpe Roa")&amp;":"&amp;ADDRESS(130,3+18*2+(0))),'J1 A - (North) Bishopthorpe Roa'!$A$12:$A$130,"&gt;="&amp;Diagram!$O79,'J1 A - (North) Bishopthorpe Roa'!$A$12:$A$130,"&lt;"&amp;Diagram!$P79),SUMIFS(INDIRECT(ADDRESS(12,3+18*2+(8),,,"J1 A - (North) Bishopthorpe Roa")&amp;":"&amp;ADDRESS(130,3+18*2+(8))),'J1 A - (North) Bishopthorpe Roa'!$A$12:$A$130,"&gt;="&amp;Diagram!$O79,'J1 A - (North) Bishopthorpe Roa'!$A$12:$A$130,"&lt;"&amp;Diagram!$P79)))</f>
        <v>21</v>
      </c>
      <c r="W79" s="42">
        <f ca="1">IF(OR($I$10="",$O79="",$P79="",$J$35&lt;&gt;"Yes"),0,IF($K$10=0,SUMIFS(INDIRECT(ADDRESS(12,3+18*2+(0),,,"J1 B - Butcher Terrace")&amp;":"&amp;ADDRESS(130,3+18*2+(0))),'J1 B - Butcher Terrace'!$A$12:$A$130,"&gt;="&amp;Diagram!$O79,'J1 B - Butcher Terrace'!$A$12:$A$130,"&lt;"&amp;Diagram!$P79),SUMIFS(INDIRECT(ADDRESS(12,3+18*2+(8),,,"J1 B - Butcher Terrace")&amp;":"&amp;ADDRESS(130,3+18*2+(8))),'J1 B - Butcher Terrace'!$A$12:$A$130,"&gt;="&amp;Diagram!$O79,'J1 B - Butcher Terrace'!$A$12:$A$130,"&lt;"&amp;Diagram!$P79)))</f>
        <v>9</v>
      </c>
      <c r="X79" s="42">
        <f ca="1">IF(OR($I$10="",$O79="",$P79="",$J$35&lt;&gt;"Yes"),0,IF($K$10=0,SUMIFS(INDIRECT(ADDRESS(12,3+18*3+(0),,,"J1 B - Butcher Terrace")&amp;":"&amp;ADDRESS(130,3+18*3+(0))),'J1 B - Butcher Terrace'!$A$12:$A$130,"&gt;="&amp;Diagram!$O79,'J1 B - Butcher Terrace'!$A$12:$A$130,"&lt;"&amp;Diagram!$P79),SUMIFS(INDIRECT(ADDRESS(12,3+18*3+(8),,,"J1 B - Butcher Terrace")&amp;":"&amp;ADDRESS(130,3+18*3+(8))),'J1 B - Butcher Terrace'!$A$12:$A$130,"&gt;="&amp;Diagram!$O79,'J1 B - Butcher Terrace'!$A$12:$A$130,"&lt;"&amp;Diagram!$P79)))</f>
        <v>0</v>
      </c>
      <c r="Y79" s="42">
        <f ca="1">IF(OR($I$10="",$O79="",$P79="",$J$35&lt;&gt;"Yes"),0,IF($K$10=0,SUMIFS(INDIRECT(ADDRESS(12,3+18*0+(0),,,"J1 B - Butcher Terrace")&amp;":"&amp;ADDRESS(130,3+18*0+(0))),'J1 B - Butcher Terrace'!$A$12:$A$130,"&gt;="&amp;Diagram!$O79,'J1 B - Butcher Terrace'!$A$12:$A$130,"&lt;"&amp;Diagram!$P79),SUMIFS(INDIRECT(ADDRESS(12,3+18*0+(8),,,"J1 B - Butcher Terrace")&amp;":"&amp;ADDRESS(130,3+18*0+(8))),'J1 B - Butcher Terrace'!$A$12:$A$130,"&gt;="&amp;Diagram!$O79,'J1 B - Butcher Terrace'!$A$12:$A$130,"&lt;"&amp;Diagram!$P79)))</f>
        <v>12</v>
      </c>
      <c r="Z79" s="42">
        <f ca="1">IF(OR($I$10="",$O79="",$P79="",$J$35&lt;&gt;"Yes"),0,IF($K$10=0,SUMIFS(INDIRECT(ADDRESS(12,3+18*1+(0),,,"J1 B - Butcher Terrace")&amp;":"&amp;ADDRESS(130,3+18*1+(0))),'J1 B - Butcher Terrace'!$A$12:$A$130,"&gt;="&amp;Diagram!$O79,'J1 B - Butcher Terrace'!$A$12:$A$130,"&lt;"&amp;Diagram!$P79),SUMIFS(INDIRECT(ADDRESS(12,3+18*1+(8),,,"J1 B - Butcher Terrace")&amp;":"&amp;ADDRESS(130,3+18*1+(8))),'J1 B - Butcher Terrace'!$A$12:$A$130,"&gt;="&amp;Diagram!$O79,'J1 B - Butcher Terrace'!$A$12:$A$130,"&lt;"&amp;Diagram!$P79)))</f>
        <v>0</v>
      </c>
      <c r="AA79" s="42">
        <f ca="1">IF(OR($I$10="",$O79="",$P79="",$J$35&lt;&gt;"Yes"),0,IF($K$10=0,SUMIFS(INDIRECT(ADDRESS(12,3+18*1+(0),,,"J1 C - (South) Bishopthorpe Roa")&amp;":"&amp;ADDRESS(130,3+18*1+(0))),'J1 C - (South) Bishopthorpe Roa'!$A$12:$A$130,"&gt;="&amp;Diagram!$O79,'J1 C - (South) Bishopthorpe Roa'!$A$12:$A$130,"&lt;"&amp;Diagram!$P79),SUMIFS(INDIRECT(ADDRESS(12,3+18*1+(8),,,"J1 C - (South) Bishopthorpe Roa")&amp;":"&amp;ADDRESS(130,3+18*1+(8))),'J1 C - (South) Bishopthorpe Roa'!$A$12:$A$130,"&gt;="&amp;Diagram!$O79,'J1 C - (South) Bishopthorpe Roa'!$A$12:$A$130,"&lt;"&amp;Diagram!$P79)))</f>
        <v>128</v>
      </c>
      <c r="AB79" s="42">
        <f ca="1">IF(OR($I$10="",$O79="",$P79="",$J$35&lt;&gt;"Yes"),0,IF($K$10=0,SUMIFS(INDIRECT(ADDRESS(12,3+18*2+(0),,,"J1 C - (South) Bishopthorpe Roa")&amp;":"&amp;ADDRESS(130,3+18*2+(0))),'J1 C - (South) Bishopthorpe Roa'!$A$12:$A$130,"&gt;="&amp;Diagram!$O79,'J1 C - (South) Bishopthorpe Roa'!$A$12:$A$130,"&lt;"&amp;Diagram!$P79),SUMIFS(INDIRECT(ADDRESS(12,3+18*2+(8),,,"J1 C - (South) Bishopthorpe Roa")&amp;":"&amp;ADDRESS(130,3+18*2+(8))),'J1 C - (South) Bishopthorpe Roa'!$A$12:$A$130,"&gt;="&amp;Diagram!$O79,'J1 C - (South) Bishopthorpe Roa'!$A$12:$A$130,"&lt;"&amp;Diagram!$P79)))</f>
        <v>4</v>
      </c>
      <c r="AC79" s="42">
        <f ca="1">IF(OR($I$10="",$O79="",$P79="",$J$35&lt;&gt;"Yes"),0,IF($K$10=0,SUMIFS(INDIRECT(ADDRESS(12,3+18*3+(0),,,"J1 C - (South) Bishopthorpe Roa")&amp;":"&amp;ADDRESS(130,3+18*3+(0))),'J1 C - (South) Bishopthorpe Roa'!$A$12:$A$130,"&gt;="&amp;Diagram!$O79,'J1 C - (South) Bishopthorpe Roa'!$A$12:$A$130,"&lt;"&amp;Diagram!$P79),SUMIFS(INDIRECT(ADDRESS(12,3+18*3+(8),,,"J1 C - (South) Bishopthorpe Roa")&amp;":"&amp;ADDRESS(130,3+18*3+(8))),'J1 C - (South) Bishopthorpe Roa'!$A$12:$A$130,"&gt;="&amp;Diagram!$O79,'J1 C - (South) Bishopthorpe Roa'!$A$12:$A$130,"&lt;"&amp;Diagram!$P79)))</f>
        <v>0</v>
      </c>
      <c r="AD79" s="42">
        <f ca="1">IF(OR($I$10="",$O79="",$P79="",$J$35&lt;&gt;"Yes"),0,IF($K$10=0,SUMIFS(INDIRECT(ADDRESS(12,3+18*0+(0),,,"J1 C - (South) Bishopthorpe Roa")&amp;":"&amp;ADDRESS(130,3+18*0+(0))),'J1 C - (South) Bishopthorpe Roa'!$A$12:$A$130,"&gt;="&amp;Diagram!$O79,'J1 C - (South) Bishopthorpe Roa'!$A$12:$A$130,"&lt;"&amp;Diagram!$P79),SUMIFS(INDIRECT(ADDRESS(12,3+18*0+(8),,,"J1 C - (South) Bishopthorpe Roa")&amp;":"&amp;ADDRESS(130,3+18*0+(8))),'J1 C - (South) Bishopthorpe Roa'!$A$12:$A$130,"&gt;="&amp;Diagram!$O79,'J1 C - (South) Bishopthorpe Roa'!$A$12:$A$130,"&lt;"&amp;Diagram!$P79)))</f>
        <v>1</v>
      </c>
      <c r="AE79" s="42">
        <f ca="1">IF(OR($I$10="",$O79="",$P79="",$J$35&lt;&gt;"Yes"),0,IF($K$10=0,SUMIFS(INDIRECT(ADDRESS(12,3+18*0+(0),,,"J1 D - South Bank Avenue")&amp;":"&amp;ADDRESS(130,3+18*0+(0))),'J1 D - South Bank Avenue'!$A$12:$A$130,"&gt;="&amp;Diagram!$O79,'J1 D - South Bank Avenue'!$A$12:$A$130,"&lt;"&amp;Diagram!$P79),SUMIFS(INDIRECT(ADDRESS(12,3+18*0+(8),,,"J1 D - South Bank Avenue")&amp;":"&amp;ADDRESS(130,3+18*0+(8))),'J1 D - South Bank Avenue'!$A$12:$A$130,"&gt;="&amp;Diagram!$O79,'J1 D - South Bank Avenue'!$A$12:$A$130,"&lt;"&amp;Diagram!$P79)))</f>
        <v>20</v>
      </c>
      <c r="AF79" s="42">
        <f ca="1">IF(OR($I$10="",$O79="",$P79="",$J$35&lt;&gt;"Yes"),0,IF($K$10=0,SUMIFS(INDIRECT(ADDRESS(12,3+18*1+(0),,,"J1 D - South Bank Avenue")&amp;":"&amp;ADDRESS(130,3+18*1+(0))),'J1 D - South Bank Avenue'!$A$12:$A$130,"&gt;="&amp;Diagram!$O79,'J1 D - South Bank Avenue'!$A$12:$A$130,"&lt;"&amp;Diagram!$P79),SUMIFS(INDIRECT(ADDRESS(12,3+18*1+(8),,,"J1 D - South Bank Avenue")&amp;":"&amp;ADDRESS(130,3+18*1+(8))),'J1 D - South Bank Avenue'!$A$12:$A$130,"&gt;="&amp;Diagram!$O79,'J1 D - South Bank Avenue'!$A$12:$A$130,"&lt;"&amp;Diagram!$P79)))</f>
        <v>1</v>
      </c>
      <c r="AG79" s="42">
        <f ca="1">IF(OR($I$10="",$O79="",$P79="",$J$35&lt;&gt;"Yes"),0,IF($K$10=0,SUMIFS(INDIRECT(ADDRESS(12,3+18*2+(0),,,"J1 D - South Bank Avenue")&amp;":"&amp;ADDRESS(130,3+18*2+(0))),'J1 D - South Bank Avenue'!$A$12:$A$130,"&gt;="&amp;Diagram!$O79,'J1 D - South Bank Avenue'!$A$12:$A$130,"&lt;"&amp;Diagram!$P79),SUMIFS(INDIRECT(ADDRESS(12,3+18*2+(8),,,"J1 D - South Bank Avenue")&amp;":"&amp;ADDRESS(130,3+18*2+(8))),'J1 D - South Bank Avenue'!$A$12:$A$130,"&gt;="&amp;Diagram!$O79,'J1 D - South Bank Avenue'!$A$12:$A$130,"&lt;"&amp;Diagram!$P79)))</f>
        <v>1</v>
      </c>
      <c r="AH79" s="42">
        <f ca="1">IF(OR($I$10="",$O79="",$P79="",$J$35&lt;&gt;"Yes"),0,IF($K$10=0,SUMIFS(INDIRECT(ADDRESS(12,3+18*3+(0),,,"J1 D - South Bank Avenue")&amp;":"&amp;ADDRESS(130,3+18*3+(0))),'J1 D - South Bank Avenue'!$A$12:$A$130,"&gt;="&amp;Diagram!$O79,'J1 D - South Bank Avenue'!$A$12:$A$130,"&lt;"&amp;Diagram!$P79),SUMIFS(INDIRECT(ADDRESS(12,3+18*3+(8),,,"J1 D - South Bank Avenue")&amp;":"&amp;ADDRESS(130,3+18*3+(8))),'J1 D - South Bank Avenue'!$A$12:$A$130,"&gt;="&amp;Diagram!$O79,'J1 D - South Bank Avenue'!$A$12:$A$130,"&lt;"&amp;Diagram!$P79)))</f>
        <v>0</v>
      </c>
      <c r="AI79" s="42">
        <f t="shared" ca="1" si="12"/>
        <v>18</v>
      </c>
      <c r="AJ79" s="42">
        <f ca="1">IF(OR($I$10="",$O79="",$P79="",$J$36&lt;&gt;"Yes"),0,IF($K$10=0,SUMIFS(INDIRECT(ADDRESS(12,3+18*3+(1),,,"J1 A - (North) Bishopthorpe Roa")&amp;":"&amp;ADDRESS(130,3+18*3+(1))),'J1 A - (North) Bishopthorpe Roa'!$A$12:$A$130,"&gt;="&amp;Diagram!$O79,'J1 A - (North) Bishopthorpe Roa'!$A$12:$A$130,"&lt;"&amp;Diagram!$P79),SUMIFS(INDIRECT(ADDRESS(12,3+18*3+(9),,,"J1 A - (North) Bishopthorpe Roa")&amp;":"&amp;ADDRESS(130,3+18*3+(9))),'J1 A - (North) Bishopthorpe Roa'!$A$12:$A$130,"&gt;="&amp;Diagram!$O79,'J1 A - (North) Bishopthorpe Roa'!$A$12:$A$130,"&lt;"&amp;Diagram!$P79)))</f>
        <v>0</v>
      </c>
      <c r="AK79" s="42">
        <f ca="1">IF(OR($I$10="",$O79="",$P79="",$J$36&lt;&gt;"Yes"),0,IF($K$10=0,SUMIFS(INDIRECT(ADDRESS(12,3+18*0+(1),,,"J1 A - (North) Bishopthorpe Roa")&amp;":"&amp;ADDRESS(130,3+18*0+(1))),'J1 A - (North) Bishopthorpe Roa'!$A$12:$A$130,"&gt;="&amp;Diagram!$O79,'J1 A - (North) Bishopthorpe Roa'!$A$12:$A$130,"&lt;"&amp;Diagram!$P79),SUMIFS(INDIRECT(ADDRESS(12,3+18*0+(9),,,"J1 A - (North) Bishopthorpe Roa")&amp;":"&amp;ADDRESS(130,3+18*0+(9))),'J1 A - (North) Bishopthorpe Roa'!$A$12:$A$130,"&gt;="&amp;Diagram!$O79,'J1 A - (North) Bishopthorpe Roa'!$A$12:$A$130,"&lt;"&amp;Diagram!$P79)))</f>
        <v>1</v>
      </c>
      <c r="AL79" s="42">
        <f ca="1">IF(OR($I$10="",$O79="",$P79="",$J$36&lt;&gt;"Yes"),0,IF($K$10=0,SUMIFS(INDIRECT(ADDRESS(12,3+18*1+(1),,,"J1 A - (North) Bishopthorpe Roa")&amp;":"&amp;ADDRESS(130,3+18*1+(1))),'J1 A - (North) Bishopthorpe Roa'!$A$12:$A$130,"&gt;="&amp;Diagram!$O79,'J1 A - (North) Bishopthorpe Roa'!$A$12:$A$130,"&lt;"&amp;Diagram!$P79),SUMIFS(INDIRECT(ADDRESS(12,3+18*1+(9),,,"J1 A - (North) Bishopthorpe Roa")&amp;":"&amp;ADDRESS(130,3+18*1+(9))),'J1 A - (North) Bishopthorpe Roa'!$A$12:$A$130,"&gt;="&amp;Diagram!$O79,'J1 A - (North) Bishopthorpe Roa'!$A$12:$A$130,"&lt;"&amp;Diagram!$P79)))</f>
        <v>3</v>
      </c>
      <c r="AM79" s="42">
        <f ca="1">IF(OR($I$10="",$O79="",$P79="",$J$36&lt;&gt;"Yes"),0,IF($K$10=0,SUMIFS(INDIRECT(ADDRESS(12,3+18*2+(1),,,"J1 A - (North) Bishopthorpe Roa")&amp;":"&amp;ADDRESS(130,3+18*2+(1))),'J1 A - (North) Bishopthorpe Roa'!$A$12:$A$130,"&gt;="&amp;Diagram!$O79,'J1 A - (North) Bishopthorpe Roa'!$A$12:$A$130,"&lt;"&amp;Diagram!$P79),SUMIFS(INDIRECT(ADDRESS(12,3+18*2+(9),,,"J1 A - (North) Bishopthorpe Roa")&amp;":"&amp;ADDRESS(130,3+18*2+(9))),'J1 A - (North) Bishopthorpe Roa'!$A$12:$A$130,"&gt;="&amp;Diagram!$O79,'J1 A - (North) Bishopthorpe Roa'!$A$12:$A$130,"&lt;"&amp;Diagram!$P79)))</f>
        <v>2</v>
      </c>
      <c r="AN79" s="42">
        <f ca="1">IF(OR($I$10="",$O79="",$P79="",$J$36&lt;&gt;"Yes"),0,IF($K$10=0,SUMIFS(INDIRECT(ADDRESS(12,3+18*2+(1),,,"J1 B - Butcher Terrace")&amp;":"&amp;ADDRESS(130,3+18*2+(1))),'J1 B - Butcher Terrace'!$A$12:$A$130,"&gt;="&amp;Diagram!$O79,'J1 B - Butcher Terrace'!$A$12:$A$130,"&lt;"&amp;Diagram!$P79),SUMIFS(INDIRECT(ADDRESS(12,3+18*2+(9),,,"J1 B - Butcher Terrace")&amp;":"&amp;ADDRESS(130,3+18*2+(9))),'J1 B - Butcher Terrace'!$A$12:$A$130,"&gt;="&amp;Diagram!$O79,'J1 B - Butcher Terrace'!$A$12:$A$130,"&lt;"&amp;Diagram!$P79)))</f>
        <v>0</v>
      </c>
      <c r="AO79" s="42">
        <f ca="1">IF(OR($I$10="",$O79="",$P79="",$J$36&lt;&gt;"Yes"),0,IF($K$10=0,SUMIFS(INDIRECT(ADDRESS(12,3+18*3+(1),,,"J1 B - Butcher Terrace")&amp;":"&amp;ADDRESS(130,3+18*3+(1))),'J1 B - Butcher Terrace'!$A$12:$A$130,"&gt;="&amp;Diagram!$O79,'J1 B - Butcher Terrace'!$A$12:$A$130,"&lt;"&amp;Diagram!$P79),SUMIFS(INDIRECT(ADDRESS(12,3+18*3+(9),,,"J1 B - Butcher Terrace")&amp;":"&amp;ADDRESS(130,3+18*3+(9))),'J1 B - Butcher Terrace'!$A$12:$A$130,"&gt;="&amp;Diagram!$O79,'J1 B - Butcher Terrace'!$A$12:$A$130,"&lt;"&amp;Diagram!$P79)))</f>
        <v>0</v>
      </c>
      <c r="AP79" s="42">
        <f ca="1">IF(OR($I$10="",$O79="",$P79="",$J$36&lt;&gt;"Yes"),0,IF($K$10=0,SUMIFS(INDIRECT(ADDRESS(12,3+18*0+(1),,,"J1 B - Butcher Terrace")&amp;":"&amp;ADDRESS(130,3+18*0+(1))),'J1 B - Butcher Terrace'!$A$12:$A$130,"&gt;="&amp;Diagram!$O79,'J1 B - Butcher Terrace'!$A$12:$A$130,"&lt;"&amp;Diagram!$P79),SUMIFS(INDIRECT(ADDRESS(12,3+18*0+(9),,,"J1 B - Butcher Terrace")&amp;":"&amp;ADDRESS(130,3+18*0+(9))),'J1 B - Butcher Terrace'!$A$12:$A$130,"&gt;="&amp;Diagram!$O79,'J1 B - Butcher Terrace'!$A$12:$A$130,"&lt;"&amp;Diagram!$P79)))</f>
        <v>1</v>
      </c>
      <c r="AQ79" s="42">
        <f ca="1">IF(OR($I$10="",$O79="",$P79="",$J$36&lt;&gt;"Yes"),0,IF($K$10=0,SUMIFS(INDIRECT(ADDRESS(12,3+18*1+(1),,,"J1 B - Butcher Terrace")&amp;":"&amp;ADDRESS(130,3+18*1+(1))),'J1 B - Butcher Terrace'!$A$12:$A$130,"&gt;="&amp;Diagram!$O79,'J1 B - Butcher Terrace'!$A$12:$A$130,"&lt;"&amp;Diagram!$P79),SUMIFS(INDIRECT(ADDRESS(12,3+18*1+(9),,,"J1 B - Butcher Terrace")&amp;":"&amp;ADDRESS(130,3+18*1+(9))),'J1 B - Butcher Terrace'!$A$12:$A$130,"&gt;="&amp;Diagram!$O79,'J1 B - Butcher Terrace'!$A$12:$A$130,"&lt;"&amp;Diagram!$P79)))</f>
        <v>0</v>
      </c>
      <c r="AR79" s="42">
        <f ca="1">IF(OR($I$10="",$O79="",$P79="",$J$36&lt;&gt;"Yes"),0,IF($K$10=0,SUMIFS(INDIRECT(ADDRESS(12,3+18*1+(1),,,"J1 C - (South) Bishopthorpe Roa")&amp;":"&amp;ADDRESS(130,3+18*1+(1))),'J1 C - (South) Bishopthorpe Roa'!$A$12:$A$130,"&gt;="&amp;Diagram!$O79,'J1 C - (South) Bishopthorpe Roa'!$A$12:$A$130,"&lt;"&amp;Diagram!$P79),SUMIFS(INDIRECT(ADDRESS(12,3+18*1+(9),,,"J1 C - (South) Bishopthorpe Roa")&amp;":"&amp;ADDRESS(130,3+18*1+(9))),'J1 C - (South) Bishopthorpe Roa'!$A$12:$A$130,"&gt;="&amp;Diagram!$O79,'J1 C - (South) Bishopthorpe Roa'!$A$12:$A$130,"&lt;"&amp;Diagram!$P79)))</f>
        <v>6</v>
      </c>
      <c r="AS79" s="42">
        <f ca="1">IF(OR($I$10="",$O79="",$P79="",$J$36&lt;&gt;"Yes"),0,IF($K$10=0,SUMIFS(INDIRECT(ADDRESS(12,3+18*2+(1),,,"J1 C - (South) Bishopthorpe Roa")&amp;":"&amp;ADDRESS(130,3+18*2+(1))),'J1 C - (South) Bishopthorpe Roa'!$A$12:$A$130,"&gt;="&amp;Diagram!$O79,'J1 C - (South) Bishopthorpe Roa'!$A$12:$A$130,"&lt;"&amp;Diagram!$P79),SUMIFS(INDIRECT(ADDRESS(12,3+18*2+(9),,,"J1 C - (South) Bishopthorpe Roa")&amp;":"&amp;ADDRESS(130,3+18*2+(9))),'J1 C - (South) Bishopthorpe Roa'!$A$12:$A$130,"&gt;="&amp;Diagram!$O79,'J1 C - (South) Bishopthorpe Roa'!$A$12:$A$130,"&lt;"&amp;Diagram!$P79)))</f>
        <v>1</v>
      </c>
      <c r="AT79" s="42">
        <f ca="1">IF(OR($I$10="",$O79="",$P79="",$J$36&lt;&gt;"Yes"),0,IF($K$10=0,SUMIFS(INDIRECT(ADDRESS(12,3+18*3+(1),,,"J1 C - (South) Bishopthorpe Roa")&amp;":"&amp;ADDRESS(130,3+18*3+(1))),'J1 C - (South) Bishopthorpe Roa'!$A$12:$A$130,"&gt;="&amp;Diagram!$O79,'J1 C - (South) Bishopthorpe Roa'!$A$12:$A$130,"&lt;"&amp;Diagram!$P79),SUMIFS(INDIRECT(ADDRESS(12,3+18*3+(9),,,"J1 C - (South) Bishopthorpe Roa")&amp;":"&amp;ADDRESS(130,3+18*3+(9))),'J1 C - (South) Bishopthorpe Roa'!$A$12:$A$130,"&gt;="&amp;Diagram!$O79,'J1 C - (South) Bishopthorpe Roa'!$A$12:$A$130,"&lt;"&amp;Diagram!$P79)))</f>
        <v>0</v>
      </c>
      <c r="AU79" s="42">
        <f ca="1">IF(OR($I$10="",$O79="",$P79="",$J$36&lt;&gt;"Yes"),0,IF($K$10=0,SUMIFS(INDIRECT(ADDRESS(12,3+18*0+(1),,,"J1 C - (South) Bishopthorpe Roa")&amp;":"&amp;ADDRESS(130,3+18*0+(1))),'J1 C - (South) Bishopthorpe Roa'!$A$12:$A$130,"&gt;="&amp;Diagram!$O79,'J1 C - (South) Bishopthorpe Roa'!$A$12:$A$130,"&lt;"&amp;Diagram!$P79),SUMIFS(INDIRECT(ADDRESS(12,3+18*0+(9),,,"J1 C - (South) Bishopthorpe Roa")&amp;":"&amp;ADDRESS(130,3+18*0+(9))),'J1 C - (South) Bishopthorpe Roa'!$A$12:$A$130,"&gt;="&amp;Diagram!$O79,'J1 C - (South) Bishopthorpe Roa'!$A$12:$A$130,"&lt;"&amp;Diagram!$P79)))</f>
        <v>1</v>
      </c>
      <c r="AV79" s="42">
        <f ca="1">IF(OR($I$10="",$O79="",$P79="",$J$36&lt;&gt;"Yes"),0,IF($K$10=0,SUMIFS(INDIRECT(ADDRESS(12,3+18*0+(1),,,"J1 D - South Bank Avenue")&amp;":"&amp;ADDRESS(130,3+18*0+(1))),'J1 D - South Bank Avenue'!$A$12:$A$130,"&gt;="&amp;Diagram!$O79,'J1 D - South Bank Avenue'!$A$12:$A$130,"&lt;"&amp;Diagram!$P79),SUMIFS(INDIRECT(ADDRESS(12,3+18*0+(9),,,"J1 D - South Bank Avenue")&amp;":"&amp;ADDRESS(130,3+18*0+(9))),'J1 D - South Bank Avenue'!$A$12:$A$130,"&gt;="&amp;Diagram!$O79,'J1 D - South Bank Avenue'!$A$12:$A$130,"&lt;"&amp;Diagram!$P79)))</f>
        <v>2</v>
      </c>
      <c r="AW79" s="42">
        <f ca="1">IF(OR($I$10="",$O79="",$P79="",$J$36&lt;&gt;"Yes"),0,IF($K$10=0,SUMIFS(INDIRECT(ADDRESS(12,3+18*1+(1),,,"J1 D - South Bank Avenue")&amp;":"&amp;ADDRESS(130,3+18*1+(1))),'J1 D - South Bank Avenue'!$A$12:$A$130,"&gt;="&amp;Diagram!$O79,'J1 D - South Bank Avenue'!$A$12:$A$130,"&lt;"&amp;Diagram!$P79),SUMIFS(INDIRECT(ADDRESS(12,3+18*1+(9),,,"J1 D - South Bank Avenue")&amp;":"&amp;ADDRESS(130,3+18*1+(9))),'J1 D - South Bank Avenue'!$A$12:$A$130,"&gt;="&amp;Diagram!$O79,'J1 D - South Bank Avenue'!$A$12:$A$130,"&lt;"&amp;Diagram!$P79)))</f>
        <v>0</v>
      </c>
      <c r="AX79" s="42">
        <f ca="1">IF(OR($I$10="",$O79="",$P79="",$J$36&lt;&gt;"Yes"),0,IF($K$10=0,SUMIFS(INDIRECT(ADDRESS(12,3+18*2+(1),,,"J1 D - South Bank Avenue")&amp;":"&amp;ADDRESS(130,3+18*2+(1))),'J1 D - South Bank Avenue'!$A$12:$A$130,"&gt;="&amp;Diagram!$O79,'J1 D - South Bank Avenue'!$A$12:$A$130,"&lt;"&amp;Diagram!$P79),SUMIFS(INDIRECT(ADDRESS(12,3+18*2+(9),,,"J1 D - South Bank Avenue")&amp;":"&amp;ADDRESS(130,3+18*2+(9))),'J1 D - South Bank Avenue'!$A$12:$A$130,"&gt;="&amp;Diagram!$O79,'J1 D - South Bank Avenue'!$A$12:$A$130,"&lt;"&amp;Diagram!$P79)))</f>
        <v>1</v>
      </c>
      <c r="AY79" s="42">
        <f ca="1">IF(OR($I$10="",$O79="",$P79="",$J$36&lt;&gt;"Yes"),0,IF($K$10=0,SUMIFS(INDIRECT(ADDRESS(12,3+18*3+(1),,,"J1 D - South Bank Avenue")&amp;":"&amp;ADDRESS(130,3+18*3+(1))),'J1 D - South Bank Avenue'!$A$12:$A$130,"&gt;="&amp;Diagram!$O79,'J1 D - South Bank Avenue'!$A$12:$A$130,"&lt;"&amp;Diagram!$P79),SUMIFS(INDIRECT(ADDRESS(12,3+18*3+(9),,,"J1 D - South Bank Avenue")&amp;":"&amp;ADDRESS(130,3+18*3+(9))),'J1 D - South Bank Avenue'!$A$12:$A$130,"&gt;="&amp;Diagram!$O79,'J1 D - South Bank Avenue'!$A$12:$A$130,"&lt;"&amp;Diagram!$P79)))</f>
        <v>0</v>
      </c>
      <c r="AZ79" s="42">
        <f t="shared" ca="1" si="13"/>
        <v>0</v>
      </c>
      <c r="BA79" s="42">
        <f ca="1">IF(OR($I$10="",$O79="",$P79="",$J$37&lt;&gt;"Yes"),0,IF($K$10=0,SUMIFS(INDIRECT(ADDRESS(12,3+18*3+(2),,,"J1 A - (North) Bishopthorpe Roa")&amp;":"&amp;ADDRESS(130,3+18*3+(2))),'J1 A - (North) Bishopthorpe Roa'!$A$12:$A$130,"&gt;="&amp;Diagram!$O79,'J1 A - (North) Bishopthorpe Roa'!$A$12:$A$130,"&lt;"&amp;Diagram!$P79),SUMIFS(INDIRECT(ADDRESS(12,3+18*3+(10),,,"J1 A - (North) Bishopthorpe Roa")&amp;":"&amp;ADDRESS(130,3+18*3+(10))),'J1 A - (North) Bishopthorpe Roa'!$A$12:$A$130,"&gt;="&amp;Diagram!$O79,'J1 A - (North) Bishopthorpe Roa'!$A$12:$A$130,"&lt;"&amp;Diagram!$P79)))</f>
        <v>0</v>
      </c>
      <c r="BB79" s="42">
        <f ca="1">IF(OR($I$10="",$O79="",$P79="",$J$37&lt;&gt;"Yes"),0,IF($K$10=0,SUMIFS(INDIRECT(ADDRESS(12,3+18*0+(2),,,"J1 A - (North) Bishopthorpe Roa")&amp;":"&amp;ADDRESS(130,3+18*0+(2))),'J1 A - (North) Bishopthorpe Roa'!$A$12:$A$130,"&gt;="&amp;Diagram!$O79,'J1 A - (North) Bishopthorpe Roa'!$A$12:$A$130,"&lt;"&amp;Diagram!$P79),SUMIFS(INDIRECT(ADDRESS(12,3+18*0+(10),,,"J1 A - (North) Bishopthorpe Roa")&amp;":"&amp;ADDRESS(130,3+18*0+(10))),'J1 A - (North) Bishopthorpe Roa'!$A$12:$A$130,"&gt;="&amp;Diagram!$O79,'J1 A - (North) Bishopthorpe Roa'!$A$12:$A$130,"&lt;"&amp;Diagram!$P79)))</f>
        <v>0</v>
      </c>
      <c r="BC79" s="42">
        <f ca="1">IF(OR($I$10="",$O79="",$P79="",$J$37&lt;&gt;"Yes"),0,IF($K$10=0,SUMIFS(INDIRECT(ADDRESS(12,3+18*1+(2),,,"J1 A - (North) Bishopthorpe Roa")&amp;":"&amp;ADDRESS(130,3+18*1+(2))),'J1 A - (North) Bishopthorpe Roa'!$A$12:$A$130,"&gt;="&amp;Diagram!$O79,'J1 A - (North) Bishopthorpe Roa'!$A$12:$A$130,"&lt;"&amp;Diagram!$P79),SUMIFS(INDIRECT(ADDRESS(12,3+18*1+(10),,,"J1 A - (North) Bishopthorpe Roa")&amp;":"&amp;ADDRESS(130,3+18*1+(10))),'J1 A - (North) Bishopthorpe Roa'!$A$12:$A$130,"&gt;="&amp;Diagram!$O79,'J1 A - (North) Bishopthorpe Roa'!$A$12:$A$130,"&lt;"&amp;Diagram!$P79)))</f>
        <v>0</v>
      </c>
      <c r="BD79" s="42">
        <f ca="1">IF(OR($I$10="",$O79="",$P79="",$J$37&lt;&gt;"Yes"),0,IF($K$10=0,SUMIFS(INDIRECT(ADDRESS(12,3+18*2+(2),,,"J1 A - (North) Bishopthorpe Roa")&amp;":"&amp;ADDRESS(130,3+18*2+(2))),'J1 A - (North) Bishopthorpe Roa'!$A$12:$A$130,"&gt;="&amp;Diagram!$O79,'J1 A - (North) Bishopthorpe Roa'!$A$12:$A$130,"&lt;"&amp;Diagram!$P79),SUMIFS(INDIRECT(ADDRESS(12,3+18*2+(10),,,"J1 A - (North) Bishopthorpe Roa")&amp;":"&amp;ADDRESS(130,3+18*2+(10))),'J1 A - (North) Bishopthorpe Roa'!$A$12:$A$130,"&gt;="&amp;Diagram!$O79,'J1 A - (North) Bishopthorpe Roa'!$A$12:$A$130,"&lt;"&amp;Diagram!$P79)))</f>
        <v>0</v>
      </c>
      <c r="BE79" s="42">
        <f ca="1">IF(OR($I$10="",$O79="",$P79="",$J$37&lt;&gt;"Yes"),0,IF($K$10=0,SUMIFS(INDIRECT(ADDRESS(12,3+18*2+(2),,,"J1 B - Butcher Terrace")&amp;":"&amp;ADDRESS(130,3+18*2+(2))),'J1 B - Butcher Terrace'!$A$12:$A$130,"&gt;="&amp;Diagram!$O79,'J1 B - Butcher Terrace'!$A$12:$A$130,"&lt;"&amp;Diagram!$P79),SUMIFS(INDIRECT(ADDRESS(12,3+18*2+(10),,,"J1 B - Butcher Terrace")&amp;":"&amp;ADDRESS(130,3+18*2+(10))),'J1 B - Butcher Terrace'!$A$12:$A$130,"&gt;="&amp;Diagram!$O79,'J1 B - Butcher Terrace'!$A$12:$A$130,"&lt;"&amp;Diagram!$P79)))</f>
        <v>0</v>
      </c>
      <c r="BF79" s="42">
        <f ca="1">IF(OR($I$10="",$O79="",$P79="",$J$37&lt;&gt;"Yes"),0,IF($K$10=0,SUMIFS(INDIRECT(ADDRESS(12,3+18*3+(2),,,"J1 B - Butcher Terrace")&amp;":"&amp;ADDRESS(130,3+18*3+(2))),'J1 B - Butcher Terrace'!$A$12:$A$130,"&gt;="&amp;Diagram!$O79,'J1 B - Butcher Terrace'!$A$12:$A$130,"&lt;"&amp;Diagram!$P79),SUMIFS(INDIRECT(ADDRESS(12,3+18*3+(10),,,"J1 B - Butcher Terrace")&amp;":"&amp;ADDRESS(130,3+18*3+(10))),'J1 B - Butcher Terrace'!$A$12:$A$130,"&gt;="&amp;Diagram!$O79,'J1 B - Butcher Terrace'!$A$12:$A$130,"&lt;"&amp;Diagram!$P79)))</f>
        <v>0</v>
      </c>
      <c r="BG79" s="42">
        <f ca="1">IF(OR($I$10="",$O79="",$P79="",$J$37&lt;&gt;"Yes"),0,IF($K$10=0,SUMIFS(INDIRECT(ADDRESS(12,3+18*0+(2),,,"J1 B - Butcher Terrace")&amp;":"&amp;ADDRESS(130,3+18*0+(2))),'J1 B - Butcher Terrace'!$A$12:$A$130,"&gt;="&amp;Diagram!$O79,'J1 B - Butcher Terrace'!$A$12:$A$130,"&lt;"&amp;Diagram!$P79),SUMIFS(INDIRECT(ADDRESS(12,3+18*0+(10),,,"J1 B - Butcher Terrace")&amp;":"&amp;ADDRESS(130,3+18*0+(10))),'J1 B - Butcher Terrace'!$A$12:$A$130,"&gt;="&amp;Diagram!$O79,'J1 B - Butcher Terrace'!$A$12:$A$130,"&lt;"&amp;Diagram!$P79)))</f>
        <v>0</v>
      </c>
      <c r="BH79" s="42">
        <f ca="1">IF(OR($I$10="",$O79="",$P79="",$J$37&lt;&gt;"Yes"),0,IF($K$10=0,SUMIFS(INDIRECT(ADDRESS(12,3+18*1+(2),,,"J1 B - Butcher Terrace")&amp;":"&amp;ADDRESS(130,3+18*1+(2))),'J1 B - Butcher Terrace'!$A$12:$A$130,"&gt;="&amp;Diagram!$O79,'J1 B - Butcher Terrace'!$A$12:$A$130,"&lt;"&amp;Diagram!$P79),SUMIFS(INDIRECT(ADDRESS(12,3+18*1+(10),,,"J1 B - Butcher Terrace")&amp;":"&amp;ADDRESS(130,3+18*1+(10))),'J1 B - Butcher Terrace'!$A$12:$A$130,"&gt;="&amp;Diagram!$O79,'J1 B - Butcher Terrace'!$A$12:$A$130,"&lt;"&amp;Diagram!$P79)))</f>
        <v>0</v>
      </c>
      <c r="BI79" s="42">
        <f ca="1">IF(OR($I$10="",$O79="",$P79="",$J$37&lt;&gt;"Yes"),0,IF($K$10=0,SUMIFS(INDIRECT(ADDRESS(12,3+18*1+(2),,,"J1 C - (South) Bishopthorpe Roa")&amp;":"&amp;ADDRESS(130,3+18*1+(2))),'J1 C - (South) Bishopthorpe Roa'!$A$12:$A$130,"&gt;="&amp;Diagram!$O79,'J1 C - (South) Bishopthorpe Roa'!$A$12:$A$130,"&lt;"&amp;Diagram!$P79),SUMIFS(INDIRECT(ADDRESS(12,3+18*1+(10),,,"J1 C - (South) Bishopthorpe Roa")&amp;":"&amp;ADDRESS(130,3+18*1+(10))),'J1 C - (South) Bishopthorpe Roa'!$A$12:$A$130,"&gt;="&amp;Diagram!$O79,'J1 C - (South) Bishopthorpe Roa'!$A$12:$A$130,"&lt;"&amp;Diagram!$P79)))</f>
        <v>0</v>
      </c>
      <c r="BJ79" s="42">
        <f ca="1">IF(OR($I$10="",$O79="",$P79="",$J$37&lt;&gt;"Yes"),0,IF($K$10=0,SUMIFS(INDIRECT(ADDRESS(12,3+18*2+(2),,,"J1 C - (South) Bishopthorpe Roa")&amp;":"&amp;ADDRESS(130,3+18*2+(2))),'J1 C - (South) Bishopthorpe Roa'!$A$12:$A$130,"&gt;="&amp;Diagram!$O79,'J1 C - (South) Bishopthorpe Roa'!$A$12:$A$130,"&lt;"&amp;Diagram!$P79),SUMIFS(INDIRECT(ADDRESS(12,3+18*2+(10),,,"J1 C - (South) Bishopthorpe Roa")&amp;":"&amp;ADDRESS(130,3+18*2+(10))),'J1 C - (South) Bishopthorpe Roa'!$A$12:$A$130,"&gt;="&amp;Diagram!$O79,'J1 C - (South) Bishopthorpe Roa'!$A$12:$A$130,"&lt;"&amp;Diagram!$P79)))</f>
        <v>0</v>
      </c>
      <c r="BK79" s="42">
        <f ca="1">IF(OR($I$10="",$O79="",$P79="",$J$37&lt;&gt;"Yes"),0,IF($K$10=0,SUMIFS(INDIRECT(ADDRESS(12,3+18*3+(2),,,"J1 C - (South) Bishopthorpe Roa")&amp;":"&amp;ADDRESS(130,3+18*3+(2))),'J1 C - (South) Bishopthorpe Roa'!$A$12:$A$130,"&gt;="&amp;Diagram!$O79,'J1 C - (South) Bishopthorpe Roa'!$A$12:$A$130,"&lt;"&amp;Diagram!$P79),SUMIFS(INDIRECT(ADDRESS(12,3+18*3+(10),,,"J1 C - (South) Bishopthorpe Roa")&amp;":"&amp;ADDRESS(130,3+18*3+(10))),'J1 C - (South) Bishopthorpe Roa'!$A$12:$A$130,"&gt;="&amp;Diagram!$O79,'J1 C - (South) Bishopthorpe Roa'!$A$12:$A$130,"&lt;"&amp;Diagram!$P79)))</f>
        <v>0</v>
      </c>
      <c r="BL79" s="42">
        <f ca="1">IF(OR($I$10="",$O79="",$P79="",$J$37&lt;&gt;"Yes"),0,IF($K$10=0,SUMIFS(INDIRECT(ADDRESS(12,3+18*0+(2),,,"J1 C - (South) Bishopthorpe Roa")&amp;":"&amp;ADDRESS(130,3+18*0+(2))),'J1 C - (South) Bishopthorpe Roa'!$A$12:$A$130,"&gt;="&amp;Diagram!$O79,'J1 C - (South) Bishopthorpe Roa'!$A$12:$A$130,"&lt;"&amp;Diagram!$P79),SUMIFS(INDIRECT(ADDRESS(12,3+18*0+(10),,,"J1 C - (South) Bishopthorpe Roa")&amp;":"&amp;ADDRESS(130,3+18*0+(10))),'J1 C - (South) Bishopthorpe Roa'!$A$12:$A$130,"&gt;="&amp;Diagram!$O79,'J1 C - (South) Bishopthorpe Roa'!$A$12:$A$130,"&lt;"&amp;Diagram!$P79)))</f>
        <v>0</v>
      </c>
      <c r="BM79" s="42">
        <f ca="1">IF(OR($I$10="",$O79="",$P79="",$J$37&lt;&gt;"Yes"),0,IF($K$10=0,SUMIFS(INDIRECT(ADDRESS(12,3+18*0+(2),,,"J1 D - South Bank Avenue")&amp;":"&amp;ADDRESS(130,3+18*0+(2))),'J1 D - South Bank Avenue'!$A$12:$A$130,"&gt;="&amp;Diagram!$O79,'J1 D - South Bank Avenue'!$A$12:$A$130,"&lt;"&amp;Diagram!$P79),SUMIFS(INDIRECT(ADDRESS(12,3+18*0+(10),,,"J1 D - South Bank Avenue")&amp;":"&amp;ADDRESS(130,3+18*0+(10))),'J1 D - South Bank Avenue'!$A$12:$A$130,"&gt;="&amp;Diagram!$O79,'J1 D - South Bank Avenue'!$A$12:$A$130,"&lt;"&amp;Diagram!$P79)))</f>
        <v>0</v>
      </c>
      <c r="BN79" s="42">
        <f ca="1">IF(OR($I$10="",$O79="",$P79="",$J$37&lt;&gt;"Yes"),0,IF($K$10=0,SUMIFS(INDIRECT(ADDRESS(12,3+18*1+(2),,,"J1 D - South Bank Avenue")&amp;":"&amp;ADDRESS(130,3+18*1+(2))),'J1 D - South Bank Avenue'!$A$12:$A$130,"&gt;="&amp;Diagram!$O79,'J1 D - South Bank Avenue'!$A$12:$A$130,"&lt;"&amp;Diagram!$P79),SUMIFS(INDIRECT(ADDRESS(12,3+18*1+(10),,,"J1 D - South Bank Avenue")&amp;":"&amp;ADDRESS(130,3+18*1+(10))),'J1 D - South Bank Avenue'!$A$12:$A$130,"&gt;="&amp;Diagram!$O79,'J1 D - South Bank Avenue'!$A$12:$A$130,"&lt;"&amp;Diagram!$P79)))</f>
        <v>0</v>
      </c>
      <c r="BO79" s="42">
        <f ca="1">IF(OR($I$10="",$O79="",$P79="",$J$37&lt;&gt;"Yes"),0,IF($K$10=0,SUMIFS(INDIRECT(ADDRESS(12,3+18*2+(2),,,"J1 D - South Bank Avenue")&amp;":"&amp;ADDRESS(130,3+18*2+(2))),'J1 D - South Bank Avenue'!$A$12:$A$130,"&gt;="&amp;Diagram!$O79,'J1 D - South Bank Avenue'!$A$12:$A$130,"&lt;"&amp;Diagram!$P79),SUMIFS(INDIRECT(ADDRESS(12,3+18*2+(10),,,"J1 D - South Bank Avenue")&amp;":"&amp;ADDRESS(130,3+18*2+(10))),'J1 D - South Bank Avenue'!$A$12:$A$130,"&gt;="&amp;Diagram!$O79,'J1 D - South Bank Avenue'!$A$12:$A$130,"&lt;"&amp;Diagram!$P79)))</f>
        <v>0</v>
      </c>
      <c r="BP79" s="42">
        <f ca="1">IF(OR($I$10="",$O79="",$P79="",$J$37&lt;&gt;"Yes"),0,IF($K$10=0,SUMIFS(INDIRECT(ADDRESS(12,3+18*3+(2),,,"J1 D - South Bank Avenue")&amp;":"&amp;ADDRESS(130,3+18*3+(2))),'J1 D - South Bank Avenue'!$A$12:$A$130,"&gt;="&amp;Diagram!$O79,'J1 D - South Bank Avenue'!$A$12:$A$130,"&lt;"&amp;Diagram!$P79),SUMIFS(INDIRECT(ADDRESS(12,3+18*3+(10),,,"J1 D - South Bank Avenue")&amp;":"&amp;ADDRESS(130,3+18*3+(10))),'J1 D - South Bank Avenue'!$A$12:$A$130,"&gt;="&amp;Diagram!$O79,'J1 D - South Bank Avenue'!$A$12:$A$130,"&lt;"&amp;Diagram!$P79)))</f>
        <v>0</v>
      </c>
      <c r="BQ79" s="42">
        <f t="shared" ca="1" si="14"/>
        <v>0</v>
      </c>
      <c r="BR79" s="42">
        <f ca="1">IF(OR($I$10="",$O79="",$P79="",$J$38&lt;&gt;"Yes"),0,IF($K$10=0,SUMIFS(INDIRECT(ADDRESS(12,3+18*3+(3),,,"J1 A - (North) Bishopthorpe Roa")&amp;":"&amp;ADDRESS(130,3+18*3+(3))),'J1 A - (North) Bishopthorpe Roa'!$A$12:$A$130,"&gt;="&amp;Diagram!$O79,'J1 A - (North) Bishopthorpe Roa'!$A$12:$A$130,"&lt;"&amp;Diagram!$P79),SUMIFS(INDIRECT(ADDRESS(12,3+18*3+(11),,,"J1 A - (North) Bishopthorpe Roa")&amp;":"&amp;ADDRESS(130,3+18*3+(11))),'J1 A - (North) Bishopthorpe Roa'!$A$12:$A$130,"&gt;="&amp;Diagram!$O79,'J1 A - (North) Bishopthorpe Roa'!$A$12:$A$130,"&lt;"&amp;Diagram!$P79)))</f>
        <v>0</v>
      </c>
      <c r="BS79" s="42">
        <f ca="1">IF(OR($I$10="",$O79="",$P79="",$J$38&lt;&gt;"Yes"),0,IF($K$10=0,SUMIFS(INDIRECT(ADDRESS(12,3+18*0+(3),,,"J1 A - (North) Bishopthorpe Roa")&amp;":"&amp;ADDRESS(130,3+18*0+(3))),'J1 A - (North) Bishopthorpe Roa'!$A$12:$A$130,"&gt;="&amp;Diagram!$O79,'J1 A - (North) Bishopthorpe Roa'!$A$12:$A$130,"&lt;"&amp;Diagram!$P79),SUMIFS(INDIRECT(ADDRESS(12,3+18*0+(11),,,"J1 A - (North) Bishopthorpe Roa")&amp;":"&amp;ADDRESS(130,3+18*0+(11))),'J1 A - (North) Bishopthorpe Roa'!$A$12:$A$130,"&gt;="&amp;Diagram!$O79,'J1 A - (North) Bishopthorpe Roa'!$A$12:$A$130,"&lt;"&amp;Diagram!$P79)))</f>
        <v>0</v>
      </c>
      <c r="BT79" s="42">
        <f ca="1">IF(OR($I$10="",$O79="",$P79="",$J$38&lt;&gt;"Yes"),0,IF($K$10=0,SUMIFS(INDIRECT(ADDRESS(12,3+18*1+(3),,,"J1 A - (North) Bishopthorpe Roa")&amp;":"&amp;ADDRESS(130,3+18*1+(3))),'J1 A - (North) Bishopthorpe Roa'!$A$12:$A$130,"&gt;="&amp;Diagram!$O79,'J1 A - (North) Bishopthorpe Roa'!$A$12:$A$130,"&lt;"&amp;Diagram!$P79),SUMIFS(INDIRECT(ADDRESS(12,3+18*1+(11),,,"J1 A - (North) Bishopthorpe Roa")&amp;":"&amp;ADDRESS(130,3+18*1+(11))),'J1 A - (North) Bishopthorpe Roa'!$A$12:$A$130,"&gt;="&amp;Diagram!$O79,'J1 A - (North) Bishopthorpe Roa'!$A$12:$A$130,"&lt;"&amp;Diagram!$P79)))</f>
        <v>0</v>
      </c>
      <c r="BU79" s="42">
        <f ca="1">IF(OR($I$10="",$O79="",$P79="",$J$38&lt;&gt;"Yes"),0,IF($K$10=0,SUMIFS(INDIRECT(ADDRESS(12,3+18*2+(3),,,"J1 A - (North) Bishopthorpe Roa")&amp;":"&amp;ADDRESS(130,3+18*2+(3))),'J1 A - (North) Bishopthorpe Roa'!$A$12:$A$130,"&gt;="&amp;Diagram!$O79,'J1 A - (North) Bishopthorpe Roa'!$A$12:$A$130,"&lt;"&amp;Diagram!$P79),SUMIFS(INDIRECT(ADDRESS(12,3+18*2+(11),,,"J1 A - (North) Bishopthorpe Roa")&amp;":"&amp;ADDRESS(130,3+18*2+(11))),'J1 A - (North) Bishopthorpe Roa'!$A$12:$A$130,"&gt;="&amp;Diagram!$O79,'J1 A - (North) Bishopthorpe Roa'!$A$12:$A$130,"&lt;"&amp;Diagram!$P79)))</f>
        <v>0</v>
      </c>
      <c r="BV79" s="42">
        <f ca="1">IF(OR($I$10="",$O79="",$P79="",$J$38&lt;&gt;"Yes"),0,IF($K$10=0,SUMIFS(INDIRECT(ADDRESS(12,3+18*2+(3),,,"J1 B - Butcher Terrace")&amp;":"&amp;ADDRESS(130,3+18*2+(3))),'J1 B - Butcher Terrace'!$A$12:$A$130,"&gt;="&amp;Diagram!$O79,'J1 B - Butcher Terrace'!$A$12:$A$130,"&lt;"&amp;Diagram!$P79),SUMIFS(INDIRECT(ADDRESS(12,3+18*2+(11),,,"J1 B - Butcher Terrace")&amp;":"&amp;ADDRESS(130,3+18*2+(11))),'J1 B - Butcher Terrace'!$A$12:$A$130,"&gt;="&amp;Diagram!$O79,'J1 B - Butcher Terrace'!$A$12:$A$130,"&lt;"&amp;Diagram!$P79)))</f>
        <v>0</v>
      </c>
      <c r="BW79" s="42">
        <f ca="1">IF(OR($I$10="",$O79="",$P79="",$J$38&lt;&gt;"Yes"),0,IF($K$10=0,SUMIFS(INDIRECT(ADDRESS(12,3+18*3+(3),,,"J1 B - Butcher Terrace")&amp;":"&amp;ADDRESS(130,3+18*3+(3))),'J1 B - Butcher Terrace'!$A$12:$A$130,"&gt;="&amp;Diagram!$O79,'J1 B - Butcher Terrace'!$A$12:$A$130,"&lt;"&amp;Diagram!$P79),SUMIFS(INDIRECT(ADDRESS(12,3+18*3+(11),,,"J1 B - Butcher Terrace")&amp;":"&amp;ADDRESS(130,3+18*3+(11))),'J1 B - Butcher Terrace'!$A$12:$A$130,"&gt;="&amp;Diagram!$O79,'J1 B - Butcher Terrace'!$A$12:$A$130,"&lt;"&amp;Diagram!$P79)))</f>
        <v>0</v>
      </c>
      <c r="BX79" s="42">
        <f ca="1">IF(OR($I$10="",$O79="",$P79="",$J$38&lt;&gt;"Yes"),0,IF($K$10=0,SUMIFS(INDIRECT(ADDRESS(12,3+18*0+(3),,,"J1 B - Butcher Terrace")&amp;":"&amp;ADDRESS(130,3+18*0+(3))),'J1 B - Butcher Terrace'!$A$12:$A$130,"&gt;="&amp;Diagram!$O79,'J1 B - Butcher Terrace'!$A$12:$A$130,"&lt;"&amp;Diagram!$P79),SUMIFS(INDIRECT(ADDRESS(12,3+18*0+(11),,,"J1 B - Butcher Terrace")&amp;":"&amp;ADDRESS(130,3+18*0+(11))),'J1 B - Butcher Terrace'!$A$12:$A$130,"&gt;="&amp;Diagram!$O79,'J1 B - Butcher Terrace'!$A$12:$A$130,"&lt;"&amp;Diagram!$P79)))</f>
        <v>0</v>
      </c>
      <c r="BY79" s="42">
        <f ca="1">IF(OR($I$10="",$O79="",$P79="",$J$38&lt;&gt;"Yes"),0,IF($K$10=0,SUMIFS(INDIRECT(ADDRESS(12,3+18*1+(3),,,"J1 B - Butcher Terrace")&amp;":"&amp;ADDRESS(130,3+18*1+(3))),'J1 B - Butcher Terrace'!$A$12:$A$130,"&gt;="&amp;Diagram!$O79,'J1 B - Butcher Terrace'!$A$12:$A$130,"&lt;"&amp;Diagram!$P79),SUMIFS(INDIRECT(ADDRESS(12,3+18*1+(11),,,"J1 B - Butcher Terrace")&amp;":"&amp;ADDRESS(130,3+18*1+(11))),'J1 B - Butcher Terrace'!$A$12:$A$130,"&gt;="&amp;Diagram!$O79,'J1 B - Butcher Terrace'!$A$12:$A$130,"&lt;"&amp;Diagram!$P79)))</f>
        <v>0</v>
      </c>
      <c r="BZ79" s="42">
        <f ca="1">IF(OR($I$10="",$O79="",$P79="",$J$38&lt;&gt;"Yes"),0,IF($K$10=0,SUMIFS(INDIRECT(ADDRESS(12,3+18*1+(3),,,"J1 C - (South) Bishopthorpe Roa")&amp;":"&amp;ADDRESS(130,3+18*1+(3))),'J1 C - (South) Bishopthorpe Roa'!$A$12:$A$130,"&gt;="&amp;Diagram!$O79,'J1 C - (South) Bishopthorpe Roa'!$A$12:$A$130,"&lt;"&amp;Diagram!$P79),SUMIFS(INDIRECT(ADDRESS(12,3+18*1+(11),,,"J1 C - (South) Bishopthorpe Roa")&amp;":"&amp;ADDRESS(130,3+18*1+(11))),'J1 C - (South) Bishopthorpe Roa'!$A$12:$A$130,"&gt;="&amp;Diagram!$O79,'J1 C - (South) Bishopthorpe Roa'!$A$12:$A$130,"&lt;"&amp;Diagram!$P79)))</f>
        <v>0</v>
      </c>
      <c r="CA79" s="42">
        <f ca="1">IF(OR($I$10="",$O79="",$P79="",$J$38&lt;&gt;"Yes"),0,IF($K$10=0,SUMIFS(INDIRECT(ADDRESS(12,3+18*2+(3),,,"J1 C - (South) Bishopthorpe Roa")&amp;":"&amp;ADDRESS(130,3+18*2+(3))),'J1 C - (South) Bishopthorpe Roa'!$A$12:$A$130,"&gt;="&amp;Diagram!$O79,'J1 C - (South) Bishopthorpe Roa'!$A$12:$A$130,"&lt;"&amp;Diagram!$P79),SUMIFS(INDIRECT(ADDRESS(12,3+18*2+(11),,,"J1 C - (South) Bishopthorpe Roa")&amp;":"&amp;ADDRESS(130,3+18*2+(11))),'J1 C - (South) Bishopthorpe Roa'!$A$12:$A$130,"&gt;="&amp;Diagram!$O79,'J1 C - (South) Bishopthorpe Roa'!$A$12:$A$130,"&lt;"&amp;Diagram!$P79)))</f>
        <v>0</v>
      </c>
      <c r="CB79" s="42">
        <f ca="1">IF(OR($I$10="",$O79="",$P79="",$J$38&lt;&gt;"Yes"),0,IF($K$10=0,SUMIFS(INDIRECT(ADDRESS(12,3+18*3+(3),,,"J1 C - (South) Bishopthorpe Roa")&amp;":"&amp;ADDRESS(130,3+18*3+(3))),'J1 C - (South) Bishopthorpe Roa'!$A$12:$A$130,"&gt;="&amp;Diagram!$O79,'J1 C - (South) Bishopthorpe Roa'!$A$12:$A$130,"&lt;"&amp;Diagram!$P79),SUMIFS(INDIRECT(ADDRESS(12,3+18*3+(11),,,"J1 C - (South) Bishopthorpe Roa")&amp;":"&amp;ADDRESS(130,3+18*3+(11))),'J1 C - (South) Bishopthorpe Roa'!$A$12:$A$130,"&gt;="&amp;Diagram!$O79,'J1 C - (South) Bishopthorpe Roa'!$A$12:$A$130,"&lt;"&amp;Diagram!$P79)))</f>
        <v>0</v>
      </c>
      <c r="CC79" s="42">
        <f ca="1">IF(OR($I$10="",$O79="",$P79="",$J$38&lt;&gt;"Yes"),0,IF($K$10=0,SUMIFS(INDIRECT(ADDRESS(12,3+18*0+(3),,,"J1 C - (South) Bishopthorpe Roa")&amp;":"&amp;ADDRESS(130,3+18*0+(3))),'J1 C - (South) Bishopthorpe Roa'!$A$12:$A$130,"&gt;="&amp;Diagram!$O79,'J1 C - (South) Bishopthorpe Roa'!$A$12:$A$130,"&lt;"&amp;Diagram!$P79),SUMIFS(INDIRECT(ADDRESS(12,3+18*0+(11),,,"J1 C - (South) Bishopthorpe Roa")&amp;":"&amp;ADDRESS(130,3+18*0+(11))),'J1 C - (South) Bishopthorpe Roa'!$A$12:$A$130,"&gt;="&amp;Diagram!$O79,'J1 C - (South) Bishopthorpe Roa'!$A$12:$A$130,"&lt;"&amp;Diagram!$P79)))</f>
        <v>0</v>
      </c>
      <c r="CD79" s="42">
        <f ca="1">IF(OR($I$10="",$O79="",$P79="",$J$38&lt;&gt;"Yes"),0,IF($K$10=0,SUMIFS(INDIRECT(ADDRESS(12,3+18*0+(3),,,"J1 D - South Bank Avenue")&amp;":"&amp;ADDRESS(130,3+18*0+(3))),'J1 D - South Bank Avenue'!$A$12:$A$130,"&gt;="&amp;Diagram!$O79,'J1 D - South Bank Avenue'!$A$12:$A$130,"&lt;"&amp;Diagram!$P79),SUMIFS(INDIRECT(ADDRESS(12,3+18*0+(11),,,"J1 D - South Bank Avenue")&amp;":"&amp;ADDRESS(130,3+18*0+(11))),'J1 D - South Bank Avenue'!$A$12:$A$130,"&gt;="&amp;Diagram!$O79,'J1 D - South Bank Avenue'!$A$12:$A$130,"&lt;"&amp;Diagram!$P79)))</f>
        <v>0</v>
      </c>
      <c r="CE79" s="42">
        <f ca="1">IF(OR($I$10="",$O79="",$P79="",$J$38&lt;&gt;"Yes"),0,IF($K$10=0,SUMIFS(INDIRECT(ADDRESS(12,3+18*1+(3),,,"J1 D - South Bank Avenue")&amp;":"&amp;ADDRESS(130,3+18*1+(3))),'J1 D - South Bank Avenue'!$A$12:$A$130,"&gt;="&amp;Diagram!$O79,'J1 D - South Bank Avenue'!$A$12:$A$130,"&lt;"&amp;Diagram!$P79),SUMIFS(INDIRECT(ADDRESS(12,3+18*1+(11),,,"J1 D - South Bank Avenue")&amp;":"&amp;ADDRESS(130,3+18*1+(11))),'J1 D - South Bank Avenue'!$A$12:$A$130,"&gt;="&amp;Diagram!$O79,'J1 D - South Bank Avenue'!$A$12:$A$130,"&lt;"&amp;Diagram!$P79)))</f>
        <v>0</v>
      </c>
      <c r="CF79" s="42">
        <f ca="1">IF(OR($I$10="",$O79="",$P79="",$J$38&lt;&gt;"Yes"),0,IF($K$10=0,SUMIFS(INDIRECT(ADDRESS(12,3+18*2+(3),,,"J1 D - South Bank Avenue")&amp;":"&amp;ADDRESS(130,3+18*2+(3))),'J1 D - South Bank Avenue'!$A$12:$A$130,"&gt;="&amp;Diagram!$O79,'J1 D - South Bank Avenue'!$A$12:$A$130,"&lt;"&amp;Diagram!$P79),SUMIFS(INDIRECT(ADDRESS(12,3+18*2+(11),,,"J1 D - South Bank Avenue")&amp;":"&amp;ADDRESS(130,3+18*2+(11))),'J1 D - South Bank Avenue'!$A$12:$A$130,"&gt;="&amp;Diagram!$O79,'J1 D - South Bank Avenue'!$A$12:$A$130,"&lt;"&amp;Diagram!$P79)))</f>
        <v>0</v>
      </c>
      <c r="CG79" s="42">
        <f ca="1">IF(OR($I$10="",$O79="",$P79="",$J$38&lt;&gt;"Yes"),0,IF($K$10=0,SUMIFS(INDIRECT(ADDRESS(12,3+18*3+(3),,,"J1 D - South Bank Avenue")&amp;":"&amp;ADDRESS(130,3+18*3+(3))),'J1 D - South Bank Avenue'!$A$12:$A$130,"&gt;="&amp;Diagram!$O79,'J1 D - South Bank Avenue'!$A$12:$A$130,"&lt;"&amp;Diagram!$P79),SUMIFS(INDIRECT(ADDRESS(12,3+18*3+(11),,,"J1 D - South Bank Avenue")&amp;":"&amp;ADDRESS(130,3+18*3+(11))),'J1 D - South Bank Avenue'!$A$12:$A$130,"&gt;="&amp;Diagram!$O79,'J1 D - South Bank Avenue'!$A$12:$A$130,"&lt;"&amp;Diagram!$P79)))</f>
        <v>0</v>
      </c>
      <c r="CH79" s="42">
        <f t="shared" ca="1" si="15"/>
        <v>5</v>
      </c>
      <c r="CI79" s="42">
        <f ca="1">IF(OR($I$10="",$O79="",$P79="",$J$39&lt;&gt;"Yes"),0,IF($K$10=0,SUMIFS(INDIRECT(ADDRESS(12,3+18*3+(4),,,"J1 A - (North) Bishopthorpe Roa")&amp;":"&amp;ADDRESS(130,3+18*3+(4))),'J1 A - (North) Bishopthorpe Roa'!$A$12:$A$130,"&gt;="&amp;Diagram!$O79,'J1 A - (North) Bishopthorpe Roa'!$A$12:$A$130,"&lt;"&amp;Diagram!$P79),SUMIFS(INDIRECT(ADDRESS(12,3+18*3+(12),,,"J1 A - (North) Bishopthorpe Roa")&amp;":"&amp;ADDRESS(130,3+18*3+(12))),'J1 A - (North) Bishopthorpe Roa'!$A$12:$A$130,"&gt;="&amp;Diagram!$O79,'J1 A - (North) Bishopthorpe Roa'!$A$12:$A$130,"&lt;"&amp;Diagram!$P79)))</f>
        <v>0</v>
      </c>
      <c r="CJ79" s="42">
        <f ca="1">IF(OR($I$10="",$O79="",$P79="",$J$39&lt;&gt;"Yes"),0,IF($K$10=0,SUMIFS(INDIRECT(ADDRESS(12,3+18*0+(4),,,"J1 A - (North) Bishopthorpe Roa")&amp;":"&amp;ADDRESS(130,3+18*0+(4))),'J1 A - (North) Bishopthorpe Roa'!$A$12:$A$130,"&gt;="&amp;Diagram!$O79,'J1 A - (North) Bishopthorpe Roa'!$A$12:$A$130,"&lt;"&amp;Diagram!$P79),SUMIFS(INDIRECT(ADDRESS(12,3+18*0+(12),,,"J1 A - (North) Bishopthorpe Roa")&amp;":"&amp;ADDRESS(130,3+18*0+(12))),'J1 A - (North) Bishopthorpe Roa'!$A$12:$A$130,"&gt;="&amp;Diagram!$O79,'J1 A - (North) Bishopthorpe Roa'!$A$12:$A$130,"&lt;"&amp;Diagram!$P79)))</f>
        <v>0</v>
      </c>
      <c r="CK79" s="42">
        <f ca="1">IF(OR($I$10="",$O79="",$P79="",$J$39&lt;&gt;"Yes"),0,IF($K$10=0,SUMIFS(INDIRECT(ADDRESS(12,3+18*1+(4),,,"J1 A - (North) Bishopthorpe Roa")&amp;":"&amp;ADDRESS(130,3+18*1+(4))),'J1 A - (North) Bishopthorpe Roa'!$A$12:$A$130,"&gt;="&amp;Diagram!$O79,'J1 A - (North) Bishopthorpe Roa'!$A$12:$A$130,"&lt;"&amp;Diagram!$P79),SUMIFS(INDIRECT(ADDRESS(12,3+18*1+(12),,,"J1 A - (North) Bishopthorpe Roa")&amp;":"&amp;ADDRESS(130,3+18*1+(12))),'J1 A - (North) Bishopthorpe Roa'!$A$12:$A$130,"&gt;="&amp;Diagram!$O79,'J1 A - (North) Bishopthorpe Roa'!$A$12:$A$130,"&lt;"&amp;Diagram!$P79)))</f>
        <v>3</v>
      </c>
      <c r="CL79" s="42">
        <f ca="1">IF(OR($I$10="",$O79="",$P79="",$J$39&lt;&gt;"Yes"),0,IF($K$10=0,SUMIFS(INDIRECT(ADDRESS(12,3+18*2+(4),,,"J1 A - (North) Bishopthorpe Roa")&amp;":"&amp;ADDRESS(130,3+18*2+(4))),'J1 A - (North) Bishopthorpe Roa'!$A$12:$A$130,"&gt;="&amp;Diagram!$O79,'J1 A - (North) Bishopthorpe Roa'!$A$12:$A$130,"&lt;"&amp;Diagram!$P79),SUMIFS(INDIRECT(ADDRESS(12,3+18*2+(12),,,"J1 A - (North) Bishopthorpe Roa")&amp;":"&amp;ADDRESS(130,3+18*2+(12))),'J1 A - (North) Bishopthorpe Roa'!$A$12:$A$130,"&gt;="&amp;Diagram!$O79,'J1 A - (North) Bishopthorpe Roa'!$A$12:$A$130,"&lt;"&amp;Diagram!$P79)))</f>
        <v>0</v>
      </c>
      <c r="CM79" s="42">
        <f ca="1">IF(OR($I$10="",$O79="",$P79="",$J$39&lt;&gt;"Yes"),0,IF($K$10=0,SUMIFS(INDIRECT(ADDRESS(12,3+18*2+(4),,,"J1 B - Butcher Terrace")&amp;":"&amp;ADDRESS(130,3+18*2+(4))),'J1 B - Butcher Terrace'!$A$12:$A$130,"&gt;="&amp;Diagram!$O79,'J1 B - Butcher Terrace'!$A$12:$A$130,"&lt;"&amp;Diagram!$P79),SUMIFS(INDIRECT(ADDRESS(12,3+18*2+(12),,,"J1 B - Butcher Terrace")&amp;":"&amp;ADDRESS(130,3+18*2+(12))),'J1 B - Butcher Terrace'!$A$12:$A$130,"&gt;="&amp;Diagram!$O79,'J1 B - Butcher Terrace'!$A$12:$A$130,"&lt;"&amp;Diagram!$P79)))</f>
        <v>0</v>
      </c>
      <c r="CN79" s="42">
        <f ca="1">IF(OR($I$10="",$O79="",$P79="",$J$39&lt;&gt;"Yes"),0,IF($K$10=0,SUMIFS(INDIRECT(ADDRESS(12,3+18*3+(4),,,"J1 B - Butcher Terrace")&amp;":"&amp;ADDRESS(130,3+18*3+(4))),'J1 B - Butcher Terrace'!$A$12:$A$130,"&gt;="&amp;Diagram!$O79,'J1 B - Butcher Terrace'!$A$12:$A$130,"&lt;"&amp;Diagram!$P79),SUMIFS(INDIRECT(ADDRESS(12,3+18*3+(12),,,"J1 B - Butcher Terrace")&amp;":"&amp;ADDRESS(130,3+18*3+(12))),'J1 B - Butcher Terrace'!$A$12:$A$130,"&gt;="&amp;Diagram!$O79,'J1 B - Butcher Terrace'!$A$12:$A$130,"&lt;"&amp;Diagram!$P79)))</f>
        <v>0</v>
      </c>
      <c r="CO79" s="42">
        <f ca="1">IF(OR($I$10="",$O79="",$P79="",$J$39&lt;&gt;"Yes"),0,IF($K$10=0,SUMIFS(INDIRECT(ADDRESS(12,3+18*0+(4),,,"J1 B - Butcher Terrace")&amp;":"&amp;ADDRESS(130,3+18*0+(4))),'J1 B - Butcher Terrace'!$A$12:$A$130,"&gt;="&amp;Diagram!$O79,'J1 B - Butcher Terrace'!$A$12:$A$130,"&lt;"&amp;Diagram!$P79),SUMIFS(INDIRECT(ADDRESS(12,3+18*0+(12),,,"J1 B - Butcher Terrace")&amp;":"&amp;ADDRESS(130,3+18*0+(12))),'J1 B - Butcher Terrace'!$A$12:$A$130,"&gt;="&amp;Diagram!$O79,'J1 B - Butcher Terrace'!$A$12:$A$130,"&lt;"&amp;Diagram!$P79)))</f>
        <v>0</v>
      </c>
      <c r="CP79" s="42">
        <f ca="1">IF(OR($I$10="",$O79="",$P79="",$J$39&lt;&gt;"Yes"),0,IF($K$10=0,SUMIFS(INDIRECT(ADDRESS(12,3+18*1+(4),,,"J1 B - Butcher Terrace")&amp;":"&amp;ADDRESS(130,3+18*1+(4))),'J1 B - Butcher Terrace'!$A$12:$A$130,"&gt;="&amp;Diagram!$O79,'J1 B - Butcher Terrace'!$A$12:$A$130,"&lt;"&amp;Diagram!$P79),SUMIFS(INDIRECT(ADDRESS(12,3+18*1+(12),,,"J1 B - Butcher Terrace")&amp;":"&amp;ADDRESS(130,3+18*1+(12))),'J1 B - Butcher Terrace'!$A$12:$A$130,"&gt;="&amp;Diagram!$O79,'J1 B - Butcher Terrace'!$A$12:$A$130,"&lt;"&amp;Diagram!$P79)))</f>
        <v>0</v>
      </c>
      <c r="CQ79" s="42">
        <f ca="1">IF(OR($I$10="",$O79="",$P79="",$J$39&lt;&gt;"Yes"),0,IF($K$10=0,SUMIFS(INDIRECT(ADDRESS(12,3+18*1+(4),,,"J1 C - (South) Bishopthorpe Roa")&amp;":"&amp;ADDRESS(130,3+18*1+(4))),'J1 C - (South) Bishopthorpe Roa'!$A$12:$A$130,"&gt;="&amp;Diagram!$O79,'J1 C - (South) Bishopthorpe Roa'!$A$12:$A$130,"&lt;"&amp;Diagram!$P79),SUMIFS(INDIRECT(ADDRESS(12,3+18*1+(12),,,"J1 C - (South) Bishopthorpe Roa")&amp;":"&amp;ADDRESS(130,3+18*1+(12))),'J1 C - (South) Bishopthorpe Roa'!$A$12:$A$130,"&gt;="&amp;Diagram!$O79,'J1 C - (South) Bishopthorpe Roa'!$A$12:$A$130,"&lt;"&amp;Diagram!$P79)))</f>
        <v>2</v>
      </c>
      <c r="CR79" s="42">
        <f ca="1">IF(OR($I$10="",$O79="",$P79="",$J$39&lt;&gt;"Yes"),0,IF($K$10=0,SUMIFS(INDIRECT(ADDRESS(12,3+18*2+(4),,,"J1 C - (South) Bishopthorpe Roa")&amp;":"&amp;ADDRESS(130,3+18*2+(4))),'J1 C - (South) Bishopthorpe Roa'!$A$12:$A$130,"&gt;="&amp;Diagram!$O79,'J1 C - (South) Bishopthorpe Roa'!$A$12:$A$130,"&lt;"&amp;Diagram!$P79),SUMIFS(INDIRECT(ADDRESS(12,3+18*2+(12),,,"J1 C - (South) Bishopthorpe Roa")&amp;":"&amp;ADDRESS(130,3+18*2+(12))),'J1 C - (South) Bishopthorpe Roa'!$A$12:$A$130,"&gt;="&amp;Diagram!$O79,'J1 C - (South) Bishopthorpe Roa'!$A$12:$A$130,"&lt;"&amp;Diagram!$P79)))</f>
        <v>0</v>
      </c>
      <c r="CS79" s="42">
        <f ca="1">IF(OR($I$10="",$O79="",$P79="",$J$39&lt;&gt;"Yes"),0,IF($K$10=0,SUMIFS(INDIRECT(ADDRESS(12,3+18*3+(4),,,"J1 C - (South) Bishopthorpe Roa")&amp;":"&amp;ADDRESS(130,3+18*3+(4))),'J1 C - (South) Bishopthorpe Roa'!$A$12:$A$130,"&gt;="&amp;Diagram!$O79,'J1 C - (South) Bishopthorpe Roa'!$A$12:$A$130,"&lt;"&amp;Diagram!$P79),SUMIFS(INDIRECT(ADDRESS(12,3+18*3+(12),,,"J1 C - (South) Bishopthorpe Roa")&amp;":"&amp;ADDRESS(130,3+18*3+(12))),'J1 C - (South) Bishopthorpe Roa'!$A$12:$A$130,"&gt;="&amp;Diagram!$O79,'J1 C - (South) Bishopthorpe Roa'!$A$12:$A$130,"&lt;"&amp;Diagram!$P79)))</f>
        <v>0</v>
      </c>
      <c r="CT79" s="42">
        <f ca="1">IF(OR($I$10="",$O79="",$P79="",$J$39&lt;&gt;"Yes"),0,IF($K$10=0,SUMIFS(INDIRECT(ADDRESS(12,3+18*0+(4),,,"J1 C - (South) Bishopthorpe Roa")&amp;":"&amp;ADDRESS(130,3+18*0+(4))),'J1 C - (South) Bishopthorpe Roa'!$A$12:$A$130,"&gt;="&amp;Diagram!$O79,'J1 C - (South) Bishopthorpe Roa'!$A$12:$A$130,"&lt;"&amp;Diagram!$P79),SUMIFS(INDIRECT(ADDRESS(12,3+18*0+(12),,,"J1 C - (South) Bishopthorpe Roa")&amp;":"&amp;ADDRESS(130,3+18*0+(12))),'J1 C - (South) Bishopthorpe Roa'!$A$12:$A$130,"&gt;="&amp;Diagram!$O79,'J1 C - (South) Bishopthorpe Roa'!$A$12:$A$130,"&lt;"&amp;Diagram!$P79)))</f>
        <v>0</v>
      </c>
      <c r="CU79" s="42">
        <f ca="1">IF(OR($I$10="",$O79="",$P79="",$J$39&lt;&gt;"Yes"),0,IF($K$10=0,SUMIFS(INDIRECT(ADDRESS(12,3+18*0+(4),,,"J1 D - South Bank Avenue")&amp;":"&amp;ADDRESS(130,3+18*0+(4))),'J1 D - South Bank Avenue'!$A$12:$A$130,"&gt;="&amp;Diagram!$O79,'J1 D - South Bank Avenue'!$A$12:$A$130,"&lt;"&amp;Diagram!$P79),SUMIFS(INDIRECT(ADDRESS(12,3+18*0+(12),,,"J1 D - South Bank Avenue")&amp;":"&amp;ADDRESS(130,3+18*0+(12))),'J1 D - South Bank Avenue'!$A$12:$A$130,"&gt;="&amp;Diagram!$O79,'J1 D - South Bank Avenue'!$A$12:$A$130,"&lt;"&amp;Diagram!$P79)))</f>
        <v>0</v>
      </c>
      <c r="CV79" s="42">
        <f ca="1">IF(OR($I$10="",$O79="",$P79="",$J$39&lt;&gt;"Yes"),0,IF($K$10=0,SUMIFS(INDIRECT(ADDRESS(12,3+18*1+(4),,,"J1 D - South Bank Avenue")&amp;":"&amp;ADDRESS(130,3+18*1+(4))),'J1 D - South Bank Avenue'!$A$12:$A$130,"&gt;="&amp;Diagram!$O79,'J1 D - South Bank Avenue'!$A$12:$A$130,"&lt;"&amp;Diagram!$P79),SUMIFS(INDIRECT(ADDRESS(12,3+18*1+(12),,,"J1 D - South Bank Avenue")&amp;":"&amp;ADDRESS(130,3+18*1+(12))),'J1 D - South Bank Avenue'!$A$12:$A$130,"&gt;="&amp;Diagram!$O79,'J1 D - South Bank Avenue'!$A$12:$A$130,"&lt;"&amp;Diagram!$P79)))</f>
        <v>0</v>
      </c>
      <c r="CW79" s="42">
        <f ca="1">IF(OR($I$10="",$O79="",$P79="",$J$39&lt;&gt;"Yes"),0,IF($K$10=0,SUMIFS(INDIRECT(ADDRESS(12,3+18*2+(4),,,"J1 D - South Bank Avenue")&amp;":"&amp;ADDRESS(130,3+18*2+(4))),'J1 D - South Bank Avenue'!$A$12:$A$130,"&gt;="&amp;Diagram!$O79,'J1 D - South Bank Avenue'!$A$12:$A$130,"&lt;"&amp;Diagram!$P79),SUMIFS(INDIRECT(ADDRESS(12,3+18*2+(12),,,"J1 D - South Bank Avenue")&amp;":"&amp;ADDRESS(130,3+18*2+(12))),'J1 D - South Bank Avenue'!$A$12:$A$130,"&gt;="&amp;Diagram!$O79,'J1 D - South Bank Avenue'!$A$12:$A$130,"&lt;"&amp;Diagram!$P79)))</f>
        <v>0</v>
      </c>
      <c r="CX79" s="42">
        <f ca="1">IF(OR($I$10="",$O79="",$P79="",$J$39&lt;&gt;"Yes"),0,IF($K$10=0,SUMIFS(INDIRECT(ADDRESS(12,3+18*3+(4),,,"J1 D - South Bank Avenue")&amp;":"&amp;ADDRESS(130,3+18*3+(4))),'J1 D - South Bank Avenue'!$A$12:$A$130,"&gt;="&amp;Diagram!$O79,'J1 D - South Bank Avenue'!$A$12:$A$130,"&lt;"&amp;Diagram!$P79),SUMIFS(INDIRECT(ADDRESS(12,3+18*3+(12),,,"J1 D - South Bank Avenue")&amp;":"&amp;ADDRESS(130,3+18*3+(12))),'J1 D - South Bank Avenue'!$A$12:$A$130,"&gt;="&amp;Diagram!$O79,'J1 D - South Bank Avenue'!$A$12:$A$130,"&lt;"&amp;Diagram!$P79)))</f>
        <v>0</v>
      </c>
      <c r="CY79" s="42">
        <f t="shared" ca="1" si="16"/>
        <v>94</v>
      </c>
      <c r="CZ79" s="42">
        <f ca="1">IF(OR($I$10="",$O79="",$P79="",$J$40&lt;&gt;"Yes"),0,IF($K$10=0,SUMIFS(INDIRECT(ADDRESS(12,3+18*3+(5),,,"J1 A - (North) Bishopthorpe Roa")&amp;":"&amp;ADDRESS(130,3+18*3+(5))),'J1 A - (North) Bishopthorpe Roa'!$A$12:$A$130,"&gt;="&amp;Diagram!$O79,'J1 A - (North) Bishopthorpe Roa'!$A$12:$A$130,"&lt;"&amp;Diagram!$P79),SUMIFS(INDIRECT(ADDRESS(12,3+18*3+(13),,,"J1 A - (North) Bishopthorpe Roa")&amp;":"&amp;ADDRESS(130,3+18*3+(13))),'J1 A - (North) Bishopthorpe Roa'!$A$12:$A$130,"&gt;="&amp;Diagram!$O79,'J1 A - (North) Bishopthorpe Roa'!$A$12:$A$130,"&lt;"&amp;Diagram!$P79)))</f>
        <v>0</v>
      </c>
      <c r="DA79" s="42">
        <f ca="1">IF(OR($I$10="",$O79="",$P79="",$J$40&lt;&gt;"Yes"),0,IF($K$10=0,SUMIFS(INDIRECT(ADDRESS(12,3+18*0+(5),,,"J1 A - (North) Bishopthorpe Roa")&amp;":"&amp;ADDRESS(130,3+18*0+(5))),'J1 A - (North) Bishopthorpe Roa'!$A$12:$A$130,"&gt;="&amp;Diagram!$O79,'J1 A - (North) Bishopthorpe Roa'!$A$12:$A$130,"&lt;"&amp;Diagram!$P79),SUMIFS(INDIRECT(ADDRESS(12,3+18*0+(13),,,"J1 A - (North) Bishopthorpe Roa")&amp;":"&amp;ADDRESS(130,3+18*0+(13))),'J1 A - (North) Bishopthorpe Roa'!$A$12:$A$130,"&gt;="&amp;Diagram!$O79,'J1 A - (North) Bishopthorpe Roa'!$A$12:$A$130,"&lt;"&amp;Diagram!$P79)))</f>
        <v>8</v>
      </c>
      <c r="DB79" s="42">
        <f ca="1">IF(OR($I$10="",$O79="",$P79="",$J$40&lt;&gt;"Yes"),0,IF($K$10=0,SUMIFS(INDIRECT(ADDRESS(12,3+18*1+(5),,,"J1 A - (North) Bishopthorpe Roa")&amp;":"&amp;ADDRESS(130,3+18*1+(5))),'J1 A - (North) Bishopthorpe Roa'!$A$12:$A$130,"&gt;="&amp;Diagram!$O79,'J1 A - (North) Bishopthorpe Roa'!$A$12:$A$130,"&lt;"&amp;Diagram!$P79),SUMIFS(INDIRECT(ADDRESS(12,3+18*1+(13),,,"J1 A - (North) Bishopthorpe Roa")&amp;":"&amp;ADDRESS(130,3+18*1+(13))),'J1 A - (North) Bishopthorpe Roa'!$A$12:$A$130,"&gt;="&amp;Diagram!$O79,'J1 A - (North) Bishopthorpe Roa'!$A$12:$A$130,"&lt;"&amp;Diagram!$P79)))</f>
        <v>10</v>
      </c>
      <c r="DC79" s="42">
        <f ca="1">IF(OR($I$10="",$O79="",$P79="",$J$40&lt;&gt;"Yes"),0,IF($K$10=0,SUMIFS(INDIRECT(ADDRESS(12,3+18*2+(5),,,"J1 A - (North) Bishopthorpe Roa")&amp;":"&amp;ADDRESS(130,3+18*2+(5))),'J1 A - (North) Bishopthorpe Roa'!$A$12:$A$130,"&gt;="&amp;Diagram!$O79,'J1 A - (North) Bishopthorpe Roa'!$A$12:$A$130,"&lt;"&amp;Diagram!$P79),SUMIFS(INDIRECT(ADDRESS(12,3+18*2+(13),,,"J1 A - (North) Bishopthorpe Roa")&amp;":"&amp;ADDRESS(130,3+18*2+(13))),'J1 A - (North) Bishopthorpe Roa'!$A$12:$A$130,"&gt;="&amp;Diagram!$O79,'J1 A - (North) Bishopthorpe Roa'!$A$12:$A$130,"&lt;"&amp;Diagram!$P79)))</f>
        <v>8</v>
      </c>
      <c r="DD79" s="42">
        <f ca="1">IF(OR($I$10="",$O79="",$P79="",$J$40&lt;&gt;"Yes"),0,IF($K$10=0,SUMIFS(INDIRECT(ADDRESS(12,3+18*2+(5),,,"J1 B - Butcher Terrace")&amp;":"&amp;ADDRESS(130,3+18*2+(5))),'J1 B - Butcher Terrace'!$A$12:$A$130,"&gt;="&amp;Diagram!$O79,'J1 B - Butcher Terrace'!$A$12:$A$130,"&lt;"&amp;Diagram!$P79),SUMIFS(INDIRECT(ADDRESS(12,3+18*2+(13),,,"J1 B - Butcher Terrace")&amp;":"&amp;ADDRESS(130,3+18*2+(13))),'J1 B - Butcher Terrace'!$A$12:$A$130,"&gt;="&amp;Diagram!$O79,'J1 B - Butcher Terrace'!$A$12:$A$130,"&lt;"&amp;Diagram!$P79)))</f>
        <v>7</v>
      </c>
      <c r="DE79" s="42">
        <f ca="1">IF(OR($I$10="",$O79="",$P79="",$J$40&lt;&gt;"Yes"),0,IF($K$10=0,SUMIFS(INDIRECT(ADDRESS(12,3+18*3+(5),,,"J1 B - Butcher Terrace")&amp;":"&amp;ADDRESS(130,3+18*3+(5))),'J1 B - Butcher Terrace'!$A$12:$A$130,"&gt;="&amp;Diagram!$O79,'J1 B - Butcher Terrace'!$A$12:$A$130,"&lt;"&amp;Diagram!$P79),SUMIFS(INDIRECT(ADDRESS(12,3+18*3+(13),,,"J1 B - Butcher Terrace")&amp;":"&amp;ADDRESS(130,3+18*3+(13))),'J1 B - Butcher Terrace'!$A$12:$A$130,"&gt;="&amp;Diagram!$O79,'J1 B - Butcher Terrace'!$A$12:$A$130,"&lt;"&amp;Diagram!$P79)))</f>
        <v>0</v>
      </c>
      <c r="DF79" s="42">
        <f ca="1">IF(OR($I$10="",$O79="",$P79="",$J$40&lt;&gt;"Yes"),0,IF($K$10=0,SUMIFS(INDIRECT(ADDRESS(12,3+18*0+(5),,,"J1 B - Butcher Terrace")&amp;":"&amp;ADDRESS(130,3+18*0+(5))),'J1 B - Butcher Terrace'!$A$12:$A$130,"&gt;="&amp;Diagram!$O79,'J1 B - Butcher Terrace'!$A$12:$A$130,"&lt;"&amp;Diagram!$P79),SUMIFS(INDIRECT(ADDRESS(12,3+18*0+(13),,,"J1 B - Butcher Terrace")&amp;":"&amp;ADDRESS(130,3+18*0+(13))),'J1 B - Butcher Terrace'!$A$12:$A$130,"&gt;="&amp;Diagram!$O79,'J1 B - Butcher Terrace'!$A$12:$A$130,"&lt;"&amp;Diagram!$P79)))</f>
        <v>8</v>
      </c>
      <c r="DG79" s="42">
        <f ca="1">IF(OR($I$10="",$O79="",$P79="",$J$40&lt;&gt;"Yes"),0,IF($K$10=0,SUMIFS(INDIRECT(ADDRESS(12,3+18*1+(5),,,"J1 B - Butcher Terrace")&amp;":"&amp;ADDRESS(130,3+18*1+(5))),'J1 B - Butcher Terrace'!$A$12:$A$130,"&gt;="&amp;Diagram!$O79,'J1 B - Butcher Terrace'!$A$12:$A$130,"&lt;"&amp;Diagram!$P79),SUMIFS(INDIRECT(ADDRESS(12,3+18*1+(13),,,"J1 B - Butcher Terrace")&amp;":"&amp;ADDRESS(130,3+18*1+(13))),'J1 B - Butcher Terrace'!$A$12:$A$130,"&gt;="&amp;Diagram!$O79,'J1 B - Butcher Terrace'!$A$12:$A$130,"&lt;"&amp;Diagram!$P79)))</f>
        <v>11</v>
      </c>
      <c r="DH79" s="42">
        <f ca="1">IF(OR($I$10="",$O79="",$P79="",$J$40&lt;&gt;"Yes"),0,IF($K$10=0,SUMIFS(INDIRECT(ADDRESS(12,3+18*1+(5),,,"J1 C - (South) Bishopthorpe Roa")&amp;":"&amp;ADDRESS(130,3+18*1+(5))),'J1 C - (South) Bishopthorpe Roa'!$A$12:$A$130,"&gt;="&amp;Diagram!$O79,'J1 C - (South) Bishopthorpe Roa'!$A$12:$A$130,"&lt;"&amp;Diagram!$P79),SUMIFS(INDIRECT(ADDRESS(12,3+18*1+(13),,,"J1 C - (South) Bishopthorpe Roa")&amp;":"&amp;ADDRESS(130,3+18*1+(13))),'J1 C - (South) Bishopthorpe Roa'!$A$12:$A$130,"&gt;="&amp;Diagram!$O79,'J1 C - (South) Bishopthorpe Roa'!$A$12:$A$130,"&lt;"&amp;Diagram!$P79)))</f>
        <v>12</v>
      </c>
      <c r="DI79" s="42">
        <f ca="1">IF(OR($I$10="",$O79="",$P79="",$J$40&lt;&gt;"Yes"),0,IF($K$10=0,SUMIFS(INDIRECT(ADDRESS(12,3+18*2+(5),,,"J1 C - (South) Bishopthorpe Roa")&amp;":"&amp;ADDRESS(130,3+18*2+(5))),'J1 C - (South) Bishopthorpe Roa'!$A$12:$A$130,"&gt;="&amp;Diagram!$O79,'J1 C - (South) Bishopthorpe Roa'!$A$12:$A$130,"&lt;"&amp;Diagram!$P79),SUMIFS(INDIRECT(ADDRESS(12,3+18*2+(13),,,"J1 C - (South) Bishopthorpe Roa")&amp;":"&amp;ADDRESS(130,3+18*2+(13))),'J1 C - (South) Bishopthorpe Roa'!$A$12:$A$130,"&gt;="&amp;Diagram!$O79,'J1 C - (South) Bishopthorpe Roa'!$A$12:$A$130,"&lt;"&amp;Diagram!$P79)))</f>
        <v>10</v>
      </c>
      <c r="DJ79" s="42">
        <f ca="1">IF(OR($I$10="",$O79="",$P79="",$J$40&lt;&gt;"Yes"),0,IF($K$10=0,SUMIFS(INDIRECT(ADDRESS(12,3+18*3+(5),,,"J1 C - (South) Bishopthorpe Roa")&amp;":"&amp;ADDRESS(130,3+18*3+(5))),'J1 C - (South) Bishopthorpe Roa'!$A$12:$A$130,"&gt;="&amp;Diagram!$O79,'J1 C - (South) Bishopthorpe Roa'!$A$12:$A$130,"&lt;"&amp;Diagram!$P79),SUMIFS(INDIRECT(ADDRESS(12,3+18*3+(13),,,"J1 C - (South) Bishopthorpe Roa")&amp;":"&amp;ADDRESS(130,3+18*3+(13))),'J1 C - (South) Bishopthorpe Roa'!$A$12:$A$130,"&gt;="&amp;Diagram!$O79,'J1 C - (South) Bishopthorpe Roa'!$A$12:$A$130,"&lt;"&amp;Diagram!$P79)))</f>
        <v>0</v>
      </c>
      <c r="DK79" s="42">
        <f ca="1">IF(OR($I$10="",$O79="",$P79="",$J$40&lt;&gt;"Yes"),0,IF($K$10=0,SUMIFS(INDIRECT(ADDRESS(12,3+18*0+(5),,,"J1 C - (South) Bishopthorpe Roa")&amp;":"&amp;ADDRESS(130,3+18*0+(5))),'J1 C - (South) Bishopthorpe Roa'!$A$12:$A$130,"&gt;="&amp;Diagram!$O79,'J1 C - (South) Bishopthorpe Roa'!$A$12:$A$130,"&lt;"&amp;Diagram!$P79),SUMIFS(INDIRECT(ADDRESS(12,3+18*0+(13),,,"J1 C - (South) Bishopthorpe Roa")&amp;":"&amp;ADDRESS(130,3+18*0+(13))),'J1 C - (South) Bishopthorpe Roa'!$A$12:$A$130,"&gt;="&amp;Diagram!$O79,'J1 C - (South) Bishopthorpe Roa'!$A$12:$A$130,"&lt;"&amp;Diagram!$P79)))</f>
        <v>0</v>
      </c>
      <c r="DL79" s="42">
        <f ca="1">IF(OR($I$10="",$O79="",$P79="",$J$40&lt;&gt;"Yes"),0,IF($K$10=0,SUMIFS(INDIRECT(ADDRESS(12,3+18*0+(5),,,"J1 D - South Bank Avenue")&amp;":"&amp;ADDRESS(130,3+18*0+(5))),'J1 D - South Bank Avenue'!$A$12:$A$130,"&gt;="&amp;Diagram!$O79,'J1 D - South Bank Avenue'!$A$12:$A$130,"&lt;"&amp;Diagram!$P79),SUMIFS(INDIRECT(ADDRESS(12,3+18*0+(13),,,"J1 D - South Bank Avenue")&amp;":"&amp;ADDRESS(130,3+18*0+(13))),'J1 D - South Bank Avenue'!$A$12:$A$130,"&gt;="&amp;Diagram!$O79,'J1 D - South Bank Avenue'!$A$12:$A$130,"&lt;"&amp;Diagram!$P79)))</f>
        <v>6</v>
      </c>
      <c r="DM79" s="42">
        <f ca="1">IF(OR($I$10="",$O79="",$P79="",$J$40&lt;&gt;"Yes"),0,IF($K$10=0,SUMIFS(INDIRECT(ADDRESS(12,3+18*1+(5),,,"J1 D - South Bank Avenue")&amp;":"&amp;ADDRESS(130,3+18*1+(5))),'J1 D - South Bank Avenue'!$A$12:$A$130,"&gt;="&amp;Diagram!$O79,'J1 D - South Bank Avenue'!$A$12:$A$130,"&lt;"&amp;Diagram!$P79),SUMIFS(INDIRECT(ADDRESS(12,3+18*1+(13),,,"J1 D - South Bank Avenue")&amp;":"&amp;ADDRESS(130,3+18*1+(13))),'J1 D - South Bank Avenue'!$A$12:$A$130,"&gt;="&amp;Diagram!$O79,'J1 D - South Bank Avenue'!$A$12:$A$130,"&lt;"&amp;Diagram!$P79)))</f>
        <v>12</v>
      </c>
      <c r="DN79" s="42">
        <f ca="1">IF(OR($I$10="",$O79="",$P79="",$J$40&lt;&gt;"Yes"),0,IF($K$10=0,SUMIFS(INDIRECT(ADDRESS(12,3+18*2+(5),,,"J1 D - South Bank Avenue")&amp;":"&amp;ADDRESS(130,3+18*2+(5))),'J1 D - South Bank Avenue'!$A$12:$A$130,"&gt;="&amp;Diagram!$O79,'J1 D - South Bank Avenue'!$A$12:$A$130,"&lt;"&amp;Diagram!$P79),SUMIFS(INDIRECT(ADDRESS(12,3+18*2+(13),,,"J1 D - South Bank Avenue")&amp;":"&amp;ADDRESS(130,3+18*2+(13))),'J1 D - South Bank Avenue'!$A$12:$A$130,"&gt;="&amp;Diagram!$O79,'J1 D - South Bank Avenue'!$A$12:$A$130,"&lt;"&amp;Diagram!$P79)))</f>
        <v>2</v>
      </c>
      <c r="DO79" s="42">
        <f ca="1">IF(OR($I$10="",$O79="",$P79="",$J$40&lt;&gt;"Yes"),0,IF($K$10=0,SUMIFS(INDIRECT(ADDRESS(12,3+18*3+(5),,,"J1 D - South Bank Avenue")&amp;":"&amp;ADDRESS(130,3+18*3+(5))),'J1 D - South Bank Avenue'!$A$12:$A$130,"&gt;="&amp;Diagram!$O79,'J1 D - South Bank Avenue'!$A$12:$A$130,"&lt;"&amp;Diagram!$P79),SUMIFS(INDIRECT(ADDRESS(12,3+18*3+(13),,,"J1 D - South Bank Avenue")&amp;":"&amp;ADDRESS(130,3+18*3+(13))),'J1 D - South Bank Avenue'!$A$12:$A$130,"&gt;="&amp;Diagram!$O79,'J1 D - South Bank Avenue'!$A$12:$A$130,"&lt;"&amp;Diagram!$P79)))</f>
        <v>0</v>
      </c>
      <c r="DP79" s="42">
        <f t="shared" ca="1" si="17"/>
        <v>16</v>
      </c>
      <c r="DQ79" s="42">
        <f ca="1">IF(OR($I$10="",$O79="",$P79="",$J$41&lt;&gt;"Yes"),0,IF($K$10=0,SUMIFS(INDIRECT(ADDRESS(12,3+18*3+(6),,,"J1 A - (North) Bishopthorpe Roa")&amp;":"&amp;ADDRESS(130,3+18*3+(6))),'J1 A - (North) Bishopthorpe Roa'!$A$12:$A$130,"&gt;="&amp;Diagram!$O79,'J1 A - (North) Bishopthorpe Roa'!$A$12:$A$130,"&lt;"&amp;Diagram!$P79),SUMIFS(INDIRECT(ADDRESS(12,3+18*3+(14),,,"J1 A - (North) Bishopthorpe Roa")&amp;":"&amp;ADDRESS(130,3+18*3+(14))),'J1 A - (North) Bishopthorpe Roa'!$A$12:$A$130,"&gt;="&amp;Diagram!$O79,'J1 A - (North) Bishopthorpe Roa'!$A$12:$A$130,"&lt;"&amp;Diagram!$P79)))</f>
        <v>0</v>
      </c>
      <c r="DR79" s="42">
        <f ca="1">IF(OR($I$10="",$O79="",$P79="",$J$41&lt;&gt;"Yes"),0,IF($K$10=0,SUMIFS(INDIRECT(ADDRESS(12,3+18*0+(6),,,"J1 A - (North) Bishopthorpe Roa")&amp;":"&amp;ADDRESS(130,3+18*0+(6))),'J1 A - (North) Bishopthorpe Roa'!$A$12:$A$130,"&gt;="&amp;Diagram!$O79,'J1 A - (North) Bishopthorpe Roa'!$A$12:$A$130,"&lt;"&amp;Diagram!$P79),SUMIFS(INDIRECT(ADDRESS(12,3+18*0+(14),,,"J1 A - (North) Bishopthorpe Roa")&amp;":"&amp;ADDRESS(130,3+18*0+(14))),'J1 A - (North) Bishopthorpe Roa'!$A$12:$A$130,"&gt;="&amp;Diagram!$O79,'J1 A - (North) Bishopthorpe Roa'!$A$12:$A$130,"&lt;"&amp;Diagram!$P79)))</f>
        <v>1</v>
      </c>
      <c r="DS79" s="42">
        <f ca="1">IF(OR($I$10="",$O79="",$P79="",$J$41&lt;&gt;"Yes"),0,IF($K$10=0,SUMIFS(INDIRECT(ADDRESS(12,3+18*1+(6),,,"J1 A - (North) Bishopthorpe Roa")&amp;":"&amp;ADDRESS(130,3+18*1+(6))),'J1 A - (North) Bishopthorpe Roa'!$A$12:$A$130,"&gt;="&amp;Diagram!$O79,'J1 A - (North) Bishopthorpe Roa'!$A$12:$A$130,"&lt;"&amp;Diagram!$P79),SUMIFS(INDIRECT(ADDRESS(12,3+18*1+(14),,,"J1 A - (North) Bishopthorpe Roa")&amp;":"&amp;ADDRESS(130,3+18*1+(14))),'J1 A - (North) Bishopthorpe Roa'!$A$12:$A$130,"&gt;="&amp;Diagram!$O79,'J1 A - (North) Bishopthorpe Roa'!$A$12:$A$130,"&lt;"&amp;Diagram!$P79)))</f>
        <v>6</v>
      </c>
      <c r="DT79" s="42">
        <f ca="1">IF(OR($I$10="",$O79="",$P79="",$J$41&lt;&gt;"Yes"),0,IF($K$10=0,SUMIFS(INDIRECT(ADDRESS(12,3+18*2+(6),,,"J1 A - (North) Bishopthorpe Roa")&amp;":"&amp;ADDRESS(130,3+18*2+(6))),'J1 A - (North) Bishopthorpe Roa'!$A$12:$A$130,"&gt;="&amp;Diagram!$O79,'J1 A - (North) Bishopthorpe Roa'!$A$12:$A$130,"&lt;"&amp;Diagram!$P79),SUMIFS(INDIRECT(ADDRESS(12,3+18*2+(14),,,"J1 A - (North) Bishopthorpe Roa")&amp;":"&amp;ADDRESS(130,3+18*2+(14))),'J1 A - (North) Bishopthorpe Roa'!$A$12:$A$130,"&gt;="&amp;Diagram!$O79,'J1 A - (North) Bishopthorpe Roa'!$A$12:$A$130,"&lt;"&amp;Diagram!$P79)))</f>
        <v>2</v>
      </c>
      <c r="DU79" s="42">
        <f ca="1">IF(OR($I$10="",$O79="",$P79="",$J$41&lt;&gt;"Yes"),0,IF($K$10=0,SUMIFS(INDIRECT(ADDRESS(12,3+18*2+(6),,,"J1 B - Butcher Terrace")&amp;":"&amp;ADDRESS(130,3+18*2+(6))),'J1 B - Butcher Terrace'!$A$12:$A$130,"&gt;="&amp;Diagram!$O79,'J1 B - Butcher Terrace'!$A$12:$A$130,"&lt;"&amp;Diagram!$P79),SUMIFS(INDIRECT(ADDRESS(12,3+18*2+(14),,,"J1 B - Butcher Terrace")&amp;":"&amp;ADDRESS(130,3+18*2+(14))),'J1 B - Butcher Terrace'!$A$12:$A$130,"&gt;="&amp;Diagram!$O79,'J1 B - Butcher Terrace'!$A$12:$A$130,"&lt;"&amp;Diagram!$P79)))</f>
        <v>2</v>
      </c>
      <c r="DV79" s="42">
        <f ca="1">IF(OR($I$10="",$O79="",$P79="",$J$41&lt;&gt;"Yes"),0,IF($K$10=0,SUMIFS(INDIRECT(ADDRESS(12,3+18*3+(6),,,"J1 B - Butcher Terrace")&amp;":"&amp;ADDRESS(130,3+18*3+(6))),'J1 B - Butcher Terrace'!$A$12:$A$130,"&gt;="&amp;Diagram!$O79,'J1 B - Butcher Terrace'!$A$12:$A$130,"&lt;"&amp;Diagram!$P79),SUMIFS(INDIRECT(ADDRESS(12,3+18*3+(14),,,"J1 B - Butcher Terrace")&amp;":"&amp;ADDRESS(130,3+18*3+(14))),'J1 B - Butcher Terrace'!$A$12:$A$130,"&gt;="&amp;Diagram!$O79,'J1 B - Butcher Terrace'!$A$12:$A$130,"&lt;"&amp;Diagram!$P79)))</f>
        <v>0</v>
      </c>
      <c r="DW79" s="42">
        <f ca="1">IF(OR($I$10="",$O79="",$P79="",$J$41&lt;&gt;"Yes"),0,IF($K$10=0,SUMIFS(INDIRECT(ADDRESS(12,3+18*0+(6),,,"J1 B - Butcher Terrace")&amp;":"&amp;ADDRESS(130,3+18*0+(6))),'J1 B - Butcher Terrace'!$A$12:$A$130,"&gt;="&amp;Diagram!$O79,'J1 B - Butcher Terrace'!$A$12:$A$130,"&lt;"&amp;Diagram!$P79),SUMIFS(INDIRECT(ADDRESS(12,3+18*0+(14),,,"J1 B - Butcher Terrace")&amp;":"&amp;ADDRESS(130,3+18*0+(14))),'J1 B - Butcher Terrace'!$A$12:$A$130,"&gt;="&amp;Diagram!$O79,'J1 B - Butcher Terrace'!$A$12:$A$130,"&lt;"&amp;Diagram!$P79)))</f>
        <v>1</v>
      </c>
      <c r="DX79" s="42">
        <f ca="1">IF(OR($I$10="",$O79="",$P79="",$J$41&lt;&gt;"Yes"),0,IF($K$10=0,SUMIFS(INDIRECT(ADDRESS(12,3+18*1+(6),,,"J1 B - Butcher Terrace")&amp;":"&amp;ADDRESS(130,3+18*1+(6))),'J1 B - Butcher Terrace'!$A$12:$A$130,"&gt;="&amp;Diagram!$O79,'J1 B - Butcher Terrace'!$A$12:$A$130,"&lt;"&amp;Diagram!$P79),SUMIFS(INDIRECT(ADDRESS(12,3+18*1+(14),,,"J1 B - Butcher Terrace")&amp;":"&amp;ADDRESS(130,3+18*1+(14))),'J1 B - Butcher Terrace'!$A$12:$A$130,"&gt;="&amp;Diagram!$O79,'J1 B - Butcher Terrace'!$A$12:$A$130,"&lt;"&amp;Diagram!$P79)))</f>
        <v>0</v>
      </c>
      <c r="DY79" s="42">
        <f ca="1">IF(OR($I$10="",$O79="",$P79="",$J$41&lt;&gt;"Yes"),0,IF($K$10=0,SUMIFS(INDIRECT(ADDRESS(12,3+18*1+(6),,,"J1 C - (South) Bishopthorpe Roa")&amp;":"&amp;ADDRESS(130,3+18*1+(6))),'J1 C - (South) Bishopthorpe Roa'!$A$12:$A$130,"&gt;="&amp;Diagram!$O79,'J1 C - (South) Bishopthorpe Roa'!$A$12:$A$130,"&lt;"&amp;Diagram!$P79),SUMIFS(INDIRECT(ADDRESS(12,3+18*1+(14),,,"J1 C - (South) Bishopthorpe Roa")&amp;":"&amp;ADDRESS(130,3+18*1+(14))),'J1 C - (South) Bishopthorpe Roa'!$A$12:$A$130,"&gt;="&amp;Diagram!$O79,'J1 C - (South) Bishopthorpe Roa'!$A$12:$A$130,"&lt;"&amp;Diagram!$P79)))</f>
        <v>3</v>
      </c>
      <c r="DZ79" s="42">
        <f ca="1">IF(OR($I$10="",$O79="",$P79="",$J$41&lt;&gt;"Yes"),0,IF($K$10=0,SUMIFS(INDIRECT(ADDRESS(12,3+18*2+(6),,,"J1 C - (South) Bishopthorpe Roa")&amp;":"&amp;ADDRESS(130,3+18*2+(6))),'J1 C - (South) Bishopthorpe Roa'!$A$12:$A$130,"&gt;="&amp;Diagram!$O79,'J1 C - (South) Bishopthorpe Roa'!$A$12:$A$130,"&lt;"&amp;Diagram!$P79),SUMIFS(INDIRECT(ADDRESS(12,3+18*2+(14),,,"J1 C - (South) Bishopthorpe Roa")&amp;":"&amp;ADDRESS(130,3+18*2+(14))),'J1 C - (South) Bishopthorpe Roa'!$A$12:$A$130,"&gt;="&amp;Diagram!$O79,'J1 C - (South) Bishopthorpe Roa'!$A$12:$A$130,"&lt;"&amp;Diagram!$P79)))</f>
        <v>0</v>
      </c>
      <c r="EA79" s="42">
        <f ca="1">IF(OR($I$10="",$O79="",$P79="",$J$41&lt;&gt;"Yes"),0,IF($K$10=0,SUMIFS(INDIRECT(ADDRESS(12,3+18*3+(6),,,"J1 C - (South) Bishopthorpe Roa")&amp;":"&amp;ADDRESS(130,3+18*3+(6))),'J1 C - (South) Bishopthorpe Roa'!$A$12:$A$130,"&gt;="&amp;Diagram!$O79,'J1 C - (South) Bishopthorpe Roa'!$A$12:$A$130,"&lt;"&amp;Diagram!$P79),SUMIFS(INDIRECT(ADDRESS(12,3+18*3+(14),,,"J1 C - (South) Bishopthorpe Roa")&amp;":"&amp;ADDRESS(130,3+18*3+(14))),'J1 C - (South) Bishopthorpe Roa'!$A$12:$A$130,"&gt;="&amp;Diagram!$O79,'J1 C - (South) Bishopthorpe Roa'!$A$12:$A$130,"&lt;"&amp;Diagram!$P79)))</f>
        <v>0</v>
      </c>
      <c r="EB79" s="42">
        <f ca="1">IF(OR($I$10="",$O79="",$P79="",$J$41&lt;&gt;"Yes"),0,IF($K$10=0,SUMIFS(INDIRECT(ADDRESS(12,3+18*0+(6),,,"J1 C - (South) Bishopthorpe Roa")&amp;":"&amp;ADDRESS(130,3+18*0+(6))),'J1 C - (South) Bishopthorpe Roa'!$A$12:$A$130,"&gt;="&amp;Diagram!$O79,'J1 C - (South) Bishopthorpe Roa'!$A$12:$A$130,"&lt;"&amp;Diagram!$P79),SUMIFS(INDIRECT(ADDRESS(12,3+18*0+(14),,,"J1 C - (South) Bishopthorpe Roa")&amp;":"&amp;ADDRESS(130,3+18*0+(14))),'J1 C - (South) Bishopthorpe Roa'!$A$12:$A$130,"&gt;="&amp;Diagram!$O79,'J1 C - (South) Bishopthorpe Roa'!$A$12:$A$130,"&lt;"&amp;Diagram!$P79)))</f>
        <v>0</v>
      </c>
      <c r="EC79" s="42">
        <f ca="1">IF(OR($I$10="",$O79="",$P79="",$J$41&lt;&gt;"Yes"),0,IF($K$10=0,SUMIFS(INDIRECT(ADDRESS(12,3+18*0+(6),,,"J1 D - South Bank Avenue")&amp;":"&amp;ADDRESS(130,3+18*0+(6))),'J1 D - South Bank Avenue'!$A$12:$A$130,"&gt;="&amp;Diagram!$O79,'J1 D - South Bank Avenue'!$A$12:$A$130,"&lt;"&amp;Diagram!$P79),SUMIFS(INDIRECT(ADDRESS(12,3+18*0+(14),,,"J1 D - South Bank Avenue")&amp;":"&amp;ADDRESS(130,3+18*0+(14))),'J1 D - South Bank Avenue'!$A$12:$A$130,"&gt;="&amp;Diagram!$O79,'J1 D - South Bank Avenue'!$A$12:$A$130,"&lt;"&amp;Diagram!$P79)))</f>
        <v>1</v>
      </c>
      <c r="ED79" s="42">
        <f ca="1">IF(OR($I$10="",$O79="",$P79="",$J$41&lt;&gt;"Yes"),0,IF($K$10=0,SUMIFS(INDIRECT(ADDRESS(12,3+18*1+(6),,,"J1 D - South Bank Avenue")&amp;":"&amp;ADDRESS(130,3+18*1+(6))),'J1 D - South Bank Avenue'!$A$12:$A$130,"&gt;="&amp;Diagram!$O79,'J1 D - South Bank Avenue'!$A$12:$A$130,"&lt;"&amp;Diagram!$P79),SUMIFS(INDIRECT(ADDRESS(12,3+18*1+(14),,,"J1 D - South Bank Avenue")&amp;":"&amp;ADDRESS(130,3+18*1+(14))),'J1 D - South Bank Avenue'!$A$12:$A$130,"&gt;="&amp;Diagram!$O79,'J1 D - South Bank Avenue'!$A$12:$A$130,"&lt;"&amp;Diagram!$P79)))</f>
        <v>0</v>
      </c>
      <c r="EE79" s="42">
        <f ca="1">IF(OR($I$10="",$O79="",$P79="",$J$41&lt;&gt;"Yes"),0,IF($K$10=0,SUMIFS(INDIRECT(ADDRESS(12,3+18*2+(6),,,"J1 D - South Bank Avenue")&amp;":"&amp;ADDRESS(130,3+18*2+(6))),'J1 D - South Bank Avenue'!$A$12:$A$130,"&gt;="&amp;Diagram!$O79,'J1 D - South Bank Avenue'!$A$12:$A$130,"&lt;"&amp;Diagram!$P79),SUMIFS(INDIRECT(ADDRESS(12,3+18*2+(14),,,"J1 D - South Bank Avenue")&amp;":"&amp;ADDRESS(130,3+18*2+(14))),'J1 D - South Bank Avenue'!$A$12:$A$130,"&gt;="&amp;Diagram!$O79,'J1 D - South Bank Avenue'!$A$12:$A$130,"&lt;"&amp;Diagram!$P79)))</f>
        <v>0</v>
      </c>
      <c r="EF79" s="42">
        <f ca="1">IF(OR($I$10="",$O79="",$P79="",$J$41&lt;&gt;"Yes"),0,IF($K$10=0,SUMIFS(INDIRECT(ADDRESS(12,3+18*3+(6),,,"J1 D - South Bank Avenue")&amp;":"&amp;ADDRESS(130,3+18*3+(6))),'J1 D - South Bank Avenue'!$A$12:$A$130,"&gt;="&amp;Diagram!$O79,'J1 D - South Bank Avenue'!$A$12:$A$130,"&lt;"&amp;Diagram!$P79),SUMIFS(INDIRECT(ADDRESS(12,3+18*3+(14),,,"J1 D - South Bank Avenue")&amp;":"&amp;ADDRESS(130,3+18*3+(14))),'J1 D - South Bank Avenue'!$A$12:$A$130,"&gt;="&amp;Diagram!$O79,'J1 D - South Bank Avenue'!$A$12:$A$130,"&lt;"&amp;Diagram!$P79)))</f>
        <v>0</v>
      </c>
      <c r="EG79" s="42">
        <f t="shared" ca="1" si="18"/>
        <v>0</v>
      </c>
      <c r="EH79" s="42">
        <f ca="1">IF(OR($I$10="",$O79="",$P79="",$J$42&lt;&gt;"Yes"),0,IF($K$10=0,SUMIFS(INDIRECT(ADDRESS(12,3+18*3+(7),,,"J1 A - (North) Bishopthorpe Roa")&amp;":"&amp;ADDRESS(130,3+18*3+(7))),'J1 A - (North) Bishopthorpe Roa'!$A$12:$A$130,"&gt;="&amp;Diagram!$O79,'J1 A - (North) Bishopthorpe Roa'!$A$12:$A$130,"&lt;"&amp;Diagram!$P79),SUMIFS(INDIRECT(ADDRESS(12,3+18*3+(15),,,"J1 A - (North) Bishopthorpe Roa")&amp;":"&amp;ADDRESS(130,3+18*3+(15))),'J1 A - (North) Bishopthorpe Roa'!$A$12:$A$130,"&gt;="&amp;Diagram!$O79,'J1 A - (North) Bishopthorpe Roa'!$A$12:$A$130,"&lt;"&amp;Diagram!$P79)))</f>
        <v>0</v>
      </c>
      <c r="EI79" s="42">
        <f ca="1">IF(OR($I$10="",$O79="",$P79="",$J$42&lt;&gt;"Yes"),0,IF($K$10=0,SUMIFS(INDIRECT(ADDRESS(12,3+18*0+(7),,,"J1 A - (North) Bishopthorpe Roa")&amp;":"&amp;ADDRESS(130,3+18*0+(7))),'J1 A - (North) Bishopthorpe Roa'!$A$12:$A$130,"&gt;="&amp;Diagram!$O79,'J1 A - (North) Bishopthorpe Roa'!$A$12:$A$130,"&lt;"&amp;Diagram!$P79),SUMIFS(INDIRECT(ADDRESS(12,3+18*0+(15),,,"J1 A - (North) Bishopthorpe Roa")&amp;":"&amp;ADDRESS(130,3+18*0+(15))),'J1 A - (North) Bishopthorpe Roa'!$A$12:$A$130,"&gt;="&amp;Diagram!$O79,'J1 A - (North) Bishopthorpe Roa'!$A$12:$A$130,"&lt;"&amp;Diagram!$P79)))</f>
        <v>0</v>
      </c>
      <c r="EJ79" s="42">
        <f ca="1">IF(OR($I$10="",$O79="",$P79="",$J$42&lt;&gt;"Yes"),0,IF($K$10=0,SUMIFS(INDIRECT(ADDRESS(12,3+18*1+(7),,,"J1 A - (North) Bishopthorpe Roa")&amp;":"&amp;ADDRESS(130,3+18*1+(7))),'J1 A - (North) Bishopthorpe Roa'!$A$12:$A$130,"&gt;="&amp;Diagram!$O79,'J1 A - (North) Bishopthorpe Roa'!$A$12:$A$130,"&lt;"&amp;Diagram!$P79),SUMIFS(INDIRECT(ADDRESS(12,3+18*1+(15),,,"J1 A - (North) Bishopthorpe Roa")&amp;":"&amp;ADDRESS(130,3+18*1+(15))),'J1 A - (North) Bishopthorpe Roa'!$A$12:$A$130,"&gt;="&amp;Diagram!$O79,'J1 A - (North) Bishopthorpe Roa'!$A$12:$A$130,"&lt;"&amp;Diagram!$P79)))</f>
        <v>0</v>
      </c>
      <c r="EK79" s="42">
        <f ca="1">IF(OR($I$10="",$O79="",$P79="",$J$42&lt;&gt;"Yes"),0,IF($K$10=0,SUMIFS(INDIRECT(ADDRESS(12,3+18*2+(7),,,"J1 A - (North) Bishopthorpe Roa")&amp;":"&amp;ADDRESS(130,3+18*2+(7))),'J1 A - (North) Bishopthorpe Roa'!$A$12:$A$130,"&gt;="&amp;Diagram!$O79,'J1 A - (North) Bishopthorpe Roa'!$A$12:$A$130,"&lt;"&amp;Diagram!$P79),SUMIFS(INDIRECT(ADDRESS(12,3+18*2+(15),,,"J1 A - (North) Bishopthorpe Roa")&amp;":"&amp;ADDRESS(130,3+18*2+(15))),'J1 A - (North) Bishopthorpe Roa'!$A$12:$A$130,"&gt;="&amp;Diagram!$O79,'J1 A - (North) Bishopthorpe Roa'!$A$12:$A$130,"&lt;"&amp;Diagram!$P79)))</f>
        <v>0</v>
      </c>
      <c r="EL79" s="42">
        <f ca="1">IF(OR($I$10="",$O79="",$P79="",$J$42&lt;&gt;"Yes"),0,IF($K$10=0,SUMIFS(INDIRECT(ADDRESS(12,3+18*2+(7),,,"J1 B - Butcher Terrace")&amp;":"&amp;ADDRESS(130,3+18*2+(7))),'J1 B - Butcher Terrace'!$A$12:$A$130,"&gt;="&amp;Diagram!$O79,'J1 B - Butcher Terrace'!$A$12:$A$130,"&lt;"&amp;Diagram!$P79),SUMIFS(INDIRECT(ADDRESS(12,3+18*2+(15),,,"J1 B - Butcher Terrace")&amp;":"&amp;ADDRESS(130,3+18*2+(15))),'J1 B - Butcher Terrace'!$A$12:$A$130,"&gt;="&amp;Diagram!$O79,'J1 B - Butcher Terrace'!$A$12:$A$130,"&lt;"&amp;Diagram!$P79)))</f>
        <v>0</v>
      </c>
      <c r="EM79" s="42">
        <f ca="1">IF(OR($I$10="",$O79="",$P79="",$J$42&lt;&gt;"Yes"),0,IF($K$10=0,SUMIFS(INDIRECT(ADDRESS(12,3+18*3+(7),,,"J1 B - Butcher Terrace")&amp;":"&amp;ADDRESS(130,3+18*3+(7))),'J1 B - Butcher Terrace'!$A$12:$A$130,"&gt;="&amp;Diagram!$O79,'J1 B - Butcher Terrace'!$A$12:$A$130,"&lt;"&amp;Diagram!$P79),SUMIFS(INDIRECT(ADDRESS(12,3+18*3+(15),,,"J1 B - Butcher Terrace")&amp;":"&amp;ADDRESS(130,3+18*3+(15))),'J1 B - Butcher Terrace'!$A$12:$A$130,"&gt;="&amp;Diagram!$O79,'J1 B - Butcher Terrace'!$A$12:$A$130,"&lt;"&amp;Diagram!$P79)))</f>
        <v>0</v>
      </c>
      <c r="EN79" s="42">
        <f ca="1">IF(OR($I$10="",$O79="",$P79="",$J$42&lt;&gt;"Yes"),0,IF($K$10=0,SUMIFS(INDIRECT(ADDRESS(12,3+18*0+(7),,,"J1 B - Butcher Terrace")&amp;":"&amp;ADDRESS(130,3+18*0+(7))),'J1 B - Butcher Terrace'!$A$12:$A$130,"&gt;="&amp;Diagram!$O79,'J1 B - Butcher Terrace'!$A$12:$A$130,"&lt;"&amp;Diagram!$P79),SUMIFS(INDIRECT(ADDRESS(12,3+18*0+(15),,,"J1 B - Butcher Terrace")&amp;":"&amp;ADDRESS(130,3+18*0+(15))),'J1 B - Butcher Terrace'!$A$12:$A$130,"&gt;="&amp;Diagram!$O79,'J1 B - Butcher Terrace'!$A$12:$A$130,"&lt;"&amp;Diagram!$P79)))</f>
        <v>0</v>
      </c>
      <c r="EO79" s="42">
        <f ca="1">IF(OR($I$10="",$O79="",$P79="",$J$42&lt;&gt;"Yes"),0,IF($K$10=0,SUMIFS(INDIRECT(ADDRESS(12,3+18*1+(7),,,"J1 B - Butcher Terrace")&amp;":"&amp;ADDRESS(130,3+18*1+(7))),'J1 B - Butcher Terrace'!$A$12:$A$130,"&gt;="&amp;Diagram!$O79,'J1 B - Butcher Terrace'!$A$12:$A$130,"&lt;"&amp;Diagram!$P79),SUMIFS(INDIRECT(ADDRESS(12,3+18*1+(15),,,"J1 B - Butcher Terrace")&amp;":"&amp;ADDRESS(130,3+18*1+(15))),'J1 B - Butcher Terrace'!$A$12:$A$130,"&gt;="&amp;Diagram!$O79,'J1 B - Butcher Terrace'!$A$12:$A$130,"&lt;"&amp;Diagram!$P79)))</f>
        <v>0</v>
      </c>
      <c r="EP79" s="42">
        <f ca="1">IF(OR($I$10="",$O79="",$P79="",$J$42&lt;&gt;"Yes"),0,IF($K$10=0,SUMIFS(INDIRECT(ADDRESS(12,3+18*1+(7),,,"J1 C - (South) Bishopthorpe Roa")&amp;":"&amp;ADDRESS(130,3+18*1+(7))),'J1 C - (South) Bishopthorpe Roa'!$A$12:$A$130,"&gt;="&amp;Diagram!$O79,'J1 C - (South) Bishopthorpe Roa'!$A$12:$A$130,"&lt;"&amp;Diagram!$P79),SUMIFS(INDIRECT(ADDRESS(12,3+18*1+(15),,,"J1 C - (South) Bishopthorpe Roa")&amp;":"&amp;ADDRESS(130,3+18*1+(15))),'J1 C - (South) Bishopthorpe Roa'!$A$12:$A$130,"&gt;="&amp;Diagram!$O79,'J1 C - (South) Bishopthorpe Roa'!$A$12:$A$130,"&lt;"&amp;Diagram!$P79)))</f>
        <v>0</v>
      </c>
      <c r="EQ79" s="42">
        <f ca="1">IF(OR($I$10="",$O79="",$P79="",$J$42&lt;&gt;"Yes"),0,IF($K$10=0,SUMIFS(INDIRECT(ADDRESS(12,3+18*2+(7),,,"J1 C - (South) Bishopthorpe Roa")&amp;":"&amp;ADDRESS(130,3+18*2+(7))),'J1 C - (South) Bishopthorpe Roa'!$A$12:$A$130,"&gt;="&amp;Diagram!$O79,'J1 C - (South) Bishopthorpe Roa'!$A$12:$A$130,"&lt;"&amp;Diagram!$P79),SUMIFS(INDIRECT(ADDRESS(12,3+18*2+(15),,,"J1 C - (South) Bishopthorpe Roa")&amp;":"&amp;ADDRESS(130,3+18*2+(15))),'J1 C - (South) Bishopthorpe Roa'!$A$12:$A$130,"&gt;="&amp;Diagram!$O79,'J1 C - (South) Bishopthorpe Roa'!$A$12:$A$130,"&lt;"&amp;Diagram!$P79)))</f>
        <v>0</v>
      </c>
      <c r="ER79" s="42">
        <f ca="1">IF(OR($I$10="",$O79="",$P79="",$J$42&lt;&gt;"Yes"),0,IF($K$10=0,SUMIFS(INDIRECT(ADDRESS(12,3+18*3+(7),,,"J1 C - (South) Bishopthorpe Roa")&amp;":"&amp;ADDRESS(130,3+18*3+(7))),'J1 C - (South) Bishopthorpe Roa'!$A$12:$A$130,"&gt;="&amp;Diagram!$O79,'J1 C - (South) Bishopthorpe Roa'!$A$12:$A$130,"&lt;"&amp;Diagram!$P79),SUMIFS(INDIRECT(ADDRESS(12,3+18*3+(15),,,"J1 C - (South) Bishopthorpe Roa")&amp;":"&amp;ADDRESS(130,3+18*3+(15))),'J1 C - (South) Bishopthorpe Roa'!$A$12:$A$130,"&gt;="&amp;Diagram!$O79,'J1 C - (South) Bishopthorpe Roa'!$A$12:$A$130,"&lt;"&amp;Diagram!$P79)))</f>
        <v>0</v>
      </c>
      <c r="ES79" s="42">
        <f ca="1">IF(OR($I$10="",$O79="",$P79="",$J$42&lt;&gt;"Yes"),0,IF($K$10=0,SUMIFS(INDIRECT(ADDRESS(12,3+18*0+(7),,,"J1 C - (South) Bishopthorpe Roa")&amp;":"&amp;ADDRESS(130,3+18*0+(7))),'J1 C - (South) Bishopthorpe Roa'!$A$12:$A$130,"&gt;="&amp;Diagram!$O79,'J1 C - (South) Bishopthorpe Roa'!$A$12:$A$130,"&lt;"&amp;Diagram!$P79),SUMIFS(INDIRECT(ADDRESS(12,3+18*0+(15),,,"J1 C - (South) Bishopthorpe Roa")&amp;":"&amp;ADDRESS(130,3+18*0+(15))),'J1 C - (South) Bishopthorpe Roa'!$A$12:$A$130,"&gt;="&amp;Diagram!$O79,'J1 C - (South) Bishopthorpe Roa'!$A$12:$A$130,"&lt;"&amp;Diagram!$P79)))</f>
        <v>0</v>
      </c>
      <c r="ET79" s="42">
        <f ca="1">IF(OR($I$10="",$O79="",$P79="",$J$42&lt;&gt;"Yes"),0,IF($K$10=0,SUMIFS(INDIRECT(ADDRESS(12,3+18*0+(7),,,"J1 D - South Bank Avenue")&amp;":"&amp;ADDRESS(130,3+18*0+(7))),'J1 D - South Bank Avenue'!$A$12:$A$130,"&gt;="&amp;Diagram!$O79,'J1 D - South Bank Avenue'!$A$12:$A$130,"&lt;"&amp;Diagram!$P79),SUMIFS(INDIRECT(ADDRESS(12,3+18*0+(15),,,"J1 D - South Bank Avenue")&amp;":"&amp;ADDRESS(130,3+18*0+(15))),'J1 D - South Bank Avenue'!$A$12:$A$130,"&gt;="&amp;Diagram!$O79,'J1 D - South Bank Avenue'!$A$12:$A$130,"&lt;"&amp;Diagram!$P79)))</f>
        <v>0</v>
      </c>
      <c r="EU79" s="42">
        <f ca="1">IF(OR($I$10="",$O79="",$P79="",$J$42&lt;&gt;"Yes"),0,IF($K$10=0,SUMIFS(INDIRECT(ADDRESS(12,3+18*1+(7),,,"J1 D - South Bank Avenue")&amp;":"&amp;ADDRESS(130,3+18*1+(7))),'J1 D - South Bank Avenue'!$A$12:$A$130,"&gt;="&amp;Diagram!$O79,'J1 D - South Bank Avenue'!$A$12:$A$130,"&lt;"&amp;Diagram!$P79),SUMIFS(INDIRECT(ADDRESS(12,3+18*1+(15),,,"J1 D - South Bank Avenue")&amp;":"&amp;ADDRESS(130,3+18*1+(15))),'J1 D - South Bank Avenue'!$A$12:$A$130,"&gt;="&amp;Diagram!$O79,'J1 D - South Bank Avenue'!$A$12:$A$130,"&lt;"&amp;Diagram!$P79)))</f>
        <v>0</v>
      </c>
      <c r="EV79" s="42">
        <f ca="1">IF(OR($I$10="",$O79="",$P79="",$J$42&lt;&gt;"Yes"),0,IF($K$10=0,SUMIFS(INDIRECT(ADDRESS(12,3+18*2+(7),,,"J1 D - South Bank Avenue")&amp;":"&amp;ADDRESS(130,3+18*2+(7))),'J1 D - South Bank Avenue'!$A$12:$A$130,"&gt;="&amp;Diagram!$O79,'J1 D - South Bank Avenue'!$A$12:$A$130,"&lt;"&amp;Diagram!$P79),SUMIFS(INDIRECT(ADDRESS(12,3+18*2+(15),,,"J1 D - South Bank Avenue")&amp;":"&amp;ADDRESS(130,3+18*2+(15))),'J1 D - South Bank Avenue'!$A$12:$A$130,"&gt;="&amp;Diagram!$O79,'J1 D - South Bank Avenue'!$A$12:$A$130,"&lt;"&amp;Diagram!$P79)))</f>
        <v>0</v>
      </c>
      <c r="EW79" s="42">
        <f ca="1">IF(OR($I$10="",$O79="",$P79="",$J$42&lt;&gt;"Yes"),0,IF($K$10=0,SUMIFS(INDIRECT(ADDRESS(12,3+18*3+(7),,,"J1 D - South Bank Avenue")&amp;":"&amp;ADDRESS(130,3+18*3+(7))),'J1 D - South Bank Avenue'!$A$12:$A$130,"&gt;="&amp;Diagram!$O79,'J1 D - South Bank Avenue'!$A$12:$A$130,"&lt;"&amp;Diagram!$P79),SUMIFS(INDIRECT(ADDRESS(12,3+18*3+(15),,,"J1 D - South Bank Avenue")&amp;":"&amp;ADDRESS(130,3+18*3+(15))),'J1 D - South Bank Avenue'!$A$12:$A$130,"&gt;="&amp;Diagram!$O79,'J1 D - South Bank Avenue'!$A$12:$A$130,"&lt;"&amp;Diagram!$P79)))</f>
        <v>0</v>
      </c>
    </row>
    <row r="80" spans="1:153">
      <c r="A80" s="1">
        <v>44395.822916666701</v>
      </c>
      <c r="B80" s="1">
        <v>44395.833333333299</v>
      </c>
      <c r="O80" s="3">
        <v>44395.822916666701</v>
      </c>
      <c r="P80" s="3">
        <v>44395.864583333299</v>
      </c>
      <c r="Q80" s="42">
        <f t="shared" ca="1" si="10"/>
        <v>444</v>
      </c>
      <c r="R80" s="42">
        <f t="shared" ca="1" si="11"/>
        <v>321</v>
      </c>
      <c r="S80" s="42">
        <f ca="1">IF(OR($I$10="",$O80="",$P80="",$J$35&lt;&gt;"Yes"),0,IF($K$10=0,SUMIFS(INDIRECT(ADDRESS(12,3+18*3+(0),,,"J1 A - (North) Bishopthorpe Roa")&amp;":"&amp;ADDRESS(130,3+18*3+(0))),'J1 A - (North) Bishopthorpe Roa'!$A$12:$A$130,"&gt;="&amp;Diagram!$O80,'J1 A - (North) Bishopthorpe Roa'!$A$12:$A$130,"&lt;"&amp;Diagram!$P80),SUMIFS(INDIRECT(ADDRESS(12,3+18*3+(8),,,"J1 A - (North) Bishopthorpe Roa")&amp;":"&amp;ADDRESS(130,3+18*3+(8))),'J1 A - (North) Bishopthorpe Roa'!$A$12:$A$130,"&gt;="&amp;Diagram!$O80,'J1 A - (North) Bishopthorpe Roa'!$A$12:$A$130,"&lt;"&amp;Diagram!$P80)))</f>
        <v>0</v>
      </c>
      <c r="T80" s="42">
        <f ca="1">IF(OR($I$10="",$O80="",$P80="",$J$35&lt;&gt;"Yes"),0,IF($K$10=0,SUMIFS(INDIRECT(ADDRESS(12,3+18*0+(0),,,"J1 A - (North) Bishopthorpe Roa")&amp;":"&amp;ADDRESS(130,3+18*0+(0))),'J1 A - (North) Bishopthorpe Roa'!$A$12:$A$130,"&gt;="&amp;Diagram!$O80,'J1 A - (North) Bishopthorpe Roa'!$A$12:$A$130,"&lt;"&amp;Diagram!$P80),SUMIFS(INDIRECT(ADDRESS(12,3+18*0+(8),,,"J1 A - (North) Bishopthorpe Roa")&amp;":"&amp;ADDRESS(130,3+18*0+(8))),'J1 A - (North) Bishopthorpe Roa'!$A$12:$A$130,"&gt;="&amp;Diagram!$O80,'J1 A - (North) Bishopthorpe Roa'!$A$12:$A$130,"&lt;"&amp;Diagram!$P80)))</f>
        <v>18</v>
      </c>
      <c r="U80" s="42">
        <f ca="1">IF(OR($I$10="",$O80="",$P80="",$J$35&lt;&gt;"Yes"),0,IF($K$10=0,SUMIFS(INDIRECT(ADDRESS(12,3+18*1+(0),,,"J1 A - (North) Bishopthorpe Roa")&amp;":"&amp;ADDRESS(130,3+18*1+(0))),'J1 A - (North) Bishopthorpe Roa'!$A$12:$A$130,"&gt;="&amp;Diagram!$O80,'J1 A - (North) Bishopthorpe Roa'!$A$12:$A$130,"&lt;"&amp;Diagram!$P80),SUMIFS(INDIRECT(ADDRESS(12,3+18*1+(8),,,"J1 A - (North) Bishopthorpe Roa")&amp;":"&amp;ADDRESS(130,3+18*1+(8))),'J1 A - (North) Bishopthorpe Roa'!$A$12:$A$130,"&gt;="&amp;Diagram!$O80,'J1 A - (North) Bishopthorpe Roa'!$A$12:$A$130,"&lt;"&amp;Diagram!$P80)))</f>
        <v>129</v>
      </c>
      <c r="V80" s="42">
        <f ca="1">IF(OR($I$10="",$O80="",$P80="",$J$35&lt;&gt;"Yes"),0,IF($K$10=0,SUMIFS(INDIRECT(ADDRESS(12,3+18*2+(0),,,"J1 A - (North) Bishopthorpe Roa")&amp;":"&amp;ADDRESS(130,3+18*2+(0))),'J1 A - (North) Bishopthorpe Roa'!$A$12:$A$130,"&gt;="&amp;Diagram!$O80,'J1 A - (North) Bishopthorpe Roa'!$A$12:$A$130,"&lt;"&amp;Diagram!$P80),SUMIFS(INDIRECT(ADDRESS(12,3+18*2+(8),,,"J1 A - (North) Bishopthorpe Roa")&amp;":"&amp;ADDRESS(130,3+18*2+(8))),'J1 A - (North) Bishopthorpe Roa'!$A$12:$A$130,"&gt;="&amp;Diagram!$O80,'J1 A - (North) Bishopthorpe Roa'!$A$12:$A$130,"&lt;"&amp;Diagram!$P80)))</f>
        <v>18</v>
      </c>
      <c r="W80" s="42">
        <f ca="1">IF(OR($I$10="",$O80="",$P80="",$J$35&lt;&gt;"Yes"),0,IF($K$10=0,SUMIFS(INDIRECT(ADDRESS(12,3+18*2+(0),,,"J1 B - Butcher Terrace")&amp;":"&amp;ADDRESS(130,3+18*2+(0))),'J1 B - Butcher Terrace'!$A$12:$A$130,"&gt;="&amp;Diagram!$O80,'J1 B - Butcher Terrace'!$A$12:$A$130,"&lt;"&amp;Diagram!$P80),SUMIFS(INDIRECT(ADDRESS(12,3+18*2+(8),,,"J1 B - Butcher Terrace")&amp;":"&amp;ADDRESS(130,3+18*2+(8))),'J1 B - Butcher Terrace'!$A$12:$A$130,"&gt;="&amp;Diagram!$O80,'J1 B - Butcher Terrace'!$A$12:$A$130,"&lt;"&amp;Diagram!$P80)))</f>
        <v>9</v>
      </c>
      <c r="X80" s="42">
        <f ca="1">IF(OR($I$10="",$O80="",$P80="",$J$35&lt;&gt;"Yes"),0,IF($K$10=0,SUMIFS(INDIRECT(ADDRESS(12,3+18*3+(0),,,"J1 B - Butcher Terrace")&amp;":"&amp;ADDRESS(130,3+18*3+(0))),'J1 B - Butcher Terrace'!$A$12:$A$130,"&gt;="&amp;Diagram!$O80,'J1 B - Butcher Terrace'!$A$12:$A$130,"&lt;"&amp;Diagram!$P80),SUMIFS(INDIRECT(ADDRESS(12,3+18*3+(8),,,"J1 B - Butcher Terrace")&amp;":"&amp;ADDRESS(130,3+18*3+(8))),'J1 B - Butcher Terrace'!$A$12:$A$130,"&gt;="&amp;Diagram!$O80,'J1 B - Butcher Terrace'!$A$12:$A$130,"&lt;"&amp;Diagram!$P80)))</f>
        <v>0</v>
      </c>
      <c r="Y80" s="42">
        <f ca="1">IF(OR($I$10="",$O80="",$P80="",$J$35&lt;&gt;"Yes"),0,IF($K$10=0,SUMIFS(INDIRECT(ADDRESS(12,3+18*0+(0),,,"J1 B - Butcher Terrace")&amp;":"&amp;ADDRESS(130,3+18*0+(0))),'J1 B - Butcher Terrace'!$A$12:$A$130,"&gt;="&amp;Diagram!$O80,'J1 B - Butcher Terrace'!$A$12:$A$130,"&lt;"&amp;Diagram!$P80),SUMIFS(INDIRECT(ADDRESS(12,3+18*0+(8),,,"J1 B - Butcher Terrace")&amp;":"&amp;ADDRESS(130,3+18*0+(8))),'J1 B - Butcher Terrace'!$A$12:$A$130,"&gt;="&amp;Diagram!$O80,'J1 B - Butcher Terrace'!$A$12:$A$130,"&lt;"&amp;Diagram!$P80)))</f>
        <v>10</v>
      </c>
      <c r="Z80" s="42">
        <f ca="1">IF(OR($I$10="",$O80="",$P80="",$J$35&lt;&gt;"Yes"),0,IF($K$10=0,SUMIFS(INDIRECT(ADDRESS(12,3+18*1+(0),,,"J1 B - Butcher Terrace")&amp;":"&amp;ADDRESS(130,3+18*1+(0))),'J1 B - Butcher Terrace'!$A$12:$A$130,"&gt;="&amp;Diagram!$O80,'J1 B - Butcher Terrace'!$A$12:$A$130,"&lt;"&amp;Diagram!$P80),SUMIFS(INDIRECT(ADDRESS(12,3+18*1+(8),,,"J1 B - Butcher Terrace")&amp;":"&amp;ADDRESS(130,3+18*1+(8))),'J1 B - Butcher Terrace'!$A$12:$A$130,"&gt;="&amp;Diagram!$O80,'J1 B - Butcher Terrace'!$A$12:$A$130,"&lt;"&amp;Diagram!$P80)))</f>
        <v>0</v>
      </c>
      <c r="AA80" s="42">
        <f ca="1">IF(OR($I$10="",$O80="",$P80="",$J$35&lt;&gt;"Yes"),0,IF($K$10=0,SUMIFS(INDIRECT(ADDRESS(12,3+18*1+(0),,,"J1 C - (South) Bishopthorpe Roa")&amp;":"&amp;ADDRESS(130,3+18*1+(0))),'J1 C - (South) Bishopthorpe Roa'!$A$12:$A$130,"&gt;="&amp;Diagram!$O80,'J1 C - (South) Bishopthorpe Roa'!$A$12:$A$130,"&lt;"&amp;Diagram!$P80),SUMIFS(INDIRECT(ADDRESS(12,3+18*1+(8),,,"J1 C - (South) Bishopthorpe Roa")&amp;":"&amp;ADDRESS(130,3+18*1+(8))),'J1 C - (South) Bishopthorpe Roa'!$A$12:$A$130,"&gt;="&amp;Diagram!$O80,'J1 C - (South) Bishopthorpe Roa'!$A$12:$A$130,"&lt;"&amp;Diagram!$P80)))</f>
        <v>115</v>
      </c>
      <c r="AB80" s="42">
        <f ca="1">IF(OR($I$10="",$O80="",$P80="",$J$35&lt;&gt;"Yes"),0,IF($K$10=0,SUMIFS(INDIRECT(ADDRESS(12,3+18*2+(0),,,"J1 C - (South) Bishopthorpe Roa")&amp;":"&amp;ADDRESS(130,3+18*2+(0))),'J1 C - (South) Bishopthorpe Roa'!$A$12:$A$130,"&gt;="&amp;Diagram!$O80,'J1 C - (South) Bishopthorpe Roa'!$A$12:$A$130,"&lt;"&amp;Diagram!$P80),SUMIFS(INDIRECT(ADDRESS(12,3+18*2+(8),,,"J1 C - (South) Bishopthorpe Roa")&amp;":"&amp;ADDRESS(130,3+18*2+(8))),'J1 C - (South) Bishopthorpe Roa'!$A$12:$A$130,"&gt;="&amp;Diagram!$O80,'J1 C - (South) Bishopthorpe Roa'!$A$12:$A$130,"&lt;"&amp;Diagram!$P80)))</f>
        <v>5</v>
      </c>
      <c r="AC80" s="42">
        <f ca="1">IF(OR($I$10="",$O80="",$P80="",$J$35&lt;&gt;"Yes"),0,IF($K$10=0,SUMIFS(INDIRECT(ADDRESS(12,3+18*3+(0),,,"J1 C - (South) Bishopthorpe Roa")&amp;":"&amp;ADDRESS(130,3+18*3+(0))),'J1 C - (South) Bishopthorpe Roa'!$A$12:$A$130,"&gt;="&amp;Diagram!$O80,'J1 C - (South) Bishopthorpe Roa'!$A$12:$A$130,"&lt;"&amp;Diagram!$P80),SUMIFS(INDIRECT(ADDRESS(12,3+18*3+(8),,,"J1 C - (South) Bishopthorpe Roa")&amp;":"&amp;ADDRESS(130,3+18*3+(8))),'J1 C - (South) Bishopthorpe Roa'!$A$12:$A$130,"&gt;="&amp;Diagram!$O80,'J1 C - (South) Bishopthorpe Roa'!$A$12:$A$130,"&lt;"&amp;Diagram!$P80)))</f>
        <v>0</v>
      </c>
      <c r="AD80" s="42">
        <f ca="1">IF(OR($I$10="",$O80="",$P80="",$J$35&lt;&gt;"Yes"),0,IF($K$10=0,SUMIFS(INDIRECT(ADDRESS(12,3+18*0+(0),,,"J1 C - (South) Bishopthorpe Roa")&amp;":"&amp;ADDRESS(130,3+18*0+(0))),'J1 C - (South) Bishopthorpe Roa'!$A$12:$A$130,"&gt;="&amp;Diagram!$O80,'J1 C - (South) Bishopthorpe Roa'!$A$12:$A$130,"&lt;"&amp;Diagram!$P80),SUMIFS(INDIRECT(ADDRESS(12,3+18*0+(8),,,"J1 C - (South) Bishopthorpe Roa")&amp;":"&amp;ADDRESS(130,3+18*0+(8))),'J1 C - (South) Bishopthorpe Roa'!$A$12:$A$130,"&gt;="&amp;Diagram!$O80,'J1 C - (South) Bishopthorpe Roa'!$A$12:$A$130,"&lt;"&amp;Diagram!$P80)))</f>
        <v>1</v>
      </c>
      <c r="AE80" s="42">
        <f ca="1">IF(OR($I$10="",$O80="",$P80="",$J$35&lt;&gt;"Yes"),0,IF($K$10=0,SUMIFS(INDIRECT(ADDRESS(12,3+18*0+(0),,,"J1 D - South Bank Avenue")&amp;":"&amp;ADDRESS(130,3+18*0+(0))),'J1 D - South Bank Avenue'!$A$12:$A$130,"&gt;="&amp;Diagram!$O80,'J1 D - South Bank Avenue'!$A$12:$A$130,"&lt;"&amp;Diagram!$P80),SUMIFS(INDIRECT(ADDRESS(12,3+18*0+(8),,,"J1 D - South Bank Avenue")&amp;":"&amp;ADDRESS(130,3+18*0+(8))),'J1 D - South Bank Avenue'!$A$12:$A$130,"&gt;="&amp;Diagram!$O80,'J1 D - South Bank Avenue'!$A$12:$A$130,"&lt;"&amp;Diagram!$P80)))</f>
        <v>15</v>
      </c>
      <c r="AF80" s="42">
        <f ca="1">IF(OR($I$10="",$O80="",$P80="",$J$35&lt;&gt;"Yes"),0,IF($K$10=0,SUMIFS(INDIRECT(ADDRESS(12,3+18*1+(0),,,"J1 D - South Bank Avenue")&amp;":"&amp;ADDRESS(130,3+18*1+(0))),'J1 D - South Bank Avenue'!$A$12:$A$130,"&gt;="&amp;Diagram!$O80,'J1 D - South Bank Avenue'!$A$12:$A$130,"&lt;"&amp;Diagram!$P80),SUMIFS(INDIRECT(ADDRESS(12,3+18*1+(8),,,"J1 D - South Bank Avenue")&amp;":"&amp;ADDRESS(130,3+18*1+(8))),'J1 D - South Bank Avenue'!$A$12:$A$130,"&gt;="&amp;Diagram!$O80,'J1 D - South Bank Avenue'!$A$12:$A$130,"&lt;"&amp;Diagram!$P80)))</f>
        <v>0</v>
      </c>
      <c r="AG80" s="42">
        <f ca="1">IF(OR($I$10="",$O80="",$P80="",$J$35&lt;&gt;"Yes"),0,IF($K$10=0,SUMIFS(INDIRECT(ADDRESS(12,3+18*2+(0),,,"J1 D - South Bank Avenue")&amp;":"&amp;ADDRESS(130,3+18*2+(0))),'J1 D - South Bank Avenue'!$A$12:$A$130,"&gt;="&amp;Diagram!$O80,'J1 D - South Bank Avenue'!$A$12:$A$130,"&lt;"&amp;Diagram!$P80),SUMIFS(INDIRECT(ADDRESS(12,3+18*2+(8),,,"J1 D - South Bank Avenue")&amp;":"&amp;ADDRESS(130,3+18*2+(8))),'J1 D - South Bank Avenue'!$A$12:$A$130,"&gt;="&amp;Diagram!$O80,'J1 D - South Bank Avenue'!$A$12:$A$130,"&lt;"&amp;Diagram!$P80)))</f>
        <v>1</v>
      </c>
      <c r="AH80" s="42">
        <f ca="1">IF(OR($I$10="",$O80="",$P80="",$J$35&lt;&gt;"Yes"),0,IF($K$10=0,SUMIFS(INDIRECT(ADDRESS(12,3+18*3+(0),,,"J1 D - South Bank Avenue")&amp;":"&amp;ADDRESS(130,3+18*3+(0))),'J1 D - South Bank Avenue'!$A$12:$A$130,"&gt;="&amp;Diagram!$O80,'J1 D - South Bank Avenue'!$A$12:$A$130,"&lt;"&amp;Diagram!$P80),SUMIFS(INDIRECT(ADDRESS(12,3+18*3+(8),,,"J1 D - South Bank Avenue")&amp;":"&amp;ADDRESS(130,3+18*3+(8))),'J1 D - South Bank Avenue'!$A$12:$A$130,"&gt;="&amp;Diagram!$O80,'J1 D - South Bank Avenue'!$A$12:$A$130,"&lt;"&amp;Diagram!$P80)))</f>
        <v>0</v>
      </c>
      <c r="AI80" s="42">
        <f t="shared" ca="1" si="12"/>
        <v>21</v>
      </c>
      <c r="AJ80" s="42">
        <f ca="1">IF(OR($I$10="",$O80="",$P80="",$J$36&lt;&gt;"Yes"),0,IF($K$10=0,SUMIFS(INDIRECT(ADDRESS(12,3+18*3+(1),,,"J1 A - (North) Bishopthorpe Roa")&amp;":"&amp;ADDRESS(130,3+18*3+(1))),'J1 A - (North) Bishopthorpe Roa'!$A$12:$A$130,"&gt;="&amp;Diagram!$O80,'J1 A - (North) Bishopthorpe Roa'!$A$12:$A$130,"&lt;"&amp;Diagram!$P80),SUMIFS(INDIRECT(ADDRESS(12,3+18*3+(9),,,"J1 A - (North) Bishopthorpe Roa")&amp;":"&amp;ADDRESS(130,3+18*3+(9))),'J1 A - (North) Bishopthorpe Roa'!$A$12:$A$130,"&gt;="&amp;Diagram!$O80,'J1 A - (North) Bishopthorpe Roa'!$A$12:$A$130,"&lt;"&amp;Diagram!$P80)))</f>
        <v>0</v>
      </c>
      <c r="AK80" s="42">
        <f ca="1">IF(OR($I$10="",$O80="",$P80="",$J$36&lt;&gt;"Yes"),0,IF($K$10=0,SUMIFS(INDIRECT(ADDRESS(12,3+18*0+(1),,,"J1 A - (North) Bishopthorpe Roa")&amp;":"&amp;ADDRESS(130,3+18*0+(1))),'J1 A - (North) Bishopthorpe Roa'!$A$12:$A$130,"&gt;="&amp;Diagram!$O80,'J1 A - (North) Bishopthorpe Roa'!$A$12:$A$130,"&lt;"&amp;Diagram!$P80),SUMIFS(INDIRECT(ADDRESS(12,3+18*0+(9),,,"J1 A - (North) Bishopthorpe Roa")&amp;":"&amp;ADDRESS(130,3+18*0+(9))),'J1 A - (North) Bishopthorpe Roa'!$A$12:$A$130,"&gt;="&amp;Diagram!$O80,'J1 A - (North) Bishopthorpe Roa'!$A$12:$A$130,"&lt;"&amp;Diagram!$P80)))</f>
        <v>1</v>
      </c>
      <c r="AL80" s="42">
        <f ca="1">IF(OR($I$10="",$O80="",$P80="",$J$36&lt;&gt;"Yes"),0,IF($K$10=0,SUMIFS(INDIRECT(ADDRESS(12,3+18*1+(1),,,"J1 A - (North) Bishopthorpe Roa")&amp;":"&amp;ADDRESS(130,3+18*1+(1))),'J1 A - (North) Bishopthorpe Roa'!$A$12:$A$130,"&gt;="&amp;Diagram!$O80,'J1 A - (North) Bishopthorpe Roa'!$A$12:$A$130,"&lt;"&amp;Diagram!$P80),SUMIFS(INDIRECT(ADDRESS(12,3+18*1+(9),,,"J1 A - (North) Bishopthorpe Roa")&amp;":"&amp;ADDRESS(130,3+18*1+(9))),'J1 A - (North) Bishopthorpe Roa'!$A$12:$A$130,"&gt;="&amp;Diagram!$O80,'J1 A - (North) Bishopthorpe Roa'!$A$12:$A$130,"&lt;"&amp;Diagram!$P80)))</f>
        <v>6</v>
      </c>
      <c r="AM80" s="42">
        <f ca="1">IF(OR($I$10="",$O80="",$P80="",$J$36&lt;&gt;"Yes"),0,IF($K$10=0,SUMIFS(INDIRECT(ADDRESS(12,3+18*2+(1),,,"J1 A - (North) Bishopthorpe Roa")&amp;":"&amp;ADDRESS(130,3+18*2+(1))),'J1 A - (North) Bishopthorpe Roa'!$A$12:$A$130,"&gt;="&amp;Diagram!$O80,'J1 A - (North) Bishopthorpe Roa'!$A$12:$A$130,"&lt;"&amp;Diagram!$P80),SUMIFS(INDIRECT(ADDRESS(12,3+18*2+(9),,,"J1 A - (North) Bishopthorpe Roa")&amp;":"&amp;ADDRESS(130,3+18*2+(9))),'J1 A - (North) Bishopthorpe Roa'!$A$12:$A$130,"&gt;="&amp;Diagram!$O80,'J1 A - (North) Bishopthorpe Roa'!$A$12:$A$130,"&lt;"&amp;Diagram!$P80)))</f>
        <v>2</v>
      </c>
      <c r="AN80" s="42">
        <f ca="1">IF(OR($I$10="",$O80="",$P80="",$J$36&lt;&gt;"Yes"),0,IF($K$10=0,SUMIFS(INDIRECT(ADDRESS(12,3+18*2+(1),,,"J1 B - Butcher Terrace")&amp;":"&amp;ADDRESS(130,3+18*2+(1))),'J1 B - Butcher Terrace'!$A$12:$A$130,"&gt;="&amp;Diagram!$O80,'J1 B - Butcher Terrace'!$A$12:$A$130,"&lt;"&amp;Diagram!$P80),SUMIFS(INDIRECT(ADDRESS(12,3+18*2+(9),,,"J1 B - Butcher Terrace")&amp;":"&amp;ADDRESS(130,3+18*2+(9))),'J1 B - Butcher Terrace'!$A$12:$A$130,"&gt;="&amp;Diagram!$O80,'J1 B - Butcher Terrace'!$A$12:$A$130,"&lt;"&amp;Diagram!$P80)))</f>
        <v>0</v>
      </c>
      <c r="AO80" s="42">
        <f ca="1">IF(OR($I$10="",$O80="",$P80="",$J$36&lt;&gt;"Yes"),0,IF($K$10=0,SUMIFS(INDIRECT(ADDRESS(12,3+18*3+(1),,,"J1 B - Butcher Terrace")&amp;":"&amp;ADDRESS(130,3+18*3+(1))),'J1 B - Butcher Terrace'!$A$12:$A$130,"&gt;="&amp;Diagram!$O80,'J1 B - Butcher Terrace'!$A$12:$A$130,"&lt;"&amp;Diagram!$P80),SUMIFS(INDIRECT(ADDRESS(12,3+18*3+(9),,,"J1 B - Butcher Terrace")&amp;":"&amp;ADDRESS(130,3+18*3+(9))),'J1 B - Butcher Terrace'!$A$12:$A$130,"&gt;="&amp;Diagram!$O80,'J1 B - Butcher Terrace'!$A$12:$A$130,"&lt;"&amp;Diagram!$P80)))</f>
        <v>0</v>
      </c>
      <c r="AP80" s="42">
        <f ca="1">IF(OR($I$10="",$O80="",$P80="",$J$36&lt;&gt;"Yes"),0,IF($K$10=0,SUMIFS(INDIRECT(ADDRESS(12,3+18*0+(1),,,"J1 B - Butcher Terrace")&amp;":"&amp;ADDRESS(130,3+18*0+(1))),'J1 B - Butcher Terrace'!$A$12:$A$130,"&gt;="&amp;Diagram!$O80,'J1 B - Butcher Terrace'!$A$12:$A$130,"&lt;"&amp;Diagram!$P80),SUMIFS(INDIRECT(ADDRESS(12,3+18*0+(9),,,"J1 B - Butcher Terrace")&amp;":"&amp;ADDRESS(130,3+18*0+(9))),'J1 B - Butcher Terrace'!$A$12:$A$130,"&gt;="&amp;Diagram!$O80,'J1 B - Butcher Terrace'!$A$12:$A$130,"&lt;"&amp;Diagram!$P80)))</f>
        <v>1</v>
      </c>
      <c r="AQ80" s="42">
        <f ca="1">IF(OR($I$10="",$O80="",$P80="",$J$36&lt;&gt;"Yes"),0,IF($K$10=0,SUMIFS(INDIRECT(ADDRESS(12,3+18*1+(1),,,"J1 B - Butcher Terrace")&amp;":"&amp;ADDRESS(130,3+18*1+(1))),'J1 B - Butcher Terrace'!$A$12:$A$130,"&gt;="&amp;Diagram!$O80,'J1 B - Butcher Terrace'!$A$12:$A$130,"&lt;"&amp;Diagram!$P80),SUMIFS(INDIRECT(ADDRESS(12,3+18*1+(9),,,"J1 B - Butcher Terrace")&amp;":"&amp;ADDRESS(130,3+18*1+(9))),'J1 B - Butcher Terrace'!$A$12:$A$130,"&gt;="&amp;Diagram!$O80,'J1 B - Butcher Terrace'!$A$12:$A$130,"&lt;"&amp;Diagram!$P80)))</f>
        <v>0</v>
      </c>
      <c r="AR80" s="42">
        <f ca="1">IF(OR($I$10="",$O80="",$P80="",$J$36&lt;&gt;"Yes"),0,IF($K$10=0,SUMIFS(INDIRECT(ADDRESS(12,3+18*1+(1),,,"J1 C - (South) Bishopthorpe Roa")&amp;":"&amp;ADDRESS(130,3+18*1+(1))),'J1 C - (South) Bishopthorpe Roa'!$A$12:$A$130,"&gt;="&amp;Diagram!$O80,'J1 C - (South) Bishopthorpe Roa'!$A$12:$A$130,"&lt;"&amp;Diagram!$P80),SUMIFS(INDIRECT(ADDRESS(12,3+18*1+(9),,,"J1 C - (South) Bishopthorpe Roa")&amp;":"&amp;ADDRESS(130,3+18*1+(9))),'J1 C - (South) Bishopthorpe Roa'!$A$12:$A$130,"&gt;="&amp;Diagram!$O80,'J1 C - (South) Bishopthorpe Roa'!$A$12:$A$130,"&lt;"&amp;Diagram!$P80)))</f>
        <v>8</v>
      </c>
      <c r="AS80" s="42">
        <f ca="1">IF(OR($I$10="",$O80="",$P80="",$J$36&lt;&gt;"Yes"),0,IF($K$10=0,SUMIFS(INDIRECT(ADDRESS(12,3+18*2+(1),,,"J1 C - (South) Bishopthorpe Roa")&amp;":"&amp;ADDRESS(130,3+18*2+(1))),'J1 C - (South) Bishopthorpe Roa'!$A$12:$A$130,"&gt;="&amp;Diagram!$O80,'J1 C - (South) Bishopthorpe Roa'!$A$12:$A$130,"&lt;"&amp;Diagram!$P80),SUMIFS(INDIRECT(ADDRESS(12,3+18*2+(9),,,"J1 C - (South) Bishopthorpe Roa")&amp;":"&amp;ADDRESS(130,3+18*2+(9))),'J1 C - (South) Bishopthorpe Roa'!$A$12:$A$130,"&gt;="&amp;Diagram!$O80,'J1 C - (South) Bishopthorpe Roa'!$A$12:$A$130,"&lt;"&amp;Diagram!$P80)))</f>
        <v>0</v>
      </c>
      <c r="AT80" s="42">
        <f ca="1">IF(OR($I$10="",$O80="",$P80="",$J$36&lt;&gt;"Yes"),0,IF($K$10=0,SUMIFS(INDIRECT(ADDRESS(12,3+18*3+(1),,,"J1 C - (South) Bishopthorpe Roa")&amp;":"&amp;ADDRESS(130,3+18*3+(1))),'J1 C - (South) Bishopthorpe Roa'!$A$12:$A$130,"&gt;="&amp;Diagram!$O80,'J1 C - (South) Bishopthorpe Roa'!$A$12:$A$130,"&lt;"&amp;Diagram!$P80),SUMIFS(INDIRECT(ADDRESS(12,3+18*3+(9),,,"J1 C - (South) Bishopthorpe Roa")&amp;":"&amp;ADDRESS(130,3+18*3+(9))),'J1 C - (South) Bishopthorpe Roa'!$A$12:$A$130,"&gt;="&amp;Diagram!$O80,'J1 C - (South) Bishopthorpe Roa'!$A$12:$A$130,"&lt;"&amp;Diagram!$P80)))</f>
        <v>0</v>
      </c>
      <c r="AU80" s="42">
        <f ca="1">IF(OR($I$10="",$O80="",$P80="",$J$36&lt;&gt;"Yes"),0,IF($K$10=0,SUMIFS(INDIRECT(ADDRESS(12,3+18*0+(1),,,"J1 C - (South) Bishopthorpe Roa")&amp;":"&amp;ADDRESS(130,3+18*0+(1))),'J1 C - (South) Bishopthorpe Roa'!$A$12:$A$130,"&gt;="&amp;Diagram!$O80,'J1 C - (South) Bishopthorpe Roa'!$A$12:$A$130,"&lt;"&amp;Diagram!$P80),SUMIFS(INDIRECT(ADDRESS(12,3+18*0+(9),,,"J1 C - (South) Bishopthorpe Roa")&amp;":"&amp;ADDRESS(130,3+18*0+(9))),'J1 C - (South) Bishopthorpe Roa'!$A$12:$A$130,"&gt;="&amp;Diagram!$O80,'J1 C - (South) Bishopthorpe Roa'!$A$12:$A$130,"&lt;"&amp;Diagram!$P80)))</f>
        <v>1</v>
      </c>
      <c r="AV80" s="42">
        <f ca="1">IF(OR($I$10="",$O80="",$P80="",$J$36&lt;&gt;"Yes"),0,IF($K$10=0,SUMIFS(INDIRECT(ADDRESS(12,3+18*0+(1),,,"J1 D - South Bank Avenue")&amp;":"&amp;ADDRESS(130,3+18*0+(1))),'J1 D - South Bank Avenue'!$A$12:$A$130,"&gt;="&amp;Diagram!$O80,'J1 D - South Bank Avenue'!$A$12:$A$130,"&lt;"&amp;Diagram!$P80),SUMIFS(INDIRECT(ADDRESS(12,3+18*0+(9),,,"J1 D - South Bank Avenue")&amp;":"&amp;ADDRESS(130,3+18*0+(9))),'J1 D - South Bank Avenue'!$A$12:$A$130,"&gt;="&amp;Diagram!$O80,'J1 D - South Bank Avenue'!$A$12:$A$130,"&lt;"&amp;Diagram!$P80)))</f>
        <v>1</v>
      </c>
      <c r="AW80" s="42">
        <f ca="1">IF(OR($I$10="",$O80="",$P80="",$J$36&lt;&gt;"Yes"),0,IF($K$10=0,SUMIFS(INDIRECT(ADDRESS(12,3+18*1+(1),,,"J1 D - South Bank Avenue")&amp;":"&amp;ADDRESS(130,3+18*1+(1))),'J1 D - South Bank Avenue'!$A$12:$A$130,"&gt;="&amp;Diagram!$O80,'J1 D - South Bank Avenue'!$A$12:$A$130,"&lt;"&amp;Diagram!$P80),SUMIFS(INDIRECT(ADDRESS(12,3+18*1+(9),,,"J1 D - South Bank Avenue")&amp;":"&amp;ADDRESS(130,3+18*1+(9))),'J1 D - South Bank Avenue'!$A$12:$A$130,"&gt;="&amp;Diagram!$O80,'J1 D - South Bank Avenue'!$A$12:$A$130,"&lt;"&amp;Diagram!$P80)))</f>
        <v>0</v>
      </c>
      <c r="AX80" s="42">
        <f ca="1">IF(OR($I$10="",$O80="",$P80="",$J$36&lt;&gt;"Yes"),0,IF($K$10=0,SUMIFS(INDIRECT(ADDRESS(12,3+18*2+(1),,,"J1 D - South Bank Avenue")&amp;":"&amp;ADDRESS(130,3+18*2+(1))),'J1 D - South Bank Avenue'!$A$12:$A$130,"&gt;="&amp;Diagram!$O80,'J1 D - South Bank Avenue'!$A$12:$A$130,"&lt;"&amp;Diagram!$P80),SUMIFS(INDIRECT(ADDRESS(12,3+18*2+(9),,,"J1 D - South Bank Avenue")&amp;":"&amp;ADDRESS(130,3+18*2+(9))),'J1 D - South Bank Avenue'!$A$12:$A$130,"&gt;="&amp;Diagram!$O80,'J1 D - South Bank Avenue'!$A$12:$A$130,"&lt;"&amp;Diagram!$P80)))</f>
        <v>1</v>
      </c>
      <c r="AY80" s="42">
        <f ca="1">IF(OR($I$10="",$O80="",$P80="",$J$36&lt;&gt;"Yes"),0,IF($K$10=0,SUMIFS(INDIRECT(ADDRESS(12,3+18*3+(1),,,"J1 D - South Bank Avenue")&amp;":"&amp;ADDRESS(130,3+18*3+(1))),'J1 D - South Bank Avenue'!$A$12:$A$130,"&gt;="&amp;Diagram!$O80,'J1 D - South Bank Avenue'!$A$12:$A$130,"&lt;"&amp;Diagram!$P80),SUMIFS(INDIRECT(ADDRESS(12,3+18*3+(9),,,"J1 D - South Bank Avenue")&amp;":"&amp;ADDRESS(130,3+18*3+(9))),'J1 D - South Bank Avenue'!$A$12:$A$130,"&gt;="&amp;Diagram!$O80,'J1 D - South Bank Avenue'!$A$12:$A$130,"&lt;"&amp;Diagram!$P80)))</f>
        <v>0</v>
      </c>
      <c r="AZ80" s="42">
        <f t="shared" ca="1" si="13"/>
        <v>1</v>
      </c>
      <c r="BA80" s="42">
        <f ca="1">IF(OR($I$10="",$O80="",$P80="",$J$37&lt;&gt;"Yes"),0,IF($K$10=0,SUMIFS(INDIRECT(ADDRESS(12,3+18*3+(2),,,"J1 A - (North) Bishopthorpe Roa")&amp;":"&amp;ADDRESS(130,3+18*3+(2))),'J1 A - (North) Bishopthorpe Roa'!$A$12:$A$130,"&gt;="&amp;Diagram!$O80,'J1 A - (North) Bishopthorpe Roa'!$A$12:$A$130,"&lt;"&amp;Diagram!$P80),SUMIFS(INDIRECT(ADDRESS(12,3+18*3+(10),,,"J1 A - (North) Bishopthorpe Roa")&amp;":"&amp;ADDRESS(130,3+18*3+(10))),'J1 A - (North) Bishopthorpe Roa'!$A$12:$A$130,"&gt;="&amp;Diagram!$O80,'J1 A - (North) Bishopthorpe Roa'!$A$12:$A$130,"&lt;"&amp;Diagram!$P80)))</f>
        <v>0</v>
      </c>
      <c r="BB80" s="42">
        <f ca="1">IF(OR($I$10="",$O80="",$P80="",$J$37&lt;&gt;"Yes"),0,IF($K$10=0,SUMIFS(INDIRECT(ADDRESS(12,3+18*0+(2),,,"J1 A - (North) Bishopthorpe Roa")&amp;":"&amp;ADDRESS(130,3+18*0+(2))),'J1 A - (North) Bishopthorpe Roa'!$A$12:$A$130,"&gt;="&amp;Diagram!$O80,'J1 A - (North) Bishopthorpe Roa'!$A$12:$A$130,"&lt;"&amp;Diagram!$P80),SUMIFS(INDIRECT(ADDRESS(12,3+18*0+(10),,,"J1 A - (North) Bishopthorpe Roa")&amp;":"&amp;ADDRESS(130,3+18*0+(10))),'J1 A - (North) Bishopthorpe Roa'!$A$12:$A$130,"&gt;="&amp;Diagram!$O80,'J1 A - (North) Bishopthorpe Roa'!$A$12:$A$130,"&lt;"&amp;Diagram!$P80)))</f>
        <v>0</v>
      </c>
      <c r="BC80" s="42">
        <f ca="1">IF(OR($I$10="",$O80="",$P80="",$J$37&lt;&gt;"Yes"),0,IF($K$10=0,SUMIFS(INDIRECT(ADDRESS(12,3+18*1+(2),,,"J1 A - (North) Bishopthorpe Roa")&amp;":"&amp;ADDRESS(130,3+18*1+(2))),'J1 A - (North) Bishopthorpe Roa'!$A$12:$A$130,"&gt;="&amp;Diagram!$O80,'J1 A - (North) Bishopthorpe Roa'!$A$12:$A$130,"&lt;"&amp;Diagram!$P80),SUMIFS(INDIRECT(ADDRESS(12,3+18*1+(10),,,"J1 A - (North) Bishopthorpe Roa")&amp;":"&amp;ADDRESS(130,3+18*1+(10))),'J1 A - (North) Bishopthorpe Roa'!$A$12:$A$130,"&gt;="&amp;Diagram!$O80,'J1 A - (North) Bishopthorpe Roa'!$A$12:$A$130,"&lt;"&amp;Diagram!$P80)))</f>
        <v>0</v>
      </c>
      <c r="BD80" s="42">
        <f ca="1">IF(OR($I$10="",$O80="",$P80="",$J$37&lt;&gt;"Yes"),0,IF($K$10=0,SUMIFS(INDIRECT(ADDRESS(12,3+18*2+(2),,,"J1 A - (North) Bishopthorpe Roa")&amp;":"&amp;ADDRESS(130,3+18*2+(2))),'J1 A - (North) Bishopthorpe Roa'!$A$12:$A$130,"&gt;="&amp;Diagram!$O80,'J1 A - (North) Bishopthorpe Roa'!$A$12:$A$130,"&lt;"&amp;Diagram!$P80),SUMIFS(INDIRECT(ADDRESS(12,3+18*2+(10),,,"J1 A - (North) Bishopthorpe Roa")&amp;":"&amp;ADDRESS(130,3+18*2+(10))),'J1 A - (North) Bishopthorpe Roa'!$A$12:$A$130,"&gt;="&amp;Diagram!$O80,'J1 A - (North) Bishopthorpe Roa'!$A$12:$A$130,"&lt;"&amp;Diagram!$P80)))</f>
        <v>0</v>
      </c>
      <c r="BE80" s="42">
        <f ca="1">IF(OR($I$10="",$O80="",$P80="",$J$37&lt;&gt;"Yes"),0,IF($K$10=0,SUMIFS(INDIRECT(ADDRESS(12,3+18*2+(2),,,"J1 B - Butcher Terrace")&amp;":"&amp;ADDRESS(130,3+18*2+(2))),'J1 B - Butcher Terrace'!$A$12:$A$130,"&gt;="&amp;Diagram!$O80,'J1 B - Butcher Terrace'!$A$12:$A$130,"&lt;"&amp;Diagram!$P80),SUMIFS(INDIRECT(ADDRESS(12,3+18*2+(10),,,"J1 B - Butcher Terrace")&amp;":"&amp;ADDRESS(130,3+18*2+(10))),'J1 B - Butcher Terrace'!$A$12:$A$130,"&gt;="&amp;Diagram!$O80,'J1 B - Butcher Terrace'!$A$12:$A$130,"&lt;"&amp;Diagram!$P80)))</f>
        <v>0</v>
      </c>
      <c r="BF80" s="42">
        <f ca="1">IF(OR($I$10="",$O80="",$P80="",$J$37&lt;&gt;"Yes"),0,IF($K$10=0,SUMIFS(INDIRECT(ADDRESS(12,3+18*3+(2),,,"J1 B - Butcher Terrace")&amp;":"&amp;ADDRESS(130,3+18*3+(2))),'J1 B - Butcher Terrace'!$A$12:$A$130,"&gt;="&amp;Diagram!$O80,'J1 B - Butcher Terrace'!$A$12:$A$130,"&lt;"&amp;Diagram!$P80),SUMIFS(INDIRECT(ADDRESS(12,3+18*3+(10),,,"J1 B - Butcher Terrace")&amp;":"&amp;ADDRESS(130,3+18*3+(10))),'J1 B - Butcher Terrace'!$A$12:$A$130,"&gt;="&amp;Diagram!$O80,'J1 B - Butcher Terrace'!$A$12:$A$130,"&lt;"&amp;Diagram!$P80)))</f>
        <v>0</v>
      </c>
      <c r="BG80" s="42">
        <f ca="1">IF(OR($I$10="",$O80="",$P80="",$J$37&lt;&gt;"Yes"),0,IF($K$10=0,SUMIFS(INDIRECT(ADDRESS(12,3+18*0+(2),,,"J1 B - Butcher Terrace")&amp;":"&amp;ADDRESS(130,3+18*0+(2))),'J1 B - Butcher Terrace'!$A$12:$A$130,"&gt;="&amp;Diagram!$O80,'J1 B - Butcher Terrace'!$A$12:$A$130,"&lt;"&amp;Diagram!$P80),SUMIFS(INDIRECT(ADDRESS(12,3+18*0+(10),,,"J1 B - Butcher Terrace")&amp;":"&amp;ADDRESS(130,3+18*0+(10))),'J1 B - Butcher Terrace'!$A$12:$A$130,"&gt;="&amp;Diagram!$O80,'J1 B - Butcher Terrace'!$A$12:$A$130,"&lt;"&amp;Diagram!$P80)))</f>
        <v>0</v>
      </c>
      <c r="BH80" s="42">
        <f ca="1">IF(OR($I$10="",$O80="",$P80="",$J$37&lt;&gt;"Yes"),0,IF($K$10=0,SUMIFS(INDIRECT(ADDRESS(12,3+18*1+(2),,,"J1 B - Butcher Terrace")&amp;":"&amp;ADDRESS(130,3+18*1+(2))),'J1 B - Butcher Terrace'!$A$12:$A$130,"&gt;="&amp;Diagram!$O80,'J1 B - Butcher Terrace'!$A$12:$A$130,"&lt;"&amp;Diagram!$P80),SUMIFS(INDIRECT(ADDRESS(12,3+18*1+(10),,,"J1 B - Butcher Terrace")&amp;":"&amp;ADDRESS(130,3+18*1+(10))),'J1 B - Butcher Terrace'!$A$12:$A$130,"&gt;="&amp;Diagram!$O80,'J1 B - Butcher Terrace'!$A$12:$A$130,"&lt;"&amp;Diagram!$P80)))</f>
        <v>0</v>
      </c>
      <c r="BI80" s="42">
        <f ca="1">IF(OR($I$10="",$O80="",$P80="",$J$37&lt;&gt;"Yes"),0,IF($K$10=0,SUMIFS(INDIRECT(ADDRESS(12,3+18*1+(2),,,"J1 C - (South) Bishopthorpe Roa")&amp;":"&amp;ADDRESS(130,3+18*1+(2))),'J1 C - (South) Bishopthorpe Roa'!$A$12:$A$130,"&gt;="&amp;Diagram!$O80,'J1 C - (South) Bishopthorpe Roa'!$A$12:$A$130,"&lt;"&amp;Diagram!$P80),SUMIFS(INDIRECT(ADDRESS(12,3+18*1+(10),,,"J1 C - (South) Bishopthorpe Roa")&amp;":"&amp;ADDRESS(130,3+18*1+(10))),'J1 C - (South) Bishopthorpe Roa'!$A$12:$A$130,"&gt;="&amp;Diagram!$O80,'J1 C - (South) Bishopthorpe Roa'!$A$12:$A$130,"&lt;"&amp;Diagram!$P80)))</f>
        <v>1</v>
      </c>
      <c r="BJ80" s="42">
        <f ca="1">IF(OR($I$10="",$O80="",$P80="",$J$37&lt;&gt;"Yes"),0,IF($K$10=0,SUMIFS(INDIRECT(ADDRESS(12,3+18*2+(2),,,"J1 C - (South) Bishopthorpe Roa")&amp;":"&amp;ADDRESS(130,3+18*2+(2))),'J1 C - (South) Bishopthorpe Roa'!$A$12:$A$130,"&gt;="&amp;Diagram!$O80,'J1 C - (South) Bishopthorpe Roa'!$A$12:$A$130,"&lt;"&amp;Diagram!$P80),SUMIFS(INDIRECT(ADDRESS(12,3+18*2+(10),,,"J1 C - (South) Bishopthorpe Roa")&amp;":"&amp;ADDRESS(130,3+18*2+(10))),'J1 C - (South) Bishopthorpe Roa'!$A$12:$A$130,"&gt;="&amp;Diagram!$O80,'J1 C - (South) Bishopthorpe Roa'!$A$12:$A$130,"&lt;"&amp;Diagram!$P80)))</f>
        <v>0</v>
      </c>
      <c r="BK80" s="42">
        <f ca="1">IF(OR($I$10="",$O80="",$P80="",$J$37&lt;&gt;"Yes"),0,IF($K$10=0,SUMIFS(INDIRECT(ADDRESS(12,3+18*3+(2),,,"J1 C - (South) Bishopthorpe Roa")&amp;":"&amp;ADDRESS(130,3+18*3+(2))),'J1 C - (South) Bishopthorpe Roa'!$A$12:$A$130,"&gt;="&amp;Diagram!$O80,'J1 C - (South) Bishopthorpe Roa'!$A$12:$A$130,"&lt;"&amp;Diagram!$P80),SUMIFS(INDIRECT(ADDRESS(12,3+18*3+(10),,,"J1 C - (South) Bishopthorpe Roa")&amp;":"&amp;ADDRESS(130,3+18*3+(10))),'J1 C - (South) Bishopthorpe Roa'!$A$12:$A$130,"&gt;="&amp;Diagram!$O80,'J1 C - (South) Bishopthorpe Roa'!$A$12:$A$130,"&lt;"&amp;Diagram!$P80)))</f>
        <v>0</v>
      </c>
      <c r="BL80" s="42">
        <f ca="1">IF(OR($I$10="",$O80="",$P80="",$J$37&lt;&gt;"Yes"),0,IF($K$10=0,SUMIFS(INDIRECT(ADDRESS(12,3+18*0+(2),,,"J1 C - (South) Bishopthorpe Roa")&amp;":"&amp;ADDRESS(130,3+18*0+(2))),'J1 C - (South) Bishopthorpe Roa'!$A$12:$A$130,"&gt;="&amp;Diagram!$O80,'J1 C - (South) Bishopthorpe Roa'!$A$12:$A$130,"&lt;"&amp;Diagram!$P80),SUMIFS(INDIRECT(ADDRESS(12,3+18*0+(10),,,"J1 C - (South) Bishopthorpe Roa")&amp;":"&amp;ADDRESS(130,3+18*0+(10))),'J1 C - (South) Bishopthorpe Roa'!$A$12:$A$130,"&gt;="&amp;Diagram!$O80,'J1 C - (South) Bishopthorpe Roa'!$A$12:$A$130,"&lt;"&amp;Diagram!$P80)))</f>
        <v>0</v>
      </c>
      <c r="BM80" s="42">
        <f ca="1">IF(OR($I$10="",$O80="",$P80="",$J$37&lt;&gt;"Yes"),0,IF($K$10=0,SUMIFS(INDIRECT(ADDRESS(12,3+18*0+(2),,,"J1 D - South Bank Avenue")&amp;":"&amp;ADDRESS(130,3+18*0+(2))),'J1 D - South Bank Avenue'!$A$12:$A$130,"&gt;="&amp;Diagram!$O80,'J1 D - South Bank Avenue'!$A$12:$A$130,"&lt;"&amp;Diagram!$P80),SUMIFS(INDIRECT(ADDRESS(12,3+18*0+(10),,,"J1 D - South Bank Avenue")&amp;":"&amp;ADDRESS(130,3+18*0+(10))),'J1 D - South Bank Avenue'!$A$12:$A$130,"&gt;="&amp;Diagram!$O80,'J1 D - South Bank Avenue'!$A$12:$A$130,"&lt;"&amp;Diagram!$P80)))</f>
        <v>0</v>
      </c>
      <c r="BN80" s="42">
        <f ca="1">IF(OR($I$10="",$O80="",$P80="",$J$37&lt;&gt;"Yes"),0,IF($K$10=0,SUMIFS(INDIRECT(ADDRESS(12,3+18*1+(2),,,"J1 D - South Bank Avenue")&amp;":"&amp;ADDRESS(130,3+18*1+(2))),'J1 D - South Bank Avenue'!$A$12:$A$130,"&gt;="&amp;Diagram!$O80,'J1 D - South Bank Avenue'!$A$12:$A$130,"&lt;"&amp;Diagram!$P80),SUMIFS(INDIRECT(ADDRESS(12,3+18*1+(10),,,"J1 D - South Bank Avenue")&amp;":"&amp;ADDRESS(130,3+18*1+(10))),'J1 D - South Bank Avenue'!$A$12:$A$130,"&gt;="&amp;Diagram!$O80,'J1 D - South Bank Avenue'!$A$12:$A$130,"&lt;"&amp;Diagram!$P80)))</f>
        <v>0</v>
      </c>
      <c r="BO80" s="42">
        <f ca="1">IF(OR($I$10="",$O80="",$P80="",$J$37&lt;&gt;"Yes"),0,IF($K$10=0,SUMIFS(INDIRECT(ADDRESS(12,3+18*2+(2),,,"J1 D - South Bank Avenue")&amp;":"&amp;ADDRESS(130,3+18*2+(2))),'J1 D - South Bank Avenue'!$A$12:$A$130,"&gt;="&amp;Diagram!$O80,'J1 D - South Bank Avenue'!$A$12:$A$130,"&lt;"&amp;Diagram!$P80),SUMIFS(INDIRECT(ADDRESS(12,3+18*2+(10),,,"J1 D - South Bank Avenue")&amp;":"&amp;ADDRESS(130,3+18*2+(10))),'J1 D - South Bank Avenue'!$A$12:$A$130,"&gt;="&amp;Diagram!$O80,'J1 D - South Bank Avenue'!$A$12:$A$130,"&lt;"&amp;Diagram!$P80)))</f>
        <v>0</v>
      </c>
      <c r="BP80" s="42">
        <f ca="1">IF(OR($I$10="",$O80="",$P80="",$J$37&lt;&gt;"Yes"),0,IF($K$10=0,SUMIFS(INDIRECT(ADDRESS(12,3+18*3+(2),,,"J1 D - South Bank Avenue")&amp;":"&amp;ADDRESS(130,3+18*3+(2))),'J1 D - South Bank Avenue'!$A$12:$A$130,"&gt;="&amp;Diagram!$O80,'J1 D - South Bank Avenue'!$A$12:$A$130,"&lt;"&amp;Diagram!$P80),SUMIFS(INDIRECT(ADDRESS(12,3+18*3+(10),,,"J1 D - South Bank Avenue")&amp;":"&amp;ADDRESS(130,3+18*3+(10))),'J1 D - South Bank Avenue'!$A$12:$A$130,"&gt;="&amp;Diagram!$O80,'J1 D - South Bank Avenue'!$A$12:$A$130,"&lt;"&amp;Diagram!$P80)))</f>
        <v>0</v>
      </c>
      <c r="BQ80" s="42">
        <f t="shared" ca="1" si="14"/>
        <v>0</v>
      </c>
      <c r="BR80" s="42">
        <f ca="1">IF(OR($I$10="",$O80="",$P80="",$J$38&lt;&gt;"Yes"),0,IF($K$10=0,SUMIFS(INDIRECT(ADDRESS(12,3+18*3+(3),,,"J1 A - (North) Bishopthorpe Roa")&amp;":"&amp;ADDRESS(130,3+18*3+(3))),'J1 A - (North) Bishopthorpe Roa'!$A$12:$A$130,"&gt;="&amp;Diagram!$O80,'J1 A - (North) Bishopthorpe Roa'!$A$12:$A$130,"&lt;"&amp;Diagram!$P80),SUMIFS(INDIRECT(ADDRESS(12,3+18*3+(11),,,"J1 A - (North) Bishopthorpe Roa")&amp;":"&amp;ADDRESS(130,3+18*3+(11))),'J1 A - (North) Bishopthorpe Roa'!$A$12:$A$130,"&gt;="&amp;Diagram!$O80,'J1 A - (North) Bishopthorpe Roa'!$A$12:$A$130,"&lt;"&amp;Diagram!$P80)))</f>
        <v>0</v>
      </c>
      <c r="BS80" s="42">
        <f ca="1">IF(OR($I$10="",$O80="",$P80="",$J$38&lt;&gt;"Yes"),0,IF($K$10=0,SUMIFS(INDIRECT(ADDRESS(12,3+18*0+(3),,,"J1 A - (North) Bishopthorpe Roa")&amp;":"&amp;ADDRESS(130,3+18*0+(3))),'J1 A - (North) Bishopthorpe Roa'!$A$12:$A$130,"&gt;="&amp;Diagram!$O80,'J1 A - (North) Bishopthorpe Roa'!$A$12:$A$130,"&lt;"&amp;Diagram!$P80),SUMIFS(INDIRECT(ADDRESS(12,3+18*0+(11),,,"J1 A - (North) Bishopthorpe Roa")&amp;":"&amp;ADDRESS(130,3+18*0+(11))),'J1 A - (North) Bishopthorpe Roa'!$A$12:$A$130,"&gt;="&amp;Diagram!$O80,'J1 A - (North) Bishopthorpe Roa'!$A$12:$A$130,"&lt;"&amp;Diagram!$P80)))</f>
        <v>0</v>
      </c>
      <c r="BT80" s="42">
        <f ca="1">IF(OR($I$10="",$O80="",$P80="",$J$38&lt;&gt;"Yes"),0,IF($K$10=0,SUMIFS(INDIRECT(ADDRESS(12,3+18*1+(3),,,"J1 A - (North) Bishopthorpe Roa")&amp;":"&amp;ADDRESS(130,3+18*1+(3))),'J1 A - (North) Bishopthorpe Roa'!$A$12:$A$130,"&gt;="&amp;Diagram!$O80,'J1 A - (North) Bishopthorpe Roa'!$A$12:$A$130,"&lt;"&amp;Diagram!$P80),SUMIFS(INDIRECT(ADDRESS(12,3+18*1+(11),,,"J1 A - (North) Bishopthorpe Roa")&amp;":"&amp;ADDRESS(130,3+18*1+(11))),'J1 A - (North) Bishopthorpe Roa'!$A$12:$A$130,"&gt;="&amp;Diagram!$O80,'J1 A - (North) Bishopthorpe Roa'!$A$12:$A$130,"&lt;"&amp;Diagram!$P80)))</f>
        <v>0</v>
      </c>
      <c r="BU80" s="42">
        <f ca="1">IF(OR($I$10="",$O80="",$P80="",$J$38&lt;&gt;"Yes"),0,IF($K$10=0,SUMIFS(INDIRECT(ADDRESS(12,3+18*2+(3),,,"J1 A - (North) Bishopthorpe Roa")&amp;":"&amp;ADDRESS(130,3+18*2+(3))),'J1 A - (North) Bishopthorpe Roa'!$A$12:$A$130,"&gt;="&amp;Diagram!$O80,'J1 A - (North) Bishopthorpe Roa'!$A$12:$A$130,"&lt;"&amp;Diagram!$P80),SUMIFS(INDIRECT(ADDRESS(12,3+18*2+(11),,,"J1 A - (North) Bishopthorpe Roa")&amp;":"&amp;ADDRESS(130,3+18*2+(11))),'J1 A - (North) Bishopthorpe Roa'!$A$12:$A$130,"&gt;="&amp;Diagram!$O80,'J1 A - (North) Bishopthorpe Roa'!$A$12:$A$130,"&lt;"&amp;Diagram!$P80)))</f>
        <v>0</v>
      </c>
      <c r="BV80" s="42">
        <f ca="1">IF(OR($I$10="",$O80="",$P80="",$J$38&lt;&gt;"Yes"),0,IF($K$10=0,SUMIFS(INDIRECT(ADDRESS(12,3+18*2+(3),,,"J1 B - Butcher Terrace")&amp;":"&amp;ADDRESS(130,3+18*2+(3))),'J1 B - Butcher Terrace'!$A$12:$A$130,"&gt;="&amp;Diagram!$O80,'J1 B - Butcher Terrace'!$A$12:$A$130,"&lt;"&amp;Diagram!$P80),SUMIFS(INDIRECT(ADDRESS(12,3+18*2+(11),,,"J1 B - Butcher Terrace")&amp;":"&amp;ADDRESS(130,3+18*2+(11))),'J1 B - Butcher Terrace'!$A$12:$A$130,"&gt;="&amp;Diagram!$O80,'J1 B - Butcher Terrace'!$A$12:$A$130,"&lt;"&amp;Diagram!$P80)))</f>
        <v>0</v>
      </c>
      <c r="BW80" s="42">
        <f ca="1">IF(OR($I$10="",$O80="",$P80="",$J$38&lt;&gt;"Yes"),0,IF($K$10=0,SUMIFS(INDIRECT(ADDRESS(12,3+18*3+(3),,,"J1 B - Butcher Terrace")&amp;":"&amp;ADDRESS(130,3+18*3+(3))),'J1 B - Butcher Terrace'!$A$12:$A$130,"&gt;="&amp;Diagram!$O80,'J1 B - Butcher Terrace'!$A$12:$A$130,"&lt;"&amp;Diagram!$P80),SUMIFS(INDIRECT(ADDRESS(12,3+18*3+(11),,,"J1 B - Butcher Terrace")&amp;":"&amp;ADDRESS(130,3+18*3+(11))),'J1 B - Butcher Terrace'!$A$12:$A$130,"&gt;="&amp;Diagram!$O80,'J1 B - Butcher Terrace'!$A$12:$A$130,"&lt;"&amp;Diagram!$P80)))</f>
        <v>0</v>
      </c>
      <c r="BX80" s="42">
        <f ca="1">IF(OR($I$10="",$O80="",$P80="",$J$38&lt;&gt;"Yes"),0,IF($K$10=0,SUMIFS(INDIRECT(ADDRESS(12,3+18*0+(3),,,"J1 B - Butcher Terrace")&amp;":"&amp;ADDRESS(130,3+18*0+(3))),'J1 B - Butcher Terrace'!$A$12:$A$130,"&gt;="&amp;Diagram!$O80,'J1 B - Butcher Terrace'!$A$12:$A$130,"&lt;"&amp;Diagram!$P80),SUMIFS(INDIRECT(ADDRESS(12,3+18*0+(11),,,"J1 B - Butcher Terrace")&amp;":"&amp;ADDRESS(130,3+18*0+(11))),'J1 B - Butcher Terrace'!$A$12:$A$130,"&gt;="&amp;Diagram!$O80,'J1 B - Butcher Terrace'!$A$12:$A$130,"&lt;"&amp;Diagram!$P80)))</f>
        <v>0</v>
      </c>
      <c r="BY80" s="42">
        <f ca="1">IF(OR($I$10="",$O80="",$P80="",$J$38&lt;&gt;"Yes"),0,IF($K$10=0,SUMIFS(INDIRECT(ADDRESS(12,3+18*1+(3),,,"J1 B - Butcher Terrace")&amp;":"&amp;ADDRESS(130,3+18*1+(3))),'J1 B - Butcher Terrace'!$A$12:$A$130,"&gt;="&amp;Diagram!$O80,'J1 B - Butcher Terrace'!$A$12:$A$130,"&lt;"&amp;Diagram!$P80),SUMIFS(INDIRECT(ADDRESS(12,3+18*1+(11),,,"J1 B - Butcher Terrace")&amp;":"&amp;ADDRESS(130,3+18*1+(11))),'J1 B - Butcher Terrace'!$A$12:$A$130,"&gt;="&amp;Diagram!$O80,'J1 B - Butcher Terrace'!$A$12:$A$130,"&lt;"&amp;Diagram!$P80)))</f>
        <v>0</v>
      </c>
      <c r="BZ80" s="42">
        <f ca="1">IF(OR($I$10="",$O80="",$P80="",$J$38&lt;&gt;"Yes"),0,IF($K$10=0,SUMIFS(INDIRECT(ADDRESS(12,3+18*1+(3),,,"J1 C - (South) Bishopthorpe Roa")&amp;":"&amp;ADDRESS(130,3+18*1+(3))),'J1 C - (South) Bishopthorpe Roa'!$A$12:$A$130,"&gt;="&amp;Diagram!$O80,'J1 C - (South) Bishopthorpe Roa'!$A$12:$A$130,"&lt;"&amp;Diagram!$P80),SUMIFS(INDIRECT(ADDRESS(12,3+18*1+(11),,,"J1 C - (South) Bishopthorpe Roa")&amp;":"&amp;ADDRESS(130,3+18*1+(11))),'J1 C - (South) Bishopthorpe Roa'!$A$12:$A$130,"&gt;="&amp;Diagram!$O80,'J1 C - (South) Bishopthorpe Roa'!$A$12:$A$130,"&lt;"&amp;Diagram!$P80)))</f>
        <v>0</v>
      </c>
      <c r="CA80" s="42">
        <f ca="1">IF(OR($I$10="",$O80="",$P80="",$J$38&lt;&gt;"Yes"),0,IF($K$10=0,SUMIFS(INDIRECT(ADDRESS(12,3+18*2+(3),,,"J1 C - (South) Bishopthorpe Roa")&amp;":"&amp;ADDRESS(130,3+18*2+(3))),'J1 C - (South) Bishopthorpe Roa'!$A$12:$A$130,"&gt;="&amp;Diagram!$O80,'J1 C - (South) Bishopthorpe Roa'!$A$12:$A$130,"&lt;"&amp;Diagram!$P80),SUMIFS(INDIRECT(ADDRESS(12,3+18*2+(11),,,"J1 C - (South) Bishopthorpe Roa")&amp;":"&amp;ADDRESS(130,3+18*2+(11))),'J1 C - (South) Bishopthorpe Roa'!$A$12:$A$130,"&gt;="&amp;Diagram!$O80,'J1 C - (South) Bishopthorpe Roa'!$A$12:$A$130,"&lt;"&amp;Diagram!$P80)))</f>
        <v>0</v>
      </c>
      <c r="CB80" s="42">
        <f ca="1">IF(OR($I$10="",$O80="",$P80="",$J$38&lt;&gt;"Yes"),0,IF($K$10=0,SUMIFS(INDIRECT(ADDRESS(12,3+18*3+(3),,,"J1 C - (South) Bishopthorpe Roa")&amp;":"&amp;ADDRESS(130,3+18*3+(3))),'J1 C - (South) Bishopthorpe Roa'!$A$12:$A$130,"&gt;="&amp;Diagram!$O80,'J1 C - (South) Bishopthorpe Roa'!$A$12:$A$130,"&lt;"&amp;Diagram!$P80),SUMIFS(INDIRECT(ADDRESS(12,3+18*3+(11),,,"J1 C - (South) Bishopthorpe Roa")&amp;":"&amp;ADDRESS(130,3+18*3+(11))),'J1 C - (South) Bishopthorpe Roa'!$A$12:$A$130,"&gt;="&amp;Diagram!$O80,'J1 C - (South) Bishopthorpe Roa'!$A$12:$A$130,"&lt;"&amp;Diagram!$P80)))</f>
        <v>0</v>
      </c>
      <c r="CC80" s="42">
        <f ca="1">IF(OR($I$10="",$O80="",$P80="",$J$38&lt;&gt;"Yes"),0,IF($K$10=0,SUMIFS(INDIRECT(ADDRESS(12,3+18*0+(3),,,"J1 C - (South) Bishopthorpe Roa")&amp;":"&amp;ADDRESS(130,3+18*0+(3))),'J1 C - (South) Bishopthorpe Roa'!$A$12:$A$130,"&gt;="&amp;Diagram!$O80,'J1 C - (South) Bishopthorpe Roa'!$A$12:$A$130,"&lt;"&amp;Diagram!$P80),SUMIFS(INDIRECT(ADDRESS(12,3+18*0+(11),,,"J1 C - (South) Bishopthorpe Roa")&amp;":"&amp;ADDRESS(130,3+18*0+(11))),'J1 C - (South) Bishopthorpe Roa'!$A$12:$A$130,"&gt;="&amp;Diagram!$O80,'J1 C - (South) Bishopthorpe Roa'!$A$12:$A$130,"&lt;"&amp;Diagram!$P80)))</f>
        <v>0</v>
      </c>
      <c r="CD80" s="42">
        <f ca="1">IF(OR($I$10="",$O80="",$P80="",$J$38&lt;&gt;"Yes"),0,IF($K$10=0,SUMIFS(INDIRECT(ADDRESS(12,3+18*0+(3),,,"J1 D - South Bank Avenue")&amp;":"&amp;ADDRESS(130,3+18*0+(3))),'J1 D - South Bank Avenue'!$A$12:$A$130,"&gt;="&amp;Diagram!$O80,'J1 D - South Bank Avenue'!$A$12:$A$130,"&lt;"&amp;Diagram!$P80),SUMIFS(INDIRECT(ADDRESS(12,3+18*0+(11),,,"J1 D - South Bank Avenue")&amp;":"&amp;ADDRESS(130,3+18*0+(11))),'J1 D - South Bank Avenue'!$A$12:$A$130,"&gt;="&amp;Diagram!$O80,'J1 D - South Bank Avenue'!$A$12:$A$130,"&lt;"&amp;Diagram!$P80)))</f>
        <v>0</v>
      </c>
      <c r="CE80" s="42">
        <f ca="1">IF(OR($I$10="",$O80="",$P80="",$J$38&lt;&gt;"Yes"),0,IF($K$10=0,SUMIFS(INDIRECT(ADDRESS(12,3+18*1+(3),,,"J1 D - South Bank Avenue")&amp;":"&amp;ADDRESS(130,3+18*1+(3))),'J1 D - South Bank Avenue'!$A$12:$A$130,"&gt;="&amp;Diagram!$O80,'J1 D - South Bank Avenue'!$A$12:$A$130,"&lt;"&amp;Diagram!$P80),SUMIFS(INDIRECT(ADDRESS(12,3+18*1+(11),,,"J1 D - South Bank Avenue")&amp;":"&amp;ADDRESS(130,3+18*1+(11))),'J1 D - South Bank Avenue'!$A$12:$A$130,"&gt;="&amp;Diagram!$O80,'J1 D - South Bank Avenue'!$A$12:$A$130,"&lt;"&amp;Diagram!$P80)))</f>
        <v>0</v>
      </c>
      <c r="CF80" s="42">
        <f ca="1">IF(OR($I$10="",$O80="",$P80="",$J$38&lt;&gt;"Yes"),0,IF($K$10=0,SUMIFS(INDIRECT(ADDRESS(12,3+18*2+(3),,,"J1 D - South Bank Avenue")&amp;":"&amp;ADDRESS(130,3+18*2+(3))),'J1 D - South Bank Avenue'!$A$12:$A$130,"&gt;="&amp;Diagram!$O80,'J1 D - South Bank Avenue'!$A$12:$A$130,"&lt;"&amp;Diagram!$P80),SUMIFS(INDIRECT(ADDRESS(12,3+18*2+(11),,,"J1 D - South Bank Avenue")&amp;":"&amp;ADDRESS(130,3+18*2+(11))),'J1 D - South Bank Avenue'!$A$12:$A$130,"&gt;="&amp;Diagram!$O80,'J1 D - South Bank Avenue'!$A$12:$A$130,"&lt;"&amp;Diagram!$P80)))</f>
        <v>0</v>
      </c>
      <c r="CG80" s="42">
        <f ca="1">IF(OR($I$10="",$O80="",$P80="",$J$38&lt;&gt;"Yes"),0,IF($K$10=0,SUMIFS(INDIRECT(ADDRESS(12,3+18*3+(3),,,"J1 D - South Bank Avenue")&amp;":"&amp;ADDRESS(130,3+18*3+(3))),'J1 D - South Bank Avenue'!$A$12:$A$130,"&gt;="&amp;Diagram!$O80,'J1 D - South Bank Avenue'!$A$12:$A$130,"&lt;"&amp;Diagram!$P80),SUMIFS(INDIRECT(ADDRESS(12,3+18*3+(11),,,"J1 D - South Bank Avenue")&amp;":"&amp;ADDRESS(130,3+18*3+(11))),'J1 D - South Bank Avenue'!$A$12:$A$130,"&gt;="&amp;Diagram!$O80,'J1 D - South Bank Avenue'!$A$12:$A$130,"&lt;"&amp;Diagram!$P80)))</f>
        <v>0</v>
      </c>
      <c r="CH80" s="42">
        <f t="shared" ca="1" si="15"/>
        <v>3</v>
      </c>
      <c r="CI80" s="42">
        <f ca="1">IF(OR($I$10="",$O80="",$P80="",$J$39&lt;&gt;"Yes"),0,IF($K$10=0,SUMIFS(INDIRECT(ADDRESS(12,3+18*3+(4),,,"J1 A - (North) Bishopthorpe Roa")&amp;":"&amp;ADDRESS(130,3+18*3+(4))),'J1 A - (North) Bishopthorpe Roa'!$A$12:$A$130,"&gt;="&amp;Diagram!$O80,'J1 A - (North) Bishopthorpe Roa'!$A$12:$A$130,"&lt;"&amp;Diagram!$P80),SUMIFS(INDIRECT(ADDRESS(12,3+18*3+(12),,,"J1 A - (North) Bishopthorpe Roa")&amp;":"&amp;ADDRESS(130,3+18*3+(12))),'J1 A - (North) Bishopthorpe Roa'!$A$12:$A$130,"&gt;="&amp;Diagram!$O80,'J1 A - (North) Bishopthorpe Roa'!$A$12:$A$130,"&lt;"&amp;Diagram!$P80)))</f>
        <v>0</v>
      </c>
      <c r="CJ80" s="42">
        <f ca="1">IF(OR($I$10="",$O80="",$P80="",$J$39&lt;&gt;"Yes"),0,IF($K$10=0,SUMIFS(INDIRECT(ADDRESS(12,3+18*0+(4),,,"J1 A - (North) Bishopthorpe Roa")&amp;":"&amp;ADDRESS(130,3+18*0+(4))),'J1 A - (North) Bishopthorpe Roa'!$A$12:$A$130,"&gt;="&amp;Diagram!$O80,'J1 A - (North) Bishopthorpe Roa'!$A$12:$A$130,"&lt;"&amp;Diagram!$P80),SUMIFS(INDIRECT(ADDRESS(12,3+18*0+(12),,,"J1 A - (North) Bishopthorpe Roa")&amp;":"&amp;ADDRESS(130,3+18*0+(12))),'J1 A - (North) Bishopthorpe Roa'!$A$12:$A$130,"&gt;="&amp;Diagram!$O80,'J1 A - (North) Bishopthorpe Roa'!$A$12:$A$130,"&lt;"&amp;Diagram!$P80)))</f>
        <v>0</v>
      </c>
      <c r="CK80" s="42">
        <f ca="1">IF(OR($I$10="",$O80="",$P80="",$J$39&lt;&gt;"Yes"),0,IF($K$10=0,SUMIFS(INDIRECT(ADDRESS(12,3+18*1+(4),,,"J1 A - (North) Bishopthorpe Roa")&amp;":"&amp;ADDRESS(130,3+18*1+(4))),'J1 A - (North) Bishopthorpe Roa'!$A$12:$A$130,"&gt;="&amp;Diagram!$O80,'J1 A - (North) Bishopthorpe Roa'!$A$12:$A$130,"&lt;"&amp;Diagram!$P80),SUMIFS(INDIRECT(ADDRESS(12,3+18*1+(12),,,"J1 A - (North) Bishopthorpe Roa")&amp;":"&amp;ADDRESS(130,3+18*1+(12))),'J1 A - (North) Bishopthorpe Roa'!$A$12:$A$130,"&gt;="&amp;Diagram!$O80,'J1 A - (North) Bishopthorpe Roa'!$A$12:$A$130,"&lt;"&amp;Diagram!$P80)))</f>
        <v>2</v>
      </c>
      <c r="CL80" s="42">
        <f ca="1">IF(OR($I$10="",$O80="",$P80="",$J$39&lt;&gt;"Yes"),0,IF($K$10=0,SUMIFS(INDIRECT(ADDRESS(12,3+18*2+(4),,,"J1 A - (North) Bishopthorpe Roa")&amp;":"&amp;ADDRESS(130,3+18*2+(4))),'J1 A - (North) Bishopthorpe Roa'!$A$12:$A$130,"&gt;="&amp;Diagram!$O80,'J1 A - (North) Bishopthorpe Roa'!$A$12:$A$130,"&lt;"&amp;Diagram!$P80),SUMIFS(INDIRECT(ADDRESS(12,3+18*2+(12),,,"J1 A - (North) Bishopthorpe Roa")&amp;":"&amp;ADDRESS(130,3+18*2+(12))),'J1 A - (North) Bishopthorpe Roa'!$A$12:$A$130,"&gt;="&amp;Diagram!$O80,'J1 A - (North) Bishopthorpe Roa'!$A$12:$A$130,"&lt;"&amp;Diagram!$P80)))</f>
        <v>0</v>
      </c>
      <c r="CM80" s="42">
        <f ca="1">IF(OR($I$10="",$O80="",$P80="",$J$39&lt;&gt;"Yes"),0,IF($K$10=0,SUMIFS(INDIRECT(ADDRESS(12,3+18*2+(4),,,"J1 B - Butcher Terrace")&amp;":"&amp;ADDRESS(130,3+18*2+(4))),'J1 B - Butcher Terrace'!$A$12:$A$130,"&gt;="&amp;Diagram!$O80,'J1 B - Butcher Terrace'!$A$12:$A$130,"&lt;"&amp;Diagram!$P80),SUMIFS(INDIRECT(ADDRESS(12,3+18*2+(12),,,"J1 B - Butcher Terrace")&amp;":"&amp;ADDRESS(130,3+18*2+(12))),'J1 B - Butcher Terrace'!$A$12:$A$130,"&gt;="&amp;Diagram!$O80,'J1 B - Butcher Terrace'!$A$12:$A$130,"&lt;"&amp;Diagram!$P80)))</f>
        <v>0</v>
      </c>
      <c r="CN80" s="42">
        <f ca="1">IF(OR($I$10="",$O80="",$P80="",$J$39&lt;&gt;"Yes"),0,IF($K$10=0,SUMIFS(INDIRECT(ADDRESS(12,3+18*3+(4),,,"J1 B - Butcher Terrace")&amp;":"&amp;ADDRESS(130,3+18*3+(4))),'J1 B - Butcher Terrace'!$A$12:$A$130,"&gt;="&amp;Diagram!$O80,'J1 B - Butcher Terrace'!$A$12:$A$130,"&lt;"&amp;Diagram!$P80),SUMIFS(INDIRECT(ADDRESS(12,3+18*3+(12),,,"J1 B - Butcher Terrace")&amp;":"&amp;ADDRESS(130,3+18*3+(12))),'J1 B - Butcher Terrace'!$A$12:$A$130,"&gt;="&amp;Diagram!$O80,'J1 B - Butcher Terrace'!$A$12:$A$130,"&lt;"&amp;Diagram!$P80)))</f>
        <v>0</v>
      </c>
      <c r="CO80" s="42">
        <f ca="1">IF(OR($I$10="",$O80="",$P80="",$J$39&lt;&gt;"Yes"),0,IF($K$10=0,SUMIFS(INDIRECT(ADDRESS(12,3+18*0+(4),,,"J1 B - Butcher Terrace")&amp;":"&amp;ADDRESS(130,3+18*0+(4))),'J1 B - Butcher Terrace'!$A$12:$A$130,"&gt;="&amp;Diagram!$O80,'J1 B - Butcher Terrace'!$A$12:$A$130,"&lt;"&amp;Diagram!$P80),SUMIFS(INDIRECT(ADDRESS(12,3+18*0+(12),,,"J1 B - Butcher Terrace")&amp;":"&amp;ADDRESS(130,3+18*0+(12))),'J1 B - Butcher Terrace'!$A$12:$A$130,"&gt;="&amp;Diagram!$O80,'J1 B - Butcher Terrace'!$A$12:$A$130,"&lt;"&amp;Diagram!$P80)))</f>
        <v>0</v>
      </c>
      <c r="CP80" s="42">
        <f ca="1">IF(OR($I$10="",$O80="",$P80="",$J$39&lt;&gt;"Yes"),0,IF($K$10=0,SUMIFS(INDIRECT(ADDRESS(12,3+18*1+(4),,,"J1 B - Butcher Terrace")&amp;":"&amp;ADDRESS(130,3+18*1+(4))),'J1 B - Butcher Terrace'!$A$12:$A$130,"&gt;="&amp;Diagram!$O80,'J1 B - Butcher Terrace'!$A$12:$A$130,"&lt;"&amp;Diagram!$P80),SUMIFS(INDIRECT(ADDRESS(12,3+18*1+(12),,,"J1 B - Butcher Terrace")&amp;":"&amp;ADDRESS(130,3+18*1+(12))),'J1 B - Butcher Terrace'!$A$12:$A$130,"&gt;="&amp;Diagram!$O80,'J1 B - Butcher Terrace'!$A$12:$A$130,"&lt;"&amp;Diagram!$P80)))</f>
        <v>0</v>
      </c>
      <c r="CQ80" s="42">
        <f ca="1">IF(OR($I$10="",$O80="",$P80="",$J$39&lt;&gt;"Yes"),0,IF($K$10=0,SUMIFS(INDIRECT(ADDRESS(12,3+18*1+(4),,,"J1 C - (South) Bishopthorpe Roa")&amp;":"&amp;ADDRESS(130,3+18*1+(4))),'J1 C - (South) Bishopthorpe Roa'!$A$12:$A$130,"&gt;="&amp;Diagram!$O80,'J1 C - (South) Bishopthorpe Roa'!$A$12:$A$130,"&lt;"&amp;Diagram!$P80),SUMIFS(INDIRECT(ADDRESS(12,3+18*1+(12),,,"J1 C - (South) Bishopthorpe Roa")&amp;":"&amp;ADDRESS(130,3+18*1+(12))),'J1 C - (South) Bishopthorpe Roa'!$A$12:$A$130,"&gt;="&amp;Diagram!$O80,'J1 C - (South) Bishopthorpe Roa'!$A$12:$A$130,"&lt;"&amp;Diagram!$P80)))</f>
        <v>1</v>
      </c>
      <c r="CR80" s="42">
        <f ca="1">IF(OR($I$10="",$O80="",$P80="",$J$39&lt;&gt;"Yes"),0,IF($K$10=0,SUMIFS(INDIRECT(ADDRESS(12,3+18*2+(4),,,"J1 C - (South) Bishopthorpe Roa")&amp;":"&amp;ADDRESS(130,3+18*2+(4))),'J1 C - (South) Bishopthorpe Roa'!$A$12:$A$130,"&gt;="&amp;Diagram!$O80,'J1 C - (South) Bishopthorpe Roa'!$A$12:$A$130,"&lt;"&amp;Diagram!$P80),SUMIFS(INDIRECT(ADDRESS(12,3+18*2+(12),,,"J1 C - (South) Bishopthorpe Roa")&amp;":"&amp;ADDRESS(130,3+18*2+(12))),'J1 C - (South) Bishopthorpe Roa'!$A$12:$A$130,"&gt;="&amp;Diagram!$O80,'J1 C - (South) Bishopthorpe Roa'!$A$12:$A$130,"&lt;"&amp;Diagram!$P80)))</f>
        <v>0</v>
      </c>
      <c r="CS80" s="42">
        <f ca="1">IF(OR($I$10="",$O80="",$P80="",$J$39&lt;&gt;"Yes"),0,IF($K$10=0,SUMIFS(INDIRECT(ADDRESS(12,3+18*3+(4),,,"J1 C - (South) Bishopthorpe Roa")&amp;":"&amp;ADDRESS(130,3+18*3+(4))),'J1 C - (South) Bishopthorpe Roa'!$A$12:$A$130,"&gt;="&amp;Diagram!$O80,'J1 C - (South) Bishopthorpe Roa'!$A$12:$A$130,"&lt;"&amp;Diagram!$P80),SUMIFS(INDIRECT(ADDRESS(12,3+18*3+(12),,,"J1 C - (South) Bishopthorpe Roa")&amp;":"&amp;ADDRESS(130,3+18*3+(12))),'J1 C - (South) Bishopthorpe Roa'!$A$12:$A$130,"&gt;="&amp;Diagram!$O80,'J1 C - (South) Bishopthorpe Roa'!$A$12:$A$130,"&lt;"&amp;Diagram!$P80)))</f>
        <v>0</v>
      </c>
      <c r="CT80" s="42">
        <f ca="1">IF(OR($I$10="",$O80="",$P80="",$J$39&lt;&gt;"Yes"),0,IF($K$10=0,SUMIFS(INDIRECT(ADDRESS(12,3+18*0+(4),,,"J1 C - (South) Bishopthorpe Roa")&amp;":"&amp;ADDRESS(130,3+18*0+(4))),'J1 C - (South) Bishopthorpe Roa'!$A$12:$A$130,"&gt;="&amp;Diagram!$O80,'J1 C - (South) Bishopthorpe Roa'!$A$12:$A$130,"&lt;"&amp;Diagram!$P80),SUMIFS(INDIRECT(ADDRESS(12,3+18*0+(12),,,"J1 C - (South) Bishopthorpe Roa")&amp;":"&amp;ADDRESS(130,3+18*0+(12))),'J1 C - (South) Bishopthorpe Roa'!$A$12:$A$130,"&gt;="&amp;Diagram!$O80,'J1 C - (South) Bishopthorpe Roa'!$A$12:$A$130,"&lt;"&amp;Diagram!$P80)))</f>
        <v>0</v>
      </c>
      <c r="CU80" s="42">
        <f ca="1">IF(OR($I$10="",$O80="",$P80="",$J$39&lt;&gt;"Yes"),0,IF($K$10=0,SUMIFS(INDIRECT(ADDRESS(12,3+18*0+(4),,,"J1 D - South Bank Avenue")&amp;":"&amp;ADDRESS(130,3+18*0+(4))),'J1 D - South Bank Avenue'!$A$12:$A$130,"&gt;="&amp;Diagram!$O80,'J1 D - South Bank Avenue'!$A$12:$A$130,"&lt;"&amp;Diagram!$P80),SUMIFS(INDIRECT(ADDRESS(12,3+18*0+(12),,,"J1 D - South Bank Avenue")&amp;":"&amp;ADDRESS(130,3+18*0+(12))),'J1 D - South Bank Avenue'!$A$12:$A$130,"&gt;="&amp;Diagram!$O80,'J1 D - South Bank Avenue'!$A$12:$A$130,"&lt;"&amp;Diagram!$P80)))</f>
        <v>0</v>
      </c>
      <c r="CV80" s="42">
        <f ca="1">IF(OR($I$10="",$O80="",$P80="",$J$39&lt;&gt;"Yes"),0,IF($K$10=0,SUMIFS(INDIRECT(ADDRESS(12,3+18*1+(4),,,"J1 D - South Bank Avenue")&amp;":"&amp;ADDRESS(130,3+18*1+(4))),'J1 D - South Bank Avenue'!$A$12:$A$130,"&gt;="&amp;Diagram!$O80,'J1 D - South Bank Avenue'!$A$12:$A$130,"&lt;"&amp;Diagram!$P80),SUMIFS(INDIRECT(ADDRESS(12,3+18*1+(12),,,"J1 D - South Bank Avenue")&amp;":"&amp;ADDRESS(130,3+18*1+(12))),'J1 D - South Bank Avenue'!$A$12:$A$130,"&gt;="&amp;Diagram!$O80,'J1 D - South Bank Avenue'!$A$12:$A$130,"&lt;"&amp;Diagram!$P80)))</f>
        <v>0</v>
      </c>
      <c r="CW80" s="42">
        <f ca="1">IF(OR($I$10="",$O80="",$P80="",$J$39&lt;&gt;"Yes"),0,IF($K$10=0,SUMIFS(INDIRECT(ADDRESS(12,3+18*2+(4),,,"J1 D - South Bank Avenue")&amp;":"&amp;ADDRESS(130,3+18*2+(4))),'J1 D - South Bank Avenue'!$A$12:$A$130,"&gt;="&amp;Diagram!$O80,'J1 D - South Bank Avenue'!$A$12:$A$130,"&lt;"&amp;Diagram!$P80),SUMIFS(INDIRECT(ADDRESS(12,3+18*2+(12),,,"J1 D - South Bank Avenue")&amp;":"&amp;ADDRESS(130,3+18*2+(12))),'J1 D - South Bank Avenue'!$A$12:$A$130,"&gt;="&amp;Diagram!$O80,'J1 D - South Bank Avenue'!$A$12:$A$130,"&lt;"&amp;Diagram!$P80)))</f>
        <v>0</v>
      </c>
      <c r="CX80" s="42">
        <f ca="1">IF(OR($I$10="",$O80="",$P80="",$J$39&lt;&gt;"Yes"),0,IF($K$10=0,SUMIFS(INDIRECT(ADDRESS(12,3+18*3+(4),,,"J1 D - South Bank Avenue")&amp;":"&amp;ADDRESS(130,3+18*3+(4))),'J1 D - South Bank Avenue'!$A$12:$A$130,"&gt;="&amp;Diagram!$O80,'J1 D - South Bank Avenue'!$A$12:$A$130,"&lt;"&amp;Diagram!$P80),SUMIFS(INDIRECT(ADDRESS(12,3+18*3+(12),,,"J1 D - South Bank Avenue")&amp;":"&amp;ADDRESS(130,3+18*3+(12))),'J1 D - South Bank Avenue'!$A$12:$A$130,"&gt;="&amp;Diagram!$O80,'J1 D - South Bank Avenue'!$A$12:$A$130,"&lt;"&amp;Diagram!$P80)))</f>
        <v>0</v>
      </c>
      <c r="CY80" s="42">
        <f t="shared" ca="1" si="16"/>
        <v>83</v>
      </c>
      <c r="CZ80" s="42">
        <f ca="1">IF(OR($I$10="",$O80="",$P80="",$J$40&lt;&gt;"Yes"),0,IF($K$10=0,SUMIFS(INDIRECT(ADDRESS(12,3+18*3+(5),,,"J1 A - (North) Bishopthorpe Roa")&amp;":"&amp;ADDRESS(130,3+18*3+(5))),'J1 A - (North) Bishopthorpe Roa'!$A$12:$A$130,"&gt;="&amp;Diagram!$O80,'J1 A - (North) Bishopthorpe Roa'!$A$12:$A$130,"&lt;"&amp;Diagram!$P80),SUMIFS(INDIRECT(ADDRESS(12,3+18*3+(13),,,"J1 A - (North) Bishopthorpe Roa")&amp;":"&amp;ADDRESS(130,3+18*3+(13))),'J1 A - (North) Bishopthorpe Roa'!$A$12:$A$130,"&gt;="&amp;Diagram!$O80,'J1 A - (North) Bishopthorpe Roa'!$A$12:$A$130,"&lt;"&amp;Diagram!$P80)))</f>
        <v>0</v>
      </c>
      <c r="DA80" s="42">
        <f ca="1">IF(OR($I$10="",$O80="",$P80="",$J$40&lt;&gt;"Yes"),0,IF($K$10=0,SUMIFS(INDIRECT(ADDRESS(12,3+18*0+(5),,,"J1 A - (North) Bishopthorpe Roa")&amp;":"&amp;ADDRESS(130,3+18*0+(5))),'J1 A - (North) Bishopthorpe Roa'!$A$12:$A$130,"&gt;="&amp;Diagram!$O80,'J1 A - (North) Bishopthorpe Roa'!$A$12:$A$130,"&lt;"&amp;Diagram!$P80),SUMIFS(INDIRECT(ADDRESS(12,3+18*0+(13),,,"J1 A - (North) Bishopthorpe Roa")&amp;":"&amp;ADDRESS(130,3+18*0+(13))),'J1 A - (North) Bishopthorpe Roa'!$A$12:$A$130,"&gt;="&amp;Diagram!$O80,'J1 A - (North) Bishopthorpe Roa'!$A$12:$A$130,"&lt;"&amp;Diagram!$P80)))</f>
        <v>6</v>
      </c>
      <c r="DB80" s="42">
        <f ca="1">IF(OR($I$10="",$O80="",$P80="",$J$40&lt;&gt;"Yes"),0,IF($K$10=0,SUMIFS(INDIRECT(ADDRESS(12,3+18*1+(5),,,"J1 A - (North) Bishopthorpe Roa")&amp;":"&amp;ADDRESS(130,3+18*1+(5))),'J1 A - (North) Bishopthorpe Roa'!$A$12:$A$130,"&gt;="&amp;Diagram!$O80,'J1 A - (North) Bishopthorpe Roa'!$A$12:$A$130,"&lt;"&amp;Diagram!$P80),SUMIFS(INDIRECT(ADDRESS(12,3+18*1+(13),,,"J1 A - (North) Bishopthorpe Roa")&amp;":"&amp;ADDRESS(130,3+18*1+(13))),'J1 A - (North) Bishopthorpe Roa'!$A$12:$A$130,"&gt;="&amp;Diagram!$O80,'J1 A - (North) Bishopthorpe Roa'!$A$12:$A$130,"&lt;"&amp;Diagram!$P80)))</f>
        <v>7</v>
      </c>
      <c r="DC80" s="42">
        <f ca="1">IF(OR($I$10="",$O80="",$P80="",$J$40&lt;&gt;"Yes"),0,IF($K$10=0,SUMIFS(INDIRECT(ADDRESS(12,3+18*2+(5),,,"J1 A - (North) Bishopthorpe Roa")&amp;":"&amp;ADDRESS(130,3+18*2+(5))),'J1 A - (North) Bishopthorpe Roa'!$A$12:$A$130,"&gt;="&amp;Diagram!$O80,'J1 A - (North) Bishopthorpe Roa'!$A$12:$A$130,"&lt;"&amp;Diagram!$P80),SUMIFS(INDIRECT(ADDRESS(12,3+18*2+(13),,,"J1 A - (North) Bishopthorpe Roa")&amp;":"&amp;ADDRESS(130,3+18*2+(13))),'J1 A - (North) Bishopthorpe Roa'!$A$12:$A$130,"&gt;="&amp;Diagram!$O80,'J1 A - (North) Bishopthorpe Roa'!$A$12:$A$130,"&lt;"&amp;Diagram!$P80)))</f>
        <v>6</v>
      </c>
      <c r="DD80" s="42">
        <f ca="1">IF(OR($I$10="",$O80="",$P80="",$J$40&lt;&gt;"Yes"),0,IF($K$10=0,SUMIFS(INDIRECT(ADDRESS(12,3+18*2+(5),,,"J1 B - Butcher Terrace")&amp;":"&amp;ADDRESS(130,3+18*2+(5))),'J1 B - Butcher Terrace'!$A$12:$A$130,"&gt;="&amp;Diagram!$O80,'J1 B - Butcher Terrace'!$A$12:$A$130,"&lt;"&amp;Diagram!$P80),SUMIFS(INDIRECT(ADDRESS(12,3+18*2+(13),,,"J1 B - Butcher Terrace")&amp;":"&amp;ADDRESS(130,3+18*2+(13))),'J1 B - Butcher Terrace'!$A$12:$A$130,"&gt;="&amp;Diagram!$O80,'J1 B - Butcher Terrace'!$A$12:$A$130,"&lt;"&amp;Diagram!$P80)))</f>
        <v>4</v>
      </c>
      <c r="DE80" s="42">
        <f ca="1">IF(OR($I$10="",$O80="",$P80="",$J$40&lt;&gt;"Yes"),0,IF($K$10=0,SUMIFS(INDIRECT(ADDRESS(12,3+18*3+(5),,,"J1 B - Butcher Terrace")&amp;":"&amp;ADDRESS(130,3+18*3+(5))),'J1 B - Butcher Terrace'!$A$12:$A$130,"&gt;="&amp;Diagram!$O80,'J1 B - Butcher Terrace'!$A$12:$A$130,"&lt;"&amp;Diagram!$P80),SUMIFS(INDIRECT(ADDRESS(12,3+18*3+(13),,,"J1 B - Butcher Terrace")&amp;":"&amp;ADDRESS(130,3+18*3+(13))),'J1 B - Butcher Terrace'!$A$12:$A$130,"&gt;="&amp;Diagram!$O80,'J1 B - Butcher Terrace'!$A$12:$A$130,"&lt;"&amp;Diagram!$P80)))</f>
        <v>0</v>
      </c>
      <c r="DF80" s="42">
        <f ca="1">IF(OR($I$10="",$O80="",$P80="",$J$40&lt;&gt;"Yes"),0,IF($K$10=0,SUMIFS(INDIRECT(ADDRESS(12,3+18*0+(5),,,"J1 B - Butcher Terrace")&amp;":"&amp;ADDRESS(130,3+18*0+(5))),'J1 B - Butcher Terrace'!$A$12:$A$130,"&gt;="&amp;Diagram!$O80,'J1 B - Butcher Terrace'!$A$12:$A$130,"&lt;"&amp;Diagram!$P80),SUMIFS(INDIRECT(ADDRESS(12,3+18*0+(13),,,"J1 B - Butcher Terrace")&amp;":"&amp;ADDRESS(130,3+18*0+(13))),'J1 B - Butcher Terrace'!$A$12:$A$130,"&gt;="&amp;Diagram!$O80,'J1 B - Butcher Terrace'!$A$12:$A$130,"&lt;"&amp;Diagram!$P80)))</f>
        <v>8</v>
      </c>
      <c r="DG80" s="42">
        <f ca="1">IF(OR($I$10="",$O80="",$P80="",$J$40&lt;&gt;"Yes"),0,IF($K$10=0,SUMIFS(INDIRECT(ADDRESS(12,3+18*1+(5),,,"J1 B - Butcher Terrace")&amp;":"&amp;ADDRESS(130,3+18*1+(5))),'J1 B - Butcher Terrace'!$A$12:$A$130,"&gt;="&amp;Diagram!$O80,'J1 B - Butcher Terrace'!$A$12:$A$130,"&lt;"&amp;Diagram!$P80),SUMIFS(INDIRECT(ADDRESS(12,3+18*1+(13),,,"J1 B - Butcher Terrace")&amp;":"&amp;ADDRESS(130,3+18*1+(13))),'J1 B - Butcher Terrace'!$A$12:$A$130,"&gt;="&amp;Diagram!$O80,'J1 B - Butcher Terrace'!$A$12:$A$130,"&lt;"&amp;Diagram!$P80)))</f>
        <v>14</v>
      </c>
      <c r="DH80" s="42">
        <f ca="1">IF(OR($I$10="",$O80="",$P80="",$J$40&lt;&gt;"Yes"),0,IF($K$10=0,SUMIFS(INDIRECT(ADDRESS(12,3+18*1+(5),,,"J1 C - (South) Bishopthorpe Roa")&amp;":"&amp;ADDRESS(130,3+18*1+(5))),'J1 C - (South) Bishopthorpe Roa'!$A$12:$A$130,"&gt;="&amp;Diagram!$O80,'J1 C - (South) Bishopthorpe Roa'!$A$12:$A$130,"&lt;"&amp;Diagram!$P80),SUMIFS(INDIRECT(ADDRESS(12,3+18*1+(13),,,"J1 C - (South) Bishopthorpe Roa")&amp;":"&amp;ADDRESS(130,3+18*1+(13))),'J1 C - (South) Bishopthorpe Roa'!$A$12:$A$130,"&gt;="&amp;Diagram!$O80,'J1 C - (South) Bishopthorpe Roa'!$A$12:$A$130,"&lt;"&amp;Diagram!$P80)))</f>
        <v>8</v>
      </c>
      <c r="DI80" s="42">
        <f ca="1">IF(OR($I$10="",$O80="",$P80="",$J$40&lt;&gt;"Yes"),0,IF($K$10=0,SUMIFS(INDIRECT(ADDRESS(12,3+18*2+(5),,,"J1 C - (South) Bishopthorpe Roa")&amp;":"&amp;ADDRESS(130,3+18*2+(5))),'J1 C - (South) Bishopthorpe Roa'!$A$12:$A$130,"&gt;="&amp;Diagram!$O80,'J1 C - (South) Bishopthorpe Roa'!$A$12:$A$130,"&lt;"&amp;Diagram!$P80),SUMIFS(INDIRECT(ADDRESS(12,3+18*2+(13),,,"J1 C - (South) Bishopthorpe Roa")&amp;":"&amp;ADDRESS(130,3+18*2+(13))),'J1 C - (South) Bishopthorpe Roa'!$A$12:$A$130,"&gt;="&amp;Diagram!$O80,'J1 C - (South) Bishopthorpe Roa'!$A$12:$A$130,"&lt;"&amp;Diagram!$P80)))</f>
        <v>8</v>
      </c>
      <c r="DJ80" s="42">
        <f ca="1">IF(OR($I$10="",$O80="",$P80="",$J$40&lt;&gt;"Yes"),0,IF($K$10=0,SUMIFS(INDIRECT(ADDRESS(12,3+18*3+(5),,,"J1 C - (South) Bishopthorpe Roa")&amp;":"&amp;ADDRESS(130,3+18*3+(5))),'J1 C - (South) Bishopthorpe Roa'!$A$12:$A$130,"&gt;="&amp;Diagram!$O80,'J1 C - (South) Bishopthorpe Roa'!$A$12:$A$130,"&lt;"&amp;Diagram!$P80),SUMIFS(INDIRECT(ADDRESS(12,3+18*3+(13),,,"J1 C - (South) Bishopthorpe Roa")&amp;":"&amp;ADDRESS(130,3+18*3+(13))),'J1 C - (South) Bishopthorpe Roa'!$A$12:$A$130,"&gt;="&amp;Diagram!$O80,'J1 C - (South) Bishopthorpe Roa'!$A$12:$A$130,"&lt;"&amp;Diagram!$P80)))</f>
        <v>0</v>
      </c>
      <c r="DK80" s="42">
        <f ca="1">IF(OR($I$10="",$O80="",$P80="",$J$40&lt;&gt;"Yes"),0,IF($K$10=0,SUMIFS(INDIRECT(ADDRESS(12,3+18*0+(5),,,"J1 C - (South) Bishopthorpe Roa")&amp;":"&amp;ADDRESS(130,3+18*0+(5))),'J1 C - (South) Bishopthorpe Roa'!$A$12:$A$130,"&gt;="&amp;Diagram!$O80,'J1 C - (South) Bishopthorpe Roa'!$A$12:$A$130,"&lt;"&amp;Diagram!$P80),SUMIFS(INDIRECT(ADDRESS(12,3+18*0+(13),,,"J1 C - (South) Bishopthorpe Roa")&amp;":"&amp;ADDRESS(130,3+18*0+(13))),'J1 C - (South) Bishopthorpe Roa'!$A$12:$A$130,"&gt;="&amp;Diagram!$O80,'J1 C - (South) Bishopthorpe Roa'!$A$12:$A$130,"&lt;"&amp;Diagram!$P80)))</f>
        <v>0</v>
      </c>
      <c r="DL80" s="42">
        <f ca="1">IF(OR($I$10="",$O80="",$P80="",$J$40&lt;&gt;"Yes"),0,IF($K$10=0,SUMIFS(INDIRECT(ADDRESS(12,3+18*0+(5),,,"J1 D - South Bank Avenue")&amp;":"&amp;ADDRESS(130,3+18*0+(5))),'J1 D - South Bank Avenue'!$A$12:$A$130,"&gt;="&amp;Diagram!$O80,'J1 D - South Bank Avenue'!$A$12:$A$130,"&lt;"&amp;Diagram!$P80),SUMIFS(INDIRECT(ADDRESS(12,3+18*0+(13),,,"J1 D - South Bank Avenue")&amp;":"&amp;ADDRESS(130,3+18*0+(13))),'J1 D - South Bank Avenue'!$A$12:$A$130,"&gt;="&amp;Diagram!$O80,'J1 D - South Bank Avenue'!$A$12:$A$130,"&lt;"&amp;Diagram!$P80)))</f>
        <v>5</v>
      </c>
      <c r="DM80" s="42">
        <f ca="1">IF(OR($I$10="",$O80="",$P80="",$J$40&lt;&gt;"Yes"),0,IF($K$10=0,SUMIFS(INDIRECT(ADDRESS(12,3+18*1+(5),,,"J1 D - South Bank Avenue")&amp;":"&amp;ADDRESS(130,3+18*1+(5))),'J1 D - South Bank Avenue'!$A$12:$A$130,"&gt;="&amp;Diagram!$O80,'J1 D - South Bank Avenue'!$A$12:$A$130,"&lt;"&amp;Diagram!$P80),SUMIFS(INDIRECT(ADDRESS(12,3+18*1+(13),,,"J1 D - South Bank Avenue")&amp;":"&amp;ADDRESS(130,3+18*1+(13))),'J1 D - South Bank Avenue'!$A$12:$A$130,"&gt;="&amp;Diagram!$O80,'J1 D - South Bank Avenue'!$A$12:$A$130,"&lt;"&amp;Diagram!$P80)))</f>
        <v>15</v>
      </c>
      <c r="DN80" s="42">
        <f ca="1">IF(OR($I$10="",$O80="",$P80="",$J$40&lt;&gt;"Yes"),0,IF($K$10=0,SUMIFS(INDIRECT(ADDRESS(12,3+18*2+(5),,,"J1 D - South Bank Avenue")&amp;":"&amp;ADDRESS(130,3+18*2+(5))),'J1 D - South Bank Avenue'!$A$12:$A$130,"&gt;="&amp;Diagram!$O80,'J1 D - South Bank Avenue'!$A$12:$A$130,"&lt;"&amp;Diagram!$P80),SUMIFS(INDIRECT(ADDRESS(12,3+18*2+(13),,,"J1 D - South Bank Avenue")&amp;":"&amp;ADDRESS(130,3+18*2+(13))),'J1 D - South Bank Avenue'!$A$12:$A$130,"&gt;="&amp;Diagram!$O80,'J1 D - South Bank Avenue'!$A$12:$A$130,"&lt;"&amp;Diagram!$P80)))</f>
        <v>2</v>
      </c>
      <c r="DO80" s="42">
        <f ca="1">IF(OR($I$10="",$O80="",$P80="",$J$40&lt;&gt;"Yes"),0,IF($K$10=0,SUMIFS(INDIRECT(ADDRESS(12,3+18*3+(5),,,"J1 D - South Bank Avenue")&amp;":"&amp;ADDRESS(130,3+18*3+(5))),'J1 D - South Bank Avenue'!$A$12:$A$130,"&gt;="&amp;Diagram!$O80,'J1 D - South Bank Avenue'!$A$12:$A$130,"&lt;"&amp;Diagram!$P80),SUMIFS(INDIRECT(ADDRESS(12,3+18*3+(13),,,"J1 D - South Bank Avenue")&amp;":"&amp;ADDRESS(130,3+18*3+(13))),'J1 D - South Bank Avenue'!$A$12:$A$130,"&gt;="&amp;Diagram!$O80,'J1 D - South Bank Avenue'!$A$12:$A$130,"&lt;"&amp;Diagram!$P80)))</f>
        <v>0</v>
      </c>
      <c r="DP80" s="42">
        <f t="shared" ca="1" si="17"/>
        <v>15</v>
      </c>
      <c r="DQ80" s="42">
        <f ca="1">IF(OR($I$10="",$O80="",$P80="",$J$41&lt;&gt;"Yes"),0,IF($K$10=0,SUMIFS(INDIRECT(ADDRESS(12,3+18*3+(6),,,"J1 A - (North) Bishopthorpe Roa")&amp;":"&amp;ADDRESS(130,3+18*3+(6))),'J1 A - (North) Bishopthorpe Roa'!$A$12:$A$130,"&gt;="&amp;Diagram!$O80,'J1 A - (North) Bishopthorpe Roa'!$A$12:$A$130,"&lt;"&amp;Diagram!$P80),SUMIFS(INDIRECT(ADDRESS(12,3+18*3+(14),,,"J1 A - (North) Bishopthorpe Roa")&amp;":"&amp;ADDRESS(130,3+18*3+(14))),'J1 A - (North) Bishopthorpe Roa'!$A$12:$A$130,"&gt;="&amp;Diagram!$O80,'J1 A - (North) Bishopthorpe Roa'!$A$12:$A$130,"&lt;"&amp;Diagram!$P80)))</f>
        <v>0</v>
      </c>
      <c r="DR80" s="42">
        <f ca="1">IF(OR($I$10="",$O80="",$P80="",$J$41&lt;&gt;"Yes"),0,IF($K$10=0,SUMIFS(INDIRECT(ADDRESS(12,3+18*0+(6),,,"J1 A - (North) Bishopthorpe Roa")&amp;":"&amp;ADDRESS(130,3+18*0+(6))),'J1 A - (North) Bishopthorpe Roa'!$A$12:$A$130,"&gt;="&amp;Diagram!$O80,'J1 A - (North) Bishopthorpe Roa'!$A$12:$A$130,"&lt;"&amp;Diagram!$P80),SUMIFS(INDIRECT(ADDRESS(12,3+18*0+(14),,,"J1 A - (North) Bishopthorpe Roa")&amp;":"&amp;ADDRESS(130,3+18*0+(14))),'J1 A - (North) Bishopthorpe Roa'!$A$12:$A$130,"&gt;="&amp;Diagram!$O80,'J1 A - (North) Bishopthorpe Roa'!$A$12:$A$130,"&lt;"&amp;Diagram!$P80)))</f>
        <v>1</v>
      </c>
      <c r="DS80" s="42">
        <f ca="1">IF(OR($I$10="",$O80="",$P80="",$J$41&lt;&gt;"Yes"),0,IF($K$10=0,SUMIFS(INDIRECT(ADDRESS(12,3+18*1+(6),,,"J1 A - (North) Bishopthorpe Roa")&amp;":"&amp;ADDRESS(130,3+18*1+(6))),'J1 A - (North) Bishopthorpe Roa'!$A$12:$A$130,"&gt;="&amp;Diagram!$O80,'J1 A - (North) Bishopthorpe Roa'!$A$12:$A$130,"&lt;"&amp;Diagram!$P80),SUMIFS(INDIRECT(ADDRESS(12,3+18*1+(14),,,"J1 A - (North) Bishopthorpe Roa")&amp;":"&amp;ADDRESS(130,3+18*1+(14))),'J1 A - (North) Bishopthorpe Roa'!$A$12:$A$130,"&gt;="&amp;Diagram!$O80,'J1 A - (North) Bishopthorpe Roa'!$A$12:$A$130,"&lt;"&amp;Diagram!$P80)))</f>
        <v>4</v>
      </c>
      <c r="DT80" s="42">
        <f ca="1">IF(OR($I$10="",$O80="",$P80="",$J$41&lt;&gt;"Yes"),0,IF($K$10=0,SUMIFS(INDIRECT(ADDRESS(12,3+18*2+(6),,,"J1 A - (North) Bishopthorpe Roa")&amp;":"&amp;ADDRESS(130,3+18*2+(6))),'J1 A - (North) Bishopthorpe Roa'!$A$12:$A$130,"&gt;="&amp;Diagram!$O80,'J1 A - (North) Bishopthorpe Roa'!$A$12:$A$130,"&lt;"&amp;Diagram!$P80),SUMIFS(INDIRECT(ADDRESS(12,3+18*2+(14),,,"J1 A - (North) Bishopthorpe Roa")&amp;":"&amp;ADDRESS(130,3+18*2+(14))),'J1 A - (North) Bishopthorpe Roa'!$A$12:$A$130,"&gt;="&amp;Diagram!$O80,'J1 A - (North) Bishopthorpe Roa'!$A$12:$A$130,"&lt;"&amp;Diagram!$P80)))</f>
        <v>3</v>
      </c>
      <c r="DU80" s="42">
        <f ca="1">IF(OR($I$10="",$O80="",$P80="",$J$41&lt;&gt;"Yes"),0,IF($K$10=0,SUMIFS(INDIRECT(ADDRESS(12,3+18*2+(6),,,"J1 B - Butcher Terrace")&amp;":"&amp;ADDRESS(130,3+18*2+(6))),'J1 B - Butcher Terrace'!$A$12:$A$130,"&gt;="&amp;Diagram!$O80,'J1 B - Butcher Terrace'!$A$12:$A$130,"&lt;"&amp;Diagram!$P80),SUMIFS(INDIRECT(ADDRESS(12,3+18*2+(14),,,"J1 B - Butcher Terrace")&amp;":"&amp;ADDRESS(130,3+18*2+(14))),'J1 B - Butcher Terrace'!$A$12:$A$130,"&gt;="&amp;Diagram!$O80,'J1 B - Butcher Terrace'!$A$12:$A$130,"&lt;"&amp;Diagram!$P80)))</f>
        <v>2</v>
      </c>
      <c r="DV80" s="42">
        <f ca="1">IF(OR($I$10="",$O80="",$P80="",$J$41&lt;&gt;"Yes"),0,IF($K$10=0,SUMIFS(INDIRECT(ADDRESS(12,3+18*3+(6),,,"J1 B - Butcher Terrace")&amp;":"&amp;ADDRESS(130,3+18*3+(6))),'J1 B - Butcher Terrace'!$A$12:$A$130,"&gt;="&amp;Diagram!$O80,'J1 B - Butcher Terrace'!$A$12:$A$130,"&lt;"&amp;Diagram!$P80),SUMIFS(INDIRECT(ADDRESS(12,3+18*3+(14),,,"J1 B - Butcher Terrace")&amp;":"&amp;ADDRESS(130,3+18*3+(14))),'J1 B - Butcher Terrace'!$A$12:$A$130,"&gt;="&amp;Diagram!$O80,'J1 B - Butcher Terrace'!$A$12:$A$130,"&lt;"&amp;Diagram!$P80)))</f>
        <v>0</v>
      </c>
      <c r="DW80" s="42">
        <f ca="1">IF(OR($I$10="",$O80="",$P80="",$J$41&lt;&gt;"Yes"),0,IF($K$10=0,SUMIFS(INDIRECT(ADDRESS(12,3+18*0+(6),,,"J1 B - Butcher Terrace")&amp;":"&amp;ADDRESS(130,3+18*0+(6))),'J1 B - Butcher Terrace'!$A$12:$A$130,"&gt;="&amp;Diagram!$O80,'J1 B - Butcher Terrace'!$A$12:$A$130,"&lt;"&amp;Diagram!$P80),SUMIFS(INDIRECT(ADDRESS(12,3+18*0+(14),,,"J1 B - Butcher Terrace")&amp;":"&amp;ADDRESS(130,3+18*0+(14))),'J1 B - Butcher Terrace'!$A$12:$A$130,"&gt;="&amp;Diagram!$O80,'J1 B - Butcher Terrace'!$A$12:$A$130,"&lt;"&amp;Diagram!$P80)))</f>
        <v>1</v>
      </c>
      <c r="DX80" s="42">
        <f ca="1">IF(OR($I$10="",$O80="",$P80="",$J$41&lt;&gt;"Yes"),0,IF($K$10=0,SUMIFS(INDIRECT(ADDRESS(12,3+18*1+(6),,,"J1 B - Butcher Terrace")&amp;":"&amp;ADDRESS(130,3+18*1+(6))),'J1 B - Butcher Terrace'!$A$12:$A$130,"&gt;="&amp;Diagram!$O80,'J1 B - Butcher Terrace'!$A$12:$A$130,"&lt;"&amp;Diagram!$P80),SUMIFS(INDIRECT(ADDRESS(12,3+18*1+(14),,,"J1 B - Butcher Terrace")&amp;":"&amp;ADDRESS(130,3+18*1+(14))),'J1 B - Butcher Terrace'!$A$12:$A$130,"&gt;="&amp;Diagram!$O80,'J1 B - Butcher Terrace'!$A$12:$A$130,"&lt;"&amp;Diagram!$P80)))</f>
        <v>0</v>
      </c>
      <c r="DY80" s="42">
        <f ca="1">IF(OR($I$10="",$O80="",$P80="",$J$41&lt;&gt;"Yes"),0,IF($K$10=0,SUMIFS(INDIRECT(ADDRESS(12,3+18*1+(6),,,"J1 C - (South) Bishopthorpe Roa")&amp;":"&amp;ADDRESS(130,3+18*1+(6))),'J1 C - (South) Bishopthorpe Roa'!$A$12:$A$130,"&gt;="&amp;Diagram!$O80,'J1 C - (South) Bishopthorpe Roa'!$A$12:$A$130,"&lt;"&amp;Diagram!$P80),SUMIFS(INDIRECT(ADDRESS(12,3+18*1+(14),,,"J1 C - (South) Bishopthorpe Roa")&amp;":"&amp;ADDRESS(130,3+18*1+(14))),'J1 C - (South) Bishopthorpe Roa'!$A$12:$A$130,"&gt;="&amp;Diagram!$O80,'J1 C - (South) Bishopthorpe Roa'!$A$12:$A$130,"&lt;"&amp;Diagram!$P80)))</f>
        <v>2</v>
      </c>
      <c r="DZ80" s="42">
        <f ca="1">IF(OR($I$10="",$O80="",$P80="",$J$41&lt;&gt;"Yes"),0,IF($K$10=0,SUMIFS(INDIRECT(ADDRESS(12,3+18*2+(6),,,"J1 C - (South) Bishopthorpe Roa")&amp;":"&amp;ADDRESS(130,3+18*2+(6))),'J1 C - (South) Bishopthorpe Roa'!$A$12:$A$130,"&gt;="&amp;Diagram!$O80,'J1 C - (South) Bishopthorpe Roa'!$A$12:$A$130,"&lt;"&amp;Diagram!$P80),SUMIFS(INDIRECT(ADDRESS(12,3+18*2+(14),,,"J1 C - (South) Bishopthorpe Roa")&amp;":"&amp;ADDRESS(130,3+18*2+(14))),'J1 C - (South) Bishopthorpe Roa'!$A$12:$A$130,"&gt;="&amp;Diagram!$O80,'J1 C - (South) Bishopthorpe Roa'!$A$12:$A$130,"&lt;"&amp;Diagram!$P80)))</f>
        <v>0</v>
      </c>
      <c r="EA80" s="42">
        <f ca="1">IF(OR($I$10="",$O80="",$P80="",$J$41&lt;&gt;"Yes"),0,IF($K$10=0,SUMIFS(INDIRECT(ADDRESS(12,3+18*3+(6),,,"J1 C - (South) Bishopthorpe Roa")&amp;":"&amp;ADDRESS(130,3+18*3+(6))),'J1 C - (South) Bishopthorpe Roa'!$A$12:$A$130,"&gt;="&amp;Diagram!$O80,'J1 C - (South) Bishopthorpe Roa'!$A$12:$A$130,"&lt;"&amp;Diagram!$P80),SUMIFS(INDIRECT(ADDRESS(12,3+18*3+(14),,,"J1 C - (South) Bishopthorpe Roa")&amp;":"&amp;ADDRESS(130,3+18*3+(14))),'J1 C - (South) Bishopthorpe Roa'!$A$12:$A$130,"&gt;="&amp;Diagram!$O80,'J1 C - (South) Bishopthorpe Roa'!$A$12:$A$130,"&lt;"&amp;Diagram!$P80)))</f>
        <v>0</v>
      </c>
      <c r="EB80" s="42">
        <f ca="1">IF(OR($I$10="",$O80="",$P80="",$J$41&lt;&gt;"Yes"),0,IF($K$10=0,SUMIFS(INDIRECT(ADDRESS(12,3+18*0+(6),,,"J1 C - (South) Bishopthorpe Roa")&amp;":"&amp;ADDRESS(130,3+18*0+(6))),'J1 C - (South) Bishopthorpe Roa'!$A$12:$A$130,"&gt;="&amp;Diagram!$O80,'J1 C - (South) Bishopthorpe Roa'!$A$12:$A$130,"&lt;"&amp;Diagram!$P80),SUMIFS(INDIRECT(ADDRESS(12,3+18*0+(14),,,"J1 C - (South) Bishopthorpe Roa")&amp;":"&amp;ADDRESS(130,3+18*0+(14))),'J1 C - (South) Bishopthorpe Roa'!$A$12:$A$130,"&gt;="&amp;Diagram!$O80,'J1 C - (South) Bishopthorpe Roa'!$A$12:$A$130,"&lt;"&amp;Diagram!$P80)))</f>
        <v>0</v>
      </c>
      <c r="EC80" s="42">
        <f ca="1">IF(OR($I$10="",$O80="",$P80="",$J$41&lt;&gt;"Yes"),0,IF($K$10=0,SUMIFS(INDIRECT(ADDRESS(12,3+18*0+(6),,,"J1 D - South Bank Avenue")&amp;":"&amp;ADDRESS(130,3+18*0+(6))),'J1 D - South Bank Avenue'!$A$12:$A$130,"&gt;="&amp;Diagram!$O80,'J1 D - South Bank Avenue'!$A$12:$A$130,"&lt;"&amp;Diagram!$P80),SUMIFS(INDIRECT(ADDRESS(12,3+18*0+(14),,,"J1 D - South Bank Avenue")&amp;":"&amp;ADDRESS(130,3+18*0+(14))),'J1 D - South Bank Avenue'!$A$12:$A$130,"&gt;="&amp;Diagram!$O80,'J1 D - South Bank Avenue'!$A$12:$A$130,"&lt;"&amp;Diagram!$P80)))</f>
        <v>2</v>
      </c>
      <c r="ED80" s="42">
        <f ca="1">IF(OR($I$10="",$O80="",$P80="",$J$41&lt;&gt;"Yes"),0,IF($K$10=0,SUMIFS(INDIRECT(ADDRESS(12,3+18*1+(6),,,"J1 D - South Bank Avenue")&amp;":"&amp;ADDRESS(130,3+18*1+(6))),'J1 D - South Bank Avenue'!$A$12:$A$130,"&gt;="&amp;Diagram!$O80,'J1 D - South Bank Avenue'!$A$12:$A$130,"&lt;"&amp;Diagram!$P80),SUMIFS(INDIRECT(ADDRESS(12,3+18*1+(14),,,"J1 D - South Bank Avenue")&amp;":"&amp;ADDRESS(130,3+18*1+(14))),'J1 D - South Bank Avenue'!$A$12:$A$130,"&gt;="&amp;Diagram!$O80,'J1 D - South Bank Avenue'!$A$12:$A$130,"&lt;"&amp;Diagram!$P80)))</f>
        <v>0</v>
      </c>
      <c r="EE80" s="42">
        <f ca="1">IF(OR($I$10="",$O80="",$P80="",$J$41&lt;&gt;"Yes"),0,IF($K$10=0,SUMIFS(INDIRECT(ADDRESS(12,3+18*2+(6),,,"J1 D - South Bank Avenue")&amp;":"&amp;ADDRESS(130,3+18*2+(6))),'J1 D - South Bank Avenue'!$A$12:$A$130,"&gt;="&amp;Diagram!$O80,'J1 D - South Bank Avenue'!$A$12:$A$130,"&lt;"&amp;Diagram!$P80),SUMIFS(INDIRECT(ADDRESS(12,3+18*2+(14),,,"J1 D - South Bank Avenue")&amp;":"&amp;ADDRESS(130,3+18*2+(14))),'J1 D - South Bank Avenue'!$A$12:$A$130,"&gt;="&amp;Diagram!$O80,'J1 D - South Bank Avenue'!$A$12:$A$130,"&lt;"&amp;Diagram!$P80)))</f>
        <v>0</v>
      </c>
      <c r="EF80" s="42">
        <f ca="1">IF(OR($I$10="",$O80="",$P80="",$J$41&lt;&gt;"Yes"),0,IF($K$10=0,SUMIFS(INDIRECT(ADDRESS(12,3+18*3+(6),,,"J1 D - South Bank Avenue")&amp;":"&amp;ADDRESS(130,3+18*3+(6))),'J1 D - South Bank Avenue'!$A$12:$A$130,"&gt;="&amp;Diagram!$O80,'J1 D - South Bank Avenue'!$A$12:$A$130,"&lt;"&amp;Diagram!$P80),SUMIFS(INDIRECT(ADDRESS(12,3+18*3+(14),,,"J1 D - South Bank Avenue")&amp;":"&amp;ADDRESS(130,3+18*3+(14))),'J1 D - South Bank Avenue'!$A$12:$A$130,"&gt;="&amp;Diagram!$O80,'J1 D - South Bank Avenue'!$A$12:$A$130,"&lt;"&amp;Diagram!$P80)))</f>
        <v>0</v>
      </c>
      <c r="EG80" s="42">
        <f t="shared" ca="1" si="18"/>
        <v>0</v>
      </c>
      <c r="EH80" s="42">
        <f ca="1">IF(OR($I$10="",$O80="",$P80="",$J$42&lt;&gt;"Yes"),0,IF($K$10=0,SUMIFS(INDIRECT(ADDRESS(12,3+18*3+(7),,,"J1 A - (North) Bishopthorpe Roa")&amp;":"&amp;ADDRESS(130,3+18*3+(7))),'J1 A - (North) Bishopthorpe Roa'!$A$12:$A$130,"&gt;="&amp;Diagram!$O80,'J1 A - (North) Bishopthorpe Roa'!$A$12:$A$130,"&lt;"&amp;Diagram!$P80),SUMIFS(INDIRECT(ADDRESS(12,3+18*3+(15),,,"J1 A - (North) Bishopthorpe Roa")&amp;":"&amp;ADDRESS(130,3+18*3+(15))),'J1 A - (North) Bishopthorpe Roa'!$A$12:$A$130,"&gt;="&amp;Diagram!$O80,'J1 A - (North) Bishopthorpe Roa'!$A$12:$A$130,"&lt;"&amp;Diagram!$P80)))</f>
        <v>0</v>
      </c>
      <c r="EI80" s="42">
        <f ca="1">IF(OR($I$10="",$O80="",$P80="",$J$42&lt;&gt;"Yes"),0,IF($K$10=0,SUMIFS(INDIRECT(ADDRESS(12,3+18*0+(7),,,"J1 A - (North) Bishopthorpe Roa")&amp;":"&amp;ADDRESS(130,3+18*0+(7))),'J1 A - (North) Bishopthorpe Roa'!$A$12:$A$130,"&gt;="&amp;Diagram!$O80,'J1 A - (North) Bishopthorpe Roa'!$A$12:$A$130,"&lt;"&amp;Diagram!$P80),SUMIFS(INDIRECT(ADDRESS(12,3+18*0+(15),,,"J1 A - (North) Bishopthorpe Roa")&amp;":"&amp;ADDRESS(130,3+18*0+(15))),'J1 A - (North) Bishopthorpe Roa'!$A$12:$A$130,"&gt;="&amp;Diagram!$O80,'J1 A - (North) Bishopthorpe Roa'!$A$12:$A$130,"&lt;"&amp;Diagram!$P80)))</f>
        <v>0</v>
      </c>
      <c r="EJ80" s="42">
        <f ca="1">IF(OR($I$10="",$O80="",$P80="",$J$42&lt;&gt;"Yes"),0,IF($K$10=0,SUMIFS(INDIRECT(ADDRESS(12,3+18*1+(7),,,"J1 A - (North) Bishopthorpe Roa")&amp;":"&amp;ADDRESS(130,3+18*1+(7))),'J1 A - (North) Bishopthorpe Roa'!$A$12:$A$130,"&gt;="&amp;Diagram!$O80,'J1 A - (North) Bishopthorpe Roa'!$A$12:$A$130,"&lt;"&amp;Diagram!$P80),SUMIFS(INDIRECT(ADDRESS(12,3+18*1+(15),,,"J1 A - (North) Bishopthorpe Roa")&amp;":"&amp;ADDRESS(130,3+18*1+(15))),'J1 A - (North) Bishopthorpe Roa'!$A$12:$A$130,"&gt;="&amp;Diagram!$O80,'J1 A - (North) Bishopthorpe Roa'!$A$12:$A$130,"&lt;"&amp;Diagram!$P80)))</f>
        <v>0</v>
      </c>
      <c r="EK80" s="42">
        <f ca="1">IF(OR($I$10="",$O80="",$P80="",$J$42&lt;&gt;"Yes"),0,IF($K$10=0,SUMIFS(INDIRECT(ADDRESS(12,3+18*2+(7),,,"J1 A - (North) Bishopthorpe Roa")&amp;":"&amp;ADDRESS(130,3+18*2+(7))),'J1 A - (North) Bishopthorpe Roa'!$A$12:$A$130,"&gt;="&amp;Diagram!$O80,'J1 A - (North) Bishopthorpe Roa'!$A$12:$A$130,"&lt;"&amp;Diagram!$P80),SUMIFS(INDIRECT(ADDRESS(12,3+18*2+(15),,,"J1 A - (North) Bishopthorpe Roa")&amp;":"&amp;ADDRESS(130,3+18*2+(15))),'J1 A - (North) Bishopthorpe Roa'!$A$12:$A$130,"&gt;="&amp;Diagram!$O80,'J1 A - (North) Bishopthorpe Roa'!$A$12:$A$130,"&lt;"&amp;Diagram!$P80)))</f>
        <v>0</v>
      </c>
      <c r="EL80" s="42">
        <f ca="1">IF(OR($I$10="",$O80="",$P80="",$J$42&lt;&gt;"Yes"),0,IF($K$10=0,SUMIFS(INDIRECT(ADDRESS(12,3+18*2+(7),,,"J1 B - Butcher Terrace")&amp;":"&amp;ADDRESS(130,3+18*2+(7))),'J1 B - Butcher Terrace'!$A$12:$A$130,"&gt;="&amp;Diagram!$O80,'J1 B - Butcher Terrace'!$A$12:$A$130,"&lt;"&amp;Diagram!$P80),SUMIFS(INDIRECT(ADDRESS(12,3+18*2+(15),,,"J1 B - Butcher Terrace")&amp;":"&amp;ADDRESS(130,3+18*2+(15))),'J1 B - Butcher Terrace'!$A$12:$A$130,"&gt;="&amp;Diagram!$O80,'J1 B - Butcher Terrace'!$A$12:$A$130,"&lt;"&amp;Diagram!$P80)))</f>
        <v>0</v>
      </c>
      <c r="EM80" s="42">
        <f ca="1">IF(OR($I$10="",$O80="",$P80="",$J$42&lt;&gt;"Yes"),0,IF($K$10=0,SUMIFS(INDIRECT(ADDRESS(12,3+18*3+(7),,,"J1 B - Butcher Terrace")&amp;":"&amp;ADDRESS(130,3+18*3+(7))),'J1 B - Butcher Terrace'!$A$12:$A$130,"&gt;="&amp;Diagram!$O80,'J1 B - Butcher Terrace'!$A$12:$A$130,"&lt;"&amp;Diagram!$P80),SUMIFS(INDIRECT(ADDRESS(12,3+18*3+(15),,,"J1 B - Butcher Terrace")&amp;":"&amp;ADDRESS(130,3+18*3+(15))),'J1 B - Butcher Terrace'!$A$12:$A$130,"&gt;="&amp;Diagram!$O80,'J1 B - Butcher Terrace'!$A$12:$A$130,"&lt;"&amp;Diagram!$P80)))</f>
        <v>0</v>
      </c>
      <c r="EN80" s="42">
        <f ca="1">IF(OR($I$10="",$O80="",$P80="",$J$42&lt;&gt;"Yes"),0,IF($K$10=0,SUMIFS(INDIRECT(ADDRESS(12,3+18*0+(7),,,"J1 B - Butcher Terrace")&amp;":"&amp;ADDRESS(130,3+18*0+(7))),'J1 B - Butcher Terrace'!$A$12:$A$130,"&gt;="&amp;Diagram!$O80,'J1 B - Butcher Terrace'!$A$12:$A$130,"&lt;"&amp;Diagram!$P80),SUMIFS(INDIRECT(ADDRESS(12,3+18*0+(15),,,"J1 B - Butcher Terrace")&amp;":"&amp;ADDRESS(130,3+18*0+(15))),'J1 B - Butcher Terrace'!$A$12:$A$130,"&gt;="&amp;Diagram!$O80,'J1 B - Butcher Terrace'!$A$12:$A$130,"&lt;"&amp;Diagram!$P80)))</f>
        <v>0</v>
      </c>
      <c r="EO80" s="42">
        <f ca="1">IF(OR($I$10="",$O80="",$P80="",$J$42&lt;&gt;"Yes"),0,IF($K$10=0,SUMIFS(INDIRECT(ADDRESS(12,3+18*1+(7),,,"J1 B - Butcher Terrace")&amp;":"&amp;ADDRESS(130,3+18*1+(7))),'J1 B - Butcher Terrace'!$A$12:$A$130,"&gt;="&amp;Diagram!$O80,'J1 B - Butcher Terrace'!$A$12:$A$130,"&lt;"&amp;Diagram!$P80),SUMIFS(INDIRECT(ADDRESS(12,3+18*1+(15),,,"J1 B - Butcher Terrace")&amp;":"&amp;ADDRESS(130,3+18*1+(15))),'J1 B - Butcher Terrace'!$A$12:$A$130,"&gt;="&amp;Diagram!$O80,'J1 B - Butcher Terrace'!$A$12:$A$130,"&lt;"&amp;Diagram!$P80)))</f>
        <v>0</v>
      </c>
      <c r="EP80" s="42">
        <f ca="1">IF(OR($I$10="",$O80="",$P80="",$J$42&lt;&gt;"Yes"),0,IF($K$10=0,SUMIFS(INDIRECT(ADDRESS(12,3+18*1+(7),,,"J1 C - (South) Bishopthorpe Roa")&amp;":"&amp;ADDRESS(130,3+18*1+(7))),'J1 C - (South) Bishopthorpe Roa'!$A$12:$A$130,"&gt;="&amp;Diagram!$O80,'J1 C - (South) Bishopthorpe Roa'!$A$12:$A$130,"&lt;"&amp;Diagram!$P80),SUMIFS(INDIRECT(ADDRESS(12,3+18*1+(15),,,"J1 C - (South) Bishopthorpe Roa")&amp;":"&amp;ADDRESS(130,3+18*1+(15))),'J1 C - (South) Bishopthorpe Roa'!$A$12:$A$130,"&gt;="&amp;Diagram!$O80,'J1 C - (South) Bishopthorpe Roa'!$A$12:$A$130,"&lt;"&amp;Diagram!$P80)))</f>
        <v>0</v>
      </c>
      <c r="EQ80" s="42">
        <f ca="1">IF(OR($I$10="",$O80="",$P80="",$J$42&lt;&gt;"Yes"),0,IF($K$10=0,SUMIFS(INDIRECT(ADDRESS(12,3+18*2+(7),,,"J1 C - (South) Bishopthorpe Roa")&amp;":"&amp;ADDRESS(130,3+18*2+(7))),'J1 C - (South) Bishopthorpe Roa'!$A$12:$A$130,"&gt;="&amp;Diagram!$O80,'J1 C - (South) Bishopthorpe Roa'!$A$12:$A$130,"&lt;"&amp;Diagram!$P80),SUMIFS(INDIRECT(ADDRESS(12,3+18*2+(15),,,"J1 C - (South) Bishopthorpe Roa")&amp;":"&amp;ADDRESS(130,3+18*2+(15))),'J1 C - (South) Bishopthorpe Roa'!$A$12:$A$130,"&gt;="&amp;Diagram!$O80,'J1 C - (South) Bishopthorpe Roa'!$A$12:$A$130,"&lt;"&amp;Diagram!$P80)))</f>
        <v>0</v>
      </c>
      <c r="ER80" s="42">
        <f ca="1">IF(OR($I$10="",$O80="",$P80="",$J$42&lt;&gt;"Yes"),0,IF($K$10=0,SUMIFS(INDIRECT(ADDRESS(12,3+18*3+(7),,,"J1 C - (South) Bishopthorpe Roa")&amp;":"&amp;ADDRESS(130,3+18*3+(7))),'J1 C - (South) Bishopthorpe Roa'!$A$12:$A$130,"&gt;="&amp;Diagram!$O80,'J1 C - (South) Bishopthorpe Roa'!$A$12:$A$130,"&lt;"&amp;Diagram!$P80),SUMIFS(INDIRECT(ADDRESS(12,3+18*3+(15),,,"J1 C - (South) Bishopthorpe Roa")&amp;":"&amp;ADDRESS(130,3+18*3+(15))),'J1 C - (South) Bishopthorpe Roa'!$A$12:$A$130,"&gt;="&amp;Diagram!$O80,'J1 C - (South) Bishopthorpe Roa'!$A$12:$A$130,"&lt;"&amp;Diagram!$P80)))</f>
        <v>0</v>
      </c>
      <c r="ES80" s="42">
        <f ca="1">IF(OR($I$10="",$O80="",$P80="",$J$42&lt;&gt;"Yes"),0,IF($K$10=0,SUMIFS(INDIRECT(ADDRESS(12,3+18*0+(7),,,"J1 C - (South) Bishopthorpe Roa")&amp;":"&amp;ADDRESS(130,3+18*0+(7))),'J1 C - (South) Bishopthorpe Roa'!$A$12:$A$130,"&gt;="&amp;Diagram!$O80,'J1 C - (South) Bishopthorpe Roa'!$A$12:$A$130,"&lt;"&amp;Diagram!$P80),SUMIFS(INDIRECT(ADDRESS(12,3+18*0+(15),,,"J1 C - (South) Bishopthorpe Roa")&amp;":"&amp;ADDRESS(130,3+18*0+(15))),'J1 C - (South) Bishopthorpe Roa'!$A$12:$A$130,"&gt;="&amp;Diagram!$O80,'J1 C - (South) Bishopthorpe Roa'!$A$12:$A$130,"&lt;"&amp;Diagram!$P80)))</f>
        <v>0</v>
      </c>
      <c r="ET80" s="42">
        <f ca="1">IF(OR($I$10="",$O80="",$P80="",$J$42&lt;&gt;"Yes"),0,IF($K$10=0,SUMIFS(INDIRECT(ADDRESS(12,3+18*0+(7),,,"J1 D - South Bank Avenue")&amp;":"&amp;ADDRESS(130,3+18*0+(7))),'J1 D - South Bank Avenue'!$A$12:$A$130,"&gt;="&amp;Diagram!$O80,'J1 D - South Bank Avenue'!$A$12:$A$130,"&lt;"&amp;Diagram!$P80),SUMIFS(INDIRECT(ADDRESS(12,3+18*0+(15),,,"J1 D - South Bank Avenue")&amp;":"&amp;ADDRESS(130,3+18*0+(15))),'J1 D - South Bank Avenue'!$A$12:$A$130,"&gt;="&amp;Diagram!$O80,'J1 D - South Bank Avenue'!$A$12:$A$130,"&lt;"&amp;Diagram!$P80)))</f>
        <v>0</v>
      </c>
      <c r="EU80" s="42">
        <f ca="1">IF(OR($I$10="",$O80="",$P80="",$J$42&lt;&gt;"Yes"),0,IF($K$10=0,SUMIFS(INDIRECT(ADDRESS(12,3+18*1+(7),,,"J1 D - South Bank Avenue")&amp;":"&amp;ADDRESS(130,3+18*1+(7))),'J1 D - South Bank Avenue'!$A$12:$A$130,"&gt;="&amp;Diagram!$O80,'J1 D - South Bank Avenue'!$A$12:$A$130,"&lt;"&amp;Diagram!$P80),SUMIFS(INDIRECT(ADDRESS(12,3+18*1+(15),,,"J1 D - South Bank Avenue")&amp;":"&amp;ADDRESS(130,3+18*1+(15))),'J1 D - South Bank Avenue'!$A$12:$A$130,"&gt;="&amp;Diagram!$O80,'J1 D - South Bank Avenue'!$A$12:$A$130,"&lt;"&amp;Diagram!$P80)))</f>
        <v>0</v>
      </c>
      <c r="EV80" s="42">
        <f ca="1">IF(OR($I$10="",$O80="",$P80="",$J$42&lt;&gt;"Yes"),0,IF($K$10=0,SUMIFS(INDIRECT(ADDRESS(12,3+18*2+(7),,,"J1 D - South Bank Avenue")&amp;":"&amp;ADDRESS(130,3+18*2+(7))),'J1 D - South Bank Avenue'!$A$12:$A$130,"&gt;="&amp;Diagram!$O80,'J1 D - South Bank Avenue'!$A$12:$A$130,"&lt;"&amp;Diagram!$P80),SUMIFS(INDIRECT(ADDRESS(12,3+18*2+(15),,,"J1 D - South Bank Avenue")&amp;":"&amp;ADDRESS(130,3+18*2+(15))),'J1 D - South Bank Avenue'!$A$12:$A$130,"&gt;="&amp;Diagram!$O80,'J1 D - South Bank Avenue'!$A$12:$A$130,"&lt;"&amp;Diagram!$P80)))</f>
        <v>0</v>
      </c>
      <c r="EW80" s="42">
        <f ca="1">IF(OR($I$10="",$O80="",$P80="",$J$42&lt;&gt;"Yes"),0,IF($K$10=0,SUMIFS(INDIRECT(ADDRESS(12,3+18*3+(7),,,"J1 D - South Bank Avenue")&amp;":"&amp;ADDRESS(130,3+18*3+(7))),'J1 D - South Bank Avenue'!$A$12:$A$130,"&gt;="&amp;Diagram!$O80,'J1 D - South Bank Avenue'!$A$12:$A$130,"&lt;"&amp;Diagram!$P80),SUMIFS(INDIRECT(ADDRESS(12,3+18*3+(15),,,"J1 D - South Bank Avenue")&amp;":"&amp;ADDRESS(130,3+18*3+(15))),'J1 D - South Bank Avenue'!$A$12:$A$130,"&gt;="&amp;Diagram!$O80,'J1 D - South Bank Avenue'!$A$12:$A$130,"&lt;"&amp;Diagram!$P80)))</f>
        <v>0</v>
      </c>
    </row>
    <row r="81" spans="1:153">
      <c r="A81" s="1">
        <v>44395.833333333299</v>
      </c>
      <c r="B81" s="1">
        <v>44395.84375</v>
      </c>
      <c r="O81" s="3">
        <v>44395.833333333299</v>
      </c>
      <c r="P81" s="3">
        <v>44395.875</v>
      </c>
      <c r="Q81" s="42">
        <f t="shared" ca="1" si="10"/>
        <v>380</v>
      </c>
      <c r="R81" s="42">
        <f t="shared" ca="1" si="11"/>
        <v>278</v>
      </c>
      <c r="S81" s="42">
        <f ca="1">IF(OR($I$10="",$O81="",$P81="",$J$35&lt;&gt;"Yes"),0,IF($K$10=0,SUMIFS(INDIRECT(ADDRESS(12,3+18*3+(0),,,"J1 A - (North) Bishopthorpe Roa")&amp;":"&amp;ADDRESS(130,3+18*3+(0))),'J1 A - (North) Bishopthorpe Roa'!$A$12:$A$130,"&gt;="&amp;Diagram!$O81,'J1 A - (North) Bishopthorpe Roa'!$A$12:$A$130,"&lt;"&amp;Diagram!$P81),SUMIFS(INDIRECT(ADDRESS(12,3+18*3+(8),,,"J1 A - (North) Bishopthorpe Roa")&amp;":"&amp;ADDRESS(130,3+18*3+(8))),'J1 A - (North) Bishopthorpe Roa'!$A$12:$A$130,"&gt;="&amp;Diagram!$O81,'J1 A - (North) Bishopthorpe Roa'!$A$12:$A$130,"&lt;"&amp;Diagram!$P81)))</f>
        <v>0</v>
      </c>
      <c r="T81" s="42">
        <f ca="1">IF(OR($I$10="",$O81="",$P81="",$J$35&lt;&gt;"Yes"),0,IF($K$10=0,SUMIFS(INDIRECT(ADDRESS(12,3+18*0+(0),,,"J1 A - (North) Bishopthorpe Roa")&amp;":"&amp;ADDRESS(130,3+18*0+(0))),'J1 A - (North) Bishopthorpe Roa'!$A$12:$A$130,"&gt;="&amp;Diagram!$O81,'J1 A - (North) Bishopthorpe Roa'!$A$12:$A$130,"&lt;"&amp;Diagram!$P81),SUMIFS(INDIRECT(ADDRESS(12,3+18*0+(8),,,"J1 A - (North) Bishopthorpe Roa")&amp;":"&amp;ADDRESS(130,3+18*0+(8))),'J1 A - (North) Bishopthorpe Roa'!$A$12:$A$130,"&gt;="&amp;Diagram!$O81,'J1 A - (North) Bishopthorpe Roa'!$A$12:$A$130,"&lt;"&amp;Diagram!$P81)))</f>
        <v>12</v>
      </c>
      <c r="U81" s="42">
        <f ca="1">IF(OR($I$10="",$O81="",$P81="",$J$35&lt;&gt;"Yes"),0,IF($K$10=0,SUMIFS(INDIRECT(ADDRESS(12,3+18*1+(0),,,"J1 A - (North) Bishopthorpe Roa")&amp;":"&amp;ADDRESS(130,3+18*1+(0))),'J1 A - (North) Bishopthorpe Roa'!$A$12:$A$130,"&gt;="&amp;Diagram!$O81,'J1 A - (North) Bishopthorpe Roa'!$A$12:$A$130,"&lt;"&amp;Diagram!$P81),SUMIFS(INDIRECT(ADDRESS(12,3+18*1+(8),,,"J1 A - (North) Bishopthorpe Roa")&amp;":"&amp;ADDRESS(130,3+18*1+(8))),'J1 A - (North) Bishopthorpe Roa'!$A$12:$A$130,"&gt;="&amp;Diagram!$O81,'J1 A - (North) Bishopthorpe Roa'!$A$12:$A$130,"&lt;"&amp;Diagram!$P81)))</f>
        <v>108</v>
      </c>
      <c r="V81" s="42">
        <f ca="1">IF(OR($I$10="",$O81="",$P81="",$J$35&lt;&gt;"Yes"),0,IF($K$10=0,SUMIFS(INDIRECT(ADDRESS(12,3+18*2+(0),,,"J1 A - (North) Bishopthorpe Roa")&amp;":"&amp;ADDRESS(130,3+18*2+(0))),'J1 A - (North) Bishopthorpe Roa'!$A$12:$A$130,"&gt;="&amp;Diagram!$O81,'J1 A - (North) Bishopthorpe Roa'!$A$12:$A$130,"&lt;"&amp;Diagram!$P81),SUMIFS(INDIRECT(ADDRESS(12,3+18*2+(8),,,"J1 A - (North) Bishopthorpe Roa")&amp;":"&amp;ADDRESS(130,3+18*2+(8))),'J1 A - (North) Bishopthorpe Roa'!$A$12:$A$130,"&gt;="&amp;Diagram!$O81,'J1 A - (North) Bishopthorpe Roa'!$A$12:$A$130,"&lt;"&amp;Diagram!$P81)))</f>
        <v>17</v>
      </c>
      <c r="W81" s="42">
        <f ca="1">IF(OR($I$10="",$O81="",$P81="",$J$35&lt;&gt;"Yes"),0,IF($K$10=0,SUMIFS(INDIRECT(ADDRESS(12,3+18*2+(0),,,"J1 B - Butcher Terrace")&amp;":"&amp;ADDRESS(130,3+18*2+(0))),'J1 B - Butcher Terrace'!$A$12:$A$130,"&gt;="&amp;Diagram!$O81,'J1 B - Butcher Terrace'!$A$12:$A$130,"&lt;"&amp;Diagram!$P81),SUMIFS(INDIRECT(ADDRESS(12,3+18*2+(8),,,"J1 B - Butcher Terrace")&amp;":"&amp;ADDRESS(130,3+18*2+(8))),'J1 B - Butcher Terrace'!$A$12:$A$130,"&gt;="&amp;Diagram!$O81,'J1 B - Butcher Terrace'!$A$12:$A$130,"&lt;"&amp;Diagram!$P81)))</f>
        <v>9</v>
      </c>
      <c r="X81" s="42">
        <f ca="1">IF(OR($I$10="",$O81="",$P81="",$J$35&lt;&gt;"Yes"),0,IF($K$10=0,SUMIFS(INDIRECT(ADDRESS(12,3+18*3+(0),,,"J1 B - Butcher Terrace")&amp;":"&amp;ADDRESS(130,3+18*3+(0))),'J1 B - Butcher Terrace'!$A$12:$A$130,"&gt;="&amp;Diagram!$O81,'J1 B - Butcher Terrace'!$A$12:$A$130,"&lt;"&amp;Diagram!$P81),SUMIFS(INDIRECT(ADDRESS(12,3+18*3+(8),,,"J1 B - Butcher Terrace")&amp;":"&amp;ADDRESS(130,3+18*3+(8))),'J1 B - Butcher Terrace'!$A$12:$A$130,"&gt;="&amp;Diagram!$O81,'J1 B - Butcher Terrace'!$A$12:$A$130,"&lt;"&amp;Diagram!$P81)))</f>
        <v>0</v>
      </c>
      <c r="Y81" s="42">
        <f ca="1">IF(OR($I$10="",$O81="",$P81="",$J$35&lt;&gt;"Yes"),0,IF($K$10=0,SUMIFS(INDIRECT(ADDRESS(12,3+18*0+(0),,,"J1 B - Butcher Terrace")&amp;":"&amp;ADDRESS(130,3+18*0+(0))),'J1 B - Butcher Terrace'!$A$12:$A$130,"&gt;="&amp;Diagram!$O81,'J1 B - Butcher Terrace'!$A$12:$A$130,"&lt;"&amp;Diagram!$P81),SUMIFS(INDIRECT(ADDRESS(12,3+18*0+(8),,,"J1 B - Butcher Terrace")&amp;":"&amp;ADDRESS(130,3+18*0+(8))),'J1 B - Butcher Terrace'!$A$12:$A$130,"&gt;="&amp;Diagram!$O81,'J1 B - Butcher Terrace'!$A$12:$A$130,"&lt;"&amp;Diagram!$P81)))</f>
        <v>5</v>
      </c>
      <c r="Z81" s="42">
        <f ca="1">IF(OR($I$10="",$O81="",$P81="",$J$35&lt;&gt;"Yes"),0,IF($K$10=0,SUMIFS(INDIRECT(ADDRESS(12,3+18*1+(0),,,"J1 B - Butcher Terrace")&amp;":"&amp;ADDRESS(130,3+18*1+(0))),'J1 B - Butcher Terrace'!$A$12:$A$130,"&gt;="&amp;Diagram!$O81,'J1 B - Butcher Terrace'!$A$12:$A$130,"&lt;"&amp;Diagram!$P81),SUMIFS(INDIRECT(ADDRESS(12,3+18*1+(8),,,"J1 B - Butcher Terrace")&amp;":"&amp;ADDRESS(130,3+18*1+(8))),'J1 B - Butcher Terrace'!$A$12:$A$130,"&gt;="&amp;Diagram!$O81,'J1 B - Butcher Terrace'!$A$12:$A$130,"&lt;"&amp;Diagram!$P81)))</f>
        <v>0</v>
      </c>
      <c r="AA81" s="42">
        <f ca="1">IF(OR($I$10="",$O81="",$P81="",$J$35&lt;&gt;"Yes"),0,IF($K$10=0,SUMIFS(INDIRECT(ADDRESS(12,3+18*1+(0),,,"J1 C - (South) Bishopthorpe Roa")&amp;":"&amp;ADDRESS(130,3+18*1+(0))),'J1 C - (South) Bishopthorpe Roa'!$A$12:$A$130,"&gt;="&amp;Diagram!$O81,'J1 C - (South) Bishopthorpe Roa'!$A$12:$A$130,"&lt;"&amp;Diagram!$P81),SUMIFS(INDIRECT(ADDRESS(12,3+18*1+(8),,,"J1 C - (South) Bishopthorpe Roa")&amp;":"&amp;ADDRESS(130,3+18*1+(8))),'J1 C - (South) Bishopthorpe Roa'!$A$12:$A$130,"&gt;="&amp;Diagram!$O81,'J1 C - (South) Bishopthorpe Roa'!$A$12:$A$130,"&lt;"&amp;Diagram!$P81)))</f>
        <v>104</v>
      </c>
      <c r="AB81" s="42">
        <f ca="1">IF(OR($I$10="",$O81="",$P81="",$J$35&lt;&gt;"Yes"),0,IF($K$10=0,SUMIFS(INDIRECT(ADDRESS(12,3+18*2+(0),,,"J1 C - (South) Bishopthorpe Roa")&amp;":"&amp;ADDRESS(130,3+18*2+(0))),'J1 C - (South) Bishopthorpe Roa'!$A$12:$A$130,"&gt;="&amp;Diagram!$O81,'J1 C - (South) Bishopthorpe Roa'!$A$12:$A$130,"&lt;"&amp;Diagram!$P81),SUMIFS(INDIRECT(ADDRESS(12,3+18*2+(8),,,"J1 C - (South) Bishopthorpe Roa")&amp;":"&amp;ADDRESS(130,3+18*2+(8))),'J1 C - (South) Bishopthorpe Roa'!$A$12:$A$130,"&gt;="&amp;Diagram!$O81,'J1 C - (South) Bishopthorpe Roa'!$A$12:$A$130,"&lt;"&amp;Diagram!$P81)))</f>
        <v>5</v>
      </c>
      <c r="AC81" s="42">
        <f ca="1">IF(OR($I$10="",$O81="",$P81="",$J$35&lt;&gt;"Yes"),0,IF($K$10=0,SUMIFS(INDIRECT(ADDRESS(12,3+18*3+(0),,,"J1 C - (South) Bishopthorpe Roa")&amp;":"&amp;ADDRESS(130,3+18*3+(0))),'J1 C - (South) Bishopthorpe Roa'!$A$12:$A$130,"&gt;="&amp;Diagram!$O81,'J1 C - (South) Bishopthorpe Roa'!$A$12:$A$130,"&lt;"&amp;Diagram!$P81),SUMIFS(INDIRECT(ADDRESS(12,3+18*3+(8),,,"J1 C - (South) Bishopthorpe Roa")&amp;":"&amp;ADDRESS(130,3+18*3+(8))),'J1 C - (South) Bishopthorpe Roa'!$A$12:$A$130,"&gt;="&amp;Diagram!$O81,'J1 C - (South) Bishopthorpe Roa'!$A$12:$A$130,"&lt;"&amp;Diagram!$P81)))</f>
        <v>0</v>
      </c>
      <c r="AD81" s="42">
        <f ca="1">IF(OR($I$10="",$O81="",$P81="",$J$35&lt;&gt;"Yes"),0,IF($K$10=0,SUMIFS(INDIRECT(ADDRESS(12,3+18*0+(0),,,"J1 C - (South) Bishopthorpe Roa")&amp;":"&amp;ADDRESS(130,3+18*0+(0))),'J1 C - (South) Bishopthorpe Roa'!$A$12:$A$130,"&gt;="&amp;Diagram!$O81,'J1 C - (South) Bishopthorpe Roa'!$A$12:$A$130,"&lt;"&amp;Diagram!$P81),SUMIFS(INDIRECT(ADDRESS(12,3+18*0+(8),,,"J1 C - (South) Bishopthorpe Roa")&amp;":"&amp;ADDRESS(130,3+18*0+(8))),'J1 C - (South) Bishopthorpe Roa'!$A$12:$A$130,"&gt;="&amp;Diagram!$O81,'J1 C - (South) Bishopthorpe Roa'!$A$12:$A$130,"&lt;"&amp;Diagram!$P81)))</f>
        <v>2</v>
      </c>
      <c r="AE81" s="42">
        <f ca="1">IF(OR($I$10="",$O81="",$P81="",$J$35&lt;&gt;"Yes"),0,IF($K$10=0,SUMIFS(INDIRECT(ADDRESS(12,3+18*0+(0),,,"J1 D - South Bank Avenue")&amp;":"&amp;ADDRESS(130,3+18*0+(0))),'J1 D - South Bank Avenue'!$A$12:$A$130,"&gt;="&amp;Diagram!$O81,'J1 D - South Bank Avenue'!$A$12:$A$130,"&lt;"&amp;Diagram!$P81),SUMIFS(INDIRECT(ADDRESS(12,3+18*0+(8),,,"J1 D - South Bank Avenue")&amp;":"&amp;ADDRESS(130,3+18*0+(8))),'J1 D - South Bank Avenue'!$A$12:$A$130,"&gt;="&amp;Diagram!$O81,'J1 D - South Bank Avenue'!$A$12:$A$130,"&lt;"&amp;Diagram!$P81)))</f>
        <v>14</v>
      </c>
      <c r="AF81" s="42">
        <f ca="1">IF(OR($I$10="",$O81="",$P81="",$J$35&lt;&gt;"Yes"),0,IF($K$10=0,SUMIFS(INDIRECT(ADDRESS(12,3+18*1+(0),,,"J1 D - South Bank Avenue")&amp;":"&amp;ADDRESS(130,3+18*1+(0))),'J1 D - South Bank Avenue'!$A$12:$A$130,"&gt;="&amp;Diagram!$O81,'J1 D - South Bank Avenue'!$A$12:$A$130,"&lt;"&amp;Diagram!$P81),SUMIFS(INDIRECT(ADDRESS(12,3+18*1+(8),,,"J1 D - South Bank Avenue")&amp;":"&amp;ADDRESS(130,3+18*1+(8))),'J1 D - South Bank Avenue'!$A$12:$A$130,"&gt;="&amp;Diagram!$O81,'J1 D - South Bank Avenue'!$A$12:$A$130,"&lt;"&amp;Diagram!$P81)))</f>
        <v>0</v>
      </c>
      <c r="AG81" s="42">
        <f ca="1">IF(OR($I$10="",$O81="",$P81="",$J$35&lt;&gt;"Yes"),0,IF($K$10=0,SUMIFS(INDIRECT(ADDRESS(12,3+18*2+(0),,,"J1 D - South Bank Avenue")&amp;":"&amp;ADDRESS(130,3+18*2+(0))),'J1 D - South Bank Avenue'!$A$12:$A$130,"&gt;="&amp;Diagram!$O81,'J1 D - South Bank Avenue'!$A$12:$A$130,"&lt;"&amp;Diagram!$P81),SUMIFS(INDIRECT(ADDRESS(12,3+18*2+(8),,,"J1 D - South Bank Avenue")&amp;":"&amp;ADDRESS(130,3+18*2+(8))),'J1 D - South Bank Avenue'!$A$12:$A$130,"&gt;="&amp;Diagram!$O81,'J1 D - South Bank Avenue'!$A$12:$A$130,"&lt;"&amp;Diagram!$P81)))</f>
        <v>2</v>
      </c>
      <c r="AH81" s="42">
        <f ca="1">IF(OR($I$10="",$O81="",$P81="",$J$35&lt;&gt;"Yes"),0,IF($K$10=0,SUMIFS(INDIRECT(ADDRESS(12,3+18*3+(0),,,"J1 D - South Bank Avenue")&amp;":"&amp;ADDRESS(130,3+18*3+(0))),'J1 D - South Bank Avenue'!$A$12:$A$130,"&gt;="&amp;Diagram!$O81,'J1 D - South Bank Avenue'!$A$12:$A$130,"&lt;"&amp;Diagram!$P81),SUMIFS(INDIRECT(ADDRESS(12,3+18*3+(8),,,"J1 D - South Bank Avenue")&amp;":"&amp;ADDRESS(130,3+18*3+(8))),'J1 D - South Bank Avenue'!$A$12:$A$130,"&gt;="&amp;Diagram!$O81,'J1 D - South Bank Avenue'!$A$12:$A$130,"&lt;"&amp;Diagram!$P81)))</f>
        <v>0</v>
      </c>
      <c r="AI81" s="42">
        <f t="shared" ca="1" si="12"/>
        <v>19</v>
      </c>
      <c r="AJ81" s="42">
        <f ca="1">IF(OR($I$10="",$O81="",$P81="",$J$36&lt;&gt;"Yes"),0,IF($K$10=0,SUMIFS(INDIRECT(ADDRESS(12,3+18*3+(1),,,"J1 A - (North) Bishopthorpe Roa")&amp;":"&amp;ADDRESS(130,3+18*3+(1))),'J1 A - (North) Bishopthorpe Roa'!$A$12:$A$130,"&gt;="&amp;Diagram!$O81,'J1 A - (North) Bishopthorpe Roa'!$A$12:$A$130,"&lt;"&amp;Diagram!$P81),SUMIFS(INDIRECT(ADDRESS(12,3+18*3+(9),,,"J1 A - (North) Bishopthorpe Roa")&amp;":"&amp;ADDRESS(130,3+18*3+(9))),'J1 A - (North) Bishopthorpe Roa'!$A$12:$A$130,"&gt;="&amp;Diagram!$O81,'J1 A - (North) Bishopthorpe Roa'!$A$12:$A$130,"&lt;"&amp;Diagram!$P81)))</f>
        <v>0</v>
      </c>
      <c r="AK81" s="42">
        <f ca="1">IF(OR($I$10="",$O81="",$P81="",$J$36&lt;&gt;"Yes"),0,IF($K$10=0,SUMIFS(INDIRECT(ADDRESS(12,3+18*0+(1),,,"J1 A - (North) Bishopthorpe Roa")&amp;":"&amp;ADDRESS(130,3+18*0+(1))),'J1 A - (North) Bishopthorpe Roa'!$A$12:$A$130,"&gt;="&amp;Diagram!$O81,'J1 A - (North) Bishopthorpe Roa'!$A$12:$A$130,"&lt;"&amp;Diagram!$P81),SUMIFS(INDIRECT(ADDRESS(12,3+18*0+(9),,,"J1 A - (North) Bishopthorpe Roa")&amp;":"&amp;ADDRESS(130,3+18*0+(9))),'J1 A - (North) Bishopthorpe Roa'!$A$12:$A$130,"&gt;="&amp;Diagram!$O81,'J1 A - (North) Bishopthorpe Roa'!$A$12:$A$130,"&lt;"&amp;Diagram!$P81)))</f>
        <v>0</v>
      </c>
      <c r="AL81" s="42">
        <f ca="1">IF(OR($I$10="",$O81="",$P81="",$J$36&lt;&gt;"Yes"),0,IF($K$10=0,SUMIFS(INDIRECT(ADDRESS(12,3+18*1+(1),,,"J1 A - (North) Bishopthorpe Roa")&amp;":"&amp;ADDRESS(130,3+18*1+(1))),'J1 A - (North) Bishopthorpe Roa'!$A$12:$A$130,"&gt;="&amp;Diagram!$O81,'J1 A - (North) Bishopthorpe Roa'!$A$12:$A$130,"&lt;"&amp;Diagram!$P81),SUMIFS(INDIRECT(ADDRESS(12,3+18*1+(9),,,"J1 A - (North) Bishopthorpe Roa")&amp;":"&amp;ADDRESS(130,3+18*1+(9))),'J1 A - (North) Bishopthorpe Roa'!$A$12:$A$130,"&gt;="&amp;Diagram!$O81,'J1 A - (North) Bishopthorpe Roa'!$A$12:$A$130,"&lt;"&amp;Diagram!$P81)))</f>
        <v>5</v>
      </c>
      <c r="AM81" s="42">
        <f ca="1">IF(OR($I$10="",$O81="",$P81="",$J$36&lt;&gt;"Yes"),0,IF($K$10=0,SUMIFS(INDIRECT(ADDRESS(12,3+18*2+(1),,,"J1 A - (North) Bishopthorpe Roa")&amp;":"&amp;ADDRESS(130,3+18*2+(1))),'J1 A - (North) Bishopthorpe Roa'!$A$12:$A$130,"&gt;="&amp;Diagram!$O81,'J1 A - (North) Bishopthorpe Roa'!$A$12:$A$130,"&lt;"&amp;Diagram!$P81),SUMIFS(INDIRECT(ADDRESS(12,3+18*2+(9),,,"J1 A - (North) Bishopthorpe Roa")&amp;":"&amp;ADDRESS(130,3+18*2+(9))),'J1 A - (North) Bishopthorpe Roa'!$A$12:$A$130,"&gt;="&amp;Diagram!$O81,'J1 A - (North) Bishopthorpe Roa'!$A$12:$A$130,"&lt;"&amp;Diagram!$P81)))</f>
        <v>2</v>
      </c>
      <c r="AN81" s="42">
        <f ca="1">IF(OR($I$10="",$O81="",$P81="",$J$36&lt;&gt;"Yes"),0,IF($K$10=0,SUMIFS(INDIRECT(ADDRESS(12,3+18*2+(1),,,"J1 B - Butcher Terrace")&amp;":"&amp;ADDRESS(130,3+18*2+(1))),'J1 B - Butcher Terrace'!$A$12:$A$130,"&gt;="&amp;Diagram!$O81,'J1 B - Butcher Terrace'!$A$12:$A$130,"&lt;"&amp;Diagram!$P81),SUMIFS(INDIRECT(ADDRESS(12,3+18*2+(9),,,"J1 B - Butcher Terrace")&amp;":"&amp;ADDRESS(130,3+18*2+(9))),'J1 B - Butcher Terrace'!$A$12:$A$130,"&gt;="&amp;Diagram!$O81,'J1 B - Butcher Terrace'!$A$12:$A$130,"&lt;"&amp;Diagram!$P81)))</f>
        <v>0</v>
      </c>
      <c r="AO81" s="42">
        <f ca="1">IF(OR($I$10="",$O81="",$P81="",$J$36&lt;&gt;"Yes"),0,IF($K$10=0,SUMIFS(INDIRECT(ADDRESS(12,3+18*3+(1),,,"J1 B - Butcher Terrace")&amp;":"&amp;ADDRESS(130,3+18*3+(1))),'J1 B - Butcher Terrace'!$A$12:$A$130,"&gt;="&amp;Diagram!$O81,'J1 B - Butcher Terrace'!$A$12:$A$130,"&lt;"&amp;Diagram!$P81),SUMIFS(INDIRECT(ADDRESS(12,3+18*3+(9),,,"J1 B - Butcher Terrace")&amp;":"&amp;ADDRESS(130,3+18*3+(9))),'J1 B - Butcher Terrace'!$A$12:$A$130,"&gt;="&amp;Diagram!$O81,'J1 B - Butcher Terrace'!$A$12:$A$130,"&lt;"&amp;Diagram!$P81)))</f>
        <v>0</v>
      </c>
      <c r="AP81" s="42">
        <f ca="1">IF(OR($I$10="",$O81="",$P81="",$J$36&lt;&gt;"Yes"),0,IF($K$10=0,SUMIFS(INDIRECT(ADDRESS(12,3+18*0+(1),,,"J1 B - Butcher Terrace")&amp;":"&amp;ADDRESS(130,3+18*0+(1))),'J1 B - Butcher Terrace'!$A$12:$A$130,"&gt;="&amp;Diagram!$O81,'J1 B - Butcher Terrace'!$A$12:$A$130,"&lt;"&amp;Diagram!$P81),SUMIFS(INDIRECT(ADDRESS(12,3+18*0+(9),,,"J1 B - Butcher Terrace")&amp;":"&amp;ADDRESS(130,3+18*0+(9))),'J1 B - Butcher Terrace'!$A$12:$A$130,"&gt;="&amp;Diagram!$O81,'J1 B - Butcher Terrace'!$A$12:$A$130,"&lt;"&amp;Diagram!$P81)))</f>
        <v>0</v>
      </c>
      <c r="AQ81" s="42">
        <f ca="1">IF(OR($I$10="",$O81="",$P81="",$J$36&lt;&gt;"Yes"),0,IF($K$10=0,SUMIFS(INDIRECT(ADDRESS(12,3+18*1+(1),,,"J1 B - Butcher Terrace")&amp;":"&amp;ADDRESS(130,3+18*1+(1))),'J1 B - Butcher Terrace'!$A$12:$A$130,"&gt;="&amp;Diagram!$O81,'J1 B - Butcher Terrace'!$A$12:$A$130,"&lt;"&amp;Diagram!$P81),SUMIFS(INDIRECT(ADDRESS(12,3+18*1+(9),,,"J1 B - Butcher Terrace")&amp;":"&amp;ADDRESS(130,3+18*1+(9))),'J1 B - Butcher Terrace'!$A$12:$A$130,"&gt;="&amp;Diagram!$O81,'J1 B - Butcher Terrace'!$A$12:$A$130,"&lt;"&amp;Diagram!$P81)))</f>
        <v>0</v>
      </c>
      <c r="AR81" s="42">
        <f ca="1">IF(OR($I$10="",$O81="",$P81="",$J$36&lt;&gt;"Yes"),0,IF($K$10=0,SUMIFS(INDIRECT(ADDRESS(12,3+18*1+(1),,,"J1 C - (South) Bishopthorpe Roa")&amp;":"&amp;ADDRESS(130,3+18*1+(1))),'J1 C - (South) Bishopthorpe Roa'!$A$12:$A$130,"&gt;="&amp;Diagram!$O81,'J1 C - (South) Bishopthorpe Roa'!$A$12:$A$130,"&lt;"&amp;Diagram!$P81),SUMIFS(INDIRECT(ADDRESS(12,3+18*1+(9),,,"J1 C - (South) Bishopthorpe Roa")&amp;":"&amp;ADDRESS(130,3+18*1+(9))),'J1 C - (South) Bishopthorpe Roa'!$A$12:$A$130,"&gt;="&amp;Diagram!$O81,'J1 C - (South) Bishopthorpe Roa'!$A$12:$A$130,"&lt;"&amp;Diagram!$P81)))</f>
        <v>9</v>
      </c>
      <c r="AS81" s="42">
        <f ca="1">IF(OR($I$10="",$O81="",$P81="",$J$36&lt;&gt;"Yes"),0,IF($K$10=0,SUMIFS(INDIRECT(ADDRESS(12,3+18*2+(1),,,"J1 C - (South) Bishopthorpe Roa")&amp;":"&amp;ADDRESS(130,3+18*2+(1))),'J1 C - (South) Bishopthorpe Roa'!$A$12:$A$130,"&gt;="&amp;Diagram!$O81,'J1 C - (South) Bishopthorpe Roa'!$A$12:$A$130,"&lt;"&amp;Diagram!$P81),SUMIFS(INDIRECT(ADDRESS(12,3+18*2+(9),,,"J1 C - (South) Bishopthorpe Roa")&amp;":"&amp;ADDRESS(130,3+18*2+(9))),'J1 C - (South) Bishopthorpe Roa'!$A$12:$A$130,"&gt;="&amp;Diagram!$O81,'J1 C - (South) Bishopthorpe Roa'!$A$12:$A$130,"&lt;"&amp;Diagram!$P81)))</f>
        <v>0</v>
      </c>
      <c r="AT81" s="42">
        <f ca="1">IF(OR($I$10="",$O81="",$P81="",$J$36&lt;&gt;"Yes"),0,IF($K$10=0,SUMIFS(INDIRECT(ADDRESS(12,3+18*3+(1),,,"J1 C - (South) Bishopthorpe Roa")&amp;":"&amp;ADDRESS(130,3+18*3+(1))),'J1 C - (South) Bishopthorpe Roa'!$A$12:$A$130,"&gt;="&amp;Diagram!$O81,'J1 C - (South) Bishopthorpe Roa'!$A$12:$A$130,"&lt;"&amp;Diagram!$P81),SUMIFS(INDIRECT(ADDRESS(12,3+18*3+(9),,,"J1 C - (South) Bishopthorpe Roa")&amp;":"&amp;ADDRESS(130,3+18*3+(9))),'J1 C - (South) Bishopthorpe Roa'!$A$12:$A$130,"&gt;="&amp;Diagram!$O81,'J1 C - (South) Bishopthorpe Roa'!$A$12:$A$130,"&lt;"&amp;Diagram!$P81)))</f>
        <v>0</v>
      </c>
      <c r="AU81" s="42">
        <f ca="1">IF(OR($I$10="",$O81="",$P81="",$J$36&lt;&gt;"Yes"),0,IF($K$10=0,SUMIFS(INDIRECT(ADDRESS(12,3+18*0+(1),,,"J1 C - (South) Bishopthorpe Roa")&amp;":"&amp;ADDRESS(130,3+18*0+(1))),'J1 C - (South) Bishopthorpe Roa'!$A$12:$A$130,"&gt;="&amp;Diagram!$O81,'J1 C - (South) Bishopthorpe Roa'!$A$12:$A$130,"&lt;"&amp;Diagram!$P81),SUMIFS(INDIRECT(ADDRESS(12,3+18*0+(9),,,"J1 C - (South) Bishopthorpe Roa")&amp;":"&amp;ADDRESS(130,3+18*0+(9))),'J1 C - (South) Bishopthorpe Roa'!$A$12:$A$130,"&gt;="&amp;Diagram!$O81,'J1 C - (South) Bishopthorpe Roa'!$A$12:$A$130,"&lt;"&amp;Diagram!$P81)))</f>
        <v>1</v>
      </c>
      <c r="AV81" s="42">
        <f ca="1">IF(OR($I$10="",$O81="",$P81="",$J$36&lt;&gt;"Yes"),0,IF($K$10=0,SUMIFS(INDIRECT(ADDRESS(12,3+18*0+(1),,,"J1 D - South Bank Avenue")&amp;":"&amp;ADDRESS(130,3+18*0+(1))),'J1 D - South Bank Avenue'!$A$12:$A$130,"&gt;="&amp;Diagram!$O81,'J1 D - South Bank Avenue'!$A$12:$A$130,"&lt;"&amp;Diagram!$P81),SUMIFS(INDIRECT(ADDRESS(12,3+18*0+(9),,,"J1 D - South Bank Avenue")&amp;":"&amp;ADDRESS(130,3+18*0+(9))),'J1 D - South Bank Avenue'!$A$12:$A$130,"&gt;="&amp;Diagram!$O81,'J1 D - South Bank Avenue'!$A$12:$A$130,"&lt;"&amp;Diagram!$P81)))</f>
        <v>1</v>
      </c>
      <c r="AW81" s="42">
        <f ca="1">IF(OR($I$10="",$O81="",$P81="",$J$36&lt;&gt;"Yes"),0,IF($K$10=0,SUMIFS(INDIRECT(ADDRESS(12,3+18*1+(1),,,"J1 D - South Bank Avenue")&amp;":"&amp;ADDRESS(130,3+18*1+(1))),'J1 D - South Bank Avenue'!$A$12:$A$130,"&gt;="&amp;Diagram!$O81,'J1 D - South Bank Avenue'!$A$12:$A$130,"&lt;"&amp;Diagram!$P81),SUMIFS(INDIRECT(ADDRESS(12,3+18*1+(9),,,"J1 D - South Bank Avenue")&amp;":"&amp;ADDRESS(130,3+18*1+(9))),'J1 D - South Bank Avenue'!$A$12:$A$130,"&gt;="&amp;Diagram!$O81,'J1 D - South Bank Avenue'!$A$12:$A$130,"&lt;"&amp;Diagram!$P81)))</f>
        <v>0</v>
      </c>
      <c r="AX81" s="42">
        <f ca="1">IF(OR($I$10="",$O81="",$P81="",$J$36&lt;&gt;"Yes"),0,IF($K$10=0,SUMIFS(INDIRECT(ADDRESS(12,3+18*2+(1),,,"J1 D - South Bank Avenue")&amp;":"&amp;ADDRESS(130,3+18*2+(1))),'J1 D - South Bank Avenue'!$A$12:$A$130,"&gt;="&amp;Diagram!$O81,'J1 D - South Bank Avenue'!$A$12:$A$130,"&lt;"&amp;Diagram!$P81),SUMIFS(INDIRECT(ADDRESS(12,3+18*2+(9),,,"J1 D - South Bank Avenue")&amp;":"&amp;ADDRESS(130,3+18*2+(9))),'J1 D - South Bank Avenue'!$A$12:$A$130,"&gt;="&amp;Diagram!$O81,'J1 D - South Bank Avenue'!$A$12:$A$130,"&lt;"&amp;Diagram!$P81)))</f>
        <v>1</v>
      </c>
      <c r="AY81" s="42">
        <f ca="1">IF(OR($I$10="",$O81="",$P81="",$J$36&lt;&gt;"Yes"),0,IF($K$10=0,SUMIFS(INDIRECT(ADDRESS(12,3+18*3+(1),,,"J1 D - South Bank Avenue")&amp;":"&amp;ADDRESS(130,3+18*3+(1))),'J1 D - South Bank Avenue'!$A$12:$A$130,"&gt;="&amp;Diagram!$O81,'J1 D - South Bank Avenue'!$A$12:$A$130,"&lt;"&amp;Diagram!$P81),SUMIFS(INDIRECT(ADDRESS(12,3+18*3+(9),,,"J1 D - South Bank Avenue")&amp;":"&amp;ADDRESS(130,3+18*3+(9))),'J1 D - South Bank Avenue'!$A$12:$A$130,"&gt;="&amp;Diagram!$O81,'J1 D - South Bank Avenue'!$A$12:$A$130,"&lt;"&amp;Diagram!$P81)))</f>
        <v>0</v>
      </c>
      <c r="AZ81" s="42">
        <f t="shared" ca="1" si="13"/>
        <v>1</v>
      </c>
      <c r="BA81" s="42">
        <f ca="1">IF(OR($I$10="",$O81="",$P81="",$J$37&lt;&gt;"Yes"),0,IF($K$10=0,SUMIFS(INDIRECT(ADDRESS(12,3+18*3+(2),,,"J1 A - (North) Bishopthorpe Roa")&amp;":"&amp;ADDRESS(130,3+18*3+(2))),'J1 A - (North) Bishopthorpe Roa'!$A$12:$A$130,"&gt;="&amp;Diagram!$O81,'J1 A - (North) Bishopthorpe Roa'!$A$12:$A$130,"&lt;"&amp;Diagram!$P81),SUMIFS(INDIRECT(ADDRESS(12,3+18*3+(10),,,"J1 A - (North) Bishopthorpe Roa")&amp;":"&amp;ADDRESS(130,3+18*3+(10))),'J1 A - (North) Bishopthorpe Roa'!$A$12:$A$130,"&gt;="&amp;Diagram!$O81,'J1 A - (North) Bishopthorpe Roa'!$A$12:$A$130,"&lt;"&amp;Diagram!$P81)))</f>
        <v>0</v>
      </c>
      <c r="BB81" s="42">
        <f ca="1">IF(OR($I$10="",$O81="",$P81="",$J$37&lt;&gt;"Yes"),0,IF($K$10=0,SUMIFS(INDIRECT(ADDRESS(12,3+18*0+(2),,,"J1 A - (North) Bishopthorpe Roa")&amp;":"&amp;ADDRESS(130,3+18*0+(2))),'J1 A - (North) Bishopthorpe Roa'!$A$12:$A$130,"&gt;="&amp;Diagram!$O81,'J1 A - (North) Bishopthorpe Roa'!$A$12:$A$130,"&lt;"&amp;Diagram!$P81),SUMIFS(INDIRECT(ADDRESS(12,3+18*0+(10),,,"J1 A - (North) Bishopthorpe Roa")&amp;":"&amp;ADDRESS(130,3+18*0+(10))),'J1 A - (North) Bishopthorpe Roa'!$A$12:$A$130,"&gt;="&amp;Diagram!$O81,'J1 A - (North) Bishopthorpe Roa'!$A$12:$A$130,"&lt;"&amp;Diagram!$P81)))</f>
        <v>0</v>
      </c>
      <c r="BC81" s="42">
        <f ca="1">IF(OR($I$10="",$O81="",$P81="",$J$37&lt;&gt;"Yes"),0,IF($K$10=0,SUMIFS(INDIRECT(ADDRESS(12,3+18*1+(2),,,"J1 A - (North) Bishopthorpe Roa")&amp;":"&amp;ADDRESS(130,3+18*1+(2))),'J1 A - (North) Bishopthorpe Roa'!$A$12:$A$130,"&gt;="&amp;Diagram!$O81,'J1 A - (North) Bishopthorpe Roa'!$A$12:$A$130,"&lt;"&amp;Diagram!$P81),SUMIFS(INDIRECT(ADDRESS(12,3+18*1+(10),,,"J1 A - (North) Bishopthorpe Roa")&amp;":"&amp;ADDRESS(130,3+18*1+(10))),'J1 A - (North) Bishopthorpe Roa'!$A$12:$A$130,"&gt;="&amp;Diagram!$O81,'J1 A - (North) Bishopthorpe Roa'!$A$12:$A$130,"&lt;"&amp;Diagram!$P81)))</f>
        <v>0</v>
      </c>
      <c r="BD81" s="42">
        <f ca="1">IF(OR($I$10="",$O81="",$P81="",$J$37&lt;&gt;"Yes"),0,IF($K$10=0,SUMIFS(INDIRECT(ADDRESS(12,3+18*2+(2),,,"J1 A - (North) Bishopthorpe Roa")&amp;":"&amp;ADDRESS(130,3+18*2+(2))),'J1 A - (North) Bishopthorpe Roa'!$A$12:$A$130,"&gt;="&amp;Diagram!$O81,'J1 A - (North) Bishopthorpe Roa'!$A$12:$A$130,"&lt;"&amp;Diagram!$P81),SUMIFS(INDIRECT(ADDRESS(12,3+18*2+(10),,,"J1 A - (North) Bishopthorpe Roa")&amp;":"&amp;ADDRESS(130,3+18*2+(10))),'J1 A - (North) Bishopthorpe Roa'!$A$12:$A$130,"&gt;="&amp;Diagram!$O81,'J1 A - (North) Bishopthorpe Roa'!$A$12:$A$130,"&lt;"&amp;Diagram!$P81)))</f>
        <v>0</v>
      </c>
      <c r="BE81" s="42">
        <f ca="1">IF(OR($I$10="",$O81="",$P81="",$J$37&lt;&gt;"Yes"),0,IF($K$10=0,SUMIFS(INDIRECT(ADDRESS(12,3+18*2+(2),,,"J1 B - Butcher Terrace")&amp;":"&amp;ADDRESS(130,3+18*2+(2))),'J1 B - Butcher Terrace'!$A$12:$A$130,"&gt;="&amp;Diagram!$O81,'J1 B - Butcher Terrace'!$A$12:$A$130,"&lt;"&amp;Diagram!$P81),SUMIFS(INDIRECT(ADDRESS(12,3+18*2+(10),,,"J1 B - Butcher Terrace")&amp;":"&amp;ADDRESS(130,3+18*2+(10))),'J1 B - Butcher Terrace'!$A$12:$A$130,"&gt;="&amp;Diagram!$O81,'J1 B - Butcher Terrace'!$A$12:$A$130,"&lt;"&amp;Diagram!$P81)))</f>
        <v>0</v>
      </c>
      <c r="BF81" s="42">
        <f ca="1">IF(OR($I$10="",$O81="",$P81="",$J$37&lt;&gt;"Yes"),0,IF($K$10=0,SUMIFS(INDIRECT(ADDRESS(12,3+18*3+(2),,,"J1 B - Butcher Terrace")&amp;":"&amp;ADDRESS(130,3+18*3+(2))),'J1 B - Butcher Terrace'!$A$12:$A$130,"&gt;="&amp;Diagram!$O81,'J1 B - Butcher Terrace'!$A$12:$A$130,"&lt;"&amp;Diagram!$P81),SUMIFS(INDIRECT(ADDRESS(12,3+18*3+(10),,,"J1 B - Butcher Terrace")&amp;":"&amp;ADDRESS(130,3+18*3+(10))),'J1 B - Butcher Terrace'!$A$12:$A$130,"&gt;="&amp;Diagram!$O81,'J1 B - Butcher Terrace'!$A$12:$A$130,"&lt;"&amp;Diagram!$P81)))</f>
        <v>0</v>
      </c>
      <c r="BG81" s="42">
        <f ca="1">IF(OR($I$10="",$O81="",$P81="",$J$37&lt;&gt;"Yes"),0,IF($K$10=0,SUMIFS(INDIRECT(ADDRESS(12,3+18*0+(2),,,"J1 B - Butcher Terrace")&amp;":"&amp;ADDRESS(130,3+18*0+(2))),'J1 B - Butcher Terrace'!$A$12:$A$130,"&gt;="&amp;Diagram!$O81,'J1 B - Butcher Terrace'!$A$12:$A$130,"&lt;"&amp;Diagram!$P81),SUMIFS(INDIRECT(ADDRESS(12,3+18*0+(10),,,"J1 B - Butcher Terrace")&amp;":"&amp;ADDRESS(130,3+18*0+(10))),'J1 B - Butcher Terrace'!$A$12:$A$130,"&gt;="&amp;Diagram!$O81,'J1 B - Butcher Terrace'!$A$12:$A$130,"&lt;"&amp;Diagram!$P81)))</f>
        <v>0</v>
      </c>
      <c r="BH81" s="42">
        <f ca="1">IF(OR($I$10="",$O81="",$P81="",$J$37&lt;&gt;"Yes"),0,IF($K$10=0,SUMIFS(INDIRECT(ADDRESS(12,3+18*1+(2),,,"J1 B - Butcher Terrace")&amp;":"&amp;ADDRESS(130,3+18*1+(2))),'J1 B - Butcher Terrace'!$A$12:$A$130,"&gt;="&amp;Diagram!$O81,'J1 B - Butcher Terrace'!$A$12:$A$130,"&lt;"&amp;Diagram!$P81),SUMIFS(INDIRECT(ADDRESS(12,3+18*1+(10),,,"J1 B - Butcher Terrace")&amp;":"&amp;ADDRESS(130,3+18*1+(10))),'J1 B - Butcher Terrace'!$A$12:$A$130,"&gt;="&amp;Diagram!$O81,'J1 B - Butcher Terrace'!$A$12:$A$130,"&lt;"&amp;Diagram!$P81)))</f>
        <v>0</v>
      </c>
      <c r="BI81" s="42">
        <f ca="1">IF(OR($I$10="",$O81="",$P81="",$J$37&lt;&gt;"Yes"),0,IF($K$10=0,SUMIFS(INDIRECT(ADDRESS(12,3+18*1+(2),,,"J1 C - (South) Bishopthorpe Roa")&amp;":"&amp;ADDRESS(130,3+18*1+(2))),'J1 C - (South) Bishopthorpe Roa'!$A$12:$A$130,"&gt;="&amp;Diagram!$O81,'J1 C - (South) Bishopthorpe Roa'!$A$12:$A$130,"&lt;"&amp;Diagram!$P81),SUMIFS(INDIRECT(ADDRESS(12,3+18*1+(10),,,"J1 C - (South) Bishopthorpe Roa")&amp;":"&amp;ADDRESS(130,3+18*1+(10))),'J1 C - (South) Bishopthorpe Roa'!$A$12:$A$130,"&gt;="&amp;Diagram!$O81,'J1 C - (South) Bishopthorpe Roa'!$A$12:$A$130,"&lt;"&amp;Diagram!$P81)))</f>
        <v>1</v>
      </c>
      <c r="BJ81" s="42">
        <f ca="1">IF(OR($I$10="",$O81="",$P81="",$J$37&lt;&gt;"Yes"),0,IF($K$10=0,SUMIFS(INDIRECT(ADDRESS(12,3+18*2+(2),,,"J1 C - (South) Bishopthorpe Roa")&amp;":"&amp;ADDRESS(130,3+18*2+(2))),'J1 C - (South) Bishopthorpe Roa'!$A$12:$A$130,"&gt;="&amp;Diagram!$O81,'J1 C - (South) Bishopthorpe Roa'!$A$12:$A$130,"&lt;"&amp;Diagram!$P81),SUMIFS(INDIRECT(ADDRESS(12,3+18*2+(10),,,"J1 C - (South) Bishopthorpe Roa")&amp;":"&amp;ADDRESS(130,3+18*2+(10))),'J1 C - (South) Bishopthorpe Roa'!$A$12:$A$130,"&gt;="&amp;Diagram!$O81,'J1 C - (South) Bishopthorpe Roa'!$A$12:$A$130,"&lt;"&amp;Diagram!$P81)))</f>
        <v>0</v>
      </c>
      <c r="BK81" s="42">
        <f ca="1">IF(OR($I$10="",$O81="",$P81="",$J$37&lt;&gt;"Yes"),0,IF($K$10=0,SUMIFS(INDIRECT(ADDRESS(12,3+18*3+(2),,,"J1 C - (South) Bishopthorpe Roa")&amp;":"&amp;ADDRESS(130,3+18*3+(2))),'J1 C - (South) Bishopthorpe Roa'!$A$12:$A$130,"&gt;="&amp;Diagram!$O81,'J1 C - (South) Bishopthorpe Roa'!$A$12:$A$130,"&lt;"&amp;Diagram!$P81),SUMIFS(INDIRECT(ADDRESS(12,3+18*3+(10),,,"J1 C - (South) Bishopthorpe Roa")&amp;":"&amp;ADDRESS(130,3+18*3+(10))),'J1 C - (South) Bishopthorpe Roa'!$A$12:$A$130,"&gt;="&amp;Diagram!$O81,'J1 C - (South) Bishopthorpe Roa'!$A$12:$A$130,"&lt;"&amp;Diagram!$P81)))</f>
        <v>0</v>
      </c>
      <c r="BL81" s="42">
        <f ca="1">IF(OR($I$10="",$O81="",$P81="",$J$37&lt;&gt;"Yes"),0,IF($K$10=0,SUMIFS(INDIRECT(ADDRESS(12,3+18*0+(2),,,"J1 C - (South) Bishopthorpe Roa")&amp;":"&amp;ADDRESS(130,3+18*0+(2))),'J1 C - (South) Bishopthorpe Roa'!$A$12:$A$130,"&gt;="&amp;Diagram!$O81,'J1 C - (South) Bishopthorpe Roa'!$A$12:$A$130,"&lt;"&amp;Diagram!$P81),SUMIFS(INDIRECT(ADDRESS(12,3+18*0+(10),,,"J1 C - (South) Bishopthorpe Roa")&amp;":"&amp;ADDRESS(130,3+18*0+(10))),'J1 C - (South) Bishopthorpe Roa'!$A$12:$A$130,"&gt;="&amp;Diagram!$O81,'J1 C - (South) Bishopthorpe Roa'!$A$12:$A$130,"&lt;"&amp;Diagram!$P81)))</f>
        <v>0</v>
      </c>
      <c r="BM81" s="42">
        <f ca="1">IF(OR($I$10="",$O81="",$P81="",$J$37&lt;&gt;"Yes"),0,IF($K$10=0,SUMIFS(INDIRECT(ADDRESS(12,3+18*0+(2),,,"J1 D - South Bank Avenue")&amp;":"&amp;ADDRESS(130,3+18*0+(2))),'J1 D - South Bank Avenue'!$A$12:$A$130,"&gt;="&amp;Diagram!$O81,'J1 D - South Bank Avenue'!$A$12:$A$130,"&lt;"&amp;Diagram!$P81),SUMIFS(INDIRECT(ADDRESS(12,3+18*0+(10),,,"J1 D - South Bank Avenue")&amp;":"&amp;ADDRESS(130,3+18*0+(10))),'J1 D - South Bank Avenue'!$A$12:$A$130,"&gt;="&amp;Diagram!$O81,'J1 D - South Bank Avenue'!$A$12:$A$130,"&lt;"&amp;Diagram!$P81)))</f>
        <v>0</v>
      </c>
      <c r="BN81" s="42">
        <f ca="1">IF(OR($I$10="",$O81="",$P81="",$J$37&lt;&gt;"Yes"),0,IF($K$10=0,SUMIFS(INDIRECT(ADDRESS(12,3+18*1+(2),,,"J1 D - South Bank Avenue")&amp;":"&amp;ADDRESS(130,3+18*1+(2))),'J1 D - South Bank Avenue'!$A$12:$A$130,"&gt;="&amp;Diagram!$O81,'J1 D - South Bank Avenue'!$A$12:$A$130,"&lt;"&amp;Diagram!$P81),SUMIFS(INDIRECT(ADDRESS(12,3+18*1+(10),,,"J1 D - South Bank Avenue")&amp;":"&amp;ADDRESS(130,3+18*1+(10))),'J1 D - South Bank Avenue'!$A$12:$A$130,"&gt;="&amp;Diagram!$O81,'J1 D - South Bank Avenue'!$A$12:$A$130,"&lt;"&amp;Diagram!$P81)))</f>
        <v>0</v>
      </c>
      <c r="BO81" s="42">
        <f ca="1">IF(OR($I$10="",$O81="",$P81="",$J$37&lt;&gt;"Yes"),0,IF($K$10=0,SUMIFS(INDIRECT(ADDRESS(12,3+18*2+(2),,,"J1 D - South Bank Avenue")&amp;":"&amp;ADDRESS(130,3+18*2+(2))),'J1 D - South Bank Avenue'!$A$12:$A$130,"&gt;="&amp;Diagram!$O81,'J1 D - South Bank Avenue'!$A$12:$A$130,"&lt;"&amp;Diagram!$P81),SUMIFS(INDIRECT(ADDRESS(12,3+18*2+(10),,,"J1 D - South Bank Avenue")&amp;":"&amp;ADDRESS(130,3+18*2+(10))),'J1 D - South Bank Avenue'!$A$12:$A$130,"&gt;="&amp;Diagram!$O81,'J1 D - South Bank Avenue'!$A$12:$A$130,"&lt;"&amp;Diagram!$P81)))</f>
        <v>0</v>
      </c>
      <c r="BP81" s="42">
        <f ca="1">IF(OR($I$10="",$O81="",$P81="",$J$37&lt;&gt;"Yes"),0,IF($K$10=0,SUMIFS(INDIRECT(ADDRESS(12,3+18*3+(2),,,"J1 D - South Bank Avenue")&amp;":"&amp;ADDRESS(130,3+18*3+(2))),'J1 D - South Bank Avenue'!$A$12:$A$130,"&gt;="&amp;Diagram!$O81,'J1 D - South Bank Avenue'!$A$12:$A$130,"&lt;"&amp;Diagram!$P81),SUMIFS(INDIRECT(ADDRESS(12,3+18*3+(10),,,"J1 D - South Bank Avenue")&amp;":"&amp;ADDRESS(130,3+18*3+(10))),'J1 D - South Bank Avenue'!$A$12:$A$130,"&gt;="&amp;Diagram!$O81,'J1 D - South Bank Avenue'!$A$12:$A$130,"&lt;"&amp;Diagram!$P81)))</f>
        <v>0</v>
      </c>
      <c r="BQ81" s="42">
        <f t="shared" ca="1" si="14"/>
        <v>0</v>
      </c>
      <c r="BR81" s="42">
        <f ca="1">IF(OR($I$10="",$O81="",$P81="",$J$38&lt;&gt;"Yes"),0,IF($K$10=0,SUMIFS(INDIRECT(ADDRESS(12,3+18*3+(3),,,"J1 A - (North) Bishopthorpe Roa")&amp;":"&amp;ADDRESS(130,3+18*3+(3))),'J1 A - (North) Bishopthorpe Roa'!$A$12:$A$130,"&gt;="&amp;Diagram!$O81,'J1 A - (North) Bishopthorpe Roa'!$A$12:$A$130,"&lt;"&amp;Diagram!$P81),SUMIFS(INDIRECT(ADDRESS(12,3+18*3+(11),,,"J1 A - (North) Bishopthorpe Roa")&amp;":"&amp;ADDRESS(130,3+18*3+(11))),'J1 A - (North) Bishopthorpe Roa'!$A$12:$A$130,"&gt;="&amp;Diagram!$O81,'J1 A - (North) Bishopthorpe Roa'!$A$12:$A$130,"&lt;"&amp;Diagram!$P81)))</f>
        <v>0</v>
      </c>
      <c r="BS81" s="42">
        <f ca="1">IF(OR($I$10="",$O81="",$P81="",$J$38&lt;&gt;"Yes"),0,IF($K$10=0,SUMIFS(INDIRECT(ADDRESS(12,3+18*0+(3),,,"J1 A - (North) Bishopthorpe Roa")&amp;":"&amp;ADDRESS(130,3+18*0+(3))),'J1 A - (North) Bishopthorpe Roa'!$A$12:$A$130,"&gt;="&amp;Diagram!$O81,'J1 A - (North) Bishopthorpe Roa'!$A$12:$A$130,"&lt;"&amp;Diagram!$P81),SUMIFS(INDIRECT(ADDRESS(12,3+18*0+(11),,,"J1 A - (North) Bishopthorpe Roa")&amp;":"&amp;ADDRESS(130,3+18*0+(11))),'J1 A - (North) Bishopthorpe Roa'!$A$12:$A$130,"&gt;="&amp;Diagram!$O81,'J1 A - (North) Bishopthorpe Roa'!$A$12:$A$130,"&lt;"&amp;Diagram!$P81)))</f>
        <v>0</v>
      </c>
      <c r="BT81" s="42">
        <f ca="1">IF(OR($I$10="",$O81="",$P81="",$J$38&lt;&gt;"Yes"),0,IF($K$10=0,SUMIFS(INDIRECT(ADDRESS(12,3+18*1+(3),,,"J1 A - (North) Bishopthorpe Roa")&amp;":"&amp;ADDRESS(130,3+18*1+(3))),'J1 A - (North) Bishopthorpe Roa'!$A$12:$A$130,"&gt;="&amp;Diagram!$O81,'J1 A - (North) Bishopthorpe Roa'!$A$12:$A$130,"&lt;"&amp;Diagram!$P81),SUMIFS(INDIRECT(ADDRESS(12,3+18*1+(11),,,"J1 A - (North) Bishopthorpe Roa")&amp;":"&amp;ADDRESS(130,3+18*1+(11))),'J1 A - (North) Bishopthorpe Roa'!$A$12:$A$130,"&gt;="&amp;Diagram!$O81,'J1 A - (North) Bishopthorpe Roa'!$A$12:$A$130,"&lt;"&amp;Diagram!$P81)))</f>
        <v>0</v>
      </c>
      <c r="BU81" s="42">
        <f ca="1">IF(OR($I$10="",$O81="",$P81="",$J$38&lt;&gt;"Yes"),0,IF($K$10=0,SUMIFS(INDIRECT(ADDRESS(12,3+18*2+(3),,,"J1 A - (North) Bishopthorpe Roa")&amp;":"&amp;ADDRESS(130,3+18*2+(3))),'J1 A - (North) Bishopthorpe Roa'!$A$12:$A$130,"&gt;="&amp;Diagram!$O81,'J1 A - (North) Bishopthorpe Roa'!$A$12:$A$130,"&lt;"&amp;Diagram!$P81),SUMIFS(INDIRECT(ADDRESS(12,3+18*2+(11),,,"J1 A - (North) Bishopthorpe Roa")&amp;":"&amp;ADDRESS(130,3+18*2+(11))),'J1 A - (North) Bishopthorpe Roa'!$A$12:$A$130,"&gt;="&amp;Diagram!$O81,'J1 A - (North) Bishopthorpe Roa'!$A$12:$A$130,"&lt;"&amp;Diagram!$P81)))</f>
        <v>0</v>
      </c>
      <c r="BV81" s="42">
        <f ca="1">IF(OR($I$10="",$O81="",$P81="",$J$38&lt;&gt;"Yes"),0,IF($K$10=0,SUMIFS(INDIRECT(ADDRESS(12,3+18*2+(3),,,"J1 B - Butcher Terrace")&amp;":"&amp;ADDRESS(130,3+18*2+(3))),'J1 B - Butcher Terrace'!$A$12:$A$130,"&gt;="&amp;Diagram!$O81,'J1 B - Butcher Terrace'!$A$12:$A$130,"&lt;"&amp;Diagram!$P81),SUMIFS(INDIRECT(ADDRESS(12,3+18*2+(11),,,"J1 B - Butcher Terrace")&amp;":"&amp;ADDRESS(130,3+18*2+(11))),'J1 B - Butcher Terrace'!$A$12:$A$130,"&gt;="&amp;Diagram!$O81,'J1 B - Butcher Terrace'!$A$12:$A$130,"&lt;"&amp;Diagram!$P81)))</f>
        <v>0</v>
      </c>
      <c r="BW81" s="42">
        <f ca="1">IF(OR($I$10="",$O81="",$P81="",$J$38&lt;&gt;"Yes"),0,IF($K$10=0,SUMIFS(INDIRECT(ADDRESS(12,3+18*3+(3),,,"J1 B - Butcher Terrace")&amp;":"&amp;ADDRESS(130,3+18*3+(3))),'J1 B - Butcher Terrace'!$A$12:$A$130,"&gt;="&amp;Diagram!$O81,'J1 B - Butcher Terrace'!$A$12:$A$130,"&lt;"&amp;Diagram!$P81),SUMIFS(INDIRECT(ADDRESS(12,3+18*3+(11),,,"J1 B - Butcher Terrace")&amp;":"&amp;ADDRESS(130,3+18*3+(11))),'J1 B - Butcher Terrace'!$A$12:$A$130,"&gt;="&amp;Diagram!$O81,'J1 B - Butcher Terrace'!$A$12:$A$130,"&lt;"&amp;Diagram!$P81)))</f>
        <v>0</v>
      </c>
      <c r="BX81" s="42">
        <f ca="1">IF(OR($I$10="",$O81="",$P81="",$J$38&lt;&gt;"Yes"),0,IF($K$10=0,SUMIFS(INDIRECT(ADDRESS(12,3+18*0+(3),,,"J1 B - Butcher Terrace")&amp;":"&amp;ADDRESS(130,3+18*0+(3))),'J1 B - Butcher Terrace'!$A$12:$A$130,"&gt;="&amp;Diagram!$O81,'J1 B - Butcher Terrace'!$A$12:$A$130,"&lt;"&amp;Diagram!$P81),SUMIFS(INDIRECT(ADDRESS(12,3+18*0+(11),,,"J1 B - Butcher Terrace")&amp;":"&amp;ADDRESS(130,3+18*0+(11))),'J1 B - Butcher Terrace'!$A$12:$A$130,"&gt;="&amp;Diagram!$O81,'J1 B - Butcher Terrace'!$A$12:$A$130,"&lt;"&amp;Diagram!$P81)))</f>
        <v>0</v>
      </c>
      <c r="BY81" s="42">
        <f ca="1">IF(OR($I$10="",$O81="",$P81="",$J$38&lt;&gt;"Yes"),0,IF($K$10=0,SUMIFS(INDIRECT(ADDRESS(12,3+18*1+(3),,,"J1 B - Butcher Terrace")&amp;":"&amp;ADDRESS(130,3+18*1+(3))),'J1 B - Butcher Terrace'!$A$12:$A$130,"&gt;="&amp;Diagram!$O81,'J1 B - Butcher Terrace'!$A$12:$A$130,"&lt;"&amp;Diagram!$P81),SUMIFS(INDIRECT(ADDRESS(12,3+18*1+(11),,,"J1 B - Butcher Terrace")&amp;":"&amp;ADDRESS(130,3+18*1+(11))),'J1 B - Butcher Terrace'!$A$12:$A$130,"&gt;="&amp;Diagram!$O81,'J1 B - Butcher Terrace'!$A$12:$A$130,"&lt;"&amp;Diagram!$P81)))</f>
        <v>0</v>
      </c>
      <c r="BZ81" s="42">
        <f ca="1">IF(OR($I$10="",$O81="",$P81="",$J$38&lt;&gt;"Yes"),0,IF($K$10=0,SUMIFS(INDIRECT(ADDRESS(12,3+18*1+(3),,,"J1 C - (South) Bishopthorpe Roa")&amp;":"&amp;ADDRESS(130,3+18*1+(3))),'J1 C - (South) Bishopthorpe Roa'!$A$12:$A$130,"&gt;="&amp;Diagram!$O81,'J1 C - (South) Bishopthorpe Roa'!$A$12:$A$130,"&lt;"&amp;Diagram!$P81),SUMIFS(INDIRECT(ADDRESS(12,3+18*1+(11),,,"J1 C - (South) Bishopthorpe Roa")&amp;":"&amp;ADDRESS(130,3+18*1+(11))),'J1 C - (South) Bishopthorpe Roa'!$A$12:$A$130,"&gt;="&amp;Diagram!$O81,'J1 C - (South) Bishopthorpe Roa'!$A$12:$A$130,"&lt;"&amp;Diagram!$P81)))</f>
        <v>0</v>
      </c>
      <c r="CA81" s="42">
        <f ca="1">IF(OR($I$10="",$O81="",$P81="",$J$38&lt;&gt;"Yes"),0,IF($K$10=0,SUMIFS(INDIRECT(ADDRESS(12,3+18*2+(3),,,"J1 C - (South) Bishopthorpe Roa")&amp;":"&amp;ADDRESS(130,3+18*2+(3))),'J1 C - (South) Bishopthorpe Roa'!$A$12:$A$130,"&gt;="&amp;Diagram!$O81,'J1 C - (South) Bishopthorpe Roa'!$A$12:$A$130,"&lt;"&amp;Diagram!$P81),SUMIFS(INDIRECT(ADDRESS(12,3+18*2+(11),,,"J1 C - (South) Bishopthorpe Roa")&amp;":"&amp;ADDRESS(130,3+18*2+(11))),'J1 C - (South) Bishopthorpe Roa'!$A$12:$A$130,"&gt;="&amp;Diagram!$O81,'J1 C - (South) Bishopthorpe Roa'!$A$12:$A$130,"&lt;"&amp;Diagram!$P81)))</f>
        <v>0</v>
      </c>
      <c r="CB81" s="42">
        <f ca="1">IF(OR($I$10="",$O81="",$P81="",$J$38&lt;&gt;"Yes"),0,IF($K$10=0,SUMIFS(INDIRECT(ADDRESS(12,3+18*3+(3),,,"J1 C - (South) Bishopthorpe Roa")&amp;":"&amp;ADDRESS(130,3+18*3+(3))),'J1 C - (South) Bishopthorpe Roa'!$A$12:$A$130,"&gt;="&amp;Diagram!$O81,'J1 C - (South) Bishopthorpe Roa'!$A$12:$A$130,"&lt;"&amp;Diagram!$P81),SUMIFS(INDIRECT(ADDRESS(12,3+18*3+(11),,,"J1 C - (South) Bishopthorpe Roa")&amp;":"&amp;ADDRESS(130,3+18*3+(11))),'J1 C - (South) Bishopthorpe Roa'!$A$12:$A$130,"&gt;="&amp;Diagram!$O81,'J1 C - (South) Bishopthorpe Roa'!$A$12:$A$130,"&lt;"&amp;Diagram!$P81)))</f>
        <v>0</v>
      </c>
      <c r="CC81" s="42">
        <f ca="1">IF(OR($I$10="",$O81="",$P81="",$J$38&lt;&gt;"Yes"),0,IF($K$10=0,SUMIFS(INDIRECT(ADDRESS(12,3+18*0+(3),,,"J1 C - (South) Bishopthorpe Roa")&amp;":"&amp;ADDRESS(130,3+18*0+(3))),'J1 C - (South) Bishopthorpe Roa'!$A$12:$A$130,"&gt;="&amp;Diagram!$O81,'J1 C - (South) Bishopthorpe Roa'!$A$12:$A$130,"&lt;"&amp;Diagram!$P81),SUMIFS(INDIRECT(ADDRESS(12,3+18*0+(11),,,"J1 C - (South) Bishopthorpe Roa")&amp;":"&amp;ADDRESS(130,3+18*0+(11))),'J1 C - (South) Bishopthorpe Roa'!$A$12:$A$130,"&gt;="&amp;Diagram!$O81,'J1 C - (South) Bishopthorpe Roa'!$A$12:$A$130,"&lt;"&amp;Diagram!$P81)))</f>
        <v>0</v>
      </c>
      <c r="CD81" s="42">
        <f ca="1">IF(OR($I$10="",$O81="",$P81="",$J$38&lt;&gt;"Yes"),0,IF($K$10=0,SUMIFS(INDIRECT(ADDRESS(12,3+18*0+(3),,,"J1 D - South Bank Avenue")&amp;":"&amp;ADDRESS(130,3+18*0+(3))),'J1 D - South Bank Avenue'!$A$12:$A$130,"&gt;="&amp;Diagram!$O81,'J1 D - South Bank Avenue'!$A$12:$A$130,"&lt;"&amp;Diagram!$P81),SUMIFS(INDIRECT(ADDRESS(12,3+18*0+(11),,,"J1 D - South Bank Avenue")&amp;":"&amp;ADDRESS(130,3+18*0+(11))),'J1 D - South Bank Avenue'!$A$12:$A$130,"&gt;="&amp;Diagram!$O81,'J1 D - South Bank Avenue'!$A$12:$A$130,"&lt;"&amp;Diagram!$P81)))</f>
        <v>0</v>
      </c>
      <c r="CE81" s="42">
        <f ca="1">IF(OR($I$10="",$O81="",$P81="",$J$38&lt;&gt;"Yes"),0,IF($K$10=0,SUMIFS(INDIRECT(ADDRESS(12,3+18*1+(3),,,"J1 D - South Bank Avenue")&amp;":"&amp;ADDRESS(130,3+18*1+(3))),'J1 D - South Bank Avenue'!$A$12:$A$130,"&gt;="&amp;Diagram!$O81,'J1 D - South Bank Avenue'!$A$12:$A$130,"&lt;"&amp;Diagram!$P81),SUMIFS(INDIRECT(ADDRESS(12,3+18*1+(11),,,"J1 D - South Bank Avenue")&amp;":"&amp;ADDRESS(130,3+18*1+(11))),'J1 D - South Bank Avenue'!$A$12:$A$130,"&gt;="&amp;Diagram!$O81,'J1 D - South Bank Avenue'!$A$12:$A$130,"&lt;"&amp;Diagram!$P81)))</f>
        <v>0</v>
      </c>
      <c r="CF81" s="42">
        <f ca="1">IF(OR($I$10="",$O81="",$P81="",$J$38&lt;&gt;"Yes"),0,IF($K$10=0,SUMIFS(INDIRECT(ADDRESS(12,3+18*2+(3),,,"J1 D - South Bank Avenue")&amp;":"&amp;ADDRESS(130,3+18*2+(3))),'J1 D - South Bank Avenue'!$A$12:$A$130,"&gt;="&amp;Diagram!$O81,'J1 D - South Bank Avenue'!$A$12:$A$130,"&lt;"&amp;Diagram!$P81),SUMIFS(INDIRECT(ADDRESS(12,3+18*2+(11),,,"J1 D - South Bank Avenue")&amp;":"&amp;ADDRESS(130,3+18*2+(11))),'J1 D - South Bank Avenue'!$A$12:$A$130,"&gt;="&amp;Diagram!$O81,'J1 D - South Bank Avenue'!$A$12:$A$130,"&lt;"&amp;Diagram!$P81)))</f>
        <v>0</v>
      </c>
      <c r="CG81" s="42">
        <f ca="1">IF(OR($I$10="",$O81="",$P81="",$J$38&lt;&gt;"Yes"),0,IF($K$10=0,SUMIFS(INDIRECT(ADDRESS(12,3+18*3+(3),,,"J1 D - South Bank Avenue")&amp;":"&amp;ADDRESS(130,3+18*3+(3))),'J1 D - South Bank Avenue'!$A$12:$A$130,"&gt;="&amp;Diagram!$O81,'J1 D - South Bank Avenue'!$A$12:$A$130,"&lt;"&amp;Diagram!$P81),SUMIFS(INDIRECT(ADDRESS(12,3+18*3+(11),,,"J1 D - South Bank Avenue")&amp;":"&amp;ADDRESS(130,3+18*3+(11))),'J1 D - South Bank Avenue'!$A$12:$A$130,"&gt;="&amp;Diagram!$O81,'J1 D - South Bank Avenue'!$A$12:$A$130,"&lt;"&amp;Diagram!$P81)))</f>
        <v>0</v>
      </c>
      <c r="CH81" s="42">
        <f t="shared" ca="1" si="15"/>
        <v>4</v>
      </c>
      <c r="CI81" s="42">
        <f ca="1">IF(OR($I$10="",$O81="",$P81="",$J$39&lt;&gt;"Yes"),0,IF($K$10=0,SUMIFS(INDIRECT(ADDRESS(12,3+18*3+(4),,,"J1 A - (North) Bishopthorpe Roa")&amp;":"&amp;ADDRESS(130,3+18*3+(4))),'J1 A - (North) Bishopthorpe Roa'!$A$12:$A$130,"&gt;="&amp;Diagram!$O81,'J1 A - (North) Bishopthorpe Roa'!$A$12:$A$130,"&lt;"&amp;Diagram!$P81),SUMIFS(INDIRECT(ADDRESS(12,3+18*3+(12),,,"J1 A - (North) Bishopthorpe Roa")&amp;":"&amp;ADDRESS(130,3+18*3+(12))),'J1 A - (North) Bishopthorpe Roa'!$A$12:$A$130,"&gt;="&amp;Diagram!$O81,'J1 A - (North) Bishopthorpe Roa'!$A$12:$A$130,"&lt;"&amp;Diagram!$P81)))</f>
        <v>0</v>
      </c>
      <c r="CJ81" s="42">
        <f ca="1">IF(OR($I$10="",$O81="",$P81="",$J$39&lt;&gt;"Yes"),0,IF($K$10=0,SUMIFS(INDIRECT(ADDRESS(12,3+18*0+(4),,,"J1 A - (North) Bishopthorpe Roa")&amp;":"&amp;ADDRESS(130,3+18*0+(4))),'J1 A - (North) Bishopthorpe Roa'!$A$12:$A$130,"&gt;="&amp;Diagram!$O81,'J1 A - (North) Bishopthorpe Roa'!$A$12:$A$130,"&lt;"&amp;Diagram!$P81),SUMIFS(INDIRECT(ADDRESS(12,3+18*0+(12),,,"J1 A - (North) Bishopthorpe Roa")&amp;":"&amp;ADDRESS(130,3+18*0+(12))),'J1 A - (North) Bishopthorpe Roa'!$A$12:$A$130,"&gt;="&amp;Diagram!$O81,'J1 A - (North) Bishopthorpe Roa'!$A$12:$A$130,"&lt;"&amp;Diagram!$P81)))</f>
        <v>0</v>
      </c>
      <c r="CK81" s="42">
        <f ca="1">IF(OR($I$10="",$O81="",$P81="",$J$39&lt;&gt;"Yes"),0,IF($K$10=0,SUMIFS(INDIRECT(ADDRESS(12,3+18*1+(4),,,"J1 A - (North) Bishopthorpe Roa")&amp;":"&amp;ADDRESS(130,3+18*1+(4))),'J1 A - (North) Bishopthorpe Roa'!$A$12:$A$130,"&gt;="&amp;Diagram!$O81,'J1 A - (North) Bishopthorpe Roa'!$A$12:$A$130,"&lt;"&amp;Diagram!$P81),SUMIFS(INDIRECT(ADDRESS(12,3+18*1+(12),,,"J1 A - (North) Bishopthorpe Roa")&amp;":"&amp;ADDRESS(130,3+18*1+(12))),'J1 A - (North) Bishopthorpe Roa'!$A$12:$A$130,"&gt;="&amp;Diagram!$O81,'J1 A - (North) Bishopthorpe Roa'!$A$12:$A$130,"&lt;"&amp;Diagram!$P81)))</f>
        <v>2</v>
      </c>
      <c r="CL81" s="42">
        <f ca="1">IF(OR($I$10="",$O81="",$P81="",$J$39&lt;&gt;"Yes"),0,IF($K$10=0,SUMIFS(INDIRECT(ADDRESS(12,3+18*2+(4),,,"J1 A - (North) Bishopthorpe Roa")&amp;":"&amp;ADDRESS(130,3+18*2+(4))),'J1 A - (North) Bishopthorpe Roa'!$A$12:$A$130,"&gt;="&amp;Diagram!$O81,'J1 A - (North) Bishopthorpe Roa'!$A$12:$A$130,"&lt;"&amp;Diagram!$P81),SUMIFS(INDIRECT(ADDRESS(12,3+18*2+(12),,,"J1 A - (North) Bishopthorpe Roa")&amp;":"&amp;ADDRESS(130,3+18*2+(12))),'J1 A - (North) Bishopthorpe Roa'!$A$12:$A$130,"&gt;="&amp;Diagram!$O81,'J1 A - (North) Bishopthorpe Roa'!$A$12:$A$130,"&lt;"&amp;Diagram!$P81)))</f>
        <v>0</v>
      </c>
      <c r="CM81" s="42">
        <f ca="1">IF(OR($I$10="",$O81="",$P81="",$J$39&lt;&gt;"Yes"),0,IF($K$10=0,SUMIFS(INDIRECT(ADDRESS(12,3+18*2+(4),,,"J1 B - Butcher Terrace")&amp;":"&amp;ADDRESS(130,3+18*2+(4))),'J1 B - Butcher Terrace'!$A$12:$A$130,"&gt;="&amp;Diagram!$O81,'J1 B - Butcher Terrace'!$A$12:$A$130,"&lt;"&amp;Diagram!$P81),SUMIFS(INDIRECT(ADDRESS(12,3+18*2+(12),,,"J1 B - Butcher Terrace")&amp;":"&amp;ADDRESS(130,3+18*2+(12))),'J1 B - Butcher Terrace'!$A$12:$A$130,"&gt;="&amp;Diagram!$O81,'J1 B - Butcher Terrace'!$A$12:$A$130,"&lt;"&amp;Diagram!$P81)))</f>
        <v>0</v>
      </c>
      <c r="CN81" s="42">
        <f ca="1">IF(OR($I$10="",$O81="",$P81="",$J$39&lt;&gt;"Yes"),0,IF($K$10=0,SUMIFS(INDIRECT(ADDRESS(12,3+18*3+(4),,,"J1 B - Butcher Terrace")&amp;":"&amp;ADDRESS(130,3+18*3+(4))),'J1 B - Butcher Terrace'!$A$12:$A$130,"&gt;="&amp;Diagram!$O81,'J1 B - Butcher Terrace'!$A$12:$A$130,"&lt;"&amp;Diagram!$P81),SUMIFS(INDIRECT(ADDRESS(12,3+18*3+(12),,,"J1 B - Butcher Terrace")&amp;":"&amp;ADDRESS(130,3+18*3+(12))),'J1 B - Butcher Terrace'!$A$12:$A$130,"&gt;="&amp;Diagram!$O81,'J1 B - Butcher Terrace'!$A$12:$A$130,"&lt;"&amp;Diagram!$P81)))</f>
        <v>0</v>
      </c>
      <c r="CO81" s="42">
        <f ca="1">IF(OR($I$10="",$O81="",$P81="",$J$39&lt;&gt;"Yes"),0,IF($K$10=0,SUMIFS(INDIRECT(ADDRESS(12,3+18*0+(4),,,"J1 B - Butcher Terrace")&amp;":"&amp;ADDRESS(130,3+18*0+(4))),'J1 B - Butcher Terrace'!$A$12:$A$130,"&gt;="&amp;Diagram!$O81,'J1 B - Butcher Terrace'!$A$12:$A$130,"&lt;"&amp;Diagram!$P81),SUMIFS(INDIRECT(ADDRESS(12,3+18*0+(12),,,"J1 B - Butcher Terrace")&amp;":"&amp;ADDRESS(130,3+18*0+(12))),'J1 B - Butcher Terrace'!$A$12:$A$130,"&gt;="&amp;Diagram!$O81,'J1 B - Butcher Terrace'!$A$12:$A$130,"&lt;"&amp;Diagram!$P81)))</f>
        <v>0</v>
      </c>
      <c r="CP81" s="42">
        <f ca="1">IF(OR($I$10="",$O81="",$P81="",$J$39&lt;&gt;"Yes"),0,IF($K$10=0,SUMIFS(INDIRECT(ADDRESS(12,3+18*1+(4),,,"J1 B - Butcher Terrace")&amp;":"&amp;ADDRESS(130,3+18*1+(4))),'J1 B - Butcher Terrace'!$A$12:$A$130,"&gt;="&amp;Diagram!$O81,'J1 B - Butcher Terrace'!$A$12:$A$130,"&lt;"&amp;Diagram!$P81),SUMIFS(INDIRECT(ADDRESS(12,3+18*1+(12),,,"J1 B - Butcher Terrace")&amp;":"&amp;ADDRESS(130,3+18*1+(12))),'J1 B - Butcher Terrace'!$A$12:$A$130,"&gt;="&amp;Diagram!$O81,'J1 B - Butcher Terrace'!$A$12:$A$130,"&lt;"&amp;Diagram!$P81)))</f>
        <v>0</v>
      </c>
      <c r="CQ81" s="42">
        <f ca="1">IF(OR($I$10="",$O81="",$P81="",$J$39&lt;&gt;"Yes"),0,IF($K$10=0,SUMIFS(INDIRECT(ADDRESS(12,3+18*1+(4),,,"J1 C - (South) Bishopthorpe Roa")&amp;":"&amp;ADDRESS(130,3+18*1+(4))),'J1 C - (South) Bishopthorpe Roa'!$A$12:$A$130,"&gt;="&amp;Diagram!$O81,'J1 C - (South) Bishopthorpe Roa'!$A$12:$A$130,"&lt;"&amp;Diagram!$P81),SUMIFS(INDIRECT(ADDRESS(12,3+18*1+(12),,,"J1 C - (South) Bishopthorpe Roa")&amp;":"&amp;ADDRESS(130,3+18*1+(12))),'J1 C - (South) Bishopthorpe Roa'!$A$12:$A$130,"&gt;="&amp;Diagram!$O81,'J1 C - (South) Bishopthorpe Roa'!$A$12:$A$130,"&lt;"&amp;Diagram!$P81)))</f>
        <v>2</v>
      </c>
      <c r="CR81" s="42">
        <f ca="1">IF(OR($I$10="",$O81="",$P81="",$J$39&lt;&gt;"Yes"),0,IF($K$10=0,SUMIFS(INDIRECT(ADDRESS(12,3+18*2+(4),,,"J1 C - (South) Bishopthorpe Roa")&amp;":"&amp;ADDRESS(130,3+18*2+(4))),'J1 C - (South) Bishopthorpe Roa'!$A$12:$A$130,"&gt;="&amp;Diagram!$O81,'J1 C - (South) Bishopthorpe Roa'!$A$12:$A$130,"&lt;"&amp;Diagram!$P81),SUMIFS(INDIRECT(ADDRESS(12,3+18*2+(12),,,"J1 C - (South) Bishopthorpe Roa")&amp;":"&amp;ADDRESS(130,3+18*2+(12))),'J1 C - (South) Bishopthorpe Roa'!$A$12:$A$130,"&gt;="&amp;Diagram!$O81,'J1 C - (South) Bishopthorpe Roa'!$A$12:$A$130,"&lt;"&amp;Diagram!$P81)))</f>
        <v>0</v>
      </c>
      <c r="CS81" s="42">
        <f ca="1">IF(OR($I$10="",$O81="",$P81="",$J$39&lt;&gt;"Yes"),0,IF($K$10=0,SUMIFS(INDIRECT(ADDRESS(12,3+18*3+(4),,,"J1 C - (South) Bishopthorpe Roa")&amp;":"&amp;ADDRESS(130,3+18*3+(4))),'J1 C - (South) Bishopthorpe Roa'!$A$12:$A$130,"&gt;="&amp;Diagram!$O81,'J1 C - (South) Bishopthorpe Roa'!$A$12:$A$130,"&lt;"&amp;Diagram!$P81),SUMIFS(INDIRECT(ADDRESS(12,3+18*3+(12),,,"J1 C - (South) Bishopthorpe Roa")&amp;":"&amp;ADDRESS(130,3+18*3+(12))),'J1 C - (South) Bishopthorpe Roa'!$A$12:$A$130,"&gt;="&amp;Diagram!$O81,'J1 C - (South) Bishopthorpe Roa'!$A$12:$A$130,"&lt;"&amp;Diagram!$P81)))</f>
        <v>0</v>
      </c>
      <c r="CT81" s="42">
        <f ca="1">IF(OR($I$10="",$O81="",$P81="",$J$39&lt;&gt;"Yes"),0,IF($K$10=0,SUMIFS(INDIRECT(ADDRESS(12,3+18*0+(4),,,"J1 C - (South) Bishopthorpe Roa")&amp;":"&amp;ADDRESS(130,3+18*0+(4))),'J1 C - (South) Bishopthorpe Roa'!$A$12:$A$130,"&gt;="&amp;Diagram!$O81,'J1 C - (South) Bishopthorpe Roa'!$A$12:$A$130,"&lt;"&amp;Diagram!$P81),SUMIFS(INDIRECT(ADDRESS(12,3+18*0+(12),,,"J1 C - (South) Bishopthorpe Roa")&amp;":"&amp;ADDRESS(130,3+18*0+(12))),'J1 C - (South) Bishopthorpe Roa'!$A$12:$A$130,"&gt;="&amp;Diagram!$O81,'J1 C - (South) Bishopthorpe Roa'!$A$12:$A$130,"&lt;"&amp;Diagram!$P81)))</f>
        <v>0</v>
      </c>
      <c r="CU81" s="42">
        <f ca="1">IF(OR($I$10="",$O81="",$P81="",$J$39&lt;&gt;"Yes"),0,IF($K$10=0,SUMIFS(INDIRECT(ADDRESS(12,3+18*0+(4),,,"J1 D - South Bank Avenue")&amp;":"&amp;ADDRESS(130,3+18*0+(4))),'J1 D - South Bank Avenue'!$A$12:$A$130,"&gt;="&amp;Diagram!$O81,'J1 D - South Bank Avenue'!$A$12:$A$130,"&lt;"&amp;Diagram!$P81),SUMIFS(INDIRECT(ADDRESS(12,3+18*0+(12),,,"J1 D - South Bank Avenue")&amp;":"&amp;ADDRESS(130,3+18*0+(12))),'J1 D - South Bank Avenue'!$A$12:$A$130,"&gt;="&amp;Diagram!$O81,'J1 D - South Bank Avenue'!$A$12:$A$130,"&lt;"&amp;Diagram!$P81)))</f>
        <v>0</v>
      </c>
      <c r="CV81" s="42">
        <f ca="1">IF(OR($I$10="",$O81="",$P81="",$J$39&lt;&gt;"Yes"),0,IF($K$10=0,SUMIFS(INDIRECT(ADDRESS(12,3+18*1+(4),,,"J1 D - South Bank Avenue")&amp;":"&amp;ADDRESS(130,3+18*1+(4))),'J1 D - South Bank Avenue'!$A$12:$A$130,"&gt;="&amp;Diagram!$O81,'J1 D - South Bank Avenue'!$A$12:$A$130,"&lt;"&amp;Diagram!$P81),SUMIFS(INDIRECT(ADDRESS(12,3+18*1+(12),,,"J1 D - South Bank Avenue")&amp;":"&amp;ADDRESS(130,3+18*1+(12))),'J1 D - South Bank Avenue'!$A$12:$A$130,"&gt;="&amp;Diagram!$O81,'J1 D - South Bank Avenue'!$A$12:$A$130,"&lt;"&amp;Diagram!$P81)))</f>
        <v>0</v>
      </c>
      <c r="CW81" s="42">
        <f ca="1">IF(OR($I$10="",$O81="",$P81="",$J$39&lt;&gt;"Yes"),0,IF($K$10=0,SUMIFS(INDIRECT(ADDRESS(12,3+18*2+(4),,,"J1 D - South Bank Avenue")&amp;":"&amp;ADDRESS(130,3+18*2+(4))),'J1 D - South Bank Avenue'!$A$12:$A$130,"&gt;="&amp;Diagram!$O81,'J1 D - South Bank Avenue'!$A$12:$A$130,"&lt;"&amp;Diagram!$P81),SUMIFS(INDIRECT(ADDRESS(12,3+18*2+(12),,,"J1 D - South Bank Avenue")&amp;":"&amp;ADDRESS(130,3+18*2+(12))),'J1 D - South Bank Avenue'!$A$12:$A$130,"&gt;="&amp;Diagram!$O81,'J1 D - South Bank Avenue'!$A$12:$A$130,"&lt;"&amp;Diagram!$P81)))</f>
        <v>0</v>
      </c>
      <c r="CX81" s="42">
        <f ca="1">IF(OR($I$10="",$O81="",$P81="",$J$39&lt;&gt;"Yes"),0,IF($K$10=0,SUMIFS(INDIRECT(ADDRESS(12,3+18*3+(4),,,"J1 D - South Bank Avenue")&amp;":"&amp;ADDRESS(130,3+18*3+(4))),'J1 D - South Bank Avenue'!$A$12:$A$130,"&gt;="&amp;Diagram!$O81,'J1 D - South Bank Avenue'!$A$12:$A$130,"&lt;"&amp;Diagram!$P81),SUMIFS(INDIRECT(ADDRESS(12,3+18*3+(12),,,"J1 D - South Bank Avenue")&amp;":"&amp;ADDRESS(130,3+18*3+(12))),'J1 D - South Bank Avenue'!$A$12:$A$130,"&gt;="&amp;Diagram!$O81,'J1 D - South Bank Avenue'!$A$12:$A$130,"&lt;"&amp;Diagram!$P81)))</f>
        <v>0</v>
      </c>
      <c r="CY81" s="42">
        <f t="shared" ca="1" si="16"/>
        <v>69</v>
      </c>
      <c r="CZ81" s="42">
        <f ca="1">IF(OR($I$10="",$O81="",$P81="",$J$40&lt;&gt;"Yes"),0,IF($K$10=0,SUMIFS(INDIRECT(ADDRESS(12,3+18*3+(5),,,"J1 A - (North) Bishopthorpe Roa")&amp;":"&amp;ADDRESS(130,3+18*3+(5))),'J1 A - (North) Bishopthorpe Roa'!$A$12:$A$130,"&gt;="&amp;Diagram!$O81,'J1 A - (North) Bishopthorpe Roa'!$A$12:$A$130,"&lt;"&amp;Diagram!$P81),SUMIFS(INDIRECT(ADDRESS(12,3+18*3+(13),,,"J1 A - (North) Bishopthorpe Roa")&amp;":"&amp;ADDRESS(130,3+18*3+(13))),'J1 A - (North) Bishopthorpe Roa'!$A$12:$A$130,"&gt;="&amp;Diagram!$O81,'J1 A - (North) Bishopthorpe Roa'!$A$12:$A$130,"&lt;"&amp;Diagram!$P81)))</f>
        <v>0</v>
      </c>
      <c r="DA81" s="42">
        <f ca="1">IF(OR($I$10="",$O81="",$P81="",$J$40&lt;&gt;"Yes"),0,IF($K$10=0,SUMIFS(INDIRECT(ADDRESS(12,3+18*0+(5),,,"J1 A - (North) Bishopthorpe Roa")&amp;":"&amp;ADDRESS(130,3+18*0+(5))),'J1 A - (North) Bishopthorpe Roa'!$A$12:$A$130,"&gt;="&amp;Diagram!$O81,'J1 A - (North) Bishopthorpe Roa'!$A$12:$A$130,"&lt;"&amp;Diagram!$P81),SUMIFS(INDIRECT(ADDRESS(12,3+18*0+(13),,,"J1 A - (North) Bishopthorpe Roa")&amp;":"&amp;ADDRESS(130,3+18*0+(13))),'J1 A - (North) Bishopthorpe Roa'!$A$12:$A$130,"&gt;="&amp;Diagram!$O81,'J1 A - (North) Bishopthorpe Roa'!$A$12:$A$130,"&lt;"&amp;Diagram!$P81)))</f>
        <v>4</v>
      </c>
      <c r="DB81" s="42">
        <f ca="1">IF(OR($I$10="",$O81="",$P81="",$J$40&lt;&gt;"Yes"),0,IF($K$10=0,SUMIFS(INDIRECT(ADDRESS(12,3+18*1+(5),,,"J1 A - (North) Bishopthorpe Roa")&amp;":"&amp;ADDRESS(130,3+18*1+(5))),'J1 A - (North) Bishopthorpe Roa'!$A$12:$A$130,"&gt;="&amp;Diagram!$O81,'J1 A - (North) Bishopthorpe Roa'!$A$12:$A$130,"&lt;"&amp;Diagram!$P81),SUMIFS(INDIRECT(ADDRESS(12,3+18*1+(13),,,"J1 A - (North) Bishopthorpe Roa")&amp;":"&amp;ADDRESS(130,3+18*1+(13))),'J1 A - (North) Bishopthorpe Roa'!$A$12:$A$130,"&gt;="&amp;Diagram!$O81,'J1 A - (North) Bishopthorpe Roa'!$A$12:$A$130,"&lt;"&amp;Diagram!$P81)))</f>
        <v>9</v>
      </c>
      <c r="DC81" s="42">
        <f ca="1">IF(OR($I$10="",$O81="",$P81="",$J$40&lt;&gt;"Yes"),0,IF($K$10=0,SUMIFS(INDIRECT(ADDRESS(12,3+18*2+(5),,,"J1 A - (North) Bishopthorpe Roa")&amp;":"&amp;ADDRESS(130,3+18*2+(5))),'J1 A - (North) Bishopthorpe Roa'!$A$12:$A$130,"&gt;="&amp;Diagram!$O81,'J1 A - (North) Bishopthorpe Roa'!$A$12:$A$130,"&lt;"&amp;Diagram!$P81),SUMIFS(INDIRECT(ADDRESS(12,3+18*2+(13),,,"J1 A - (North) Bishopthorpe Roa")&amp;":"&amp;ADDRESS(130,3+18*2+(13))),'J1 A - (North) Bishopthorpe Roa'!$A$12:$A$130,"&gt;="&amp;Diagram!$O81,'J1 A - (North) Bishopthorpe Roa'!$A$12:$A$130,"&lt;"&amp;Diagram!$P81)))</f>
        <v>5</v>
      </c>
      <c r="DD81" s="42">
        <f ca="1">IF(OR($I$10="",$O81="",$P81="",$J$40&lt;&gt;"Yes"),0,IF($K$10=0,SUMIFS(INDIRECT(ADDRESS(12,3+18*2+(5),,,"J1 B - Butcher Terrace")&amp;":"&amp;ADDRESS(130,3+18*2+(5))),'J1 B - Butcher Terrace'!$A$12:$A$130,"&gt;="&amp;Diagram!$O81,'J1 B - Butcher Terrace'!$A$12:$A$130,"&lt;"&amp;Diagram!$P81),SUMIFS(INDIRECT(ADDRESS(12,3+18*2+(13),,,"J1 B - Butcher Terrace")&amp;":"&amp;ADDRESS(130,3+18*2+(13))),'J1 B - Butcher Terrace'!$A$12:$A$130,"&gt;="&amp;Diagram!$O81,'J1 B - Butcher Terrace'!$A$12:$A$130,"&lt;"&amp;Diagram!$P81)))</f>
        <v>4</v>
      </c>
      <c r="DE81" s="42">
        <f ca="1">IF(OR($I$10="",$O81="",$P81="",$J$40&lt;&gt;"Yes"),0,IF($K$10=0,SUMIFS(INDIRECT(ADDRESS(12,3+18*3+(5),,,"J1 B - Butcher Terrace")&amp;":"&amp;ADDRESS(130,3+18*3+(5))),'J1 B - Butcher Terrace'!$A$12:$A$130,"&gt;="&amp;Diagram!$O81,'J1 B - Butcher Terrace'!$A$12:$A$130,"&lt;"&amp;Diagram!$P81),SUMIFS(INDIRECT(ADDRESS(12,3+18*3+(13),,,"J1 B - Butcher Terrace")&amp;":"&amp;ADDRESS(130,3+18*3+(13))),'J1 B - Butcher Terrace'!$A$12:$A$130,"&gt;="&amp;Diagram!$O81,'J1 B - Butcher Terrace'!$A$12:$A$130,"&lt;"&amp;Diagram!$P81)))</f>
        <v>0</v>
      </c>
      <c r="DF81" s="42">
        <f ca="1">IF(OR($I$10="",$O81="",$P81="",$J$40&lt;&gt;"Yes"),0,IF($K$10=0,SUMIFS(INDIRECT(ADDRESS(12,3+18*0+(5),,,"J1 B - Butcher Terrace")&amp;":"&amp;ADDRESS(130,3+18*0+(5))),'J1 B - Butcher Terrace'!$A$12:$A$130,"&gt;="&amp;Diagram!$O81,'J1 B - Butcher Terrace'!$A$12:$A$130,"&lt;"&amp;Diagram!$P81),SUMIFS(INDIRECT(ADDRESS(12,3+18*0+(13),,,"J1 B - Butcher Terrace")&amp;":"&amp;ADDRESS(130,3+18*0+(13))),'J1 B - Butcher Terrace'!$A$12:$A$130,"&gt;="&amp;Diagram!$O81,'J1 B - Butcher Terrace'!$A$12:$A$130,"&lt;"&amp;Diagram!$P81)))</f>
        <v>4</v>
      </c>
      <c r="DG81" s="42">
        <f ca="1">IF(OR($I$10="",$O81="",$P81="",$J$40&lt;&gt;"Yes"),0,IF($K$10=0,SUMIFS(INDIRECT(ADDRESS(12,3+18*1+(5),,,"J1 B - Butcher Terrace")&amp;":"&amp;ADDRESS(130,3+18*1+(5))),'J1 B - Butcher Terrace'!$A$12:$A$130,"&gt;="&amp;Diagram!$O81,'J1 B - Butcher Terrace'!$A$12:$A$130,"&lt;"&amp;Diagram!$P81),SUMIFS(INDIRECT(ADDRESS(12,3+18*1+(13),,,"J1 B - Butcher Terrace")&amp;":"&amp;ADDRESS(130,3+18*1+(13))),'J1 B - Butcher Terrace'!$A$12:$A$130,"&gt;="&amp;Diagram!$O81,'J1 B - Butcher Terrace'!$A$12:$A$130,"&lt;"&amp;Diagram!$P81)))</f>
        <v>10</v>
      </c>
      <c r="DH81" s="42">
        <f ca="1">IF(OR($I$10="",$O81="",$P81="",$J$40&lt;&gt;"Yes"),0,IF($K$10=0,SUMIFS(INDIRECT(ADDRESS(12,3+18*1+(5),,,"J1 C - (South) Bishopthorpe Roa")&amp;":"&amp;ADDRESS(130,3+18*1+(5))),'J1 C - (South) Bishopthorpe Roa'!$A$12:$A$130,"&gt;="&amp;Diagram!$O81,'J1 C - (South) Bishopthorpe Roa'!$A$12:$A$130,"&lt;"&amp;Diagram!$P81),SUMIFS(INDIRECT(ADDRESS(12,3+18*1+(13),,,"J1 C - (South) Bishopthorpe Roa")&amp;":"&amp;ADDRESS(130,3+18*1+(13))),'J1 C - (South) Bishopthorpe Roa'!$A$12:$A$130,"&gt;="&amp;Diagram!$O81,'J1 C - (South) Bishopthorpe Roa'!$A$12:$A$130,"&lt;"&amp;Diagram!$P81)))</f>
        <v>7</v>
      </c>
      <c r="DI81" s="42">
        <f ca="1">IF(OR($I$10="",$O81="",$P81="",$J$40&lt;&gt;"Yes"),0,IF($K$10=0,SUMIFS(INDIRECT(ADDRESS(12,3+18*2+(5),,,"J1 C - (South) Bishopthorpe Roa")&amp;":"&amp;ADDRESS(130,3+18*2+(5))),'J1 C - (South) Bishopthorpe Roa'!$A$12:$A$130,"&gt;="&amp;Diagram!$O81,'J1 C - (South) Bishopthorpe Roa'!$A$12:$A$130,"&lt;"&amp;Diagram!$P81),SUMIFS(INDIRECT(ADDRESS(12,3+18*2+(13),,,"J1 C - (South) Bishopthorpe Roa")&amp;":"&amp;ADDRESS(130,3+18*2+(13))),'J1 C - (South) Bishopthorpe Roa'!$A$12:$A$130,"&gt;="&amp;Diagram!$O81,'J1 C - (South) Bishopthorpe Roa'!$A$12:$A$130,"&lt;"&amp;Diagram!$P81)))</f>
        <v>9</v>
      </c>
      <c r="DJ81" s="42">
        <f ca="1">IF(OR($I$10="",$O81="",$P81="",$J$40&lt;&gt;"Yes"),0,IF($K$10=0,SUMIFS(INDIRECT(ADDRESS(12,3+18*3+(5),,,"J1 C - (South) Bishopthorpe Roa")&amp;":"&amp;ADDRESS(130,3+18*3+(5))),'J1 C - (South) Bishopthorpe Roa'!$A$12:$A$130,"&gt;="&amp;Diagram!$O81,'J1 C - (South) Bishopthorpe Roa'!$A$12:$A$130,"&lt;"&amp;Diagram!$P81),SUMIFS(INDIRECT(ADDRESS(12,3+18*3+(13),,,"J1 C - (South) Bishopthorpe Roa")&amp;":"&amp;ADDRESS(130,3+18*3+(13))),'J1 C - (South) Bishopthorpe Roa'!$A$12:$A$130,"&gt;="&amp;Diagram!$O81,'J1 C - (South) Bishopthorpe Roa'!$A$12:$A$130,"&lt;"&amp;Diagram!$P81)))</f>
        <v>0</v>
      </c>
      <c r="DK81" s="42">
        <f ca="1">IF(OR($I$10="",$O81="",$P81="",$J$40&lt;&gt;"Yes"),0,IF($K$10=0,SUMIFS(INDIRECT(ADDRESS(12,3+18*0+(5),,,"J1 C - (South) Bishopthorpe Roa")&amp;":"&amp;ADDRESS(130,3+18*0+(5))),'J1 C - (South) Bishopthorpe Roa'!$A$12:$A$130,"&gt;="&amp;Diagram!$O81,'J1 C - (South) Bishopthorpe Roa'!$A$12:$A$130,"&lt;"&amp;Diagram!$P81),SUMIFS(INDIRECT(ADDRESS(12,3+18*0+(13),,,"J1 C - (South) Bishopthorpe Roa")&amp;":"&amp;ADDRESS(130,3+18*0+(13))),'J1 C - (South) Bishopthorpe Roa'!$A$12:$A$130,"&gt;="&amp;Diagram!$O81,'J1 C - (South) Bishopthorpe Roa'!$A$12:$A$130,"&lt;"&amp;Diagram!$P81)))</f>
        <v>0</v>
      </c>
      <c r="DL81" s="42">
        <f ca="1">IF(OR($I$10="",$O81="",$P81="",$J$40&lt;&gt;"Yes"),0,IF($K$10=0,SUMIFS(INDIRECT(ADDRESS(12,3+18*0+(5),,,"J1 D - South Bank Avenue")&amp;":"&amp;ADDRESS(130,3+18*0+(5))),'J1 D - South Bank Avenue'!$A$12:$A$130,"&gt;="&amp;Diagram!$O81,'J1 D - South Bank Avenue'!$A$12:$A$130,"&lt;"&amp;Diagram!$P81),SUMIFS(INDIRECT(ADDRESS(12,3+18*0+(13),,,"J1 D - South Bank Avenue")&amp;":"&amp;ADDRESS(130,3+18*0+(13))),'J1 D - South Bank Avenue'!$A$12:$A$130,"&gt;="&amp;Diagram!$O81,'J1 D - South Bank Avenue'!$A$12:$A$130,"&lt;"&amp;Diagram!$P81)))</f>
        <v>4</v>
      </c>
      <c r="DM81" s="42">
        <f ca="1">IF(OR($I$10="",$O81="",$P81="",$J$40&lt;&gt;"Yes"),0,IF($K$10=0,SUMIFS(INDIRECT(ADDRESS(12,3+18*1+(5),,,"J1 D - South Bank Avenue")&amp;":"&amp;ADDRESS(130,3+18*1+(5))),'J1 D - South Bank Avenue'!$A$12:$A$130,"&gt;="&amp;Diagram!$O81,'J1 D - South Bank Avenue'!$A$12:$A$130,"&lt;"&amp;Diagram!$P81),SUMIFS(INDIRECT(ADDRESS(12,3+18*1+(13),,,"J1 D - South Bank Avenue")&amp;":"&amp;ADDRESS(130,3+18*1+(13))),'J1 D - South Bank Avenue'!$A$12:$A$130,"&gt;="&amp;Diagram!$O81,'J1 D - South Bank Avenue'!$A$12:$A$130,"&lt;"&amp;Diagram!$P81)))</f>
        <v>11</v>
      </c>
      <c r="DN81" s="42">
        <f ca="1">IF(OR($I$10="",$O81="",$P81="",$J$40&lt;&gt;"Yes"),0,IF($K$10=0,SUMIFS(INDIRECT(ADDRESS(12,3+18*2+(5),,,"J1 D - South Bank Avenue")&amp;":"&amp;ADDRESS(130,3+18*2+(5))),'J1 D - South Bank Avenue'!$A$12:$A$130,"&gt;="&amp;Diagram!$O81,'J1 D - South Bank Avenue'!$A$12:$A$130,"&lt;"&amp;Diagram!$P81),SUMIFS(INDIRECT(ADDRESS(12,3+18*2+(13),,,"J1 D - South Bank Avenue")&amp;":"&amp;ADDRESS(130,3+18*2+(13))),'J1 D - South Bank Avenue'!$A$12:$A$130,"&gt;="&amp;Diagram!$O81,'J1 D - South Bank Avenue'!$A$12:$A$130,"&lt;"&amp;Diagram!$P81)))</f>
        <v>2</v>
      </c>
      <c r="DO81" s="42">
        <f ca="1">IF(OR($I$10="",$O81="",$P81="",$J$40&lt;&gt;"Yes"),0,IF($K$10=0,SUMIFS(INDIRECT(ADDRESS(12,3+18*3+(5),,,"J1 D - South Bank Avenue")&amp;":"&amp;ADDRESS(130,3+18*3+(5))),'J1 D - South Bank Avenue'!$A$12:$A$130,"&gt;="&amp;Diagram!$O81,'J1 D - South Bank Avenue'!$A$12:$A$130,"&lt;"&amp;Diagram!$P81),SUMIFS(INDIRECT(ADDRESS(12,3+18*3+(13),,,"J1 D - South Bank Avenue")&amp;":"&amp;ADDRESS(130,3+18*3+(13))),'J1 D - South Bank Avenue'!$A$12:$A$130,"&gt;="&amp;Diagram!$O81,'J1 D - South Bank Avenue'!$A$12:$A$130,"&lt;"&amp;Diagram!$P81)))</f>
        <v>0</v>
      </c>
      <c r="DP81" s="42">
        <f t="shared" ca="1" si="17"/>
        <v>9</v>
      </c>
      <c r="DQ81" s="42">
        <f ca="1">IF(OR($I$10="",$O81="",$P81="",$J$41&lt;&gt;"Yes"),0,IF($K$10=0,SUMIFS(INDIRECT(ADDRESS(12,3+18*3+(6),,,"J1 A - (North) Bishopthorpe Roa")&amp;":"&amp;ADDRESS(130,3+18*3+(6))),'J1 A - (North) Bishopthorpe Roa'!$A$12:$A$130,"&gt;="&amp;Diagram!$O81,'J1 A - (North) Bishopthorpe Roa'!$A$12:$A$130,"&lt;"&amp;Diagram!$P81),SUMIFS(INDIRECT(ADDRESS(12,3+18*3+(14),,,"J1 A - (North) Bishopthorpe Roa")&amp;":"&amp;ADDRESS(130,3+18*3+(14))),'J1 A - (North) Bishopthorpe Roa'!$A$12:$A$130,"&gt;="&amp;Diagram!$O81,'J1 A - (North) Bishopthorpe Roa'!$A$12:$A$130,"&lt;"&amp;Diagram!$P81)))</f>
        <v>0</v>
      </c>
      <c r="DR81" s="42">
        <f ca="1">IF(OR($I$10="",$O81="",$P81="",$J$41&lt;&gt;"Yes"),0,IF($K$10=0,SUMIFS(INDIRECT(ADDRESS(12,3+18*0+(6),,,"J1 A - (North) Bishopthorpe Roa")&amp;":"&amp;ADDRESS(130,3+18*0+(6))),'J1 A - (North) Bishopthorpe Roa'!$A$12:$A$130,"&gt;="&amp;Diagram!$O81,'J1 A - (North) Bishopthorpe Roa'!$A$12:$A$130,"&lt;"&amp;Diagram!$P81),SUMIFS(INDIRECT(ADDRESS(12,3+18*0+(14),,,"J1 A - (North) Bishopthorpe Roa")&amp;":"&amp;ADDRESS(130,3+18*0+(14))),'J1 A - (North) Bishopthorpe Roa'!$A$12:$A$130,"&gt;="&amp;Diagram!$O81,'J1 A - (North) Bishopthorpe Roa'!$A$12:$A$130,"&lt;"&amp;Diagram!$P81)))</f>
        <v>0</v>
      </c>
      <c r="DS81" s="42">
        <f ca="1">IF(OR($I$10="",$O81="",$P81="",$J$41&lt;&gt;"Yes"),0,IF($K$10=0,SUMIFS(INDIRECT(ADDRESS(12,3+18*1+(6),,,"J1 A - (North) Bishopthorpe Roa")&amp;":"&amp;ADDRESS(130,3+18*1+(6))),'J1 A - (North) Bishopthorpe Roa'!$A$12:$A$130,"&gt;="&amp;Diagram!$O81,'J1 A - (North) Bishopthorpe Roa'!$A$12:$A$130,"&lt;"&amp;Diagram!$P81),SUMIFS(INDIRECT(ADDRESS(12,3+18*1+(14),,,"J1 A - (North) Bishopthorpe Roa")&amp;":"&amp;ADDRESS(130,3+18*1+(14))),'J1 A - (North) Bishopthorpe Roa'!$A$12:$A$130,"&gt;="&amp;Diagram!$O81,'J1 A - (North) Bishopthorpe Roa'!$A$12:$A$130,"&lt;"&amp;Diagram!$P81)))</f>
        <v>4</v>
      </c>
      <c r="DT81" s="42">
        <f ca="1">IF(OR($I$10="",$O81="",$P81="",$J$41&lt;&gt;"Yes"),0,IF($K$10=0,SUMIFS(INDIRECT(ADDRESS(12,3+18*2+(6),,,"J1 A - (North) Bishopthorpe Roa")&amp;":"&amp;ADDRESS(130,3+18*2+(6))),'J1 A - (North) Bishopthorpe Roa'!$A$12:$A$130,"&gt;="&amp;Diagram!$O81,'J1 A - (North) Bishopthorpe Roa'!$A$12:$A$130,"&lt;"&amp;Diagram!$P81),SUMIFS(INDIRECT(ADDRESS(12,3+18*2+(14),,,"J1 A - (North) Bishopthorpe Roa")&amp;":"&amp;ADDRESS(130,3+18*2+(14))),'J1 A - (North) Bishopthorpe Roa'!$A$12:$A$130,"&gt;="&amp;Diagram!$O81,'J1 A - (North) Bishopthorpe Roa'!$A$12:$A$130,"&lt;"&amp;Diagram!$P81)))</f>
        <v>1</v>
      </c>
      <c r="DU81" s="42">
        <f ca="1">IF(OR($I$10="",$O81="",$P81="",$J$41&lt;&gt;"Yes"),0,IF($K$10=0,SUMIFS(INDIRECT(ADDRESS(12,3+18*2+(6),,,"J1 B - Butcher Terrace")&amp;":"&amp;ADDRESS(130,3+18*2+(6))),'J1 B - Butcher Terrace'!$A$12:$A$130,"&gt;="&amp;Diagram!$O81,'J1 B - Butcher Terrace'!$A$12:$A$130,"&lt;"&amp;Diagram!$P81),SUMIFS(INDIRECT(ADDRESS(12,3+18*2+(14),,,"J1 B - Butcher Terrace")&amp;":"&amp;ADDRESS(130,3+18*2+(14))),'J1 B - Butcher Terrace'!$A$12:$A$130,"&gt;="&amp;Diagram!$O81,'J1 B - Butcher Terrace'!$A$12:$A$130,"&lt;"&amp;Diagram!$P81)))</f>
        <v>1</v>
      </c>
      <c r="DV81" s="42">
        <f ca="1">IF(OR($I$10="",$O81="",$P81="",$J$41&lt;&gt;"Yes"),0,IF($K$10=0,SUMIFS(INDIRECT(ADDRESS(12,3+18*3+(6),,,"J1 B - Butcher Terrace")&amp;":"&amp;ADDRESS(130,3+18*3+(6))),'J1 B - Butcher Terrace'!$A$12:$A$130,"&gt;="&amp;Diagram!$O81,'J1 B - Butcher Terrace'!$A$12:$A$130,"&lt;"&amp;Diagram!$P81),SUMIFS(INDIRECT(ADDRESS(12,3+18*3+(14),,,"J1 B - Butcher Terrace")&amp;":"&amp;ADDRESS(130,3+18*3+(14))),'J1 B - Butcher Terrace'!$A$12:$A$130,"&gt;="&amp;Diagram!$O81,'J1 B - Butcher Terrace'!$A$12:$A$130,"&lt;"&amp;Diagram!$P81)))</f>
        <v>0</v>
      </c>
      <c r="DW81" s="42">
        <f ca="1">IF(OR($I$10="",$O81="",$P81="",$J$41&lt;&gt;"Yes"),0,IF($K$10=0,SUMIFS(INDIRECT(ADDRESS(12,3+18*0+(6),,,"J1 B - Butcher Terrace")&amp;":"&amp;ADDRESS(130,3+18*0+(6))),'J1 B - Butcher Terrace'!$A$12:$A$130,"&gt;="&amp;Diagram!$O81,'J1 B - Butcher Terrace'!$A$12:$A$130,"&lt;"&amp;Diagram!$P81),SUMIFS(INDIRECT(ADDRESS(12,3+18*0+(14),,,"J1 B - Butcher Terrace")&amp;":"&amp;ADDRESS(130,3+18*0+(14))),'J1 B - Butcher Terrace'!$A$12:$A$130,"&gt;="&amp;Diagram!$O81,'J1 B - Butcher Terrace'!$A$12:$A$130,"&lt;"&amp;Diagram!$P81)))</f>
        <v>1</v>
      </c>
      <c r="DX81" s="42">
        <f ca="1">IF(OR($I$10="",$O81="",$P81="",$J$41&lt;&gt;"Yes"),0,IF($K$10=0,SUMIFS(INDIRECT(ADDRESS(12,3+18*1+(6),,,"J1 B - Butcher Terrace")&amp;":"&amp;ADDRESS(130,3+18*1+(6))),'J1 B - Butcher Terrace'!$A$12:$A$130,"&gt;="&amp;Diagram!$O81,'J1 B - Butcher Terrace'!$A$12:$A$130,"&lt;"&amp;Diagram!$P81),SUMIFS(INDIRECT(ADDRESS(12,3+18*1+(14),,,"J1 B - Butcher Terrace")&amp;":"&amp;ADDRESS(130,3+18*1+(14))),'J1 B - Butcher Terrace'!$A$12:$A$130,"&gt;="&amp;Diagram!$O81,'J1 B - Butcher Terrace'!$A$12:$A$130,"&lt;"&amp;Diagram!$P81)))</f>
        <v>0</v>
      </c>
      <c r="DY81" s="42">
        <f ca="1">IF(OR($I$10="",$O81="",$P81="",$J$41&lt;&gt;"Yes"),0,IF($K$10=0,SUMIFS(INDIRECT(ADDRESS(12,3+18*1+(6),,,"J1 C - (South) Bishopthorpe Roa")&amp;":"&amp;ADDRESS(130,3+18*1+(6))),'J1 C - (South) Bishopthorpe Roa'!$A$12:$A$130,"&gt;="&amp;Diagram!$O81,'J1 C - (South) Bishopthorpe Roa'!$A$12:$A$130,"&lt;"&amp;Diagram!$P81),SUMIFS(INDIRECT(ADDRESS(12,3+18*1+(14),,,"J1 C - (South) Bishopthorpe Roa")&amp;":"&amp;ADDRESS(130,3+18*1+(14))),'J1 C - (South) Bishopthorpe Roa'!$A$12:$A$130,"&gt;="&amp;Diagram!$O81,'J1 C - (South) Bishopthorpe Roa'!$A$12:$A$130,"&lt;"&amp;Diagram!$P81)))</f>
        <v>0</v>
      </c>
      <c r="DZ81" s="42">
        <f ca="1">IF(OR($I$10="",$O81="",$P81="",$J$41&lt;&gt;"Yes"),0,IF($K$10=0,SUMIFS(INDIRECT(ADDRESS(12,3+18*2+(6),,,"J1 C - (South) Bishopthorpe Roa")&amp;":"&amp;ADDRESS(130,3+18*2+(6))),'J1 C - (South) Bishopthorpe Roa'!$A$12:$A$130,"&gt;="&amp;Diagram!$O81,'J1 C - (South) Bishopthorpe Roa'!$A$12:$A$130,"&lt;"&amp;Diagram!$P81),SUMIFS(INDIRECT(ADDRESS(12,3+18*2+(14),,,"J1 C - (South) Bishopthorpe Roa")&amp;":"&amp;ADDRESS(130,3+18*2+(14))),'J1 C - (South) Bishopthorpe Roa'!$A$12:$A$130,"&gt;="&amp;Diagram!$O81,'J1 C - (South) Bishopthorpe Roa'!$A$12:$A$130,"&lt;"&amp;Diagram!$P81)))</f>
        <v>0</v>
      </c>
      <c r="EA81" s="42">
        <f ca="1">IF(OR($I$10="",$O81="",$P81="",$J$41&lt;&gt;"Yes"),0,IF($K$10=0,SUMIFS(INDIRECT(ADDRESS(12,3+18*3+(6),,,"J1 C - (South) Bishopthorpe Roa")&amp;":"&amp;ADDRESS(130,3+18*3+(6))),'J1 C - (South) Bishopthorpe Roa'!$A$12:$A$130,"&gt;="&amp;Diagram!$O81,'J1 C - (South) Bishopthorpe Roa'!$A$12:$A$130,"&lt;"&amp;Diagram!$P81),SUMIFS(INDIRECT(ADDRESS(12,3+18*3+(14),,,"J1 C - (South) Bishopthorpe Roa")&amp;":"&amp;ADDRESS(130,3+18*3+(14))),'J1 C - (South) Bishopthorpe Roa'!$A$12:$A$130,"&gt;="&amp;Diagram!$O81,'J1 C - (South) Bishopthorpe Roa'!$A$12:$A$130,"&lt;"&amp;Diagram!$P81)))</f>
        <v>0</v>
      </c>
      <c r="EB81" s="42">
        <f ca="1">IF(OR($I$10="",$O81="",$P81="",$J$41&lt;&gt;"Yes"),0,IF($K$10=0,SUMIFS(INDIRECT(ADDRESS(12,3+18*0+(6),,,"J1 C - (South) Bishopthorpe Roa")&amp;":"&amp;ADDRESS(130,3+18*0+(6))),'J1 C - (South) Bishopthorpe Roa'!$A$12:$A$130,"&gt;="&amp;Diagram!$O81,'J1 C - (South) Bishopthorpe Roa'!$A$12:$A$130,"&lt;"&amp;Diagram!$P81),SUMIFS(INDIRECT(ADDRESS(12,3+18*0+(14),,,"J1 C - (South) Bishopthorpe Roa")&amp;":"&amp;ADDRESS(130,3+18*0+(14))),'J1 C - (South) Bishopthorpe Roa'!$A$12:$A$130,"&gt;="&amp;Diagram!$O81,'J1 C - (South) Bishopthorpe Roa'!$A$12:$A$130,"&lt;"&amp;Diagram!$P81)))</f>
        <v>0</v>
      </c>
      <c r="EC81" s="42">
        <f ca="1">IF(OR($I$10="",$O81="",$P81="",$J$41&lt;&gt;"Yes"),0,IF($K$10=0,SUMIFS(INDIRECT(ADDRESS(12,3+18*0+(6),,,"J1 D - South Bank Avenue")&amp;":"&amp;ADDRESS(130,3+18*0+(6))),'J1 D - South Bank Avenue'!$A$12:$A$130,"&gt;="&amp;Diagram!$O81,'J1 D - South Bank Avenue'!$A$12:$A$130,"&lt;"&amp;Diagram!$P81),SUMIFS(INDIRECT(ADDRESS(12,3+18*0+(14),,,"J1 D - South Bank Avenue")&amp;":"&amp;ADDRESS(130,3+18*0+(14))),'J1 D - South Bank Avenue'!$A$12:$A$130,"&gt;="&amp;Diagram!$O81,'J1 D - South Bank Avenue'!$A$12:$A$130,"&lt;"&amp;Diagram!$P81)))</f>
        <v>2</v>
      </c>
      <c r="ED81" s="42">
        <f ca="1">IF(OR($I$10="",$O81="",$P81="",$J$41&lt;&gt;"Yes"),0,IF($K$10=0,SUMIFS(INDIRECT(ADDRESS(12,3+18*1+(6),,,"J1 D - South Bank Avenue")&amp;":"&amp;ADDRESS(130,3+18*1+(6))),'J1 D - South Bank Avenue'!$A$12:$A$130,"&gt;="&amp;Diagram!$O81,'J1 D - South Bank Avenue'!$A$12:$A$130,"&lt;"&amp;Diagram!$P81),SUMIFS(INDIRECT(ADDRESS(12,3+18*1+(14),,,"J1 D - South Bank Avenue")&amp;":"&amp;ADDRESS(130,3+18*1+(14))),'J1 D - South Bank Avenue'!$A$12:$A$130,"&gt;="&amp;Diagram!$O81,'J1 D - South Bank Avenue'!$A$12:$A$130,"&lt;"&amp;Diagram!$P81)))</f>
        <v>0</v>
      </c>
      <c r="EE81" s="42">
        <f ca="1">IF(OR($I$10="",$O81="",$P81="",$J$41&lt;&gt;"Yes"),0,IF($K$10=0,SUMIFS(INDIRECT(ADDRESS(12,3+18*2+(6),,,"J1 D - South Bank Avenue")&amp;":"&amp;ADDRESS(130,3+18*2+(6))),'J1 D - South Bank Avenue'!$A$12:$A$130,"&gt;="&amp;Diagram!$O81,'J1 D - South Bank Avenue'!$A$12:$A$130,"&lt;"&amp;Diagram!$P81),SUMIFS(INDIRECT(ADDRESS(12,3+18*2+(14),,,"J1 D - South Bank Avenue")&amp;":"&amp;ADDRESS(130,3+18*2+(14))),'J1 D - South Bank Avenue'!$A$12:$A$130,"&gt;="&amp;Diagram!$O81,'J1 D - South Bank Avenue'!$A$12:$A$130,"&lt;"&amp;Diagram!$P81)))</f>
        <v>0</v>
      </c>
      <c r="EF81" s="42">
        <f ca="1">IF(OR($I$10="",$O81="",$P81="",$J$41&lt;&gt;"Yes"),0,IF($K$10=0,SUMIFS(INDIRECT(ADDRESS(12,3+18*3+(6),,,"J1 D - South Bank Avenue")&amp;":"&amp;ADDRESS(130,3+18*3+(6))),'J1 D - South Bank Avenue'!$A$12:$A$130,"&gt;="&amp;Diagram!$O81,'J1 D - South Bank Avenue'!$A$12:$A$130,"&lt;"&amp;Diagram!$P81),SUMIFS(INDIRECT(ADDRESS(12,3+18*3+(14),,,"J1 D - South Bank Avenue")&amp;":"&amp;ADDRESS(130,3+18*3+(14))),'J1 D - South Bank Avenue'!$A$12:$A$130,"&gt;="&amp;Diagram!$O81,'J1 D - South Bank Avenue'!$A$12:$A$130,"&lt;"&amp;Diagram!$P81)))</f>
        <v>0</v>
      </c>
      <c r="EG81" s="42">
        <f t="shared" ca="1" si="18"/>
        <v>0</v>
      </c>
      <c r="EH81" s="42">
        <f ca="1">IF(OR($I$10="",$O81="",$P81="",$J$42&lt;&gt;"Yes"),0,IF($K$10=0,SUMIFS(INDIRECT(ADDRESS(12,3+18*3+(7),,,"J1 A - (North) Bishopthorpe Roa")&amp;":"&amp;ADDRESS(130,3+18*3+(7))),'J1 A - (North) Bishopthorpe Roa'!$A$12:$A$130,"&gt;="&amp;Diagram!$O81,'J1 A - (North) Bishopthorpe Roa'!$A$12:$A$130,"&lt;"&amp;Diagram!$P81),SUMIFS(INDIRECT(ADDRESS(12,3+18*3+(15),,,"J1 A - (North) Bishopthorpe Roa")&amp;":"&amp;ADDRESS(130,3+18*3+(15))),'J1 A - (North) Bishopthorpe Roa'!$A$12:$A$130,"&gt;="&amp;Diagram!$O81,'J1 A - (North) Bishopthorpe Roa'!$A$12:$A$130,"&lt;"&amp;Diagram!$P81)))</f>
        <v>0</v>
      </c>
      <c r="EI81" s="42">
        <f ca="1">IF(OR($I$10="",$O81="",$P81="",$J$42&lt;&gt;"Yes"),0,IF($K$10=0,SUMIFS(INDIRECT(ADDRESS(12,3+18*0+(7),,,"J1 A - (North) Bishopthorpe Roa")&amp;":"&amp;ADDRESS(130,3+18*0+(7))),'J1 A - (North) Bishopthorpe Roa'!$A$12:$A$130,"&gt;="&amp;Diagram!$O81,'J1 A - (North) Bishopthorpe Roa'!$A$12:$A$130,"&lt;"&amp;Diagram!$P81),SUMIFS(INDIRECT(ADDRESS(12,3+18*0+(15),,,"J1 A - (North) Bishopthorpe Roa")&amp;":"&amp;ADDRESS(130,3+18*0+(15))),'J1 A - (North) Bishopthorpe Roa'!$A$12:$A$130,"&gt;="&amp;Diagram!$O81,'J1 A - (North) Bishopthorpe Roa'!$A$12:$A$130,"&lt;"&amp;Diagram!$P81)))</f>
        <v>0</v>
      </c>
      <c r="EJ81" s="42">
        <f ca="1">IF(OR($I$10="",$O81="",$P81="",$J$42&lt;&gt;"Yes"),0,IF($K$10=0,SUMIFS(INDIRECT(ADDRESS(12,3+18*1+(7),,,"J1 A - (North) Bishopthorpe Roa")&amp;":"&amp;ADDRESS(130,3+18*1+(7))),'J1 A - (North) Bishopthorpe Roa'!$A$12:$A$130,"&gt;="&amp;Diagram!$O81,'J1 A - (North) Bishopthorpe Roa'!$A$12:$A$130,"&lt;"&amp;Diagram!$P81),SUMIFS(INDIRECT(ADDRESS(12,3+18*1+(15),,,"J1 A - (North) Bishopthorpe Roa")&amp;":"&amp;ADDRESS(130,3+18*1+(15))),'J1 A - (North) Bishopthorpe Roa'!$A$12:$A$130,"&gt;="&amp;Diagram!$O81,'J1 A - (North) Bishopthorpe Roa'!$A$12:$A$130,"&lt;"&amp;Diagram!$P81)))</f>
        <v>0</v>
      </c>
      <c r="EK81" s="42">
        <f ca="1">IF(OR($I$10="",$O81="",$P81="",$J$42&lt;&gt;"Yes"),0,IF($K$10=0,SUMIFS(INDIRECT(ADDRESS(12,3+18*2+(7),,,"J1 A - (North) Bishopthorpe Roa")&amp;":"&amp;ADDRESS(130,3+18*2+(7))),'J1 A - (North) Bishopthorpe Roa'!$A$12:$A$130,"&gt;="&amp;Diagram!$O81,'J1 A - (North) Bishopthorpe Roa'!$A$12:$A$130,"&lt;"&amp;Diagram!$P81),SUMIFS(INDIRECT(ADDRESS(12,3+18*2+(15),,,"J1 A - (North) Bishopthorpe Roa")&amp;":"&amp;ADDRESS(130,3+18*2+(15))),'J1 A - (North) Bishopthorpe Roa'!$A$12:$A$130,"&gt;="&amp;Diagram!$O81,'J1 A - (North) Bishopthorpe Roa'!$A$12:$A$130,"&lt;"&amp;Diagram!$P81)))</f>
        <v>0</v>
      </c>
      <c r="EL81" s="42">
        <f ca="1">IF(OR($I$10="",$O81="",$P81="",$J$42&lt;&gt;"Yes"),0,IF($K$10=0,SUMIFS(INDIRECT(ADDRESS(12,3+18*2+(7),,,"J1 B - Butcher Terrace")&amp;":"&amp;ADDRESS(130,3+18*2+(7))),'J1 B - Butcher Terrace'!$A$12:$A$130,"&gt;="&amp;Diagram!$O81,'J1 B - Butcher Terrace'!$A$12:$A$130,"&lt;"&amp;Diagram!$P81),SUMIFS(INDIRECT(ADDRESS(12,3+18*2+(15),,,"J1 B - Butcher Terrace")&amp;":"&amp;ADDRESS(130,3+18*2+(15))),'J1 B - Butcher Terrace'!$A$12:$A$130,"&gt;="&amp;Diagram!$O81,'J1 B - Butcher Terrace'!$A$12:$A$130,"&lt;"&amp;Diagram!$P81)))</f>
        <v>0</v>
      </c>
      <c r="EM81" s="42">
        <f ca="1">IF(OR($I$10="",$O81="",$P81="",$J$42&lt;&gt;"Yes"),0,IF($K$10=0,SUMIFS(INDIRECT(ADDRESS(12,3+18*3+(7),,,"J1 B - Butcher Terrace")&amp;":"&amp;ADDRESS(130,3+18*3+(7))),'J1 B - Butcher Terrace'!$A$12:$A$130,"&gt;="&amp;Diagram!$O81,'J1 B - Butcher Terrace'!$A$12:$A$130,"&lt;"&amp;Diagram!$P81),SUMIFS(INDIRECT(ADDRESS(12,3+18*3+(15),,,"J1 B - Butcher Terrace")&amp;":"&amp;ADDRESS(130,3+18*3+(15))),'J1 B - Butcher Terrace'!$A$12:$A$130,"&gt;="&amp;Diagram!$O81,'J1 B - Butcher Terrace'!$A$12:$A$130,"&lt;"&amp;Diagram!$P81)))</f>
        <v>0</v>
      </c>
      <c r="EN81" s="42">
        <f ca="1">IF(OR($I$10="",$O81="",$P81="",$J$42&lt;&gt;"Yes"),0,IF($K$10=0,SUMIFS(INDIRECT(ADDRESS(12,3+18*0+(7),,,"J1 B - Butcher Terrace")&amp;":"&amp;ADDRESS(130,3+18*0+(7))),'J1 B - Butcher Terrace'!$A$12:$A$130,"&gt;="&amp;Diagram!$O81,'J1 B - Butcher Terrace'!$A$12:$A$130,"&lt;"&amp;Diagram!$P81),SUMIFS(INDIRECT(ADDRESS(12,3+18*0+(15),,,"J1 B - Butcher Terrace")&amp;":"&amp;ADDRESS(130,3+18*0+(15))),'J1 B - Butcher Terrace'!$A$12:$A$130,"&gt;="&amp;Diagram!$O81,'J1 B - Butcher Terrace'!$A$12:$A$130,"&lt;"&amp;Diagram!$P81)))</f>
        <v>0</v>
      </c>
      <c r="EO81" s="42">
        <f ca="1">IF(OR($I$10="",$O81="",$P81="",$J$42&lt;&gt;"Yes"),0,IF($K$10=0,SUMIFS(INDIRECT(ADDRESS(12,3+18*1+(7),,,"J1 B - Butcher Terrace")&amp;":"&amp;ADDRESS(130,3+18*1+(7))),'J1 B - Butcher Terrace'!$A$12:$A$130,"&gt;="&amp;Diagram!$O81,'J1 B - Butcher Terrace'!$A$12:$A$130,"&lt;"&amp;Diagram!$P81),SUMIFS(INDIRECT(ADDRESS(12,3+18*1+(15),,,"J1 B - Butcher Terrace")&amp;":"&amp;ADDRESS(130,3+18*1+(15))),'J1 B - Butcher Terrace'!$A$12:$A$130,"&gt;="&amp;Diagram!$O81,'J1 B - Butcher Terrace'!$A$12:$A$130,"&lt;"&amp;Diagram!$P81)))</f>
        <v>0</v>
      </c>
      <c r="EP81" s="42">
        <f ca="1">IF(OR($I$10="",$O81="",$P81="",$J$42&lt;&gt;"Yes"),0,IF($K$10=0,SUMIFS(INDIRECT(ADDRESS(12,3+18*1+(7),,,"J1 C - (South) Bishopthorpe Roa")&amp;":"&amp;ADDRESS(130,3+18*1+(7))),'J1 C - (South) Bishopthorpe Roa'!$A$12:$A$130,"&gt;="&amp;Diagram!$O81,'J1 C - (South) Bishopthorpe Roa'!$A$12:$A$130,"&lt;"&amp;Diagram!$P81),SUMIFS(INDIRECT(ADDRESS(12,3+18*1+(15),,,"J1 C - (South) Bishopthorpe Roa")&amp;":"&amp;ADDRESS(130,3+18*1+(15))),'J1 C - (South) Bishopthorpe Roa'!$A$12:$A$130,"&gt;="&amp;Diagram!$O81,'J1 C - (South) Bishopthorpe Roa'!$A$12:$A$130,"&lt;"&amp;Diagram!$P81)))</f>
        <v>0</v>
      </c>
      <c r="EQ81" s="42">
        <f ca="1">IF(OR($I$10="",$O81="",$P81="",$J$42&lt;&gt;"Yes"),0,IF($K$10=0,SUMIFS(INDIRECT(ADDRESS(12,3+18*2+(7),,,"J1 C - (South) Bishopthorpe Roa")&amp;":"&amp;ADDRESS(130,3+18*2+(7))),'J1 C - (South) Bishopthorpe Roa'!$A$12:$A$130,"&gt;="&amp;Diagram!$O81,'J1 C - (South) Bishopthorpe Roa'!$A$12:$A$130,"&lt;"&amp;Diagram!$P81),SUMIFS(INDIRECT(ADDRESS(12,3+18*2+(15),,,"J1 C - (South) Bishopthorpe Roa")&amp;":"&amp;ADDRESS(130,3+18*2+(15))),'J1 C - (South) Bishopthorpe Roa'!$A$12:$A$130,"&gt;="&amp;Diagram!$O81,'J1 C - (South) Bishopthorpe Roa'!$A$12:$A$130,"&lt;"&amp;Diagram!$P81)))</f>
        <v>0</v>
      </c>
      <c r="ER81" s="42">
        <f ca="1">IF(OR($I$10="",$O81="",$P81="",$J$42&lt;&gt;"Yes"),0,IF($K$10=0,SUMIFS(INDIRECT(ADDRESS(12,3+18*3+(7),,,"J1 C - (South) Bishopthorpe Roa")&amp;":"&amp;ADDRESS(130,3+18*3+(7))),'J1 C - (South) Bishopthorpe Roa'!$A$12:$A$130,"&gt;="&amp;Diagram!$O81,'J1 C - (South) Bishopthorpe Roa'!$A$12:$A$130,"&lt;"&amp;Diagram!$P81),SUMIFS(INDIRECT(ADDRESS(12,3+18*3+(15),,,"J1 C - (South) Bishopthorpe Roa")&amp;":"&amp;ADDRESS(130,3+18*3+(15))),'J1 C - (South) Bishopthorpe Roa'!$A$12:$A$130,"&gt;="&amp;Diagram!$O81,'J1 C - (South) Bishopthorpe Roa'!$A$12:$A$130,"&lt;"&amp;Diagram!$P81)))</f>
        <v>0</v>
      </c>
      <c r="ES81" s="42">
        <f ca="1">IF(OR($I$10="",$O81="",$P81="",$J$42&lt;&gt;"Yes"),0,IF($K$10=0,SUMIFS(INDIRECT(ADDRESS(12,3+18*0+(7),,,"J1 C - (South) Bishopthorpe Roa")&amp;":"&amp;ADDRESS(130,3+18*0+(7))),'J1 C - (South) Bishopthorpe Roa'!$A$12:$A$130,"&gt;="&amp;Diagram!$O81,'J1 C - (South) Bishopthorpe Roa'!$A$12:$A$130,"&lt;"&amp;Diagram!$P81),SUMIFS(INDIRECT(ADDRESS(12,3+18*0+(15),,,"J1 C - (South) Bishopthorpe Roa")&amp;":"&amp;ADDRESS(130,3+18*0+(15))),'J1 C - (South) Bishopthorpe Roa'!$A$12:$A$130,"&gt;="&amp;Diagram!$O81,'J1 C - (South) Bishopthorpe Roa'!$A$12:$A$130,"&lt;"&amp;Diagram!$P81)))</f>
        <v>0</v>
      </c>
      <c r="ET81" s="42">
        <f ca="1">IF(OR($I$10="",$O81="",$P81="",$J$42&lt;&gt;"Yes"),0,IF($K$10=0,SUMIFS(INDIRECT(ADDRESS(12,3+18*0+(7),,,"J1 D - South Bank Avenue")&amp;":"&amp;ADDRESS(130,3+18*0+(7))),'J1 D - South Bank Avenue'!$A$12:$A$130,"&gt;="&amp;Diagram!$O81,'J1 D - South Bank Avenue'!$A$12:$A$130,"&lt;"&amp;Diagram!$P81),SUMIFS(INDIRECT(ADDRESS(12,3+18*0+(15),,,"J1 D - South Bank Avenue")&amp;":"&amp;ADDRESS(130,3+18*0+(15))),'J1 D - South Bank Avenue'!$A$12:$A$130,"&gt;="&amp;Diagram!$O81,'J1 D - South Bank Avenue'!$A$12:$A$130,"&lt;"&amp;Diagram!$P81)))</f>
        <v>0</v>
      </c>
      <c r="EU81" s="42">
        <f ca="1">IF(OR($I$10="",$O81="",$P81="",$J$42&lt;&gt;"Yes"),0,IF($K$10=0,SUMIFS(INDIRECT(ADDRESS(12,3+18*1+(7),,,"J1 D - South Bank Avenue")&amp;":"&amp;ADDRESS(130,3+18*1+(7))),'J1 D - South Bank Avenue'!$A$12:$A$130,"&gt;="&amp;Diagram!$O81,'J1 D - South Bank Avenue'!$A$12:$A$130,"&lt;"&amp;Diagram!$P81),SUMIFS(INDIRECT(ADDRESS(12,3+18*1+(15),,,"J1 D - South Bank Avenue")&amp;":"&amp;ADDRESS(130,3+18*1+(15))),'J1 D - South Bank Avenue'!$A$12:$A$130,"&gt;="&amp;Diagram!$O81,'J1 D - South Bank Avenue'!$A$12:$A$130,"&lt;"&amp;Diagram!$P81)))</f>
        <v>0</v>
      </c>
      <c r="EV81" s="42">
        <f ca="1">IF(OR($I$10="",$O81="",$P81="",$J$42&lt;&gt;"Yes"),0,IF($K$10=0,SUMIFS(INDIRECT(ADDRESS(12,3+18*2+(7),,,"J1 D - South Bank Avenue")&amp;":"&amp;ADDRESS(130,3+18*2+(7))),'J1 D - South Bank Avenue'!$A$12:$A$130,"&gt;="&amp;Diagram!$O81,'J1 D - South Bank Avenue'!$A$12:$A$130,"&lt;"&amp;Diagram!$P81),SUMIFS(INDIRECT(ADDRESS(12,3+18*2+(15),,,"J1 D - South Bank Avenue")&amp;":"&amp;ADDRESS(130,3+18*2+(15))),'J1 D - South Bank Avenue'!$A$12:$A$130,"&gt;="&amp;Diagram!$O81,'J1 D - South Bank Avenue'!$A$12:$A$130,"&lt;"&amp;Diagram!$P81)))</f>
        <v>0</v>
      </c>
      <c r="EW81" s="42">
        <f ca="1">IF(OR($I$10="",$O81="",$P81="",$J$42&lt;&gt;"Yes"),0,IF($K$10=0,SUMIFS(INDIRECT(ADDRESS(12,3+18*3+(7),,,"J1 D - South Bank Avenue")&amp;":"&amp;ADDRESS(130,3+18*3+(7))),'J1 D - South Bank Avenue'!$A$12:$A$130,"&gt;="&amp;Diagram!$O81,'J1 D - South Bank Avenue'!$A$12:$A$130,"&lt;"&amp;Diagram!$P81),SUMIFS(INDIRECT(ADDRESS(12,3+18*3+(15),,,"J1 D - South Bank Avenue")&amp;":"&amp;ADDRESS(130,3+18*3+(15))),'J1 D - South Bank Avenue'!$A$12:$A$130,"&gt;="&amp;Diagram!$O81,'J1 D - South Bank Avenue'!$A$12:$A$130,"&lt;"&amp;Diagram!$P81)))</f>
        <v>0</v>
      </c>
    </row>
    <row r="82" spans="1:153">
      <c r="A82" s="1">
        <v>44395.84375</v>
      </c>
      <c r="B82" s="1">
        <v>44395.854166666701</v>
      </c>
      <c r="O82" s="3">
        <v>44395.84375</v>
      </c>
      <c r="P82" s="3">
        <v>44395.885416666701</v>
      </c>
      <c r="Q82" s="42">
        <f t="shared" ca="1" si="10"/>
        <v>335</v>
      </c>
      <c r="R82" s="42">
        <f t="shared" ca="1" si="11"/>
        <v>251</v>
      </c>
      <c r="S82" s="42">
        <f ca="1">IF(OR($I$10="",$O82="",$P82="",$J$35&lt;&gt;"Yes"),0,IF($K$10=0,SUMIFS(INDIRECT(ADDRESS(12,3+18*3+(0),,,"J1 A - (North) Bishopthorpe Roa")&amp;":"&amp;ADDRESS(130,3+18*3+(0))),'J1 A - (North) Bishopthorpe Roa'!$A$12:$A$130,"&gt;="&amp;Diagram!$O82,'J1 A - (North) Bishopthorpe Roa'!$A$12:$A$130,"&lt;"&amp;Diagram!$P82),SUMIFS(INDIRECT(ADDRESS(12,3+18*3+(8),,,"J1 A - (North) Bishopthorpe Roa")&amp;":"&amp;ADDRESS(130,3+18*3+(8))),'J1 A - (North) Bishopthorpe Roa'!$A$12:$A$130,"&gt;="&amp;Diagram!$O82,'J1 A - (North) Bishopthorpe Roa'!$A$12:$A$130,"&lt;"&amp;Diagram!$P82)))</f>
        <v>0</v>
      </c>
      <c r="T82" s="42">
        <f ca="1">IF(OR($I$10="",$O82="",$P82="",$J$35&lt;&gt;"Yes"),0,IF($K$10=0,SUMIFS(INDIRECT(ADDRESS(12,3+18*0+(0),,,"J1 A - (North) Bishopthorpe Roa")&amp;":"&amp;ADDRESS(130,3+18*0+(0))),'J1 A - (North) Bishopthorpe Roa'!$A$12:$A$130,"&gt;="&amp;Diagram!$O82,'J1 A - (North) Bishopthorpe Roa'!$A$12:$A$130,"&lt;"&amp;Diagram!$P82),SUMIFS(INDIRECT(ADDRESS(12,3+18*0+(8),,,"J1 A - (North) Bishopthorpe Roa")&amp;":"&amp;ADDRESS(130,3+18*0+(8))),'J1 A - (North) Bishopthorpe Roa'!$A$12:$A$130,"&gt;="&amp;Diagram!$O82,'J1 A - (North) Bishopthorpe Roa'!$A$12:$A$130,"&lt;"&amp;Diagram!$P82)))</f>
        <v>9</v>
      </c>
      <c r="U82" s="42">
        <f ca="1">IF(OR($I$10="",$O82="",$P82="",$J$35&lt;&gt;"Yes"),0,IF($K$10=0,SUMIFS(INDIRECT(ADDRESS(12,3+18*1+(0),,,"J1 A - (North) Bishopthorpe Roa")&amp;":"&amp;ADDRESS(130,3+18*1+(0))),'J1 A - (North) Bishopthorpe Roa'!$A$12:$A$130,"&gt;="&amp;Diagram!$O82,'J1 A - (North) Bishopthorpe Roa'!$A$12:$A$130,"&lt;"&amp;Diagram!$P82),SUMIFS(INDIRECT(ADDRESS(12,3+18*1+(8),,,"J1 A - (North) Bishopthorpe Roa")&amp;":"&amp;ADDRESS(130,3+18*1+(8))),'J1 A - (North) Bishopthorpe Roa'!$A$12:$A$130,"&gt;="&amp;Diagram!$O82,'J1 A - (North) Bishopthorpe Roa'!$A$12:$A$130,"&lt;"&amp;Diagram!$P82)))</f>
        <v>101</v>
      </c>
      <c r="V82" s="42">
        <f ca="1">IF(OR($I$10="",$O82="",$P82="",$J$35&lt;&gt;"Yes"),0,IF($K$10=0,SUMIFS(INDIRECT(ADDRESS(12,3+18*2+(0),,,"J1 A - (North) Bishopthorpe Roa")&amp;":"&amp;ADDRESS(130,3+18*2+(0))),'J1 A - (North) Bishopthorpe Roa'!$A$12:$A$130,"&gt;="&amp;Diagram!$O82,'J1 A - (North) Bishopthorpe Roa'!$A$12:$A$130,"&lt;"&amp;Diagram!$P82),SUMIFS(INDIRECT(ADDRESS(12,3+18*2+(8),,,"J1 A - (North) Bishopthorpe Roa")&amp;":"&amp;ADDRESS(130,3+18*2+(8))),'J1 A - (North) Bishopthorpe Roa'!$A$12:$A$130,"&gt;="&amp;Diagram!$O82,'J1 A - (North) Bishopthorpe Roa'!$A$12:$A$130,"&lt;"&amp;Diagram!$P82)))</f>
        <v>17</v>
      </c>
      <c r="W82" s="42">
        <f ca="1">IF(OR($I$10="",$O82="",$P82="",$J$35&lt;&gt;"Yes"),0,IF($K$10=0,SUMIFS(INDIRECT(ADDRESS(12,3+18*2+(0),,,"J1 B - Butcher Terrace")&amp;":"&amp;ADDRESS(130,3+18*2+(0))),'J1 B - Butcher Terrace'!$A$12:$A$130,"&gt;="&amp;Diagram!$O82,'J1 B - Butcher Terrace'!$A$12:$A$130,"&lt;"&amp;Diagram!$P82),SUMIFS(INDIRECT(ADDRESS(12,3+18*2+(8),,,"J1 B - Butcher Terrace")&amp;":"&amp;ADDRESS(130,3+18*2+(8))),'J1 B - Butcher Terrace'!$A$12:$A$130,"&gt;="&amp;Diagram!$O82,'J1 B - Butcher Terrace'!$A$12:$A$130,"&lt;"&amp;Diagram!$P82)))</f>
        <v>8</v>
      </c>
      <c r="X82" s="42">
        <f ca="1">IF(OR($I$10="",$O82="",$P82="",$J$35&lt;&gt;"Yes"),0,IF($K$10=0,SUMIFS(INDIRECT(ADDRESS(12,3+18*3+(0),,,"J1 B - Butcher Terrace")&amp;":"&amp;ADDRESS(130,3+18*3+(0))),'J1 B - Butcher Terrace'!$A$12:$A$130,"&gt;="&amp;Diagram!$O82,'J1 B - Butcher Terrace'!$A$12:$A$130,"&lt;"&amp;Diagram!$P82),SUMIFS(INDIRECT(ADDRESS(12,3+18*3+(8),,,"J1 B - Butcher Terrace")&amp;":"&amp;ADDRESS(130,3+18*3+(8))),'J1 B - Butcher Terrace'!$A$12:$A$130,"&gt;="&amp;Diagram!$O82,'J1 B - Butcher Terrace'!$A$12:$A$130,"&lt;"&amp;Diagram!$P82)))</f>
        <v>0</v>
      </c>
      <c r="Y82" s="42">
        <f ca="1">IF(OR($I$10="",$O82="",$P82="",$J$35&lt;&gt;"Yes"),0,IF($K$10=0,SUMIFS(INDIRECT(ADDRESS(12,3+18*0+(0),,,"J1 B - Butcher Terrace")&amp;":"&amp;ADDRESS(130,3+18*0+(0))),'J1 B - Butcher Terrace'!$A$12:$A$130,"&gt;="&amp;Diagram!$O82,'J1 B - Butcher Terrace'!$A$12:$A$130,"&lt;"&amp;Diagram!$P82),SUMIFS(INDIRECT(ADDRESS(12,3+18*0+(8),,,"J1 B - Butcher Terrace")&amp;":"&amp;ADDRESS(130,3+18*0+(8))),'J1 B - Butcher Terrace'!$A$12:$A$130,"&gt;="&amp;Diagram!$O82,'J1 B - Butcher Terrace'!$A$12:$A$130,"&lt;"&amp;Diagram!$P82)))</f>
        <v>5</v>
      </c>
      <c r="Z82" s="42">
        <f ca="1">IF(OR($I$10="",$O82="",$P82="",$J$35&lt;&gt;"Yes"),0,IF($K$10=0,SUMIFS(INDIRECT(ADDRESS(12,3+18*1+(0),,,"J1 B - Butcher Terrace")&amp;":"&amp;ADDRESS(130,3+18*1+(0))),'J1 B - Butcher Terrace'!$A$12:$A$130,"&gt;="&amp;Diagram!$O82,'J1 B - Butcher Terrace'!$A$12:$A$130,"&lt;"&amp;Diagram!$P82),SUMIFS(INDIRECT(ADDRESS(12,3+18*1+(8),,,"J1 B - Butcher Terrace")&amp;":"&amp;ADDRESS(130,3+18*1+(8))),'J1 B - Butcher Terrace'!$A$12:$A$130,"&gt;="&amp;Diagram!$O82,'J1 B - Butcher Terrace'!$A$12:$A$130,"&lt;"&amp;Diagram!$P82)))</f>
        <v>0</v>
      </c>
      <c r="AA82" s="42">
        <f ca="1">IF(OR($I$10="",$O82="",$P82="",$J$35&lt;&gt;"Yes"),0,IF($K$10=0,SUMIFS(INDIRECT(ADDRESS(12,3+18*1+(0),,,"J1 C - (South) Bishopthorpe Roa")&amp;":"&amp;ADDRESS(130,3+18*1+(0))),'J1 C - (South) Bishopthorpe Roa'!$A$12:$A$130,"&gt;="&amp;Diagram!$O82,'J1 C - (South) Bishopthorpe Roa'!$A$12:$A$130,"&lt;"&amp;Diagram!$P82),SUMIFS(INDIRECT(ADDRESS(12,3+18*1+(8),,,"J1 C - (South) Bishopthorpe Roa")&amp;":"&amp;ADDRESS(130,3+18*1+(8))),'J1 C - (South) Bishopthorpe Roa'!$A$12:$A$130,"&gt;="&amp;Diagram!$O82,'J1 C - (South) Bishopthorpe Roa'!$A$12:$A$130,"&lt;"&amp;Diagram!$P82)))</f>
        <v>90</v>
      </c>
      <c r="AB82" s="42">
        <f ca="1">IF(OR($I$10="",$O82="",$P82="",$J$35&lt;&gt;"Yes"),0,IF($K$10=0,SUMIFS(INDIRECT(ADDRESS(12,3+18*2+(0),,,"J1 C - (South) Bishopthorpe Roa")&amp;":"&amp;ADDRESS(130,3+18*2+(0))),'J1 C - (South) Bishopthorpe Roa'!$A$12:$A$130,"&gt;="&amp;Diagram!$O82,'J1 C - (South) Bishopthorpe Roa'!$A$12:$A$130,"&lt;"&amp;Diagram!$P82),SUMIFS(INDIRECT(ADDRESS(12,3+18*2+(8),,,"J1 C - (South) Bishopthorpe Roa")&amp;":"&amp;ADDRESS(130,3+18*2+(8))),'J1 C - (South) Bishopthorpe Roa'!$A$12:$A$130,"&gt;="&amp;Diagram!$O82,'J1 C - (South) Bishopthorpe Roa'!$A$12:$A$130,"&lt;"&amp;Diagram!$P82)))</f>
        <v>6</v>
      </c>
      <c r="AC82" s="42">
        <f ca="1">IF(OR($I$10="",$O82="",$P82="",$J$35&lt;&gt;"Yes"),0,IF($K$10=0,SUMIFS(INDIRECT(ADDRESS(12,3+18*3+(0),,,"J1 C - (South) Bishopthorpe Roa")&amp;":"&amp;ADDRESS(130,3+18*3+(0))),'J1 C - (South) Bishopthorpe Roa'!$A$12:$A$130,"&gt;="&amp;Diagram!$O82,'J1 C - (South) Bishopthorpe Roa'!$A$12:$A$130,"&lt;"&amp;Diagram!$P82),SUMIFS(INDIRECT(ADDRESS(12,3+18*3+(8),,,"J1 C - (South) Bishopthorpe Roa")&amp;":"&amp;ADDRESS(130,3+18*3+(8))),'J1 C - (South) Bishopthorpe Roa'!$A$12:$A$130,"&gt;="&amp;Diagram!$O82,'J1 C - (South) Bishopthorpe Roa'!$A$12:$A$130,"&lt;"&amp;Diagram!$P82)))</f>
        <v>0</v>
      </c>
      <c r="AD82" s="42">
        <f ca="1">IF(OR($I$10="",$O82="",$P82="",$J$35&lt;&gt;"Yes"),0,IF($K$10=0,SUMIFS(INDIRECT(ADDRESS(12,3+18*0+(0),,,"J1 C - (South) Bishopthorpe Roa")&amp;":"&amp;ADDRESS(130,3+18*0+(0))),'J1 C - (South) Bishopthorpe Roa'!$A$12:$A$130,"&gt;="&amp;Diagram!$O82,'J1 C - (South) Bishopthorpe Roa'!$A$12:$A$130,"&lt;"&amp;Diagram!$P82),SUMIFS(INDIRECT(ADDRESS(12,3+18*0+(8),,,"J1 C - (South) Bishopthorpe Roa")&amp;":"&amp;ADDRESS(130,3+18*0+(8))),'J1 C - (South) Bishopthorpe Roa'!$A$12:$A$130,"&gt;="&amp;Diagram!$O82,'J1 C - (South) Bishopthorpe Roa'!$A$12:$A$130,"&lt;"&amp;Diagram!$P82)))</f>
        <v>2</v>
      </c>
      <c r="AE82" s="42">
        <f ca="1">IF(OR($I$10="",$O82="",$P82="",$J$35&lt;&gt;"Yes"),0,IF($K$10=0,SUMIFS(INDIRECT(ADDRESS(12,3+18*0+(0),,,"J1 D - South Bank Avenue")&amp;":"&amp;ADDRESS(130,3+18*0+(0))),'J1 D - South Bank Avenue'!$A$12:$A$130,"&gt;="&amp;Diagram!$O82,'J1 D - South Bank Avenue'!$A$12:$A$130,"&lt;"&amp;Diagram!$P82),SUMIFS(INDIRECT(ADDRESS(12,3+18*0+(8),,,"J1 D - South Bank Avenue")&amp;":"&amp;ADDRESS(130,3+18*0+(8))),'J1 D - South Bank Avenue'!$A$12:$A$130,"&gt;="&amp;Diagram!$O82,'J1 D - South Bank Avenue'!$A$12:$A$130,"&lt;"&amp;Diagram!$P82)))</f>
        <v>12</v>
      </c>
      <c r="AF82" s="42">
        <f ca="1">IF(OR($I$10="",$O82="",$P82="",$J$35&lt;&gt;"Yes"),0,IF($K$10=0,SUMIFS(INDIRECT(ADDRESS(12,3+18*1+(0),,,"J1 D - South Bank Avenue")&amp;":"&amp;ADDRESS(130,3+18*1+(0))),'J1 D - South Bank Avenue'!$A$12:$A$130,"&gt;="&amp;Diagram!$O82,'J1 D - South Bank Avenue'!$A$12:$A$130,"&lt;"&amp;Diagram!$P82),SUMIFS(INDIRECT(ADDRESS(12,3+18*1+(8),,,"J1 D - South Bank Avenue")&amp;":"&amp;ADDRESS(130,3+18*1+(8))),'J1 D - South Bank Avenue'!$A$12:$A$130,"&gt;="&amp;Diagram!$O82,'J1 D - South Bank Avenue'!$A$12:$A$130,"&lt;"&amp;Diagram!$P82)))</f>
        <v>0</v>
      </c>
      <c r="AG82" s="42">
        <f ca="1">IF(OR($I$10="",$O82="",$P82="",$J$35&lt;&gt;"Yes"),0,IF($K$10=0,SUMIFS(INDIRECT(ADDRESS(12,3+18*2+(0),,,"J1 D - South Bank Avenue")&amp;":"&amp;ADDRESS(130,3+18*2+(0))),'J1 D - South Bank Avenue'!$A$12:$A$130,"&gt;="&amp;Diagram!$O82,'J1 D - South Bank Avenue'!$A$12:$A$130,"&lt;"&amp;Diagram!$P82),SUMIFS(INDIRECT(ADDRESS(12,3+18*2+(8),,,"J1 D - South Bank Avenue")&amp;":"&amp;ADDRESS(130,3+18*2+(8))),'J1 D - South Bank Avenue'!$A$12:$A$130,"&gt;="&amp;Diagram!$O82,'J1 D - South Bank Avenue'!$A$12:$A$130,"&lt;"&amp;Diagram!$P82)))</f>
        <v>1</v>
      </c>
      <c r="AH82" s="42">
        <f ca="1">IF(OR($I$10="",$O82="",$P82="",$J$35&lt;&gt;"Yes"),0,IF($K$10=0,SUMIFS(INDIRECT(ADDRESS(12,3+18*3+(0),,,"J1 D - South Bank Avenue")&amp;":"&amp;ADDRESS(130,3+18*3+(0))),'J1 D - South Bank Avenue'!$A$12:$A$130,"&gt;="&amp;Diagram!$O82,'J1 D - South Bank Avenue'!$A$12:$A$130,"&lt;"&amp;Diagram!$P82),SUMIFS(INDIRECT(ADDRESS(12,3+18*3+(8),,,"J1 D - South Bank Avenue")&amp;":"&amp;ADDRESS(130,3+18*3+(8))),'J1 D - South Bank Avenue'!$A$12:$A$130,"&gt;="&amp;Diagram!$O82,'J1 D - South Bank Avenue'!$A$12:$A$130,"&lt;"&amp;Diagram!$P82)))</f>
        <v>0</v>
      </c>
      <c r="AI82" s="42">
        <f t="shared" ca="1" si="12"/>
        <v>17</v>
      </c>
      <c r="AJ82" s="42">
        <f ca="1">IF(OR($I$10="",$O82="",$P82="",$J$36&lt;&gt;"Yes"),0,IF($K$10=0,SUMIFS(INDIRECT(ADDRESS(12,3+18*3+(1),,,"J1 A - (North) Bishopthorpe Roa")&amp;":"&amp;ADDRESS(130,3+18*3+(1))),'J1 A - (North) Bishopthorpe Roa'!$A$12:$A$130,"&gt;="&amp;Diagram!$O82,'J1 A - (North) Bishopthorpe Roa'!$A$12:$A$130,"&lt;"&amp;Diagram!$P82),SUMIFS(INDIRECT(ADDRESS(12,3+18*3+(9),,,"J1 A - (North) Bishopthorpe Roa")&amp;":"&amp;ADDRESS(130,3+18*3+(9))),'J1 A - (North) Bishopthorpe Roa'!$A$12:$A$130,"&gt;="&amp;Diagram!$O82,'J1 A - (North) Bishopthorpe Roa'!$A$12:$A$130,"&lt;"&amp;Diagram!$P82)))</f>
        <v>0</v>
      </c>
      <c r="AK82" s="42">
        <f ca="1">IF(OR($I$10="",$O82="",$P82="",$J$36&lt;&gt;"Yes"),0,IF($K$10=0,SUMIFS(INDIRECT(ADDRESS(12,3+18*0+(1),,,"J1 A - (North) Bishopthorpe Roa")&amp;":"&amp;ADDRESS(130,3+18*0+(1))),'J1 A - (North) Bishopthorpe Roa'!$A$12:$A$130,"&gt;="&amp;Diagram!$O82,'J1 A - (North) Bishopthorpe Roa'!$A$12:$A$130,"&lt;"&amp;Diagram!$P82),SUMIFS(INDIRECT(ADDRESS(12,3+18*0+(9),,,"J1 A - (North) Bishopthorpe Roa")&amp;":"&amp;ADDRESS(130,3+18*0+(9))),'J1 A - (North) Bishopthorpe Roa'!$A$12:$A$130,"&gt;="&amp;Diagram!$O82,'J1 A - (North) Bishopthorpe Roa'!$A$12:$A$130,"&lt;"&amp;Diagram!$P82)))</f>
        <v>0</v>
      </c>
      <c r="AL82" s="42">
        <f ca="1">IF(OR($I$10="",$O82="",$P82="",$J$36&lt;&gt;"Yes"),0,IF($K$10=0,SUMIFS(INDIRECT(ADDRESS(12,3+18*1+(1),,,"J1 A - (North) Bishopthorpe Roa")&amp;":"&amp;ADDRESS(130,3+18*1+(1))),'J1 A - (North) Bishopthorpe Roa'!$A$12:$A$130,"&gt;="&amp;Diagram!$O82,'J1 A - (North) Bishopthorpe Roa'!$A$12:$A$130,"&lt;"&amp;Diagram!$P82),SUMIFS(INDIRECT(ADDRESS(12,3+18*1+(9),,,"J1 A - (North) Bishopthorpe Roa")&amp;":"&amp;ADDRESS(130,3+18*1+(9))),'J1 A - (North) Bishopthorpe Roa'!$A$12:$A$130,"&gt;="&amp;Diagram!$O82,'J1 A - (North) Bishopthorpe Roa'!$A$12:$A$130,"&lt;"&amp;Diagram!$P82)))</f>
        <v>5</v>
      </c>
      <c r="AM82" s="42">
        <f ca="1">IF(OR($I$10="",$O82="",$P82="",$J$36&lt;&gt;"Yes"),0,IF($K$10=0,SUMIFS(INDIRECT(ADDRESS(12,3+18*2+(1),,,"J1 A - (North) Bishopthorpe Roa")&amp;":"&amp;ADDRESS(130,3+18*2+(1))),'J1 A - (North) Bishopthorpe Roa'!$A$12:$A$130,"&gt;="&amp;Diagram!$O82,'J1 A - (North) Bishopthorpe Roa'!$A$12:$A$130,"&lt;"&amp;Diagram!$P82),SUMIFS(INDIRECT(ADDRESS(12,3+18*2+(9),,,"J1 A - (North) Bishopthorpe Roa")&amp;":"&amp;ADDRESS(130,3+18*2+(9))),'J1 A - (North) Bishopthorpe Roa'!$A$12:$A$130,"&gt;="&amp;Diagram!$O82,'J1 A - (North) Bishopthorpe Roa'!$A$12:$A$130,"&lt;"&amp;Diagram!$P82)))</f>
        <v>2</v>
      </c>
      <c r="AN82" s="42">
        <f ca="1">IF(OR($I$10="",$O82="",$P82="",$J$36&lt;&gt;"Yes"),0,IF($K$10=0,SUMIFS(INDIRECT(ADDRESS(12,3+18*2+(1),,,"J1 B - Butcher Terrace")&amp;":"&amp;ADDRESS(130,3+18*2+(1))),'J1 B - Butcher Terrace'!$A$12:$A$130,"&gt;="&amp;Diagram!$O82,'J1 B - Butcher Terrace'!$A$12:$A$130,"&lt;"&amp;Diagram!$P82),SUMIFS(INDIRECT(ADDRESS(12,3+18*2+(9),,,"J1 B - Butcher Terrace")&amp;":"&amp;ADDRESS(130,3+18*2+(9))),'J1 B - Butcher Terrace'!$A$12:$A$130,"&gt;="&amp;Diagram!$O82,'J1 B - Butcher Terrace'!$A$12:$A$130,"&lt;"&amp;Diagram!$P82)))</f>
        <v>0</v>
      </c>
      <c r="AO82" s="42">
        <f ca="1">IF(OR($I$10="",$O82="",$P82="",$J$36&lt;&gt;"Yes"),0,IF($K$10=0,SUMIFS(INDIRECT(ADDRESS(12,3+18*3+(1),,,"J1 B - Butcher Terrace")&amp;":"&amp;ADDRESS(130,3+18*3+(1))),'J1 B - Butcher Terrace'!$A$12:$A$130,"&gt;="&amp;Diagram!$O82,'J1 B - Butcher Terrace'!$A$12:$A$130,"&lt;"&amp;Diagram!$P82),SUMIFS(INDIRECT(ADDRESS(12,3+18*3+(9),,,"J1 B - Butcher Terrace")&amp;":"&amp;ADDRESS(130,3+18*3+(9))),'J1 B - Butcher Terrace'!$A$12:$A$130,"&gt;="&amp;Diagram!$O82,'J1 B - Butcher Terrace'!$A$12:$A$130,"&lt;"&amp;Diagram!$P82)))</f>
        <v>0</v>
      </c>
      <c r="AP82" s="42">
        <f ca="1">IF(OR($I$10="",$O82="",$P82="",$J$36&lt;&gt;"Yes"),0,IF($K$10=0,SUMIFS(INDIRECT(ADDRESS(12,3+18*0+(1),,,"J1 B - Butcher Terrace")&amp;":"&amp;ADDRESS(130,3+18*0+(1))),'J1 B - Butcher Terrace'!$A$12:$A$130,"&gt;="&amp;Diagram!$O82,'J1 B - Butcher Terrace'!$A$12:$A$130,"&lt;"&amp;Diagram!$P82),SUMIFS(INDIRECT(ADDRESS(12,3+18*0+(9),,,"J1 B - Butcher Terrace")&amp;":"&amp;ADDRESS(130,3+18*0+(9))),'J1 B - Butcher Terrace'!$A$12:$A$130,"&gt;="&amp;Diagram!$O82,'J1 B - Butcher Terrace'!$A$12:$A$130,"&lt;"&amp;Diagram!$P82)))</f>
        <v>0</v>
      </c>
      <c r="AQ82" s="42">
        <f ca="1">IF(OR($I$10="",$O82="",$P82="",$J$36&lt;&gt;"Yes"),0,IF($K$10=0,SUMIFS(INDIRECT(ADDRESS(12,3+18*1+(1),,,"J1 B - Butcher Terrace")&amp;":"&amp;ADDRESS(130,3+18*1+(1))),'J1 B - Butcher Terrace'!$A$12:$A$130,"&gt;="&amp;Diagram!$O82,'J1 B - Butcher Terrace'!$A$12:$A$130,"&lt;"&amp;Diagram!$P82),SUMIFS(INDIRECT(ADDRESS(12,3+18*1+(9),,,"J1 B - Butcher Terrace")&amp;":"&amp;ADDRESS(130,3+18*1+(9))),'J1 B - Butcher Terrace'!$A$12:$A$130,"&gt;="&amp;Diagram!$O82,'J1 B - Butcher Terrace'!$A$12:$A$130,"&lt;"&amp;Diagram!$P82)))</f>
        <v>0</v>
      </c>
      <c r="AR82" s="42">
        <f ca="1">IF(OR($I$10="",$O82="",$P82="",$J$36&lt;&gt;"Yes"),0,IF($K$10=0,SUMIFS(INDIRECT(ADDRESS(12,3+18*1+(1),,,"J1 C - (South) Bishopthorpe Roa")&amp;":"&amp;ADDRESS(130,3+18*1+(1))),'J1 C - (South) Bishopthorpe Roa'!$A$12:$A$130,"&gt;="&amp;Diagram!$O82,'J1 C - (South) Bishopthorpe Roa'!$A$12:$A$130,"&lt;"&amp;Diagram!$P82),SUMIFS(INDIRECT(ADDRESS(12,3+18*1+(9),,,"J1 C - (South) Bishopthorpe Roa")&amp;":"&amp;ADDRESS(130,3+18*1+(9))),'J1 C - (South) Bishopthorpe Roa'!$A$12:$A$130,"&gt;="&amp;Diagram!$O82,'J1 C - (South) Bishopthorpe Roa'!$A$12:$A$130,"&lt;"&amp;Diagram!$P82)))</f>
        <v>8</v>
      </c>
      <c r="AS82" s="42">
        <f ca="1">IF(OR($I$10="",$O82="",$P82="",$J$36&lt;&gt;"Yes"),0,IF($K$10=0,SUMIFS(INDIRECT(ADDRESS(12,3+18*2+(1),,,"J1 C - (South) Bishopthorpe Roa")&amp;":"&amp;ADDRESS(130,3+18*2+(1))),'J1 C - (South) Bishopthorpe Roa'!$A$12:$A$130,"&gt;="&amp;Diagram!$O82,'J1 C - (South) Bishopthorpe Roa'!$A$12:$A$130,"&lt;"&amp;Diagram!$P82),SUMIFS(INDIRECT(ADDRESS(12,3+18*2+(9),,,"J1 C - (South) Bishopthorpe Roa")&amp;":"&amp;ADDRESS(130,3+18*2+(9))),'J1 C - (South) Bishopthorpe Roa'!$A$12:$A$130,"&gt;="&amp;Diagram!$O82,'J1 C - (South) Bishopthorpe Roa'!$A$12:$A$130,"&lt;"&amp;Diagram!$P82)))</f>
        <v>0</v>
      </c>
      <c r="AT82" s="42">
        <f ca="1">IF(OR($I$10="",$O82="",$P82="",$J$36&lt;&gt;"Yes"),0,IF($K$10=0,SUMIFS(INDIRECT(ADDRESS(12,3+18*3+(1),,,"J1 C - (South) Bishopthorpe Roa")&amp;":"&amp;ADDRESS(130,3+18*3+(1))),'J1 C - (South) Bishopthorpe Roa'!$A$12:$A$130,"&gt;="&amp;Diagram!$O82,'J1 C - (South) Bishopthorpe Roa'!$A$12:$A$130,"&lt;"&amp;Diagram!$P82),SUMIFS(INDIRECT(ADDRESS(12,3+18*3+(9),,,"J1 C - (South) Bishopthorpe Roa")&amp;":"&amp;ADDRESS(130,3+18*3+(9))),'J1 C - (South) Bishopthorpe Roa'!$A$12:$A$130,"&gt;="&amp;Diagram!$O82,'J1 C - (South) Bishopthorpe Roa'!$A$12:$A$130,"&lt;"&amp;Diagram!$P82)))</f>
        <v>0</v>
      </c>
      <c r="AU82" s="42">
        <f ca="1">IF(OR($I$10="",$O82="",$P82="",$J$36&lt;&gt;"Yes"),0,IF($K$10=0,SUMIFS(INDIRECT(ADDRESS(12,3+18*0+(1),,,"J1 C - (South) Bishopthorpe Roa")&amp;":"&amp;ADDRESS(130,3+18*0+(1))),'J1 C - (South) Bishopthorpe Roa'!$A$12:$A$130,"&gt;="&amp;Diagram!$O82,'J1 C - (South) Bishopthorpe Roa'!$A$12:$A$130,"&lt;"&amp;Diagram!$P82),SUMIFS(INDIRECT(ADDRESS(12,3+18*0+(9),,,"J1 C - (South) Bishopthorpe Roa")&amp;":"&amp;ADDRESS(130,3+18*0+(9))),'J1 C - (South) Bishopthorpe Roa'!$A$12:$A$130,"&gt;="&amp;Diagram!$O82,'J1 C - (South) Bishopthorpe Roa'!$A$12:$A$130,"&lt;"&amp;Diagram!$P82)))</f>
        <v>1</v>
      </c>
      <c r="AV82" s="42">
        <f ca="1">IF(OR($I$10="",$O82="",$P82="",$J$36&lt;&gt;"Yes"),0,IF($K$10=0,SUMIFS(INDIRECT(ADDRESS(12,3+18*0+(1),,,"J1 D - South Bank Avenue")&amp;":"&amp;ADDRESS(130,3+18*0+(1))),'J1 D - South Bank Avenue'!$A$12:$A$130,"&gt;="&amp;Diagram!$O82,'J1 D - South Bank Avenue'!$A$12:$A$130,"&lt;"&amp;Diagram!$P82),SUMIFS(INDIRECT(ADDRESS(12,3+18*0+(9),,,"J1 D - South Bank Avenue")&amp;":"&amp;ADDRESS(130,3+18*0+(9))),'J1 D - South Bank Avenue'!$A$12:$A$130,"&gt;="&amp;Diagram!$O82,'J1 D - South Bank Avenue'!$A$12:$A$130,"&lt;"&amp;Diagram!$P82)))</f>
        <v>1</v>
      </c>
      <c r="AW82" s="42">
        <f ca="1">IF(OR($I$10="",$O82="",$P82="",$J$36&lt;&gt;"Yes"),0,IF($K$10=0,SUMIFS(INDIRECT(ADDRESS(12,3+18*1+(1),,,"J1 D - South Bank Avenue")&amp;":"&amp;ADDRESS(130,3+18*1+(1))),'J1 D - South Bank Avenue'!$A$12:$A$130,"&gt;="&amp;Diagram!$O82,'J1 D - South Bank Avenue'!$A$12:$A$130,"&lt;"&amp;Diagram!$P82),SUMIFS(INDIRECT(ADDRESS(12,3+18*1+(9),,,"J1 D - South Bank Avenue")&amp;":"&amp;ADDRESS(130,3+18*1+(9))),'J1 D - South Bank Avenue'!$A$12:$A$130,"&gt;="&amp;Diagram!$O82,'J1 D - South Bank Avenue'!$A$12:$A$130,"&lt;"&amp;Diagram!$P82)))</f>
        <v>0</v>
      </c>
      <c r="AX82" s="42">
        <f ca="1">IF(OR($I$10="",$O82="",$P82="",$J$36&lt;&gt;"Yes"),0,IF($K$10=0,SUMIFS(INDIRECT(ADDRESS(12,3+18*2+(1),,,"J1 D - South Bank Avenue")&amp;":"&amp;ADDRESS(130,3+18*2+(1))),'J1 D - South Bank Avenue'!$A$12:$A$130,"&gt;="&amp;Diagram!$O82,'J1 D - South Bank Avenue'!$A$12:$A$130,"&lt;"&amp;Diagram!$P82),SUMIFS(INDIRECT(ADDRESS(12,3+18*2+(9),,,"J1 D - South Bank Avenue")&amp;":"&amp;ADDRESS(130,3+18*2+(9))),'J1 D - South Bank Avenue'!$A$12:$A$130,"&gt;="&amp;Diagram!$O82,'J1 D - South Bank Avenue'!$A$12:$A$130,"&lt;"&amp;Diagram!$P82)))</f>
        <v>0</v>
      </c>
      <c r="AY82" s="42">
        <f ca="1">IF(OR($I$10="",$O82="",$P82="",$J$36&lt;&gt;"Yes"),0,IF($K$10=0,SUMIFS(INDIRECT(ADDRESS(12,3+18*3+(1),,,"J1 D - South Bank Avenue")&amp;":"&amp;ADDRESS(130,3+18*3+(1))),'J1 D - South Bank Avenue'!$A$12:$A$130,"&gt;="&amp;Diagram!$O82,'J1 D - South Bank Avenue'!$A$12:$A$130,"&lt;"&amp;Diagram!$P82),SUMIFS(INDIRECT(ADDRESS(12,3+18*3+(9),,,"J1 D - South Bank Avenue")&amp;":"&amp;ADDRESS(130,3+18*3+(9))),'J1 D - South Bank Avenue'!$A$12:$A$130,"&gt;="&amp;Diagram!$O82,'J1 D - South Bank Avenue'!$A$12:$A$130,"&lt;"&amp;Diagram!$P82)))</f>
        <v>0</v>
      </c>
      <c r="AZ82" s="42">
        <f t="shared" ca="1" si="13"/>
        <v>2</v>
      </c>
      <c r="BA82" s="42">
        <f ca="1">IF(OR($I$10="",$O82="",$P82="",$J$37&lt;&gt;"Yes"),0,IF($K$10=0,SUMIFS(INDIRECT(ADDRESS(12,3+18*3+(2),,,"J1 A - (North) Bishopthorpe Roa")&amp;":"&amp;ADDRESS(130,3+18*3+(2))),'J1 A - (North) Bishopthorpe Roa'!$A$12:$A$130,"&gt;="&amp;Diagram!$O82,'J1 A - (North) Bishopthorpe Roa'!$A$12:$A$130,"&lt;"&amp;Diagram!$P82),SUMIFS(INDIRECT(ADDRESS(12,3+18*3+(10),,,"J1 A - (North) Bishopthorpe Roa")&amp;":"&amp;ADDRESS(130,3+18*3+(10))),'J1 A - (North) Bishopthorpe Roa'!$A$12:$A$130,"&gt;="&amp;Diagram!$O82,'J1 A - (North) Bishopthorpe Roa'!$A$12:$A$130,"&lt;"&amp;Diagram!$P82)))</f>
        <v>0</v>
      </c>
      <c r="BB82" s="42">
        <f ca="1">IF(OR($I$10="",$O82="",$P82="",$J$37&lt;&gt;"Yes"),0,IF($K$10=0,SUMIFS(INDIRECT(ADDRESS(12,3+18*0+(2),,,"J1 A - (North) Bishopthorpe Roa")&amp;":"&amp;ADDRESS(130,3+18*0+(2))),'J1 A - (North) Bishopthorpe Roa'!$A$12:$A$130,"&gt;="&amp;Diagram!$O82,'J1 A - (North) Bishopthorpe Roa'!$A$12:$A$130,"&lt;"&amp;Diagram!$P82),SUMIFS(INDIRECT(ADDRESS(12,3+18*0+(10),,,"J1 A - (North) Bishopthorpe Roa")&amp;":"&amp;ADDRESS(130,3+18*0+(10))),'J1 A - (North) Bishopthorpe Roa'!$A$12:$A$130,"&gt;="&amp;Diagram!$O82,'J1 A - (North) Bishopthorpe Roa'!$A$12:$A$130,"&lt;"&amp;Diagram!$P82)))</f>
        <v>0</v>
      </c>
      <c r="BC82" s="42">
        <f ca="1">IF(OR($I$10="",$O82="",$P82="",$J$37&lt;&gt;"Yes"),0,IF($K$10=0,SUMIFS(INDIRECT(ADDRESS(12,3+18*1+(2),,,"J1 A - (North) Bishopthorpe Roa")&amp;":"&amp;ADDRESS(130,3+18*1+(2))),'J1 A - (North) Bishopthorpe Roa'!$A$12:$A$130,"&gt;="&amp;Diagram!$O82,'J1 A - (North) Bishopthorpe Roa'!$A$12:$A$130,"&lt;"&amp;Diagram!$P82),SUMIFS(INDIRECT(ADDRESS(12,3+18*1+(10),,,"J1 A - (North) Bishopthorpe Roa")&amp;":"&amp;ADDRESS(130,3+18*1+(10))),'J1 A - (North) Bishopthorpe Roa'!$A$12:$A$130,"&gt;="&amp;Diagram!$O82,'J1 A - (North) Bishopthorpe Roa'!$A$12:$A$130,"&lt;"&amp;Diagram!$P82)))</f>
        <v>0</v>
      </c>
      <c r="BD82" s="42">
        <f ca="1">IF(OR($I$10="",$O82="",$P82="",$J$37&lt;&gt;"Yes"),0,IF($K$10=0,SUMIFS(INDIRECT(ADDRESS(12,3+18*2+(2),,,"J1 A - (North) Bishopthorpe Roa")&amp;":"&amp;ADDRESS(130,3+18*2+(2))),'J1 A - (North) Bishopthorpe Roa'!$A$12:$A$130,"&gt;="&amp;Diagram!$O82,'J1 A - (North) Bishopthorpe Roa'!$A$12:$A$130,"&lt;"&amp;Diagram!$P82),SUMIFS(INDIRECT(ADDRESS(12,3+18*2+(10),,,"J1 A - (North) Bishopthorpe Roa")&amp;":"&amp;ADDRESS(130,3+18*2+(10))),'J1 A - (North) Bishopthorpe Roa'!$A$12:$A$130,"&gt;="&amp;Diagram!$O82,'J1 A - (North) Bishopthorpe Roa'!$A$12:$A$130,"&lt;"&amp;Diagram!$P82)))</f>
        <v>0</v>
      </c>
      <c r="BE82" s="42">
        <f ca="1">IF(OR($I$10="",$O82="",$P82="",$J$37&lt;&gt;"Yes"),0,IF($K$10=0,SUMIFS(INDIRECT(ADDRESS(12,3+18*2+(2),,,"J1 B - Butcher Terrace")&amp;":"&amp;ADDRESS(130,3+18*2+(2))),'J1 B - Butcher Terrace'!$A$12:$A$130,"&gt;="&amp;Diagram!$O82,'J1 B - Butcher Terrace'!$A$12:$A$130,"&lt;"&amp;Diagram!$P82),SUMIFS(INDIRECT(ADDRESS(12,3+18*2+(10),,,"J1 B - Butcher Terrace")&amp;":"&amp;ADDRESS(130,3+18*2+(10))),'J1 B - Butcher Terrace'!$A$12:$A$130,"&gt;="&amp;Diagram!$O82,'J1 B - Butcher Terrace'!$A$12:$A$130,"&lt;"&amp;Diagram!$P82)))</f>
        <v>0</v>
      </c>
      <c r="BF82" s="42">
        <f ca="1">IF(OR($I$10="",$O82="",$P82="",$J$37&lt;&gt;"Yes"),0,IF($K$10=0,SUMIFS(INDIRECT(ADDRESS(12,3+18*3+(2),,,"J1 B - Butcher Terrace")&amp;":"&amp;ADDRESS(130,3+18*3+(2))),'J1 B - Butcher Terrace'!$A$12:$A$130,"&gt;="&amp;Diagram!$O82,'J1 B - Butcher Terrace'!$A$12:$A$130,"&lt;"&amp;Diagram!$P82),SUMIFS(INDIRECT(ADDRESS(12,3+18*3+(10),,,"J1 B - Butcher Terrace")&amp;":"&amp;ADDRESS(130,3+18*3+(10))),'J1 B - Butcher Terrace'!$A$12:$A$130,"&gt;="&amp;Diagram!$O82,'J1 B - Butcher Terrace'!$A$12:$A$130,"&lt;"&amp;Diagram!$P82)))</f>
        <v>0</v>
      </c>
      <c r="BG82" s="42">
        <f ca="1">IF(OR($I$10="",$O82="",$P82="",$J$37&lt;&gt;"Yes"),0,IF($K$10=0,SUMIFS(INDIRECT(ADDRESS(12,3+18*0+(2),,,"J1 B - Butcher Terrace")&amp;":"&amp;ADDRESS(130,3+18*0+(2))),'J1 B - Butcher Terrace'!$A$12:$A$130,"&gt;="&amp;Diagram!$O82,'J1 B - Butcher Terrace'!$A$12:$A$130,"&lt;"&amp;Diagram!$P82),SUMIFS(INDIRECT(ADDRESS(12,3+18*0+(10),,,"J1 B - Butcher Terrace")&amp;":"&amp;ADDRESS(130,3+18*0+(10))),'J1 B - Butcher Terrace'!$A$12:$A$130,"&gt;="&amp;Diagram!$O82,'J1 B - Butcher Terrace'!$A$12:$A$130,"&lt;"&amp;Diagram!$P82)))</f>
        <v>0</v>
      </c>
      <c r="BH82" s="42">
        <f ca="1">IF(OR($I$10="",$O82="",$P82="",$J$37&lt;&gt;"Yes"),0,IF($K$10=0,SUMIFS(INDIRECT(ADDRESS(12,3+18*1+(2),,,"J1 B - Butcher Terrace")&amp;":"&amp;ADDRESS(130,3+18*1+(2))),'J1 B - Butcher Terrace'!$A$12:$A$130,"&gt;="&amp;Diagram!$O82,'J1 B - Butcher Terrace'!$A$12:$A$130,"&lt;"&amp;Diagram!$P82),SUMIFS(INDIRECT(ADDRESS(12,3+18*1+(10),,,"J1 B - Butcher Terrace")&amp;":"&amp;ADDRESS(130,3+18*1+(10))),'J1 B - Butcher Terrace'!$A$12:$A$130,"&gt;="&amp;Diagram!$O82,'J1 B - Butcher Terrace'!$A$12:$A$130,"&lt;"&amp;Diagram!$P82)))</f>
        <v>0</v>
      </c>
      <c r="BI82" s="42">
        <f ca="1">IF(OR($I$10="",$O82="",$P82="",$J$37&lt;&gt;"Yes"),0,IF($K$10=0,SUMIFS(INDIRECT(ADDRESS(12,3+18*1+(2),,,"J1 C - (South) Bishopthorpe Roa")&amp;":"&amp;ADDRESS(130,3+18*1+(2))),'J1 C - (South) Bishopthorpe Roa'!$A$12:$A$130,"&gt;="&amp;Diagram!$O82,'J1 C - (South) Bishopthorpe Roa'!$A$12:$A$130,"&lt;"&amp;Diagram!$P82),SUMIFS(INDIRECT(ADDRESS(12,3+18*1+(10),,,"J1 C - (South) Bishopthorpe Roa")&amp;":"&amp;ADDRESS(130,3+18*1+(10))),'J1 C - (South) Bishopthorpe Roa'!$A$12:$A$130,"&gt;="&amp;Diagram!$O82,'J1 C - (South) Bishopthorpe Roa'!$A$12:$A$130,"&lt;"&amp;Diagram!$P82)))</f>
        <v>2</v>
      </c>
      <c r="BJ82" s="42">
        <f ca="1">IF(OR($I$10="",$O82="",$P82="",$J$37&lt;&gt;"Yes"),0,IF($K$10=0,SUMIFS(INDIRECT(ADDRESS(12,3+18*2+(2),,,"J1 C - (South) Bishopthorpe Roa")&amp;":"&amp;ADDRESS(130,3+18*2+(2))),'J1 C - (South) Bishopthorpe Roa'!$A$12:$A$130,"&gt;="&amp;Diagram!$O82,'J1 C - (South) Bishopthorpe Roa'!$A$12:$A$130,"&lt;"&amp;Diagram!$P82),SUMIFS(INDIRECT(ADDRESS(12,3+18*2+(10),,,"J1 C - (South) Bishopthorpe Roa")&amp;":"&amp;ADDRESS(130,3+18*2+(10))),'J1 C - (South) Bishopthorpe Roa'!$A$12:$A$130,"&gt;="&amp;Diagram!$O82,'J1 C - (South) Bishopthorpe Roa'!$A$12:$A$130,"&lt;"&amp;Diagram!$P82)))</f>
        <v>0</v>
      </c>
      <c r="BK82" s="42">
        <f ca="1">IF(OR($I$10="",$O82="",$P82="",$J$37&lt;&gt;"Yes"),0,IF($K$10=0,SUMIFS(INDIRECT(ADDRESS(12,3+18*3+(2),,,"J1 C - (South) Bishopthorpe Roa")&amp;":"&amp;ADDRESS(130,3+18*3+(2))),'J1 C - (South) Bishopthorpe Roa'!$A$12:$A$130,"&gt;="&amp;Diagram!$O82,'J1 C - (South) Bishopthorpe Roa'!$A$12:$A$130,"&lt;"&amp;Diagram!$P82),SUMIFS(INDIRECT(ADDRESS(12,3+18*3+(10),,,"J1 C - (South) Bishopthorpe Roa")&amp;":"&amp;ADDRESS(130,3+18*3+(10))),'J1 C - (South) Bishopthorpe Roa'!$A$12:$A$130,"&gt;="&amp;Diagram!$O82,'J1 C - (South) Bishopthorpe Roa'!$A$12:$A$130,"&lt;"&amp;Diagram!$P82)))</f>
        <v>0</v>
      </c>
      <c r="BL82" s="42">
        <f ca="1">IF(OR($I$10="",$O82="",$P82="",$J$37&lt;&gt;"Yes"),0,IF($K$10=0,SUMIFS(INDIRECT(ADDRESS(12,3+18*0+(2),,,"J1 C - (South) Bishopthorpe Roa")&amp;":"&amp;ADDRESS(130,3+18*0+(2))),'J1 C - (South) Bishopthorpe Roa'!$A$12:$A$130,"&gt;="&amp;Diagram!$O82,'J1 C - (South) Bishopthorpe Roa'!$A$12:$A$130,"&lt;"&amp;Diagram!$P82),SUMIFS(INDIRECT(ADDRESS(12,3+18*0+(10),,,"J1 C - (South) Bishopthorpe Roa")&amp;":"&amp;ADDRESS(130,3+18*0+(10))),'J1 C - (South) Bishopthorpe Roa'!$A$12:$A$130,"&gt;="&amp;Diagram!$O82,'J1 C - (South) Bishopthorpe Roa'!$A$12:$A$130,"&lt;"&amp;Diagram!$P82)))</f>
        <v>0</v>
      </c>
      <c r="BM82" s="42">
        <f ca="1">IF(OR($I$10="",$O82="",$P82="",$J$37&lt;&gt;"Yes"),0,IF($K$10=0,SUMIFS(INDIRECT(ADDRESS(12,3+18*0+(2),,,"J1 D - South Bank Avenue")&amp;":"&amp;ADDRESS(130,3+18*0+(2))),'J1 D - South Bank Avenue'!$A$12:$A$130,"&gt;="&amp;Diagram!$O82,'J1 D - South Bank Avenue'!$A$12:$A$130,"&lt;"&amp;Diagram!$P82),SUMIFS(INDIRECT(ADDRESS(12,3+18*0+(10),,,"J1 D - South Bank Avenue")&amp;":"&amp;ADDRESS(130,3+18*0+(10))),'J1 D - South Bank Avenue'!$A$12:$A$130,"&gt;="&amp;Diagram!$O82,'J1 D - South Bank Avenue'!$A$12:$A$130,"&lt;"&amp;Diagram!$P82)))</f>
        <v>0</v>
      </c>
      <c r="BN82" s="42">
        <f ca="1">IF(OR($I$10="",$O82="",$P82="",$J$37&lt;&gt;"Yes"),0,IF($K$10=0,SUMIFS(INDIRECT(ADDRESS(12,3+18*1+(2),,,"J1 D - South Bank Avenue")&amp;":"&amp;ADDRESS(130,3+18*1+(2))),'J1 D - South Bank Avenue'!$A$12:$A$130,"&gt;="&amp;Diagram!$O82,'J1 D - South Bank Avenue'!$A$12:$A$130,"&lt;"&amp;Diagram!$P82),SUMIFS(INDIRECT(ADDRESS(12,3+18*1+(10),,,"J1 D - South Bank Avenue")&amp;":"&amp;ADDRESS(130,3+18*1+(10))),'J1 D - South Bank Avenue'!$A$12:$A$130,"&gt;="&amp;Diagram!$O82,'J1 D - South Bank Avenue'!$A$12:$A$130,"&lt;"&amp;Diagram!$P82)))</f>
        <v>0</v>
      </c>
      <c r="BO82" s="42">
        <f ca="1">IF(OR($I$10="",$O82="",$P82="",$J$37&lt;&gt;"Yes"),0,IF($K$10=0,SUMIFS(INDIRECT(ADDRESS(12,3+18*2+(2),,,"J1 D - South Bank Avenue")&amp;":"&amp;ADDRESS(130,3+18*2+(2))),'J1 D - South Bank Avenue'!$A$12:$A$130,"&gt;="&amp;Diagram!$O82,'J1 D - South Bank Avenue'!$A$12:$A$130,"&lt;"&amp;Diagram!$P82),SUMIFS(INDIRECT(ADDRESS(12,3+18*2+(10),,,"J1 D - South Bank Avenue")&amp;":"&amp;ADDRESS(130,3+18*2+(10))),'J1 D - South Bank Avenue'!$A$12:$A$130,"&gt;="&amp;Diagram!$O82,'J1 D - South Bank Avenue'!$A$12:$A$130,"&lt;"&amp;Diagram!$P82)))</f>
        <v>0</v>
      </c>
      <c r="BP82" s="42">
        <f ca="1">IF(OR($I$10="",$O82="",$P82="",$J$37&lt;&gt;"Yes"),0,IF($K$10=0,SUMIFS(INDIRECT(ADDRESS(12,3+18*3+(2),,,"J1 D - South Bank Avenue")&amp;":"&amp;ADDRESS(130,3+18*3+(2))),'J1 D - South Bank Avenue'!$A$12:$A$130,"&gt;="&amp;Diagram!$O82,'J1 D - South Bank Avenue'!$A$12:$A$130,"&lt;"&amp;Diagram!$P82),SUMIFS(INDIRECT(ADDRESS(12,3+18*3+(10),,,"J1 D - South Bank Avenue")&amp;":"&amp;ADDRESS(130,3+18*3+(10))),'J1 D - South Bank Avenue'!$A$12:$A$130,"&gt;="&amp;Diagram!$O82,'J1 D - South Bank Avenue'!$A$12:$A$130,"&lt;"&amp;Diagram!$P82)))</f>
        <v>0</v>
      </c>
      <c r="BQ82" s="42">
        <f t="shared" ca="1" si="14"/>
        <v>0</v>
      </c>
      <c r="BR82" s="42">
        <f ca="1">IF(OR($I$10="",$O82="",$P82="",$J$38&lt;&gt;"Yes"),0,IF($K$10=0,SUMIFS(INDIRECT(ADDRESS(12,3+18*3+(3),,,"J1 A - (North) Bishopthorpe Roa")&amp;":"&amp;ADDRESS(130,3+18*3+(3))),'J1 A - (North) Bishopthorpe Roa'!$A$12:$A$130,"&gt;="&amp;Diagram!$O82,'J1 A - (North) Bishopthorpe Roa'!$A$12:$A$130,"&lt;"&amp;Diagram!$P82),SUMIFS(INDIRECT(ADDRESS(12,3+18*3+(11),,,"J1 A - (North) Bishopthorpe Roa")&amp;":"&amp;ADDRESS(130,3+18*3+(11))),'J1 A - (North) Bishopthorpe Roa'!$A$12:$A$130,"&gt;="&amp;Diagram!$O82,'J1 A - (North) Bishopthorpe Roa'!$A$12:$A$130,"&lt;"&amp;Diagram!$P82)))</f>
        <v>0</v>
      </c>
      <c r="BS82" s="42">
        <f ca="1">IF(OR($I$10="",$O82="",$P82="",$J$38&lt;&gt;"Yes"),0,IF($K$10=0,SUMIFS(INDIRECT(ADDRESS(12,3+18*0+(3),,,"J1 A - (North) Bishopthorpe Roa")&amp;":"&amp;ADDRESS(130,3+18*0+(3))),'J1 A - (North) Bishopthorpe Roa'!$A$12:$A$130,"&gt;="&amp;Diagram!$O82,'J1 A - (North) Bishopthorpe Roa'!$A$12:$A$130,"&lt;"&amp;Diagram!$P82),SUMIFS(INDIRECT(ADDRESS(12,3+18*0+(11),,,"J1 A - (North) Bishopthorpe Roa")&amp;":"&amp;ADDRESS(130,3+18*0+(11))),'J1 A - (North) Bishopthorpe Roa'!$A$12:$A$130,"&gt;="&amp;Diagram!$O82,'J1 A - (North) Bishopthorpe Roa'!$A$12:$A$130,"&lt;"&amp;Diagram!$P82)))</f>
        <v>0</v>
      </c>
      <c r="BT82" s="42">
        <f ca="1">IF(OR($I$10="",$O82="",$P82="",$J$38&lt;&gt;"Yes"),0,IF($K$10=0,SUMIFS(INDIRECT(ADDRESS(12,3+18*1+(3),,,"J1 A - (North) Bishopthorpe Roa")&amp;":"&amp;ADDRESS(130,3+18*1+(3))),'J1 A - (North) Bishopthorpe Roa'!$A$12:$A$130,"&gt;="&amp;Diagram!$O82,'J1 A - (North) Bishopthorpe Roa'!$A$12:$A$130,"&lt;"&amp;Diagram!$P82),SUMIFS(INDIRECT(ADDRESS(12,3+18*1+(11),,,"J1 A - (North) Bishopthorpe Roa")&amp;":"&amp;ADDRESS(130,3+18*1+(11))),'J1 A - (North) Bishopthorpe Roa'!$A$12:$A$130,"&gt;="&amp;Diagram!$O82,'J1 A - (North) Bishopthorpe Roa'!$A$12:$A$130,"&lt;"&amp;Diagram!$P82)))</f>
        <v>0</v>
      </c>
      <c r="BU82" s="42">
        <f ca="1">IF(OR($I$10="",$O82="",$P82="",$J$38&lt;&gt;"Yes"),0,IF($K$10=0,SUMIFS(INDIRECT(ADDRESS(12,3+18*2+(3),,,"J1 A - (North) Bishopthorpe Roa")&amp;":"&amp;ADDRESS(130,3+18*2+(3))),'J1 A - (North) Bishopthorpe Roa'!$A$12:$A$130,"&gt;="&amp;Diagram!$O82,'J1 A - (North) Bishopthorpe Roa'!$A$12:$A$130,"&lt;"&amp;Diagram!$P82),SUMIFS(INDIRECT(ADDRESS(12,3+18*2+(11),,,"J1 A - (North) Bishopthorpe Roa")&amp;":"&amp;ADDRESS(130,3+18*2+(11))),'J1 A - (North) Bishopthorpe Roa'!$A$12:$A$130,"&gt;="&amp;Diagram!$O82,'J1 A - (North) Bishopthorpe Roa'!$A$12:$A$130,"&lt;"&amp;Diagram!$P82)))</f>
        <v>0</v>
      </c>
      <c r="BV82" s="42">
        <f ca="1">IF(OR($I$10="",$O82="",$P82="",$J$38&lt;&gt;"Yes"),0,IF($K$10=0,SUMIFS(INDIRECT(ADDRESS(12,3+18*2+(3),,,"J1 B - Butcher Terrace")&amp;":"&amp;ADDRESS(130,3+18*2+(3))),'J1 B - Butcher Terrace'!$A$12:$A$130,"&gt;="&amp;Diagram!$O82,'J1 B - Butcher Terrace'!$A$12:$A$130,"&lt;"&amp;Diagram!$P82),SUMIFS(INDIRECT(ADDRESS(12,3+18*2+(11),,,"J1 B - Butcher Terrace")&amp;":"&amp;ADDRESS(130,3+18*2+(11))),'J1 B - Butcher Terrace'!$A$12:$A$130,"&gt;="&amp;Diagram!$O82,'J1 B - Butcher Terrace'!$A$12:$A$130,"&lt;"&amp;Diagram!$P82)))</f>
        <v>0</v>
      </c>
      <c r="BW82" s="42">
        <f ca="1">IF(OR($I$10="",$O82="",$P82="",$J$38&lt;&gt;"Yes"),0,IF($K$10=0,SUMIFS(INDIRECT(ADDRESS(12,3+18*3+(3),,,"J1 B - Butcher Terrace")&amp;":"&amp;ADDRESS(130,3+18*3+(3))),'J1 B - Butcher Terrace'!$A$12:$A$130,"&gt;="&amp;Diagram!$O82,'J1 B - Butcher Terrace'!$A$12:$A$130,"&lt;"&amp;Diagram!$P82),SUMIFS(INDIRECT(ADDRESS(12,3+18*3+(11),,,"J1 B - Butcher Terrace")&amp;":"&amp;ADDRESS(130,3+18*3+(11))),'J1 B - Butcher Terrace'!$A$12:$A$130,"&gt;="&amp;Diagram!$O82,'J1 B - Butcher Terrace'!$A$12:$A$130,"&lt;"&amp;Diagram!$P82)))</f>
        <v>0</v>
      </c>
      <c r="BX82" s="42">
        <f ca="1">IF(OR($I$10="",$O82="",$P82="",$J$38&lt;&gt;"Yes"),0,IF($K$10=0,SUMIFS(INDIRECT(ADDRESS(12,3+18*0+(3),,,"J1 B - Butcher Terrace")&amp;":"&amp;ADDRESS(130,3+18*0+(3))),'J1 B - Butcher Terrace'!$A$12:$A$130,"&gt;="&amp;Diagram!$O82,'J1 B - Butcher Terrace'!$A$12:$A$130,"&lt;"&amp;Diagram!$P82),SUMIFS(INDIRECT(ADDRESS(12,3+18*0+(11),,,"J1 B - Butcher Terrace")&amp;":"&amp;ADDRESS(130,3+18*0+(11))),'J1 B - Butcher Terrace'!$A$12:$A$130,"&gt;="&amp;Diagram!$O82,'J1 B - Butcher Terrace'!$A$12:$A$130,"&lt;"&amp;Diagram!$P82)))</f>
        <v>0</v>
      </c>
      <c r="BY82" s="42">
        <f ca="1">IF(OR($I$10="",$O82="",$P82="",$J$38&lt;&gt;"Yes"),0,IF($K$10=0,SUMIFS(INDIRECT(ADDRESS(12,3+18*1+(3),,,"J1 B - Butcher Terrace")&amp;":"&amp;ADDRESS(130,3+18*1+(3))),'J1 B - Butcher Terrace'!$A$12:$A$130,"&gt;="&amp;Diagram!$O82,'J1 B - Butcher Terrace'!$A$12:$A$130,"&lt;"&amp;Diagram!$P82),SUMIFS(INDIRECT(ADDRESS(12,3+18*1+(11),,,"J1 B - Butcher Terrace")&amp;":"&amp;ADDRESS(130,3+18*1+(11))),'J1 B - Butcher Terrace'!$A$12:$A$130,"&gt;="&amp;Diagram!$O82,'J1 B - Butcher Terrace'!$A$12:$A$130,"&lt;"&amp;Diagram!$P82)))</f>
        <v>0</v>
      </c>
      <c r="BZ82" s="42">
        <f ca="1">IF(OR($I$10="",$O82="",$P82="",$J$38&lt;&gt;"Yes"),0,IF($K$10=0,SUMIFS(INDIRECT(ADDRESS(12,3+18*1+(3),,,"J1 C - (South) Bishopthorpe Roa")&amp;":"&amp;ADDRESS(130,3+18*1+(3))),'J1 C - (South) Bishopthorpe Roa'!$A$12:$A$130,"&gt;="&amp;Diagram!$O82,'J1 C - (South) Bishopthorpe Roa'!$A$12:$A$130,"&lt;"&amp;Diagram!$P82),SUMIFS(INDIRECT(ADDRESS(12,3+18*1+(11),,,"J1 C - (South) Bishopthorpe Roa")&amp;":"&amp;ADDRESS(130,3+18*1+(11))),'J1 C - (South) Bishopthorpe Roa'!$A$12:$A$130,"&gt;="&amp;Diagram!$O82,'J1 C - (South) Bishopthorpe Roa'!$A$12:$A$130,"&lt;"&amp;Diagram!$P82)))</f>
        <v>0</v>
      </c>
      <c r="CA82" s="42">
        <f ca="1">IF(OR($I$10="",$O82="",$P82="",$J$38&lt;&gt;"Yes"),0,IF($K$10=0,SUMIFS(INDIRECT(ADDRESS(12,3+18*2+(3),,,"J1 C - (South) Bishopthorpe Roa")&amp;":"&amp;ADDRESS(130,3+18*2+(3))),'J1 C - (South) Bishopthorpe Roa'!$A$12:$A$130,"&gt;="&amp;Diagram!$O82,'J1 C - (South) Bishopthorpe Roa'!$A$12:$A$130,"&lt;"&amp;Diagram!$P82),SUMIFS(INDIRECT(ADDRESS(12,3+18*2+(11),,,"J1 C - (South) Bishopthorpe Roa")&amp;":"&amp;ADDRESS(130,3+18*2+(11))),'J1 C - (South) Bishopthorpe Roa'!$A$12:$A$130,"&gt;="&amp;Diagram!$O82,'J1 C - (South) Bishopthorpe Roa'!$A$12:$A$130,"&lt;"&amp;Diagram!$P82)))</f>
        <v>0</v>
      </c>
      <c r="CB82" s="42">
        <f ca="1">IF(OR($I$10="",$O82="",$P82="",$J$38&lt;&gt;"Yes"),0,IF($K$10=0,SUMIFS(INDIRECT(ADDRESS(12,3+18*3+(3),,,"J1 C - (South) Bishopthorpe Roa")&amp;":"&amp;ADDRESS(130,3+18*3+(3))),'J1 C - (South) Bishopthorpe Roa'!$A$12:$A$130,"&gt;="&amp;Diagram!$O82,'J1 C - (South) Bishopthorpe Roa'!$A$12:$A$130,"&lt;"&amp;Diagram!$P82),SUMIFS(INDIRECT(ADDRESS(12,3+18*3+(11),,,"J1 C - (South) Bishopthorpe Roa")&amp;":"&amp;ADDRESS(130,3+18*3+(11))),'J1 C - (South) Bishopthorpe Roa'!$A$12:$A$130,"&gt;="&amp;Diagram!$O82,'J1 C - (South) Bishopthorpe Roa'!$A$12:$A$130,"&lt;"&amp;Diagram!$P82)))</f>
        <v>0</v>
      </c>
      <c r="CC82" s="42">
        <f ca="1">IF(OR($I$10="",$O82="",$P82="",$J$38&lt;&gt;"Yes"),0,IF($K$10=0,SUMIFS(INDIRECT(ADDRESS(12,3+18*0+(3),,,"J1 C - (South) Bishopthorpe Roa")&amp;":"&amp;ADDRESS(130,3+18*0+(3))),'J1 C - (South) Bishopthorpe Roa'!$A$12:$A$130,"&gt;="&amp;Diagram!$O82,'J1 C - (South) Bishopthorpe Roa'!$A$12:$A$130,"&lt;"&amp;Diagram!$P82),SUMIFS(INDIRECT(ADDRESS(12,3+18*0+(11),,,"J1 C - (South) Bishopthorpe Roa")&amp;":"&amp;ADDRESS(130,3+18*0+(11))),'J1 C - (South) Bishopthorpe Roa'!$A$12:$A$130,"&gt;="&amp;Diagram!$O82,'J1 C - (South) Bishopthorpe Roa'!$A$12:$A$130,"&lt;"&amp;Diagram!$P82)))</f>
        <v>0</v>
      </c>
      <c r="CD82" s="42">
        <f ca="1">IF(OR($I$10="",$O82="",$P82="",$J$38&lt;&gt;"Yes"),0,IF($K$10=0,SUMIFS(INDIRECT(ADDRESS(12,3+18*0+(3),,,"J1 D - South Bank Avenue")&amp;":"&amp;ADDRESS(130,3+18*0+(3))),'J1 D - South Bank Avenue'!$A$12:$A$130,"&gt;="&amp;Diagram!$O82,'J1 D - South Bank Avenue'!$A$12:$A$130,"&lt;"&amp;Diagram!$P82),SUMIFS(INDIRECT(ADDRESS(12,3+18*0+(11),,,"J1 D - South Bank Avenue")&amp;":"&amp;ADDRESS(130,3+18*0+(11))),'J1 D - South Bank Avenue'!$A$12:$A$130,"&gt;="&amp;Diagram!$O82,'J1 D - South Bank Avenue'!$A$12:$A$130,"&lt;"&amp;Diagram!$P82)))</f>
        <v>0</v>
      </c>
      <c r="CE82" s="42">
        <f ca="1">IF(OR($I$10="",$O82="",$P82="",$J$38&lt;&gt;"Yes"),0,IF($K$10=0,SUMIFS(INDIRECT(ADDRESS(12,3+18*1+(3),,,"J1 D - South Bank Avenue")&amp;":"&amp;ADDRESS(130,3+18*1+(3))),'J1 D - South Bank Avenue'!$A$12:$A$130,"&gt;="&amp;Diagram!$O82,'J1 D - South Bank Avenue'!$A$12:$A$130,"&lt;"&amp;Diagram!$P82),SUMIFS(INDIRECT(ADDRESS(12,3+18*1+(11),,,"J1 D - South Bank Avenue")&amp;":"&amp;ADDRESS(130,3+18*1+(11))),'J1 D - South Bank Avenue'!$A$12:$A$130,"&gt;="&amp;Diagram!$O82,'J1 D - South Bank Avenue'!$A$12:$A$130,"&lt;"&amp;Diagram!$P82)))</f>
        <v>0</v>
      </c>
      <c r="CF82" s="42">
        <f ca="1">IF(OR($I$10="",$O82="",$P82="",$J$38&lt;&gt;"Yes"),0,IF($K$10=0,SUMIFS(INDIRECT(ADDRESS(12,3+18*2+(3),,,"J1 D - South Bank Avenue")&amp;":"&amp;ADDRESS(130,3+18*2+(3))),'J1 D - South Bank Avenue'!$A$12:$A$130,"&gt;="&amp;Diagram!$O82,'J1 D - South Bank Avenue'!$A$12:$A$130,"&lt;"&amp;Diagram!$P82),SUMIFS(INDIRECT(ADDRESS(12,3+18*2+(11),,,"J1 D - South Bank Avenue")&amp;":"&amp;ADDRESS(130,3+18*2+(11))),'J1 D - South Bank Avenue'!$A$12:$A$130,"&gt;="&amp;Diagram!$O82,'J1 D - South Bank Avenue'!$A$12:$A$130,"&lt;"&amp;Diagram!$P82)))</f>
        <v>0</v>
      </c>
      <c r="CG82" s="42">
        <f ca="1">IF(OR($I$10="",$O82="",$P82="",$J$38&lt;&gt;"Yes"),0,IF($K$10=0,SUMIFS(INDIRECT(ADDRESS(12,3+18*3+(3),,,"J1 D - South Bank Avenue")&amp;":"&amp;ADDRESS(130,3+18*3+(3))),'J1 D - South Bank Avenue'!$A$12:$A$130,"&gt;="&amp;Diagram!$O82,'J1 D - South Bank Avenue'!$A$12:$A$130,"&lt;"&amp;Diagram!$P82),SUMIFS(INDIRECT(ADDRESS(12,3+18*3+(11),,,"J1 D - South Bank Avenue")&amp;":"&amp;ADDRESS(130,3+18*3+(11))),'J1 D - South Bank Avenue'!$A$12:$A$130,"&gt;="&amp;Diagram!$O82,'J1 D - South Bank Avenue'!$A$12:$A$130,"&lt;"&amp;Diagram!$P82)))</f>
        <v>0</v>
      </c>
      <c r="CH82" s="42">
        <f t="shared" ca="1" si="15"/>
        <v>3</v>
      </c>
      <c r="CI82" s="42">
        <f ca="1">IF(OR($I$10="",$O82="",$P82="",$J$39&lt;&gt;"Yes"),0,IF($K$10=0,SUMIFS(INDIRECT(ADDRESS(12,3+18*3+(4),,,"J1 A - (North) Bishopthorpe Roa")&amp;":"&amp;ADDRESS(130,3+18*3+(4))),'J1 A - (North) Bishopthorpe Roa'!$A$12:$A$130,"&gt;="&amp;Diagram!$O82,'J1 A - (North) Bishopthorpe Roa'!$A$12:$A$130,"&lt;"&amp;Diagram!$P82),SUMIFS(INDIRECT(ADDRESS(12,3+18*3+(12),,,"J1 A - (North) Bishopthorpe Roa")&amp;":"&amp;ADDRESS(130,3+18*3+(12))),'J1 A - (North) Bishopthorpe Roa'!$A$12:$A$130,"&gt;="&amp;Diagram!$O82,'J1 A - (North) Bishopthorpe Roa'!$A$12:$A$130,"&lt;"&amp;Diagram!$P82)))</f>
        <v>0</v>
      </c>
      <c r="CJ82" s="42">
        <f ca="1">IF(OR($I$10="",$O82="",$P82="",$J$39&lt;&gt;"Yes"),0,IF($K$10=0,SUMIFS(INDIRECT(ADDRESS(12,3+18*0+(4),,,"J1 A - (North) Bishopthorpe Roa")&amp;":"&amp;ADDRESS(130,3+18*0+(4))),'J1 A - (North) Bishopthorpe Roa'!$A$12:$A$130,"&gt;="&amp;Diagram!$O82,'J1 A - (North) Bishopthorpe Roa'!$A$12:$A$130,"&lt;"&amp;Diagram!$P82),SUMIFS(INDIRECT(ADDRESS(12,3+18*0+(12),,,"J1 A - (North) Bishopthorpe Roa")&amp;":"&amp;ADDRESS(130,3+18*0+(12))),'J1 A - (North) Bishopthorpe Roa'!$A$12:$A$130,"&gt;="&amp;Diagram!$O82,'J1 A - (North) Bishopthorpe Roa'!$A$12:$A$130,"&lt;"&amp;Diagram!$P82)))</f>
        <v>0</v>
      </c>
      <c r="CK82" s="42">
        <f ca="1">IF(OR($I$10="",$O82="",$P82="",$J$39&lt;&gt;"Yes"),0,IF($K$10=0,SUMIFS(INDIRECT(ADDRESS(12,3+18*1+(4),,,"J1 A - (North) Bishopthorpe Roa")&amp;":"&amp;ADDRESS(130,3+18*1+(4))),'J1 A - (North) Bishopthorpe Roa'!$A$12:$A$130,"&gt;="&amp;Diagram!$O82,'J1 A - (North) Bishopthorpe Roa'!$A$12:$A$130,"&lt;"&amp;Diagram!$P82),SUMIFS(INDIRECT(ADDRESS(12,3+18*1+(12),,,"J1 A - (North) Bishopthorpe Roa")&amp;":"&amp;ADDRESS(130,3+18*1+(12))),'J1 A - (North) Bishopthorpe Roa'!$A$12:$A$130,"&gt;="&amp;Diagram!$O82,'J1 A - (North) Bishopthorpe Roa'!$A$12:$A$130,"&lt;"&amp;Diagram!$P82)))</f>
        <v>2</v>
      </c>
      <c r="CL82" s="42">
        <f ca="1">IF(OR($I$10="",$O82="",$P82="",$J$39&lt;&gt;"Yes"),0,IF($K$10=0,SUMIFS(INDIRECT(ADDRESS(12,3+18*2+(4),,,"J1 A - (North) Bishopthorpe Roa")&amp;":"&amp;ADDRESS(130,3+18*2+(4))),'J1 A - (North) Bishopthorpe Roa'!$A$12:$A$130,"&gt;="&amp;Diagram!$O82,'J1 A - (North) Bishopthorpe Roa'!$A$12:$A$130,"&lt;"&amp;Diagram!$P82),SUMIFS(INDIRECT(ADDRESS(12,3+18*2+(12),,,"J1 A - (North) Bishopthorpe Roa")&amp;":"&amp;ADDRESS(130,3+18*2+(12))),'J1 A - (North) Bishopthorpe Roa'!$A$12:$A$130,"&gt;="&amp;Diagram!$O82,'J1 A - (North) Bishopthorpe Roa'!$A$12:$A$130,"&lt;"&amp;Diagram!$P82)))</f>
        <v>0</v>
      </c>
      <c r="CM82" s="42">
        <f ca="1">IF(OR($I$10="",$O82="",$P82="",$J$39&lt;&gt;"Yes"),0,IF($K$10=0,SUMIFS(INDIRECT(ADDRESS(12,3+18*2+(4),,,"J1 B - Butcher Terrace")&amp;":"&amp;ADDRESS(130,3+18*2+(4))),'J1 B - Butcher Terrace'!$A$12:$A$130,"&gt;="&amp;Diagram!$O82,'J1 B - Butcher Terrace'!$A$12:$A$130,"&lt;"&amp;Diagram!$P82),SUMIFS(INDIRECT(ADDRESS(12,3+18*2+(12),,,"J1 B - Butcher Terrace")&amp;":"&amp;ADDRESS(130,3+18*2+(12))),'J1 B - Butcher Terrace'!$A$12:$A$130,"&gt;="&amp;Diagram!$O82,'J1 B - Butcher Terrace'!$A$12:$A$130,"&lt;"&amp;Diagram!$P82)))</f>
        <v>0</v>
      </c>
      <c r="CN82" s="42">
        <f ca="1">IF(OR($I$10="",$O82="",$P82="",$J$39&lt;&gt;"Yes"),0,IF($K$10=0,SUMIFS(INDIRECT(ADDRESS(12,3+18*3+(4),,,"J1 B - Butcher Terrace")&amp;":"&amp;ADDRESS(130,3+18*3+(4))),'J1 B - Butcher Terrace'!$A$12:$A$130,"&gt;="&amp;Diagram!$O82,'J1 B - Butcher Terrace'!$A$12:$A$130,"&lt;"&amp;Diagram!$P82),SUMIFS(INDIRECT(ADDRESS(12,3+18*3+(12),,,"J1 B - Butcher Terrace")&amp;":"&amp;ADDRESS(130,3+18*3+(12))),'J1 B - Butcher Terrace'!$A$12:$A$130,"&gt;="&amp;Diagram!$O82,'J1 B - Butcher Terrace'!$A$12:$A$130,"&lt;"&amp;Diagram!$P82)))</f>
        <v>0</v>
      </c>
      <c r="CO82" s="42">
        <f ca="1">IF(OR($I$10="",$O82="",$P82="",$J$39&lt;&gt;"Yes"),0,IF($K$10=0,SUMIFS(INDIRECT(ADDRESS(12,3+18*0+(4),,,"J1 B - Butcher Terrace")&amp;":"&amp;ADDRESS(130,3+18*0+(4))),'J1 B - Butcher Terrace'!$A$12:$A$130,"&gt;="&amp;Diagram!$O82,'J1 B - Butcher Terrace'!$A$12:$A$130,"&lt;"&amp;Diagram!$P82),SUMIFS(INDIRECT(ADDRESS(12,3+18*0+(12),,,"J1 B - Butcher Terrace")&amp;":"&amp;ADDRESS(130,3+18*0+(12))),'J1 B - Butcher Terrace'!$A$12:$A$130,"&gt;="&amp;Diagram!$O82,'J1 B - Butcher Terrace'!$A$12:$A$130,"&lt;"&amp;Diagram!$P82)))</f>
        <v>0</v>
      </c>
      <c r="CP82" s="42">
        <f ca="1">IF(OR($I$10="",$O82="",$P82="",$J$39&lt;&gt;"Yes"),0,IF($K$10=0,SUMIFS(INDIRECT(ADDRESS(12,3+18*1+(4),,,"J1 B - Butcher Terrace")&amp;":"&amp;ADDRESS(130,3+18*1+(4))),'J1 B - Butcher Terrace'!$A$12:$A$130,"&gt;="&amp;Diagram!$O82,'J1 B - Butcher Terrace'!$A$12:$A$130,"&lt;"&amp;Diagram!$P82),SUMIFS(INDIRECT(ADDRESS(12,3+18*1+(12),,,"J1 B - Butcher Terrace")&amp;":"&amp;ADDRESS(130,3+18*1+(12))),'J1 B - Butcher Terrace'!$A$12:$A$130,"&gt;="&amp;Diagram!$O82,'J1 B - Butcher Terrace'!$A$12:$A$130,"&lt;"&amp;Diagram!$P82)))</f>
        <v>0</v>
      </c>
      <c r="CQ82" s="42">
        <f ca="1">IF(OR($I$10="",$O82="",$P82="",$J$39&lt;&gt;"Yes"),0,IF($K$10=0,SUMIFS(INDIRECT(ADDRESS(12,3+18*1+(4),,,"J1 C - (South) Bishopthorpe Roa")&amp;":"&amp;ADDRESS(130,3+18*1+(4))),'J1 C - (South) Bishopthorpe Roa'!$A$12:$A$130,"&gt;="&amp;Diagram!$O82,'J1 C - (South) Bishopthorpe Roa'!$A$12:$A$130,"&lt;"&amp;Diagram!$P82),SUMIFS(INDIRECT(ADDRESS(12,3+18*1+(12),,,"J1 C - (South) Bishopthorpe Roa")&amp;":"&amp;ADDRESS(130,3+18*1+(12))),'J1 C - (South) Bishopthorpe Roa'!$A$12:$A$130,"&gt;="&amp;Diagram!$O82,'J1 C - (South) Bishopthorpe Roa'!$A$12:$A$130,"&lt;"&amp;Diagram!$P82)))</f>
        <v>1</v>
      </c>
      <c r="CR82" s="42">
        <f ca="1">IF(OR($I$10="",$O82="",$P82="",$J$39&lt;&gt;"Yes"),0,IF($K$10=0,SUMIFS(INDIRECT(ADDRESS(12,3+18*2+(4),,,"J1 C - (South) Bishopthorpe Roa")&amp;":"&amp;ADDRESS(130,3+18*2+(4))),'J1 C - (South) Bishopthorpe Roa'!$A$12:$A$130,"&gt;="&amp;Diagram!$O82,'J1 C - (South) Bishopthorpe Roa'!$A$12:$A$130,"&lt;"&amp;Diagram!$P82),SUMIFS(INDIRECT(ADDRESS(12,3+18*2+(12),,,"J1 C - (South) Bishopthorpe Roa")&amp;":"&amp;ADDRESS(130,3+18*2+(12))),'J1 C - (South) Bishopthorpe Roa'!$A$12:$A$130,"&gt;="&amp;Diagram!$O82,'J1 C - (South) Bishopthorpe Roa'!$A$12:$A$130,"&lt;"&amp;Diagram!$P82)))</f>
        <v>0</v>
      </c>
      <c r="CS82" s="42">
        <f ca="1">IF(OR($I$10="",$O82="",$P82="",$J$39&lt;&gt;"Yes"),0,IF($K$10=0,SUMIFS(INDIRECT(ADDRESS(12,3+18*3+(4),,,"J1 C - (South) Bishopthorpe Roa")&amp;":"&amp;ADDRESS(130,3+18*3+(4))),'J1 C - (South) Bishopthorpe Roa'!$A$12:$A$130,"&gt;="&amp;Diagram!$O82,'J1 C - (South) Bishopthorpe Roa'!$A$12:$A$130,"&lt;"&amp;Diagram!$P82),SUMIFS(INDIRECT(ADDRESS(12,3+18*3+(12),,,"J1 C - (South) Bishopthorpe Roa")&amp;":"&amp;ADDRESS(130,3+18*3+(12))),'J1 C - (South) Bishopthorpe Roa'!$A$12:$A$130,"&gt;="&amp;Diagram!$O82,'J1 C - (South) Bishopthorpe Roa'!$A$12:$A$130,"&lt;"&amp;Diagram!$P82)))</f>
        <v>0</v>
      </c>
      <c r="CT82" s="42">
        <f ca="1">IF(OR($I$10="",$O82="",$P82="",$J$39&lt;&gt;"Yes"),0,IF($K$10=0,SUMIFS(INDIRECT(ADDRESS(12,3+18*0+(4),,,"J1 C - (South) Bishopthorpe Roa")&amp;":"&amp;ADDRESS(130,3+18*0+(4))),'J1 C - (South) Bishopthorpe Roa'!$A$12:$A$130,"&gt;="&amp;Diagram!$O82,'J1 C - (South) Bishopthorpe Roa'!$A$12:$A$130,"&lt;"&amp;Diagram!$P82),SUMIFS(INDIRECT(ADDRESS(12,3+18*0+(12),,,"J1 C - (South) Bishopthorpe Roa")&amp;":"&amp;ADDRESS(130,3+18*0+(12))),'J1 C - (South) Bishopthorpe Roa'!$A$12:$A$130,"&gt;="&amp;Diagram!$O82,'J1 C - (South) Bishopthorpe Roa'!$A$12:$A$130,"&lt;"&amp;Diagram!$P82)))</f>
        <v>0</v>
      </c>
      <c r="CU82" s="42">
        <f ca="1">IF(OR($I$10="",$O82="",$P82="",$J$39&lt;&gt;"Yes"),0,IF($K$10=0,SUMIFS(INDIRECT(ADDRESS(12,3+18*0+(4),,,"J1 D - South Bank Avenue")&amp;":"&amp;ADDRESS(130,3+18*0+(4))),'J1 D - South Bank Avenue'!$A$12:$A$130,"&gt;="&amp;Diagram!$O82,'J1 D - South Bank Avenue'!$A$12:$A$130,"&lt;"&amp;Diagram!$P82),SUMIFS(INDIRECT(ADDRESS(12,3+18*0+(12),,,"J1 D - South Bank Avenue")&amp;":"&amp;ADDRESS(130,3+18*0+(12))),'J1 D - South Bank Avenue'!$A$12:$A$130,"&gt;="&amp;Diagram!$O82,'J1 D - South Bank Avenue'!$A$12:$A$130,"&lt;"&amp;Diagram!$P82)))</f>
        <v>0</v>
      </c>
      <c r="CV82" s="42">
        <f ca="1">IF(OR($I$10="",$O82="",$P82="",$J$39&lt;&gt;"Yes"),0,IF($K$10=0,SUMIFS(INDIRECT(ADDRESS(12,3+18*1+(4),,,"J1 D - South Bank Avenue")&amp;":"&amp;ADDRESS(130,3+18*1+(4))),'J1 D - South Bank Avenue'!$A$12:$A$130,"&gt;="&amp;Diagram!$O82,'J1 D - South Bank Avenue'!$A$12:$A$130,"&lt;"&amp;Diagram!$P82),SUMIFS(INDIRECT(ADDRESS(12,3+18*1+(12),,,"J1 D - South Bank Avenue")&amp;":"&amp;ADDRESS(130,3+18*1+(12))),'J1 D - South Bank Avenue'!$A$12:$A$130,"&gt;="&amp;Diagram!$O82,'J1 D - South Bank Avenue'!$A$12:$A$130,"&lt;"&amp;Diagram!$P82)))</f>
        <v>0</v>
      </c>
      <c r="CW82" s="42">
        <f ca="1">IF(OR($I$10="",$O82="",$P82="",$J$39&lt;&gt;"Yes"),0,IF($K$10=0,SUMIFS(INDIRECT(ADDRESS(12,3+18*2+(4),,,"J1 D - South Bank Avenue")&amp;":"&amp;ADDRESS(130,3+18*2+(4))),'J1 D - South Bank Avenue'!$A$12:$A$130,"&gt;="&amp;Diagram!$O82,'J1 D - South Bank Avenue'!$A$12:$A$130,"&lt;"&amp;Diagram!$P82),SUMIFS(INDIRECT(ADDRESS(12,3+18*2+(12),,,"J1 D - South Bank Avenue")&amp;":"&amp;ADDRESS(130,3+18*2+(12))),'J1 D - South Bank Avenue'!$A$12:$A$130,"&gt;="&amp;Diagram!$O82,'J1 D - South Bank Avenue'!$A$12:$A$130,"&lt;"&amp;Diagram!$P82)))</f>
        <v>0</v>
      </c>
      <c r="CX82" s="42">
        <f ca="1">IF(OR($I$10="",$O82="",$P82="",$J$39&lt;&gt;"Yes"),0,IF($K$10=0,SUMIFS(INDIRECT(ADDRESS(12,3+18*3+(4),,,"J1 D - South Bank Avenue")&amp;":"&amp;ADDRESS(130,3+18*3+(4))),'J1 D - South Bank Avenue'!$A$12:$A$130,"&gt;="&amp;Diagram!$O82,'J1 D - South Bank Avenue'!$A$12:$A$130,"&lt;"&amp;Diagram!$P82),SUMIFS(INDIRECT(ADDRESS(12,3+18*3+(12),,,"J1 D - South Bank Avenue")&amp;":"&amp;ADDRESS(130,3+18*3+(12))),'J1 D - South Bank Avenue'!$A$12:$A$130,"&gt;="&amp;Diagram!$O82,'J1 D - South Bank Avenue'!$A$12:$A$130,"&lt;"&amp;Diagram!$P82)))</f>
        <v>0</v>
      </c>
      <c r="CY82" s="42">
        <f t="shared" ca="1" si="16"/>
        <v>55</v>
      </c>
      <c r="CZ82" s="42">
        <f ca="1">IF(OR($I$10="",$O82="",$P82="",$J$40&lt;&gt;"Yes"),0,IF($K$10=0,SUMIFS(INDIRECT(ADDRESS(12,3+18*3+(5),,,"J1 A - (North) Bishopthorpe Roa")&amp;":"&amp;ADDRESS(130,3+18*3+(5))),'J1 A - (North) Bishopthorpe Roa'!$A$12:$A$130,"&gt;="&amp;Diagram!$O82,'J1 A - (North) Bishopthorpe Roa'!$A$12:$A$130,"&lt;"&amp;Diagram!$P82),SUMIFS(INDIRECT(ADDRESS(12,3+18*3+(13),,,"J1 A - (North) Bishopthorpe Roa")&amp;":"&amp;ADDRESS(130,3+18*3+(13))),'J1 A - (North) Bishopthorpe Roa'!$A$12:$A$130,"&gt;="&amp;Diagram!$O82,'J1 A - (North) Bishopthorpe Roa'!$A$12:$A$130,"&lt;"&amp;Diagram!$P82)))</f>
        <v>0</v>
      </c>
      <c r="DA82" s="42">
        <f ca="1">IF(OR($I$10="",$O82="",$P82="",$J$40&lt;&gt;"Yes"),0,IF($K$10=0,SUMIFS(INDIRECT(ADDRESS(12,3+18*0+(5),,,"J1 A - (North) Bishopthorpe Roa")&amp;":"&amp;ADDRESS(130,3+18*0+(5))),'J1 A - (North) Bishopthorpe Roa'!$A$12:$A$130,"&gt;="&amp;Diagram!$O82,'J1 A - (North) Bishopthorpe Roa'!$A$12:$A$130,"&lt;"&amp;Diagram!$P82),SUMIFS(INDIRECT(ADDRESS(12,3+18*0+(13),,,"J1 A - (North) Bishopthorpe Roa")&amp;":"&amp;ADDRESS(130,3+18*0+(13))),'J1 A - (North) Bishopthorpe Roa'!$A$12:$A$130,"&gt;="&amp;Diagram!$O82,'J1 A - (North) Bishopthorpe Roa'!$A$12:$A$130,"&lt;"&amp;Diagram!$P82)))</f>
        <v>2</v>
      </c>
      <c r="DB82" s="42">
        <f ca="1">IF(OR($I$10="",$O82="",$P82="",$J$40&lt;&gt;"Yes"),0,IF($K$10=0,SUMIFS(INDIRECT(ADDRESS(12,3+18*1+(5),,,"J1 A - (North) Bishopthorpe Roa")&amp;":"&amp;ADDRESS(130,3+18*1+(5))),'J1 A - (North) Bishopthorpe Roa'!$A$12:$A$130,"&gt;="&amp;Diagram!$O82,'J1 A - (North) Bishopthorpe Roa'!$A$12:$A$130,"&lt;"&amp;Diagram!$P82),SUMIFS(INDIRECT(ADDRESS(12,3+18*1+(13),,,"J1 A - (North) Bishopthorpe Roa")&amp;":"&amp;ADDRESS(130,3+18*1+(13))),'J1 A - (North) Bishopthorpe Roa'!$A$12:$A$130,"&gt;="&amp;Diagram!$O82,'J1 A - (North) Bishopthorpe Roa'!$A$12:$A$130,"&lt;"&amp;Diagram!$P82)))</f>
        <v>8</v>
      </c>
      <c r="DC82" s="42">
        <f ca="1">IF(OR($I$10="",$O82="",$P82="",$J$40&lt;&gt;"Yes"),0,IF($K$10=0,SUMIFS(INDIRECT(ADDRESS(12,3+18*2+(5),,,"J1 A - (North) Bishopthorpe Roa")&amp;":"&amp;ADDRESS(130,3+18*2+(5))),'J1 A - (North) Bishopthorpe Roa'!$A$12:$A$130,"&gt;="&amp;Diagram!$O82,'J1 A - (North) Bishopthorpe Roa'!$A$12:$A$130,"&lt;"&amp;Diagram!$P82),SUMIFS(INDIRECT(ADDRESS(12,3+18*2+(13),,,"J1 A - (North) Bishopthorpe Roa")&amp;":"&amp;ADDRESS(130,3+18*2+(13))),'J1 A - (North) Bishopthorpe Roa'!$A$12:$A$130,"&gt;="&amp;Diagram!$O82,'J1 A - (North) Bishopthorpe Roa'!$A$12:$A$130,"&lt;"&amp;Diagram!$P82)))</f>
        <v>4</v>
      </c>
      <c r="DD82" s="42">
        <f ca="1">IF(OR($I$10="",$O82="",$P82="",$J$40&lt;&gt;"Yes"),0,IF($K$10=0,SUMIFS(INDIRECT(ADDRESS(12,3+18*2+(5),,,"J1 B - Butcher Terrace")&amp;":"&amp;ADDRESS(130,3+18*2+(5))),'J1 B - Butcher Terrace'!$A$12:$A$130,"&gt;="&amp;Diagram!$O82,'J1 B - Butcher Terrace'!$A$12:$A$130,"&lt;"&amp;Diagram!$P82),SUMIFS(INDIRECT(ADDRESS(12,3+18*2+(13),,,"J1 B - Butcher Terrace")&amp;":"&amp;ADDRESS(130,3+18*2+(13))),'J1 B - Butcher Terrace'!$A$12:$A$130,"&gt;="&amp;Diagram!$O82,'J1 B - Butcher Terrace'!$A$12:$A$130,"&lt;"&amp;Diagram!$P82)))</f>
        <v>6</v>
      </c>
      <c r="DE82" s="42">
        <f ca="1">IF(OR($I$10="",$O82="",$P82="",$J$40&lt;&gt;"Yes"),0,IF($K$10=0,SUMIFS(INDIRECT(ADDRESS(12,3+18*3+(5),,,"J1 B - Butcher Terrace")&amp;":"&amp;ADDRESS(130,3+18*3+(5))),'J1 B - Butcher Terrace'!$A$12:$A$130,"&gt;="&amp;Diagram!$O82,'J1 B - Butcher Terrace'!$A$12:$A$130,"&lt;"&amp;Diagram!$P82),SUMIFS(INDIRECT(ADDRESS(12,3+18*3+(13),,,"J1 B - Butcher Terrace")&amp;":"&amp;ADDRESS(130,3+18*3+(13))),'J1 B - Butcher Terrace'!$A$12:$A$130,"&gt;="&amp;Diagram!$O82,'J1 B - Butcher Terrace'!$A$12:$A$130,"&lt;"&amp;Diagram!$P82)))</f>
        <v>0</v>
      </c>
      <c r="DF82" s="42">
        <f ca="1">IF(OR($I$10="",$O82="",$P82="",$J$40&lt;&gt;"Yes"),0,IF($K$10=0,SUMIFS(INDIRECT(ADDRESS(12,3+18*0+(5),,,"J1 B - Butcher Terrace")&amp;":"&amp;ADDRESS(130,3+18*0+(5))),'J1 B - Butcher Terrace'!$A$12:$A$130,"&gt;="&amp;Diagram!$O82,'J1 B - Butcher Terrace'!$A$12:$A$130,"&lt;"&amp;Diagram!$P82),SUMIFS(INDIRECT(ADDRESS(12,3+18*0+(13),,,"J1 B - Butcher Terrace")&amp;":"&amp;ADDRESS(130,3+18*0+(13))),'J1 B - Butcher Terrace'!$A$12:$A$130,"&gt;="&amp;Diagram!$O82,'J1 B - Butcher Terrace'!$A$12:$A$130,"&lt;"&amp;Diagram!$P82)))</f>
        <v>7</v>
      </c>
      <c r="DG82" s="42">
        <f ca="1">IF(OR($I$10="",$O82="",$P82="",$J$40&lt;&gt;"Yes"),0,IF($K$10=0,SUMIFS(INDIRECT(ADDRESS(12,3+18*1+(5),,,"J1 B - Butcher Terrace")&amp;":"&amp;ADDRESS(130,3+18*1+(5))),'J1 B - Butcher Terrace'!$A$12:$A$130,"&gt;="&amp;Diagram!$O82,'J1 B - Butcher Terrace'!$A$12:$A$130,"&lt;"&amp;Diagram!$P82),SUMIFS(INDIRECT(ADDRESS(12,3+18*1+(13),,,"J1 B - Butcher Terrace")&amp;":"&amp;ADDRESS(130,3+18*1+(13))),'J1 B - Butcher Terrace'!$A$12:$A$130,"&gt;="&amp;Diagram!$O82,'J1 B - Butcher Terrace'!$A$12:$A$130,"&lt;"&amp;Diagram!$P82)))</f>
        <v>10</v>
      </c>
      <c r="DH82" s="42">
        <f ca="1">IF(OR($I$10="",$O82="",$P82="",$J$40&lt;&gt;"Yes"),0,IF($K$10=0,SUMIFS(INDIRECT(ADDRESS(12,3+18*1+(5),,,"J1 C - (South) Bishopthorpe Roa")&amp;":"&amp;ADDRESS(130,3+18*1+(5))),'J1 C - (South) Bishopthorpe Roa'!$A$12:$A$130,"&gt;="&amp;Diagram!$O82,'J1 C - (South) Bishopthorpe Roa'!$A$12:$A$130,"&lt;"&amp;Diagram!$P82),SUMIFS(INDIRECT(ADDRESS(12,3+18*1+(13),,,"J1 C - (South) Bishopthorpe Roa")&amp;":"&amp;ADDRESS(130,3+18*1+(13))),'J1 C - (South) Bishopthorpe Roa'!$A$12:$A$130,"&gt;="&amp;Diagram!$O82,'J1 C - (South) Bishopthorpe Roa'!$A$12:$A$130,"&lt;"&amp;Diagram!$P82)))</f>
        <v>4</v>
      </c>
      <c r="DI82" s="42">
        <f ca="1">IF(OR($I$10="",$O82="",$P82="",$J$40&lt;&gt;"Yes"),0,IF($K$10=0,SUMIFS(INDIRECT(ADDRESS(12,3+18*2+(5),,,"J1 C - (South) Bishopthorpe Roa")&amp;":"&amp;ADDRESS(130,3+18*2+(5))),'J1 C - (South) Bishopthorpe Roa'!$A$12:$A$130,"&gt;="&amp;Diagram!$O82,'J1 C - (South) Bishopthorpe Roa'!$A$12:$A$130,"&lt;"&amp;Diagram!$P82),SUMIFS(INDIRECT(ADDRESS(12,3+18*2+(13),,,"J1 C - (South) Bishopthorpe Roa")&amp;":"&amp;ADDRESS(130,3+18*2+(13))),'J1 C - (South) Bishopthorpe Roa'!$A$12:$A$130,"&gt;="&amp;Diagram!$O82,'J1 C - (South) Bishopthorpe Roa'!$A$12:$A$130,"&lt;"&amp;Diagram!$P82)))</f>
        <v>7</v>
      </c>
      <c r="DJ82" s="42">
        <f ca="1">IF(OR($I$10="",$O82="",$P82="",$J$40&lt;&gt;"Yes"),0,IF($K$10=0,SUMIFS(INDIRECT(ADDRESS(12,3+18*3+(5),,,"J1 C - (South) Bishopthorpe Roa")&amp;":"&amp;ADDRESS(130,3+18*3+(5))),'J1 C - (South) Bishopthorpe Roa'!$A$12:$A$130,"&gt;="&amp;Diagram!$O82,'J1 C - (South) Bishopthorpe Roa'!$A$12:$A$130,"&lt;"&amp;Diagram!$P82),SUMIFS(INDIRECT(ADDRESS(12,3+18*3+(13),,,"J1 C - (South) Bishopthorpe Roa")&amp;":"&amp;ADDRESS(130,3+18*3+(13))),'J1 C - (South) Bishopthorpe Roa'!$A$12:$A$130,"&gt;="&amp;Diagram!$O82,'J1 C - (South) Bishopthorpe Roa'!$A$12:$A$130,"&lt;"&amp;Diagram!$P82)))</f>
        <v>0</v>
      </c>
      <c r="DK82" s="42">
        <f ca="1">IF(OR($I$10="",$O82="",$P82="",$J$40&lt;&gt;"Yes"),0,IF($K$10=0,SUMIFS(INDIRECT(ADDRESS(12,3+18*0+(5),,,"J1 C - (South) Bishopthorpe Roa")&amp;":"&amp;ADDRESS(130,3+18*0+(5))),'J1 C - (South) Bishopthorpe Roa'!$A$12:$A$130,"&gt;="&amp;Diagram!$O82,'J1 C - (South) Bishopthorpe Roa'!$A$12:$A$130,"&lt;"&amp;Diagram!$P82),SUMIFS(INDIRECT(ADDRESS(12,3+18*0+(13),,,"J1 C - (South) Bishopthorpe Roa")&amp;":"&amp;ADDRESS(130,3+18*0+(13))),'J1 C - (South) Bishopthorpe Roa'!$A$12:$A$130,"&gt;="&amp;Diagram!$O82,'J1 C - (South) Bishopthorpe Roa'!$A$12:$A$130,"&lt;"&amp;Diagram!$P82)))</f>
        <v>0</v>
      </c>
      <c r="DL82" s="42">
        <f ca="1">IF(OR($I$10="",$O82="",$P82="",$J$40&lt;&gt;"Yes"),0,IF($K$10=0,SUMIFS(INDIRECT(ADDRESS(12,3+18*0+(5),,,"J1 D - South Bank Avenue")&amp;":"&amp;ADDRESS(130,3+18*0+(5))),'J1 D - South Bank Avenue'!$A$12:$A$130,"&gt;="&amp;Diagram!$O82,'J1 D - South Bank Avenue'!$A$12:$A$130,"&lt;"&amp;Diagram!$P82),SUMIFS(INDIRECT(ADDRESS(12,3+18*0+(13),,,"J1 D - South Bank Avenue")&amp;":"&amp;ADDRESS(130,3+18*0+(13))),'J1 D - South Bank Avenue'!$A$12:$A$130,"&gt;="&amp;Diagram!$O82,'J1 D - South Bank Avenue'!$A$12:$A$130,"&lt;"&amp;Diagram!$P82)))</f>
        <v>0</v>
      </c>
      <c r="DM82" s="42">
        <f ca="1">IF(OR($I$10="",$O82="",$P82="",$J$40&lt;&gt;"Yes"),0,IF($K$10=0,SUMIFS(INDIRECT(ADDRESS(12,3+18*1+(5),,,"J1 D - South Bank Avenue")&amp;":"&amp;ADDRESS(130,3+18*1+(5))),'J1 D - South Bank Avenue'!$A$12:$A$130,"&gt;="&amp;Diagram!$O82,'J1 D - South Bank Avenue'!$A$12:$A$130,"&lt;"&amp;Diagram!$P82),SUMIFS(INDIRECT(ADDRESS(12,3+18*1+(13),,,"J1 D - South Bank Avenue")&amp;":"&amp;ADDRESS(130,3+18*1+(13))),'J1 D - South Bank Avenue'!$A$12:$A$130,"&gt;="&amp;Diagram!$O82,'J1 D - South Bank Avenue'!$A$12:$A$130,"&lt;"&amp;Diagram!$P82)))</f>
        <v>7</v>
      </c>
      <c r="DN82" s="42">
        <f ca="1">IF(OR($I$10="",$O82="",$P82="",$J$40&lt;&gt;"Yes"),0,IF($K$10=0,SUMIFS(INDIRECT(ADDRESS(12,3+18*2+(5),,,"J1 D - South Bank Avenue")&amp;":"&amp;ADDRESS(130,3+18*2+(5))),'J1 D - South Bank Avenue'!$A$12:$A$130,"&gt;="&amp;Diagram!$O82,'J1 D - South Bank Avenue'!$A$12:$A$130,"&lt;"&amp;Diagram!$P82),SUMIFS(INDIRECT(ADDRESS(12,3+18*2+(13),,,"J1 D - South Bank Avenue")&amp;":"&amp;ADDRESS(130,3+18*2+(13))),'J1 D - South Bank Avenue'!$A$12:$A$130,"&gt;="&amp;Diagram!$O82,'J1 D - South Bank Avenue'!$A$12:$A$130,"&lt;"&amp;Diagram!$P82)))</f>
        <v>0</v>
      </c>
      <c r="DO82" s="42">
        <f ca="1">IF(OR($I$10="",$O82="",$P82="",$J$40&lt;&gt;"Yes"),0,IF($K$10=0,SUMIFS(INDIRECT(ADDRESS(12,3+18*3+(5),,,"J1 D - South Bank Avenue")&amp;":"&amp;ADDRESS(130,3+18*3+(5))),'J1 D - South Bank Avenue'!$A$12:$A$130,"&gt;="&amp;Diagram!$O82,'J1 D - South Bank Avenue'!$A$12:$A$130,"&lt;"&amp;Diagram!$P82),SUMIFS(INDIRECT(ADDRESS(12,3+18*3+(13),,,"J1 D - South Bank Avenue")&amp;":"&amp;ADDRESS(130,3+18*3+(13))),'J1 D - South Bank Avenue'!$A$12:$A$130,"&gt;="&amp;Diagram!$O82,'J1 D - South Bank Avenue'!$A$12:$A$130,"&lt;"&amp;Diagram!$P82)))</f>
        <v>0</v>
      </c>
      <c r="DP82" s="42">
        <f t="shared" ca="1" si="17"/>
        <v>7</v>
      </c>
      <c r="DQ82" s="42">
        <f ca="1">IF(OR($I$10="",$O82="",$P82="",$J$41&lt;&gt;"Yes"),0,IF($K$10=0,SUMIFS(INDIRECT(ADDRESS(12,3+18*3+(6),,,"J1 A - (North) Bishopthorpe Roa")&amp;":"&amp;ADDRESS(130,3+18*3+(6))),'J1 A - (North) Bishopthorpe Roa'!$A$12:$A$130,"&gt;="&amp;Diagram!$O82,'J1 A - (North) Bishopthorpe Roa'!$A$12:$A$130,"&lt;"&amp;Diagram!$P82),SUMIFS(INDIRECT(ADDRESS(12,3+18*3+(14),,,"J1 A - (North) Bishopthorpe Roa")&amp;":"&amp;ADDRESS(130,3+18*3+(14))),'J1 A - (North) Bishopthorpe Roa'!$A$12:$A$130,"&gt;="&amp;Diagram!$O82,'J1 A - (North) Bishopthorpe Roa'!$A$12:$A$130,"&lt;"&amp;Diagram!$P82)))</f>
        <v>0</v>
      </c>
      <c r="DR82" s="42">
        <f ca="1">IF(OR($I$10="",$O82="",$P82="",$J$41&lt;&gt;"Yes"),0,IF($K$10=0,SUMIFS(INDIRECT(ADDRESS(12,3+18*0+(6),,,"J1 A - (North) Bishopthorpe Roa")&amp;":"&amp;ADDRESS(130,3+18*0+(6))),'J1 A - (North) Bishopthorpe Roa'!$A$12:$A$130,"&gt;="&amp;Diagram!$O82,'J1 A - (North) Bishopthorpe Roa'!$A$12:$A$130,"&lt;"&amp;Diagram!$P82),SUMIFS(INDIRECT(ADDRESS(12,3+18*0+(14),,,"J1 A - (North) Bishopthorpe Roa")&amp;":"&amp;ADDRESS(130,3+18*0+(14))),'J1 A - (North) Bishopthorpe Roa'!$A$12:$A$130,"&gt;="&amp;Diagram!$O82,'J1 A - (North) Bishopthorpe Roa'!$A$12:$A$130,"&lt;"&amp;Diagram!$P82)))</f>
        <v>0</v>
      </c>
      <c r="DS82" s="42">
        <f ca="1">IF(OR($I$10="",$O82="",$P82="",$J$41&lt;&gt;"Yes"),0,IF($K$10=0,SUMIFS(INDIRECT(ADDRESS(12,3+18*1+(6),,,"J1 A - (North) Bishopthorpe Roa")&amp;":"&amp;ADDRESS(130,3+18*1+(6))),'J1 A - (North) Bishopthorpe Roa'!$A$12:$A$130,"&gt;="&amp;Diagram!$O82,'J1 A - (North) Bishopthorpe Roa'!$A$12:$A$130,"&lt;"&amp;Diagram!$P82),SUMIFS(INDIRECT(ADDRESS(12,3+18*1+(14),,,"J1 A - (North) Bishopthorpe Roa")&amp;":"&amp;ADDRESS(130,3+18*1+(14))),'J1 A - (North) Bishopthorpe Roa'!$A$12:$A$130,"&gt;="&amp;Diagram!$O82,'J1 A - (North) Bishopthorpe Roa'!$A$12:$A$130,"&lt;"&amp;Diagram!$P82)))</f>
        <v>2</v>
      </c>
      <c r="DT82" s="42">
        <f ca="1">IF(OR($I$10="",$O82="",$P82="",$J$41&lt;&gt;"Yes"),0,IF($K$10=0,SUMIFS(INDIRECT(ADDRESS(12,3+18*2+(6),,,"J1 A - (North) Bishopthorpe Roa")&amp;":"&amp;ADDRESS(130,3+18*2+(6))),'J1 A - (North) Bishopthorpe Roa'!$A$12:$A$130,"&gt;="&amp;Diagram!$O82,'J1 A - (North) Bishopthorpe Roa'!$A$12:$A$130,"&lt;"&amp;Diagram!$P82),SUMIFS(INDIRECT(ADDRESS(12,3+18*2+(14),,,"J1 A - (North) Bishopthorpe Roa")&amp;":"&amp;ADDRESS(130,3+18*2+(14))),'J1 A - (North) Bishopthorpe Roa'!$A$12:$A$130,"&gt;="&amp;Diagram!$O82,'J1 A - (North) Bishopthorpe Roa'!$A$12:$A$130,"&lt;"&amp;Diagram!$P82)))</f>
        <v>2</v>
      </c>
      <c r="DU82" s="42">
        <f ca="1">IF(OR($I$10="",$O82="",$P82="",$J$41&lt;&gt;"Yes"),0,IF($K$10=0,SUMIFS(INDIRECT(ADDRESS(12,3+18*2+(6),,,"J1 B - Butcher Terrace")&amp;":"&amp;ADDRESS(130,3+18*2+(6))),'J1 B - Butcher Terrace'!$A$12:$A$130,"&gt;="&amp;Diagram!$O82,'J1 B - Butcher Terrace'!$A$12:$A$130,"&lt;"&amp;Diagram!$P82),SUMIFS(INDIRECT(ADDRESS(12,3+18*2+(14),,,"J1 B - Butcher Terrace")&amp;":"&amp;ADDRESS(130,3+18*2+(14))),'J1 B - Butcher Terrace'!$A$12:$A$130,"&gt;="&amp;Diagram!$O82,'J1 B - Butcher Terrace'!$A$12:$A$130,"&lt;"&amp;Diagram!$P82)))</f>
        <v>0</v>
      </c>
      <c r="DV82" s="42">
        <f ca="1">IF(OR($I$10="",$O82="",$P82="",$J$41&lt;&gt;"Yes"),0,IF($K$10=0,SUMIFS(INDIRECT(ADDRESS(12,3+18*3+(6),,,"J1 B - Butcher Terrace")&amp;":"&amp;ADDRESS(130,3+18*3+(6))),'J1 B - Butcher Terrace'!$A$12:$A$130,"&gt;="&amp;Diagram!$O82,'J1 B - Butcher Terrace'!$A$12:$A$130,"&lt;"&amp;Diagram!$P82),SUMIFS(INDIRECT(ADDRESS(12,3+18*3+(14),,,"J1 B - Butcher Terrace")&amp;":"&amp;ADDRESS(130,3+18*3+(14))),'J1 B - Butcher Terrace'!$A$12:$A$130,"&gt;="&amp;Diagram!$O82,'J1 B - Butcher Terrace'!$A$12:$A$130,"&lt;"&amp;Diagram!$P82)))</f>
        <v>0</v>
      </c>
      <c r="DW82" s="42">
        <f ca="1">IF(OR($I$10="",$O82="",$P82="",$J$41&lt;&gt;"Yes"),0,IF($K$10=0,SUMIFS(INDIRECT(ADDRESS(12,3+18*0+(6),,,"J1 B - Butcher Terrace")&amp;":"&amp;ADDRESS(130,3+18*0+(6))),'J1 B - Butcher Terrace'!$A$12:$A$130,"&gt;="&amp;Diagram!$O82,'J1 B - Butcher Terrace'!$A$12:$A$130,"&lt;"&amp;Diagram!$P82),SUMIFS(INDIRECT(ADDRESS(12,3+18*0+(14),,,"J1 B - Butcher Terrace")&amp;":"&amp;ADDRESS(130,3+18*0+(14))),'J1 B - Butcher Terrace'!$A$12:$A$130,"&gt;="&amp;Diagram!$O82,'J1 B - Butcher Terrace'!$A$12:$A$130,"&lt;"&amp;Diagram!$P82)))</f>
        <v>0</v>
      </c>
      <c r="DX82" s="42">
        <f ca="1">IF(OR($I$10="",$O82="",$P82="",$J$41&lt;&gt;"Yes"),0,IF($K$10=0,SUMIFS(INDIRECT(ADDRESS(12,3+18*1+(6),,,"J1 B - Butcher Terrace")&amp;":"&amp;ADDRESS(130,3+18*1+(6))),'J1 B - Butcher Terrace'!$A$12:$A$130,"&gt;="&amp;Diagram!$O82,'J1 B - Butcher Terrace'!$A$12:$A$130,"&lt;"&amp;Diagram!$P82),SUMIFS(INDIRECT(ADDRESS(12,3+18*1+(14),,,"J1 B - Butcher Terrace")&amp;":"&amp;ADDRESS(130,3+18*1+(14))),'J1 B - Butcher Terrace'!$A$12:$A$130,"&gt;="&amp;Diagram!$O82,'J1 B - Butcher Terrace'!$A$12:$A$130,"&lt;"&amp;Diagram!$P82)))</f>
        <v>0</v>
      </c>
      <c r="DY82" s="42">
        <f ca="1">IF(OR($I$10="",$O82="",$P82="",$J$41&lt;&gt;"Yes"),0,IF($K$10=0,SUMIFS(INDIRECT(ADDRESS(12,3+18*1+(6),,,"J1 C - (South) Bishopthorpe Roa")&amp;":"&amp;ADDRESS(130,3+18*1+(6))),'J1 C - (South) Bishopthorpe Roa'!$A$12:$A$130,"&gt;="&amp;Diagram!$O82,'J1 C - (South) Bishopthorpe Roa'!$A$12:$A$130,"&lt;"&amp;Diagram!$P82),SUMIFS(INDIRECT(ADDRESS(12,3+18*1+(14),,,"J1 C - (South) Bishopthorpe Roa")&amp;":"&amp;ADDRESS(130,3+18*1+(14))),'J1 C - (South) Bishopthorpe Roa'!$A$12:$A$130,"&gt;="&amp;Diagram!$O82,'J1 C - (South) Bishopthorpe Roa'!$A$12:$A$130,"&lt;"&amp;Diagram!$P82)))</f>
        <v>0</v>
      </c>
      <c r="DZ82" s="42">
        <f ca="1">IF(OR($I$10="",$O82="",$P82="",$J$41&lt;&gt;"Yes"),0,IF($K$10=0,SUMIFS(INDIRECT(ADDRESS(12,3+18*2+(6),,,"J1 C - (South) Bishopthorpe Roa")&amp;":"&amp;ADDRESS(130,3+18*2+(6))),'J1 C - (South) Bishopthorpe Roa'!$A$12:$A$130,"&gt;="&amp;Diagram!$O82,'J1 C - (South) Bishopthorpe Roa'!$A$12:$A$130,"&lt;"&amp;Diagram!$P82),SUMIFS(INDIRECT(ADDRESS(12,3+18*2+(14),,,"J1 C - (South) Bishopthorpe Roa")&amp;":"&amp;ADDRESS(130,3+18*2+(14))),'J1 C - (South) Bishopthorpe Roa'!$A$12:$A$130,"&gt;="&amp;Diagram!$O82,'J1 C - (South) Bishopthorpe Roa'!$A$12:$A$130,"&lt;"&amp;Diagram!$P82)))</f>
        <v>0</v>
      </c>
      <c r="EA82" s="42">
        <f ca="1">IF(OR($I$10="",$O82="",$P82="",$J$41&lt;&gt;"Yes"),0,IF($K$10=0,SUMIFS(INDIRECT(ADDRESS(12,3+18*3+(6),,,"J1 C - (South) Bishopthorpe Roa")&amp;":"&amp;ADDRESS(130,3+18*3+(6))),'J1 C - (South) Bishopthorpe Roa'!$A$12:$A$130,"&gt;="&amp;Diagram!$O82,'J1 C - (South) Bishopthorpe Roa'!$A$12:$A$130,"&lt;"&amp;Diagram!$P82),SUMIFS(INDIRECT(ADDRESS(12,3+18*3+(14),,,"J1 C - (South) Bishopthorpe Roa")&amp;":"&amp;ADDRESS(130,3+18*3+(14))),'J1 C - (South) Bishopthorpe Roa'!$A$12:$A$130,"&gt;="&amp;Diagram!$O82,'J1 C - (South) Bishopthorpe Roa'!$A$12:$A$130,"&lt;"&amp;Diagram!$P82)))</f>
        <v>0</v>
      </c>
      <c r="EB82" s="42">
        <f ca="1">IF(OR($I$10="",$O82="",$P82="",$J$41&lt;&gt;"Yes"),0,IF($K$10=0,SUMIFS(INDIRECT(ADDRESS(12,3+18*0+(6),,,"J1 C - (South) Bishopthorpe Roa")&amp;":"&amp;ADDRESS(130,3+18*0+(6))),'J1 C - (South) Bishopthorpe Roa'!$A$12:$A$130,"&gt;="&amp;Diagram!$O82,'J1 C - (South) Bishopthorpe Roa'!$A$12:$A$130,"&lt;"&amp;Diagram!$P82),SUMIFS(INDIRECT(ADDRESS(12,3+18*0+(14),,,"J1 C - (South) Bishopthorpe Roa")&amp;":"&amp;ADDRESS(130,3+18*0+(14))),'J1 C - (South) Bishopthorpe Roa'!$A$12:$A$130,"&gt;="&amp;Diagram!$O82,'J1 C - (South) Bishopthorpe Roa'!$A$12:$A$130,"&lt;"&amp;Diagram!$P82)))</f>
        <v>0</v>
      </c>
      <c r="EC82" s="42">
        <f ca="1">IF(OR($I$10="",$O82="",$P82="",$J$41&lt;&gt;"Yes"),0,IF($K$10=0,SUMIFS(INDIRECT(ADDRESS(12,3+18*0+(6),,,"J1 D - South Bank Avenue")&amp;":"&amp;ADDRESS(130,3+18*0+(6))),'J1 D - South Bank Avenue'!$A$12:$A$130,"&gt;="&amp;Diagram!$O82,'J1 D - South Bank Avenue'!$A$12:$A$130,"&lt;"&amp;Diagram!$P82),SUMIFS(INDIRECT(ADDRESS(12,3+18*0+(14),,,"J1 D - South Bank Avenue")&amp;":"&amp;ADDRESS(130,3+18*0+(14))),'J1 D - South Bank Avenue'!$A$12:$A$130,"&gt;="&amp;Diagram!$O82,'J1 D - South Bank Avenue'!$A$12:$A$130,"&lt;"&amp;Diagram!$P82)))</f>
        <v>3</v>
      </c>
      <c r="ED82" s="42">
        <f ca="1">IF(OR($I$10="",$O82="",$P82="",$J$41&lt;&gt;"Yes"),0,IF($K$10=0,SUMIFS(INDIRECT(ADDRESS(12,3+18*1+(6),,,"J1 D - South Bank Avenue")&amp;":"&amp;ADDRESS(130,3+18*1+(6))),'J1 D - South Bank Avenue'!$A$12:$A$130,"&gt;="&amp;Diagram!$O82,'J1 D - South Bank Avenue'!$A$12:$A$130,"&lt;"&amp;Diagram!$P82),SUMIFS(INDIRECT(ADDRESS(12,3+18*1+(14),,,"J1 D - South Bank Avenue")&amp;":"&amp;ADDRESS(130,3+18*1+(14))),'J1 D - South Bank Avenue'!$A$12:$A$130,"&gt;="&amp;Diagram!$O82,'J1 D - South Bank Avenue'!$A$12:$A$130,"&lt;"&amp;Diagram!$P82)))</f>
        <v>0</v>
      </c>
      <c r="EE82" s="42">
        <f ca="1">IF(OR($I$10="",$O82="",$P82="",$J$41&lt;&gt;"Yes"),0,IF($K$10=0,SUMIFS(INDIRECT(ADDRESS(12,3+18*2+(6),,,"J1 D - South Bank Avenue")&amp;":"&amp;ADDRESS(130,3+18*2+(6))),'J1 D - South Bank Avenue'!$A$12:$A$130,"&gt;="&amp;Diagram!$O82,'J1 D - South Bank Avenue'!$A$12:$A$130,"&lt;"&amp;Diagram!$P82),SUMIFS(INDIRECT(ADDRESS(12,3+18*2+(14),,,"J1 D - South Bank Avenue")&amp;":"&amp;ADDRESS(130,3+18*2+(14))),'J1 D - South Bank Avenue'!$A$12:$A$130,"&gt;="&amp;Diagram!$O82,'J1 D - South Bank Avenue'!$A$12:$A$130,"&lt;"&amp;Diagram!$P82)))</f>
        <v>0</v>
      </c>
      <c r="EF82" s="42">
        <f ca="1">IF(OR($I$10="",$O82="",$P82="",$J$41&lt;&gt;"Yes"),0,IF($K$10=0,SUMIFS(INDIRECT(ADDRESS(12,3+18*3+(6),,,"J1 D - South Bank Avenue")&amp;":"&amp;ADDRESS(130,3+18*3+(6))),'J1 D - South Bank Avenue'!$A$12:$A$130,"&gt;="&amp;Diagram!$O82,'J1 D - South Bank Avenue'!$A$12:$A$130,"&lt;"&amp;Diagram!$P82),SUMIFS(INDIRECT(ADDRESS(12,3+18*3+(14),,,"J1 D - South Bank Avenue")&amp;":"&amp;ADDRESS(130,3+18*3+(14))),'J1 D - South Bank Avenue'!$A$12:$A$130,"&gt;="&amp;Diagram!$O82,'J1 D - South Bank Avenue'!$A$12:$A$130,"&lt;"&amp;Diagram!$P82)))</f>
        <v>0</v>
      </c>
      <c r="EG82" s="42">
        <f t="shared" ca="1" si="18"/>
        <v>0</v>
      </c>
      <c r="EH82" s="42">
        <f ca="1">IF(OR($I$10="",$O82="",$P82="",$J$42&lt;&gt;"Yes"),0,IF($K$10=0,SUMIFS(INDIRECT(ADDRESS(12,3+18*3+(7),,,"J1 A - (North) Bishopthorpe Roa")&amp;":"&amp;ADDRESS(130,3+18*3+(7))),'J1 A - (North) Bishopthorpe Roa'!$A$12:$A$130,"&gt;="&amp;Diagram!$O82,'J1 A - (North) Bishopthorpe Roa'!$A$12:$A$130,"&lt;"&amp;Diagram!$P82),SUMIFS(INDIRECT(ADDRESS(12,3+18*3+(15),,,"J1 A - (North) Bishopthorpe Roa")&amp;":"&amp;ADDRESS(130,3+18*3+(15))),'J1 A - (North) Bishopthorpe Roa'!$A$12:$A$130,"&gt;="&amp;Diagram!$O82,'J1 A - (North) Bishopthorpe Roa'!$A$12:$A$130,"&lt;"&amp;Diagram!$P82)))</f>
        <v>0</v>
      </c>
      <c r="EI82" s="42">
        <f ca="1">IF(OR($I$10="",$O82="",$P82="",$J$42&lt;&gt;"Yes"),0,IF($K$10=0,SUMIFS(INDIRECT(ADDRESS(12,3+18*0+(7),,,"J1 A - (North) Bishopthorpe Roa")&amp;":"&amp;ADDRESS(130,3+18*0+(7))),'J1 A - (North) Bishopthorpe Roa'!$A$12:$A$130,"&gt;="&amp;Diagram!$O82,'J1 A - (North) Bishopthorpe Roa'!$A$12:$A$130,"&lt;"&amp;Diagram!$P82),SUMIFS(INDIRECT(ADDRESS(12,3+18*0+(15),,,"J1 A - (North) Bishopthorpe Roa")&amp;":"&amp;ADDRESS(130,3+18*0+(15))),'J1 A - (North) Bishopthorpe Roa'!$A$12:$A$130,"&gt;="&amp;Diagram!$O82,'J1 A - (North) Bishopthorpe Roa'!$A$12:$A$130,"&lt;"&amp;Diagram!$P82)))</f>
        <v>0</v>
      </c>
      <c r="EJ82" s="42">
        <f ca="1">IF(OR($I$10="",$O82="",$P82="",$J$42&lt;&gt;"Yes"),0,IF($K$10=0,SUMIFS(INDIRECT(ADDRESS(12,3+18*1+(7),,,"J1 A - (North) Bishopthorpe Roa")&amp;":"&amp;ADDRESS(130,3+18*1+(7))),'J1 A - (North) Bishopthorpe Roa'!$A$12:$A$130,"&gt;="&amp;Diagram!$O82,'J1 A - (North) Bishopthorpe Roa'!$A$12:$A$130,"&lt;"&amp;Diagram!$P82),SUMIFS(INDIRECT(ADDRESS(12,3+18*1+(15),,,"J1 A - (North) Bishopthorpe Roa")&amp;":"&amp;ADDRESS(130,3+18*1+(15))),'J1 A - (North) Bishopthorpe Roa'!$A$12:$A$130,"&gt;="&amp;Diagram!$O82,'J1 A - (North) Bishopthorpe Roa'!$A$12:$A$130,"&lt;"&amp;Diagram!$P82)))</f>
        <v>0</v>
      </c>
      <c r="EK82" s="42">
        <f ca="1">IF(OR($I$10="",$O82="",$P82="",$J$42&lt;&gt;"Yes"),0,IF($K$10=0,SUMIFS(INDIRECT(ADDRESS(12,3+18*2+(7),,,"J1 A - (North) Bishopthorpe Roa")&amp;":"&amp;ADDRESS(130,3+18*2+(7))),'J1 A - (North) Bishopthorpe Roa'!$A$12:$A$130,"&gt;="&amp;Diagram!$O82,'J1 A - (North) Bishopthorpe Roa'!$A$12:$A$130,"&lt;"&amp;Diagram!$P82),SUMIFS(INDIRECT(ADDRESS(12,3+18*2+(15),,,"J1 A - (North) Bishopthorpe Roa")&amp;":"&amp;ADDRESS(130,3+18*2+(15))),'J1 A - (North) Bishopthorpe Roa'!$A$12:$A$130,"&gt;="&amp;Diagram!$O82,'J1 A - (North) Bishopthorpe Roa'!$A$12:$A$130,"&lt;"&amp;Diagram!$P82)))</f>
        <v>0</v>
      </c>
      <c r="EL82" s="42">
        <f ca="1">IF(OR($I$10="",$O82="",$P82="",$J$42&lt;&gt;"Yes"),0,IF($K$10=0,SUMIFS(INDIRECT(ADDRESS(12,3+18*2+(7),,,"J1 B - Butcher Terrace")&amp;":"&amp;ADDRESS(130,3+18*2+(7))),'J1 B - Butcher Terrace'!$A$12:$A$130,"&gt;="&amp;Diagram!$O82,'J1 B - Butcher Terrace'!$A$12:$A$130,"&lt;"&amp;Diagram!$P82),SUMIFS(INDIRECT(ADDRESS(12,3+18*2+(15),,,"J1 B - Butcher Terrace")&amp;":"&amp;ADDRESS(130,3+18*2+(15))),'J1 B - Butcher Terrace'!$A$12:$A$130,"&gt;="&amp;Diagram!$O82,'J1 B - Butcher Terrace'!$A$12:$A$130,"&lt;"&amp;Diagram!$P82)))</f>
        <v>0</v>
      </c>
      <c r="EM82" s="42">
        <f ca="1">IF(OR($I$10="",$O82="",$P82="",$J$42&lt;&gt;"Yes"),0,IF($K$10=0,SUMIFS(INDIRECT(ADDRESS(12,3+18*3+(7),,,"J1 B - Butcher Terrace")&amp;":"&amp;ADDRESS(130,3+18*3+(7))),'J1 B - Butcher Terrace'!$A$12:$A$130,"&gt;="&amp;Diagram!$O82,'J1 B - Butcher Terrace'!$A$12:$A$130,"&lt;"&amp;Diagram!$P82),SUMIFS(INDIRECT(ADDRESS(12,3+18*3+(15),,,"J1 B - Butcher Terrace")&amp;":"&amp;ADDRESS(130,3+18*3+(15))),'J1 B - Butcher Terrace'!$A$12:$A$130,"&gt;="&amp;Diagram!$O82,'J1 B - Butcher Terrace'!$A$12:$A$130,"&lt;"&amp;Diagram!$P82)))</f>
        <v>0</v>
      </c>
      <c r="EN82" s="42">
        <f ca="1">IF(OR($I$10="",$O82="",$P82="",$J$42&lt;&gt;"Yes"),0,IF($K$10=0,SUMIFS(INDIRECT(ADDRESS(12,3+18*0+(7),,,"J1 B - Butcher Terrace")&amp;":"&amp;ADDRESS(130,3+18*0+(7))),'J1 B - Butcher Terrace'!$A$12:$A$130,"&gt;="&amp;Diagram!$O82,'J1 B - Butcher Terrace'!$A$12:$A$130,"&lt;"&amp;Diagram!$P82),SUMIFS(INDIRECT(ADDRESS(12,3+18*0+(15),,,"J1 B - Butcher Terrace")&amp;":"&amp;ADDRESS(130,3+18*0+(15))),'J1 B - Butcher Terrace'!$A$12:$A$130,"&gt;="&amp;Diagram!$O82,'J1 B - Butcher Terrace'!$A$12:$A$130,"&lt;"&amp;Diagram!$P82)))</f>
        <v>0</v>
      </c>
      <c r="EO82" s="42">
        <f ca="1">IF(OR($I$10="",$O82="",$P82="",$J$42&lt;&gt;"Yes"),0,IF($K$10=0,SUMIFS(INDIRECT(ADDRESS(12,3+18*1+(7),,,"J1 B - Butcher Terrace")&amp;":"&amp;ADDRESS(130,3+18*1+(7))),'J1 B - Butcher Terrace'!$A$12:$A$130,"&gt;="&amp;Diagram!$O82,'J1 B - Butcher Terrace'!$A$12:$A$130,"&lt;"&amp;Diagram!$P82),SUMIFS(INDIRECT(ADDRESS(12,3+18*1+(15),,,"J1 B - Butcher Terrace")&amp;":"&amp;ADDRESS(130,3+18*1+(15))),'J1 B - Butcher Terrace'!$A$12:$A$130,"&gt;="&amp;Diagram!$O82,'J1 B - Butcher Terrace'!$A$12:$A$130,"&lt;"&amp;Diagram!$P82)))</f>
        <v>0</v>
      </c>
      <c r="EP82" s="42">
        <f ca="1">IF(OR($I$10="",$O82="",$P82="",$J$42&lt;&gt;"Yes"),0,IF($K$10=0,SUMIFS(INDIRECT(ADDRESS(12,3+18*1+(7),,,"J1 C - (South) Bishopthorpe Roa")&amp;":"&amp;ADDRESS(130,3+18*1+(7))),'J1 C - (South) Bishopthorpe Roa'!$A$12:$A$130,"&gt;="&amp;Diagram!$O82,'J1 C - (South) Bishopthorpe Roa'!$A$12:$A$130,"&lt;"&amp;Diagram!$P82),SUMIFS(INDIRECT(ADDRESS(12,3+18*1+(15),,,"J1 C - (South) Bishopthorpe Roa")&amp;":"&amp;ADDRESS(130,3+18*1+(15))),'J1 C - (South) Bishopthorpe Roa'!$A$12:$A$130,"&gt;="&amp;Diagram!$O82,'J1 C - (South) Bishopthorpe Roa'!$A$12:$A$130,"&lt;"&amp;Diagram!$P82)))</f>
        <v>0</v>
      </c>
      <c r="EQ82" s="42">
        <f ca="1">IF(OR($I$10="",$O82="",$P82="",$J$42&lt;&gt;"Yes"),0,IF($K$10=0,SUMIFS(INDIRECT(ADDRESS(12,3+18*2+(7),,,"J1 C - (South) Bishopthorpe Roa")&amp;":"&amp;ADDRESS(130,3+18*2+(7))),'J1 C - (South) Bishopthorpe Roa'!$A$12:$A$130,"&gt;="&amp;Diagram!$O82,'J1 C - (South) Bishopthorpe Roa'!$A$12:$A$130,"&lt;"&amp;Diagram!$P82),SUMIFS(INDIRECT(ADDRESS(12,3+18*2+(15),,,"J1 C - (South) Bishopthorpe Roa")&amp;":"&amp;ADDRESS(130,3+18*2+(15))),'J1 C - (South) Bishopthorpe Roa'!$A$12:$A$130,"&gt;="&amp;Diagram!$O82,'J1 C - (South) Bishopthorpe Roa'!$A$12:$A$130,"&lt;"&amp;Diagram!$P82)))</f>
        <v>0</v>
      </c>
      <c r="ER82" s="42">
        <f ca="1">IF(OR($I$10="",$O82="",$P82="",$J$42&lt;&gt;"Yes"),0,IF($K$10=0,SUMIFS(INDIRECT(ADDRESS(12,3+18*3+(7),,,"J1 C - (South) Bishopthorpe Roa")&amp;":"&amp;ADDRESS(130,3+18*3+(7))),'J1 C - (South) Bishopthorpe Roa'!$A$12:$A$130,"&gt;="&amp;Diagram!$O82,'J1 C - (South) Bishopthorpe Roa'!$A$12:$A$130,"&lt;"&amp;Diagram!$P82),SUMIFS(INDIRECT(ADDRESS(12,3+18*3+(15),,,"J1 C - (South) Bishopthorpe Roa")&amp;":"&amp;ADDRESS(130,3+18*3+(15))),'J1 C - (South) Bishopthorpe Roa'!$A$12:$A$130,"&gt;="&amp;Diagram!$O82,'J1 C - (South) Bishopthorpe Roa'!$A$12:$A$130,"&lt;"&amp;Diagram!$P82)))</f>
        <v>0</v>
      </c>
      <c r="ES82" s="42">
        <f ca="1">IF(OR($I$10="",$O82="",$P82="",$J$42&lt;&gt;"Yes"),0,IF($K$10=0,SUMIFS(INDIRECT(ADDRESS(12,3+18*0+(7),,,"J1 C - (South) Bishopthorpe Roa")&amp;":"&amp;ADDRESS(130,3+18*0+(7))),'J1 C - (South) Bishopthorpe Roa'!$A$12:$A$130,"&gt;="&amp;Diagram!$O82,'J1 C - (South) Bishopthorpe Roa'!$A$12:$A$130,"&lt;"&amp;Diagram!$P82),SUMIFS(INDIRECT(ADDRESS(12,3+18*0+(15),,,"J1 C - (South) Bishopthorpe Roa")&amp;":"&amp;ADDRESS(130,3+18*0+(15))),'J1 C - (South) Bishopthorpe Roa'!$A$12:$A$130,"&gt;="&amp;Diagram!$O82,'J1 C - (South) Bishopthorpe Roa'!$A$12:$A$130,"&lt;"&amp;Diagram!$P82)))</f>
        <v>0</v>
      </c>
      <c r="ET82" s="42">
        <f ca="1">IF(OR($I$10="",$O82="",$P82="",$J$42&lt;&gt;"Yes"),0,IF($K$10=0,SUMIFS(INDIRECT(ADDRESS(12,3+18*0+(7),,,"J1 D - South Bank Avenue")&amp;":"&amp;ADDRESS(130,3+18*0+(7))),'J1 D - South Bank Avenue'!$A$12:$A$130,"&gt;="&amp;Diagram!$O82,'J1 D - South Bank Avenue'!$A$12:$A$130,"&lt;"&amp;Diagram!$P82),SUMIFS(INDIRECT(ADDRESS(12,3+18*0+(15),,,"J1 D - South Bank Avenue")&amp;":"&amp;ADDRESS(130,3+18*0+(15))),'J1 D - South Bank Avenue'!$A$12:$A$130,"&gt;="&amp;Diagram!$O82,'J1 D - South Bank Avenue'!$A$12:$A$130,"&lt;"&amp;Diagram!$P82)))</f>
        <v>0</v>
      </c>
      <c r="EU82" s="42">
        <f ca="1">IF(OR($I$10="",$O82="",$P82="",$J$42&lt;&gt;"Yes"),0,IF($K$10=0,SUMIFS(INDIRECT(ADDRESS(12,3+18*1+(7),,,"J1 D - South Bank Avenue")&amp;":"&amp;ADDRESS(130,3+18*1+(7))),'J1 D - South Bank Avenue'!$A$12:$A$130,"&gt;="&amp;Diagram!$O82,'J1 D - South Bank Avenue'!$A$12:$A$130,"&lt;"&amp;Diagram!$P82),SUMIFS(INDIRECT(ADDRESS(12,3+18*1+(15),,,"J1 D - South Bank Avenue")&amp;":"&amp;ADDRESS(130,3+18*1+(15))),'J1 D - South Bank Avenue'!$A$12:$A$130,"&gt;="&amp;Diagram!$O82,'J1 D - South Bank Avenue'!$A$12:$A$130,"&lt;"&amp;Diagram!$P82)))</f>
        <v>0</v>
      </c>
      <c r="EV82" s="42">
        <f ca="1">IF(OR($I$10="",$O82="",$P82="",$J$42&lt;&gt;"Yes"),0,IF($K$10=0,SUMIFS(INDIRECT(ADDRESS(12,3+18*2+(7),,,"J1 D - South Bank Avenue")&amp;":"&amp;ADDRESS(130,3+18*2+(7))),'J1 D - South Bank Avenue'!$A$12:$A$130,"&gt;="&amp;Diagram!$O82,'J1 D - South Bank Avenue'!$A$12:$A$130,"&lt;"&amp;Diagram!$P82),SUMIFS(INDIRECT(ADDRESS(12,3+18*2+(15),,,"J1 D - South Bank Avenue")&amp;":"&amp;ADDRESS(130,3+18*2+(15))),'J1 D - South Bank Avenue'!$A$12:$A$130,"&gt;="&amp;Diagram!$O82,'J1 D - South Bank Avenue'!$A$12:$A$130,"&lt;"&amp;Diagram!$P82)))</f>
        <v>0</v>
      </c>
      <c r="EW82" s="42">
        <f ca="1">IF(OR($I$10="",$O82="",$P82="",$J$42&lt;&gt;"Yes"),0,IF($K$10=0,SUMIFS(INDIRECT(ADDRESS(12,3+18*3+(7),,,"J1 D - South Bank Avenue")&amp;":"&amp;ADDRESS(130,3+18*3+(7))),'J1 D - South Bank Avenue'!$A$12:$A$130,"&gt;="&amp;Diagram!$O82,'J1 D - South Bank Avenue'!$A$12:$A$130,"&lt;"&amp;Diagram!$P82),SUMIFS(INDIRECT(ADDRESS(12,3+18*3+(15),,,"J1 D - South Bank Avenue")&amp;":"&amp;ADDRESS(130,3+18*3+(15))),'J1 D - South Bank Avenue'!$A$12:$A$130,"&gt;="&amp;Diagram!$O82,'J1 D - South Bank Avenue'!$A$12:$A$130,"&lt;"&amp;Diagram!$P82)))</f>
        <v>0</v>
      </c>
    </row>
    <row r="83" spans="1:153">
      <c r="A83" s="1">
        <v>44395.854166666701</v>
      </c>
      <c r="B83" s="1">
        <v>44395.864583333299</v>
      </c>
      <c r="O83" s="3">
        <v>44395.854166666701</v>
      </c>
      <c r="P83" s="3">
        <v>44395.895833333299</v>
      </c>
      <c r="Q83" s="42">
        <f t="shared" ca="1" si="10"/>
        <v>337</v>
      </c>
      <c r="R83" s="42">
        <f t="shared" ca="1" si="11"/>
        <v>250</v>
      </c>
      <c r="S83" s="42">
        <f ca="1">IF(OR($I$10="",$O83="",$P83="",$J$35&lt;&gt;"Yes"),0,IF($K$10=0,SUMIFS(INDIRECT(ADDRESS(12,3+18*3+(0),,,"J1 A - (North) Bishopthorpe Roa")&amp;":"&amp;ADDRESS(130,3+18*3+(0))),'J1 A - (North) Bishopthorpe Roa'!$A$12:$A$130,"&gt;="&amp;Diagram!$O83,'J1 A - (North) Bishopthorpe Roa'!$A$12:$A$130,"&lt;"&amp;Diagram!$P83),SUMIFS(INDIRECT(ADDRESS(12,3+18*3+(8),,,"J1 A - (North) Bishopthorpe Roa")&amp;":"&amp;ADDRESS(130,3+18*3+(8))),'J1 A - (North) Bishopthorpe Roa'!$A$12:$A$130,"&gt;="&amp;Diagram!$O83,'J1 A - (North) Bishopthorpe Roa'!$A$12:$A$130,"&lt;"&amp;Diagram!$P83)))</f>
        <v>0</v>
      </c>
      <c r="T83" s="42">
        <f ca="1">IF(OR($I$10="",$O83="",$P83="",$J$35&lt;&gt;"Yes"),0,IF($K$10=0,SUMIFS(INDIRECT(ADDRESS(12,3+18*0+(0),,,"J1 A - (North) Bishopthorpe Roa")&amp;":"&amp;ADDRESS(130,3+18*0+(0))),'J1 A - (North) Bishopthorpe Roa'!$A$12:$A$130,"&gt;="&amp;Diagram!$O83,'J1 A - (North) Bishopthorpe Roa'!$A$12:$A$130,"&lt;"&amp;Diagram!$P83),SUMIFS(INDIRECT(ADDRESS(12,3+18*0+(8),,,"J1 A - (North) Bishopthorpe Roa")&amp;":"&amp;ADDRESS(130,3+18*0+(8))),'J1 A - (North) Bishopthorpe Roa'!$A$12:$A$130,"&gt;="&amp;Diagram!$O83,'J1 A - (North) Bishopthorpe Roa'!$A$12:$A$130,"&lt;"&amp;Diagram!$P83)))</f>
        <v>6</v>
      </c>
      <c r="U83" s="42">
        <f ca="1">IF(OR($I$10="",$O83="",$P83="",$J$35&lt;&gt;"Yes"),0,IF($K$10=0,SUMIFS(INDIRECT(ADDRESS(12,3+18*1+(0),,,"J1 A - (North) Bishopthorpe Roa")&amp;":"&amp;ADDRESS(130,3+18*1+(0))),'J1 A - (North) Bishopthorpe Roa'!$A$12:$A$130,"&gt;="&amp;Diagram!$O83,'J1 A - (North) Bishopthorpe Roa'!$A$12:$A$130,"&lt;"&amp;Diagram!$P83),SUMIFS(INDIRECT(ADDRESS(12,3+18*1+(8),,,"J1 A - (North) Bishopthorpe Roa")&amp;":"&amp;ADDRESS(130,3+18*1+(8))),'J1 A - (North) Bishopthorpe Roa'!$A$12:$A$130,"&gt;="&amp;Diagram!$O83,'J1 A - (North) Bishopthorpe Roa'!$A$12:$A$130,"&lt;"&amp;Diagram!$P83)))</f>
        <v>92</v>
      </c>
      <c r="V83" s="42">
        <f ca="1">IF(OR($I$10="",$O83="",$P83="",$J$35&lt;&gt;"Yes"),0,IF($K$10=0,SUMIFS(INDIRECT(ADDRESS(12,3+18*2+(0),,,"J1 A - (North) Bishopthorpe Roa")&amp;":"&amp;ADDRESS(130,3+18*2+(0))),'J1 A - (North) Bishopthorpe Roa'!$A$12:$A$130,"&gt;="&amp;Diagram!$O83,'J1 A - (North) Bishopthorpe Roa'!$A$12:$A$130,"&lt;"&amp;Diagram!$P83),SUMIFS(INDIRECT(ADDRESS(12,3+18*2+(8),,,"J1 A - (North) Bishopthorpe Roa")&amp;":"&amp;ADDRESS(130,3+18*2+(8))),'J1 A - (North) Bishopthorpe Roa'!$A$12:$A$130,"&gt;="&amp;Diagram!$O83,'J1 A - (North) Bishopthorpe Roa'!$A$12:$A$130,"&lt;"&amp;Diagram!$P83)))</f>
        <v>17</v>
      </c>
      <c r="W83" s="42">
        <f ca="1">IF(OR($I$10="",$O83="",$P83="",$J$35&lt;&gt;"Yes"),0,IF($K$10=0,SUMIFS(INDIRECT(ADDRESS(12,3+18*2+(0),,,"J1 B - Butcher Terrace")&amp;":"&amp;ADDRESS(130,3+18*2+(0))),'J1 B - Butcher Terrace'!$A$12:$A$130,"&gt;="&amp;Diagram!$O83,'J1 B - Butcher Terrace'!$A$12:$A$130,"&lt;"&amp;Diagram!$P83),SUMIFS(INDIRECT(ADDRESS(12,3+18*2+(8),,,"J1 B - Butcher Terrace")&amp;":"&amp;ADDRESS(130,3+18*2+(8))),'J1 B - Butcher Terrace'!$A$12:$A$130,"&gt;="&amp;Diagram!$O83,'J1 B - Butcher Terrace'!$A$12:$A$130,"&lt;"&amp;Diagram!$P83)))</f>
        <v>6</v>
      </c>
      <c r="X83" s="42">
        <f ca="1">IF(OR($I$10="",$O83="",$P83="",$J$35&lt;&gt;"Yes"),0,IF($K$10=0,SUMIFS(INDIRECT(ADDRESS(12,3+18*3+(0),,,"J1 B - Butcher Terrace")&amp;":"&amp;ADDRESS(130,3+18*3+(0))),'J1 B - Butcher Terrace'!$A$12:$A$130,"&gt;="&amp;Diagram!$O83,'J1 B - Butcher Terrace'!$A$12:$A$130,"&lt;"&amp;Diagram!$P83),SUMIFS(INDIRECT(ADDRESS(12,3+18*3+(8),,,"J1 B - Butcher Terrace")&amp;":"&amp;ADDRESS(130,3+18*3+(8))),'J1 B - Butcher Terrace'!$A$12:$A$130,"&gt;="&amp;Diagram!$O83,'J1 B - Butcher Terrace'!$A$12:$A$130,"&lt;"&amp;Diagram!$P83)))</f>
        <v>0</v>
      </c>
      <c r="Y83" s="42">
        <f ca="1">IF(OR($I$10="",$O83="",$P83="",$J$35&lt;&gt;"Yes"),0,IF($K$10=0,SUMIFS(INDIRECT(ADDRESS(12,3+18*0+(0),,,"J1 B - Butcher Terrace")&amp;":"&amp;ADDRESS(130,3+18*0+(0))),'J1 B - Butcher Terrace'!$A$12:$A$130,"&gt;="&amp;Diagram!$O83,'J1 B - Butcher Terrace'!$A$12:$A$130,"&lt;"&amp;Diagram!$P83),SUMIFS(INDIRECT(ADDRESS(12,3+18*0+(8),,,"J1 B - Butcher Terrace")&amp;":"&amp;ADDRESS(130,3+18*0+(8))),'J1 B - Butcher Terrace'!$A$12:$A$130,"&gt;="&amp;Diagram!$O83,'J1 B - Butcher Terrace'!$A$12:$A$130,"&lt;"&amp;Diagram!$P83)))</f>
        <v>2</v>
      </c>
      <c r="Z83" s="42">
        <f ca="1">IF(OR($I$10="",$O83="",$P83="",$J$35&lt;&gt;"Yes"),0,IF($K$10=0,SUMIFS(INDIRECT(ADDRESS(12,3+18*1+(0),,,"J1 B - Butcher Terrace")&amp;":"&amp;ADDRESS(130,3+18*1+(0))),'J1 B - Butcher Terrace'!$A$12:$A$130,"&gt;="&amp;Diagram!$O83,'J1 B - Butcher Terrace'!$A$12:$A$130,"&lt;"&amp;Diagram!$P83),SUMIFS(INDIRECT(ADDRESS(12,3+18*1+(8),,,"J1 B - Butcher Terrace")&amp;":"&amp;ADDRESS(130,3+18*1+(8))),'J1 B - Butcher Terrace'!$A$12:$A$130,"&gt;="&amp;Diagram!$O83,'J1 B - Butcher Terrace'!$A$12:$A$130,"&lt;"&amp;Diagram!$P83)))</f>
        <v>9</v>
      </c>
      <c r="AA83" s="42">
        <f ca="1">IF(OR($I$10="",$O83="",$P83="",$J$35&lt;&gt;"Yes"),0,IF($K$10=0,SUMIFS(INDIRECT(ADDRESS(12,3+18*1+(0),,,"J1 C - (South) Bishopthorpe Roa")&amp;":"&amp;ADDRESS(130,3+18*1+(0))),'J1 C - (South) Bishopthorpe Roa'!$A$12:$A$130,"&gt;="&amp;Diagram!$O83,'J1 C - (South) Bishopthorpe Roa'!$A$12:$A$130,"&lt;"&amp;Diagram!$P83),SUMIFS(INDIRECT(ADDRESS(12,3+18*1+(8),,,"J1 C - (South) Bishopthorpe Roa")&amp;":"&amp;ADDRESS(130,3+18*1+(8))),'J1 C - (South) Bishopthorpe Roa'!$A$12:$A$130,"&gt;="&amp;Diagram!$O83,'J1 C - (South) Bishopthorpe Roa'!$A$12:$A$130,"&lt;"&amp;Diagram!$P83)))</f>
        <v>95</v>
      </c>
      <c r="AB83" s="42">
        <f ca="1">IF(OR($I$10="",$O83="",$P83="",$J$35&lt;&gt;"Yes"),0,IF($K$10=0,SUMIFS(INDIRECT(ADDRESS(12,3+18*2+(0),,,"J1 C - (South) Bishopthorpe Roa")&amp;":"&amp;ADDRESS(130,3+18*2+(0))),'J1 C - (South) Bishopthorpe Roa'!$A$12:$A$130,"&gt;="&amp;Diagram!$O83,'J1 C - (South) Bishopthorpe Roa'!$A$12:$A$130,"&lt;"&amp;Diagram!$P83),SUMIFS(INDIRECT(ADDRESS(12,3+18*2+(8),,,"J1 C - (South) Bishopthorpe Roa")&amp;":"&amp;ADDRESS(130,3+18*2+(8))),'J1 C - (South) Bishopthorpe Roa'!$A$12:$A$130,"&gt;="&amp;Diagram!$O83,'J1 C - (South) Bishopthorpe Roa'!$A$12:$A$130,"&lt;"&amp;Diagram!$P83)))</f>
        <v>6</v>
      </c>
      <c r="AC83" s="42">
        <f ca="1">IF(OR($I$10="",$O83="",$P83="",$J$35&lt;&gt;"Yes"),0,IF($K$10=0,SUMIFS(INDIRECT(ADDRESS(12,3+18*3+(0),,,"J1 C - (South) Bishopthorpe Roa")&amp;":"&amp;ADDRESS(130,3+18*3+(0))),'J1 C - (South) Bishopthorpe Roa'!$A$12:$A$130,"&gt;="&amp;Diagram!$O83,'J1 C - (South) Bishopthorpe Roa'!$A$12:$A$130,"&lt;"&amp;Diagram!$P83),SUMIFS(INDIRECT(ADDRESS(12,3+18*3+(8),,,"J1 C - (South) Bishopthorpe Roa")&amp;":"&amp;ADDRESS(130,3+18*3+(8))),'J1 C - (South) Bishopthorpe Roa'!$A$12:$A$130,"&gt;="&amp;Diagram!$O83,'J1 C - (South) Bishopthorpe Roa'!$A$12:$A$130,"&lt;"&amp;Diagram!$P83)))</f>
        <v>0</v>
      </c>
      <c r="AD83" s="42">
        <f ca="1">IF(OR($I$10="",$O83="",$P83="",$J$35&lt;&gt;"Yes"),0,IF($K$10=0,SUMIFS(INDIRECT(ADDRESS(12,3+18*0+(0),,,"J1 C - (South) Bishopthorpe Roa")&amp;":"&amp;ADDRESS(130,3+18*0+(0))),'J1 C - (South) Bishopthorpe Roa'!$A$12:$A$130,"&gt;="&amp;Diagram!$O83,'J1 C - (South) Bishopthorpe Roa'!$A$12:$A$130,"&lt;"&amp;Diagram!$P83),SUMIFS(INDIRECT(ADDRESS(12,3+18*0+(8),,,"J1 C - (South) Bishopthorpe Roa")&amp;":"&amp;ADDRESS(130,3+18*0+(8))),'J1 C - (South) Bishopthorpe Roa'!$A$12:$A$130,"&gt;="&amp;Diagram!$O83,'J1 C - (South) Bishopthorpe Roa'!$A$12:$A$130,"&lt;"&amp;Diagram!$P83)))</f>
        <v>3</v>
      </c>
      <c r="AE83" s="42">
        <f ca="1">IF(OR($I$10="",$O83="",$P83="",$J$35&lt;&gt;"Yes"),0,IF($K$10=0,SUMIFS(INDIRECT(ADDRESS(12,3+18*0+(0),,,"J1 D - South Bank Avenue")&amp;":"&amp;ADDRESS(130,3+18*0+(0))),'J1 D - South Bank Avenue'!$A$12:$A$130,"&gt;="&amp;Diagram!$O83,'J1 D - South Bank Avenue'!$A$12:$A$130,"&lt;"&amp;Diagram!$P83),SUMIFS(INDIRECT(ADDRESS(12,3+18*0+(8),,,"J1 D - South Bank Avenue")&amp;":"&amp;ADDRESS(130,3+18*0+(8))),'J1 D - South Bank Avenue'!$A$12:$A$130,"&gt;="&amp;Diagram!$O83,'J1 D - South Bank Avenue'!$A$12:$A$130,"&lt;"&amp;Diagram!$P83)))</f>
        <v>12</v>
      </c>
      <c r="AF83" s="42">
        <f ca="1">IF(OR($I$10="",$O83="",$P83="",$J$35&lt;&gt;"Yes"),0,IF($K$10=0,SUMIFS(INDIRECT(ADDRESS(12,3+18*1+(0),,,"J1 D - South Bank Avenue")&amp;":"&amp;ADDRESS(130,3+18*1+(0))),'J1 D - South Bank Avenue'!$A$12:$A$130,"&gt;="&amp;Diagram!$O83,'J1 D - South Bank Avenue'!$A$12:$A$130,"&lt;"&amp;Diagram!$P83),SUMIFS(INDIRECT(ADDRESS(12,3+18*1+(8),,,"J1 D - South Bank Avenue")&amp;":"&amp;ADDRESS(130,3+18*1+(8))),'J1 D - South Bank Avenue'!$A$12:$A$130,"&gt;="&amp;Diagram!$O83,'J1 D - South Bank Avenue'!$A$12:$A$130,"&lt;"&amp;Diagram!$P83)))</f>
        <v>1</v>
      </c>
      <c r="AG83" s="42">
        <f ca="1">IF(OR($I$10="",$O83="",$P83="",$J$35&lt;&gt;"Yes"),0,IF($K$10=0,SUMIFS(INDIRECT(ADDRESS(12,3+18*2+(0),,,"J1 D - South Bank Avenue")&amp;":"&amp;ADDRESS(130,3+18*2+(0))),'J1 D - South Bank Avenue'!$A$12:$A$130,"&gt;="&amp;Diagram!$O83,'J1 D - South Bank Avenue'!$A$12:$A$130,"&lt;"&amp;Diagram!$P83),SUMIFS(INDIRECT(ADDRESS(12,3+18*2+(8),,,"J1 D - South Bank Avenue")&amp;":"&amp;ADDRESS(130,3+18*2+(8))),'J1 D - South Bank Avenue'!$A$12:$A$130,"&gt;="&amp;Diagram!$O83,'J1 D - South Bank Avenue'!$A$12:$A$130,"&lt;"&amp;Diagram!$P83)))</f>
        <v>1</v>
      </c>
      <c r="AH83" s="42">
        <f ca="1">IF(OR($I$10="",$O83="",$P83="",$J$35&lt;&gt;"Yes"),0,IF($K$10=0,SUMIFS(INDIRECT(ADDRESS(12,3+18*3+(0),,,"J1 D - South Bank Avenue")&amp;":"&amp;ADDRESS(130,3+18*3+(0))),'J1 D - South Bank Avenue'!$A$12:$A$130,"&gt;="&amp;Diagram!$O83,'J1 D - South Bank Avenue'!$A$12:$A$130,"&lt;"&amp;Diagram!$P83),SUMIFS(INDIRECT(ADDRESS(12,3+18*3+(8),,,"J1 D - South Bank Avenue")&amp;":"&amp;ADDRESS(130,3+18*3+(8))),'J1 D - South Bank Avenue'!$A$12:$A$130,"&gt;="&amp;Diagram!$O83,'J1 D - South Bank Avenue'!$A$12:$A$130,"&lt;"&amp;Diagram!$P83)))</f>
        <v>0</v>
      </c>
      <c r="AI83" s="42">
        <f t="shared" ca="1" si="12"/>
        <v>16</v>
      </c>
      <c r="AJ83" s="42">
        <f ca="1">IF(OR($I$10="",$O83="",$P83="",$J$36&lt;&gt;"Yes"),0,IF($K$10=0,SUMIFS(INDIRECT(ADDRESS(12,3+18*3+(1),,,"J1 A - (North) Bishopthorpe Roa")&amp;":"&amp;ADDRESS(130,3+18*3+(1))),'J1 A - (North) Bishopthorpe Roa'!$A$12:$A$130,"&gt;="&amp;Diagram!$O83,'J1 A - (North) Bishopthorpe Roa'!$A$12:$A$130,"&lt;"&amp;Diagram!$P83),SUMIFS(INDIRECT(ADDRESS(12,3+18*3+(9),,,"J1 A - (North) Bishopthorpe Roa")&amp;":"&amp;ADDRESS(130,3+18*3+(9))),'J1 A - (North) Bishopthorpe Roa'!$A$12:$A$130,"&gt;="&amp;Diagram!$O83,'J1 A - (North) Bishopthorpe Roa'!$A$12:$A$130,"&lt;"&amp;Diagram!$P83)))</f>
        <v>0</v>
      </c>
      <c r="AK83" s="42">
        <f ca="1">IF(OR($I$10="",$O83="",$P83="",$J$36&lt;&gt;"Yes"),0,IF($K$10=0,SUMIFS(INDIRECT(ADDRESS(12,3+18*0+(1),,,"J1 A - (North) Bishopthorpe Roa")&amp;":"&amp;ADDRESS(130,3+18*0+(1))),'J1 A - (North) Bishopthorpe Roa'!$A$12:$A$130,"&gt;="&amp;Diagram!$O83,'J1 A - (North) Bishopthorpe Roa'!$A$12:$A$130,"&lt;"&amp;Diagram!$P83),SUMIFS(INDIRECT(ADDRESS(12,3+18*0+(9),,,"J1 A - (North) Bishopthorpe Roa")&amp;":"&amp;ADDRESS(130,3+18*0+(9))),'J1 A - (North) Bishopthorpe Roa'!$A$12:$A$130,"&gt;="&amp;Diagram!$O83,'J1 A - (North) Bishopthorpe Roa'!$A$12:$A$130,"&lt;"&amp;Diagram!$P83)))</f>
        <v>0</v>
      </c>
      <c r="AL83" s="42">
        <f ca="1">IF(OR($I$10="",$O83="",$P83="",$J$36&lt;&gt;"Yes"),0,IF($K$10=0,SUMIFS(INDIRECT(ADDRESS(12,3+18*1+(1),,,"J1 A - (North) Bishopthorpe Roa")&amp;":"&amp;ADDRESS(130,3+18*1+(1))),'J1 A - (North) Bishopthorpe Roa'!$A$12:$A$130,"&gt;="&amp;Diagram!$O83,'J1 A - (North) Bishopthorpe Roa'!$A$12:$A$130,"&lt;"&amp;Diagram!$P83),SUMIFS(INDIRECT(ADDRESS(12,3+18*1+(9),,,"J1 A - (North) Bishopthorpe Roa")&amp;":"&amp;ADDRESS(130,3+18*1+(9))),'J1 A - (North) Bishopthorpe Roa'!$A$12:$A$130,"&gt;="&amp;Diagram!$O83,'J1 A - (North) Bishopthorpe Roa'!$A$12:$A$130,"&lt;"&amp;Diagram!$P83)))</f>
        <v>6</v>
      </c>
      <c r="AM83" s="42">
        <f ca="1">IF(OR($I$10="",$O83="",$P83="",$J$36&lt;&gt;"Yes"),0,IF($K$10=0,SUMIFS(INDIRECT(ADDRESS(12,3+18*2+(1),,,"J1 A - (North) Bishopthorpe Roa")&amp;":"&amp;ADDRESS(130,3+18*2+(1))),'J1 A - (North) Bishopthorpe Roa'!$A$12:$A$130,"&gt;="&amp;Diagram!$O83,'J1 A - (North) Bishopthorpe Roa'!$A$12:$A$130,"&lt;"&amp;Diagram!$P83),SUMIFS(INDIRECT(ADDRESS(12,3+18*2+(9),,,"J1 A - (North) Bishopthorpe Roa")&amp;":"&amp;ADDRESS(130,3+18*2+(9))),'J1 A - (North) Bishopthorpe Roa'!$A$12:$A$130,"&gt;="&amp;Diagram!$O83,'J1 A - (North) Bishopthorpe Roa'!$A$12:$A$130,"&lt;"&amp;Diagram!$P83)))</f>
        <v>1</v>
      </c>
      <c r="AN83" s="42">
        <f ca="1">IF(OR($I$10="",$O83="",$P83="",$J$36&lt;&gt;"Yes"),0,IF($K$10=0,SUMIFS(INDIRECT(ADDRESS(12,3+18*2+(1),,,"J1 B - Butcher Terrace")&amp;":"&amp;ADDRESS(130,3+18*2+(1))),'J1 B - Butcher Terrace'!$A$12:$A$130,"&gt;="&amp;Diagram!$O83,'J1 B - Butcher Terrace'!$A$12:$A$130,"&lt;"&amp;Diagram!$P83),SUMIFS(INDIRECT(ADDRESS(12,3+18*2+(9),,,"J1 B - Butcher Terrace")&amp;":"&amp;ADDRESS(130,3+18*2+(9))),'J1 B - Butcher Terrace'!$A$12:$A$130,"&gt;="&amp;Diagram!$O83,'J1 B - Butcher Terrace'!$A$12:$A$130,"&lt;"&amp;Diagram!$P83)))</f>
        <v>0</v>
      </c>
      <c r="AO83" s="42">
        <f ca="1">IF(OR($I$10="",$O83="",$P83="",$J$36&lt;&gt;"Yes"),0,IF($K$10=0,SUMIFS(INDIRECT(ADDRESS(12,3+18*3+(1),,,"J1 B - Butcher Terrace")&amp;":"&amp;ADDRESS(130,3+18*3+(1))),'J1 B - Butcher Terrace'!$A$12:$A$130,"&gt;="&amp;Diagram!$O83,'J1 B - Butcher Terrace'!$A$12:$A$130,"&lt;"&amp;Diagram!$P83),SUMIFS(INDIRECT(ADDRESS(12,3+18*3+(9),,,"J1 B - Butcher Terrace")&amp;":"&amp;ADDRESS(130,3+18*3+(9))),'J1 B - Butcher Terrace'!$A$12:$A$130,"&gt;="&amp;Diagram!$O83,'J1 B - Butcher Terrace'!$A$12:$A$130,"&lt;"&amp;Diagram!$P83)))</f>
        <v>0</v>
      </c>
      <c r="AP83" s="42">
        <f ca="1">IF(OR($I$10="",$O83="",$P83="",$J$36&lt;&gt;"Yes"),0,IF($K$10=0,SUMIFS(INDIRECT(ADDRESS(12,3+18*0+(1),,,"J1 B - Butcher Terrace")&amp;":"&amp;ADDRESS(130,3+18*0+(1))),'J1 B - Butcher Terrace'!$A$12:$A$130,"&gt;="&amp;Diagram!$O83,'J1 B - Butcher Terrace'!$A$12:$A$130,"&lt;"&amp;Diagram!$P83),SUMIFS(INDIRECT(ADDRESS(12,3+18*0+(9),,,"J1 B - Butcher Terrace")&amp;":"&amp;ADDRESS(130,3+18*0+(9))),'J1 B - Butcher Terrace'!$A$12:$A$130,"&gt;="&amp;Diagram!$O83,'J1 B - Butcher Terrace'!$A$12:$A$130,"&lt;"&amp;Diagram!$P83)))</f>
        <v>0</v>
      </c>
      <c r="AQ83" s="42">
        <f ca="1">IF(OR($I$10="",$O83="",$P83="",$J$36&lt;&gt;"Yes"),0,IF($K$10=0,SUMIFS(INDIRECT(ADDRESS(12,3+18*1+(1),,,"J1 B - Butcher Terrace")&amp;":"&amp;ADDRESS(130,3+18*1+(1))),'J1 B - Butcher Terrace'!$A$12:$A$130,"&gt;="&amp;Diagram!$O83,'J1 B - Butcher Terrace'!$A$12:$A$130,"&lt;"&amp;Diagram!$P83),SUMIFS(INDIRECT(ADDRESS(12,3+18*1+(9),,,"J1 B - Butcher Terrace")&amp;":"&amp;ADDRESS(130,3+18*1+(9))),'J1 B - Butcher Terrace'!$A$12:$A$130,"&gt;="&amp;Diagram!$O83,'J1 B - Butcher Terrace'!$A$12:$A$130,"&lt;"&amp;Diagram!$P83)))</f>
        <v>0</v>
      </c>
      <c r="AR83" s="42">
        <f ca="1">IF(OR($I$10="",$O83="",$P83="",$J$36&lt;&gt;"Yes"),0,IF($K$10=0,SUMIFS(INDIRECT(ADDRESS(12,3+18*1+(1),,,"J1 C - (South) Bishopthorpe Roa")&amp;":"&amp;ADDRESS(130,3+18*1+(1))),'J1 C - (South) Bishopthorpe Roa'!$A$12:$A$130,"&gt;="&amp;Diagram!$O83,'J1 C - (South) Bishopthorpe Roa'!$A$12:$A$130,"&lt;"&amp;Diagram!$P83),SUMIFS(INDIRECT(ADDRESS(12,3+18*1+(9),,,"J1 C - (South) Bishopthorpe Roa")&amp;":"&amp;ADDRESS(130,3+18*1+(9))),'J1 C - (South) Bishopthorpe Roa'!$A$12:$A$130,"&gt;="&amp;Diagram!$O83,'J1 C - (South) Bishopthorpe Roa'!$A$12:$A$130,"&lt;"&amp;Diagram!$P83)))</f>
        <v>9</v>
      </c>
      <c r="AS83" s="42">
        <f ca="1">IF(OR($I$10="",$O83="",$P83="",$J$36&lt;&gt;"Yes"),0,IF($K$10=0,SUMIFS(INDIRECT(ADDRESS(12,3+18*2+(1),,,"J1 C - (South) Bishopthorpe Roa")&amp;":"&amp;ADDRESS(130,3+18*2+(1))),'J1 C - (South) Bishopthorpe Roa'!$A$12:$A$130,"&gt;="&amp;Diagram!$O83,'J1 C - (South) Bishopthorpe Roa'!$A$12:$A$130,"&lt;"&amp;Diagram!$P83),SUMIFS(INDIRECT(ADDRESS(12,3+18*2+(9),,,"J1 C - (South) Bishopthorpe Roa")&amp;":"&amp;ADDRESS(130,3+18*2+(9))),'J1 C - (South) Bishopthorpe Roa'!$A$12:$A$130,"&gt;="&amp;Diagram!$O83,'J1 C - (South) Bishopthorpe Roa'!$A$12:$A$130,"&lt;"&amp;Diagram!$P83)))</f>
        <v>0</v>
      </c>
      <c r="AT83" s="42">
        <f ca="1">IF(OR($I$10="",$O83="",$P83="",$J$36&lt;&gt;"Yes"),0,IF($K$10=0,SUMIFS(INDIRECT(ADDRESS(12,3+18*3+(1),,,"J1 C - (South) Bishopthorpe Roa")&amp;":"&amp;ADDRESS(130,3+18*3+(1))),'J1 C - (South) Bishopthorpe Roa'!$A$12:$A$130,"&gt;="&amp;Diagram!$O83,'J1 C - (South) Bishopthorpe Roa'!$A$12:$A$130,"&lt;"&amp;Diagram!$P83),SUMIFS(INDIRECT(ADDRESS(12,3+18*3+(9),,,"J1 C - (South) Bishopthorpe Roa")&amp;":"&amp;ADDRESS(130,3+18*3+(9))),'J1 C - (South) Bishopthorpe Roa'!$A$12:$A$130,"&gt;="&amp;Diagram!$O83,'J1 C - (South) Bishopthorpe Roa'!$A$12:$A$130,"&lt;"&amp;Diagram!$P83)))</f>
        <v>0</v>
      </c>
      <c r="AU83" s="42">
        <f ca="1">IF(OR($I$10="",$O83="",$P83="",$J$36&lt;&gt;"Yes"),0,IF($K$10=0,SUMIFS(INDIRECT(ADDRESS(12,3+18*0+(1),,,"J1 C - (South) Bishopthorpe Roa")&amp;":"&amp;ADDRESS(130,3+18*0+(1))),'J1 C - (South) Bishopthorpe Roa'!$A$12:$A$130,"&gt;="&amp;Diagram!$O83,'J1 C - (South) Bishopthorpe Roa'!$A$12:$A$130,"&lt;"&amp;Diagram!$P83),SUMIFS(INDIRECT(ADDRESS(12,3+18*0+(9),,,"J1 C - (South) Bishopthorpe Roa")&amp;":"&amp;ADDRESS(130,3+18*0+(9))),'J1 C - (South) Bishopthorpe Roa'!$A$12:$A$130,"&gt;="&amp;Diagram!$O83,'J1 C - (South) Bishopthorpe Roa'!$A$12:$A$130,"&lt;"&amp;Diagram!$P83)))</f>
        <v>0</v>
      </c>
      <c r="AV83" s="42">
        <f ca="1">IF(OR($I$10="",$O83="",$P83="",$J$36&lt;&gt;"Yes"),0,IF($K$10=0,SUMIFS(INDIRECT(ADDRESS(12,3+18*0+(1),,,"J1 D - South Bank Avenue")&amp;":"&amp;ADDRESS(130,3+18*0+(1))),'J1 D - South Bank Avenue'!$A$12:$A$130,"&gt;="&amp;Diagram!$O83,'J1 D - South Bank Avenue'!$A$12:$A$130,"&lt;"&amp;Diagram!$P83),SUMIFS(INDIRECT(ADDRESS(12,3+18*0+(9),,,"J1 D - South Bank Avenue")&amp;":"&amp;ADDRESS(130,3+18*0+(9))),'J1 D - South Bank Avenue'!$A$12:$A$130,"&gt;="&amp;Diagram!$O83,'J1 D - South Bank Avenue'!$A$12:$A$130,"&lt;"&amp;Diagram!$P83)))</f>
        <v>0</v>
      </c>
      <c r="AW83" s="42">
        <f ca="1">IF(OR($I$10="",$O83="",$P83="",$J$36&lt;&gt;"Yes"),0,IF($K$10=0,SUMIFS(INDIRECT(ADDRESS(12,3+18*1+(1),,,"J1 D - South Bank Avenue")&amp;":"&amp;ADDRESS(130,3+18*1+(1))),'J1 D - South Bank Avenue'!$A$12:$A$130,"&gt;="&amp;Diagram!$O83,'J1 D - South Bank Avenue'!$A$12:$A$130,"&lt;"&amp;Diagram!$P83),SUMIFS(INDIRECT(ADDRESS(12,3+18*1+(9),,,"J1 D - South Bank Avenue")&amp;":"&amp;ADDRESS(130,3+18*1+(9))),'J1 D - South Bank Avenue'!$A$12:$A$130,"&gt;="&amp;Diagram!$O83,'J1 D - South Bank Avenue'!$A$12:$A$130,"&lt;"&amp;Diagram!$P83)))</f>
        <v>0</v>
      </c>
      <c r="AX83" s="42">
        <f ca="1">IF(OR($I$10="",$O83="",$P83="",$J$36&lt;&gt;"Yes"),0,IF($K$10=0,SUMIFS(INDIRECT(ADDRESS(12,3+18*2+(1),,,"J1 D - South Bank Avenue")&amp;":"&amp;ADDRESS(130,3+18*2+(1))),'J1 D - South Bank Avenue'!$A$12:$A$130,"&gt;="&amp;Diagram!$O83,'J1 D - South Bank Avenue'!$A$12:$A$130,"&lt;"&amp;Diagram!$P83),SUMIFS(INDIRECT(ADDRESS(12,3+18*2+(9),,,"J1 D - South Bank Avenue")&amp;":"&amp;ADDRESS(130,3+18*2+(9))),'J1 D - South Bank Avenue'!$A$12:$A$130,"&gt;="&amp;Diagram!$O83,'J1 D - South Bank Avenue'!$A$12:$A$130,"&lt;"&amp;Diagram!$P83)))</f>
        <v>0</v>
      </c>
      <c r="AY83" s="42">
        <f ca="1">IF(OR($I$10="",$O83="",$P83="",$J$36&lt;&gt;"Yes"),0,IF($K$10=0,SUMIFS(INDIRECT(ADDRESS(12,3+18*3+(1),,,"J1 D - South Bank Avenue")&amp;":"&amp;ADDRESS(130,3+18*3+(1))),'J1 D - South Bank Avenue'!$A$12:$A$130,"&gt;="&amp;Diagram!$O83,'J1 D - South Bank Avenue'!$A$12:$A$130,"&lt;"&amp;Diagram!$P83),SUMIFS(INDIRECT(ADDRESS(12,3+18*3+(9),,,"J1 D - South Bank Avenue")&amp;":"&amp;ADDRESS(130,3+18*3+(9))),'J1 D - South Bank Avenue'!$A$12:$A$130,"&gt;="&amp;Diagram!$O83,'J1 D - South Bank Avenue'!$A$12:$A$130,"&lt;"&amp;Diagram!$P83)))</f>
        <v>0</v>
      </c>
      <c r="AZ83" s="42">
        <f t="shared" ca="1" si="13"/>
        <v>2</v>
      </c>
      <c r="BA83" s="42">
        <f ca="1">IF(OR($I$10="",$O83="",$P83="",$J$37&lt;&gt;"Yes"),0,IF($K$10=0,SUMIFS(INDIRECT(ADDRESS(12,3+18*3+(2),,,"J1 A - (North) Bishopthorpe Roa")&amp;":"&amp;ADDRESS(130,3+18*3+(2))),'J1 A - (North) Bishopthorpe Roa'!$A$12:$A$130,"&gt;="&amp;Diagram!$O83,'J1 A - (North) Bishopthorpe Roa'!$A$12:$A$130,"&lt;"&amp;Diagram!$P83),SUMIFS(INDIRECT(ADDRESS(12,3+18*3+(10),,,"J1 A - (North) Bishopthorpe Roa")&amp;":"&amp;ADDRESS(130,3+18*3+(10))),'J1 A - (North) Bishopthorpe Roa'!$A$12:$A$130,"&gt;="&amp;Diagram!$O83,'J1 A - (North) Bishopthorpe Roa'!$A$12:$A$130,"&lt;"&amp;Diagram!$P83)))</f>
        <v>0</v>
      </c>
      <c r="BB83" s="42">
        <f ca="1">IF(OR($I$10="",$O83="",$P83="",$J$37&lt;&gt;"Yes"),0,IF($K$10=0,SUMIFS(INDIRECT(ADDRESS(12,3+18*0+(2),,,"J1 A - (North) Bishopthorpe Roa")&amp;":"&amp;ADDRESS(130,3+18*0+(2))),'J1 A - (North) Bishopthorpe Roa'!$A$12:$A$130,"&gt;="&amp;Diagram!$O83,'J1 A - (North) Bishopthorpe Roa'!$A$12:$A$130,"&lt;"&amp;Diagram!$P83),SUMIFS(INDIRECT(ADDRESS(12,3+18*0+(10),,,"J1 A - (North) Bishopthorpe Roa")&amp;":"&amp;ADDRESS(130,3+18*0+(10))),'J1 A - (North) Bishopthorpe Roa'!$A$12:$A$130,"&gt;="&amp;Diagram!$O83,'J1 A - (North) Bishopthorpe Roa'!$A$12:$A$130,"&lt;"&amp;Diagram!$P83)))</f>
        <v>0</v>
      </c>
      <c r="BC83" s="42">
        <f ca="1">IF(OR($I$10="",$O83="",$P83="",$J$37&lt;&gt;"Yes"),0,IF($K$10=0,SUMIFS(INDIRECT(ADDRESS(12,3+18*1+(2),,,"J1 A - (North) Bishopthorpe Roa")&amp;":"&amp;ADDRESS(130,3+18*1+(2))),'J1 A - (North) Bishopthorpe Roa'!$A$12:$A$130,"&gt;="&amp;Diagram!$O83,'J1 A - (North) Bishopthorpe Roa'!$A$12:$A$130,"&lt;"&amp;Diagram!$P83),SUMIFS(INDIRECT(ADDRESS(12,3+18*1+(10),,,"J1 A - (North) Bishopthorpe Roa")&amp;":"&amp;ADDRESS(130,3+18*1+(10))),'J1 A - (North) Bishopthorpe Roa'!$A$12:$A$130,"&gt;="&amp;Diagram!$O83,'J1 A - (North) Bishopthorpe Roa'!$A$12:$A$130,"&lt;"&amp;Diagram!$P83)))</f>
        <v>0</v>
      </c>
      <c r="BD83" s="42">
        <f ca="1">IF(OR($I$10="",$O83="",$P83="",$J$37&lt;&gt;"Yes"),0,IF($K$10=0,SUMIFS(INDIRECT(ADDRESS(12,3+18*2+(2),,,"J1 A - (North) Bishopthorpe Roa")&amp;":"&amp;ADDRESS(130,3+18*2+(2))),'J1 A - (North) Bishopthorpe Roa'!$A$12:$A$130,"&gt;="&amp;Diagram!$O83,'J1 A - (North) Bishopthorpe Roa'!$A$12:$A$130,"&lt;"&amp;Diagram!$P83),SUMIFS(INDIRECT(ADDRESS(12,3+18*2+(10),,,"J1 A - (North) Bishopthorpe Roa")&amp;":"&amp;ADDRESS(130,3+18*2+(10))),'J1 A - (North) Bishopthorpe Roa'!$A$12:$A$130,"&gt;="&amp;Diagram!$O83,'J1 A - (North) Bishopthorpe Roa'!$A$12:$A$130,"&lt;"&amp;Diagram!$P83)))</f>
        <v>0</v>
      </c>
      <c r="BE83" s="42">
        <f ca="1">IF(OR($I$10="",$O83="",$P83="",$J$37&lt;&gt;"Yes"),0,IF($K$10=0,SUMIFS(INDIRECT(ADDRESS(12,3+18*2+(2),,,"J1 B - Butcher Terrace")&amp;":"&amp;ADDRESS(130,3+18*2+(2))),'J1 B - Butcher Terrace'!$A$12:$A$130,"&gt;="&amp;Diagram!$O83,'J1 B - Butcher Terrace'!$A$12:$A$130,"&lt;"&amp;Diagram!$P83),SUMIFS(INDIRECT(ADDRESS(12,3+18*2+(10),,,"J1 B - Butcher Terrace")&amp;":"&amp;ADDRESS(130,3+18*2+(10))),'J1 B - Butcher Terrace'!$A$12:$A$130,"&gt;="&amp;Diagram!$O83,'J1 B - Butcher Terrace'!$A$12:$A$130,"&lt;"&amp;Diagram!$P83)))</f>
        <v>0</v>
      </c>
      <c r="BF83" s="42">
        <f ca="1">IF(OR($I$10="",$O83="",$P83="",$J$37&lt;&gt;"Yes"),0,IF($K$10=0,SUMIFS(INDIRECT(ADDRESS(12,3+18*3+(2),,,"J1 B - Butcher Terrace")&amp;":"&amp;ADDRESS(130,3+18*3+(2))),'J1 B - Butcher Terrace'!$A$12:$A$130,"&gt;="&amp;Diagram!$O83,'J1 B - Butcher Terrace'!$A$12:$A$130,"&lt;"&amp;Diagram!$P83),SUMIFS(INDIRECT(ADDRESS(12,3+18*3+(10),,,"J1 B - Butcher Terrace")&amp;":"&amp;ADDRESS(130,3+18*3+(10))),'J1 B - Butcher Terrace'!$A$12:$A$130,"&gt;="&amp;Diagram!$O83,'J1 B - Butcher Terrace'!$A$12:$A$130,"&lt;"&amp;Diagram!$P83)))</f>
        <v>0</v>
      </c>
      <c r="BG83" s="42">
        <f ca="1">IF(OR($I$10="",$O83="",$P83="",$J$37&lt;&gt;"Yes"),0,IF($K$10=0,SUMIFS(INDIRECT(ADDRESS(12,3+18*0+(2),,,"J1 B - Butcher Terrace")&amp;":"&amp;ADDRESS(130,3+18*0+(2))),'J1 B - Butcher Terrace'!$A$12:$A$130,"&gt;="&amp;Diagram!$O83,'J1 B - Butcher Terrace'!$A$12:$A$130,"&lt;"&amp;Diagram!$P83),SUMIFS(INDIRECT(ADDRESS(12,3+18*0+(10),,,"J1 B - Butcher Terrace")&amp;":"&amp;ADDRESS(130,3+18*0+(10))),'J1 B - Butcher Terrace'!$A$12:$A$130,"&gt;="&amp;Diagram!$O83,'J1 B - Butcher Terrace'!$A$12:$A$130,"&lt;"&amp;Diagram!$P83)))</f>
        <v>0</v>
      </c>
      <c r="BH83" s="42">
        <f ca="1">IF(OR($I$10="",$O83="",$P83="",$J$37&lt;&gt;"Yes"),0,IF($K$10=0,SUMIFS(INDIRECT(ADDRESS(12,3+18*1+(2),,,"J1 B - Butcher Terrace")&amp;":"&amp;ADDRESS(130,3+18*1+(2))),'J1 B - Butcher Terrace'!$A$12:$A$130,"&gt;="&amp;Diagram!$O83,'J1 B - Butcher Terrace'!$A$12:$A$130,"&lt;"&amp;Diagram!$P83),SUMIFS(INDIRECT(ADDRESS(12,3+18*1+(10),,,"J1 B - Butcher Terrace")&amp;":"&amp;ADDRESS(130,3+18*1+(10))),'J1 B - Butcher Terrace'!$A$12:$A$130,"&gt;="&amp;Diagram!$O83,'J1 B - Butcher Terrace'!$A$12:$A$130,"&lt;"&amp;Diagram!$P83)))</f>
        <v>0</v>
      </c>
      <c r="BI83" s="42">
        <f ca="1">IF(OR($I$10="",$O83="",$P83="",$J$37&lt;&gt;"Yes"),0,IF($K$10=0,SUMIFS(INDIRECT(ADDRESS(12,3+18*1+(2),,,"J1 C - (South) Bishopthorpe Roa")&amp;":"&amp;ADDRESS(130,3+18*1+(2))),'J1 C - (South) Bishopthorpe Roa'!$A$12:$A$130,"&gt;="&amp;Diagram!$O83,'J1 C - (South) Bishopthorpe Roa'!$A$12:$A$130,"&lt;"&amp;Diagram!$P83),SUMIFS(INDIRECT(ADDRESS(12,3+18*1+(10),,,"J1 C - (South) Bishopthorpe Roa")&amp;":"&amp;ADDRESS(130,3+18*1+(10))),'J1 C - (South) Bishopthorpe Roa'!$A$12:$A$130,"&gt;="&amp;Diagram!$O83,'J1 C - (South) Bishopthorpe Roa'!$A$12:$A$130,"&lt;"&amp;Diagram!$P83)))</f>
        <v>2</v>
      </c>
      <c r="BJ83" s="42">
        <f ca="1">IF(OR($I$10="",$O83="",$P83="",$J$37&lt;&gt;"Yes"),0,IF($K$10=0,SUMIFS(INDIRECT(ADDRESS(12,3+18*2+(2),,,"J1 C - (South) Bishopthorpe Roa")&amp;":"&amp;ADDRESS(130,3+18*2+(2))),'J1 C - (South) Bishopthorpe Roa'!$A$12:$A$130,"&gt;="&amp;Diagram!$O83,'J1 C - (South) Bishopthorpe Roa'!$A$12:$A$130,"&lt;"&amp;Diagram!$P83),SUMIFS(INDIRECT(ADDRESS(12,3+18*2+(10),,,"J1 C - (South) Bishopthorpe Roa")&amp;":"&amp;ADDRESS(130,3+18*2+(10))),'J1 C - (South) Bishopthorpe Roa'!$A$12:$A$130,"&gt;="&amp;Diagram!$O83,'J1 C - (South) Bishopthorpe Roa'!$A$12:$A$130,"&lt;"&amp;Diagram!$P83)))</f>
        <v>0</v>
      </c>
      <c r="BK83" s="42">
        <f ca="1">IF(OR($I$10="",$O83="",$P83="",$J$37&lt;&gt;"Yes"),0,IF($K$10=0,SUMIFS(INDIRECT(ADDRESS(12,3+18*3+(2),,,"J1 C - (South) Bishopthorpe Roa")&amp;":"&amp;ADDRESS(130,3+18*3+(2))),'J1 C - (South) Bishopthorpe Roa'!$A$12:$A$130,"&gt;="&amp;Diagram!$O83,'J1 C - (South) Bishopthorpe Roa'!$A$12:$A$130,"&lt;"&amp;Diagram!$P83),SUMIFS(INDIRECT(ADDRESS(12,3+18*3+(10),,,"J1 C - (South) Bishopthorpe Roa")&amp;":"&amp;ADDRESS(130,3+18*3+(10))),'J1 C - (South) Bishopthorpe Roa'!$A$12:$A$130,"&gt;="&amp;Diagram!$O83,'J1 C - (South) Bishopthorpe Roa'!$A$12:$A$130,"&lt;"&amp;Diagram!$P83)))</f>
        <v>0</v>
      </c>
      <c r="BL83" s="42">
        <f ca="1">IF(OR($I$10="",$O83="",$P83="",$J$37&lt;&gt;"Yes"),0,IF($K$10=0,SUMIFS(INDIRECT(ADDRESS(12,3+18*0+(2),,,"J1 C - (South) Bishopthorpe Roa")&amp;":"&amp;ADDRESS(130,3+18*0+(2))),'J1 C - (South) Bishopthorpe Roa'!$A$12:$A$130,"&gt;="&amp;Diagram!$O83,'J1 C - (South) Bishopthorpe Roa'!$A$12:$A$130,"&lt;"&amp;Diagram!$P83),SUMIFS(INDIRECT(ADDRESS(12,3+18*0+(10),,,"J1 C - (South) Bishopthorpe Roa")&amp;":"&amp;ADDRESS(130,3+18*0+(10))),'J1 C - (South) Bishopthorpe Roa'!$A$12:$A$130,"&gt;="&amp;Diagram!$O83,'J1 C - (South) Bishopthorpe Roa'!$A$12:$A$130,"&lt;"&amp;Diagram!$P83)))</f>
        <v>0</v>
      </c>
      <c r="BM83" s="42">
        <f ca="1">IF(OR($I$10="",$O83="",$P83="",$J$37&lt;&gt;"Yes"),0,IF($K$10=0,SUMIFS(INDIRECT(ADDRESS(12,3+18*0+(2),,,"J1 D - South Bank Avenue")&amp;":"&amp;ADDRESS(130,3+18*0+(2))),'J1 D - South Bank Avenue'!$A$12:$A$130,"&gt;="&amp;Diagram!$O83,'J1 D - South Bank Avenue'!$A$12:$A$130,"&lt;"&amp;Diagram!$P83),SUMIFS(INDIRECT(ADDRESS(12,3+18*0+(10),,,"J1 D - South Bank Avenue")&amp;":"&amp;ADDRESS(130,3+18*0+(10))),'J1 D - South Bank Avenue'!$A$12:$A$130,"&gt;="&amp;Diagram!$O83,'J1 D - South Bank Avenue'!$A$12:$A$130,"&lt;"&amp;Diagram!$P83)))</f>
        <v>0</v>
      </c>
      <c r="BN83" s="42">
        <f ca="1">IF(OR($I$10="",$O83="",$P83="",$J$37&lt;&gt;"Yes"),0,IF($K$10=0,SUMIFS(INDIRECT(ADDRESS(12,3+18*1+(2),,,"J1 D - South Bank Avenue")&amp;":"&amp;ADDRESS(130,3+18*1+(2))),'J1 D - South Bank Avenue'!$A$12:$A$130,"&gt;="&amp;Diagram!$O83,'J1 D - South Bank Avenue'!$A$12:$A$130,"&lt;"&amp;Diagram!$P83),SUMIFS(INDIRECT(ADDRESS(12,3+18*1+(10),,,"J1 D - South Bank Avenue")&amp;":"&amp;ADDRESS(130,3+18*1+(10))),'J1 D - South Bank Avenue'!$A$12:$A$130,"&gt;="&amp;Diagram!$O83,'J1 D - South Bank Avenue'!$A$12:$A$130,"&lt;"&amp;Diagram!$P83)))</f>
        <v>0</v>
      </c>
      <c r="BO83" s="42">
        <f ca="1">IF(OR($I$10="",$O83="",$P83="",$J$37&lt;&gt;"Yes"),0,IF($K$10=0,SUMIFS(INDIRECT(ADDRESS(12,3+18*2+(2),,,"J1 D - South Bank Avenue")&amp;":"&amp;ADDRESS(130,3+18*2+(2))),'J1 D - South Bank Avenue'!$A$12:$A$130,"&gt;="&amp;Diagram!$O83,'J1 D - South Bank Avenue'!$A$12:$A$130,"&lt;"&amp;Diagram!$P83),SUMIFS(INDIRECT(ADDRESS(12,3+18*2+(10),,,"J1 D - South Bank Avenue")&amp;":"&amp;ADDRESS(130,3+18*2+(10))),'J1 D - South Bank Avenue'!$A$12:$A$130,"&gt;="&amp;Diagram!$O83,'J1 D - South Bank Avenue'!$A$12:$A$130,"&lt;"&amp;Diagram!$P83)))</f>
        <v>0</v>
      </c>
      <c r="BP83" s="42">
        <f ca="1">IF(OR($I$10="",$O83="",$P83="",$J$37&lt;&gt;"Yes"),0,IF($K$10=0,SUMIFS(INDIRECT(ADDRESS(12,3+18*3+(2),,,"J1 D - South Bank Avenue")&amp;":"&amp;ADDRESS(130,3+18*3+(2))),'J1 D - South Bank Avenue'!$A$12:$A$130,"&gt;="&amp;Diagram!$O83,'J1 D - South Bank Avenue'!$A$12:$A$130,"&lt;"&amp;Diagram!$P83),SUMIFS(INDIRECT(ADDRESS(12,3+18*3+(10),,,"J1 D - South Bank Avenue")&amp;":"&amp;ADDRESS(130,3+18*3+(10))),'J1 D - South Bank Avenue'!$A$12:$A$130,"&gt;="&amp;Diagram!$O83,'J1 D - South Bank Avenue'!$A$12:$A$130,"&lt;"&amp;Diagram!$P83)))</f>
        <v>0</v>
      </c>
      <c r="BQ83" s="42">
        <f t="shared" ca="1" si="14"/>
        <v>0</v>
      </c>
      <c r="BR83" s="42">
        <f ca="1">IF(OR($I$10="",$O83="",$P83="",$J$38&lt;&gt;"Yes"),0,IF($K$10=0,SUMIFS(INDIRECT(ADDRESS(12,3+18*3+(3),,,"J1 A - (North) Bishopthorpe Roa")&amp;":"&amp;ADDRESS(130,3+18*3+(3))),'J1 A - (North) Bishopthorpe Roa'!$A$12:$A$130,"&gt;="&amp;Diagram!$O83,'J1 A - (North) Bishopthorpe Roa'!$A$12:$A$130,"&lt;"&amp;Diagram!$P83),SUMIFS(INDIRECT(ADDRESS(12,3+18*3+(11),,,"J1 A - (North) Bishopthorpe Roa")&amp;":"&amp;ADDRESS(130,3+18*3+(11))),'J1 A - (North) Bishopthorpe Roa'!$A$12:$A$130,"&gt;="&amp;Diagram!$O83,'J1 A - (North) Bishopthorpe Roa'!$A$12:$A$130,"&lt;"&amp;Diagram!$P83)))</f>
        <v>0</v>
      </c>
      <c r="BS83" s="42">
        <f ca="1">IF(OR($I$10="",$O83="",$P83="",$J$38&lt;&gt;"Yes"),0,IF($K$10=0,SUMIFS(INDIRECT(ADDRESS(12,3+18*0+(3),,,"J1 A - (North) Bishopthorpe Roa")&amp;":"&amp;ADDRESS(130,3+18*0+(3))),'J1 A - (North) Bishopthorpe Roa'!$A$12:$A$130,"&gt;="&amp;Diagram!$O83,'J1 A - (North) Bishopthorpe Roa'!$A$12:$A$130,"&lt;"&amp;Diagram!$P83),SUMIFS(INDIRECT(ADDRESS(12,3+18*0+(11),,,"J1 A - (North) Bishopthorpe Roa")&amp;":"&amp;ADDRESS(130,3+18*0+(11))),'J1 A - (North) Bishopthorpe Roa'!$A$12:$A$130,"&gt;="&amp;Diagram!$O83,'J1 A - (North) Bishopthorpe Roa'!$A$12:$A$130,"&lt;"&amp;Diagram!$P83)))</f>
        <v>0</v>
      </c>
      <c r="BT83" s="42">
        <f ca="1">IF(OR($I$10="",$O83="",$P83="",$J$38&lt;&gt;"Yes"),0,IF($K$10=0,SUMIFS(INDIRECT(ADDRESS(12,3+18*1+(3),,,"J1 A - (North) Bishopthorpe Roa")&amp;":"&amp;ADDRESS(130,3+18*1+(3))),'J1 A - (North) Bishopthorpe Roa'!$A$12:$A$130,"&gt;="&amp;Diagram!$O83,'J1 A - (North) Bishopthorpe Roa'!$A$12:$A$130,"&lt;"&amp;Diagram!$P83),SUMIFS(INDIRECT(ADDRESS(12,3+18*1+(11),,,"J1 A - (North) Bishopthorpe Roa")&amp;":"&amp;ADDRESS(130,3+18*1+(11))),'J1 A - (North) Bishopthorpe Roa'!$A$12:$A$130,"&gt;="&amp;Diagram!$O83,'J1 A - (North) Bishopthorpe Roa'!$A$12:$A$130,"&lt;"&amp;Diagram!$P83)))</f>
        <v>0</v>
      </c>
      <c r="BU83" s="42">
        <f ca="1">IF(OR($I$10="",$O83="",$P83="",$J$38&lt;&gt;"Yes"),0,IF($K$10=0,SUMIFS(INDIRECT(ADDRESS(12,3+18*2+(3),,,"J1 A - (North) Bishopthorpe Roa")&amp;":"&amp;ADDRESS(130,3+18*2+(3))),'J1 A - (North) Bishopthorpe Roa'!$A$12:$A$130,"&gt;="&amp;Diagram!$O83,'J1 A - (North) Bishopthorpe Roa'!$A$12:$A$130,"&lt;"&amp;Diagram!$P83),SUMIFS(INDIRECT(ADDRESS(12,3+18*2+(11),,,"J1 A - (North) Bishopthorpe Roa")&amp;":"&amp;ADDRESS(130,3+18*2+(11))),'J1 A - (North) Bishopthorpe Roa'!$A$12:$A$130,"&gt;="&amp;Diagram!$O83,'J1 A - (North) Bishopthorpe Roa'!$A$12:$A$130,"&lt;"&amp;Diagram!$P83)))</f>
        <v>0</v>
      </c>
      <c r="BV83" s="42">
        <f ca="1">IF(OR($I$10="",$O83="",$P83="",$J$38&lt;&gt;"Yes"),0,IF($K$10=0,SUMIFS(INDIRECT(ADDRESS(12,3+18*2+(3),,,"J1 B - Butcher Terrace")&amp;":"&amp;ADDRESS(130,3+18*2+(3))),'J1 B - Butcher Terrace'!$A$12:$A$130,"&gt;="&amp;Diagram!$O83,'J1 B - Butcher Terrace'!$A$12:$A$130,"&lt;"&amp;Diagram!$P83),SUMIFS(INDIRECT(ADDRESS(12,3+18*2+(11),,,"J1 B - Butcher Terrace")&amp;":"&amp;ADDRESS(130,3+18*2+(11))),'J1 B - Butcher Terrace'!$A$12:$A$130,"&gt;="&amp;Diagram!$O83,'J1 B - Butcher Terrace'!$A$12:$A$130,"&lt;"&amp;Diagram!$P83)))</f>
        <v>0</v>
      </c>
      <c r="BW83" s="42">
        <f ca="1">IF(OR($I$10="",$O83="",$P83="",$J$38&lt;&gt;"Yes"),0,IF($K$10=0,SUMIFS(INDIRECT(ADDRESS(12,3+18*3+(3),,,"J1 B - Butcher Terrace")&amp;":"&amp;ADDRESS(130,3+18*3+(3))),'J1 B - Butcher Terrace'!$A$12:$A$130,"&gt;="&amp;Diagram!$O83,'J1 B - Butcher Terrace'!$A$12:$A$130,"&lt;"&amp;Diagram!$P83),SUMIFS(INDIRECT(ADDRESS(12,3+18*3+(11),,,"J1 B - Butcher Terrace")&amp;":"&amp;ADDRESS(130,3+18*3+(11))),'J1 B - Butcher Terrace'!$A$12:$A$130,"&gt;="&amp;Diagram!$O83,'J1 B - Butcher Terrace'!$A$12:$A$130,"&lt;"&amp;Diagram!$P83)))</f>
        <v>0</v>
      </c>
      <c r="BX83" s="42">
        <f ca="1">IF(OR($I$10="",$O83="",$P83="",$J$38&lt;&gt;"Yes"),0,IF($K$10=0,SUMIFS(INDIRECT(ADDRESS(12,3+18*0+(3),,,"J1 B - Butcher Terrace")&amp;":"&amp;ADDRESS(130,3+18*0+(3))),'J1 B - Butcher Terrace'!$A$12:$A$130,"&gt;="&amp;Diagram!$O83,'J1 B - Butcher Terrace'!$A$12:$A$130,"&lt;"&amp;Diagram!$P83),SUMIFS(INDIRECT(ADDRESS(12,3+18*0+(11),,,"J1 B - Butcher Terrace")&amp;":"&amp;ADDRESS(130,3+18*0+(11))),'J1 B - Butcher Terrace'!$A$12:$A$130,"&gt;="&amp;Diagram!$O83,'J1 B - Butcher Terrace'!$A$12:$A$130,"&lt;"&amp;Diagram!$P83)))</f>
        <v>0</v>
      </c>
      <c r="BY83" s="42">
        <f ca="1">IF(OR($I$10="",$O83="",$P83="",$J$38&lt;&gt;"Yes"),0,IF($K$10=0,SUMIFS(INDIRECT(ADDRESS(12,3+18*1+(3),,,"J1 B - Butcher Terrace")&amp;":"&amp;ADDRESS(130,3+18*1+(3))),'J1 B - Butcher Terrace'!$A$12:$A$130,"&gt;="&amp;Diagram!$O83,'J1 B - Butcher Terrace'!$A$12:$A$130,"&lt;"&amp;Diagram!$P83),SUMIFS(INDIRECT(ADDRESS(12,3+18*1+(11),,,"J1 B - Butcher Terrace")&amp;":"&amp;ADDRESS(130,3+18*1+(11))),'J1 B - Butcher Terrace'!$A$12:$A$130,"&gt;="&amp;Diagram!$O83,'J1 B - Butcher Terrace'!$A$12:$A$130,"&lt;"&amp;Diagram!$P83)))</f>
        <v>0</v>
      </c>
      <c r="BZ83" s="42">
        <f ca="1">IF(OR($I$10="",$O83="",$P83="",$J$38&lt;&gt;"Yes"),0,IF($K$10=0,SUMIFS(INDIRECT(ADDRESS(12,3+18*1+(3),,,"J1 C - (South) Bishopthorpe Roa")&amp;":"&amp;ADDRESS(130,3+18*1+(3))),'J1 C - (South) Bishopthorpe Roa'!$A$12:$A$130,"&gt;="&amp;Diagram!$O83,'J1 C - (South) Bishopthorpe Roa'!$A$12:$A$130,"&lt;"&amp;Diagram!$P83),SUMIFS(INDIRECT(ADDRESS(12,3+18*1+(11),,,"J1 C - (South) Bishopthorpe Roa")&amp;":"&amp;ADDRESS(130,3+18*1+(11))),'J1 C - (South) Bishopthorpe Roa'!$A$12:$A$130,"&gt;="&amp;Diagram!$O83,'J1 C - (South) Bishopthorpe Roa'!$A$12:$A$130,"&lt;"&amp;Diagram!$P83)))</f>
        <v>0</v>
      </c>
      <c r="CA83" s="42">
        <f ca="1">IF(OR($I$10="",$O83="",$P83="",$J$38&lt;&gt;"Yes"),0,IF($K$10=0,SUMIFS(INDIRECT(ADDRESS(12,3+18*2+(3),,,"J1 C - (South) Bishopthorpe Roa")&amp;":"&amp;ADDRESS(130,3+18*2+(3))),'J1 C - (South) Bishopthorpe Roa'!$A$12:$A$130,"&gt;="&amp;Diagram!$O83,'J1 C - (South) Bishopthorpe Roa'!$A$12:$A$130,"&lt;"&amp;Diagram!$P83),SUMIFS(INDIRECT(ADDRESS(12,3+18*2+(11),,,"J1 C - (South) Bishopthorpe Roa")&amp;":"&amp;ADDRESS(130,3+18*2+(11))),'J1 C - (South) Bishopthorpe Roa'!$A$12:$A$130,"&gt;="&amp;Diagram!$O83,'J1 C - (South) Bishopthorpe Roa'!$A$12:$A$130,"&lt;"&amp;Diagram!$P83)))</f>
        <v>0</v>
      </c>
      <c r="CB83" s="42">
        <f ca="1">IF(OR($I$10="",$O83="",$P83="",$J$38&lt;&gt;"Yes"),0,IF($K$10=0,SUMIFS(INDIRECT(ADDRESS(12,3+18*3+(3),,,"J1 C - (South) Bishopthorpe Roa")&amp;":"&amp;ADDRESS(130,3+18*3+(3))),'J1 C - (South) Bishopthorpe Roa'!$A$12:$A$130,"&gt;="&amp;Diagram!$O83,'J1 C - (South) Bishopthorpe Roa'!$A$12:$A$130,"&lt;"&amp;Diagram!$P83),SUMIFS(INDIRECT(ADDRESS(12,3+18*3+(11),,,"J1 C - (South) Bishopthorpe Roa")&amp;":"&amp;ADDRESS(130,3+18*3+(11))),'J1 C - (South) Bishopthorpe Roa'!$A$12:$A$130,"&gt;="&amp;Diagram!$O83,'J1 C - (South) Bishopthorpe Roa'!$A$12:$A$130,"&lt;"&amp;Diagram!$P83)))</f>
        <v>0</v>
      </c>
      <c r="CC83" s="42">
        <f ca="1">IF(OR($I$10="",$O83="",$P83="",$J$38&lt;&gt;"Yes"),0,IF($K$10=0,SUMIFS(INDIRECT(ADDRESS(12,3+18*0+(3),,,"J1 C - (South) Bishopthorpe Roa")&amp;":"&amp;ADDRESS(130,3+18*0+(3))),'J1 C - (South) Bishopthorpe Roa'!$A$12:$A$130,"&gt;="&amp;Diagram!$O83,'J1 C - (South) Bishopthorpe Roa'!$A$12:$A$130,"&lt;"&amp;Diagram!$P83),SUMIFS(INDIRECT(ADDRESS(12,3+18*0+(11),,,"J1 C - (South) Bishopthorpe Roa")&amp;":"&amp;ADDRESS(130,3+18*0+(11))),'J1 C - (South) Bishopthorpe Roa'!$A$12:$A$130,"&gt;="&amp;Diagram!$O83,'J1 C - (South) Bishopthorpe Roa'!$A$12:$A$130,"&lt;"&amp;Diagram!$P83)))</f>
        <v>0</v>
      </c>
      <c r="CD83" s="42">
        <f ca="1">IF(OR($I$10="",$O83="",$P83="",$J$38&lt;&gt;"Yes"),0,IF($K$10=0,SUMIFS(INDIRECT(ADDRESS(12,3+18*0+(3),,,"J1 D - South Bank Avenue")&amp;":"&amp;ADDRESS(130,3+18*0+(3))),'J1 D - South Bank Avenue'!$A$12:$A$130,"&gt;="&amp;Diagram!$O83,'J1 D - South Bank Avenue'!$A$12:$A$130,"&lt;"&amp;Diagram!$P83),SUMIFS(INDIRECT(ADDRESS(12,3+18*0+(11),,,"J1 D - South Bank Avenue")&amp;":"&amp;ADDRESS(130,3+18*0+(11))),'J1 D - South Bank Avenue'!$A$12:$A$130,"&gt;="&amp;Diagram!$O83,'J1 D - South Bank Avenue'!$A$12:$A$130,"&lt;"&amp;Diagram!$P83)))</f>
        <v>0</v>
      </c>
      <c r="CE83" s="42">
        <f ca="1">IF(OR($I$10="",$O83="",$P83="",$J$38&lt;&gt;"Yes"),0,IF($K$10=0,SUMIFS(INDIRECT(ADDRESS(12,3+18*1+(3),,,"J1 D - South Bank Avenue")&amp;":"&amp;ADDRESS(130,3+18*1+(3))),'J1 D - South Bank Avenue'!$A$12:$A$130,"&gt;="&amp;Diagram!$O83,'J1 D - South Bank Avenue'!$A$12:$A$130,"&lt;"&amp;Diagram!$P83),SUMIFS(INDIRECT(ADDRESS(12,3+18*1+(11),,,"J1 D - South Bank Avenue")&amp;":"&amp;ADDRESS(130,3+18*1+(11))),'J1 D - South Bank Avenue'!$A$12:$A$130,"&gt;="&amp;Diagram!$O83,'J1 D - South Bank Avenue'!$A$12:$A$130,"&lt;"&amp;Diagram!$P83)))</f>
        <v>0</v>
      </c>
      <c r="CF83" s="42">
        <f ca="1">IF(OR($I$10="",$O83="",$P83="",$J$38&lt;&gt;"Yes"),0,IF($K$10=0,SUMIFS(INDIRECT(ADDRESS(12,3+18*2+(3),,,"J1 D - South Bank Avenue")&amp;":"&amp;ADDRESS(130,3+18*2+(3))),'J1 D - South Bank Avenue'!$A$12:$A$130,"&gt;="&amp;Diagram!$O83,'J1 D - South Bank Avenue'!$A$12:$A$130,"&lt;"&amp;Diagram!$P83),SUMIFS(INDIRECT(ADDRESS(12,3+18*2+(11),,,"J1 D - South Bank Avenue")&amp;":"&amp;ADDRESS(130,3+18*2+(11))),'J1 D - South Bank Avenue'!$A$12:$A$130,"&gt;="&amp;Diagram!$O83,'J1 D - South Bank Avenue'!$A$12:$A$130,"&lt;"&amp;Diagram!$P83)))</f>
        <v>0</v>
      </c>
      <c r="CG83" s="42">
        <f ca="1">IF(OR($I$10="",$O83="",$P83="",$J$38&lt;&gt;"Yes"),0,IF($K$10=0,SUMIFS(INDIRECT(ADDRESS(12,3+18*3+(3),,,"J1 D - South Bank Avenue")&amp;":"&amp;ADDRESS(130,3+18*3+(3))),'J1 D - South Bank Avenue'!$A$12:$A$130,"&gt;="&amp;Diagram!$O83,'J1 D - South Bank Avenue'!$A$12:$A$130,"&lt;"&amp;Diagram!$P83),SUMIFS(INDIRECT(ADDRESS(12,3+18*3+(11),,,"J1 D - South Bank Avenue")&amp;":"&amp;ADDRESS(130,3+18*3+(11))),'J1 D - South Bank Avenue'!$A$12:$A$130,"&gt;="&amp;Diagram!$O83,'J1 D - South Bank Avenue'!$A$12:$A$130,"&lt;"&amp;Diagram!$P83)))</f>
        <v>0</v>
      </c>
      <c r="CH83" s="42">
        <f t="shared" ca="1" si="15"/>
        <v>2</v>
      </c>
      <c r="CI83" s="42">
        <f ca="1">IF(OR($I$10="",$O83="",$P83="",$J$39&lt;&gt;"Yes"),0,IF($K$10=0,SUMIFS(INDIRECT(ADDRESS(12,3+18*3+(4),,,"J1 A - (North) Bishopthorpe Roa")&amp;":"&amp;ADDRESS(130,3+18*3+(4))),'J1 A - (North) Bishopthorpe Roa'!$A$12:$A$130,"&gt;="&amp;Diagram!$O83,'J1 A - (North) Bishopthorpe Roa'!$A$12:$A$130,"&lt;"&amp;Diagram!$P83),SUMIFS(INDIRECT(ADDRESS(12,3+18*3+(12),,,"J1 A - (North) Bishopthorpe Roa")&amp;":"&amp;ADDRESS(130,3+18*3+(12))),'J1 A - (North) Bishopthorpe Roa'!$A$12:$A$130,"&gt;="&amp;Diagram!$O83,'J1 A - (North) Bishopthorpe Roa'!$A$12:$A$130,"&lt;"&amp;Diagram!$P83)))</f>
        <v>0</v>
      </c>
      <c r="CJ83" s="42">
        <f ca="1">IF(OR($I$10="",$O83="",$P83="",$J$39&lt;&gt;"Yes"),0,IF($K$10=0,SUMIFS(INDIRECT(ADDRESS(12,3+18*0+(4),,,"J1 A - (North) Bishopthorpe Roa")&amp;":"&amp;ADDRESS(130,3+18*0+(4))),'J1 A - (North) Bishopthorpe Roa'!$A$12:$A$130,"&gt;="&amp;Diagram!$O83,'J1 A - (North) Bishopthorpe Roa'!$A$12:$A$130,"&lt;"&amp;Diagram!$P83),SUMIFS(INDIRECT(ADDRESS(12,3+18*0+(12),,,"J1 A - (North) Bishopthorpe Roa")&amp;":"&amp;ADDRESS(130,3+18*0+(12))),'J1 A - (North) Bishopthorpe Roa'!$A$12:$A$130,"&gt;="&amp;Diagram!$O83,'J1 A - (North) Bishopthorpe Roa'!$A$12:$A$130,"&lt;"&amp;Diagram!$P83)))</f>
        <v>0</v>
      </c>
      <c r="CK83" s="42">
        <f ca="1">IF(OR($I$10="",$O83="",$P83="",$J$39&lt;&gt;"Yes"),0,IF($K$10=0,SUMIFS(INDIRECT(ADDRESS(12,3+18*1+(4),,,"J1 A - (North) Bishopthorpe Roa")&amp;":"&amp;ADDRESS(130,3+18*1+(4))),'J1 A - (North) Bishopthorpe Roa'!$A$12:$A$130,"&gt;="&amp;Diagram!$O83,'J1 A - (North) Bishopthorpe Roa'!$A$12:$A$130,"&lt;"&amp;Diagram!$P83),SUMIFS(INDIRECT(ADDRESS(12,3+18*1+(12),,,"J1 A - (North) Bishopthorpe Roa")&amp;":"&amp;ADDRESS(130,3+18*1+(12))),'J1 A - (North) Bishopthorpe Roa'!$A$12:$A$130,"&gt;="&amp;Diagram!$O83,'J1 A - (North) Bishopthorpe Roa'!$A$12:$A$130,"&lt;"&amp;Diagram!$P83)))</f>
        <v>1</v>
      </c>
      <c r="CL83" s="42">
        <f ca="1">IF(OR($I$10="",$O83="",$P83="",$J$39&lt;&gt;"Yes"),0,IF($K$10=0,SUMIFS(INDIRECT(ADDRESS(12,3+18*2+(4),,,"J1 A - (North) Bishopthorpe Roa")&amp;":"&amp;ADDRESS(130,3+18*2+(4))),'J1 A - (North) Bishopthorpe Roa'!$A$12:$A$130,"&gt;="&amp;Diagram!$O83,'J1 A - (North) Bishopthorpe Roa'!$A$12:$A$130,"&lt;"&amp;Diagram!$P83),SUMIFS(INDIRECT(ADDRESS(12,3+18*2+(12),,,"J1 A - (North) Bishopthorpe Roa")&amp;":"&amp;ADDRESS(130,3+18*2+(12))),'J1 A - (North) Bishopthorpe Roa'!$A$12:$A$130,"&gt;="&amp;Diagram!$O83,'J1 A - (North) Bishopthorpe Roa'!$A$12:$A$130,"&lt;"&amp;Diagram!$P83)))</f>
        <v>0</v>
      </c>
      <c r="CM83" s="42">
        <f ca="1">IF(OR($I$10="",$O83="",$P83="",$J$39&lt;&gt;"Yes"),0,IF($K$10=0,SUMIFS(INDIRECT(ADDRESS(12,3+18*2+(4),,,"J1 B - Butcher Terrace")&amp;":"&amp;ADDRESS(130,3+18*2+(4))),'J1 B - Butcher Terrace'!$A$12:$A$130,"&gt;="&amp;Diagram!$O83,'J1 B - Butcher Terrace'!$A$12:$A$130,"&lt;"&amp;Diagram!$P83),SUMIFS(INDIRECT(ADDRESS(12,3+18*2+(12),,,"J1 B - Butcher Terrace")&amp;":"&amp;ADDRESS(130,3+18*2+(12))),'J1 B - Butcher Terrace'!$A$12:$A$130,"&gt;="&amp;Diagram!$O83,'J1 B - Butcher Terrace'!$A$12:$A$130,"&lt;"&amp;Diagram!$P83)))</f>
        <v>0</v>
      </c>
      <c r="CN83" s="42">
        <f ca="1">IF(OR($I$10="",$O83="",$P83="",$J$39&lt;&gt;"Yes"),0,IF($K$10=0,SUMIFS(INDIRECT(ADDRESS(12,3+18*3+(4),,,"J1 B - Butcher Terrace")&amp;":"&amp;ADDRESS(130,3+18*3+(4))),'J1 B - Butcher Terrace'!$A$12:$A$130,"&gt;="&amp;Diagram!$O83,'J1 B - Butcher Terrace'!$A$12:$A$130,"&lt;"&amp;Diagram!$P83),SUMIFS(INDIRECT(ADDRESS(12,3+18*3+(12),,,"J1 B - Butcher Terrace")&amp;":"&amp;ADDRESS(130,3+18*3+(12))),'J1 B - Butcher Terrace'!$A$12:$A$130,"&gt;="&amp;Diagram!$O83,'J1 B - Butcher Terrace'!$A$12:$A$130,"&lt;"&amp;Diagram!$P83)))</f>
        <v>0</v>
      </c>
      <c r="CO83" s="42">
        <f ca="1">IF(OR($I$10="",$O83="",$P83="",$J$39&lt;&gt;"Yes"),0,IF($K$10=0,SUMIFS(INDIRECT(ADDRESS(12,3+18*0+(4),,,"J1 B - Butcher Terrace")&amp;":"&amp;ADDRESS(130,3+18*0+(4))),'J1 B - Butcher Terrace'!$A$12:$A$130,"&gt;="&amp;Diagram!$O83,'J1 B - Butcher Terrace'!$A$12:$A$130,"&lt;"&amp;Diagram!$P83),SUMIFS(INDIRECT(ADDRESS(12,3+18*0+(12),,,"J1 B - Butcher Terrace")&amp;":"&amp;ADDRESS(130,3+18*0+(12))),'J1 B - Butcher Terrace'!$A$12:$A$130,"&gt;="&amp;Diagram!$O83,'J1 B - Butcher Terrace'!$A$12:$A$130,"&lt;"&amp;Diagram!$P83)))</f>
        <v>0</v>
      </c>
      <c r="CP83" s="42">
        <f ca="1">IF(OR($I$10="",$O83="",$P83="",$J$39&lt;&gt;"Yes"),0,IF($K$10=0,SUMIFS(INDIRECT(ADDRESS(12,3+18*1+(4),,,"J1 B - Butcher Terrace")&amp;":"&amp;ADDRESS(130,3+18*1+(4))),'J1 B - Butcher Terrace'!$A$12:$A$130,"&gt;="&amp;Diagram!$O83,'J1 B - Butcher Terrace'!$A$12:$A$130,"&lt;"&amp;Diagram!$P83),SUMIFS(INDIRECT(ADDRESS(12,3+18*1+(12),,,"J1 B - Butcher Terrace")&amp;":"&amp;ADDRESS(130,3+18*1+(12))),'J1 B - Butcher Terrace'!$A$12:$A$130,"&gt;="&amp;Diagram!$O83,'J1 B - Butcher Terrace'!$A$12:$A$130,"&lt;"&amp;Diagram!$P83)))</f>
        <v>0</v>
      </c>
      <c r="CQ83" s="42">
        <f ca="1">IF(OR($I$10="",$O83="",$P83="",$J$39&lt;&gt;"Yes"),0,IF($K$10=0,SUMIFS(INDIRECT(ADDRESS(12,3+18*1+(4),,,"J1 C - (South) Bishopthorpe Roa")&amp;":"&amp;ADDRESS(130,3+18*1+(4))),'J1 C - (South) Bishopthorpe Roa'!$A$12:$A$130,"&gt;="&amp;Diagram!$O83,'J1 C - (South) Bishopthorpe Roa'!$A$12:$A$130,"&lt;"&amp;Diagram!$P83),SUMIFS(INDIRECT(ADDRESS(12,3+18*1+(12),,,"J1 C - (South) Bishopthorpe Roa")&amp;":"&amp;ADDRESS(130,3+18*1+(12))),'J1 C - (South) Bishopthorpe Roa'!$A$12:$A$130,"&gt;="&amp;Diagram!$O83,'J1 C - (South) Bishopthorpe Roa'!$A$12:$A$130,"&lt;"&amp;Diagram!$P83)))</f>
        <v>1</v>
      </c>
      <c r="CR83" s="42">
        <f ca="1">IF(OR($I$10="",$O83="",$P83="",$J$39&lt;&gt;"Yes"),0,IF($K$10=0,SUMIFS(INDIRECT(ADDRESS(12,3+18*2+(4),,,"J1 C - (South) Bishopthorpe Roa")&amp;":"&amp;ADDRESS(130,3+18*2+(4))),'J1 C - (South) Bishopthorpe Roa'!$A$12:$A$130,"&gt;="&amp;Diagram!$O83,'J1 C - (South) Bishopthorpe Roa'!$A$12:$A$130,"&lt;"&amp;Diagram!$P83),SUMIFS(INDIRECT(ADDRESS(12,3+18*2+(12),,,"J1 C - (South) Bishopthorpe Roa")&amp;":"&amp;ADDRESS(130,3+18*2+(12))),'J1 C - (South) Bishopthorpe Roa'!$A$12:$A$130,"&gt;="&amp;Diagram!$O83,'J1 C - (South) Bishopthorpe Roa'!$A$12:$A$130,"&lt;"&amp;Diagram!$P83)))</f>
        <v>0</v>
      </c>
      <c r="CS83" s="42">
        <f ca="1">IF(OR($I$10="",$O83="",$P83="",$J$39&lt;&gt;"Yes"),0,IF($K$10=0,SUMIFS(INDIRECT(ADDRESS(12,3+18*3+(4),,,"J1 C - (South) Bishopthorpe Roa")&amp;":"&amp;ADDRESS(130,3+18*3+(4))),'J1 C - (South) Bishopthorpe Roa'!$A$12:$A$130,"&gt;="&amp;Diagram!$O83,'J1 C - (South) Bishopthorpe Roa'!$A$12:$A$130,"&lt;"&amp;Diagram!$P83),SUMIFS(INDIRECT(ADDRESS(12,3+18*3+(12),,,"J1 C - (South) Bishopthorpe Roa")&amp;":"&amp;ADDRESS(130,3+18*3+(12))),'J1 C - (South) Bishopthorpe Roa'!$A$12:$A$130,"&gt;="&amp;Diagram!$O83,'J1 C - (South) Bishopthorpe Roa'!$A$12:$A$130,"&lt;"&amp;Diagram!$P83)))</f>
        <v>0</v>
      </c>
      <c r="CT83" s="42">
        <f ca="1">IF(OR($I$10="",$O83="",$P83="",$J$39&lt;&gt;"Yes"),0,IF($K$10=0,SUMIFS(INDIRECT(ADDRESS(12,3+18*0+(4),,,"J1 C - (South) Bishopthorpe Roa")&amp;":"&amp;ADDRESS(130,3+18*0+(4))),'J1 C - (South) Bishopthorpe Roa'!$A$12:$A$130,"&gt;="&amp;Diagram!$O83,'J1 C - (South) Bishopthorpe Roa'!$A$12:$A$130,"&lt;"&amp;Diagram!$P83),SUMIFS(INDIRECT(ADDRESS(12,3+18*0+(12),,,"J1 C - (South) Bishopthorpe Roa")&amp;":"&amp;ADDRESS(130,3+18*0+(12))),'J1 C - (South) Bishopthorpe Roa'!$A$12:$A$130,"&gt;="&amp;Diagram!$O83,'J1 C - (South) Bishopthorpe Roa'!$A$12:$A$130,"&lt;"&amp;Diagram!$P83)))</f>
        <v>0</v>
      </c>
      <c r="CU83" s="42">
        <f ca="1">IF(OR($I$10="",$O83="",$P83="",$J$39&lt;&gt;"Yes"),0,IF($K$10=0,SUMIFS(INDIRECT(ADDRESS(12,3+18*0+(4),,,"J1 D - South Bank Avenue")&amp;":"&amp;ADDRESS(130,3+18*0+(4))),'J1 D - South Bank Avenue'!$A$12:$A$130,"&gt;="&amp;Diagram!$O83,'J1 D - South Bank Avenue'!$A$12:$A$130,"&lt;"&amp;Diagram!$P83),SUMIFS(INDIRECT(ADDRESS(12,3+18*0+(12),,,"J1 D - South Bank Avenue")&amp;":"&amp;ADDRESS(130,3+18*0+(12))),'J1 D - South Bank Avenue'!$A$12:$A$130,"&gt;="&amp;Diagram!$O83,'J1 D - South Bank Avenue'!$A$12:$A$130,"&lt;"&amp;Diagram!$P83)))</f>
        <v>0</v>
      </c>
      <c r="CV83" s="42">
        <f ca="1">IF(OR($I$10="",$O83="",$P83="",$J$39&lt;&gt;"Yes"),0,IF($K$10=0,SUMIFS(INDIRECT(ADDRESS(12,3+18*1+(4),,,"J1 D - South Bank Avenue")&amp;":"&amp;ADDRESS(130,3+18*1+(4))),'J1 D - South Bank Avenue'!$A$12:$A$130,"&gt;="&amp;Diagram!$O83,'J1 D - South Bank Avenue'!$A$12:$A$130,"&lt;"&amp;Diagram!$P83),SUMIFS(INDIRECT(ADDRESS(12,3+18*1+(12),,,"J1 D - South Bank Avenue")&amp;":"&amp;ADDRESS(130,3+18*1+(12))),'J1 D - South Bank Avenue'!$A$12:$A$130,"&gt;="&amp;Diagram!$O83,'J1 D - South Bank Avenue'!$A$12:$A$130,"&lt;"&amp;Diagram!$P83)))</f>
        <v>0</v>
      </c>
      <c r="CW83" s="42">
        <f ca="1">IF(OR($I$10="",$O83="",$P83="",$J$39&lt;&gt;"Yes"),0,IF($K$10=0,SUMIFS(INDIRECT(ADDRESS(12,3+18*2+(4),,,"J1 D - South Bank Avenue")&amp;":"&amp;ADDRESS(130,3+18*2+(4))),'J1 D - South Bank Avenue'!$A$12:$A$130,"&gt;="&amp;Diagram!$O83,'J1 D - South Bank Avenue'!$A$12:$A$130,"&lt;"&amp;Diagram!$P83),SUMIFS(INDIRECT(ADDRESS(12,3+18*2+(12),,,"J1 D - South Bank Avenue")&amp;":"&amp;ADDRESS(130,3+18*2+(12))),'J1 D - South Bank Avenue'!$A$12:$A$130,"&gt;="&amp;Diagram!$O83,'J1 D - South Bank Avenue'!$A$12:$A$130,"&lt;"&amp;Diagram!$P83)))</f>
        <v>0</v>
      </c>
      <c r="CX83" s="42">
        <f ca="1">IF(OR($I$10="",$O83="",$P83="",$J$39&lt;&gt;"Yes"),0,IF($K$10=0,SUMIFS(INDIRECT(ADDRESS(12,3+18*3+(4),,,"J1 D - South Bank Avenue")&amp;":"&amp;ADDRESS(130,3+18*3+(4))),'J1 D - South Bank Avenue'!$A$12:$A$130,"&gt;="&amp;Diagram!$O83,'J1 D - South Bank Avenue'!$A$12:$A$130,"&lt;"&amp;Diagram!$P83),SUMIFS(INDIRECT(ADDRESS(12,3+18*3+(12),,,"J1 D - South Bank Avenue")&amp;":"&amp;ADDRESS(130,3+18*3+(12))),'J1 D - South Bank Avenue'!$A$12:$A$130,"&gt;="&amp;Diagram!$O83,'J1 D - South Bank Avenue'!$A$12:$A$130,"&lt;"&amp;Diagram!$P83)))</f>
        <v>0</v>
      </c>
      <c r="CY83" s="42">
        <f t="shared" ca="1" si="16"/>
        <v>61</v>
      </c>
      <c r="CZ83" s="42">
        <f ca="1">IF(OR($I$10="",$O83="",$P83="",$J$40&lt;&gt;"Yes"),0,IF($K$10=0,SUMIFS(INDIRECT(ADDRESS(12,3+18*3+(5),,,"J1 A - (North) Bishopthorpe Roa")&amp;":"&amp;ADDRESS(130,3+18*3+(5))),'J1 A - (North) Bishopthorpe Roa'!$A$12:$A$130,"&gt;="&amp;Diagram!$O83,'J1 A - (North) Bishopthorpe Roa'!$A$12:$A$130,"&lt;"&amp;Diagram!$P83),SUMIFS(INDIRECT(ADDRESS(12,3+18*3+(13),,,"J1 A - (North) Bishopthorpe Roa")&amp;":"&amp;ADDRESS(130,3+18*3+(13))),'J1 A - (North) Bishopthorpe Roa'!$A$12:$A$130,"&gt;="&amp;Diagram!$O83,'J1 A - (North) Bishopthorpe Roa'!$A$12:$A$130,"&lt;"&amp;Diagram!$P83)))</f>
        <v>0</v>
      </c>
      <c r="DA83" s="42">
        <f ca="1">IF(OR($I$10="",$O83="",$P83="",$J$40&lt;&gt;"Yes"),0,IF($K$10=0,SUMIFS(INDIRECT(ADDRESS(12,3+18*0+(5),,,"J1 A - (North) Bishopthorpe Roa")&amp;":"&amp;ADDRESS(130,3+18*0+(5))),'J1 A - (North) Bishopthorpe Roa'!$A$12:$A$130,"&gt;="&amp;Diagram!$O83,'J1 A - (North) Bishopthorpe Roa'!$A$12:$A$130,"&lt;"&amp;Diagram!$P83),SUMIFS(INDIRECT(ADDRESS(12,3+18*0+(13),,,"J1 A - (North) Bishopthorpe Roa")&amp;":"&amp;ADDRESS(130,3+18*0+(13))),'J1 A - (North) Bishopthorpe Roa'!$A$12:$A$130,"&gt;="&amp;Diagram!$O83,'J1 A - (North) Bishopthorpe Roa'!$A$12:$A$130,"&lt;"&amp;Diagram!$P83)))</f>
        <v>2</v>
      </c>
      <c r="DB83" s="42">
        <f ca="1">IF(OR($I$10="",$O83="",$P83="",$J$40&lt;&gt;"Yes"),0,IF($K$10=0,SUMIFS(INDIRECT(ADDRESS(12,3+18*1+(5),,,"J1 A - (North) Bishopthorpe Roa")&amp;":"&amp;ADDRESS(130,3+18*1+(5))),'J1 A - (North) Bishopthorpe Roa'!$A$12:$A$130,"&gt;="&amp;Diagram!$O83,'J1 A - (North) Bishopthorpe Roa'!$A$12:$A$130,"&lt;"&amp;Diagram!$P83),SUMIFS(INDIRECT(ADDRESS(12,3+18*1+(13),,,"J1 A - (North) Bishopthorpe Roa")&amp;":"&amp;ADDRESS(130,3+18*1+(13))),'J1 A - (North) Bishopthorpe Roa'!$A$12:$A$130,"&gt;="&amp;Diagram!$O83,'J1 A - (North) Bishopthorpe Roa'!$A$12:$A$130,"&lt;"&amp;Diagram!$P83)))</f>
        <v>8</v>
      </c>
      <c r="DC83" s="42">
        <f ca="1">IF(OR($I$10="",$O83="",$P83="",$J$40&lt;&gt;"Yes"),0,IF($K$10=0,SUMIFS(INDIRECT(ADDRESS(12,3+18*2+(5),,,"J1 A - (North) Bishopthorpe Roa")&amp;":"&amp;ADDRESS(130,3+18*2+(5))),'J1 A - (North) Bishopthorpe Roa'!$A$12:$A$130,"&gt;="&amp;Diagram!$O83,'J1 A - (North) Bishopthorpe Roa'!$A$12:$A$130,"&lt;"&amp;Diagram!$P83),SUMIFS(INDIRECT(ADDRESS(12,3+18*2+(13),,,"J1 A - (North) Bishopthorpe Roa")&amp;":"&amp;ADDRESS(130,3+18*2+(13))),'J1 A - (North) Bishopthorpe Roa'!$A$12:$A$130,"&gt;="&amp;Diagram!$O83,'J1 A - (North) Bishopthorpe Roa'!$A$12:$A$130,"&lt;"&amp;Diagram!$P83)))</f>
        <v>3</v>
      </c>
      <c r="DD83" s="42">
        <f ca="1">IF(OR($I$10="",$O83="",$P83="",$J$40&lt;&gt;"Yes"),0,IF($K$10=0,SUMIFS(INDIRECT(ADDRESS(12,3+18*2+(5),,,"J1 B - Butcher Terrace")&amp;":"&amp;ADDRESS(130,3+18*2+(5))),'J1 B - Butcher Terrace'!$A$12:$A$130,"&gt;="&amp;Diagram!$O83,'J1 B - Butcher Terrace'!$A$12:$A$130,"&lt;"&amp;Diagram!$P83),SUMIFS(INDIRECT(ADDRESS(12,3+18*2+(13),,,"J1 B - Butcher Terrace")&amp;":"&amp;ADDRESS(130,3+18*2+(13))),'J1 B - Butcher Terrace'!$A$12:$A$130,"&gt;="&amp;Diagram!$O83,'J1 B - Butcher Terrace'!$A$12:$A$130,"&lt;"&amp;Diagram!$P83)))</f>
        <v>10</v>
      </c>
      <c r="DE83" s="42">
        <f ca="1">IF(OR($I$10="",$O83="",$P83="",$J$40&lt;&gt;"Yes"),0,IF($K$10=0,SUMIFS(INDIRECT(ADDRESS(12,3+18*3+(5),,,"J1 B - Butcher Terrace")&amp;":"&amp;ADDRESS(130,3+18*3+(5))),'J1 B - Butcher Terrace'!$A$12:$A$130,"&gt;="&amp;Diagram!$O83,'J1 B - Butcher Terrace'!$A$12:$A$130,"&lt;"&amp;Diagram!$P83),SUMIFS(INDIRECT(ADDRESS(12,3+18*3+(13),,,"J1 B - Butcher Terrace")&amp;":"&amp;ADDRESS(130,3+18*3+(13))),'J1 B - Butcher Terrace'!$A$12:$A$130,"&gt;="&amp;Diagram!$O83,'J1 B - Butcher Terrace'!$A$12:$A$130,"&lt;"&amp;Diagram!$P83)))</f>
        <v>0</v>
      </c>
      <c r="DF83" s="42">
        <f ca="1">IF(OR($I$10="",$O83="",$P83="",$J$40&lt;&gt;"Yes"),0,IF($K$10=0,SUMIFS(INDIRECT(ADDRESS(12,3+18*0+(5),,,"J1 B - Butcher Terrace")&amp;":"&amp;ADDRESS(130,3+18*0+(5))),'J1 B - Butcher Terrace'!$A$12:$A$130,"&gt;="&amp;Diagram!$O83,'J1 B - Butcher Terrace'!$A$12:$A$130,"&lt;"&amp;Diagram!$P83),SUMIFS(INDIRECT(ADDRESS(12,3+18*0+(13),,,"J1 B - Butcher Terrace")&amp;":"&amp;ADDRESS(130,3+18*0+(13))),'J1 B - Butcher Terrace'!$A$12:$A$130,"&gt;="&amp;Diagram!$O83,'J1 B - Butcher Terrace'!$A$12:$A$130,"&lt;"&amp;Diagram!$P83)))</f>
        <v>5</v>
      </c>
      <c r="DG83" s="42">
        <f ca="1">IF(OR($I$10="",$O83="",$P83="",$J$40&lt;&gt;"Yes"),0,IF($K$10=0,SUMIFS(INDIRECT(ADDRESS(12,3+18*1+(5),,,"J1 B - Butcher Terrace")&amp;":"&amp;ADDRESS(130,3+18*1+(5))),'J1 B - Butcher Terrace'!$A$12:$A$130,"&gt;="&amp;Diagram!$O83,'J1 B - Butcher Terrace'!$A$12:$A$130,"&lt;"&amp;Diagram!$P83),SUMIFS(INDIRECT(ADDRESS(12,3+18*1+(13),,,"J1 B - Butcher Terrace")&amp;":"&amp;ADDRESS(130,3+18*1+(13))),'J1 B - Butcher Terrace'!$A$12:$A$130,"&gt;="&amp;Diagram!$O83,'J1 B - Butcher Terrace'!$A$12:$A$130,"&lt;"&amp;Diagram!$P83)))</f>
        <v>15</v>
      </c>
      <c r="DH83" s="42">
        <f ca="1">IF(OR($I$10="",$O83="",$P83="",$J$40&lt;&gt;"Yes"),0,IF($K$10=0,SUMIFS(INDIRECT(ADDRESS(12,3+18*1+(5),,,"J1 C - (South) Bishopthorpe Roa")&amp;":"&amp;ADDRESS(130,3+18*1+(5))),'J1 C - (South) Bishopthorpe Roa'!$A$12:$A$130,"&gt;="&amp;Diagram!$O83,'J1 C - (South) Bishopthorpe Roa'!$A$12:$A$130,"&lt;"&amp;Diagram!$P83),SUMIFS(INDIRECT(ADDRESS(12,3+18*1+(13),,,"J1 C - (South) Bishopthorpe Roa")&amp;":"&amp;ADDRESS(130,3+18*1+(13))),'J1 C - (South) Bishopthorpe Roa'!$A$12:$A$130,"&gt;="&amp;Diagram!$O83,'J1 C - (South) Bishopthorpe Roa'!$A$12:$A$130,"&lt;"&amp;Diagram!$P83)))</f>
        <v>4</v>
      </c>
      <c r="DI83" s="42">
        <f ca="1">IF(OR($I$10="",$O83="",$P83="",$J$40&lt;&gt;"Yes"),0,IF($K$10=0,SUMIFS(INDIRECT(ADDRESS(12,3+18*2+(5),,,"J1 C - (South) Bishopthorpe Roa")&amp;":"&amp;ADDRESS(130,3+18*2+(5))),'J1 C - (South) Bishopthorpe Roa'!$A$12:$A$130,"&gt;="&amp;Diagram!$O83,'J1 C - (South) Bishopthorpe Roa'!$A$12:$A$130,"&lt;"&amp;Diagram!$P83),SUMIFS(INDIRECT(ADDRESS(12,3+18*2+(13),,,"J1 C - (South) Bishopthorpe Roa")&amp;":"&amp;ADDRESS(130,3+18*2+(13))),'J1 C - (South) Bishopthorpe Roa'!$A$12:$A$130,"&gt;="&amp;Diagram!$O83,'J1 C - (South) Bishopthorpe Roa'!$A$12:$A$130,"&lt;"&amp;Diagram!$P83)))</f>
        <v>3</v>
      </c>
      <c r="DJ83" s="42">
        <f ca="1">IF(OR($I$10="",$O83="",$P83="",$J$40&lt;&gt;"Yes"),0,IF($K$10=0,SUMIFS(INDIRECT(ADDRESS(12,3+18*3+(5),,,"J1 C - (South) Bishopthorpe Roa")&amp;":"&amp;ADDRESS(130,3+18*3+(5))),'J1 C - (South) Bishopthorpe Roa'!$A$12:$A$130,"&gt;="&amp;Diagram!$O83,'J1 C - (South) Bishopthorpe Roa'!$A$12:$A$130,"&lt;"&amp;Diagram!$P83),SUMIFS(INDIRECT(ADDRESS(12,3+18*3+(13),,,"J1 C - (South) Bishopthorpe Roa")&amp;":"&amp;ADDRESS(130,3+18*3+(13))),'J1 C - (South) Bishopthorpe Roa'!$A$12:$A$130,"&gt;="&amp;Diagram!$O83,'J1 C - (South) Bishopthorpe Roa'!$A$12:$A$130,"&lt;"&amp;Diagram!$P83)))</f>
        <v>0</v>
      </c>
      <c r="DK83" s="42">
        <f ca="1">IF(OR($I$10="",$O83="",$P83="",$J$40&lt;&gt;"Yes"),0,IF($K$10=0,SUMIFS(INDIRECT(ADDRESS(12,3+18*0+(5),,,"J1 C - (South) Bishopthorpe Roa")&amp;":"&amp;ADDRESS(130,3+18*0+(5))),'J1 C - (South) Bishopthorpe Roa'!$A$12:$A$130,"&gt;="&amp;Diagram!$O83,'J1 C - (South) Bishopthorpe Roa'!$A$12:$A$130,"&lt;"&amp;Diagram!$P83),SUMIFS(INDIRECT(ADDRESS(12,3+18*0+(13),,,"J1 C - (South) Bishopthorpe Roa")&amp;":"&amp;ADDRESS(130,3+18*0+(13))),'J1 C - (South) Bishopthorpe Roa'!$A$12:$A$130,"&gt;="&amp;Diagram!$O83,'J1 C - (South) Bishopthorpe Roa'!$A$12:$A$130,"&lt;"&amp;Diagram!$P83)))</f>
        <v>0</v>
      </c>
      <c r="DL83" s="42">
        <f ca="1">IF(OR($I$10="",$O83="",$P83="",$J$40&lt;&gt;"Yes"),0,IF($K$10=0,SUMIFS(INDIRECT(ADDRESS(12,3+18*0+(5),,,"J1 D - South Bank Avenue")&amp;":"&amp;ADDRESS(130,3+18*0+(5))),'J1 D - South Bank Avenue'!$A$12:$A$130,"&gt;="&amp;Diagram!$O83,'J1 D - South Bank Avenue'!$A$12:$A$130,"&lt;"&amp;Diagram!$P83),SUMIFS(INDIRECT(ADDRESS(12,3+18*0+(13),,,"J1 D - South Bank Avenue")&amp;":"&amp;ADDRESS(130,3+18*0+(13))),'J1 D - South Bank Avenue'!$A$12:$A$130,"&gt;="&amp;Diagram!$O83,'J1 D - South Bank Avenue'!$A$12:$A$130,"&lt;"&amp;Diagram!$P83)))</f>
        <v>0</v>
      </c>
      <c r="DM83" s="42">
        <f ca="1">IF(OR($I$10="",$O83="",$P83="",$J$40&lt;&gt;"Yes"),0,IF($K$10=0,SUMIFS(INDIRECT(ADDRESS(12,3+18*1+(5),,,"J1 D - South Bank Avenue")&amp;":"&amp;ADDRESS(130,3+18*1+(5))),'J1 D - South Bank Avenue'!$A$12:$A$130,"&gt;="&amp;Diagram!$O83,'J1 D - South Bank Avenue'!$A$12:$A$130,"&lt;"&amp;Diagram!$P83),SUMIFS(INDIRECT(ADDRESS(12,3+18*1+(13),,,"J1 D - South Bank Avenue")&amp;":"&amp;ADDRESS(130,3+18*1+(13))),'J1 D - South Bank Avenue'!$A$12:$A$130,"&gt;="&amp;Diagram!$O83,'J1 D - South Bank Avenue'!$A$12:$A$130,"&lt;"&amp;Diagram!$P83)))</f>
        <v>11</v>
      </c>
      <c r="DN83" s="42">
        <f ca="1">IF(OR($I$10="",$O83="",$P83="",$J$40&lt;&gt;"Yes"),0,IF($K$10=0,SUMIFS(INDIRECT(ADDRESS(12,3+18*2+(5),,,"J1 D - South Bank Avenue")&amp;":"&amp;ADDRESS(130,3+18*2+(5))),'J1 D - South Bank Avenue'!$A$12:$A$130,"&gt;="&amp;Diagram!$O83,'J1 D - South Bank Avenue'!$A$12:$A$130,"&lt;"&amp;Diagram!$P83),SUMIFS(INDIRECT(ADDRESS(12,3+18*2+(13),,,"J1 D - South Bank Avenue")&amp;":"&amp;ADDRESS(130,3+18*2+(13))),'J1 D - South Bank Avenue'!$A$12:$A$130,"&gt;="&amp;Diagram!$O83,'J1 D - South Bank Avenue'!$A$12:$A$130,"&lt;"&amp;Diagram!$P83)))</f>
        <v>0</v>
      </c>
      <c r="DO83" s="42">
        <f ca="1">IF(OR($I$10="",$O83="",$P83="",$J$40&lt;&gt;"Yes"),0,IF($K$10=0,SUMIFS(INDIRECT(ADDRESS(12,3+18*3+(5),,,"J1 D - South Bank Avenue")&amp;":"&amp;ADDRESS(130,3+18*3+(5))),'J1 D - South Bank Avenue'!$A$12:$A$130,"&gt;="&amp;Diagram!$O83,'J1 D - South Bank Avenue'!$A$12:$A$130,"&lt;"&amp;Diagram!$P83),SUMIFS(INDIRECT(ADDRESS(12,3+18*3+(13),,,"J1 D - South Bank Avenue")&amp;":"&amp;ADDRESS(130,3+18*3+(13))),'J1 D - South Bank Avenue'!$A$12:$A$130,"&gt;="&amp;Diagram!$O83,'J1 D - South Bank Avenue'!$A$12:$A$130,"&lt;"&amp;Diagram!$P83)))</f>
        <v>0</v>
      </c>
      <c r="DP83" s="42">
        <f t="shared" ca="1" si="17"/>
        <v>6</v>
      </c>
      <c r="DQ83" s="42">
        <f ca="1">IF(OR($I$10="",$O83="",$P83="",$J$41&lt;&gt;"Yes"),0,IF($K$10=0,SUMIFS(INDIRECT(ADDRESS(12,3+18*3+(6),,,"J1 A - (North) Bishopthorpe Roa")&amp;":"&amp;ADDRESS(130,3+18*3+(6))),'J1 A - (North) Bishopthorpe Roa'!$A$12:$A$130,"&gt;="&amp;Diagram!$O83,'J1 A - (North) Bishopthorpe Roa'!$A$12:$A$130,"&lt;"&amp;Diagram!$P83),SUMIFS(INDIRECT(ADDRESS(12,3+18*3+(14),,,"J1 A - (North) Bishopthorpe Roa")&amp;":"&amp;ADDRESS(130,3+18*3+(14))),'J1 A - (North) Bishopthorpe Roa'!$A$12:$A$130,"&gt;="&amp;Diagram!$O83,'J1 A - (North) Bishopthorpe Roa'!$A$12:$A$130,"&lt;"&amp;Diagram!$P83)))</f>
        <v>0</v>
      </c>
      <c r="DR83" s="42">
        <f ca="1">IF(OR($I$10="",$O83="",$P83="",$J$41&lt;&gt;"Yes"),0,IF($K$10=0,SUMIFS(INDIRECT(ADDRESS(12,3+18*0+(6),,,"J1 A - (North) Bishopthorpe Roa")&amp;":"&amp;ADDRESS(130,3+18*0+(6))),'J1 A - (North) Bishopthorpe Roa'!$A$12:$A$130,"&gt;="&amp;Diagram!$O83,'J1 A - (North) Bishopthorpe Roa'!$A$12:$A$130,"&lt;"&amp;Diagram!$P83),SUMIFS(INDIRECT(ADDRESS(12,3+18*0+(14),,,"J1 A - (North) Bishopthorpe Roa")&amp;":"&amp;ADDRESS(130,3+18*0+(14))),'J1 A - (North) Bishopthorpe Roa'!$A$12:$A$130,"&gt;="&amp;Diagram!$O83,'J1 A - (North) Bishopthorpe Roa'!$A$12:$A$130,"&lt;"&amp;Diagram!$P83)))</f>
        <v>0</v>
      </c>
      <c r="DS83" s="42">
        <f ca="1">IF(OR($I$10="",$O83="",$P83="",$J$41&lt;&gt;"Yes"),0,IF($K$10=0,SUMIFS(INDIRECT(ADDRESS(12,3+18*1+(6),,,"J1 A - (North) Bishopthorpe Roa")&amp;":"&amp;ADDRESS(130,3+18*1+(6))),'J1 A - (North) Bishopthorpe Roa'!$A$12:$A$130,"&gt;="&amp;Diagram!$O83,'J1 A - (North) Bishopthorpe Roa'!$A$12:$A$130,"&lt;"&amp;Diagram!$P83),SUMIFS(INDIRECT(ADDRESS(12,3+18*1+(14),,,"J1 A - (North) Bishopthorpe Roa")&amp;":"&amp;ADDRESS(130,3+18*1+(14))),'J1 A - (North) Bishopthorpe Roa'!$A$12:$A$130,"&gt;="&amp;Diagram!$O83,'J1 A - (North) Bishopthorpe Roa'!$A$12:$A$130,"&lt;"&amp;Diagram!$P83)))</f>
        <v>2</v>
      </c>
      <c r="DT83" s="42">
        <f ca="1">IF(OR($I$10="",$O83="",$P83="",$J$41&lt;&gt;"Yes"),0,IF($K$10=0,SUMIFS(INDIRECT(ADDRESS(12,3+18*2+(6),,,"J1 A - (North) Bishopthorpe Roa")&amp;":"&amp;ADDRESS(130,3+18*2+(6))),'J1 A - (North) Bishopthorpe Roa'!$A$12:$A$130,"&gt;="&amp;Diagram!$O83,'J1 A - (North) Bishopthorpe Roa'!$A$12:$A$130,"&lt;"&amp;Diagram!$P83),SUMIFS(INDIRECT(ADDRESS(12,3+18*2+(14),,,"J1 A - (North) Bishopthorpe Roa")&amp;":"&amp;ADDRESS(130,3+18*2+(14))),'J1 A - (North) Bishopthorpe Roa'!$A$12:$A$130,"&gt;="&amp;Diagram!$O83,'J1 A - (North) Bishopthorpe Roa'!$A$12:$A$130,"&lt;"&amp;Diagram!$P83)))</f>
        <v>2</v>
      </c>
      <c r="DU83" s="42">
        <f ca="1">IF(OR($I$10="",$O83="",$P83="",$J$41&lt;&gt;"Yes"),0,IF($K$10=0,SUMIFS(INDIRECT(ADDRESS(12,3+18*2+(6),,,"J1 B - Butcher Terrace")&amp;":"&amp;ADDRESS(130,3+18*2+(6))),'J1 B - Butcher Terrace'!$A$12:$A$130,"&gt;="&amp;Diagram!$O83,'J1 B - Butcher Terrace'!$A$12:$A$130,"&lt;"&amp;Diagram!$P83),SUMIFS(INDIRECT(ADDRESS(12,3+18*2+(14),,,"J1 B - Butcher Terrace")&amp;":"&amp;ADDRESS(130,3+18*2+(14))),'J1 B - Butcher Terrace'!$A$12:$A$130,"&gt;="&amp;Diagram!$O83,'J1 B - Butcher Terrace'!$A$12:$A$130,"&lt;"&amp;Diagram!$P83)))</f>
        <v>0</v>
      </c>
      <c r="DV83" s="42">
        <f ca="1">IF(OR($I$10="",$O83="",$P83="",$J$41&lt;&gt;"Yes"),0,IF($K$10=0,SUMIFS(INDIRECT(ADDRESS(12,3+18*3+(6),,,"J1 B - Butcher Terrace")&amp;":"&amp;ADDRESS(130,3+18*3+(6))),'J1 B - Butcher Terrace'!$A$12:$A$130,"&gt;="&amp;Diagram!$O83,'J1 B - Butcher Terrace'!$A$12:$A$130,"&lt;"&amp;Diagram!$P83),SUMIFS(INDIRECT(ADDRESS(12,3+18*3+(14),,,"J1 B - Butcher Terrace")&amp;":"&amp;ADDRESS(130,3+18*3+(14))),'J1 B - Butcher Terrace'!$A$12:$A$130,"&gt;="&amp;Diagram!$O83,'J1 B - Butcher Terrace'!$A$12:$A$130,"&lt;"&amp;Diagram!$P83)))</f>
        <v>0</v>
      </c>
      <c r="DW83" s="42">
        <f ca="1">IF(OR($I$10="",$O83="",$P83="",$J$41&lt;&gt;"Yes"),0,IF($K$10=0,SUMIFS(INDIRECT(ADDRESS(12,3+18*0+(6),,,"J1 B - Butcher Terrace")&amp;":"&amp;ADDRESS(130,3+18*0+(6))),'J1 B - Butcher Terrace'!$A$12:$A$130,"&gt;="&amp;Diagram!$O83,'J1 B - Butcher Terrace'!$A$12:$A$130,"&lt;"&amp;Diagram!$P83),SUMIFS(INDIRECT(ADDRESS(12,3+18*0+(14),,,"J1 B - Butcher Terrace")&amp;":"&amp;ADDRESS(130,3+18*0+(14))),'J1 B - Butcher Terrace'!$A$12:$A$130,"&gt;="&amp;Diagram!$O83,'J1 B - Butcher Terrace'!$A$12:$A$130,"&lt;"&amp;Diagram!$P83)))</f>
        <v>0</v>
      </c>
      <c r="DX83" s="42">
        <f ca="1">IF(OR($I$10="",$O83="",$P83="",$J$41&lt;&gt;"Yes"),0,IF($K$10=0,SUMIFS(INDIRECT(ADDRESS(12,3+18*1+(6),,,"J1 B - Butcher Terrace")&amp;":"&amp;ADDRESS(130,3+18*1+(6))),'J1 B - Butcher Terrace'!$A$12:$A$130,"&gt;="&amp;Diagram!$O83,'J1 B - Butcher Terrace'!$A$12:$A$130,"&lt;"&amp;Diagram!$P83),SUMIFS(INDIRECT(ADDRESS(12,3+18*1+(14),,,"J1 B - Butcher Terrace")&amp;":"&amp;ADDRESS(130,3+18*1+(14))),'J1 B - Butcher Terrace'!$A$12:$A$130,"&gt;="&amp;Diagram!$O83,'J1 B - Butcher Terrace'!$A$12:$A$130,"&lt;"&amp;Diagram!$P83)))</f>
        <v>0</v>
      </c>
      <c r="DY83" s="42">
        <f ca="1">IF(OR($I$10="",$O83="",$P83="",$J$41&lt;&gt;"Yes"),0,IF($K$10=0,SUMIFS(INDIRECT(ADDRESS(12,3+18*1+(6),,,"J1 C - (South) Bishopthorpe Roa")&amp;":"&amp;ADDRESS(130,3+18*1+(6))),'J1 C - (South) Bishopthorpe Roa'!$A$12:$A$130,"&gt;="&amp;Diagram!$O83,'J1 C - (South) Bishopthorpe Roa'!$A$12:$A$130,"&lt;"&amp;Diagram!$P83),SUMIFS(INDIRECT(ADDRESS(12,3+18*1+(14),,,"J1 C - (South) Bishopthorpe Roa")&amp;":"&amp;ADDRESS(130,3+18*1+(14))),'J1 C - (South) Bishopthorpe Roa'!$A$12:$A$130,"&gt;="&amp;Diagram!$O83,'J1 C - (South) Bishopthorpe Roa'!$A$12:$A$130,"&lt;"&amp;Diagram!$P83)))</f>
        <v>0</v>
      </c>
      <c r="DZ83" s="42">
        <f ca="1">IF(OR($I$10="",$O83="",$P83="",$J$41&lt;&gt;"Yes"),0,IF($K$10=0,SUMIFS(INDIRECT(ADDRESS(12,3+18*2+(6),,,"J1 C - (South) Bishopthorpe Roa")&amp;":"&amp;ADDRESS(130,3+18*2+(6))),'J1 C - (South) Bishopthorpe Roa'!$A$12:$A$130,"&gt;="&amp;Diagram!$O83,'J1 C - (South) Bishopthorpe Roa'!$A$12:$A$130,"&lt;"&amp;Diagram!$P83),SUMIFS(INDIRECT(ADDRESS(12,3+18*2+(14),,,"J1 C - (South) Bishopthorpe Roa")&amp;":"&amp;ADDRESS(130,3+18*2+(14))),'J1 C - (South) Bishopthorpe Roa'!$A$12:$A$130,"&gt;="&amp;Diagram!$O83,'J1 C - (South) Bishopthorpe Roa'!$A$12:$A$130,"&lt;"&amp;Diagram!$P83)))</f>
        <v>0</v>
      </c>
      <c r="EA83" s="42">
        <f ca="1">IF(OR($I$10="",$O83="",$P83="",$J$41&lt;&gt;"Yes"),0,IF($K$10=0,SUMIFS(INDIRECT(ADDRESS(12,3+18*3+(6),,,"J1 C - (South) Bishopthorpe Roa")&amp;":"&amp;ADDRESS(130,3+18*3+(6))),'J1 C - (South) Bishopthorpe Roa'!$A$12:$A$130,"&gt;="&amp;Diagram!$O83,'J1 C - (South) Bishopthorpe Roa'!$A$12:$A$130,"&lt;"&amp;Diagram!$P83),SUMIFS(INDIRECT(ADDRESS(12,3+18*3+(14),,,"J1 C - (South) Bishopthorpe Roa")&amp;":"&amp;ADDRESS(130,3+18*3+(14))),'J1 C - (South) Bishopthorpe Roa'!$A$12:$A$130,"&gt;="&amp;Diagram!$O83,'J1 C - (South) Bishopthorpe Roa'!$A$12:$A$130,"&lt;"&amp;Diagram!$P83)))</f>
        <v>0</v>
      </c>
      <c r="EB83" s="42">
        <f ca="1">IF(OR($I$10="",$O83="",$P83="",$J$41&lt;&gt;"Yes"),0,IF($K$10=0,SUMIFS(INDIRECT(ADDRESS(12,3+18*0+(6),,,"J1 C - (South) Bishopthorpe Roa")&amp;":"&amp;ADDRESS(130,3+18*0+(6))),'J1 C - (South) Bishopthorpe Roa'!$A$12:$A$130,"&gt;="&amp;Diagram!$O83,'J1 C - (South) Bishopthorpe Roa'!$A$12:$A$130,"&lt;"&amp;Diagram!$P83),SUMIFS(INDIRECT(ADDRESS(12,3+18*0+(14),,,"J1 C - (South) Bishopthorpe Roa")&amp;":"&amp;ADDRESS(130,3+18*0+(14))),'J1 C - (South) Bishopthorpe Roa'!$A$12:$A$130,"&gt;="&amp;Diagram!$O83,'J1 C - (South) Bishopthorpe Roa'!$A$12:$A$130,"&lt;"&amp;Diagram!$P83)))</f>
        <v>0</v>
      </c>
      <c r="EC83" s="42">
        <f ca="1">IF(OR($I$10="",$O83="",$P83="",$J$41&lt;&gt;"Yes"),0,IF($K$10=0,SUMIFS(INDIRECT(ADDRESS(12,3+18*0+(6),,,"J1 D - South Bank Avenue")&amp;":"&amp;ADDRESS(130,3+18*0+(6))),'J1 D - South Bank Avenue'!$A$12:$A$130,"&gt;="&amp;Diagram!$O83,'J1 D - South Bank Avenue'!$A$12:$A$130,"&lt;"&amp;Diagram!$P83),SUMIFS(INDIRECT(ADDRESS(12,3+18*0+(14),,,"J1 D - South Bank Avenue")&amp;":"&amp;ADDRESS(130,3+18*0+(14))),'J1 D - South Bank Avenue'!$A$12:$A$130,"&gt;="&amp;Diagram!$O83,'J1 D - South Bank Avenue'!$A$12:$A$130,"&lt;"&amp;Diagram!$P83)))</f>
        <v>2</v>
      </c>
      <c r="ED83" s="42">
        <f ca="1">IF(OR($I$10="",$O83="",$P83="",$J$41&lt;&gt;"Yes"),0,IF($K$10=0,SUMIFS(INDIRECT(ADDRESS(12,3+18*1+(6),,,"J1 D - South Bank Avenue")&amp;":"&amp;ADDRESS(130,3+18*1+(6))),'J1 D - South Bank Avenue'!$A$12:$A$130,"&gt;="&amp;Diagram!$O83,'J1 D - South Bank Avenue'!$A$12:$A$130,"&lt;"&amp;Diagram!$P83),SUMIFS(INDIRECT(ADDRESS(12,3+18*1+(14),,,"J1 D - South Bank Avenue")&amp;":"&amp;ADDRESS(130,3+18*1+(14))),'J1 D - South Bank Avenue'!$A$12:$A$130,"&gt;="&amp;Diagram!$O83,'J1 D - South Bank Avenue'!$A$12:$A$130,"&lt;"&amp;Diagram!$P83)))</f>
        <v>0</v>
      </c>
      <c r="EE83" s="42">
        <f ca="1">IF(OR($I$10="",$O83="",$P83="",$J$41&lt;&gt;"Yes"),0,IF($K$10=0,SUMIFS(INDIRECT(ADDRESS(12,3+18*2+(6),,,"J1 D - South Bank Avenue")&amp;":"&amp;ADDRESS(130,3+18*2+(6))),'J1 D - South Bank Avenue'!$A$12:$A$130,"&gt;="&amp;Diagram!$O83,'J1 D - South Bank Avenue'!$A$12:$A$130,"&lt;"&amp;Diagram!$P83),SUMIFS(INDIRECT(ADDRESS(12,3+18*2+(14),,,"J1 D - South Bank Avenue")&amp;":"&amp;ADDRESS(130,3+18*2+(14))),'J1 D - South Bank Avenue'!$A$12:$A$130,"&gt;="&amp;Diagram!$O83,'J1 D - South Bank Avenue'!$A$12:$A$130,"&lt;"&amp;Diagram!$P83)))</f>
        <v>0</v>
      </c>
      <c r="EF83" s="42">
        <f ca="1">IF(OR($I$10="",$O83="",$P83="",$J$41&lt;&gt;"Yes"),0,IF($K$10=0,SUMIFS(INDIRECT(ADDRESS(12,3+18*3+(6),,,"J1 D - South Bank Avenue")&amp;":"&amp;ADDRESS(130,3+18*3+(6))),'J1 D - South Bank Avenue'!$A$12:$A$130,"&gt;="&amp;Diagram!$O83,'J1 D - South Bank Avenue'!$A$12:$A$130,"&lt;"&amp;Diagram!$P83),SUMIFS(INDIRECT(ADDRESS(12,3+18*3+(14),,,"J1 D - South Bank Avenue")&amp;":"&amp;ADDRESS(130,3+18*3+(14))),'J1 D - South Bank Avenue'!$A$12:$A$130,"&gt;="&amp;Diagram!$O83,'J1 D - South Bank Avenue'!$A$12:$A$130,"&lt;"&amp;Diagram!$P83)))</f>
        <v>0</v>
      </c>
      <c r="EG83" s="42">
        <f t="shared" ca="1" si="18"/>
        <v>0</v>
      </c>
      <c r="EH83" s="42">
        <f ca="1">IF(OR($I$10="",$O83="",$P83="",$J$42&lt;&gt;"Yes"),0,IF($K$10=0,SUMIFS(INDIRECT(ADDRESS(12,3+18*3+(7),,,"J1 A - (North) Bishopthorpe Roa")&amp;":"&amp;ADDRESS(130,3+18*3+(7))),'J1 A - (North) Bishopthorpe Roa'!$A$12:$A$130,"&gt;="&amp;Diagram!$O83,'J1 A - (North) Bishopthorpe Roa'!$A$12:$A$130,"&lt;"&amp;Diagram!$P83),SUMIFS(INDIRECT(ADDRESS(12,3+18*3+(15),,,"J1 A - (North) Bishopthorpe Roa")&amp;":"&amp;ADDRESS(130,3+18*3+(15))),'J1 A - (North) Bishopthorpe Roa'!$A$12:$A$130,"&gt;="&amp;Diagram!$O83,'J1 A - (North) Bishopthorpe Roa'!$A$12:$A$130,"&lt;"&amp;Diagram!$P83)))</f>
        <v>0</v>
      </c>
      <c r="EI83" s="42">
        <f ca="1">IF(OR($I$10="",$O83="",$P83="",$J$42&lt;&gt;"Yes"),0,IF($K$10=0,SUMIFS(INDIRECT(ADDRESS(12,3+18*0+(7),,,"J1 A - (North) Bishopthorpe Roa")&amp;":"&amp;ADDRESS(130,3+18*0+(7))),'J1 A - (North) Bishopthorpe Roa'!$A$12:$A$130,"&gt;="&amp;Diagram!$O83,'J1 A - (North) Bishopthorpe Roa'!$A$12:$A$130,"&lt;"&amp;Diagram!$P83),SUMIFS(INDIRECT(ADDRESS(12,3+18*0+(15),,,"J1 A - (North) Bishopthorpe Roa")&amp;":"&amp;ADDRESS(130,3+18*0+(15))),'J1 A - (North) Bishopthorpe Roa'!$A$12:$A$130,"&gt;="&amp;Diagram!$O83,'J1 A - (North) Bishopthorpe Roa'!$A$12:$A$130,"&lt;"&amp;Diagram!$P83)))</f>
        <v>0</v>
      </c>
      <c r="EJ83" s="42">
        <f ca="1">IF(OR($I$10="",$O83="",$P83="",$J$42&lt;&gt;"Yes"),0,IF($K$10=0,SUMIFS(INDIRECT(ADDRESS(12,3+18*1+(7),,,"J1 A - (North) Bishopthorpe Roa")&amp;":"&amp;ADDRESS(130,3+18*1+(7))),'J1 A - (North) Bishopthorpe Roa'!$A$12:$A$130,"&gt;="&amp;Diagram!$O83,'J1 A - (North) Bishopthorpe Roa'!$A$12:$A$130,"&lt;"&amp;Diagram!$P83),SUMIFS(INDIRECT(ADDRESS(12,3+18*1+(15),,,"J1 A - (North) Bishopthorpe Roa")&amp;":"&amp;ADDRESS(130,3+18*1+(15))),'J1 A - (North) Bishopthorpe Roa'!$A$12:$A$130,"&gt;="&amp;Diagram!$O83,'J1 A - (North) Bishopthorpe Roa'!$A$12:$A$130,"&lt;"&amp;Diagram!$P83)))</f>
        <v>0</v>
      </c>
      <c r="EK83" s="42">
        <f ca="1">IF(OR($I$10="",$O83="",$P83="",$J$42&lt;&gt;"Yes"),0,IF($K$10=0,SUMIFS(INDIRECT(ADDRESS(12,3+18*2+(7),,,"J1 A - (North) Bishopthorpe Roa")&amp;":"&amp;ADDRESS(130,3+18*2+(7))),'J1 A - (North) Bishopthorpe Roa'!$A$12:$A$130,"&gt;="&amp;Diagram!$O83,'J1 A - (North) Bishopthorpe Roa'!$A$12:$A$130,"&lt;"&amp;Diagram!$P83),SUMIFS(INDIRECT(ADDRESS(12,3+18*2+(15),,,"J1 A - (North) Bishopthorpe Roa")&amp;":"&amp;ADDRESS(130,3+18*2+(15))),'J1 A - (North) Bishopthorpe Roa'!$A$12:$A$130,"&gt;="&amp;Diagram!$O83,'J1 A - (North) Bishopthorpe Roa'!$A$12:$A$130,"&lt;"&amp;Diagram!$P83)))</f>
        <v>0</v>
      </c>
      <c r="EL83" s="42">
        <f ca="1">IF(OR($I$10="",$O83="",$P83="",$J$42&lt;&gt;"Yes"),0,IF($K$10=0,SUMIFS(INDIRECT(ADDRESS(12,3+18*2+(7),,,"J1 B - Butcher Terrace")&amp;":"&amp;ADDRESS(130,3+18*2+(7))),'J1 B - Butcher Terrace'!$A$12:$A$130,"&gt;="&amp;Diagram!$O83,'J1 B - Butcher Terrace'!$A$12:$A$130,"&lt;"&amp;Diagram!$P83),SUMIFS(INDIRECT(ADDRESS(12,3+18*2+(15),,,"J1 B - Butcher Terrace")&amp;":"&amp;ADDRESS(130,3+18*2+(15))),'J1 B - Butcher Terrace'!$A$12:$A$130,"&gt;="&amp;Diagram!$O83,'J1 B - Butcher Terrace'!$A$12:$A$130,"&lt;"&amp;Diagram!$P83)))</f>
        <v>0</v>
      </c>
      <c r="EM83" s="42">
        <f ca="1">IF(OR($I$10="",$O83="",$P83="",$J$42&lt;&gt;"Yes"),0,IF($K$10=0,SUMIFS(INDIRECT(ADDRESS(12,3+18*3+(7),,,"J1 B - Butcher Terrace")&amp;":"&amp;ADDRESS(130,3+18*3+(7))),'J1 B - Butcher Terrace'!$A$12:$A$130,"&gt;="&amp;Diagram!$O83,'J1 B - Butcher Terrace'!$A$12:$A$130,"&lt;"&amp;Diagram!$P83),SUMIFS(INDIRECT(ADDRESS(12,3+18*3+(15),,,"J1 B - Butcher Terrace")&amp;":"&amp;ADDRESS(130,3+18*3+(15))),'J1 B - Butcher Terrace'!$A$12:$A$130,"&gt;="&amp;Diagram!$O83,'J1 B - Butcher Terrace'!$A$12:$A$130,"&lt;"&amp;Diagram!$P83)))</f>
        <v>0</v>
      </c>
      <c r="EN83" s="42">
        <f ca="1">IF(OR($I$10="",$O83="",$P83="",$J$42&lt;&gt;"Yes"),0,IF($K$10=0,SUMIFS(INDIRECT(ADDRESS(12,3+18*0+(7),,,"J1 B - Butcher Terrace")&amp;":"&amp;ADDRESS(130,3+18*0+(7))),'J1 B - Butcher Terrace'!$A$12:$A$130,"&gt;="&amp;Diagram!$O83,'J1 B - Butcher Terrace'!$A$12:$A$130,"&lt;"&amp;Diagram!$P83),SUMIFS(INDIRECT(ADDRESS(12,3+18*0+(15),,,"J1 B - Butcher Terrace")&amp;":"&amp;ADDRESS(130,3+18*0+(15))),'J1 B - Butcher Terrace'!$A$12:$A$130,"&gt;="&amp;Diagram!$O83,'J1 B - Butcher Terrace'!$A$12:$A$130,"&lt;"&amp;Diagram!$P83)))</f>
        <v>0</v>
      </c>
      <c r="EO83" s="42">
        <f ca="1">IF(OR($I$10="",$O83="",$P83="",$J$42&lt;&gt;"Yes"),0,IF($K$10=0,SUMIFS(INDIRECT(ADDRESS(12,3+18*1+(7),,,"J1 B - Butcher Terrace")&amp;":"&amp;ADDRESS(130,3+18*1+(7))),'J1 B - Butcher Terrace'!$A$12:$A$130,"&gt;="&amp;Diagram!$O83,'J1 B - Butcher Terrace'!$A$12:$A$130,"&lt;"&amp;Diagram!$P83),SUMIFS(INDIRECT(ADDRESS(12,3+18*1+(15),,,"J1 B - Butcher Terrace")&amp;":"&amp;ADDRESS(130,3+18*1+(15))),'J1 B - Butcher Terrace'!$A$12:$A$130,"&gt;="&amp;Diagram!$O83,'J1 B - Butcher Terrace'!$A$12:$A$130,"&lt;"&amp;Diagram!$P83)))</f>
        <v>0</v>
      </c>
      <c r="EP83" s="42">
        <f ca="1">IF(OR($I$10="",$O83="",$P83="",$J$42&lt;&gt;"Yes"),0,IF($K$10=0,SUMIFS(INDIRECT(ADDRESS(12,3+18*1+(7),,,"J1 C - (South) Bishopthorpe Roa")&amp;":"&amp;ADDRESS(130,3+18*1+(7))),'J1 C - (South) Bishopthorpe Roa'!$A$12:$A$130,"&gt;="&amp;Diagram!$O83,'J1 C - (South) Bishopthorpe Roa'!$A$12:$A$130,"&lt;"&amp;Diagram!$P83),SUMIFS(INDIRECT(ADDRESS(12,3+18*1+(15),,,"J1 C - (South) Bishopthorpe Roa")&amp;":"&amp;ADDRESS(130,3+18*1+(15))),'J1 C - (South) Bishopthorpe Roa'!$A$12:$A$130,"&gt;="&amp;Diagram!$O83,'J1 C - (South) Bishopthorpe Roa'!$A$12:$A$130,"&lt;"&amp;Diagram!$P83)))</f>
        <v>0</v>
      </c>
      <c r="EQ83" s="42">
        <f ca="1">IF(OR($I$10="",$O83="",$P83="",$J$42&lt;&gt;"Yes"),0,IF($K$10=0,SUMIFS(INDIRECT(ADDRESS(12,3+18*2+(7),,,"J1 C - (South) Bishopthorpe Roa")&amp;":"&amp;ADDRESS(130,3+18*2+(7))),'J1 C - (South) Bishopthorpe Roa'!$A$12:$A$130,"&gt;="&amp;Diagram!$O83,'J1 C - (South) Bishopthorpe Roa'!$A$12:$A$130,"&lt;"&amp;Diagram!$P83),SUMIFS(INDIRECT(ADDRESS(12,3+18*2+(15),,,"J1 C - (South) Bishopthorpe Roa")&amp;":"&amp;ADDRESS(130,3+18*2+(15))),'J1 C - (South) Bishopthorpe Roa'!$A$12:$A$130,"&gt;="&amp;Diagram!$O83,'J1 C - (South) Bishopthorpe Roa'!$A$12:$A$130,"&lt;"&amp;Diagram!$P83)))</f>
        <v>0</v>
      </c>
      <c r="ER83" s="42">
        <f ca="1">IF(OR($I$10="",$O83="",$P83="",$J$42&lt;&gt;"Yes"),0,IF($K$10=0,SUMIFS(INDIRECT(ADDRESS(12,3+18*3+(7),,,"J1 C - (South) Bishopthorpe Roa")&amp;":"&amp;ADDRESS(130,3+18*3+(7))),'J1 C - (South) Bishopthorpe Roa'!$A$12:$A$130,"&gt;="&amp;Diagram!$O83,'J1 C - (South) Bishopthorpe Roa'!$A$12:$A$130,"&lt;"&amp;Diagram!$P83),SUMIFS(INDIRECT(ADDRESS(12,3+18*3+(15),,,"J1 C - (South) Bishopthorpe Roa")&amp;":"&amp;ADDRESS(130,3+18*3+(15))),'J1 C - (South) Bishopthorpe Roa'!$A$12:$A$130,"&gt;="&amp;Diagram!$O83,'J1 C - (South) Bishopthorpe Roa'!$A$12:$A$130,"&lt;"&amp;Diagram!$P83)))</f>
        <v>0</v>
      </c>
      <c r="ES83" s="42">
        <f ca="1">IF(OR($I$10="",$O83="",$P83="",$J$42&lt;&gt;"Yes"),0,IF($K$10=0,SUMIFS(INDIRECT(ADDRESS(12,3+18*0+(7),,,"J1 C - (South) Bishopthorpe Roa")&amp;":"&amp;ADDRESS(130,3+18*0+(7))),'J1 C - (South) Bishopthorpe Roa'!$A$12:$A$130,"&gt;="&amp;Diagram!$O83,'J1 C - (South) Bishopthorpe Roa'!$A$12:$A$130,"&lt;"&amp;Diagram!$P83),SUMIFS(INDIRECT(ADDRESS(12,3+18*0+(15),,,"J1 C - (South) Bishopthorpe Roa")&amp;":"&amp;ADDRESS(130,3+18*0+(15))),'J1 C - (South) Bishopthorpe Roa'!$A$12:$A$130,"&gt;="&amp;Diagram!$O83,'J1 C - (South) Bishopthorpe Roa'!$A$12:$A$130,"&lt;"&amp;Diagram!$P83)))</f>
        <v>0</v>
      </c>
      <c r="ET83" s="42">
        <f ca="1">IF(OR($I$10="",$O83="",$P83="",$J$42&lt;&gt;"Yes"),0,IF($K$10=0,SUMIFS(INDIRECT(ADDRESS(12,3+18*0+(7),,,"J1 D - South Bank Avenue")&amp;":"&amp;ADDRESS(130,3+18*0+(7))),'J1 D - South Bank Avenue'!$A$12:$A$130,"&gt;="&amp;Diagram!$O83,'J1 D - South Bank Avenue'!$A$12:$A$130,"&lt;"&amp;Diagram!$P83),SUMIFS(INDIRECT(ADDRESS(12,3+18*0+(15),,,"J1 D - South Bank Avenue")&amp;":"&amp;ADDRESS(130,3+18*0+(15))),'J1 D - South Bank Avenue'!$A$12:$A$130,"&gt;="&amp;Diagram!$O83,'J1 D - South Bank Avenue'!$A$12:$A$130,"&lt;"&amp;Diagram!$P83)))</f>
        <v>0</v>
      </c>
      <c r="EU83" s="42">
        <f ca="1">IF(OR($I$10="",$O83="",$P83="",$J$42&lt;&gt;"Yes"),0,IF($K$10=0,SUMIFS(INDIRECT(ADDRESS(12,3+18*1+(7),,,"J1 D - South Bank Avenue")&amp;":"&amp;ADDRESS(130,3+18*1+(7))),'J1 D - South Bank Avenue'!$A$12:$A$130,"&gt;="&amp;Diagram!$O83,'J1 D - South Bank Avenue'!$A$12:$A$130,"&lt;"&amp;Diagram!$P83),SUMIFS(INDIRECT(ADDRESS(12,3+18*1+(15),,,"J1 D - South Bank Avenue")&amp;":"&amp;ADDRESS(130,3+18*1+(15))),'J1 D - South Bank Avenue'!$A$12:$A$130,"&gt;="&amp;Diagram!$O83,'J1 D - South Bank Avenue'!$A$12:$A$130,"&lt;"&amp;Diagram!$P83)))</f>
        <v>0</v>
      </c>
      <c r="EV83" s="42">
        <f ca="1">IF(OR($I$10="",$O83="",$P83="",$J$42&lt;&gt;"Yes"),0,IF($K$10=0,SUMIFS(INDIRECT(ADDRESS(12,3+18*2+(7),,,"J1 D - South Bank Avenue")&amp;":"&amp;ADDRESS(130,3+18*2+(7))),'J1 D - South Bank Avenue'!$A$12:$A$130,"&gt;="&amp;Diagram!$O83,'J1 D - South Bank Avenue'!$A$12:$A$130,"&lt;"&amp;Diagram!$P83),SUMIFS(INDIRECT(ADDRESS(12,3+18*2+(15),,,"J1 D - South Bank Avenue")&amp;":"&amp;ADDRESS(130,3+18*2+(15))),'J1 D - South Bank Avenue'!$A$12:$A$130,"&gt;="&amp;Diagram!$O83,'J1 D - South Bank Avenue'!$A$12:$A$130,"&lt;"&amp;Diagram!$P83)))</f>
        <v>0</v>
      </c>
      <c r="EW83" s="42">
        <f ca="1">IF(OR($I$10="",$O83="",$P83="",$J$42&lt;&gt;"Yes"),0,IF($K$10=0,SUMIFS(INDIRECT(ADDRESS(12,3+18*3+(7),,,"J1 D - South Bank Avenue")&amp;":"&amp;ADDRESS(130,3+18*3+(7))),'J1 D - South Bank Avenue'!$A$12:$A$130,"&gt;="&amp;Diagram!$O83,'J1 D - South Bank Avenue'!$A$12:$A$130,"&lt;"&amp;Diagram!$P83),SUMIFS(INDIRECT(ADDRESS(12,3+18*3+(15),,,"J1 D - South Bank Avenue")&amp;":"&amp;ADDRESS(130,3+18*3+(15))),'J1 D - South Bank Avenue'!$A$12:$A$130,"&gt;="&amp;Diagram!$O83,'J1 D - South Bank Avenue'!$A$12:$A$130,"&lt;"&amp;Diagram!$P83)))</f>
        <v>0</v>
      </c>
    </row>
    <row r="84" spans="1:153">
      <c r="A84" s="1">
        <v>44395.864583333299</v>
      </c>
      <c r="B84" s="1">
        <v>44395.875</v>
      </c>
      <c r="O84" s="3">
        <v>44395.864583333299</v>
      </c>
      <c r="P84" s="3">
        <v>44395.90625</v>
      </c>
      <c r="Q84" s="42">
        <f t="shared" ca="1" si="10"/>
        <v>322</v>
      </c>
      <c r="R84" s="42">
        <f t="shared" ca="1" si="11"/>
        <v>242</v>
      </c>
      <c r="S84" s="42">
        <f ca="1">IF(OR($I$10="",$O84="",$P84="",$J$35&lt;&gt;"Yes"),0,IF($K$10=0,SUMIFS(INDIRECT(ADDRESS(12,3+18*3+(0),,,"J1 A - (North) Bishopthorpe Roa")&amp;":"&amp;ADDRESS(130,3+18*3+(0))),'J1 A - (North) Bishopthorpe Roa'!$A$12:$A$130,"&gt;="&amp;Diagram!$O84,'J1 A - (North) Bishopthorpe Roa'!$A$12:$A$130,"&lt;"&amp;Diagram!$P84),SUMIFS(INDIRECT(ADDRESS(12,3+18*3+(8),,,"J1 A - (North) Bishopthorpe Roa")&amp;":"&amp;ADDRESS(130,3+18*3+(8))),'J1 A - (North) Bishopthorpe Roa'!$A$12:$A$130,"&gt;="&amp;Diagram!$O84,'J1 A - (North) Bishopthorpe Roa'!$A$12:$A$130,"&lt;"&amp;Diagram!$P84)))</f>
        <v>0</v>
      </c>
      <c r="T84" s="42">
        <f ca="1">IF(OR($I$10="",$O84="",$P84="",$J$35&lt;&gt;"Yes"),0,IF($K$10=0,SUMIFS(INDIRECT(ADDRESS(12,3+18*0+(0),,,"J1 A - (North) Bishopthorpe Roa")&amp;":"&amp;ADDRESS(130,3+18*0+(0))),'J1 A - (North) Bishopthorpe Roa'!$A$12:$A$130,"&gt;="&amp;Diagram!$O84,'J1 A - (North) Bishopthorpe Roa'!$A$12:$A$130,"&lt;"&amp;Diagram!$P84),SUMIFS(INDIRECT(ADDRESS(12,3+18*0+(8),,,"J1 A - (North) Bishopthorpe Roa")&amp;":"&amp;ADDRESS(130,3+18*0+(8))),'J1 A - (North) Bishopthorpe Roa'!$A$12:$A$130,"&gt;="&amp;Diagram!$O84,'J1 A - (North) Bishopthorpe Roa'!$A$12:$A$130,"&lt;"&amp;Diagram!$P84)))</f>
        <v>2</v>
      </c>
      <c r="U84" s="42">
        <f ca="1">IF(OR($I$10="",$O84="",$P84="",$J$35&lt;&gt;"Yes"),0,IF($K$10=0,SUMIFS(INDIRECT(ADDRESS(12,3+18*1+(0),,,"J1 A - (North) Bishopthorpe Roa")&amp;":"&amp;ADDRESS(130,3+18*1+(0))),'J1 A - (North) Bishopthorpe Roa'!$A$12:$A$130,"&gt;="&amp;Diagram!$O84,'J1 A - (North) Bishopthorpe Roa'!$A$12:$A$130,"&lt;"&amp;Diagram!$P84),SUMIFS(INDIRECT(ADDRESS(12,3+18*1+(8),,,"J1 A - (North) Bishopthorpe Roa")&amp;":"&amp;ADDRESS(130,3+18*1+(8))),'J1 A - (North) Bishopthorpe Roa'!$A$12:$A$130,"&gt;="&amp;Diagram!$O84,'J1 A - (North) Bishopthorpe Roa'!$A$12:$A$130,"&lt;"&amp;Diagram!$P84)))</f>
        <v>101</v>
      </c>
      <c r="V84" s="42">
        <f ca="1">IF(OR($I$10="",$O84="",$P84="",$J$35&lt;&gt;"Yes"),0,IF($K$10=0,SUMIFS(INDIRECT(ADDRESS(12,3+18*2+(0),,,"J1 A - (North) Bishopthorpe Roa")&amp;":"&amp;ADDRESS(130,3+18*2+(0))),'J1 A - (North) Bishopthorpe Roa'!$A$12:$A$130,"&gt;="&amp;Diagram!$O84,'J1 A - (North) Bishopthorpe Roa'!$A$12:$A$130,"&lt;"&amp;Diagram!$P84),SUMIFS(INDIRECT(ADDRESS(12,3+18*2+(8),,,"J1 A - (North) Bishopthorpe Roa")&amp;":"&amp;ADDRESS(130,3+18*2+(8))),'J1 A - (North) Bishopthorpe Roa'!$A$12:$A$130,"&gt;="&amp;Diagram!$O84,'J1 A - (North) Bishopthorpe Roa'!$A$12:$A$130,"&lt;"&amp;Diagram!$P84)))</f>
        <v>20</v>
      </c>
      <c r="W84" s="42">
        <f ca="1">IF(OR($I$10="",$O84="",$P84="",$J$35&lt;&gt;"Yes"),0,IF($K$10=0,SUMIFS(INDIRECT(ADDRESS(12,3+18*2+(0),,,"J1 B - Butcher Terrace")&amp;":"&amp;ADDRESS(130,3+18*2+(0))),'J1 B - Butcher Terrace'!$A$12:$A$130,"&gt;="&amp;Diagram!$O84,'J1 B - Butcher Terrace'!$A$12:$A$130,"&lt;"&amp;Diagram!$P84),SUMIFS(INDIRECT(ADDRESS(12,3+18*2+(8),,,"J1 B - Butcher Terrace")&amp;":"&amp;ADDRESS(130,3+18*2+(8))),'J1 B - Butcher Terrace'!$A$12:$A$130,"&gt;="&amp;Diagram!$O84,'J1 B - Butcher Terrace'!$A$12:$A$130,"&lt;"&amp;Diagram!$P84)))</f>
        <v>4</v>
      </c>
      <c r="X84" s="42">
        <f ca="1">IF(OR($I$10="",$O84="",$P84="",$J$35&lt;&gt;"Yes"),0,IF($K$10=0,SUMIFS(INDIRECT(ADDRESS(12,3+18*3+(0),,,"J1 B - Butcher Terrace")&amp;":"&amp;ADDRESS(130,3+18*3+(0))),'J1 B - Butcher Terrace'!$A$12:$A$130,"&gt;="&amp;Diagram!$O84,'J1 B - Butcher Terrace'!$A$12:$A$130,"&lt;"&amp;Diagram!$P84),SUMIFS(INDIRECT(ADDRESS(12,3+18*3+(8),,,"J1 B - Butcher Terrace")&amp;":"&amp;ADDRESS(130,3+18*3+(8))),'J1 B - Butcher Terrace'!$A$12:$A$130,"&gt;="&amp;Diagram!$O84,'J1 B - Butcher Terrace'!$A$12:$A$130,"&lt;"&amp;Diagram!$P84)))</f>
        <v>0</v>
      </c>
      <c r="Y84" s="42">
        <f ca="1">IF(OR($I$10="",$O84="",$P84="",$J$35&lt;&gt;"Yes"),0,IF($K$10=0,SUMIFS(INDIRECT(ADDRESS(12,3+18*0+(0),,,"J1 B - Butcher Terrace")&amp;":"&amp;ADDRESS(130,3+18*0+(0))),'J1 B - Butcher Terrace'!$A$12:$A$130,"&gt;="&amp;Diagram!$O84,'J1 B - Butcher Terrace'!$A$12:$A$130,"&lt;"&amp;Diagram!$P84),SUMIFS(INDIRECT(ADDRESS(12,3+18*0+(8),,,"J1 B - Butcher Terrace")&amp;":"&amp;ADDRESS(130,3+18*0+(8))),'J1 B - Butcher Terrace'!$A$12:$A$130,"&gt;="&amp;Diagram!$O84,'J1 B - Butcher Terrace'!$A$12:$A$130,"&lt;"&amp;Diagram!$P84)))</f>
        <v>1</v>
      </c>
      <c r="Z84" s="42">
        <f ca="1">IF(OR($I$10="",$O84="",$P84="",$J$35&lt;&gt;"Yes"),0,IF($K$10=0,SUMIFS(INDIRECT(ADDRESS(12,3+18*1+(0),,,"J1 B - Butcher Terrace")&amp;":"&amp;ADDRESS(130,3+18*1+(0))),'J1 B - Butcher Terrace'!$A$12:$A$130,"&gt;="&amp;Diagram!$O84,'J1 B - Butcher Terrace'!$A$12:$A$130,"&lt;"&amp;Diagram!$P84),SUMIFS(INDIRECT(ADDRESS(12,3+18*1+(8),,,"J1 B - Butcher Terrace")&amp;":"&amp;ADDRESS(130,3+18*1+(8))),'J1 B - Butcher Terrace'!$A$12:$A$130,"&gt;="&amp;Diagram!$O84,'J1 B - Butcher Terrace'!$A$12:$A$130,"&lt;"&amp;Diagram!$P84)))</f>
        <v>9</v>
      </c>
      <c r="AA84" s="42">
        <f ca="1">IF(OR($I$10="",$O84="",$P84="",$J$35&lt;&gt;"Yes"),0,IF($K$10=0,SUMIFS(INDIRECT(ADDRESS(12,3+18*1+(0),,,"J1 C - (South) Bishopthorpe Roa")&amp;":"&amp;ADDRESS(130,3+18*1+(0))),'J1 C - (South) Bishopthorpe Roa'!$A$12:$A$130,"&gt;="&amp;Diagram!$O84,'J1 C - (South) Bishopthorpe Roa'!$A$12:$A$130,"&lt;"&amp;Diagram!$P84),SUMIFS(INDIRECT(ADDRESS(12,3+18*1+(8),,,"J1 C - (South) Bishopthorpe Roa")&amp;":"&amp;ADDRESS(130,3+18*1+(8))),'J1 C - (South) Bishopthorpe Roa'!$A$12:$A$130,"&gt;="&amp;Diagram!$O84,'J1 C - (South) Bishopthorpe Roa'!$A$12:$A$130,"&lt;"&amp;Diagram!$P84)))</f>
        <v>85</v>
      </c>
      <c r="AB84" s="42">
        <f ca="1">IF(OR($I$10="",$O84="",$P84="",$J$35&lt;&gt;"Yes"),0,IF($K$10=0,SUMIFS(INDIRECT(ADDRESS(12,3+18*2+(0),,,"J1 C - (South) Bishopthorpe Roa")&amp;":"&amp;ADDRESS(130,3+18*2+(0))),'J1 C - (South) Bishopthorpe Roa'!$A$12:$A$130,"&gt;="&amp;Diagram!$O84,'J1 C - (South) Bishopthorpe Roa'!$A$12:$A$130,"&lt;"&amp;Diagram!$P84),SUMIFS(INDIRECT(ADDRESS(12,3+18*2+(8),,,"J1 C - (South) Bishopthorpe Roa")&amp;":"&amp;ADDRESS(130,3+18*2+(8))),'J1 C - (South) Bishopthorpe Roa'!$A$12:$A$130,"&gt;="&amp;Diagram!$O84,'J1 C - (South) Bishopthorpe Roa'!$A$12:$A$130,"&lt;"&amp;Diagram!$P84)))</f>
        <v>4</v>
      </c>
      <c r="AC84" s="42">
        <f ca="1">IF(OR($I$10="",$O84="",$P84="",$J$35&lt;&gt;"Yes"),0,IF($K$10=0,SUMIFS(INDIRECT(ADDRESS(12,3+18*3+(0),,,"J1 C - (South) Bishopthorpe Roa")&amp;":"&amp;ADDRESS(130,3+18*3+(0))),'J1 C - (South) Bishopthorpe Roa'!$A$12:$A$130,"&gt;="&amp;Diagram!$O84,'J1 C - (South) Bishopthorpe Roa'!$A$12:$A$130,"&lt;"&amp;Diagram!$P84),SUMIFS(INDIRECT(ADDRESS(12,3+18*3+(8),,,"J1 C - (South) Bishopthorpe Roa")&amp;":"&amp;ADDRESS(130,3+18*3+(8))),'J1 C - (South) Bishopthorpe Roa'!$A$12:$A$130,"&gt;="&amp;Diagram!$O84,'J1 C - (South) Bishopthorpe Roa'!$A$12:$A$130,"&lt;"&amp;Diagram!$P84)))</f>
        <v>0</v>
      </c>
      <c r="AD84" s="42">
        <f ca="1">IF(OR($I$10="",$O84="",$P84="",$J$35&lt;&gt;"Yes"),0,IF($K$10=0,SUMIFS(INDIRECT(ADDRESS(12,3+18*0+(0),,,"J1 C - (South) Bishopthorpe Roa")&amp;":"&amp;ADDRESS(130,3+18*0+(0))),'J1 C - (South) Bishopthorpe Roa'!$A$12:$A$130,"&gt;="&amp;Diagram!$O84,'J1 C - (South) Bishopthorpe Roa'!$A$12:$A$130,"&lt;"&amp;Diagram!$P84),SUMIFS(INDIRECT(ADDRESS(12,3+18*0+(8),,,"J1 C - (South) Bishopthorpe Roa")&amp;":"&amp;ADDRESS(130,3+18*0+(8))),'J1 C - (South) Bishopthorpe Roa'!$A$12:$A$130,"&gt;="&amp;Diagram!$O84,'J1 C - (South) Bishopthorpe Roa'!$A$12:$A$130,"&lt;"&amp;Diagram!$P84)))</f>
        <v>3</v>
      </c>
      <c r="AE84" s="42">
        <f ca="1">IF(OR($I$10="",$O84="",$P84="",$J$35&lt;&gt;"Yes"),0,IF($K$10=0,SUMIFS(INDIRECT(ADDRESS(12,3+18*0+(0),,,"J1 D - South Bank Avenue")&amp;":"&amp;ADDRESS(130,3+18*0+(0))),'J1 D - South Bank Avenue'!$A$12:$A$130,"&gt;="&amp;Diagram!$O84,'J1 D - South Bank Avenue'!$A$12:$A$130,"&lt;"&amp;Diagram!$P84),SUMIFS(INDIRECT(ADDRESS(12,3+18*0+(8),,,"J1 D - South Bank Avenue")&amp;":"&amp;ADDRESS(130,3+18*0+(8))),'J1 D - South Bank Avenue'!$A$12:$A$130,"&gt;="&amp;Diagram!$O84,'J1 D - South Bank Avenue'!$A$12:$A$130,"&lt;"&amp;Diagram!$P84)))</f>
        <v>11</v>
      </c>
      <c r="AF84" s="42">
        <f ca="1">IF(OR($I$10="",$O84="",$P84="",$J$35&lt;&gt;"Yes"),0,IF($K$10=0,SUMIFS(INDIRECT(ADDRESS(12,3+18*1+(0),,,"J1 D - South Bank Avenue")&amp;":"&amp;ADDRESS(130,3+18*1+(0))),'J1 D - South Bank Avenue'!$A$12:$A$130,"&gt;="&amp;Diagram!$O84,'J1 D - South Bank Avenue'!$A$12:$A$130,"&lt;"&amp;Diagram!$P84),SUMIFS(INDIRECT(ADDRESS(12,3+18*1+(8),,,"J1 D - South Bank Avenue")&amp;":"&amp;ADDRESS(130,3+18*1+(8))),'J1 D - South Bank Avenue'!$A$12:$A$130,"&gt;="&amp;Diagram!$O84,'J1 D - South Bank Avenue'!$A$12:$A$130,"&lt;"&amp;Diagram!$P84)))</f>
        <v>1</v>
      </c>
      <c r="AG84" s="42">
        <f ca="1">IF(OR($I$10="",$O84="",$P84="",$J$35&lt;&gt;"Yes"),0,IF($K$10=0,SUMIFS(INDIRECT(ADDRESS(12,3+18*2+(0),,,"J1 D - South Bank Avenue")&amp;":"&amp;ADDRESS(130,3+18*2+(0))),'J1 D - South Bank Avenue'!$A$12:$A$130,"&gt;="&amp;Diagram!$O84,'J1 D - South Bank Avenue'!$A$12:$A$130,"&lt;"&amp;Diagram!$P84),SUMIFS(INDIRECT(ADDRESS(12,3+18*2+(8),,,"J1 D - South Bank Avenue")&amp;":"&amp;ADDRESS(130,3+18*2+(8))),'J1 D - South Bank Avenue'!$A$12:$A$130,"&gt;="&amp;Diagram!$O84,'J1 D - South Bank Avenue'!$A$12:$A$130,"&lt;"&amp;Diagram!$P84)))</f>
        <v>1</v>
      </c>
      <c r="AH84" s="42">
        <f ca="1">IF(OR($I$10="",$O84="",$P84="",$J$35&lt;&gt;"Yes"),0,IF($K$10=0,SUMIFS(INDIRECT(ADDRESS(12,3+18*3+(0),,,"J1 D - South Bank Avenue")&amp;":"&amp;ADDRESS(130,3+18*3+(0))),'J1 D - South Bank Avenue'!$A$12:$A$130,"&gt;="&amp;Diagram!$O84,'J1 D - South Bank Avenue'!$A$12:$A$130,"&lt;"&amp;Diagram!$P84),SUMIFS(INDIRECT(ADDRESS(12,3+18*3+(8),,,"J1 D - South Bank Avenue")&amp;":"&amp;ADDRESS(130,3+18*3+(8))),'J1 D - South Bank Avenue'!$A$12:$A$130,"&gt;="&amp;Diagram!$O84,'J1 D - South Bank Avenue'!$A$12:$A$130,"&lt;"&amp;Diagram!$P84)))</f>
        <v>0</v>
      </c>
      <c r="AI84" s="42">
        <f t="shared" ca="1" si="12"/>
        <v>13</v>
      </c>
      <c r="AJ84" s="42">
        <f ca="1">IF(OR($I$10="",$O84="",$P84="",$J$36&lt;&gt;"Yes"),0,IF($K$10=0,SUMIFS(INDIRECT(ADDRESS(12,3+18*3+(1),,,"J1 A - (North) Bishopthorpe Roa")&amp;":"&amp;ADDRESS(130,3+18*3+(1))),'J1 A - (North) Bishopthorpe Roa'!$A$12:$A$130,"&gt;="&amp;Diagram!$O84,'J1 A - (North) Bishopthorpe Roa'!$A$12:$A$130,"&lt;"&amp;Diagram!$P84),SUMIFS(INDIRECT(ADDRESS(12,3+18*3+(9),,,"J1 A - (North) Bishopthorpe Roa")&amp;":"&amp;ADDRESS(130,3+18*3+(9))),'J1 A - (North) Bishopthorpe Roa'!$A$12:$A$130,"&gt;="&amp;Diagram!$O84,'J1 A - (North) Bishopthorpe Roa'!$A$12:$A$130,"&lt;"&amp;Diagram!$P84)))</f>
        <v>0</v>
      </c>
      <c r="AK84" s="42">
        <f ca="1">IF(OR($I$10="",$O84="",$P84="",$J$36&lt;&gt;"Yes"),0,IF($K$10=0,SUMIFS(INDIRECT(ADDRESS(12,3+18*0+(1),,,"J1 A - (North) Bishopthorpe Roa")&amp;":"&amp;ADDRESS(130,3+18*0+(1))),'J1 A - (North) Bishopthorpe Roa'!$A$12:$A$130,"&gt;="&amp;Diagram!$O84,'J1 A - (North) Bishopthorpe Roa'!$A$12:$A$130,"&lt;"&amp;Diagram!$P84),SUMIFS(INDIRECT(ADDRESS(12,3+18*0+(9),,,"J1 A - (North) Bishopthorpe Roa")&amp;":"&amp;ADDRESS(130,3+18*0+(9))),'J1 A - (North) Bishopthorpe Roa'!$A$12:$A$130,"&gt;="&amp;Diagram!$O84,'J1 A - (North) Bishopthorpe Roa'!$A$12:$A$130,"&lt;"&amp;Diagram!$P84)))</f>
        <v>0</v>
      </c>
      <c r="AL84" s="42">
        <f ca="1">IF(OR($I$10="",$O84="",$P84="",$J$36&lt;&gt;"Yes"),0,IF($K$10=0,SUMIFS(INDIRECT(ADDRESS(12,3+18*1+(1),,,"J1 A - (North) Bishopthorpe Roa")&amp;":"&amp;ADDRESS(130,3+18*1+(1))),'J1 A - (North) Bishopthorpe Roa'!$A$12:$A$130,"&gt;="&amp;Diagram!$O84,'J1 A - (North) Bishopthorpe Roa'!$A$12:$A$130,"&lt;"&amp;Diagram!$P84),SUMIFS(INDIRECT(ADDRESS(12,3+18*1+(9),,,"J1 A - (North) Bishopthorpe Roa")&amp;":"&amp;ADDRESS(130,3+18*1+(9))),'J1 A - (North) Bishopthorpe Roa'!$A$12:$A$130,"&gt;="&amp;Diagram!$O84,'J1 A - (North) Bishopthorpe Roa'!$A$12:$A$130,"&lt;"&amp;Diagram!$P84)))</f>
        <v>5</v>
      </c>
      <c r="AM84" s="42">
        <f ca="1">IF(OR($I$10="",$O84="",$P84="",$J$36&lt;&gt;"Yes"),0,IF($K$10=0,SUMIFS(INDIRECT(ADDRESS(12,3+18*2+(1),,,"J1 A - (North) Bishopthorpe Roa")&amp;":"&amp;ADDRESS(130,3+18*2+(1))),'J1 A - (North) Bishopthorpe Roa'!$A$12:$A$130,"&gt;="&amp;Diagram!$O84,'J1 A - (North) Bishopthorpe Roa'!$A$12:$A$130,"&lt;"&amp;Diagram!$P84),SUMIFS(INDIRECT(ADDRESS(12,3+18*2+(9),,,"J1 A - (North) Bishopthorpe Roa")&amp;":"&amp;ADDRESS(130,3+18*2+(9))),'J1 A - (North) Bishopthorpe Roa'!$A$12:$A$130,"&gt;="&amp;Diagram!$O84,'J1 A - (North) Bishopthorpe Roa'!$A$12:$A$130,"&lt;"&amp;Diagram!$P84)))</f>
        <v>1</v>
      </c>
      <c r="AN84" s="42">
        <f ca="1">IF(OR($I$10="",$O84="",$P84="",$J$36&lt;&gt;"Yes"),0,IF($K$10=0,SUMIFS(INDIRECT(ADDRESS(12,3+18*2+(1),,,"J1 B - Butcher Terrace")&amp;":"&amp;ADDRESS(130,3+18*2+(1))),'J1 B - Butcher Terrace'!$A$12:$A$130,"&gt;="&amp;Diagram!$O84,'J1 B - Butcher Terrace'!$A$12:$A$130,"&lt;"&amp;Diagram!$P84),SUMIFS(INDIRECT(ADDRESS(12,3+18*2+(9),,,"J1 B - Butcher Terrace")&amp;":"&amp;ADDRESS(130,3+18*2+(9))),'J1 B - Butcher Terrace'!$A$12:$A$130,"&gt;="&amp;Diagram!$O84,'J1 B - Butcher Terrace'!$A$12:$A$130,"&lt;"&amp;Diagram!$P84)))</f>
        <v>0</v>
      </c>
      <c r="AO84" s="42">
        <f ca="1">IF(OR($I$10="",$O84="",$P84="",$J$36&lt;&gt;"Yes"),0,IF($K$10=0,SUMIFS(INDIRECT(ADDRESS(12,3+18*3+(1),,,"J1 B - Butcher Terrace")&amp;":"&amp;ADDRESS(130,3+18*3+(1))),'J1 B - Butcher Terrace'!$A$12:$A$130,"&gt;="&amp;Diagram!$O84,'J1 B - Butcher Terrace'!$A$12:$A$130,"&lt;"&amp;Diagram!$P84),SUMIFS(INDIRECT(ADDRESS(12,3+18*3+(9),,,"J1 B - Butcher Terrace")&amp;":"&amp;ADDRESS(130,3+18*3+(9))),'J1 B - Butcher Terrace'!$A$12:$A$130,"&gt;="&amp;Diagram!$O84,'J1 B - Butcher Terrace'!$A$12:$A$130,"&lt;"&amp;Diagram!$P84)))</f>
        <v>0</v>
      </c>
      <c r="AP84" s="42">
        <f ca="1">IF(OR($I$10="",$O84="",$P84="",$J$36&lt;&gt;"Yes"),0,IF($K$10=0,SUMIFS(INDIRECT(ADDRESS(12,3+18*0+(1),,,"J1 B - Butcher Terrace")&amp;":"&amp;ADDRESS(130,3+18*0+(1))),'J1 B - Butcher Terrace'!$A$12:$A$130,"&gt;="&amp;Diagram!$O84,'J1 B - Butcher Terrace'!$A$12:$A$130,"&lt;"&amp;Diagram!$P84),SUMIFS(INDIRECT(ADDRESS(12,3+18*0+(9),,,"J1 B - Butcher Terrace")&amp;":"&amp;ADDRESS(130,3+18*0+(9))),'J1 B - Butcher Terrace'!$A$12:$A$130,"&gt;="&amp;Diagram!$O84,'J1 B - Butcher Terrace'!$A$12:$A$130,"&lt;"&amp;Diagram!$P84)))</f>
        <v>0</v>
      </c>
      <c r="AQ84" s="42">
        <f ca="1">IF(OR($I$10="",$O84="",$P84="",$J$36&lt;&gt;"Yes"),0,IF($K$10=0,SUMIFS(INDIRECT(ADDRESS(12,3+18*1+(1),,,"J1 B - Butcher Terrace")&amp;":"&amp;ADDRESS(130,3+18*1+(1))),'J1 B - Butcher Terrace'!$A$12:$A$130,"&gt;="&amp;Diagram!$O84,'J1 B - Butcher Terrace'!$A$12:$A$130,"&lt;"&amp;Diagram!$P84),SUMIFS(INDIRECT(ADDRESS(12,3+18*1+(9),,,"J1 B - Butcher Terrace")&amp;":"&amp;ADDRESS(130,3+18*1+(9))),'J1 B - Butcher Terrace'!$A$12:$A$130,"&gt;="&amp;Diagram!$O84,'J1 B - Butcher Terrace'!$A$12:$A$130,"&lt;"&amp;Diagram!$P84)))</f>
        <v>1</v>
      </c>
      <c r="AR84" s="42">
        <f ca="1">IF(OR($I$10="",$O84="",$P84="",$J$36&lt;&gt;"Yes"),0,IF($K$10=0,SUMIFS(INDIRECT(ADDRESS(12,3+18*1+(1),,,"J1 C - (South) Bishopthorpe Roa")&amp;":"&amp;ADDRESS(130,3+18*1+(1))),'J1 C - (South) Bishopthorpe Roa'!$A$12:$A$130,"&gt;="&amp;Diagram!$O84,'J1 C - (South) Bishopthorpe Roa'!$A$12:$A$130,"&lt;"&amp;Diagram!$P84),SUMIFS(INDIRECT(ADDRESS(12,3+18*1+(9),,,"J1 C - (South) Bishopthorpe Roa")&amp;":"&amp;ADDRESS(130,3+18*1+(9))),'J1 C - (South) Bishopthorpe Roa'!$A$12:$A$130,"&gt;="&amp;Diagram!$O84,'J1 C - (South) Bishopthorpe Roa'!$A$12:$A$130,"&lt;"&amp;Diagram!$P84)))</f>
        <v>6</v>
      </c>
      <c r="AS84" s="42">
        <f ca="1">IF(OR($I$10="",$O84="",$P84="",$J$36&lt;&gt;"Yes"),0,IF($K$10=0,SUMIFS(INDIRECT(ADDRESS(12,3+18*2+(1),,,"J1 C - (South) Bishopthorpe Roa")&amp;":"&amp;ADDRESS(130,3+18*2+(1))),'J1 C - (South) Bishopthorpe Roa'!$A$12:$A$130,"&gt;="&amp;Diagram!$O84,'J1 C - (South) Bishopthorpe Roa'!$A$12:$A$130,"&lt;"&amp;Diagram!$P84),SUMIFS(INDIRECT(ADDRESS(12,3+18*2+(9),,,"J1 C - (South) Bishopthorpe Roa")&amp;":"&amp;ADDRESS(130,3+18*2+(9))),'J1 C - (South) Bishopthorpe Roa'!$A$12:$A$130,"&gt;="&amp;Diagram!$O84,'J1 C - (South) Bishopthorpe Roa'!$A$12:$A$130,"&lt;"&amp;Diagram!$P84)))</f>
        <v>0</v>
      </c>
      <c r="AT84" s="42">
        <f ca="1">IF(OR($I$10="",$O84="",$P84="",$J$36&lt;&gt;"Yes"),0,IF($K$10=0,SUMIFS(INDIRECT(ADDRESS(12,3+18*3+(1),,,"J1 C - (South) Bishopthorpe Roa")&amp;":"&amp;ADDRESS(130,3+18*3+(1))),'J1 C - (South) Bishopthorpe Roa'!$A$12:$A$130,"&gt;="&amp;Diagram!$O84,'J1 C - (South) Bishopthorpe Roa'!$A$12:$A$130,"&lt;"&amp;Diagram!$P84),SUMIFS(INDIRECT(ADDRESS(12,3+18*3+(9),,,"J1 C - (South) Bishopthorpe Roa")&amp;":"&amp;ADDRESS(130,3+18*3+(9))),'J1 C - (South) Bishopthorpe Roa'!$A$12:$A$130,"&gt;="&amp;Diagram!$O84,'J1 C - (South) Bishopthorpe Roa'!$A$12:$A$130,"&lt;"&amp;Diagram!$P84)))</f>
        <v>0</v>
      </c>
      <c r="AU84" s="42">
        <f ca="1">IF(OR($I$10="",$O84="",$P84="",$J$36&lt;&gt;"Yes"),0,IF($K$10=0,SUMIFS(INDIRECT(ADDRESS(12,3+18*0+(1),,,"J1 C - (South) Bishopthorpe Roa")&amp;":"&amp;ADDRESS(130,3+18*0+(1))),'J1 C - (South) Bishopthorpe Roa'!$A$12:$A$130,"&gt;="&amp;Diagram!$O84,'J1 C - (South) Bishopthorpe Roa'!$A$12:$A$130,"&lt;"&amp;Diagram!$P84),SUMIFS(INDIRECT(ADDRESS(12,3+18*0+(9),,,"J1 C - (South) Bishopthorpe Roa")&amp;":"&amp;ADDRESS(130,3+18*0+(9))),'J1 C - (South) Bishopthorpe Roa'!$A$12:$A$130,"&gt;="&amp;Diagram!$O84,'J1 C - (South) Bishopthorpe Roa'!$A$12:$A$130,"&lt;"&amp;Diagram!$P84)))</f>
        <v>0</v>
      </c>
      <c r="AV84" s="42">
        <f ca="1">IF(OR($I$10="",$O84="",$P84="",$J$36&lt;&gt;"Yes"),0,IF($K$10=0,SUMIFS(INDIRECT(ADDRESS(12,3+18*0+(1),,,"J1 D - South Bank Avenue")&amp;":"&amp;ADDRESS(130,3+18*0+(1))),'J1 D - South Bank Avenue'!$A$12:$A$130,"&gt;="&amp;Diagram!$O84,'J1 D - South Bank Avenue'!$A$12:$A$130,"&lt;"&amp;Diagram!$P84),SUMIFS(INDIRECT(ADDRESS(12,3+18*0+(9),,,"J1 D - South Bank Avenue")&amp;":"&amp;ADDRESS(130,3+18*0+(9))),'J1 D - South Bank Avenue'!$A$12:$A$130,"&gt;="&amp;Diagram!$O84,'J1 D - South Bank Avenue'!$A$12:$A$130,"&lt;"&amp;Diagram!$P84)))</f>
        <v>0</v>
      </c>
      <c r="AW84" s="42">
        <f ca="1">IF(OR($I$10="",$O84="",$P84="",$J$36&lt;&gt;"Yes"),0,IF($K$10=0,SUMIFS(INDIRECT(ADDRESS(12,3+18*1+(1),,,"J1 D - South Bank Avenue")&amp;":"&amp;ADDRESS(130,3+18*1+(1))),'J1 D - South Bank Avenue'!$A$12:$A$130,"&gt;="&amp;Diagram!$O84,'J1 D - South Bank Avenue'!$A$12:$A$130,"&lt;"&amp;Diagram!$P84),SUMIFS(INDIRECT(ADDRESS(12,3+18*1+(9),,,"J1 D - South Bank Avenue")&amp;":"&amp;ADDRESS(130,3+18*1+(9))),'J1 D - South Bank Avenue'!$A$12:$A$130,"&gt;="&amp;Diagram!$O84,'J1 D - South Bank Avenue'!$A$12:$A$130,"&lt;"&amp;Diagram!$P84)))</f>
        <v>0</v>
      </c>
      <c r="AX84" s="42">
        <f ca="1">IF(OR($I$10="",$O84="",$P84="",$J$36&lt;&gt;"Yes"),0,IF($K$10=0,SUMIFS(INDIRECT(ADDRESS(12,3+18*2+(1),,,"J1 D - South Bank Avenue")&amp;":"&amp;ADDRESS(130,3+18*2+(1))),'J1 D - South Bank Avenue'!$A$12:$A$130,"&gt;="&amp;Diagram!$O84,'J1 D - South Bank Avenue'!$A$12:$A$130,"&lt;"&amp;Diagram!$P84),SUMIFS(INDIRECT(ADDRESS(12,3+18*2+(9),,,"J1 D - South Bank Avenue")&amp;":"&amp;ADDRESS(130,3+18*2+(9))),'J1 D - South Bank Avenue'!$A$12:$A$130,"&gt;="&amp;Diagram!$O84,'J1 D - South Bank Avenue'!$A$12:$A$130,"&lt;"&amp;Diagram!$P84)))</f>
        <v>0</v>
      </c>
      <c r="AY84" s="42">
        <f ca="1">IF(OR($I$10="",$O84="",$P84="",$J$36&lt;&gt;"Yes"),0,IF($K$10=0,SUMIFS(INDIRECT(ADDRESS(12,3+18*3+(1),,,"J1 D - South Bank Avenue")&amp;":"&amp;ADDRESS(130,3+18*3+(1))),'J1 D - South Bank Avenue'!$A$12:$A$130,"&gt;="&amp;Diagram!$O84,'J1 D - South Bank Avenue'!$A$12:$A$130,"&lt;"&amp;Diagram!$P84),SUMIFS(INDIRECT(ADDRESS(12,3+18*3+(9),,,"J1 D - South Bank Avenue")&amp;":"&amp;ADDRESS(130,3+18*3+(9))),'J1 D - South Bank Avenue'!$A$12:$A$130,"&gt;="&amp;Diagram!$O84,'J1 D - South Bank Avenue'!$A$12:$A$130,"&lt;"&amp;Diagram!$P84)))</f>
        <v>0</v>
      </c>
      <c r="AZ84" s="42">
        <f t="shared" ca="1" si="13"/>
        <v>1</v>
      </c>
      <c r="BA84" s="42">
        <f ca="1">IF(OR($I$10="",$O84="",$P84="",$J$37&lt;&gt;"Yes"),0,IF($K$10=0,SUMIFS(INDIRECT(ADDRESS(12,3+18*3+(2),,,"J1 A - (North) Bishopthorpe Roa")&amp;":"&amp;ADDRESS(130,3+18*3+(2))),'J1 A - (North) Bishopthorpe Roa'!$A$12:$A$130,"&gt;="&amp;Diagram!$O84,'J1 A - (North) Bishopthorpe Roa'!$A$12:$A$130,"&lt;"&amp;Diagram!$P84),SUMIFS(INDIRECT(ADDRESS(12,3+18*3+(10),,,"J1 A - (North) Bishopthorpe Roa")&amp;":"&amp;ADDRESS(130,3+18*3+(10))),'J1 A - (North) Bishopthorpe Roa'!$A$12:$A$130,"&gt;="&amp;Diagram!$O84,'J1 A - (North) Bishopthorpe Roa'!$A$12:$A$130,"&lt;"&amp;Diagram!$P84)))</f>
        <v>0</v>
      </c>
      <c r="BB84" s="42">
        <f ca="1">IF(OR($I$10="",$O84="",$P84="",$J$37&lt;&gt;"Yes"),0,IF($K$10=0,SUMIFS(INDIRECT(ADDRESS(12,3+18*0+(2),,,"J1 A - (North) Bishopthorpe Roa")&amp;":"&amp;ADDRESS(130,3+18*0+(2))),'J1 A - (North) Bishopthorpe Roa'!$A$12:$A$130,"&gt;="&amp;Diagram!$O84,'J1 A - (North) Bishopthorpe Roa'!$A$12:$A$130,"&lt;"&amp;Diagram!$P84),SUMIFS(INDIRECT(ADDRESS(12,3+18*0+(10),,,"J1 A - (North) Bishopthorpe Roa")&amp;":"&amp;ADDRESS(130,3+18*0+(10))),'J1 A - (North) Bishopthorpe Roa'!$A$12:$A$130,"&gt;="&amp;Diagram!$O84,'J1 A - (North) Bishopthorpe Roa'!$A$12:$A$130,"&lt;"&amp;Diagram!$P84)))</f>
        <v>0</v>
      </c>
      <c r="BC84" s="42">
        <f ca="1">IF(OR($I$10="",$O84="",$P84="",$J$37&lt;&gt;"Yes"),0,IF($K$10=0,SUMIFS(INDIRECT(ADDRESS(12,3+18*1+(2),,,"J1 A - (North) Bishopthorpe Roa")&amp;":"&amp;ADDRESS(130,3+18*1+(2))),'J1 A - (North) Bishopthorpe Roa'!$A$12:$A$130,"&gt;="&amp;Diagram!$O84,'J1 A - (North) Bishopthorpe Roa'!$A$12:$A$130,"&lt;"&amp;Diagram!$P84),SUMIFS(INDIRECT(ADDRESS(12,3+18*1+(10),,,"J1 A - (North) Bishopthorpe Roa")&amp;":"&amp;ADDRESS(130,3+18*1+(10))),'J1 A - (North) Bishopthorpe Roa'!$A$12:$A$130,"&gt;="&amp;Diagram!$O84,'J1 A - (North) Bishopthorpe Roa'!$A$12:$A$130,"&lt;"&amp;Diagram!$P84)))</f>
        <v>0</v>
      </c>
      <c r="BD84" s="42">
        <f ca="1">IF(OR($I$10="",$O84="",$P84="",$J$37&lt;&gt;"Yes"),0,IF($K$10=0,SUMIFS(INDIRECT(ADDRESS(12,3+18*2+(2),,,"J1 A - (North) Bishopthorpe Roa")&amp;":"&amp;ADDRESS(130,3+18*2+(2))),'J1 A - (North) Bishopthorpe Roa'!$A$12:$A$130,"&gt;="&amp;Diagram!$O84,'J1 A - (North) Bishopthorpe Roa'!$A$12:$A$130,"&lt;"&amp;Diagram!$P84),SUMIFS(INDIRECT(ADDRESS(12,3+18*2+(10),,,"J1 A - (North) Bishopthorpe Roa")&amp;":"&amp;ADDRESS(130,3+18*2+(10))),'J1 A - (North) Bishopthorpe Roa'!$A$12:$A$130,"&gt;="&amp;Diagram!$O84,'J1 A - (North) Bishopthorpe Roa'!$A$12:$A$130,"&lt;"&amp;Diagram!$P84)))</f>
        <v>0</v>
      </c>
      <c r="BE84" s="42">
        <f ca="1">IF(OR($I$10="",$O84="",$P84="",$J$37&lt;&gt;"Yes"),0,IF($K$10=0,SUMIFS(INDIRECT(ADDRESS(12,3+18*2+(2),,,"J1 B - Butcher Terrace")&amp;":"&amp;ADDRESS(130,3+18*2+(2))),'J1 B - Butcher Terrace'!$A$12:$A$130,"&gt;="&amp;Diagram!$O84,'J1 B - Butcher Terrace'!$A$12:$A$130,"&lt;"&amp;Diagram!$P84),SUMIFS(INDIRECT(ADDRESS(12,3+18*2+(10),,,"J1 B - Butcher Terrace")&amp;":"&amp;ADDRESS(130,3+18*2+(10))),'J1 B - Butcher Terrace'!$A$12:$A$130,"&gt;="&amp;Diagram!$O84,'J1 B - Butcher Terrace'!$A$12:$A$130,"&lt;"&amp;Diagram!$P84)))</f>
        <v>0</v>
      </c>
      <c r="BF84" s="42">
        <f ca="1">IF(OR($I$10="",$O84="",$P84="",$J$37&lt;&gt;"Yes"),0,IF($K$10=0,SUMIFS(INDIRECT(ADDRESS(12,3+18*3+(2),,,"J1 B - Butcher Terrace")&amp;":"&amp;ADDRESS(130,3+18*3+(2))),'J1 B - Butcher Terrace'!$A$12:$A$130,"&gt;="&amp;Diagram!$O84,'J1 B - Butcher Terrace'!$A$12:$A$130,"&lt;"&amp;Diagram!$P84),SUMIFS(INDIRECT(ADDRESS(12,3+18*3+(10),,,"J1 B - Butcher Terrace")&amp;":"&amp;ADDRESS(130,3+18*3+(10))),'J1 B - Butcher Terrace'!$A$12:$A$130,"&gt;="&amp;Diagram!$O84,'J1 B - Butcher Terrace'!$A$12:$A$130,"&lt;"&amp;Diagram!$P84)))</f>
        <v>0</v>
      </c>
      <c r="BG84" s="42">
        <f ca="1">IF(OR($I$10="",$O84="",$P84="",$J$37&lt;&gt;"Yes"),0,IF($K$10=0,SUMIFS(INDIRECT(ADDRESS(12,3+18*0+(2),,,"J1 B - Butcher Terrace")&amp;":"&amp;ADDRESS(130,3+18*0+(2))),'J1 B - Butcher Terrace'!$A$12:$A$130,"&gt;="&amp;Diagram!$O84,'J1 B - Butcher Terrace'!$A$12:$A$130,"&lt;"&amp;Diagram!$P84),SUMIFS(INDIRECT(ADDRESS(12,3+18*0+(10),,,"J1 B - Butcher Terrace")&amp;":"&amp;ADDRESS(130,3+18*0+(10))),'J1 B - Butcher Terrace'!$A$12:$A$130,"&gt;="&amp;Diagram!$O84,'J1 B - Butcher Terrace'!$A$12:$A$130,"&lt;"&amp;Diagram!$P84)))</f>
        <v>0</v>
      </c>
      <c r="BH84" s="42">
        <f ca="1">IF(OR($I$10="",$O84="",$P84="",$J$37&lt;&gt;"Yes"),0,IF($K$10=0,SUMIFS(INDIRECT(ADDRESS(12,3+18*1+(2),,,"J1 B - Butcher Terrace")&amp;":"&amp;ADDRESS(130,3+18*1+(2))),'J1 B - Butcher Terrace'!$A$12:$A$130,"&gt;="&amp;Diagram!$O84,'J1 B - Butcher Terrace'!$A$12:$A$130,"&lt;"&amp;Diagram!$P84),SUMIFS(INDIRECT(ADDRESS(12,3+18*1+(10),,,"J1 B - Butcher Terrace")&amp;":"&amp;ADDRESS(130,3+18*1+(10))),'J1 B - Butcher Terrace'!$A$12:$A$130,"&gt;="&amp;Diagram!$O84,'J1 B - Butcher Terrace'!$A$12:$A$130,"&lt;"&amp;Diagram!$P84)))</f>
        <v>0</v>
      </c>
      <c r="BI84" s="42">
        <f ca="1">IF(OR($I$10="",$O84="",$P84="",$J$37&lt;&gt;"Yes"),0,IF($K$10=0,SUMIFS(INDIRECT(ADDRESS(12,3+18*1+(2),,,"J1 C - (South) Bishopthorpe Roa")&amp;":"&amp;ADDRESS(130,3+18*1+(2))),'J1 C - (South) Bishopthorpe Roa'!$A$12:$A$130,"&gt;="&amp;Diagram!$O84,'J1 C - (South) Bishopthorpe Roa'!$A$12:$A$130,"&lt;"&amp;Diagram!$P84),SUMIFS(INDIRECT(ADDRESS(12,3+18*1+(10),,,"J1 C - (South) Bishopthorpe Roa")&amp;":"&amp;ADDRESS(130,3+18*1+(10))),'J1 C - (South) Bishopthorpe Roa'!$A$12:$A$130,"&gt;="&amp;Diagram!$O84,'J1 C - (South) Bishopthorpe Roa'!$A$12:$A$130,"&lt;"&amp;Diagram!$P84)))</f>
        <v>1</v>
      </c>
      <c r="BJ84" s="42">
        <f ca="1">IF(OR($I$10="",$O84="",$P84="",$J$37&lt;&gt;"Yes"),0,IF($K$10=0,SUMIFS(INDIRECT(ADDRESS(12,3+18*2+(2),,,"J1 C - (South) Bishopthorpe Roa")&amp;":"&amp;ADDRESS(130,3+18*2+(2))),'J1 C - (South) Bishopthorpe Roa'!$A$12:$A$130,"&gt;="&amp;Diagram!$O84,'J1 C - (South) Bishopthorpe Roa'!$A$12:$A$130,"&lt;"&amp;Diagram!$P84),SUMIFS(INDIRECT(ADDRESS(12,3+18*2+(10),,,"J1 C - (South) Bishopthorpe Roa")&amp;":"&amp;ADDRESS(130,3+18*2+(10))),'J1 C - (South) Bishopthorpe Roa'!$A$12:$A$130,"&gt;="&amp;Diagram!$O84,'J1 C - (South) Bishopthorpe Roa'!$A$12:$A$130,"&lt;"&amp;Diagram!$P84)))</f>
        <v>0</v>
      </c>
      <c r="BK84" s="42">
        <f ca="1">IF(OR($I$10="",$O84="",$P84="",$J$37&lt;&gt;"Yes"),0,IF($K$10=0,SUMIFS(INDIRECT(ADDRESS(12,3+18*3+(2),,,"J1 C - (South) Bishopthorpe Roa")&amp;":"&amp;ADDRESS(130,3+18*3+(2))),'J1 C - (South) Bishopthorpe Roa'!$A$12:$A$130,"&gt;="&amp;Diagram!$O84,'J1 C - (South) Bishopthorpe Roa'!$A$12:$A$130,"&lt;"&amp;Diagram!$P84),SUMIFS(INDIRECT(ADDRESS(12,3+18*3+(10),,,"J1 C - (South) Bishopthorpe Roa")&amp;":"&amp;ADDRESS(130,3+18*3+(10))),'J1 C - (South) Bishopthorpe Roa'!$A$12:$A$130,"&gt;="&amp;Diagram!$O84,'J1 C - (South) Bishopthorpe Roa'!$A$12:$A$130,"&lt;"&amp;Diagram!$P84)))</f>
        <v>0</v>
      </c>
      <c r="BL84" s="42">
        <f ca="1">IF(OR($I$10="",$O84="",$P84="",$J$37&lt;&gt;"Yes"),0,IF($K$10=0,SUMIFS(INDIRECT(ADDRESS(12,3+18*0+(2),,,"J1 C - (South) Bishopthorpe Roa")&amp;":"&amp;ADDRESS(130,3+18*0+(2))),'J1 C - (South) Bishopthorpe Roa'!$A$12:$A$130,"&gt;="&amp;Diagram!$O84,'J1 C - (South) Bishopthorpe Roa'!$A$12:$A$130,"&lt;"&amp;Diagram!$P84),SUMIFS(INDIRECT(ADDRESS(12,3+18*0+(10),,,"J1 C - (South) Bishopthorpe Roa")&amp;":"&amp;ADDRESS(130,3+18*0+(10))),'J1 C - (South) Bishopthorpe Roa'!$A$12:$A$130,"&gt;="&amp;Diagram!$O84,'J1 C - (South) Bishopthorpe Roa'!$A$12:$A$130,"&lt;"&amp;Diagram!$P84)))</f>
        <v>0</v>
      </c>
      <c r="BM84" s="42">
        <f ca="1">IF(OR($I$10="",$O84="",$P84="",$J$37&lt;&gt;"Yes"),0,IF($K$10=0,SUMIFS(INDIRECT(ADDRESS(12,3+18*0+(2),,,"J1 D - South Bank Avenue")&amp;":"&amp;ADDRESS(130,3+18*0+(2))),'J1 D - South Bank Avenue'!$A$12:$A$130,"&gt;="&amp;Diagram!$O84,'J1 D - South Bank Avenue'!$A$12:$A$130,"&lt;"&amp;Diagram!$P84),SUMIFS(INDIRECT(ADDRESS(12,3+18*0+(10),,,"J1 D - South Bank Avenue")&amp;":"&amp;ADDRESS(130,3+18*0+(10))),'J1 D - South Bank Avenue'!$A$12:$A$130,"&gt;="&amp;Diagram!$O84,'J1 D - South Bank Avenue'!$A$12:$A$130,"&lt;"&amp;Diagram!$P84)))</f>
        <v>0</v>
      </c>
      <c r="BN84" s="42">
        <f ca="1">IF(OR($I$10="",$O84="",$P84="",$J$37&lt;&gt;"Yes"),0,IF($K$10=0,SUMIFS(INDIRECT(ADDRESS(12,3+18*1+(2),,,"J1 D - South Bank Avenue")&amp;":"&amp;ADDRESS(130,3+18*1+(2))),'J1 D - South Bank Avenue'!$A$12:$A$130,"&gt;="&amp;Diagram!$O84,'J1 D - South Bank Avenue'!$A$12:$A$130,"&lt;"&amp;Diagram!$P84),SUMIFS(INDIRECT(ADDRESS(12,3+18*1+(10),,,"J1 D - South Bank Avenue")&amp;":"&amp;ADDRESS(130,3+18*1+(10))),'J1 D - South Bank Avenue'!$A$12:$A$130,"&gt;="&amp;Diagram!$O84,'J1 D - South Bank Avenue'!$A$12:$A$130,"&lt;"&amp;Diagram!$P84)))</f>
        <v>0</v>
      </c>
      <c r="BO84" s="42">
        <f ca="1">IF(OR($I$10="",$O84="",$P84="",$J$37&lt;&gt;"Yes"),0,IF($K$10=0,SUMIFS(INDIRECT(ADDRESS(12,3+18*2+(2),,,"J1 D - South Bank Avenue")&amp;":"&amp;ADDRESS(130,3+18*2+(2))),'J1 D - South Bank Avenue'!$A$12:$A$130,"&gt;="&amp;Diagram!$O84,'J1 D - South Bank Avenue'!$A$12:$A$130,"&lt;"&amp;Diagram!$P84),SUMIFS(INDIRECT(ADDRESS(12,3+18*2+(10),,,"J1 D - South Bank Avenue")&amp;":"&amp;ADDRESS(130,3+18*2+(10))),'J1 D - South Bank Avenue'!$A$12:$A$130,"&gt;="&amp;Diagram!$O84,'J1 D - South Bank Avenue'!$A$12:$A$130,"&lt;"&amp;Diagram!$P84)))</f>
        <v>0</v>
      </c>
      <c r="BP84" s="42">
        <f ca="1">IF(OR($I$10="",$O84="",$P84="",$J$37&lt;&gt;"Yes"),0,IF($K$10=0,SUMIFS(INDIRECT(ADDRESS(12,3+18*3+(2),,,"J1 D - South Bank Avenue")&amp;":"&amp;ADDRESS(130,3+18*3+(2))),'J1 D - South Bank Avenue'!$A$12:$A$130,"&gt;="&amp;Diagram!$O84,'J1 D - South Bank Avenue'!$A$12:$A$130,"&lt;"&amp;Diagram!$P84),SUMIFS(INDIRECT(ADDRESS(12,3+18*3+(10),,,"J1 D - South Bank Avenue")&amp;":"&amp;ADDRESS(130,3+18*3+(10))),'J1 D - South Bank Avenue'!$A$12:$A$130,"&gt;="&amp;Diagram!$O84,'J1 D - South Bank Avenue'!$A$12:$A$130,"&lt;"&amp;Diagram!$P84)))</f>
        <v>0</v>
      </c>
      <c r="BQ84" s="42">
        <f t="shared" ca="1" si="14"/>
        <v>0</v>
      </c>
      <c r="BR84" s="42">
        <f ca="1">IF(OR($I$10="",$O84="",$P84="",$J$38&lt;&gt;"Yes"),0,IF($K$10=0,SUMIFS(INDIRECT(ADDRESS(12,3+18*3+(3),,,"J1 A - (North) Bishopthorpe Roa")&amp;":"&amp;ADDRESS(130,3+18*3+(3))),'J1 A - (North) Bishopthorpe Roa'!$A$12:$A$130,"&gt;="&amp;Diagram!$O84,'J1 A - (North) Bishopthorpe Roa'!$A$12:$A$130,"&lt;"&amp;Diagram!$P84),SUMIFS(INDIRECT(ADDRESS(12,3+18*3+(11),,,"J1 A - (North) Bishopthorpe Roa")&amp;":"&amp;ADDRESS(130,3+18*3+(11))),'J1 A - (North) Bishopthorpe Roa'!$A$12:$A$130,"&gt;="&amp;Diagram!$O84,'J1 A - (North) Bishopthorpe Roa'!$A$12:$A$130,"&lt;"&amp;Diagram!$P84)))</f>
        <v>0</v>
      </c>
      <c r="BS84" s="42">
        <f ca="1">IF(OR($I$10="",$O84="",$P84="",$J$38&lt;&gt;"Yes"),0,IF($K$10=0,SUMIFS(INDIRECT(ADDRESS(12,3+18*0+(3),,,"J1 A - (North) Bishopthorpe Roa")&amp;":"&amp;ADDRESS(130,3+18*0+(3))),'J1 A - (North) Bishopthorpe Roa'!$A$12:$A$130,"&gt;="&amp;Diagram!$O84,'J1 A - (North) Bishopthorpe Roa'!$A$12:$A$130,"&lt;"&amp;Diagram!$P84),SUMIFS(INDIRECT(ADDRESS(12,3+18*0+(11),,,"J1 A - (North) Bishopthorpe Roa")&amp;":"&amp;ADDRESS(130,3+18*0+(11))),'J1 A - (North) Bishopthorpe Roa'!$A$12:$A$130,"&gt;="&amp;Diagram!$O84,'J1 A - (North) Bishopthorpe Roa'!$A$12:$A$130,"&lt;"&amp;Diagram!$P84)))</f>
        <v>0</v>
      </c>
      <c r="BT84" s="42">
        <f ca="1">IF(OR($I$10="",$O84="",$P84="",$J$38&lt;&gt;"Yes"),0,IF($K$10=0,SUMIFS(INDIRECT(ADDRESS(12,3+18*1+(3),,,"J1 A - (North) Bishopthorpe Roa")&amp;":"&amp;ADDRESS(130,3+18*1+(3))),'J1 A - (North) Bishopthorpe Roa'!$A$12:$A$130,"&gt;="&amp;Diagram!$O84,'J1 A - (North) Bishopthorpe Roa'!$A$12:$A$130,"&lt;"&amp;Diagram!$P84),SUMIFS(INDIRECT(ADDRESS(12,3+18*1+(11),,,"J1 A - (North) Bishopthorpe Roa")&amp;":"&amp;ADDRESS(130,3+18*1+(11))),'J1 A - (North) Bishopthorpe Roa'!$A$12:$A$130,"&gt;="&amp;Diagram!$O84,'J1 A - (North) Bishopthorpe Roa'!$A$12:$A$130,"&lt;"&amp;Diagram!$P84)))</f>
        <v>0</v>
      </c>
      <c r="BU84" s="42">
        <f ca="1">IF(OR($I$10="",$O84="",$P84="",$J$38&lt;&gt;"Yes"),0,IF($K$10=0,SUMIFS(INDIRECT(ADDRESS(12,3+18*2+(3),,,"J1 A - (North) Bishopthorpe Roa")&amp;":"&amp;ADDRESS(130,3+18*2+(3))),'J1 A - (North) Bishopthorpe Roa'!$A$12:$A$130,"&gt;="&amp;Diagram!$O84,'J1 A - (North) Bishopthorpe Roa'!$A$12:$A$130,"&lt;"&amp;Diagram!$P84),SUMIFS(INDIRECT(ADDRESS(12,3+18*2+(11),,,"J1 A - (North) Bishopthorpe Roa")&amp;":"&amp;ADDRESS(130,3+18*2+(11))),'J1 A - (North) Bishopthorpe Roa'!$A$12:$A$130,"&gt;="&amp;Diagram!$O84,'J1 A - (North) Bishopthorpe Roa'!$A$12:$A$130,"&lt;"&amp;Diagram!$P84)))</f>
        <v>0</v>
      </c>
      <c r="BV84" s="42">
        <f ca="1">IF(OR($I$10="",$O84="",$P84="",$J$38&lt;&gt;"Yes"),0,IF($K$10=0,SUMIFS(INDIRECT(ADDRESS(12,3+18*2+(3),,,"J1 B - Butcher Terrace")&amp;":"&amp;ADDRESS(130,3+18*2+(3))),'J1 B - Butcher Terrace'!$A$12:$A$130,"&gt;="&amp;Diagram!$O84,'J1 B - Butcher Terrace'!$A$12:$A$130,"&lt;"&amp;Diagram!$P84),SUMIFS(INDIRECT(ADDRESS(12,3+18*2+(11),,,"J1 B - Butcher Terrace")&amp;":"&amp;ADDRESS(130,3+18*2+(11))),'J1 B - Butcher Terrace'!$A$12:$A$130,"&gt;="&amp;Diagram!$O84,'J1 B - Butcher Terrace'!$A$12:$A$130,"&lt;"&amp;Diagram!$P84)))</f>
        <v>0</v>
      </c>
      <c r="BW84" s="42">
        <f ca="1">IF(OR($I$10="",$O84="",$P84="",$J$38&lt;&gt;"Yes"),0,IF($K$10=0,SUMIFS(INDIRECT(ADDRESS(12,3+18*3+(3),,,"J1 B - Butcher Terrace")&amp;":"&amp;ADDRESS(130,3+18*3+(3))),'J1 B - Butcher Terrace'!$A$12:$A$130,"&gt;="&amp;Diagram!$O84,'J1 B - Butcher Terrace'!$A$12:$A$130,"&lt;"&amp;Diagram!$P84),SUMIFS(INDIRECT(ADDRESS(12,3+18*3+(11),,,"J1 B - Butcher Terrace")&amp;":"&amp;ADDRESS(130,3+18*3+(11))),'J1 B - Butcher Terrace'!$A$12:$A$130,"&gt;="&amp;Diagram!$O84,'J1 B - Butcher Terrace'!$A$12:$A$130,"&lt;"&amp;Diagram!$P84)))</f>
        <v>0</v>
      </c>
      <c r="BX84" s="42">
        <f ca="1">IF(OR($I$10="",$O84="",$P84="",$J$38&lt;&gt;"Yes"),0,IF($K$10=0,SUMIFS(INDIRECT(ADDRESS(12,3+18*0+(3),,,"J1 B - Butcher Terrace")&amp;":"&amp;ADDRESS(130,3+18*0+(3))),'J1 B - Butcher Terrace'!$A$12:$A$130,"&gt;="&amp;Diagram!$O84,'J1 B - Butcher Terrace'!$A$12:$A$130,"&lt;"&amp;Diagram!$P84),SUMIFS(INDIRECT(ADDRESS(12,3+18*0+(11),,,"J1 B - Butcher Terrace")&amp;":"&amp;ADDRESS(130,3+18*0+(11))),'J1 B - Butcher Terrace'!$A$12:$A$130,"&gt;="&amp;Diagram!$O84,'J1 B - Butcher Terrace'!$A$12:$A$130,"&lt;"&amp;Diagram!$P84)))</f>
        <v>0</v>
      </c>
      <c r="BY84" s="42">
        <f ca="1">IF(OR($I$10="",$O84="",$P84="",$J$38&lt;&gt;"Yes"),0,IF($K$10=0,SUMIFS(INDIRECT(ADDRESS(12,3+18*1+(3),,,"J1 B - Butcher Terrace")&amp;":"&amp;ADDRESS(130,3+18*1+(3))),'J1 B - Butcher Terrace'!$A$12:$A$130,"&gt;="&amp;Diagram!$O84,'J1 B - Butcher Terrace'!$A$12:$A$130,"&lt;"&amp;Diagram!$P84),SUMIFS(INDIRECT(ADDRESS(12,3+18*1+(11),,,"J1 B - Butcher Terrace")&amp;":"&amp;ADDRESS(130,3+18*1+(11))),'J1 B - Butcher Terrace'!$A$12:$A$130,"&gt;="&amp;Diagram!$O84,'J1 B - Butcher Terrace'!$A$12:$A$130,"&lt;"&amp;Diagram!$P84)))</f>
        <v>0</v>
      </c>
      <c r="BZ84" s="42">
        <f ca="1">IF(OR($I$10="",$O84="",$P84="",$J$38&lt;&gt;"Yes"),0,IF($K$10=0,SUMIFS(INDIRECT(ADDRESS(12,3+18*1+(3),,,"J1 C - (South) Bishopthorpe Roa")&amp;":"&amp;ADDRESS(130,3+18*1+(3))),'J1 C - (South) Bishopthorpe Roa'!$A$12:$A$130,"&gt;="&amp;Diagram!$O84,'J1 C - (South) Bishopthorpe Roa'!$A$12:$A$130,"&lt;"&amp;Diagram!$P84),SUMIFS(INDIRECT(ADDRESS(12,3+18*1+(11),,,"J1 C - (South) Bishopthorpe Roa")&amp;":"&amp;ADDRESS(130,3+18*1+(11))),'J1 C - (South) Bishopthorpe Roa'!$A$12:$A$130,"&gt;="&amp;Diagram!$O84,'J1 C - (South) Bishopthorpe Roa'!$A$12:$A$130,"&lt;"&amp;Diagram!$P84)))</f>
        <v>0</v>
      </c>
      <c r="CA84" s="42">
        <f ca="1">IF(OR($I$10="",$O84="",$P84="",$J$38&lt;&gt;"Yes"),0,IF($K$10=0,SUMIFS(INDIRECT(ADDRESS(12,3+18*2+(3),,,"J1 C - (South) Bishopthorpe Roa")&amp;":"&amp;ADDRESS(130,3+18*2+(3))),'J1 C - (South) Bishopthorpe Roa'!$A$12:$A$130,"&gt;="&amp;Diagram!$O84,'J1 C - (South) Bishopthorpe Roa'!$A$12:$A$130,"&lt;"&amp;Diagram!$P84),SUMIFS(INDIRECT(ADDRESS(12,3+18*2+(11),,,"J1 C - (South) Bishopthorpe Roa")&amp;":"&amp;ADDRESS(130,3+18*2+(11))),'J1 C - (South) Bishopthorpe Roa'!$A$12:$A$130,"&gt;="&amp;Diagram!$O84,'J1 C - (South) Bishopthorpe Roa'!$A$12:$A$130,"&lt;"&amp;Diagram!$P84)))</f>
        <v>0</v>
      </c>
      <c r="CB84" s="42">
        <f ca="1">IF(OR($I$10="",$O84="",$P84="",$J$38&lt;&gt;"Yes"),0,IF($K$10=0,SUMIFS(INDIRECT(ADDRESS(12,3+18*3+(3),,,"J1 C - (South) Bishopthorpe Roa")&amp;":"&amp;ADDRESS(130,3+18*3+(3))),'J1 C - (South) Bishopthorpe Roa'!$A$12:$A$130,"&gt;="&amp;Diagram!$O84,'J1 C - (South) Bishopthorpe Roa'!$A$12:$A$130,"&lt;"&amp;Diagram!$P84),SUMIFS(INDIRECT(ADDRESS(12,3+18*3+(11),,,"J1 C - (South) Bishopthorpe Roa")&amp;":"&amp;ADDRESS(130,3+18*3+(11))),'J1 C - (South) Bishopthorpe Roa'!$A$12:$A$130,"&gt;="&amp;Diagram!$O84,'J1 C - (South) Bishopthorpe Roa'!$A$12:$A$130,"&lt;"&amp;Diagram!$P84)))</f>
        <v>0</v>
      </c>
      <c r="CC84" s="42">
        <f ca="1">IF(OR($I$10="",$O84="",$P84="",$J$38&lt;&gt;"Yes"),0,IF($K$10=0,SUMIFS(INDIRECT(ADDRESS(12,3+18*0+(3),,,"J1 C - (South) Bishopthorpe Roa")&amp;":"&amp;ADDRESS(130,3+18*0+(3))),'J1 C - (South) Bishopthorpe Roa'!$A$12:$A$130,"&gt;="&amp;Diagram!$O84,'J1 C - (South) Bishopthorpe Roa'!$A$12:$A$130,"&lt;"&amp;Diagram!$P84),SUMIFS(INDIRECT(ADDRESS(12,3+18*0+(11),,,"J1 C - (South) Bishopthorpe Roa")&amp;":"&amp;ADDRESS(130,3+18*0+(11))),'J1 C - (South) Bishopthorpe Roa'!$A$12:$A$130,"&gt;="&amp;Diagram!$O84,'J1 C - (South) Bishopthorpe Roa'!$A$12:$A$130,"&lt;"&amp;Diagram!$P84)))</f>
        <v>0</v>
      </c>
      <c r="CD84" s="42">
        <f ca="1">IF(OR($I$10="",$O84="",$P84="",$J$38&lt;&gt;"Yes"),0,IF($K$10=0,SUMIFS(INDIRECT(ADDRESS(12,3+18*0+(3),,,"J1 D - South Bank Avenue")&amp;":"&amp;ADDRESS(130,3+18*0+(3))),'J1 D - South Bank Avenue'!$A$12:$A$130,"&gt;="&amp;Diagram!$O84,'J1 D - South Bank Avenue'!$A$12:$A$130,"&lt;"&amp;Diagram!$P84),SUMIFS(INDIRECT(ADDRESS(12,3+18*0+(11),,,"J1 D - South Bank Avenue")&amp;":"&amp;ADDRESS(130,3+18*0+(11))),'J1 D - South Bank Avenue'!$A$12:$A$130,"&gt;="&amp;Diagram!$O84,'J1 D - South Bank Avenue'!$A$12:$A$130,"&lt;"&amp;Diagram!$P84)))</f>
        <v>0</v>
      </c>
      <c r="CE84" s="42">
        <f ca="1">IF(OR($I$10="",$O84="",$P84="",$J$38&lt;&gt;"Yes"),0,IF($K$10=0,SUMIFS(INDIRECT(ADDRESS(12,3+18*1+(3),,,"J1 D - South Bank Avenue")&amp;":"&amp;ADDRESS(130,3+18*1+(3))),'J1 D - South Bank Avenue'!$A$12:$A$130,"&gt;="&amp;Diagram!$O84,'J1 D - South Bank Avenue'!$A$12:$A$130,"&lt;"&amp;Diagram!$P84),SUMIFS(INDIRECT(ADDRESS(12,3+18*1+(11),,,"J1 D - South Bank Avenue")&amp;":"&amp;ADDRESS(130,3+18*1+(11))),'J1 D - South Bank Avenue'!$A$12:$A$130,"&gt;="&amp;Diagram!$O84,'J1 D - South Bank Avenue'!$A$12:$A$130,"&lt;"&amp;Diagram!$P84)))</f>
        <v>0</v>
      </c>
      <c r="CF84" s="42">
        <f ca="1">IF(OR($I$10="",$O84="",$P84="",$J$38&lt;&gt;"Yes"),0,IF($K$10=0,SUMIFS(INDIRECT(ADDRESS(12,3+18*2+(3),,,"J1 D - South Bank Avenue")&amp;":"&amp;ADDRESS(130,3+18*2+(3))),'J1 D - South Bank Avenue'!$A$12:$A$130,"&gt;="&amp;Diagram!$O84,'J1 D - South Bank Avenue'!$A$12:$A$130,"&lt;"&amp;Diagram!$P84),SUMIFS(INDIRECT(ADDRESS(12,3+18*2+(11),,,"J1 D - South Bank Avenue")&amp;":"&amp;ADDRESS(130,3+18*2+(11))),'J1 D - South Bank Avenue'!$A$12:$A$130,"&gt;="&amp;Diagram!$O84,'J1 D - South Bank Avenue'!$A$12:$A$130,"&lt;"&amp;Diagram!$P84)))</f>
        <v>0</v>
      </c>
      <c r="CG84" s="42">
        <f ca="1">IF(OR($I$10="",$O84="",$P84="",$J$38&lt;&gt;"Yes"),0,IF($K$10=0,SUMIFS(INDIRECT(ADDRESS(12,3+18*3+(3),,,"J1 D - South Bank Avenue")&amp;":"&amp;ADDRESS(130,3+18*3+(3))),'J1 D - South Bank Avenue'!$A$12:$A$130,"&gt;="&amp;Diagram!$O84,'J1 D - South Bank Avenue'!$A$12:$A$130,"&lt;"&amp;Diagram!$P84),SUMIFS(INDIRECT(ADDRESS(12,3+18*3+(11),,,"J1 D - South Bank Avenue")&amp;":"&amp;ADDRESS(130,3+18*3+(11))),'J1 D - South Bank Avenue'!$A$12:$A$130,"&gt;="&amp;Diagram!$O84,'J1 D - South Bank Avenue'!$A$12:$A$130,"&lt;"&amp;Diagram!$P84)))</f>
        <v>0</v>
      </c>
      <c r="CH84" s="42">
        <f t="shared" ca="1" si="15"/>
        <v>2</v>
      </c>
      <c r="CI84" s="42">
        <f ca="1">IF(OR($I$10="",$O84="",$P84="",$J$39&lt;&gt;"Yes"),0,IF($K$10=0,SUMIFS(INDIRECT(ADDRESS(12,3+18*3+(4),,,"J1 A - (North) Bishopthorpe Roa")&amp;":"&amp;ADDRESS(130,3+18*3+(4))),'J1 A - (North) Bishopthorpe Roa'!$A$12:$A$130,"&gt;="&amp;Diagram!$O84,'J1 A - (North) Bishopthorpe Roa'!$A$12:$A$130,"&lt;"&amp;Diagram!$P84),SUMIFS(INDIRECT(ADDRESS(12,3+18*3+(12),,,"J1 A - (North) Bishopthorpe Roa")&amp;":"&amp;ADDRESS(130,3+18*3+(12))),'J1 A - (North) Bishopthorpe Roa'!$A$12:$A$130,"&gt;="&amp;Diagram!$O84,'J1 A - (North) Bishopthorpe Roa'!$A$12:$A$130,"&lt;"&amp;Diagram!$P84)))</f>
        <v>0</v>
      </c>
      <c r="CJ84" s="42">
        <f ca="1">IF(OR($I$10="",$O84="",$P84="",$J$39&lt;&gt;"Yes"),0,IF($K$10=0,SUMIFS(INDIRECT(ADDRESS(12,3+18*0+(4),,,"J1 A - (North) Bishopthorpe Roa")&amp;":"&amp;ADDRESS(130,3+18*0+(4))),'J1 A - (North) Bishopthorpe Roa'!$A$12:$A$130,"&gt;="&amp;Diagram!$O84,'J1 A - (North) Bishopthorpe Roa'!$A$12:$A$130,"&lt;"&amp;Diagram!$P84),SUMIFS(INDIRECT(ADDRESS(12,3+18*0+(12),,,"J1 A - (North) Bishopthorpe Roa")&amp;":"&amp;ADDRESS(130,3+18*0+(12))),'J1 A - (North) Bishopthorpe Roa'!$A$12:$A$130,"&gt;="&amp;Diagram!$O84,'J1 A - (North) Bishopthorpe Roa'!$A$12:$A$130,"&lt;"&amp;Diagram!$P84)))</f>
        <v>0</v>
      </c>
      <c r="CK84" s="42">
        <f ca="1">IF(OR($I$10="",$O84="",$P84="",$J$39&lt;&gt;"Yes"),0,IF($K$10=0,SUMIFS(INDIRECT(ADDRESS(12,3+18*1+(4),,,"J1 A - (North) Bishopthorpe Roa")&amp;":"&amp;ADDRESS(130,3+18*1+(4))),'J1 A - (North) Bishopthorpe Roa'!$A$12:$A$130,"&gt;="&amp;Diagram!$O84,'J1 A - (North) Bishopthorpe Roa'!$A$12:$A$130,"&lt;"&amp;Diagram!$P84),SUMIFS(INDIRECT(ADDRESS(12,3+18*1+(12),,,"J1 A - (North) Bishopthorpe Roa")&amp;":"&amp;ADDRESS(130,3+18*1+(12))),'J1 A - (North) Bishopthorpe Roa'!$A$12:$A$130,"&gt;="&amp;Diagram!$O84,'J1 A - (North) Bishopthorpe Roa'!$A$12:$A$130,"&lt;"&amp;Diagram!$P84)))</f>
        <v>1</v>
      </c>
      <c r="CL84" s="42">
        <f ca="1">IF(OR($I$10="",$O84="",$P84="",$J$39&lt;&gt;"Yes"),0,IF($K$10=0,SUMIFS(INDIRECT(ADDRESS(12,3+18*2+(4),,,"J1 A - (North) Bishopthorpe Roa")&amp;":"&amp;ADDRESS(130,3+18*2+(4))),'J1 A - (North) Bishopthorpe Roa'!$A$12:$A$130,"&gt;="&amp;Diagram!$O84,'J1 A - (North) Bishopthorpe Roa'!$A$12:$A$130,"&lt;"&amp;Diagram!$P84),SUMIFS(INDIRECT(ADDRESS(12,3+18*2+(12),,,"J1 A - (North) Bishopthorpe Roa")&amp;":"&amp;ADDRESS(130,3+18*2+(12))),'J1 A - (North) Bishopthorpe Roa'!$A$12:$A$130,"&gt;="&amp;Diagram!$O84,'J1 A - (North) Bishopthorpe Roa'!$A$12:$A$130,"&lt;"&amp;Diagram!$P84)))</f>
        <v>0</v>
      </c>
      <c r="CM84" s="42">
        <f ca="1">IF(OR($I$10="",$O84="",$P84="",$J$39&lt;&gt;"Yes"),0,IF($K$10=0,SUMIFS(INDIRECT(ADDRESS(12,3+18*2+(4),,,"J1 B - Butcher Terrace")&amp;":"&amp;ADDRESS(130,3+18*2+(4))),'J1 B - Butcher Terrace'!$A$12:$A$130,"&gt;="&amp;Diagram!$O84,'J1 B - Butcher Terrace'!$A$12:$A$130,"&lt;"&amp;Diagram!$P84),SUMIFS(INDIRECT(ADDRESS(12,3+18*2+(12),,,"J1 B - Butcher Terrace")&amp;":"&amp;ADDRESS(130,3+18*2+(12))),'J1 B - Butcher Terrace'!$A$12:$A$130,"&gt;="&amp;Diagram!$O84,'J1 B - Butcher Terrace'!$A$12:$A$130,"&lt;"&amp;Diagram!$P84)))</f>
        <v>0</v>
      </c>
      <c r="CN84" s="42">
        <f ca="1">IF(OR($I$10="",$O84="",$P84="",$J$39&lt;&gt;"Yes"),0,IF($K$10=0,SUMIFS(INDIRECT(ADDRESS(12,3+18*3+(4),,,"J1 B - Butcher Terrace")&amp;":"&amp;ADDRESS(130,3+18*3+(4))),'J1 B - Butcher Terrace'!$A$12:$A$130,"&gt;="&amp;Diagram!$O84,'J1 B - Butcher Terrace'!$A$12:$A$130,"&lt;"&amp;Diagram!$P84),SUMIFS(INDIRECT(ADDRESS(12,3+18*3+(12),,,"J1 B - Butcher Terrace")&amp;":"&amp;ADDRESS(130,3+18*3+(12))),'J1 B - Butcher Terrace'!$A$12:$A$130,"&gt;="&amp;Diagram!$O84,'J1 B - Butcher Terrace'!$A$12:$A$130,"&lt;"&amp;Diagram!$P84)))</f>
        <v>0</v>
      </c>
      <c r="CO84" s="42">
        <f ca="1">IF(OR($I$10="",$O84="",$P84="",$J$39&lt;&gt;"Yes"),0,IF($K$10=0,SUMIFS(INDIRECT(ADDRESS(12,3+18*0+(4),,,"J1 B - Butcher Terrace")&amp;":"&amp;ADDRESS(130,3+18*0+(4))),'J1 B - Butcher Terrace'!$A$12:$A$130,"&gt;="&amp;Diagram!$O84,'J1 B - Butcher Terrace'!$A$12:$A$130,"&lt;"&amp;Diagram!$P84),SUMIFS(INDIRECT(ADDRESS(12,3+18*0+(12),,,"J1 B - Butcher Terrace")&amp;":"&amp;ADDRESS(130,3+18*0+(12))),'J1 B - Butcher Terrace'!$A$12:$A$130,"&gt;="&amp;Diagram!$O84,'J1 B - Butcher Terrace'!$A$12:$A$130,"&lt;"&amp;Diagram!$P84)))</f>
        <v>0</v>
      </c>
      <c r="CP84" s="42">
        <f ca="1">IF(OR($I$10="",$O84="",$P84="",$J$39&lt;&gt;"Yes"),0,IF($K$10=0,SUMIFS(INDIRECT(ADDRESS(12,3+18*1+(4),,,"J1 B - Butcher Terrace")&amp;":"&amp;ADDRESS(130,3+18*1+(4))),'J1 B - Butcher Terrace'!$A$12:$A$130,"&gt;="&amp;Diagram!$O84,'J1 B - Butcher Terrace'!$A$12:$A$130,"&lt;"&amp;Diagram!$P84),SUMIFS(INDIRECT(ADDRESS(12,3+18*1+(12),,,"J1 B - Butcher Terrace")&amp;":"&amp;ADDRESS(130,3+18*1+(12))),'J1 B - Butcher Terrace'!$A$12:$A$130,"&gt;="&amp;Diagram!$O84,'J1 B - Butcher Terrace'!$A$12:$A$130,"&lt;"&amp;Diagram!$P84)))</f>
        <v>0</v>
      </c>
      <c r="CQ84" s="42">
        <f ca="1">IF(OR($I$10="",$O84="",$P84="",$J$39&lt;&gt;"Yes"),0,IF($K$10=0,SUMIFS(INDIRECT(ADDRESS(12,3+18*1+(4),,,"J1 C - (South) Bishopthorpe Roa")&amp;":"&amp;ADDRESS(130,3+18*1+(4))),'J1 C - (South) Bishopthorpe Roa'!$A$12:$A$130,"&gt;="&amp;Diagram!$O84,'J1 C - (South) Bishopthorpe Roa'!$A$12:$A$130,"&lt;"&amp;Diagram!$P84),SUMIFS(INDIRECT(ADDRESS(12,3+18*1+(12),,,"J1 C - (South) Bishopthorpe Roa")&amp;":"&amp;ADDRESS(130,3+18*1+(12))),'J1 C - (South) Bishopthorpe Roa'!$A$12:$A$130,"&gt;="&amp;Diagram!$O84,'J1 C - (South) Bishopthorpe Roa'!$A$12:$A$130,"&lt;"&amp;Diagram!$P84)))</f>
        <v>1</v>
      </c>
      <c r="CR84" s="42">
        <f ca="1">IF(OR($I$10="",$O84="",$P84="",$J$39&lt;&gt;"Yes"),0,IF($K$10=0,SUMIFS(INDIRECT(ADDRESS(12,3+18*2+(4),,,"J1 C - (South) Bishopthorpe Roa")&amp;":"&amp;ADDRESS(130,3+18*2+(4))),'J1 C - (South) Bishopthorpe Roa'!$A$12:$A$130,"&gt;="&amp;Diagram!$O84,'J1 C - (South) Bishopthorpe Roa'!$A$12:$A$130,"&lt;"&amp;Diagram!$P84),SUMIFS(INDIRECT(ADDRESS(12,3+18*2+(12),,,"J1 C - (South) Bishopthorpe Roa")&amp;":"&amp;ADDRESS(130,3+18*2+(12))),'J1 C - (South) Bishopthorpe Roa'!$A$12:$A$130,"&gt;="&amp;Diagram!$O84,'J1 C - (South) Bishopthorpe Roa'!$A$12:$A$130,"&lt;"&amp;Diagram!$P84)))</f>
        <v>0</v>
      </c>
      <c r="CS84" s="42">
        <f ca="1">IF(OR($I$10="",$O84="",$P84="",$J$39&lt;&gt;"Yes"),0,IF($K$10=0,SUMIFS(INDIRECT(ADDRESS(12,3+18*3+(4),,,"J1 C - (South) Bishopthorpe Roa")&amp;":"&amp;ADDRESS(130,3+18*3+(4))),'J1 C - (South) Bishopthorpe Roa'!$A$12:$A$130,"&gt;="&amp;Diagram!$O84,'J1 C - (South) Bishopthorpe Roa'!$A$12:$A$130,"&lt;"&amp;Diagram!$P84),SUMIFS(INDIRECT(ADDRESS(12,3+18*3+(12),,,"J1 C - (South) Bishopthorpe Roa")&amp;":"&amp;ADDRESS(130,3+18*3+(12))),'J1 C - (South) Bishopthorpe Roa'!$A$12:$A$130,"&gt;="&amp;Diagram!$O84,'J1 C - (South) Bishopthorpe Roa'!$A$12:$A$130,"&lt;"&amp;Diagram!$P84)))</f>
        <v>0</v>
      </c>
      <c r="CT84" s="42">
        <f ca="1">IF(OR($I$10="",$O84="",$P84="",$J$39&lt;&gt;"Yes"),0,IF($K$10=0,SUMIFS(INDIRECT(ADDRESS(12,3+18*0+(4),,,"J1 C - (South) Bishopthorpe Roa")&amp;":"&amp;ADDRESS(130,3+18*0+(4))),'J1 C - (South) Bishopthorpe Roa'!$A$12:$A$130,"&gt;="&amp;Diagram!$O84,'J1 C - (South) Bishopthorpe Roa'!$A$12:$A$130,"&lt;"&amp;Diagram!$P84),SUMIFS(INDIRECT(ADDRESS(12,3+18*0+(12),,,"J1 C - (South) Bishopthorpe Roa")&amp;":"&amp;ADDRESS(130,3+18*0+(12))),'J1 C - (South) Bishopthorpe Roa'!$A$12:$A$130,"&gt;="&amp;Diagram!$O84,'J1 C - (South) Bishopthorpe Roa'!$A$12:$A$130,"&lt;"&amp;Diagram!$P84)))</f>
        <v>0</v>
      </c>
      <c r="CU84" s="42">
        <f ca="1">IF(OR($I$10="",$O84="",$P84="",$J$39&lt;&gt;"Yes"),0,IF($K$10=0,SUMIFS(INDIRECT(ADDRESS(12,3+18*0+(4),,,"J1 D - South Bank Avenue")&amp;":"&amp;ADDRESS(130,3+18*0+(4))),'J1 D - South Bank Avenue'!$A$12:$A$130,"&gt;="&amp;Diagram!$O84,'J1 D - South Bank Avenue'!$A$12:$A$130,"&lt;"&amp;Diagram!$P84),SUMIFS(INDIRECT(ADDRESS(12,3+18*0+(12),,,"J1 D - South Bank Avenue")&amp;":"&amp;ADDRESS(130,3+18*0+(12))),'J1 D - South Bank Avenue'!$A$12:$A$130,"&gt;="&amp;Diagram!$O84,'J1 D - South Bank Avenue'!$A$12:$A$130,"&lt;"&amp;Diagram!$P84)))</f>
        <v>0</v>
      </c>
      <c r="CV84" s="42">
        <f ca="1">IF(OR($I$10="",$O84="",$P84="",$J$39&lt;&gt;"Yes"),0,IF($K$10=0,SUMIFS(INDIRECT(ADDRESS(12,3+18*1+(4),,,"J1 D - South Bank Avenue")&amp;":"&amp;ADDRESS(130,3+18*1+(4))),'J1 D - South Bank Avenue'!$A$12:$A$130,"&gt;="&amp;Diagram!$O84,'J1 D - South Bank Avenue'!$A$12:$A$130,"&lt;"&amp;Diagram!$P84),SUMIFS(INDIRECT(ADDRESS(12,3+18*1+(12),,,"J1 D - South Bank Avenue")&amp;":"&amp;ADDRESS(130,3+18*1+(12))),'J1 D - South Bank Avenue'!$A$12:$A$130,"&gt;="&amp;Diagram!$O84,'J1 D - South Bank Avenue'!$A$12:$A$130,"&lt;"&amp;Diagram!$P84)))</f>
        <v>0</v>
      </c>
      <c r="CW84" s="42">
        <f ca="1">IF(OR($I$10="",$O84="",$P84="",$J$39&lt;&gt;"Yes"),0,IF($K$10=0,SUMIFS(INDIRECT(ADDRESS(12,3+18*2+(4),,,"J1 D - South Bank Avenue")&amp;":"&amp;ADDRESS(130,3+18*2+(4))),'J1 D - South Bank Avenue'!$A$12:$A$130,"&gt;="&amp;Diagram!$O84,'J1 D - South Bank Avenue'!$A$12:$A$130,"&lt;"&amp;Diagram!$P84),SUMIFS(INDIRECT(ADDRESS(12,3+18*2+(12),,,"J1 D - South Bank Avenue")&amp;":"&amp;ADDRESS(130,3+18*2+(12))),'J1 D - South Bank Avenue'!$A$12:$A$130,"&gt;="&amp;Diagram!$O84,'J1 D - South Bank Avenue'!$A$12:$A$130,"&lt;"&amp;Diagram!$P84)))</f>
        <v>0</v>
      </c>
      <c r="CX84" s="42">
        <f ca="1">IF(OR($I$10="",$O84="",$P84="",$J$39&lt;&gt;"Yes"),0,IF($K$10=0,SUMIFS(INDIRECT(ADDRESS(12,3+18*3+(4),,,"J1 D - South Bank Avenue")&amp;":"&amp;ADDRESS(130,3+18*3+(4))),'J1 D - South Bank Avenue'!$A$12:$A$130,"&gt;="&amp;Diagram!$O84,'J1 D - South Bank Avenue'!$A$12:$A$130,"&lt;"&amp;Diagram!$P84),SUMIFS(INDIRECT(ADDRESS(12,3+18*3+(12),,,"J1 D - South Bank Avenue")&amp;":"&amp;ADDRESS(130,3+18*3+(12))),'J1 D - South Bank Avenue'!$A$12:$A$130,"&gt;="&amp;Diagram!$O84,'J1 D - South Bank Avenue'!$A$12:$A$130,"&lt;"&amp;Diagram!$P84)))</f>
        <v>0</v>
      </c>
      <c r="CY84" s="42">
        <f t="shared" ca="1" si="16"/>
        <v>61</v>
      </c>
      <c r="CZ84" s="42">
        <f ca="1">IF(OR($I$10="",$O84="",$P84="",$J$40&lt;&gt;"Yes"),0,IF($K$10=0,SUMIFS(INDIRECT(ADDRESS(12,3+18*3+(5),,,"J1 A - (North) Bishopthorpe Roa")&amp;":"&amp;ADDRESS(130,3+18*3+(5))),'J1 A - (North) Bishopthorpe Roa'!$A$12:$A$130,"&gt;="&amp;Diagram!$O84,'J1 A - (North) Bishopthorpe Roa'!$A$12:$A$130,"&lt;"&amp;Diagram!$P84),SUMIFS(INDIRECT(ADDRESS(12,3+18*3+(13),,,"J1 A - (North) Bishopthorpe Roa")&amp;":"&amp;ADDRESS(130,3+18*3+(13))),'J1 A - (North) Bishopthorpe Roa'!$A$12:$A$130,"&gt;="&amp;Diagram!$O84,'J1 A - (North) Bishopthorpe Roa'!$A$12:$A$130,"&lt;"&amp;Diagram!$P84)))</f>
        <v>0</v>
      </c>
      <c r="DA84" s="42">
        <f ca="1">IF(OR($I$10="",$O84="",$P84="",$J$40&lt;&gt;"Yes"),0,IF($K$10=0,SUMIFS(INDIRECT(ADDRESS(12,3+18*0+(5),,,"J1 A - (North) Bishopthorpe Roa")&amp;":"&amp;ADDRESS(130,3+18*0+(5))),'J1 A - (North) Bishopthorpe Roa'!$A$12:$A$130,"&gt;="&amp;Diagram!$O84,'J1 A - (North) Bishopthorpe Roa'!$A$12:$A$130,"&lt;"&amp;Diagram!$P84),SUMIFS(INDIRECT(ADDRESS(12,3+18*0+(13),,,"J1 A - (North) Bishopthorpe Roa")&amp;":"&amp;ADDRESS(130,3+18*0+(13))),'J1 A - (North) Bishopthorpe Roa'!$A$12:$A$130,"&gt;="&amp;Diagram!$O84,'J1 A - (North) Bishopthorpe Roa'!$A$12:$A$130,"&lt;"&amp;Diagram!$P84)))</f>
        <v>3</v>
      </c>
      <c r="DB84" s="42">
        <f ca="1">IF(OR($I$10="",$O84="",$P84="",$J$40&lt;&gt;"Yes"),0,IF($K$10=0,SUMIFS(INDIRECT(ADDRESS(12,3+18*1+(5),,,"J1 A - (North) Bishopthorpe Roa")&amp;":"&amp;ADDRESS(130,3+18*1+(5))),'J1 A - (North) Bishopthorpe Roa'!$A$12:$A$130,"&gt;="&amp;Diagram!$O84,'J1 A - (North) Bishopthorpe Roa'!$A$12:$A$130,"&lt;"&amp;Diagram!$P84),SUMIFS(INDIRECT(ADDRESS(12,3+18*1+(13),,,"J1 A - (North) Bishopthorpe Roa")&amp;":"&amp;ADDRESS(130,3+18*1+(13))),'J1 A - (North) Bishopthorpe Roa'!$A$12:$A$130,"&gt;="&amp;Diagram!$O84,'J1 A - (North) Bishopthorpe Roa'!$A$12:$A$130,"&lt;"&amp;Diagram!$P84)))</f>
        <v>8</v>
      </c>
      <c r="DC84" s="42">
        <f ca="1">IF(OR($I$10="",$O84="",$P84="",$J$40&lt;&gt;"Yes"),0,IF($K$10=0,SUMIFS(INDIRECT(ADDRESS(12,3+18*2+(5),,,"J1 A - (North) Bishopthorpe Roa")&amp;":"&amp;ADDRESS(130,3+18*2+(5))),'J1 A - (North) Bishopthorpe Roa'!$A$12:$A$130,"&gt;="&amp;Diagram!$O84,'J1 A - (North) Bishopthorpe Roa'!$A$12:$A$130,"&lt;"&amp;Diagram!$P84),SUMIFS(INDIRECT(ADDRESS(12,3+18*2+(13),,,"J1 A - (North) Bishopthorpe Roa")&amp;":"&amp;ADDRESS(130,3+18*2+(13))),'J1 A - (North) Bishopthorpe Roa'!$A$12:$A$130,"&gt;="&amp;Diagram!$O84,'J1 A - (North) Bishopthorpe Roa'!$A$12:$A$130,"&lt;"&amp;Diagram!$P84)))</f>
        <v>3</v>
      </c>
      <c r="DD84" s="42">
        <f ca="1">IF(OR($I$10="",$O84="",$P84="",$J$40&lt;&gt;"Yes"),0,IF($K$10=0,SUMIFS(INDIRECT(ADDRESS(12,3+18*2+(5),,,"J1 B - Butcher Terrace")&amp;":"&amp;ADDRESS(130,3+18*2+(5))),'J1 B - Butcher Terrace'!$A$12:$A$130,"&gt;="&amp;Diagram!$O84,'J1 B - Butcher Terrace'!$A$12:$A$130,"&lt;"&amp;Diagram!$P84),SUMIFS(INDIRECT(ADDRESS(12,3+18*2+(13),,,"J1 B - Butcher Terrace")&amp;":"&amp;ADDRESS(130,3+18*2+(13))),'J1 B - Butcher Terrace'!$A$12:$A$130,"&gt;="&amp;Diagram!$O84,'J1 B - Butcher Terrace'!$A$12:$A$130,"&lt;"&amp;Diagram!$P84)))</f>
        <v>10</v>
      </c>
      <c r="DE84" s="42">
        <f ca="1">IF(OR($I$10="",$O84="",$P84="",$J$40&lt;&gt;"Yes"),0,IF($K$10=0,SUMIFS(INDIRECT(ADDRESS(12,3+18*3+(5),,,"J1 B - Butcher Terrace")&amp;":"&amp;ADDRESS(130,3+18*3+(5))),'J1 B - Butcher Terrace'!$A$12:$A$130,"&gt;="&amp;Diagram!$O84,'J1 B - Butcher Terrace'!$A$12:$A$130,"&lt;"&amp;Diagram!$P84),SUMIFS(INDIRECT(ADDRESS(12,3+18*3+(13),,,"J1 B - Butcher Terrace")&amp;":"&amp;ADDRESS(130,3+18*3+(13))),'J1 B - Butcher Terrace'!$A$12:$A$130,"&gt;="&amp;Diagram!$O84,'J1 B - Butcher Terrace'!$A$12:$A$130,"&lt;"&amp;Diagram!$P84)))</f>
        <v>0</v>
      </c>
      <c r="DF84" s="42">
        <f ca="1">IF(OR($I$10="",$O84="",$P84="",$J$40&lt;&gt;"Yes"),0,IF($K$10=0,SUMIFS(INDIRECT(ADDRESS(12,3+18*0+(5),,,"J1 B - Butcher Terrace")&amp;":"&amp;ADDRESS(130,3+18*0+(5))),'J1 B - Butcher Terrace'!$A$12:$A$130,"&gt;="&amp;Diagram!$O84,'J1 B - Butcher Terrace'!$A$12:$A$130,"&lt;"&amp;Diagram!$P84),SUMIFS(INDIRECT(ADDRESS(12,3+18*0+(13),,,"J1 B - Butcher Terrace")&amp;":"&amp;ADDRESS(130,3+18*0+(13))),'J1 B - Butcher Terrace'!$A$12:$A$130,"&gt;="&amp;Diagram!$O84,'J1 B - Butcher Terrace'!$A$12:$A$130,"&lt;"&amp;Diagram!$P84)))</f>
        <v>6</v>
      </c>
      <c r="DG84" s="42">
        <f ca="1">IF(OR($I$10="",$O84="",$P84="",$J$40&lt;&gt;"Yes"),0,IF($K$10=0,SUMIFS(INDIRECT(ADDRESS(12,3+18*1+(5),,,"J1 B - Butcher Terrace")&amp;":"&amp;ADDRESS(130,3+18*1+(5))),'J1 B - Butcher Terrace'!$A$12:$A$130,"&gt;="&amp;Diagram!$O84,'J1 B - Butcher Terrace'!$A$12:$A$130,"&lt;"&amp;Diagram!$P84),SUMIFS(INDIRECT(ADDRESS(12,3+18*1+(13),,,"J1 B - Butcher Terrace")&amp;":"&amp;ADDRESS(130,3+18*1+(13))),'J1 B - Butcher Terrace'!$A$12:$A$130,"&gt;="&amp;Diagram!$O84,'J1 B - Butcher Terrace'!$A$12:$A$130,"&lt;"&amp;Diagram!$P84)))</f>
        <v>16</v>
      </c>
      <c r="DH84" s="42">
        <f ca="1">IF(OR($I$10="",$O84="",$P84="",$J$40&lt;&gt;"Yes"),0,IF($K$10=0,SUMIFS(INDIRECT(ADDRESS(12,3+18*1+(5),,,"J1 C - (South) Bishopthorpe Roa")&amp;":"&amp;ADDRESS(130,3+18*1+(5))),'J1 C - (South) Bishopthorpe Roa'!$A$12:$A$130,"&gt;="&amp;Diagram!$O84,'J1 C - (South) Bishopthorpe Roa'!$A$12:$A$130,"&lt;"&amp;Diagram!$P84),SUMIFS(INDIRECT(ADDRESS(12,3+18*1+(13),,,"J1 C - (South) Bishopthorpe Roa")&amp;":"&amp;ADDRESS(130,3+18*1+(13))),'J1 C - (South) Bishopthorpe Roa'!$A$12:$A$130,"&gt;="&amp;Diagram!$O84,'J1 C - (South) Bishopthorpe Roa'!$A$12:$A$130,"&lt;"&amp;Diagram!$P84)))</f>
        <v>5</v>
      </c>
      <c r="DI84" s="42">
        <f ca="1">IF(OR($I$10="",$O84="",$P84="",$J$40&lt;&gt;"Yes"),0,IF($K$10=0,SUMIFS(INDIRECT(ADDRESS(12,3+18*2+(5),,,"J1 C - (South) Bishopthorpe Roa")&amp;":"&amp;ADDRESS(130,3+18*2+(5))),'J1 C - (South) Bishopthorpe Roa'!$A$12:$A$130,"&gt;="&amp;Diagram!$O84,'J1 C - (South) Bishopthorpe Roa'!$A$12:$A$130,"&lt;"&amp;Diagram!$P84),SUMIFS(INDIRECT(ADDRESS(12,3+18*2+(13),,,"J1 C - (South) Bishopthorpe Roa")&amp;":"&amp;ADDRESS(130,3+18*2+(13))),'J1 C - (South) Bishopthorpe Roa'!$A$12:$A$130,"&gt;="&amp;Diagram!$O84,'J1 C - (South) Bishopthorpe Roa'!$A$12:$A$130,"&lt;"&amp;Diagram!$P84)))</f>
        <v>2</v>
      </c>
      <c r="DJ84" s="42">
        <f ca="1">IF(OR($I$10="",$O84="",$P84="",$J$40&lt;&gt;"Yes"),0,IF($K$10=0,SUMIFS(INDIRECT(ADDRESS(12,3+18*3+(5),,,"J1 C - (South) Bishopthorpe Roa")&amp;":"&amp;ADDRESS(130,3+18*3+(5))),'J1 C - (South) Bishopthorpe Roa'!$A$12:$A$130,"&gt;="&amp;Diagram!$O84,'J1 C - (South) Bishopthorpe Roa'!$A$12:$A$130,"&lt;"&amp;Diagram!$P84),SUMIFS(INDIRECT(ADDRESS(12,3+18*3+(13),,,"J1 C - (South) Bishopthorpe Roa")&amp;":"&amp;ADDRESS(130,3+18*3+(13))),'J1 C - (South) Bishopthorpe Roa'!$A$12:$A$130,"&gt;="&amp;Diagram!$O84,'J1 C - (South) Bishopthorpe Roa'!$A$12:$A$130,"&lt;"&amp;Diagram!$P84)))</f>
        <v>0</v>
      </c>
      <c r="DK84" s="42">
        <f ca="1">IF(OR($I$10="",$O84="",$P84="",$J$40&lt;&gt;"Yes"),0,IF($K$10=0,SUMIFS(INDIRECT(ADDRESS(12,3+18*0+(5),,,"J1 C - (South) Bishopthorpe Roa")&amp;":"&amp;ADDRESS(130,3+18*0+(5))),'J1 C - (South) Bishopthorpe Roa'!$A$12:$A$130,"&gt;="&amp;Diagram!$O84,'J1 C - (South) Bishopthorpe Roa'!$A$12:$A$130,"&lt;"&amp;Diagram!$P84),SUMIFS(INDIRECT(ADDRESS(12,3+18*0+(13),,,"J1 C - (South) Bishopthorpe Roa")&amp;":"&amp;ADDRESS(130,3+18*0+(13))),'J1 C - (South) Bishopthorpe Roa'!$A$12:$A$130,"&gt;="&amp;Diagram!$O84,'J1 C - (South) Bishopthorpe Roa'!$A$12:$A$130,"&lt;"&amp;Diagram!$P84)))</f>
        <v>0</v>
      </c>
      <c r="DL84" s="42">
        <f ca="1">IF(OR($I$10="",$O84="",$P84="",$J$40&lt;&gt;"Yes"),0,IF($K$10=0,SUMIFS(INDIRECT(ADDRESS(12,3+18*0+(5),,,"J1 D - South Bank Avenue")&amp;":"&amp;ADDRESS(130,3+18*0+(5))),'J1 D - South Bank Avenue'!$A$12:$A$130,"&gt;="&amp;Diagram!$O84,'J1 D - South Bank Avenue'!$A$12:$A$130,"&lt;"&amp;Diagram!$P84),SUMIFS(INDIRECT(ADDRESS(12,3+18*0+(13),,,"J1 D - South Bank Avenue")&amp;":"&amp;ADDRESS(130,3+18*0+(13))),'J1 D - South Bank Avenue'!$A$12:$A$130,"&gt;="&amp;Diagram!$O84,'J1 D - South Bank Avenue'!$A$12:$A$130,"&lt;"&amp;Diagram!$P84)))</f>
        <v>0</v>
      </c>
      <c r="DM84" s="42">
        <f ca="1">IF(OR($I$10="",$O84="",$P84="",$J$40&lt;&gt;"Yes"),0,IF($K$10=0,SUMIFS(INDIRECT(ADDRESS(12,3+18*1+(5),,,"J1 D - South Bank Avenue")&amp;":"&amp;ADDRESS(130,3+18*1+(5))),'J1 D - South Bank Avenue'!$A$12:$A$130,"&gt;="&amp;Diagram!$O84,'J1 D - South Bank Avenue'!$A$12:$A$130,"&lt;"&amp;Diagram!$P84),SUMIFS(INDIRECT(ADDRESS(12,3+18*1+(13),,,"J1 D - South Bank Avenue")&amp;":"&amp;ADDRESS(130,3+18*1+(13))),'J1 D - South Bank Avenue'!$A$12:$A$130,"&gt;="&amp;Diagram!$O84,'J1 D - South Bank Avenue'!$A$12:$A$130,"&lt;"&amp;Diagram!$P84)))</f>
        <v>8</v>
      </c>
      <c r="DN84" s="42">
        <f ca="1">IF(OR($I$10="",$O84="",$P84="",$J$40&lt;&gt;"Yes"),0,IF($K$10=0,SUMIFS(INDIRECT(ADDRESS(12,3+18*2+(5),,,"J1 D - South Bank Avenue")&amp;":"&amp;ADDRESS(130,3+18*2+(5))),'J1 D - South Bank Avenue'!$A$12:$A$130,"&gt;="&amp;Diagram!$O84,'J1 D - South Bank Avenue'!$A$12:$A$130,"&lt;"&amp;Diagram!$P84),SUMIFS(INDIRECT(ADDRESS(12,3+18*2+(13),,,"J1 D - South Bank Avenue")&amp;":"&amp;ADDRESS(130,3+18*2+(13))),'J1 D - South Bank Avenue'!$A$12:$A$130,"&gt;="&amp;Diagram!$O84,'J1 D - South Bank Avenue'!$A$12:$A$130,"&lt;"&amp;Diagram!$P84)))</f>
        <v>0</v>
      </c>
      <c r="DO84" s="42">
        <f ca="1">IF(OR($I$10="",$O84="",$P84="",$J$40&lt;&gt;"Yes"),0,IF($K$10=0,SUMIFS(INDIRECT(ADDRESS(12,3+18*3+(5),,,"J1 D - South Bank Avenue")&amp;":"&amp;ADDRESS(130,3+18*3+(5))),'J1 D - South Bank Avenue'!$A$12:$A$130,"&gt;="&amp;Diagram!$O84,'J1 D - South Bank Avenue'!$A$12:$A$130,"&lt;"&amp;Diagram!$P84),SUMIFS(INDIRECT(ADDRESS(12,3+18*3+(13),,,"J1 D - South Bank Avenue")&amp;":"&amp;ADDRESS(130,3+18*3+(13))),'J1 D - South Bank Avenue'!$A$12:$A$130,"&gt;="&amp;Diagram!$O84,'J1 D - South Bank Avenue'!$A$12:$A$130,"&lt;"&amp;Diagram!$P84)))</f>
        <v>0</v>
      </c>
      <c r="DP84" s="42">
        <f t="shared" ca="1" si="17"/>
        <v>3</v>
      </c>
      <c r="DQ84" s="42">
        <f ca="1">IF(OR($I$10="",$O84="",$P84="",$J$41&lt;&gt;"Yes"),0,IF($K$10=0,SUMIFS(INDIRECT(ADDRESS(12,3+18*3+(6),,,"J1 A - (North) Bishopthorpe Roa")&amp;":"&amp;ADDRESS(130,3+18*3+(6))),'J1 A - (North) Bishopthorpe Roa'!$A$12:$A$130,"&gt;="&amp;Diagram!$O84,'J1 A - (North) Bishopthorpe Roa'!$A$12:$A$130,"&lt;"&amp;Diagram!$P84),SUMIFS(INDIRECT(ADDRESS(12,3+18*3+(14),,,"J1 A - (North) Bishopthorpe Roa")&amp;":"&amp;ADDRESS(130,3+18*3+(14))),'J1 A - (North) Bishopthorpe Roa'!$A$12:$A$130,"&gt;="&amp;Diagram!$O84,'J1 A - (North) Bishopthorpe Roa'!$A$12:$A$130,"&lt;"&amp;Diagram!$P84)))</f>
        <v>0</v>
      </c>
      <c r="DR84" s="42">
        <f ca="1">IF(OR($I$10="",$O84="",$P84="",$J$41&lt;&gt;"Yes"),0,IF($K$10=0,SUMIFS(INDIRECT(ADDRESS(12,3+18*0+(6),,,"J1 A - (North) Bishopthorpe Roa")&amp;":"&amp;ADDRESS(130,3+18*0+(6))),'J1 A - (North) Bishopthorpe Roa'!$A$12:$A$130,"&gt;="&amp;Diagram!$O84,'J1 A - (North) Bishopthorpe Roa'!$A$12:$A$130,"&lt;"&amp;Diagram!$P84),SUMIFS(INDIRECT(ADDRESS(12,3+18*0+(14),,,"J1 A - (North) Bishopthorpe Roa")&amp;":"&amp;ADDRESS(130,3+18*0+(14))),'J1 A - (North) Bishopthorpe Roa'!$A$12:$A$130,"&gt;="&amp;Diagram!$O84,'J1 A - (North) Bishopthorpe Roa'!$A$12:$A$130,"&lt;"&amp;Diagram!$P84)))</f>
        <v>0</v>
      </c>
      <c r="DS84" s="42">
        <f ca="1">IF(OR($I$10="",$O84="",$P84="",$J$41&lt;&gt;"Yes"),0,IF($K$10=0,SUMIFS(INDIRECT(ADDRESS(12,3+18*1+(6),,,"J1 A - (North) Bishopthorpe Roa")&amp;":"&amp;ADDRESS(130,3+18*1+(6))),'J1 A - (North) Bishopthorpe Roa'!$A$12:$A$130,"&gt;="&amp;Diagram!$O84,'J1 A - (North) Bishopthorpe Roa'!$A$12:$A$130,"&lt;"&amp;Diagram!$P84),SUMIFS(INDIRECT(ADDRESS(12,3+18*1+(14),,,"J1 A - (North) Bishopthorpe Roa")&amp;":"&amp;ADDRESS(130,3+18*1+(14))),'J1 A - (North) Bishopthorpe Roa'!$A$12:$A$130,"&gt;="&amp;Diagram!$O84,'J1 A - (North) Bishopthorpe Roa'!$A$12:$A$130,"&lt;"&amp;Diagram!$P84)))</f>
        <v>1</v>
      </c>
      <c r="DT84" s="42">
        <f ca="1">IF(OR($I$10="",$O84="",$P84="",$J$41&lt;&gt;"Yes"),0,IF($K$10=0,SUMIFS(INDIRECT(ADDRESS(12,3+18*2+(6),,,"J1 A - (North) Bishopthorpe Roa")&amp;":"&amp;ADDRESS(130,3+18*2+(6))),'J1 A - (North) Bishopthorpe Roa'!$A$12:$A$130,"&gt;="&amp;Diagram!$O84,'J1 A - (North) Bishopthorpe Roa'!$A$12:$A$130,"&lt;"&amp;Diagram!$P84),SUMIFS(INDIRECT(ADDRESS(12,3+18*2+(14),,,"J1 A - (North) Bishopthorpe Roa")&amp;":"&amp;ADDRESS(130,3+18*2+(14))),'J1 A - (North) Bishopthorpe Roa'!$A$12:$A$130,"&gt;="&amp;Diagram!$O84,'J1 A - (North) Bishopthorpe Roa'!$A$12:$A$130,"&lt;"&amp;Diagram!$P84)))</f>
        <v>1</v>
      </c>
      <c r="DU84" s="42">
        <f ca="1">IF(OR($I$10="",$O84="",$P84="",$J$41&lt;&gt;"Yes"),0,IF($K$10=0,SUMIFS(INDIRECT(ADDRESS(12,3+18*2+(6),,,"J1 B - Butcher Terrace")&amp;":"&amp;ADDRESS(130,3+18*2+(6))),'J1 B - Butcher Terrace'!$A$12:$A$130,"&gt;="&amp;Diagram!$O84,'J1 B - Butcher Terrace'!$A$12:$A$130,"&lt;"&amp;Diagram!$P84),SUMIFS(INDIRECT(ADDRESS(12,3+18*2+(14),,,"J1 B - Butcher Terrace")&amp;":"&amp;ADDRESS(130,3+18*2+(14))),'J1 B - Butcher Terrace'!$A$12:$A$130,"&gt;="&amp;Diagram!$O84,'J1 B - Butcher Terrace'!$A$12:$A$130,"&lt;"&amp;Diagram!$P84)))</f>
        <v>0</v>
      </c>
      <c r="DV84" s="42">
        <f ca="1">IF(OR($I$10="",$O84="",$P84="",$J$41&lt;&gt;"Yes"),0,IF($K$10=0,SUMIFS(INDIRECT(ADDRESS(12,3+18*3+(6),,,"J1 B - Butcher Terrace")&amp;":"&amp;ADDRESS(130,3+18*3+(6))),'J1 B - Butcher Terrace'!$A$12:$A$130,"&gt;="&amp;Diagram!$O84,'J1 B - Butcher Terrace'!$A$12:$A$130,"&lt;"&amp;Diagram!$P84),SUMIFS(INDIRECT(ADDRESS(12,3+18*3+(14),,,"J1 B - Butcher Terrace")&amp;":"&amp;ADDRESS(130,3+18*3+(14))),'J1 B - Butcher Terrace'!$A$12:$A$130,"&gt;="&amp;Diagram!$O84,'J1 B - Butcher Terrace'!$A$12:$A$130,"&lt;"&amp;Diagram!$P84)))</f>
        <v>0</v>
      </c>
      <c r="DW84" s="42">
        <f ca="1">IF(OR($I$10="",$O84="",$P84="",$J$41&lt;&gt;"Yes"),0,IF($K$10=0,SUMIFS(INDIRECT(ADDRESS(12,3+18*0+(6),,,"J1 B - Butcher Terrace")&amp;":"&amp;ADDRESS(130,3+18*0+(6))),'J1 B - Butcher Terrace'!$A$12:$A$130,"&gt;="&amp;Diagram!$O84,'J1 B - Butcher Terrace'!$A$12:$A$130,"&lt;"&amp;Diagram!$P84),SUMIFS(INDIRECT(ADDRESS(12,3+18*0+(14),,,"J1 B - Butcher Terrace")&amp;":"&amp;ADDRESS(130,3+18*0+(14))),'J1 B - Butcher Terrace'!$A$12:$A$130,"&gt;="&amp;Diagram!$O84,'J1 B - Butcher Terrace'!$A$12:$A$130,"&lt;"&amp;Diagram!$P84)))</f>
        <v>0</v>
      </c>
      <c r="DX84" s="42">
        <f ca="1">IF(OR($I$10="",$O84="",$P84="",$J$41&lt;&gt;"Yes"),0,IF($K$10=0,SUMIFS(INDIRECT(ADDRESS(12,3+18*1+(6),,,"J1 B - Butcher Terrace")&amp;":"&amp;ADDRESS(130,3+18*1+(6))),'J1 B - Butcher Terrace'!$A$12:$A$130,"&gt;="&amp;Diagram!$O84,'J1 B - Butcher Terrace'!$A$12:$A$130,"&lt;"&amp;Diagram!$P84),SUMIFS(INDIRECT(ADDRESS(12,3+18*1+(14),,,"J1 B - Butcher Terrace")&amp;":"&amp;ADDRESS(130,3+18*1+(14))),'J1 B - Butcher Terrace'!$A$12:$A$130,"&gt;="&amp;Diagram!$O84,'J1 B - Butcher Terrace'!$A$12:$A$130,"&lt;"&amp;Diagram!$P84)))</f>
        <v>0</v>
      </c>
      <c r="DY84" s="42">
        <f ca="1">IF(OR($I$10="",$O84="",$P84="",$J$41&lt;&gt;"Yes"),0,IF($K$10=0,SUMIFS(INDIRECT(ADDRESS(12,3+18*1+(6),,,"J1 C - (South) Bishopthorpe Roa")&amp;":"&amp;ADDRESS(130,3+18*1+(6))),'J1 C - (South) Bishopthorpe Roa'!$A$12:$A$130,"&gt;="&amp;Diagram!$O84,'J1 C - (South) Bishopthorpe Roa'!$A$12:$A$130,"&lt;"&amp;Diagram!$P84),SUMIFS(INDIRECT(ADDRESS(12,3+18*1+(14),,,"J1 C - (South) Bishopthorpe Roa")&amp;":"&amp;ADDRESS(130,3+18*1+(14))),'J1 C - (South) Bishopthorpe Roa'!$A$12:$A$130,"&gt;="&amp;Diagram!$O84,'J1 C - (South) Bishopthorpe Roa'!$A$12:$A$130,"&lt;"&amp;Diagram!$P84)))</f>
        <v>0</v>
      </c>
      <c r="DZ84" s="42">
        <f ca="1">IF(OR($I$10="",$O84="",$P84="",$J$41&lt;&gt;"Yes"),0,IF($K$10=0,SUMIFS(INDIRECT(ADDRESS(12,3+18*2+(6),,,"J1 C - (South) Bishopthorpe Roa")&amp;":"&amp;ADDRESS(130,3+18*2+(6))),'J1 C - (South) Bishopthorpe Roa'!$A$12:$A$130,"&gt;="&amp;Diagram!$O84,'J1 C - (South) Bishopthorpe Roa'!$A$12:$A$130,"&lt;"&amp;Diagram!$P84),SUMIFS(INDIRECT(ADDRESS(12,3+18*2+(14),,,"J1 C - (South) Bishopthorpe Roa")&amp;":"&amp;ADDRESS(130,3+18*2+(14))),'J1 C - (South) Bishopthorpe Roa'!$A$12:$A$130,"&gt;="&amp;Diagram!$O84,'J1 C - (South) Bishopthorpe Roa'!$A$12:$A$130,"&lt;"&amp;Diagram!$P84)))</f>
        <v>0</v>
      </c>
      <c r="EA84" s="42">
        <f ca="1">IF(OR($I$10="",$O84="",$P84="",$J$41&lt;&gt;"Yes"),0,IF($K$10=0,SUMIFS(INDIRECT(ADDRESS(12,3+18*3+(6),,,"J1 C - (South) Bishopthorpe Roa")&amp;":"&amp;ADDRESS(130,3+18*3+(6))),'J1 C - (South) Bishopthorpe Roa'!$A$12:$A$130,"&gt;="&amp;Diagram!$O84,'J1 C - (South) Bishopthorpe Roa'!$A$12:$A$130,"&lt;"&amp;Diagram!$P84),SUMIFS(INDIRECT(ADDRESS(12,3+18*3+(14),,,"J1 C - (South) Bishopthorpe Roa")&amp;":"&amp;ADDRESS(130,3+18*3+(14))),'J1 C - (South) Bishopthorpe Roa'!$A$12:$A$130,"&gt;="&amp;Diagram!$O84,'J1 C - (South) Bishopthorpe Roa'!$A$12:$A$130,"&lt;"&amp;Diagram!$P84)))</f>
        <v>0</v>
      </c>
      <c r="EB84" s="42">
        <f ca="1">IF(OR($I$10="",$O84="",$P84="",$J$41&lt;&gt;"Yes"),0,IF($K$10=0,SUMIFS(INDIRECT(ADDRESS(12,3+18*0+(6),,,"J1 C - (South) Bishopthorpe Roa")&amp;":"&amp;ADDRESS(130,3+18*0+(6))),'J1 C - (South) Bishopthorpe Roa'!$A$12:$A$130,"&gt;="&amp;Diagram!$O84,'J1 C - (South) Bishopthorpe Roa'!$A$12:$A$130,"&lt;"&amp;Diagram!$P84),SUMIFS(INDIRECT(ADDRESS(12,3+18*0+(14),,,"J1 C - (South) Bishopthorpe Roa")&amp;":"&amp;ADDRESS(130,3+18*0+(14))),'J1 C - (South) Bishopthorpe Roa'!$A$12:$A$130,"&gt;="&amp;Diagram!$O84,'J1 C - (South) Bishopthorpe Roa'!$A$12:$A$130,"&lt;"&amp;Diagram!$P84)))</f>
        <v>0</v>
      </c>
      <c r="EC84" s="42">
        <f ca="1">IF(OR($I$10="",$O84="",$P84="",$J$41&lt;&gt;"Yes"),0,IF($K$10=0,SUMIFS(INDIRECT(ADDRESS(12,3+18*0+(6),,,"J1 D - South Bank Avenue")&amp;":"&amp;ADDRESS(130,3+18*0+(6))),'J1 D - South Bank Avenue'!$A$12:$A$130,"&gt;="&amp;Diagram!$O84,'J1 D - South Bank Avenue'!$A$12:$A$130,"&lt;"&amp;Diagram!$P84),SUMIFS(INDIRECT(ADDRESS(12,3+18*0+(14),,,"J1 D - South Bank Avenue")&amp;":"&amp;ADDRESS(130,3+18*0+(14))),'J1 D - South Bank Avenue'!$A$12:$A$130,"&gt;="&amp;Diagram!$O84,'J1 D - South Bank Avenue'!$A$12:$A$130,"&lt;"&amp;Diagram!$P84)))</f>
        <v>1</v>
      </c>
      <c r="ED84" s="42">
        <f ca="1">IF(OR($I$10="",$O84="",$P84="",$J$41&lt;&gt;"Yes"),0,IF($K$10=0,SUMIFS(INDIRECT(ADDRESS(12,3+18*1+(6),,,"J1 D - South Bank Avenue")&amp;":"&amp;ADDRESS(130,3+18*1+(6))),'J1 D - South Bank Avenue'!$A$12:$A$130,"&gt;="&amp;Diagram!$O84,'J1 D - South Bank Avenue'!$A$12:$A$130,"&lt;"&amp;Diagram!$P84),SUMIFS(INDIRECT(ADDRESS(12,3+18*1+(14),,,"J1 D - South Bank Avenue")&amp;":"&amp;ADDRESS(130,3+18*1+(14))),'J1 D - South Bank Avenue'!$A$12:$A$130,"&gt;="&amp;Diagram!$O84,'J1 D - South Bank Avenue'!$A$12:$A$130,"&lt;"&amp;Diagram!$P84)))</f>
        <v>0</v>
      </c>
      <c r="EE84" s="42">
        <f ca="1">IF(OR($I$10="",$O84="",$P84="",$J$41&lt;&gt;"Yes"),0,IF($K$10=0,SUMIFS(INDIRECT(ADDRESS(12,3+18*2+(6),,,"J1 D - South Bank Avenue")&amp;":"&amp;ADDRESS(130,3+18*2+(6))),'J1 D - South Bank Avenue'!$A$12:$A$130,"&gt;="&amp;Diagram!$O84,'J1 D - South Bank Avenue'!$A$12:$A$130,"&lt;"&amp;Diagram!$P84),SUMIFS(INDIRECT(ADDRESS(12,3+18*2+(14),,,"J1 D - South Bank Avenue")&amp;":"&amp;ADDRESS(130,3+18*2+(14))),'J1 D - South Bank Avenue'!$A$12:$A$130,"&gt;="&amp;Diagram!$O84,'J1 D - South Bank Avenue'!$A$12:$A$130,"&lt;"&amp;Diagram!$P84)))</f>
        <v>0</v>
      </c>
      <c r="EF84" s="42">
        <f ca="1">IF(OR($I$10="",$O84="",$P84="",$J$41&lt;&gt;"Yes"),0,IF($K$10=0,SUMIFS(INDIRECT(ADDRESS(12,3+18*3+(6),,,"J1 D - South Bank Avenue")&amp;":"&amp;ADDRESS(130,3+18*3+(6))),'J1 D - South Bank Avenue'!$A$12:$A$130,"&gt;="&amp;Diagram!$O84,'J1 D - South Bank Avenue'!$A$12:$A$130,"&lt;"&amp;Diagram!$P84),SUMIFS(INDIRECT(ADDRESS(12,3+18*3+(14),,,"J1 D - South Bank Avenue")&amp;":"&amp;ADDRESS(130,3+18*3+(14))),'J1 D - South Bank Avenue'!$A$12:$A$130,"&gt;="&amp;Diagram!$O84,'J1 D - South Bank Avenue'!$A$12:$A$130,"&lt;"&amp;Diagram!$P84)))</f>
        <v>0</v>
      </c>
      <c r="EG84" s="42">
        <f t="shared" ca="1" si="18"/>
        <v>0</v>
      </c>
      <c r="EH84" s="42">
        <f ca="1">IF(OR($I$10="",$O84="",$P84="",$J$42&lt;&gt;"Yes"),0,IF($K$10=0,SUMIFS(INDIRECT(ADDRESS(12,3+18*3+(7),,,"J1 A - (North) Bishopthorpe Roa")&amp;":"&amp;ADDRESS(130,3+18*3+(7))),'J1 A - (North) Bishopthorpe Roa'!$A$12:$A$130,"&gt;="&amp;Diagram!$O84,'J1 A - (North) Bishopthorpe Roa'!$A$12:$A$130,"&lt;"&amp;Diagram!$P84),SUMIFS(INDIRECT(ADDRESS(12,3+18*3+(15),,,"J1 A - (North) Bishopthorpe Roa")&amp;":"&amp;ADDRESS(130,3+18*3+(15))),'J1 A - (North) Bishopthorpe Roa'!$A$12:$A$130,"&gt;="&amp;Diagram!$O84,'J1 A - (North) Bishopthorpe Roa'!$A$12:$A$130,"&lt;"&amp;Diagram!$P84)))</f>
        <v>0</v>
      </c>
      <c r="EI84" s="42">
        <f ca="1">IF(OR($I$10="",$O84="",$P84="",$J$42&lt;&gt;"Yes"),0,IF($K$10=0,SUMIFS(INDIRECT(ADDRESS(12,3+18*0+(7),,,"J1 A - (North) Bishopthorpe Roa")&amp;":"&amp;ADDRESS(130,3+18*0+(7))),'J1 A - (North) Bishopthorpe Roa'!$A$12:$A$130,"&gt;="&amp;Diagram!$O84,'J1 A - (North) Bishopthorpe Roa'!$A$12:$A$130,"&lt;"&amp;Diagram!$P84),SUMIFS(INDIRECT(ADDRESS(12,3+18*0+(15),,,"J1 A - (North) Bishopthorpe Roa")&amp;":"&amp;ADDRESS(130,3+18*0+(15))),'J1 A - (North) Bishopthorpe Roa'!$A$12:$A$130,"&gt;="&amp;Diagram!$O84,'J1 A - (North) Bishopthorpe Roa'!$A$12:$A$130,"&lt;"&amp;Diagram!$P84)))</f>
        <v>0</v>
      </c>
      <c r="EJ84" s="42">
        <f ca="1">IF(OR($I$10="",$O84="",$P84="",$J$42&lt;&gt;"Yes"),0,IF($K$10=0,SUMIFS(INDIRECT(ADDRESS(12,3+18*1+(7),,,"J1 A - (North) Bishopthorpe Roa")&amp;":"&amp;ADDRESS(130,3+18*1+(7))),'J1 A - (North) Bishopthorpe Roa'!$A$12:$A$130,"&gt;="&amp;Diagram!$O84,'J1 A - (North) Bishopthorpe Roa'!$A$12:$A$130,"&lt;"&amp;Diagram!$P84),SUMIFS(INDIRECT(ADDRESS(12,3+18*1+(15),,,"J1 A - (North) Bishopthorpe Roa")&amp;":"&amp;ADDRESS(130,3+18*1+(15))),'J1 A - (North) Bishopthorpe Roa'!$A$12:$A$130,"&gt;="&amp;Diagram!$O84,'J1 A - (North) Bishopthorpe Roa'!$A$12:$A$130,"&lt;"&amp;Diagram!$P84)))</f>
        <v>0</v>
      </c>
      <c r="EK84" s="42">
        <f ca="1">IF(OR($I$10="",$O84="",$P84="",$J$42&lt;&gt;"Yes"),0,IF($K$10=0,SUMIFS(INDIRECT(ADDRESS(12,3+18*2+(7),,,"J1 A - (North) Bishopthorpe Roa")&amp;":"&amp;ADDRESS(130,3+18*2+(7))),'J1 A - (North) Bishopthorpe Roa'!$A$12:$A$130,"&gt;="&amp;Diagram!$O84,'J1 A - (North) Bishopthorpe Roa'!$A$12:$A$130,"&lt;"&amp;Diagram!$P84),SUMIFS(INDIRECT(ADDRESS(12,3+18*2+(15),,,"J1 A - (North) Bishopthorpe Roa")&amp;":"&amp;ADDRESS(130,3+18*2+(15))),'J1 A - (North) Bishopthorpe Roa'!$A$12:$A$130,"&gt;="&amp;Diagram!$O84,'J1 A - (North) Bishopthorpe Roa'!$A$12:$A$130,"&lt;"&amp;Diagram!$P84)))</f>
        <v>0</v>
      </c>
      <c r="EL84" s="42">
        <f ca="1">IF(OR($I$10="",$O84="",$P84="",$J$42&lt;&gt;"Yes"),0,IF($K$10=0,SUMIFS(INDIRECT(ADDRESS(12,3+18*2+(7),,,"J1 B - Butcher Terrace")&amp;":"&amp;ADDRESS(130,3+18*2+(7))),'J1 B - Butcher Terrace'!$A$12:$A$130,"&gt;="&amp;Diagram!$O84,'J1 B - Butcher Terrace'!$A$12:$A$130,"&lt;"&amp;Diagram!$P84),SUMIFS(INDIRECT(ADDRESS(12,3+18*2+(15),,,"J1 B - Butcher Terrace")&amp;":"&amp;ADDRESS(130,3+18*2+(15))),'J1 B - Butcher Terrace'!$A$12:$A$130,"&gt;="&amp;Diagram!$O84,'J1 B - Butcher Terrace'!$A$12:$A$130,"&lt;"&amp;Diagram!$P84)))</f>
        <v>0</v>
      </c>
      <c r="EM84" s="42">
        <f ca="1">IF(OR($I$10="",$O84="",$P84="",$J$42&lt;&gt;"Yes"),0,IF($K$10=0,SUMIFS(INDIRECT(ADDRESS(12,3+18*3+(7),,,"J1 B - Butcher Terrace")&amp;":"&amp;ADDRESS(130,3+18*3+(7))),'J1 B - Butcher Terrace'!$A$12:$A$130,"&gt;="&amp;Diagram!$O84,'J1 B - Butcher Terrace'!$A$12:$A$130,"&lt;"&amp;Diagram!$P84),SUMIFS(INDIRECT(ADDRESS(12,3+18*3+(15),,,"J1 B - Butcher Terrace")&amp;":"&amp;ADDRESS(130,3+18*3+(15))),'J1 B - Butcher Terrace'!$A$12:$A$130,"&gt;="&amp;Diagram!$O84,'J1 B - Butcher Terrace'!$A$12:$A$130,"&lt;"&amp;Diagram!$P84)))</f>
        <v>0</v>
      </c>
      <c r="EN84" s="42">
        <f ca="1">IF(OR($I$10="",$O84="",$P84="",$J$42&lt;&gt;"Yes"),0,IF($K$10=0,SUMIFS(INDIRECT(ADDRESS(12,3+18*0+(7),,,"J1 B - Butcher Terrace")&amp;":"&amp;ADDRESS(130,3+18*0+(7))),'J1 B - Butcher Terrace'!$A$12:$A$130,"&gt;="&amp;Diagram!$O84,'J1 B - Butcher Terrace'!$A$12:$A$130,"&lt;"&amp;Diagram!$P84),SUMIFS(INDIRECT(ADDRESS(12,3+18*0+(15),,,"J1 B - Butcher Terrace")&amp;":"&amp;ADDRESS(130,3+18*0+(15))),'J1 B - Butcher Terrace'!$A$12:$A$130,"&gt;="&amp;Diagram!$O84,'J1 B - Butcher Terrace'!$A$12:$A$130,"&lt;"&amp;Diagram!$P84)))</f>
        <v>0</v>
      </c>
      <c r="EO84" s="42">
        <f ca="1">IF(OR($I$10="",$O84="",$P84="",$J$42&lt;&gt;"Yes"),0,IF($K$10=0,SUMIFS(INDIRECT(ADDRESS(12,3+18*1+(7),,,"J1 B - Butcher Terrace")&amp;":"&amp;ADDRESS(130,3+18*1+(7))),'J1 B - Butcher Terrace'!$A$12:$A$130,"&gt;="&amp;Diagram!$O84,'J1 B - Butcher Terrace'!$A$12:$A$130,"&lt;"&amp;Diagram!$P84),SUMIFS(INDIRECT(ADDRESS(12,3+18*1+(15),,,"J1 B - Butcher Terrace")&amp;":"&amp;ADDRESS(130,3+18*1+(15))),'J1 B - Butcher Terrace'!$A$12:$A$130,"&gt;="&amp;Diagram!$O84,'J1 B - Butcher Terrace'!$A$12:$A$130,"&lt;"&amp;Diagram!$P84)))</f>
        <v>0</v>
      </c>
      <c r="EP84" s="42">
        <f ca="1">IF(OR($I$10="",$O84="",$P84="",$J$42&lt;&gt;"Yes"),0,IF($K$10=0,SUMIFS(INDIRECT(ADDRESS(12,3+18*1+(7),,,"J1 C - (South) Bishopthorpe Roa")&amp;":"&amp;ADDRESS(130,3+18*1+(7))),'J1 C - (South) Bishopthorpe Roa'!$A$12:$A$130,"&gt;="&amp;Diagram!$O84,'J1 C - (South) Bishopthorpe Roa'!$A$12:$A$130,"&lt;"&amp;Diagram!$P84),SUMIFS(INDIRECT(ADDRESS(12,3+18*1+(15),,,"J1 C - (South) Bishopthorpe Roa")&amp;":"&amp;ADDRESS(130,3+18*1+(15))),'J1 C - (South) Bishopthorpe Roa'!$A$12:$A$130,"&gt;="&amp;Diagram!$O84,'J1 C - (South) Bishopthorpe Roa'!$A$12:$A$130,"&lt;"&amp;Diagram!$P84)))</f>
        <v>0</v>
      </c>
      <c r="EQ84" s="42">
        <f ca="1">IF(OR($I$10="",$O84="",$P84="",$J$42&lt;&gt;"Yes"),0,IF($K$10=0,SUMIFS(INDIRECT(ADDRESS(12,3+18*2+(7),,,"J1 C - (South) Bishopthorpe Roa")&amp;":"&amp;ADDRESS(130,3+18*2+(7))),'J1 C - (South) Bishopthorpe Roa'!$A$12:$A$130,"&gt;="&amp;Diagram!$O84,'J1 C - (South) Bishopthorpe Roa'!$A$12:$A$130,"&lt;"&amp;Diagram!$P84),SUMIFS(INDIRECT(ADDRESS(12,3+18*2+(15),,,"J1 C - (South) Bishopthorpe Roa")&amp;":"&amp;ADDRESS(130,3+18*2+(15))),'J1 C - (South) Bishopthorpe Roa'!$A$12:$A$130,"&gt;="&amp;Diagram!$O84,'J1 C - (South) Bishopthorpe Roa'!$A$12:$A$130,"&lt;"&amp;Diagram!$P84)))</f>
        <v>0</v>
      </c>
      <c r="ER84" s="42">
        <f ca="1">IF(OR($I$10="",$O84="",$P84="",$J$42&lt;&gt;"Yes"),0,IF($K$10=0,SUMIFS(INDIRECT(ADDRESS(12,3+18*3+(7),,,"J1 C - (South) Bishopthorpe Roa")&amp;":"&amp;ADDRESS(130,3+18*3+(7))),'J1 C - (South) Bishopthorpe Roa'!$A$12:$A$130,"&gt;="&amp;Diagram!$O84,'J1 C - (South) Bishopthorpe Roa'!$A$12:$A$130,"&lt;"&amp;Diagram!$P84),SUMIFS(INDIRECT(ADDRESS(12,3+18*3+(15),,,"J1 C - (South) Bishopthorpe Roa")&amp;":"&amp;ADDRESS(130,3+18*3+(15))),'J1 C - (South) Bishopthorpe Roa'!$A$12:$A$130,"&gt;="&amp;Diagram!$O84,'J1 C - (South) Bishopthorpe Roa'!$A$12:$A$130,"&lt;"&amp;Diagram!$P84)))</f>
        <v>0</v>
      </c>
      <c r="ES84" s="42">
        <f ca="1">IF(OR($I$10="",$O84="",$P84="",$J$42&lt;&gt;"Yes"),0,IF($K$10=0,SUMIFS(INDIRECT(ADDRESS(12,3+18*0+(7),,,"J1 C - (South) Bishopthorpe Roa")&amp;":"&amp;ADDRESS(130,3+18*0+(7))),'J1 C - (South) Bishopthorpe Roa'!$A$12:$A$130,"&gt;="&amp;Diagram!$O84,'J1 C - (South) Bishopthorpe Roa'!$A$12:$A$130,"&lt;"&amp;Diagram!$P84),SUMIFS(INDIRECT(ADDRESS(12,3+18*0+(15),,,"J1 C - (South) Bishopthorpe Roa")&amp;":"&amp;ADDRESS(130,3+18*0+(15))),'J1 C - (South) Bishopthorpe Roa'!$A$12:$A$130,"&gt;="&amp;Diagram!$O84,'J1 C - (South) Bishopthorpe Roa'!$A$12:$A$130,"&lt;"&amp;Diagram!$P84)))</f>
        <v>0</v>
      </c>
      <c r="ET84" s="42">
        <f ca="1">IF(OR($I$10="",$O84="",$P84="",$J$42&lt;&gt;"Yes"),0,IF($K$10=0,SUMIFS(INDIRECT(ADDRESS(12,3+18*0+(7),,,"J1 D - South Bank Avenue")&amp;":"&amp;ADDRESS(130,3+18*0+(7))),'J1 D - South Bank Avenue'!$A$12:$A$130,"&gt;="&amp;Diagram!$O84,'J1 D - South Bank Avenue'!$A$12:$A$130,"&lt;"&amp;Diagram!$P84),SUMIFS(INDIRECT(ADDRESS(12,3+18*0+(15),,,"J1 D - South Bank Avenue")&amp;":"&amp;ADDRESS(130,3+18*0+(15))),'J1 D - South Bank Avenue'!$A$12:$A$130,"&gt;="&amp;Diagram!$O84,'J1 D - South Bank Avenue'!$A$12:$A$130,"&lt;"&amp;Diagram!$P84)))</f>
        <v>0</v>
      </c>
      <c r="EU84" s="42">
        <f ca="1">IF(OR($I$10="",$O84="",$P84="",$J$42&lt;&gt;"Yes"),0,IF($K$10=0,SUMIFS(INDIRECT(ADDRESS(12,3+18*1+(7),,,"J1 D - South Bank Avenue")&amp;":"&amp;ADDRESS(130,3+18*1+(7))),'J1 D - South Bank Avenue'!$A$12:$A$130,"&gt;="&amp;Diagram!$O84,'J1 D - South Bank Avenue'!$A$12:$A$130,"&lt;"&amp;Diagram!$P84),SUMIFS(INDIRECT(ADDRESS(12,3+18*1+(15),,,"J1 D - South Bank Avenue")&amp;":"&amp;ADDRESS(130,3+18*1+(15))),'J1 D - South Bank Avenue'!$A$12:$A$130,"&gt;="&amp;Diagram!$O84,'J1 D - South Bank Avenue'!$A$12:$A$130,"&lt;"&amp;Diagram!$P84)))</f>
        <v>0</v>
      </c>
      <c r="EV84" s="42">
        <f ca="1">IF(OR($I$10="",$O84="",$P84="",$J$42&lt;&gt;"Yes"),0,IF($K$10=0,SUMIFS(INDIRECT(ADDRESS(12,3+18*2+(7),,,"J1 D - South Bank Avenue")&amp;":"&amp;ADDRESS(130,3+18*2+(7))),'J1 D - South Bank Avenue'!$A$12:$A$130,"&gt;="&amp;Diagram!$O84,'J1 D - South Bank Avenue'!$A$12:$A$130,"&lt;"&amp;Diagram!$P84),SUMIFS(INDIRECT(ADDRESS(12,3+18*2+(15),,,"J1 D - South Bank Avenue")&amp;":"&amp;ADDRESS(130,3+18*2+(15))),'J1 D - South Bank Avenue'!$A$12:$A$130,"&gt;="&amp;Diagram!$O84,'J1 D - South Bank Avenue'!$A$12:$A$130,"&lt;"&amp;Diagram!$P84)))</f>
        <v>0</v>
      </c>
      <c r="EW84" s="42">
        <f ca="1">IF(OR($I$10="",$O84="",$P84="",$J$42&lt;&gt;"Yes"),0,IF($K$10=0,SUMIFS(INDIRECT(ADDRESS(12,3+18*3+(7),,,"J1 D - South Bank Avenue")&amp;":"&amp;ADDRESS(130,3+18*3+(7))),'J1 D - South Bank Avenue'!$A$12:$A$130,"&gt;="&amp;Diagram!$O84,'J1 D - South Bank Avenue'!$A$12:$A$130,"&lt;"&amp;Diagram!$P84),SUMIFS(INDIRECT(ADDRESS(12,3+18*3+(15),,,"J1 D - South Bank Avenue")&amp;":"&amp;ADDRESS(130,3+18*3+(15))),'J1 D - South Bank Avenue'!$A$12:$A$130,"&gt;="&amp;Diagram!$O84,'J1 D - South Bank Avenue'!$A$12:$A$130,"&lt;"&amp;Diagram!$P84)))</f>
        <v>0</v>
      </c>
    </row>
    <row r="85" spans="1:153">
      <c r="A85" s="1">
        <v>44395.875</v>
      </c>
      <c r="B85" s="1">
        <v>44395.885416666701</v>
      </c>
      <c r="O85" s="3">
        <v>44395.875</v>
      </c>
      <c r="P85" s="3">
        <v>44395.916666666701</v>
      </c>
      <c r="Q85" s="42">
        <f t="shared" ca="1" si="10"/>
        <v>321</v>
      </c>
      <c r="R85" s="42">
        <f t="shared" ca="1" si="11"/>
        <v>244</v>
      </c>
      <c r="S85" s="42">
        <f ca="1">IF(OR($I$10="",$O85="",$P85="",$J$35&lt;&gt;"Yes"),0,IF($K$10=0,SUMIFS(INDIRECT(ADDRESS(12,3+18*3+(0),,,"J1 A - (North) Bishopthorpe Roa")&amp;":"&amp;ADDRESS(130,3+18*3+(0))),'J1 A - (North) Bishopthorpe Roa'!$A$12:$A$130,"&gt;="&amp;Diagram!$O85,'J1 A - (North) Bishopthorpe Roa'!$A$12:$A$130,"&lt;"&amp;Diagram!$P85),SUMIFS(INDIRECT(ADDRESS(12,3+18*3+(8),,,"J1 A - (North) Bishopthorpe Roa")&amp;":"&amp;ADDRESS(130,3+18*3+(8))),'J1 A - (North) Bishopthorpe Roa'!$A$12:$A$130,"&gt;="&amp;Diagram!$O85,'J1 A - (North) Bishopthorpe Roa'!$A$12:$A$130,"&lt;"&amp;Diagram!$P85)))</f>
        <v>0</v>
      </c>
      <c r="T85" s="42">
        <f ca="1">IF(OR($I$10="",$O85="",$P85="",$J$35&lt;&gt;"Yes"),0,IF($K$10=0,SUMIFS(INDIRECT(ADDRESS(12,3+18*0+(0),,,"J1 A - (North) Bishopthorpe Roa")&amp;":"&amp;ADDRESS(130,3+18*0+(0))),'J1 A - (North) Bishopthorpe Roa'!$A$12:$A$130,"&gt;="&amp;Diagram!$O85,'J1 A - (North) Bishopthorpe Roa'!$A$12:$A$130,"&lt;"&amp;Diagram!$P85),SUMIFS(INDIRECT(ADDRESS(12,3+18*0+(8),,,"J1 A - (North) Bishopthorpe Roa")&amp;":"&amp;ADDRESS(130,3+18*0+(8))),'J1 A - (North) Bishopthorpe Roa'!$A$12:$A$130,"&gt;="&amp;Diagram!$O85,'J1 A - (North) Bishopthorpe Roa'!$A$12:$A$130,"&lt;"&amp;Diagram!$P85)))</f>
        <v>5</v>
      </c>
      <c r="U85" s="42">
        <f ca="1">IF(OR($I$10="",$O85="",$P85="",$J$35&lt;&gt;"Yes"),0,IF($K$10=0,SUMIFS(INDIRECT(ADDRESS(12,3+18*1+(0),,,"J1 A - (North) Bishopthorpe Roa")&amp;":"&amp;ADDRESS(130,3+18*1+(0))),'J1 A - (North) Bishopthorpe Roa'!$A$12:$A$130,"&gt;="&amp;Diagram!$O85,'J1 A - (North) Bishopthorpe Roa'!$A$12:$A$130,"&lt;"&amp;Diagram!$P85),SUMIFS(INDIRECT(ADDRESS(12,3+18*1+(8),,,"J1 A - (North) Bishopthorpe Roa")&amp;":"&amp;ADDRESS(130,3+18*1+(8))),'J1 A - (North) Bishopthorpe Roa'!$A$12:$A$130,"&gt;="&amp;Diagram!$O85,'J1 A - (North) Bishopthorpe Roa'!$A$12:$A$130,"&lt;"&amp;Diagram!$P85)))</f>
        <v>106</v>
      </c>
      <c r="V85" s="42">
        <f ca="1">IF(OR($I$10="",$O85="",$P85="",$J$35&lt;&gt;"Yes"),0,IF($K$10=0,SUMIFS(INDIRECT(ADDRESS(12,3+18*2+(0),,,"J1 A - (North) Bishopthorpe Roa")&amp;":"&amp;ADDRESS(130,3+18*2+(0))),'J1 A - (North) Bishopthorpe Roa'!$A$12:$A$130,"&gt;="&amp;Diagram!$O85,'J1 A - (North) Bishopthorpe Roa'!$A$12:$A$130,"&lt;"&amp;Diagram!$P85),SUMIFS(INDIRECT(ADDRESS(12,3+18*2+(8),,,"J1 A - (North) Bishopthorpe Roa")&amp;":"&amp;ADDRESS(130,3+18*2+(8))),'J1 A - (North) Bishopthorpe Roa'!$A$12:$A$130,"&gt;="&amp;Diagram!$O85,'J1 A - (North) Bishopthorpe Roa'!$A$12:$A$130,"&lt;"&amp;Diagram!$P85)))</f>
        <v>22</v>
      </c>
      <c r="W85" s="42">
        <f ca="1">IF(OR($I$10="",$O85="",$P85="",$J$35&lt;&gt;"Yes"),0,IF($K$10=0,SUMIFS(INDIRECT(ADDRESS(12,3+18*2+(0),,,"J1 B - Butcher Terrace")&amp;":"&amp;ADDRESS(130,3+18*2+(0))),'J1 B - Butcher Terrace'!$A$12:$A$130,"&gt;="&amp;Diagram!$O85,'J1 B - Butcher Terrace'!$A$12:$A$130,"&lt;"&amp;Diagram!$P85),SUMIFS(INDIRECT(ADDRESS(12,3+18*2+(8),,,"J1 B - Butcher Terrace")&amp;":"&amp;ADDRESS(130,3+18*2+(8))),'J1 B - Butcher Terrace'!$A$12:$A$130,"&gt;="&amp;Diagram!$O85,'J1 B - Butcher Terrace'!$A$12:$A$130,"&lt;"&amp;Diagram!$P85)))</f>
        <v>3</v>
      </c>
      <c r="X85" s="42">
        <f ca="1">IF(OR($I$10="",$O85="",$P85="",$J$35&lt;&gt;"Yes"),0,IF($K$10=0,SUMIFS(INDIRECT(ADDRESS(12,3+18*3+(0),,,"J1 B - Butcher Terrace")&amp;":"&amp;ADDRESS(130,3+18*3+(0))),'J1 B - Butcher Terrace'!$A$12:$A$130,"&gt;="&amp;Diagram!$O85,'J1 B - Butcher Terrace'!$A$12:$A$130,"&lt;"&amp;Diagram!$P85),SUMIFS(INDIRECT(ADDRESS(12,3+18*3+(8),,,"J1 B - Butcher Terrace")&amp;":"&amp;ADDRESS(130,3+18*3+(8))),'J1 B - Butcher Terrace'!$A$12:$A$130,"&gt;="&amp;Diagram!$O85,'J1 B - Butcher Terrace'!$A$12:$A$130,"&lt;"&amp;Diagram!$P85)))</f>
        <v>0</v>
      </c>
      <c r="Y85" s="42">
        <f ca="1">IF(OR($I$10="",$O85="",$P85="",$J$35&lt;&gt;"Yes"),0,IF($K$10=0,SUMIFS(INDIRECT(ADDRESS(12,3+18*0+(0),,,"J1 B - Butcher Terrace")&amp;":"&amp;ADDRESS(130,3+18*0+(0))),'J1 B - Butcher Terrace'!$A$12:$A$130,"&gt;="&amp;Diagram!$O85,'J1 B - Butcher Terrace'!$A$12:$A$130,"&lt;"&amp;Diagram!$P85),SUMIFS(INDIRECT(ADDRESS(12,3+18*0+(8),,,"J1 B - Butcher Terrace")&amp;":"&amp;ADDRESS(130,3+18*0+(8))),'J1 B - Butcher Terrace'!$A$12:$A$130,"&gt;="&amp;Diagram!$O85,'J1 B - Butcher Terrace'!$A$12:$A$130,"&lt;"&amp;Diagram!$P85)))</f>
        <v>0</v>
      </c>
      <c r="Z85" s="42">
        <f ca="1">IF(OR($I$10="",$O85="",$P85="",$J$35&lt;&gt;"Yes"),0,IF($K$10=0,SUMIFS(INDIRECT(ADDRESS(12,3+18*1+(0),,,"J1 B - Butcher Terrace")&amp;":"&amp;ADDRESS(130,3+18*1+(0))),'J1 B - Butcher Terrace'!$A$12:$A$130,"&gt;="&amp;Diagram!$O85,'J1 B - Butcher Terrace'!$A$12:$A$130,"&lt;"&amp;Diagram!$P85),SUMIFS(INDIRECT(ADDRESS(12,3+18*1+(8),,,"J1 B - Butcher Terrace")&amp;":"&amp;ADDRESS(130,3+18*1+(8))),'J1 B - Butcher Terrace'!$A$12:$A$130,"&gt;="&amp;Diagram!$O85,'J1 B - Butcher Terrace'!$A$12:$A$130,"&lt;"&amp;Diagram!$P85)))</f>
        <v>10</v>
      </c>
      <c r="AA85" s="42">
        <f ca="1">IF(OR($I$10="",$O85="",$P85="",$J$35&lt;&gt;"Yes"),0,IF($K$10=0,SUMIFS(INDIRECT(ADDRESS(12,3+18*1+(0),,,"J1 C - (South) Bishopthorpe Roa")&amp;":"&amp;ADDRESS(130,3+18*1+(0))),'J1 C - (South) Bishopthorpe Roa'!$A$12:$A$130,"&gt;="&amp;Diagram!$O85,'J1 C - (South) Bishopthorpe Roa'!$A$12:$A$130,"&lt;"&amp;Diagram!$P85),SUMIFS(INDIRECT(ADDRESS(12,3+18*1+(8),,,"J1 C - (South) Bishopthorpe Roa")&amp;":"&amp;ADDRESS(130,3+18*1+(8))),'J1 C - (South) Bishopthorpe Roa'!$A$12:$A$130,"&gt;="&amp;Diagram!$O85,'J1 C - (South) Bishopthorpe Roa'!$A$12:$A$130,"&lt;"&amp;Diagram!$P85)))</f>
        <v>81</v>
      </c>
      <c r="AB85" s="42">
        <f ca="1">IF(OR($I$10="",$O85="",$P85="",$J$35&lt;&gt;"Yes"),0,IF($K$10=0,SUMIFS(INDIRECT(ADDRESS(12,3+18*2+(0),,,"J1 C - (South) Bishopthorpe Roa")&amp;":"&amp;ADDRESS(130,3+18*2+(0))),'J1 C - (South) Bishopthorpe Roa'!$A$12:$A$130,"&gt;="&amp;Diagram!$O85,'J1 C - (South) Bishopthorpe Roa'!$A$12:$A$130,"&lt;"&amp;Diagram!$P85),SUMIFS(INDIRECT(ADDRESS(12,3+18*2+(8),,,"J1 C - (South) Bishopthorpe Roa")&amp;":"&amp;ADDRESS(130,3+18*2+(8))),'J1 C - (South) Bishopthorpe Roa'!$A$12:$A$130,"&gt;="&amp;Diagram!$O85,'J1 C - (South) Bishopthorpe Roa'!$A$12:$A$130,"&lt;"&amp;Diagram!$P85)))</f>
        <v>4</v>
      </c>
      <c r="AC85" s="42">
        <f ca="1">IF(OR($I$10="",$O85="",$P85="",$J$35&lt;&gt;"Yes"),0,IF($K$10=0,SUMIFS(INDIRECT(ADDRESS(12,3+18*3+(0),,,"J1 C - (South) Bishopthorpe Roa")&amp;":"&amp;ADDRESS(130,3+18*3+(0))),'J1 C - (South) Bishopthorpe Roa'!$A$12:$A$130,"&gt;="&amp;Diagram!$O85,'J1 C - (South) Bishopthorpe Roa'!$A$12:$A$130,"&lt;"&amp;Diagram!$P85),SUMIFS(INDIRECT(ADDRESS(12,3+18*3+(8),,,"J1 C - (South) Bishopthorpe Roa")&amp;":"&amp;ADDRESS(130,3+18*3+(8))),'J1 C - (South) Bishopthorpe Roa'!$A$12:$A$130,"&gt;="&amp;Diagram!$O85,'J1 C - (South) Bishopthorpe Roa'!$A$12:$A$130,"&lt;"&amp;Diagram!$P85)))</f>
        <v>0</v>
      </c>
      <c r="AD85" s="42">
        <f ca="1">IF(OR($I$10="",$O85="",$P85="",$J$35&lt;&gt;"Yes"),0,IF($K$10=0,SUMIFS(INDIRECT(ADDRESS(12,3+18*0+(0),,,"J1 C - (South) Bishopthorpe Roa")&amp;":"&amp;ADDRESS(130,3+18*0+(0))),'J1 C - (South) Bishopthorpe Roa'!$A$12:$A$130,"&gt;="&amp;Diagram!$O85,'J1 C - (South) Bishopthorpe Roa'!$A$12:$A$130,"&lt;"&amp;Diagram!$P85),SUMIFS(INDIRECT(ADDRESS(12,3+18*0+(8),,,"J1 C - (South) Bishopthorpe Roa")&amp;":"&amp;ADDRESS(130,3+18*0+(8))),'J1 C - (South) Bishopthorpe Roa'!$A$12:$A$130,"&gt;="&amp;Diagram!$O85,'J1 C - (South) Bishopthorpe Roa'!$A$12:$A$130,"&lt;"&amp;Diagram!$P85)))</f>
        <v>3</v>
      </c>
      <c r="AE85" s="42">
        <f ca="1">IF(OR($I$10="",$O85="",$P85="",$J$35&lt;&gt;"Yes"),0,IF($K$10=0,SUMIFS(INDIRECT(ADDRESS(12,3+18*0+(0),,,"J1 D - South Bank Avenue")&amp;":"&amp;ADDRESS(130,3+18*0+(0))),'J1 D - South Bank Avenue'!$A$12:$A$130,"&gt;="&amp;Diagram!$O85,'J1 D - South Bank Avenue'!$A$12:$A$130,"&lt;"&amp;Diagram!$P85),SUMIFS(INDIRECT(ADDRESS(12,3+18*0+(8),,,"J1 D - South Bank Avenue")&amp;":"&amp;ADDRESS(130,3+18*0+(8))),'J1 D - South Bank Avenue'!$A$12:$A$130,"&gt;="&amp;Diagram!$O85,'J1 D - South Bank Avenue'!$A$12:$A$130,"&lt;"&amp;Diagram!$P85)))</f>
        <v>9</v>
      </c>
      <c r="AF85" s="42">
        <f ca="1">IF(OR($I$10="",$O85="",$P85="",$J$35&lt;&gt;"Yes"),0,IF($K$10=0,SUMIFS(INDIRECT(ADDRESS(12,3+18*1+(0),,,"J1 D - South Bank Avenue")&amp;":"&amp;ADDRESS(130,3+18*1+(0))),'J1 D - South Bank Avenue'!$A$12:$A$130,"&gt;="&amp;Diagram!$O85,'J1 D - South Bank Avenue'!$A$12:$A$130,"&lt;"&amp;Diagram!$P85),SUMIFS(INDIRECT(ADDRESS(12,3+18*1+(8),,,"J1 D - South Bank Avenue")&amp;":"&amp;ADDRESS(130,3+18*1+(8))),'J1 D - South Bank Avenue'!$A$12:$A$130,"&gt;="&amp;Diagram!$O85,'J1 D - South Bank Avenue'!$A$12:$A$130,"&lt;"&amp;Diagram!$P85)))</f>
        <v>1</v>
      </c>
      <c r="AG85" s="42">
        <f ca="1">IF(OR($I$10="",$O85="",$P85="",$J$35&lt;&gt;"Yes"),0,IF($K$10=0,SUMIFS(INDIRECT(ADDRESS(12,3+18*2+(0),,,"J1 D - South Bank Avenue")&amp;":"&amp;ADDRESS(130,3+18*2+(0))),'J1 D - South Bank Avenue'!$A$12:$A$130,"&gt;="&amp;Diagram!$O85,'J1 D - South Bank Avenue'!$A$12:$A$130,"&lt;"&amp;Diagram!$P85),SUMIFS(INDIRECT(ADDRESS(12,3+18*2+(8),,,"J1 D - South Bank Avenue")&amp;":"&amp;ADDRESS(130,3+18*2+(8))),'J1 D - South Bank Avenue'!$A$12:$A$130,"&gt;="&amp;Diagram!$O85,'J1 D - South Bank Avenue'!$A$12:$A$130,"&lt;"&amp;Diagram!$P85)))</f>
        <v>0</v>
      </c>
      <c r="AH85" s="42">
        <f ca="1">IF(OR($I$10="",$O85="",$P85="",$J$35&lt;&gt;"Yes"),0,IF($K$10=0,SUMIFS(INDIRECT(ADDRESS(12,3+18*3+(0),,,"J1 D - South Bank Avenue")&amp;":"&amp;ADDRESS(130,3+18*3+(0))),'J1 D - South Bank Avenue'!$A$12:$A$130,"&gt;="&amp;Diagram!$O85,'J1 D - South Bank Avenue'!$A$12:$A$130,"&lt;"&amp;Diagram!$P85),SUMIFS(INDIRECT(ADDRESS(12,3+18*3+(8),,,"J1 D - South Bank Avenue")&amp;":"&amp;ADDRESS(130,3+18*3+(8))),'J1 D - South Bank Avenue'!$A$12:$A$130,"&gt;="&amp;Diagram!$O85,'J1 D - South Bank Avenue'!$A$12:$A$130,"&lt;"&amp;Diagram!$P85)))</f>
        <v>0</v>
      </c>
      <c r="AI85" s="42">
        <f t="shared" ca="1" si="12"/>
        <v>12</v>
      </c>
      <c r="AJ85" s="42">
        <f ca="1">IF(OR($I$10="",$O85="",$P85="",$J$36&lt;&gt;"Yes"),0,IF($K$10=0,SUMIFS(INDIRECT(ADDRESS(12,3+18*3+(1),,,"J1 A - (North) Bishopthorpe Roa")&amp;":"&amp;ADDRESS(130,3+18*3+(1))),'J1 A - (North) Bishopthorpe Roa'!$A$12:$A$130,"&gt;="&amp;Diagram!$O85,'J1 A - (North) Bishopthorpe Roa'!$A$12:$A$130,"&lt;"&amp;Diagram!$P85),SUMIFS(INDIRECT(ADDRESS(12,3+18*3+(9),,,"J1 A - (North) Bishopthorpe Roa")&amp;":"&amp;ADDRESS(130,3+18*3+(9))),'J1 A - (North) Bishopthorpe Roa'!$A$12:$A$130,"&gt;="&amp;Diagram!$O85,'J1 A - (North) Bishopthorpe Roa'!$A$12:$A$130,"&lt;"&amp;Diagram!$P85)))</f>
        <v>0</v>
      </c>
      <c r="AK85" s="42">
        <f ca="1">IF(OR($I$10="",$O85="",$P85="",$J$36&lt;&gt;"Yes"),0,IF($K$10=0,SUMIFS(INDIRECT(ADDRESS(12,3+18*0+(1),,,"J1 A - (North) Bishopthorpe Roa")&amp;":"&amp;ADDRESS(130,3+18*0+(1))),'J1 A - (North) Bishopthorpe Roa'!$A$12:$A$130,"&gt;="&amp;Diagram!$O85,'J1 A - (North) Bishopthorpe Roa'!$A$12:$A$130,"&lt;"&amp;Diagram!$P85),SUMIFS(INDIRECT(ADDRESS(12,3+18*0+(9),,,"J1 A - (North) Bishopthorpe Roa")&amp;":"&amp;ADDRESS(130,3+18*0+(9))),'J1 A - (North) Bishopthorpe Roa'!$A$12:$A$130,"&gt;="&amp;Diagram!$O85,'J1 A - (North) Bishopthorpe Roa'!$A$12:$A$130,"&lt;"&amp;Diagram!$P85)))</f>
        <v>0</v>
      </c>
      <c r="AL85" s="42">
        <f ca="1">IF(OR($I$10="",$O85="",$P85="",$J$36&lt;&gt;"Yes"),0,IF($K$10=0,SUMIFS(INDIRECT(ADDRESS(12,3+18*1+(1),,,"J1 A - (North) Bishopthorpe Roa")&amp;":"&amp;ADDRESS(130,3+18*1+(1))),'J1 A - (North) Bishopthorpe Roa'!$A$12:$A$130,"&gt;="&amp;Diagram!$O85,'J1 A - (North) Bishopthorpe Roa'!$A$12:$A$130,"&lt;"&amp;Diagram!$P85),SUMIFS(INDIRECT(ADDRESS(12,3+18*1+(9),,,"J1 A - (North) Bishopthorpe Roa")&amp;":"&amp;ADDRESS(130,3+18*1+(9))),'J1 A - (North) Bishopthorpe Roa'!$A$12:$A$130,"&gt;="&amp;Diagram!$O85,'J1 A - (North) Bishopthorpe Roa'!$A$12:$A$130,"&lt;"&amp;Diagram!$P85)))</f>
        <v>7</v>
      </c>
      <c r="AM85" s="42">
        <f ca="1">IF(OR($I$10="",$O85="",$P85="",$J$36&lt;&gt;"Yes"),0,IF($K$10=0,SUMIFS(INDIRECT(ADDRESS(12,3+18*2+(1),,,"J1 A - (North) Bishopthorpe Roa")&amp;":"&amp;ADDRESS(130,3+18*2+(1))),'J1 A - (North) Bishopthorpe Roa'!$A$12:$A$130,"&gt;="&amp;Diagram!$O85,'J1 A - (North) Bishopthorpe Roa'!$A$12:$A$130,"&lt;"&amp;Diagram!$P85),SUMIFS(INDIRECT(ADDRESS(12,3+18*2+(9),,,"J1 A - (North) Bishopthorpe Roa")&amp;":"&amp;ADDRESS(130,3+18*2+(9))),'J1 A - (North) Bishopthorpe Roa'!$A$12:$A$130,"&gt;="&amp;Diagram!$O85,'J1 A - (North) Bishopthorpe Roa'!$A$12:$A$130,"&lt;"&amp;Diagram!$P85)))</f>
        <v>1</v>
      </c>
      <c r="AN85" s="42">
        <f ca="1">IF(OR($I$10="",$O85="",$P85="",$J$36&lt;&gt;"Yes"),0,IF($K$10=0,SUMIFS(INDIRECT(ADDRESS(12,3+18*2+(1),,,"J1 B - Butcher Terrace")&amp;":"&amp;ADDRESS(130,3+18*2+(1))),'J1 B - Butcher Terrace'!$A$12:$A$130,"&gt;="&amp;Diagram!$O85,'J1 B - Butcher Terrace'!$A$12:$A$130,"&lt;"&amp;Diagram!$P85),SUMIFS(INDIRECT(ADDRESS(12,3+18*2+(9),,,"J1 B - Butcher Terrace")&amp;":"&amp;ADDRESS(130,3+18*2+(9))),'J1 B - Butcher Terrace'!$A$12:$A$130,"&gt;="&amp;Diagram!$O85,'J1 B - Butcher Terrace'!$A$12:$A$130,"&lt;"&amp;Diagram!$P85)))</f>
        <v>0</v>
      </c>
      <c r="AO85" s="42">
        <f ca="1">IF(OR($I$10="",$O85="",$P85="",$J$36&lt;&gt;"Yes"),0,IF($K$10=0,SUMIFS(INDIRECT(ADDRESS(12,3+18*3+(1),,,"J1 B - Butcher Terrace")&amp;":"&amp;ADDRESS(130,3+18*3+(1))),'J1 B - Butcher Terrace'!$A$12:$A$130,"&gt;="&amp;Diagram!$O85,'J1 B - Butcher Terrace'!$A$12:$A$130,"&lt;"&amp;Diagram!$P85),SUMIFS(INDIRECT(ADDRESS(12,3+18*3+(9),,,"J1 B - Butcher Terrace")&amp;":"&amp;ADDRESS(130,3+18*3+(9))),'J1 B - Butcher Terrace'!$A$12:$A$130,"&gt;="&amp;Diagram!$O85,'J1 B - Butcher Terrace'!$A$12:$A$130,"&lt;"&amp;Diagram!$P85)))</f>
        <v>0</v>
      </c>
      <c r="AP85" s="42">
        <f ca="1">IF(OR($I$10="",$O85="",$P85="",$J$36&lt;&gt;"Yes"),0,IF($K$10=0,SUMIFS(INDIRECT(ADDRESS(12,3+18*0+(1),,,"J1 B - Butcher Terrace")&amp;":"&amp;ADDRESS(130,3+18*0+(1))),'J1 B - Butcher Terrace'!$A$12:$A$130,"&gt;="&amp;Diagram!$O85,'J1 B - Butcher Terrace'!$A$12:$A$130,"&lt;"&amp;Diagram!$P85),SUMIFS(INDIRECT(ADDRESS(12,3+18*0+(9),,,"J1 B - Butcher Terrace")&amp;":"&amp;ADDRESS(130,3+18*0+(9))),'J1 B - Butcher Terrace'!$A$12:$A$130,"&gt;="&amp;Diagram!$O85,'J1 B - Butcher Terrace'!$A$12:$A$130,"&lt;"&amp;Diagram!$P85)))</f>
        <v>0</v>
      </c>
      <c r="AQ85" s="42">
        <f ca="1">IF(OR($I$10="",$O85="",$P85="",$J$36&lt;&gt;"Yes"),0,IF($K$10=0,SUMIFS(INDIRECT(ADDRESS(12,3+18*1+(1),,,"J1 B - Butcher Terrace")&amp;":"&amp;ADDRESS(130,3+18*1+(1))),'J1 B - Butcher Terrace'!$A$12:$A$130,"&gt;="&amp;Diagram!$O85,'J1 B - Butcher Terrace'!$A$12:$A$130,"&lt;"&amp;Diagram!$P85),SUMIFS(INDIRECT(ADDRESS(12,3+18*1+(9),,,"J1 B - Butcher Terrace")&amp;":"&amp;ADDRESS(130,3+18*1+(9))),'J1 B - Butcher Terrace'!$A$12:$A$130,"&gt;="&amp;Diagram!$O85,'J1 B - Butcher Terrace'!$A$12:$A$130,"&lt;"&amp;Diagram!$P85)))</f>
        <v>1</v>
      </c>
      <c r="AR85" s="42">
        <f ca="1">IF(OR($I$10="",$O85="",$P85="",$J$36&lt;&gt;"Yes"),0,IF($K$10=0,SUMIFS(INDIRECT(ADDRESS(12,3+18*1+(1),,,"J1 C - (South) Bishopthorpe Roa")&amp;":"&amp;ADDRESS(130,3+18*1+(1))),'J1 C - (South) Bishopthorpe Roa'!$A$12:$A$130,"&gt;="&amp;Diagram!$O85,'J1 C - (South) Bishopthorpe Roa'!$A$12:$A$130,"&lt;"&amp;Diagram!$P85),SUMIFS(INDIRECT(ADDRESS(12,3+18*1+(9),,,"J1 C - (South) Bishopthorpe Roa")&amp;":"&amp;ADDRESS(130,3+18*1+(9))),'J1 C - (South) Bishopthorpe Roa'!$A$12:$A$130,"&gt;="&amp;Diagram!$O85,'J1 C - (South) Bishopthorpe Roa'!$A$12:$A$130,"&lt;"&amp;Diagram!$P85)))</f>
        <v>3</v>
      </c>
      <c r="AS85" s="42">
        <f ca="1">IF(OR($I$10="",$O85="",$P85="",$J$36&lt;&gt;"Yes"),0,IF($K$10=0,SUMIFS(INDIRECT(ADDRESS(12,3+18*2+(1),,,"J1 C - (South) Bishopthorpe Roa")&amp;":"&amp;ADDRESS(130,3+18*2+(1))),'J1 C - (South) Bishopthorpe Roa'!$A$12:$A$130,"&gt;="&amp;Diagram!$O85,'J1 C - (South) Bishopthorpe Roa'!$A$12:$A$130,"&lt;"&amp;Diagram!$P85),SUMIFS(INDIRECT(ADDRESS(12,3+18*2+(9),,,"J1 C - (South) Bishopthorpe Roa")&amp;":"&amp;ADDRESS(130,3+18*2+(9))),'J1 C - (South) Bishopthorpe Roa'!$A$12:$A$130,"&gt;="&amp;Diagram!$O85,'J1 C - (South) Bishopthorpe Roa'!$A$12:$A$130,"&lt;"&amp;Diagram!$P85)))</f>
        <v>0</v>
      </c>
      <c r="AT85" s="42">
        <f ca="1">IF(OR($I$10="",$O85="",$P85="",$J$36&lt;&gt;"Yes"),0,IF($K$10=0,SUMIFS(INDIRECT(ADDRESS(12,3+18*3+(1),,,"J1 C - (South) Bishopthorpe Roa")&amp;":"&amp;ADDRESS(130,3+18*3+(1))),'J1 C - (South) Bishopthorpe Roa'!$A$12:$A$130,"&gt;="&amp;Diagram!$O85,'J1 C - (South) Bishopthorpe Roa'!$A$12:$A$130,"&lt;"&amp;Diagram!$P85),SUMIFS(INDIRECT(ADDRESS(12,3+18*3+(9),,,"J1 C - (South) Bishopthorpe Roa")&amp;":"&amp;ADDRESS(130,3+18*3+(9))),'J1 C - (South) Bishopthorpe Roa'!$A$12:$A$130,"&gt;="&amp;Diagram!$O85,'J1 C - (South) Bishopthorpe Roa'!$A$12:$A$130,"&lt;"&amp;Diagram!$P85)))</f>
        <v>0</v>
      </c>
      <c r="AU85" s="42">
        <f ca="1">IF(OR($I$10="",$O85="",$P85="",$J$36&lt;&gt;"Yes"),0,IF($K$10=0,SUMIFS(INDIRECT(ADDRESS(12,3+18*0+(1),,,"J1 C - (South) Bishopthorpe Roa")&amp;":"&amp;ADDRESS(130,3+18*0+(1))),'J1 C - (South) Bishopthorpe Roa'!$A$12:$A$130,"&gt;="&amp;Diagram!$O85,'J1 C - (South) Bishopthorpe Roa'!$A$12:$A$130,"&lt;"&amp;Diagram!$P85),SUMIFS(INDIRECT(ADDRESS(12,3+18*0+(9),,,"J1 C - (South) Bishopthorpe Roa")&amp;":"&amp;ADDRESS(130,3+18*0+(9))),'J1 C - (South) Bishopthorpe Roa'!$A$12:$A$130,"&gt;="&amp;Diagram!$O85,'J1 C - (South) Bishopthorpe Roa'!$A$12:$A$130,"&lt;"&amp;Diagram!$P85)))</f>
        <v>0</v>
      </c>
      <c r="AV85" s="42">
        <f ca="1">IF(OR($I$10="",$O85="",$P85="",$J$36&lt;&gt;"Yes"),0,IF($K$10=0,SUMIFS(INDIRECT(ADDRESS(12,3+18*0+(1),,,"J1 D - South Bank Avenue")&amp;":"&amp;ADDRESS(130,3+18*0+(1))),'J1 D - South Bank Avenue'!$A$12:$A$130,"&gt;="&amp;Diagram!$O85,'J1 D - South Bank Avenue'!$A$12:$A$130,"&lt;"&amp;Diagram!$P85),SUMIFS(INDIRECT(ADDRESS(12,3+18*0+(9),,,"J1 D - South Bank Avenue")&amp;":"&amp;ADDRESS(130,3+18*0+(9))),'J1 D - South Bank Avenue'!$A$12:$A$130,"&gt;="&amp;Diagram!$O85,'J1 D - South Bank Avenue'!$A$12:$A$130,"&lt;"&amp;Diagram!$P85)))</f>
        <v>0</v>
      </c>
      <c r="AW85" s="42">
        <f ca="1">IF(OR($I$10="",$O85="",$P85="",$J$36&lt;&gt;"Yes"),0,IF($K$10=0,SUMIFS(INDIRECT(ADDRESS(12,3+18*1+(1),,,"J1 D - South Bank Avenue")&amp;":"&amp;ADDRESS(130,3+18*1+(1))),'J1 D - South Bank Avenue'!$A$12:$A$130,"&gt;="&amp;Diagram!$O85,'J1 D - South Bank Avenue'!$A$12:$A$130,"&lt;"&amp;Diagram!$P85),SUMIFS(INDIRECT(ADDRESS(12,3+18*1+(9),,,"J1 D - South Bank Avenue")&amp;":"&amp;ADDRESS(130,3+18*1+(9))),'J1 D - South Bank Avenue'!$A$12:$A$130,"&gt;="&amp;Diagram!$O85,'J1 D - South Bank Avenue'!$A$12:$A$130,"&lt;"&amp;Diagram!$P85)))</f>
        <v>0</v>
      </c>
      <c r="AX85" s="42">
        <f ca="1">IF(OR($I$10="",$O85="",$P85="",$J$36&lt;&gt;"Yes"),0,IF($K$10=0,SUMIFS(INDIRECT(ADDRESS(12,3+18*2+(1),,,"J1 D - South Bank Avenue")&amp;":"&amp;ADDRESS(130,3+18*2+(1))),'J1 D - South Bank Avenue'!$A$12:$A$130,"&gt;="&amp;Diagram!$O85,'J1 D - South Bank Avenue'!$A$12:$A$130,"&lt;"&amp;Diagram!$P85),SUMIFS(INDIRECT(ADDRESS(12,3+18*2+(9),,,"J1 D - South Bank Avenue")&amp;":"&amp;ADDRESS(130,3+18*2+(9))),'J1 D - South Bank Avenue'!$A$12:$A$130,"&gt;="&amp;Diagram!$O85,'J1 D - South Bank Avenue'!$A$12:$A$130,"&lt;"&amp;Diagram!$P85)))</f>
        <v>0</v>
      </c>
      <c r="AY85" s="42">
        <f ca="1">IF(OR($I$10="",$O85="",$P85="",$J$36&lt;&gt;"Yes"),0,IF($K$10=0,SUMIFS(INDIRECT(ADDRESS(12,3+18*3+(1),,,"J1 D - South Bank Avenue")&amp;":"&amp;ADDRESS(130,3+18*3+(1))),'J1 D - South Bank Avenue'!$A$12:$A$130,"&gt;="&amp;Diagram!$O85,'J1 D - South Bank Avenue'!$A$12:$A$130,"&lt;"&amp;Diagram!$P85),SUMIFS(INDIRECT(ADDRESS(12,3+18*3+(9),,,"J1 D - South Bank Avenue")&amp;":"&amp;ADDRESS(130,3+18*3+(9))),'J1 D - South Bank Avenue'!$A$12:$A$130,"&gt;="&amp;Diagram!$O85,'J1 D - South Bank Avenue'!$A$12:$A$130,"&lt;"&amp;Diagram!$P85)))</f>
        <v>0</v>
      </c>
      <c r="AZ85" s="42">
        <f t="shared" ca="1" si="13"/>
        <v>1</v>
      </c>
      <c r="BA85" s="42">
        <f ca="1">IF(OR($I$10="",$O85="",$P85="",$J$37&lt;&gt;"Yes"),0,IF($K$10=0,SUMIFS(INDIRECT(ADDRESS(12,3+18*3+(2),,,"J1 A - (North) Bishopthorpe Roa")&amp;":"&amp;ADDRESS(130,3+18*3+(2))),'J1 A - (North) Bishopthorpe Roa'!$A$12:$A$130,"&gt;="&amp;Diagram!$O85,'J1 A - (North) Bishopthorpe Roa'!$A$12:$A$130,"&lt;"&amp;Diagram!$P85),SUMIFS(INDIRECT(ADDRESS(12,3+18*3+(10),,,"J1 A - (North) Bishopthorpe Roa")&amp;":"&amp;ADDRESS(130,3+18*3+(10))),'J1 A - (North) Bishopthorpe Roa'!$A$12:$A$130,"&gt;="&amp;Diagram!$O85,'J1 A - (North) Bishopthorpe Roa'!$A$12:$A$130,"&lt;"&amp;Diagram!$P85)))</f>
        <v>0</v>
      </c>
      <c r="BB85" s="42">
        <f ca="1">IF(OR($I$10="",$O85="",$P85="",$J$37&lt;&gt;"Yes"),0,IF($K$10=0,SUMIFS(INDIRECT(ADDRESS(12,3+18*0+(2),,,"J1 A - (North) Bishopthorpe Roa")&amp;":"&amp;ADDRESS(130,3+18*0+(2))),'J1 A - (North) Bishopthorpe Roa'!$A$12:$A$130,"&gt;="&amp;Diagram!$O85,'J1 A - (North) Bishopthorpe Roa'!$A$12:$A$130,"&lt;"&amp;Diagram!$P85),SUMIFS(INDIRECT(ADDRESS(12,3+18*0+(10),,,"J1 A - (North) Bishopthorpe Roa")&amp;":"&amp;ADDRESS(130,3+18*0+(10))),'J1 A - (North) Bishopthorpe Roa'!$A$12:$A$130,"&gt;="&amp;Diagram!$O85,'J1 A - (North) Bishopthorpe Roa'!$A$12:$A$130,"&lt;"&amp;Diagram!$P85)))</f>
        <v>0</v>
      </c>
      <c r="BC85" s="42">
        <f ca="1">IF(OR($I$10="",$O85="",$P85="",$J$37&lt;&gt;"Yes"),0,IF($K$10=0,SUMIFS(INDIRECT(ADDRESS(12,3+18*1+(2),,,"J1 A - (North) Bishopthorpe Roa")&amp;":"&amp;ADDRESS(130,3+18*1+(2))),'J1 A - (North) Bishopthorpe Roa'!$A$12:$A$130,"&gt;="&amp;Diagram!$O85,'J1 A - (North) Bishopthorpe Roa'!$A$12:$A$130,"&lt;"&amp;Diagram!$P85),SUMIFS(INDIRECT(ADDRESS(12,3+18*1+(10),,,"J1 A - (North) Bishopthorpe Roa")&amp;":"&amp;ADDRESS(130,3+18*1+(10))),'J1 A - (North) Bishopthorpe Roa'!$A$12:$A$130,"&gt;="&amp;Diagram!$O85,'J1 A - (North) Bishopthorpe Roa'!$A$12:$A$130,"&lt;"&amp;Diagram!$P85)))</f>
        <v>0</v>
      </c>
      <c r="BD85" s="42">
        <f ca="1">IF(OR($I$10="",$O85="",$P85="",$J$37&lt;&gt;"Yes"),0,IF($K$10=0,SUMIFS(INDIRECT(ADDRESS(12,3+18*2+(2),,,"J1 A - (North) Bishopthorpe Roa")&amp;":"&amp;ADDRESS(130,3+18*2+(2))),'J1 A - (North) Bishopthorpe Roa'!$A$12:$A$130,"&gt;="&amp;Diagram!$O85,'J1 A - (North) Bishopthorpe Roa'!$A$12:$A$130,"&lt;"&amp;Diagram!$P85),SUMIFS(INDIRECT(ADDRESS(12,3+18*2+(10),,,"J1 A - (North) Bishopthorpe Roa")&amp;":"&amp;ADDRESS(130,3+18*2+(10))),'J1 A - (North) Bishopthorpe Roa'!$A$12:$A$130,"&gt;="&amp;Diagram!$O85,'J1 A - (North) Bishopthorpe Roa'!$A$12:$A$130,"&lt;"&amp;Diagram!$P85)))</f>
        <v>0</v>
      </c>
      <c r="BE85" s="42">
        <f ca="1">IF(OR($I$10="",$O85="",$P85="",$J$37&lt;&gt;"Yes"),0,IF($K$10=0,SUMIFS(INDIRECT(ADDRESS(12,3+18*2+(2),,,"J1 B - Butcher Terrace")&amp;":"&amp;ADDRESS(130,3+18*2+(2))),'J1 B - Butcher Terrace'!$A$12:$A$130,"&gt;="&amp;Diagram!$O85,'J1 B - Butcher Terrace'!$A$12:$A$130,"&lt;"&amp;Diagram!$P85),SUMIFS(INDIRECT(ADDRESS(12,3+18*2+(10),,,"J1 B - Butcher Terrace")&amp;":"&amp;ADDRESS(130,3+18*2+(10))),'J1 B - Butcher Terrace'!$A$12:$A$130,"&gt;="&amp;Diagram!$O85,'J1 B - Butcher Terrace'!$A$12:$A$130,"&lt;"&amp;Diagram!$P85)))</f>
        <v>0</v>
      </c>
      <c r="BF85" s="42">
        <f ca="1">IF(OR($I$10="",$O85="",$P85="",$J$37&lt;&gt;"Yes"),0,IF($K$10=0,SUMIFS(INDIRECT(ADDRESS(12,3+18*3+(2),,,"J1 B - Butcher Terrace")&amp;":"&amp;ADDRESS(130,3+18*3+(2))),'J1 B - Butcher Terrace'!$A$12:$A$130,"&gt;="&amp;Diagram!$O85,'J1 B - Butcher Terrace'!$A$12:$A$130,"&lt;"&amp;Diagram!$P85),SUMIFS(INDIRECT(ADDRESS(12,3+18*3+(10),,,"J1 B - Butcher Terrace")&amp;":"&amp;ADDRESS(130,3+18*3+(10))),'J1 B - Butcher Terrace'!$A$12:$A$130,"&gt;="&amp;Diagram!$O85,'J1 B - Butcher Terrace'!$A$12:$A$130,"&lt;"&amp;Diagram!$P85)))</f>
        <v>0</v>
      </c>
      <c r="BG85" s="42">
        <f ca="1">IF(OR($I$10="",$O85="",$P85="",$J$37&lt;&gt;"Yes"),0,IF($K$10=0,SUMIFS(INDIRECT(ADDRESS(12,3+18*0+(2),,,"J1 B - Butcher Terrace")&amp;":"&amp;ADDRESS(130,3+18*0+(2))),'J1 B - Butcher Terrace'!$A$12:$A$130,"&gt;="&amp;Diagram!$O85,'J1 B - Butcher Terrace'!$A$12:$A$130,"&lt;"&amp;Diagram!$P85),SUMIFS(INDIRECT(ADDRESS(12,3+18*0+(10),,,"J1 B - Butcher Terrace")&amp;":"&amp;ADDRESS(130,3+18*0+(10))),'J1 B - Butcher Terrace'!$A$12:$A$130,"&gt;="&amp;Diagram!$O85,'J1 B - Butcher Terrace'!$A$12:$A$130,"&lt;"&amp;Diagram!$P85)))</f>
        <v>0</v>
      </c>
      <c r="BH85" s="42">
        <f ca="1">IF(OR($I$10="",$O85="",$P85="",$J$37&lt;&gt;"Yes"),0,IF($K$10=0,SUMIFS(INDIRECT(ADDRESS(12,3+18*1+(2),,,"J1 B - Butcher Terrace")&amp;":"&amp;ADDRESS(130,3+18*1+(2))),'J1 B - Butcher Terrace'!$A$12:$A$130,"&gt;="&amp;Diagram!$O85,'J1 B - Butcher Terrace'!$A$12:$A$130,"&lt;"&amp;Diagram!$P85),SUMIFS(INDIRECT(ADDRESS(12,3+18*1+(10),,,"J1 B - Butcher Terrace")&amp;":"&amp;ADDRESS(130,3+18*1+(10))),'J1 B - Butcher Terrace'!$A$12:$A$130,"&gt;="&amp;Diagram!$O85,'J1 B - Butcher Terrace'!$A$12:$A$130,"&lt;"&amp;Diagram!$P85)))</f>
        <v>0</v>
      </c>
      <c r="BI85" s="42">
        <f ca="1">IF(OR($I$10="",$O85="",$P85="",$J$37&lt;&gt;"Yes"),0,IF($K$10=0,SUMIFS(INDIRECT(ADDRESS(12,3+18*1+(2),,,"J1 C - (South) Bishopthorpe Roa")&amp;":"&amp;ADDRESS(130,3+18*1+(2))),'J1 C - (South) Bishopthorpe Roa'!$A$12:$A$130,"&gt;="&amp;Diagram!$O85,'J1 C - (South) Bishopthorpe Roa'!$A$12:$A$130,"&lt;"&amp;Diagram!$P85),SUMIFS(INDIRECT(ADDRESS(12,3+18*1+(10),,,"J1 C - (South) Bishopthorpe Roa")&amp;":"&amp;ADDRESS(130,3+18*1+(10))),'J1 C - (South) Bishopthorpe Roa'!$A$12:$A$130,"&gt;="&amp;Diagram!$O85,'J1 C - (South) Bishopthorpe Roa'!$A$12:$A$130,"&lt;"&amp;Diagram!$P85)))</f>
        <v>1</v>
      </c>
      <c r="BJ85" s="42">
        <f ca="1">IF(OR($I$10="",$O85="",$P85="",$J$37&lt;&gt;"Yes"),0,IF($K$10=0,SUMIFS(INDIRECT(ADDRESS(12,3+18*2+(2),,,"J1 C - (South) Bishopthorpe Roa")&amp;":"&amp;ADDRESS(130,3+18*2+(2))),'J1 C - (South) Bishopthorpe Roa'!$A$12:$A$130,"&gt;="&amp;Diagram!$O85,'J1 C - (South) Bishopthorpe Roa'!$A$12:$A$130,"&lt;"&amp;Diagram!$P85),SUMIFS(INDIRECT(ADDRESS(12,3+18*2+(10),,,"J1 C - (South) Bishopthorpe Roa")&amp;":"&amp;ADDRESS(130,3+18*2+(10))),'J1 C - (South) Bishopthorpe Roa'!$A$12:$A$130,"&gt;="&amp;Diagram!$O85,'J1 C - (South) Bishopthorpe Roa'!$A$12:$A$130,"&lt;"&amp;Diagram!$P85)))</f>
        <v>0</v>
      </c>
      <c r="BK85" s="42">
        <f ca="1">IF(OR($I$10="",$O85="",$P85="",$J$37&lt;&gt;"Yes"),0,IF($K$10=0,SUMIFS(INDIRECT(ADDRESS(12,3+18*3+(2),,,"J1 C - (South) Bishopthorpe Roa")&amp;":"&amp;ADDRESS(130,3+18*3+(2))),'J1 C - (South) Bishopthorpe Roa'!$A$12:$A$130,"&gt;="&amp;Diagram!$O85,'J1 C - (South) Bishopthorpe Roa'!$A$12:$A$130,"&lt;"&amp;Diagram!$P85),SUMIFS(INDIRECT(ADDRESS(12,3+18*3+(10),,,"J1 C - (South) Bishopthorpe Roa")&amp;":"&amp;ADDRESS(130,3+18*3+(10))),'J1 C - (South) Bishopthorpe Roa'!$A$12:$A$130,"&gt;="&amp;Diagram!$O85,'J1 C - (South) Bishopthorpe Roa'!$A$12:$A$130,"&lt;"&amp;Diagram!$P85)))</f>
        <v>0</v>
      </c>
      <c r="BL85" s="42">
        <f ca="1">IF(OR($I$10="",$O85="",$P85="",$J$37&lt;&gt;"Yes"),0,IF($K$10=0,SUMIFS(INDIRECT(ADDRESS(12,3+18*0+(2),,,"J1 C - (South) Bishopthorpe Roa")&amp;":"&amp;ADDRESS(130,3+18*0+(2))),'J1 C - (South) Bishopthorpe Roa'!$A$12:$A$130,"&gt;="&amp;Diagram!$O85,'J1 C - (South) Bishopthorpe Roa'!$A$12:$A$130,"&lt;"&amp;Diagram!$P85),SUMIFS(INDIRECT(ADDRESS(12,3+18*0+(10),,,"J1 C - (South) Bishopthorpe Roa")&amp;":"&amp;ADDRESS(130,3+18*0+(10))),'J1 C - (South) Bishopthorpe Roa'!$A$12:$A$130,"&gt;="&amp;Diagram!$O85,'J1 C - (South) Bishopthorpe Roa'!$A$12:$A$130,"&lt;"&amp;Diagram!$P85)))</f>
        <v>0</v>
      </c>
      <c r="BM85" s="42">
        <f ca="1">IF(OR($I$10="",$O85="",$P85="",$J$37&lt;&gt;"Yes"),0,IF($K$10=0,SUMIFS(INDIRECT(ADDRESS(12,3+18*0+(2),,,"J1 D - South Bank Avenue")&amp;":"&amp;ADDRESS(130,3+18*0+(2))),'J1 D - South Bank Avenue'!$A$12:$A$130,"&gt;="&amp;Diagram!$O85,'J1 D - South Bank Avenue'!$A$12:$A$130,"&lt;"&amp;Diagram!$P85),SUMIFS(INDIRECT(ADDRESS(12,3+18*0+(10),,,"J1 D - South Bank Avenue")&amp;":"&amp;ADDRESS(130,3+18*0+(10))),'J1 D - South Bank Avenue'!$A$12:$A$130,"&gt;="&amp;Diagram!$O85,'J1 D - South Bank Avenue'!$A$12:$A$130,"&lt;"&amp;Diagram!$P85)))</f>
        <v>0</v>
      </c>
      <c r="BN85" s="42">
        <f ca="1">IF(OR($I$10="",$O85="",$P85="",$J$37&lt;&gt;"Yes"),0,IF($K$10=0,SUMIFS(INDIRECT(ADDRESS(12,3+18*1+(2),,,"J1 D - South Bank Avenue")&amp;":"&amp;ADDRESS(130,3+18*1+(2))),'J1 D - South Bank Avenue'!$A$12:$A$130,"&gt;="&amp;Diagram!$O85,'J1 D - South Bank Avenue'!$A$12:$A$130,"&lt;"&amp;Diagram!$P85),SUMIFS(INDIRECT(ADDRESS(12,3+18*1+(10),,,"J1 D - South Bank Avenue")&amp;":"&amp;ADDRESS(130,3+18*1+(10))),'J1 D - South Bank Avenue'!$A$12:$A$130,"&gt;="&amp;Diagram!$O85,'J1 D - South Bank Avenue'!$A$12:$A$130,"&lt;"&amp;Diagram!$P85)))</f>
        <v>0</v>
      </c>
      <c r="BO85" s="42">
        <f ca="1">IF(OR($I$10="",$O85="",$P85="",$J$37&lt;&gt;"Yes"),0,IF($K$10=0,SUMIFS(INDIRECT(ADDRESS(12,3+18*2+(2),,,"J1 D - South Bank Avenue")&amp;":"&amp;ADDRESS(130,3+18*2+(2))),'J1 D - South Bank Avenue'!$A$12:$A$130,"&gt;="&amp;Diagram!$O85,'J1 D - South Bank Avenue'!$A$12:$A$130,"&lt;"&amp;Diagram!$P85),SUMIFS(INDIRECT(ADDRESS(12,3+18*2+(10),,,"J1 D - South Bank Avenue")&amp;":"&amp;ADDRESS(130,3+18*2+(10))),'J1 D - South Bank Avenue'!$A$12:$A$130,"&gt;="&amp;Diagram!$O85,'J1 D - South Bank Avenue'!$A$12:$A$130,"&lt;"&amp;Diagram!$P85)))</f>
        <v>0</v>
      </c>
      <c r="BP85" s="42">
        <f ca="1">IF(OR($I$10="",$O85="",$P85="",$J$37&lt;&gt;"Yes"),0,IF($K$10=0,SUMIFS(INDIRECT(ADDRESS(12,3+18*3+(2),,,"J1 D - South Bank Avenue")&amp;":"&amp;ADDRESS(130,3+18*3+(2))),'J1 D - South Bank Avenue'!$A$12:$A$130,"&gt;="&amp;Diagram!$O85,'J1 D - South Bank Avenue'!$A$12:$A$130,"&lt;"&amp;Diagram!$P85),SUMIFS(INDIRECT(ADDRESS(12,3+18*3+(10),,,"J1 D - South Bank Avenue")&amp;":"&amp;ADDRESS(130,3+18*3+(10))),'J1 D - South Bank Avenue'!$A$12:$A$130,"&gt;="&amp;Diagram!$O85,'J1 D - South Bank Avenue'!$A$12:$A$130,"&lt;"&amp;Diagram!$P85)))</f>
        <v>0</v>
      </c>
      <c r="BQ85" s="42">
        <f t="shared" ca="1" si="14"/>
        <v>0</v>
      </c>
      <c r="BR85" s="42">
        <f ca="1">IF(OR($I$10="",$O85="",$P85="",$J$38&lt;&gt;"Yes"),0,IF($K$10=0,SUMIFS(INDIRECT(ADDRESS(12,3+18*3+(3),,,"J1 A - (North) Bishopthorpe Roa")&amp;":"&amp;ADDRESS(130,3+18*3+(3))),'J1 A - (North) Bishopthorpe Roa'!$A$12:$A$130,"&gt;="&amp;Diagram!$O85,'J1 A - (North) Bishopthorpe Roa'!$A$12:$A$130,"&lt;"&amp;Diagram!$P85),SUMIFS(INDIRECT(ADDRESS(12,3+18*3+(11),,,"J1 A - (North) Bishopthorpe Roa")&amp;":"&amp;ADDRESS(130,3+18*3+(11))),'J1 A - (North) Bishopthorpe Roa'!$A$12:$A$130,"&gt;="&amp;Diagram!$O85,'J1 A - (North) Bishopthorpe Roa'!$A$12:$A$130,"&lt;"&amp;Diagram!$P85)))</f>
        <v>0</v>
      </c>
      <c r="BS85" s="42">
        <f ca="1">IF(OR($I$10="",$O85="",$P85="",$J$38&lt;&gt;"Yes"),0,IF($K$10=0,SUMIFS(INDIRECT(ADDRESS(12,3+18*0+(3),,,"J1 A - (North) Bishopthorpe Roa")&amp;":"&amp;ADDRESS(130,3+18*0+(3))),'J1 A - (North) Bishopthorpe Roa'!$A$12:$A$130,"&gt;="&amp;Diagram!$O85,'J1 A - (North) Bishopthorpe Roa'!$A$12:$A$130,"&lt;"&amp;Diagram!$P85),SUMIFS(INDIRECT(ADDRESS(12,3+18*0+(11),,,"J1 A - (North) Bishopthorpe Roa")&amp;":"&amp;ADDRESS(130,3+18*0+(11))),'J1 A - (North) Bishopthorpe Roa'!$A$12:$A$130,"&gt;="&amp;Diagram!$O85,'J1 A - (North) Bishopthorpe Roa'!$A$12:$A$130,"&lt;"&amp;Diagram!$P85)))</f>
        <v>0</v>
      </c>
      <c r="BT85" s="42">
        <f ca="1">IF(OR($I$10="",$O85="",$P85="",$J$38&lt;&gt;"Yes"),0,IF($K$10=0,SUMIFS(INDIRECT(ADDRESS(12,3+18*1+(3),,,"J1 A - (North) Bishopthorpe Roa")&amp;":"&amp;ADDRESS(130,3+18*1+(3))),'J1 A - (North) Bishopthorpe Roa'!$A$12:$A$130,"&gt;="&amp;Diagram!$O85,'J1 A - (North) Bishopthorpe Roa'!$A$12:$A$130,"&lt;"&amp;Diagram!$P85),SUMIFS(INDIRECT(ADDRESS(12,3+18*1+(11),,,"J1 A - (North) Bishopthorpe Roa")&amp;":"&amp;ADDRESS(130,3+18*1+(11))),'J1 A - (North) Bishopthorpe Roa'!$A$12:$A$130,"&gt;="&amp;Diagram!$O85,'J1 A - (North) Bishopthorpe Roa'!$A$12:$A$130,"&lt;"&amp;Diagram!$P85)))</f>
        <v>0</v>
      </c>
      <c r="BU85" s="42">
        <f ca="1">IF(OR($I$10="",$O85="",$P85="",$J$38&lt;&gt;"Yes"),0,IF($K$10=0,SUMIFS(INDIRECT(ADDRESS(12,3+18*2+(3),,,"J1 A - (North) Bishopthorpe Roa")&amp;":"&amp;ADDRESS(130,3+18*2+(3))),'J1 A - (North) Bishopthorpe Roa'!$A$12:$A$130,"&gt;="&amp;Diagram!$O85,'J1 A - (North) Bishopthorpe Roa'!$A$12:$A$130,"&lt;"&amp;Diagram!$P85),SUMIFS(INDIRECT(ADDRESS(12,3+18*2+(11),,,"J1 A - (North) Bishopthorpe Roa")&amp;":"&amp;ADDRESS(130,3+18*2+(11))),'J1 A - (North) Bishopthorpe Roa'!$A$12:$A$130,"&gt;="&amp;Diagram!$O85,'J1 A - (North) Bishopthorpe Roa'!$A$12:$A$130,"&lt;"&amp;Diagram!$P85)))</f>
        <v>0</v>
      </c>
      <c r="BV85" s="42">
        <f ca="1">IF(OR($I$10="",$O85="",$P85="",$J$38&lt;&gt;"Yes"),0,IF($K$10=0,SUMIFS(INDIRECT(ADDRESS(12,3+18*2+(3),,,"J1 B - Butcher Terrace")&amp;":"&amp;ADDRESS(130,3+18*2+(3))),'J1 B - Butcher Terrace'!$A$12:$A$130,"&gt;="&amp;Diagram!$O85,'J1 B - Butcher Terrace'!$A$12:$A$130,"&lt;"&amp;Diagram!$P85),SUMIFS(INDIRECT(ADDRESS(12,3+18*2+(11),,,"J1 B - Butcher Terrace")&amp;":"&amp;ADDRESS(130,3+18*2+(11))),'J1 B - Butcher Terrace'!$A$12:$A$130,"&gt;="&amp;Diagram!$O85,'J1 B - Butcher Terrace'!$A$12:$A$130,"&lt;"&amp;Diagram!$P85)))</f>
        <v>0</v>
      </c>
      <c r="BW85" s="42">
        <f ca="1">IF(OR($I$10="",$O85="",$P85="",$J$38&lt;&gt;"Yes"),0,IF($K$10=0,SUMIFS(INDIRECT(ADDRESS(12,3+18*3+(3),,,"J1 B - Butcher Terrace")&amp;":"&amp;ADDRESS(130,3+18*3+(3))),'J1 B - Butcher Terrace'!$A$12:$A$130,"&gt;="&amp;Diagram!$O85,'J1 B - Butcher Terrace'!$A$12:$A$130,"&lt;"&amp;Diagram!$P85),SUMIFS(INDIRECT(ADDRESS(12,3+18*3+(11),,,"J1 B - Butcher Terrace")&amp;":"&amp;ADDRESS(130,3+18*3+(11))),'J1 B - Butcher Terrace'!$A$12:$A$130,"&gt;="&amp;Diagram!$O85,'J1 B - Butcher Terrace'!$A$12:$A$130,"&lt;"&amp;Diagram!$P85)))</f>
        <v>0</v>
      </c>
      <c r="BX85" s="42">
        <f ca="1">IF(OR($I$10="",$O85="",$P85="",$J$38&lt;&gt;"Yes"),0,IF($K$10=0,SUMIFS(INDIRECT(ADDRESS(12,3+18*0+(3),,,"J1 B - Butcher Terrace")&amp;":"&amp;ADDRESS(130,3+18*0+(3))),'J1 B - Butcher Terrace'!$A$12:$A$130,"&gt;="&amp;Diagram!$O85,'J1 B - Butcher Terrace'!$A$12:$A$130,"&lt;"&amp;Diagram!$P85),SUMIFS(INDIRECT(ADDRESS(12,3+18*0+(11),,,"J1 B - Butcher Terrace")&amp;":"&amp;ADDRESS(130,3+18*0+(11))),'J1 B - Butcher Terrace'!$A$12:$A$130,"&gt;="&amp;Diagram!$O85,'J1 B - Butcher Terrace'!$A$12:$A$130,"&lt;"&amp;Diagram!$P85)))</f>
        <v>0</v>
      </c>
      <c r="BY85" s="42">
        <f ca="1">IF(OR($I$10="",$O85="",$P85="",$J$38&lt;&gt;"Yes"),0,IF($K$10=0,SUMIFS(INDIRECT(ADDRESS(12,3+18*1+(3),,,"J1 B - Butcher Terrace")&amp;":"&amp;ADDRESS(130,3+18*1+(3))),'J1 B - Butcher Terrace'!$A$12:$A$130,"&gt;="&amp;Diagram!$O85,'J1 B - Butcher Terrace'!$A$12:$A$130,"&lt;"&amp;Diagram!$P85),SUMIFS(INDIRECT(ADDRESS(12,3+18*1+(11),,,"J1 B - Butcher Terrace")&amp;":"&amp;ADDRESS(130,3+18*1+(11))),'J1 B - Butcher Terrace'!$A$12:$A$130,"&gt;="&amp;Diagram!$O85,'J1 B - Butcher Terrace'!$A$12:$A$130,"&lt;"&amp;Diagram!$P85)))</f>
        <v>0</v>
      </c>
      <c r="BZ85" s="42">
        <f ca="1">IF(OR($I$10="",$O85="",$P85="",$J$38&lt;&gt;"Yes"),0,IF($K$10=0,SUMIFS(INDIRECT(ADDRESS(12,3+18*1+(3),,,"J1 C - (South) Bishopthorpe Roa")&amp;":"&amp;ADDRESS(130,3+18*1+(3))),'J1 C - (South) Bishopthorpe Roa'!$A$12:$A$130,"&gt;="&amp;Diagram!$O85,'J1 C - (South) Bishopthorpe Roa'!$A$12:$A$130,"&lt;"&amp;Diagram!$P85),SUMIFS(INDIRECT(ADDRESS(12,3+18*1+(11),,,"J1 C - (South) Bishopthorpe Roa")&amp;":"&amp;ADDRESS(130,3+18*1+(11))),'J1 C - (South) Bishopthorpe Roa'!$A$12:$A$130,"&gt;="&amp;Diagram!$O85,'J1 C - (South) Bishopthorpe Roa'!$A$12:$A$130,"&lt;"&amp;Diagram!$P85)))</f>
        <v>0</v>
      </c>
      <c r="CA85" s="42">
        <f ca="1">IF(OR($I$10="",$O85="",$P85="",$J$38&lt;&gt;"Yes"),0,IF($K$10=0,SUMIFS(INDIRECT(ADDRESS(12,3+18*2+(3),,,"J1 C - (South) Bishopthorpe Roa")&amp;":"&amp;ADDRESS(130,3+18*2+(3))),'J1 C - (South) Bishopthorpe Roa'!$A$12:$A$130,"&gt;="&amp;Diagram!$O85,'J1 C - (South) Bishopthorpe Roa'!$A$12:$A$130,"&lt;"&amp;Diagram!$P85),SUMIFS(INDIRECT(ADDRESS(12,3+18*2+(11),,,"J1 C - (South) Bishopthorpe Roa")&amp;":"&amp;ADDRESS(130,3+18*2+(11))),'J1 C - (South) Bishopthorpe Roa'!$A$12:$A$130,"&gt;="&amp;Diagram!$O85,'J1 C - (South) Bishopthorpe Roa'!$A$12:$A$130,"&lt;"&amp;Diagram!$P85)))</f>
        <v>0</v>
      </c>
      <c r="CB85" s="42">
        <f ca="1">IF(OR($I$10="",$O85="",$P85="",$J$38&lt;&gt;"Yes"),0,IF($K$10=0,SUMIFS(INDIRECT(ADDRESS(12,3+18*3+(3),,,"J1 C - (South) Bishopthorpe Roa")&amp;":"&amp;ADDRESS(130,3+18*3+(3))),'J1 C - (South) Bishopthorpe Roa'!$A$12:$A$130,"&gt;="&amp;Diagram!$O85,'J1 C - (South) Bishopthorpe Roa'!$A$12:$A$130,"&lt;"&amp;Diagram!$P85),SUMIFS(INDIRECT(ADDRESS(12,3+18*3+(11),,,"J1 C - (South) Bishopthorpe Roa")&amp;":"&amp;ADDRESS(130,3+18*3+(11))),'J1 C - (South) Bishopthorpe Roa'!$A$12:$A$130,"&gt;="&amp;Diagram!$O85,'J1 C - (South) Bishopthorpe Roa'!$A$12:$A$130,"&lt;"&amp;Diagram!$P85)))</f>
        <v>0</v>
      </c>
      <c r="CC85" s="42">
        <f ca="1">IF(OR($I$10="",$O85="",$P85="",$J$38&lt;&gt;"Yes"),0,IF($K$10=0,SUMIFS(INDIRECT(ADDRESS(12,3+18*0+(3),,,"J1 C - (South) Bishopthorpe Roa")&amp;":"&amp;ADDRESS(130,3+18*0+(3))),'J1 C - (South) Bishopthorpe Roa'!$A$12:$A$130,"&gt;="&amp;Diagram!$O85,'J1 C - (South) Bishopthorpe Roa'!$A$12:$A$130,"&lt;"&amp;Diagram!$P85),SUMIFS(INDIRECT(ADDRESS(12,3+18*0+(11),,,"J1 C - (South) Bishopthorpe Roa")&amp;":"&amp;ADDRESS(130,3+18*0+(11))),'J1 C - (South) Bishopthorpe Roa'!$A$12:$A$130,"&gt;="&amp;Diagram!$O85,'J1 C - (South) Bishopthorpe Roa'!$A$12:$A$130,"&lt;"&amp;Diagram!$P85)))</f>
        <v>0</v>
      </c>
      <c r="CD85" s="42">
        <f ca="1">IF(OR($I$10="",$O85="",$P85="",$J$38&lt;&gt;"Yes"),0,IF($K$10=0,SUMIFS(INDIRECT(ADDRESS(12,3+18*0+(3),,,"J1 D - South Bank Avenue")&amp;":"&amp;ADDRESS(130,3+18*0+(3))),'J1 D - South Bank Avenue'!$A$12:$A$130,"&gt;="&amp;Diagram!$O85,'J1 D - South Bank Avenue'!$A$12:$A$130,"&lt;"&amp;Diagram!$P85),SUMIFS(INDIRECT(ADDRESS(12,3+18*0+(11),,,"J1 D - South Bank Avenue")&amp;":"&amp;ADDRESS(130,3+18*0+(11))),'J1 D - South Bank Avenue'!$A$12:$A$130,"&gt;="&amp;Diagram!$O85,'J1 D - South Bank Avenue'!$A$12:$A$130,"&lt;"&amp;Diagram!$P85)))</f>
        <v>0</v>
      </c>
      <c r="CE85" s="42">
        <f ca="1">IF(OR($I$10="",$O85="",$P85="",$J$38&lt;&gt;"Yes"),0,IF($K$10=0,SUMIFS(INDIRECT(ADDRESS(12,3+18*1+(3),,,"J1 D - South Bank Avenue")&amp;":"&amp;ADDRESS(130,3+18*1+(3))),'J1 D - South Bank Avenue'!$A$12:$A$130,"&gt;="&amp;Diagram!$O85,'J1 D - South Bank Avenue'!$A$12:$A$130,"&lt;"&amp;Diagram!$P85),SUMIFS(INDIRECT(ADDRESS(12,3+18*1+(11),,,"J1 D - South Bank Avenue")&amp;":"&amp;ADDRESS(130,3+18*1+(11))),'J1 D - South Bank Avenue'!$A$12:$A$130,"&gt;="&amp;Diagram!$O85,'J1 D - South Bank Avenue'!$A$12:$A$130,"&lt;"&amp;Diagram!$P85)))</f>
        <v>0</v>
      </c>
      <c r="CF85" s="42">
        <f ca="1">IF(OR($I$10="",$O85="",$P85="",$J$38&lt;&gt;"Yes"),0,IF($K$10=0,SUMIFS(INDIRECT(ADDRESS(12,3+18*2+(3),,,"J1 D - South Bank Avenue")&amp;":"&amp;ADDRESS(130,3+18*2+(3))),'J1 D - South Bank Avenue'!$A$12:$A$130,"&gt;="&amp;Diagram!$O85,'J1 D - South Bank Avenue'!$A$12:$A$130,"&lt;"&amp;Diagram!$P85),SUMIFS(INDIRECT(ADDRESS(12,3+18*2+(11),,,"J1 D - South Bank Avenue")&amp;":"&amp;ADDRESS(130,3+18*2+(11))),'J1 D - South Bank Avenue'!$A$12:$A$130,"&gt;="&amp;Diagram!$O85,'J1 D - South Bank Avenue'!$A$12:$A$130,"&lt;"&amp;Diagram!$P85)))</f>
        <v>0</v>
      </c>
      <c r="CG85" s="42">
        <f ca="1">IF(OR($I$10="",$O85="",$P85="",$J$38&lt;&gt;"Yes"),0,IF($K$10=0,SUMIFS(INDIRECT(ADDRESS(12,3+18*3+(3),,,"J1 D - South Bank Avenue")&amp;":"&amp;ADDRESS(130,3+18*3+(3))),'J1 D - South Bank Avenue'!$A$12:$A$130,"&gt;="&amp;Diagram!$O85,'J1 D - South Bank Avenue'!$A$12:$A$130,"&lt;"&amp;Diagram!$P85),SUMIFS(INDIRECT(ADDRESS(12,3+18*3+(11),,,"J1 D - South Bank Avenue")&amp;":"&amp;ADDRESS(130,3+18*3+(11))),'J1 D - South Bank Avenue'!$A$12:$A$130,"&gt;="&amp;Diagram!$O85,'J1 D - South Bank Avenue'!$A$12:$A$130,"&lt;"&amp;Diagram!$P85)))</f>
        <v>0</v>
      </c>
      <c r="CH85" s="42">
        <f t="shared" ca="1" si="15"/>
        <v>3</v>
      </c>
      <c r="CI85" s="42">
        <f ca="1">IF(OR($I$10="",$O85="",$P85="",$J$39&lt;&gt;"Yes"),0,IF($K$10=0,SUMIFS(INDIRECT(ADDRESS(12,3+18*3+(4),,,"J1 A - (North) Bishopthorpe Roa")&amp;":"&amp;ADDRESS(130,3+18*3+(4))),'J1 A - (North) Bishopthorpe Roa'!$A$12:$A$130,"&gt;="&amp;Diagram!$O85,'J1 A - (North) Bishopthorpe Roa'!$A$12:$A$130,"&lt;"&amp;Diagram!$P85),SUMIFS(INDIRECT(ADDRESS(12,3+18*3+(12),,,"J1 A - (North) Bishopthorpe Roa")&amp;":"&amp;ADDRESS(130,3+18*3+(12))),'J1 A - (North) Bishopthorpe Roa'!$A$12:$A$130,"&gt;="&amp;Diagram!$O85,'J1 A - (North) Bishopthorpe Roa'!$A$12:$A$130,"&lt;"&amp;Diagram!$P85)))</f>
        <v>0</v>
      </c>
      <c r="CJ85" s="42">
        <f ca="1">IF(OR($I$10="",$O85="",$P85="",$J$39&lt;&gt;"Yes"),0,IF($K$10=0,SUMIFS(INDIRECT(ADDRESS(12,3+18*0+(4),,,"J1 A - (North) Bishopthorpe Roa")&amp;":"&amp;ADDRESS(130,3+18*0+(4))),'J1 A - (North) Bishopthorpe Roa'!$A$12:$A$130,"&gt;="&amp;Diagram!$O85,'J1 A - (North) Bishopthorpe Roa'!$A$12:$A$130,"&lt;"&amp;Diagram!$P85),SUMIFS(INDIRECT(ADDRESS(12,3+18*0+(12),,,"J1 A - (North) Bishopthorpe Roa")&amp;":"&amp;ADDRESS(130,3+18*0+(12))),'J1 A - (North) Bishopthorpe Roa'!$A$12:$A$130,"&gt;="&amp;Diagram!$O85,'J1 A - (North) Bishopthorpe Roa'!$A$12:$A$130,"&lt;"&amp;Diagram!$P85)))</f>
        <v>0</v>
      </c>
      <c r="CK85" s="42">
        <f ca="1">IF(OR($I$10="",$O85="",$P85="",$J$39&lt;&gt;"Yes"),0,IF($K$10=0,SUMIFS(INDIRECT(ADDRESS(12,3+18*1+(4),,,"J1 A - (North) Bishopthorpe Roa")&amp;":"&amp;ADDRESS(130,3+18*1+(4))),'J1 A - (North) Bishopthorpe Roa'!$A$12:$A$130,"&gt;="&amp;Diagram!$O85,'J1 A - (North) Bishopthorpe Roa'!$A$12:$A$130,"&lt;"&amp;Diagram!$P85),SUMIFS(INDIRECT(ADDRESS(12,3+18*1+(12),,,"J1 A - (North) Bishopthorpe Roa")&amp;":"&amp;ADDRESS(130,3+18*1+(12))),'J1 A - (North) Bishopthorpe Roa'!$A$12:$A$130,"&gt;="&amp;Diagram!$O85,'J1 A - (North) Bishopthorpe Roa'!$A$12:$A$130,"&lt;"&amp;Diagram!$P85)))</f>
        <v>2</v>
      </c>
      <c r="CL85" s="42">
        <f ca="1">IF(OR($I$10="",$O85="",$P85="",$J$39&lt;&gt;"Yes"),0,IF($K$10=0,SUMIFS(INDIRECT(ADDRESS(12,3+18*2+(4),,,"J1 A - (North) Bishopthorpe Roa")&amp;":"&amp;ADDRESS(130,3+18*2+(4))),'J1 A - (North) Bishopthorpe Roa'!$A$12:$A$130,"&gt;="&amp;Diagram!$O85,'J1 A - (North) Bishopthorpe Roa'!$A$12:$A$130,"&lt;"&amp;Diagram!$P85),SUMIFS(INDIRECT(ADDRESS(12,3+18*2+(12),,,"J1 A - (North) Bishopthorpe Roa")&amp;":"&amp;ADDRESS(130,3+18*2+(12))),'J1 A - (North) Bishopthorpe Roa'!$A$12:$A$130,"&gt;="&amp;Diagram!$O85,'J1 A - (North) Bishopthorpe Roa'!$A$12:$A$130,"&lt;"&amp;Diagram!$P85)))</f>
        <v>0</v>
      </c>
      <c r="CM85" s="42">
        <f ca="1">IF(OR($I$10="",$O85="",$P85="",$J$39&lt;&gt;"Yes"),0,IF($K$10=0,SUMIFS(INDIRECT(ADDRESS(12,3+18*2+(4),,,"J1 B - Butcher Terrace")&amp;":"&amp;ADDRESS(130,3+18*2+(4))),'J1 B - Butcher Terrace'!$A$12:$A$130,"&gt;="&amp;Diagram!$O85,'J1 B - Butcher Terrace'!$A$12:$A$130,"&lt;"&amp;Diagram!$P85),SUMIFS(INDIRECT(ADDRESS(12,3+18*2+(12),,,"J1 B - Butcher Terrace")&amp;":"&amp;ADDRESS(130,3+18*2+(12))),'J1 B - Butcher Terrace'!$A$12:$A$130,"&gt;="&amp;Diagram!$O85,'J1 B - Butcher Terrace'!$A$12:$A$130,"&lt;"&amp;Diagram!$P85)))</f>
        <v>0</v>
      </c>
      <c r="CN85" s="42">
        <f ca="1">IF(OR($I$10="",$O85="",$P85="",$J$39&lt;&gt;"Yes"),0,IF($K$10=0,SUMIFS(INDIRECT(ADDRESS(12,3+18*3+(4),,,"J1 B - Butcher Terrace")&amp;":"&amp;ADDRESS(130,3+18*3+(4))),'J1 B - Butcher Terrace'!$A$12:$A$130,"&gt;="&amp;Diagram!$O85,'J1 B - Butcher Terrace'!$A$12:$A$130,"&lt;"&amp;Diagram!$P85),SUMIFS(INDIRECT(ADDRESS(12,3+18*3+(12),,,"J1 B - Butcher Terrace")&amp;":"&amp;ADDRESS(130,3+18*3+(12))),'J1 B - Butcher Terrace'!$A$12:$A$130,"&gt;="&amp;Diagram!$O85,'J1 B - Butcher Terrace'!$A$12:$A$130,"&lt;"&amp;Diagram!$P85)))</f>
        <v>0</v>
      </c>
      <c r="CO85" s="42">
        <f ca="1">IF(OR($I$10="",$O85="",$P85="",$J$39&lt;&gt;"Yes"),0,IF($K$10=0,SUMIFS(INDIRECT(ADDRESS(12,3+18*0+(4),,,"J1 B - Butcher Terrace")&amp;":"&amp;ADDRESS(130,3+18*0+(4))),'J1 B - Butcher Terrace'!$A$12:$A$130,"&gt;="&amp;Diagram!$O85,'J1 B - Butcher Terrace'!$A$12:$A$130,"&lt;"&amp;Diagram!$P85),SUMIFS(INDIRECT(ADDRESS(12,3+18*0+(12),,,"J1 B - Butcher Terrace")&amp;":"&amp;ADDRESS(130,3+18*0+(12))),'J1 B - Butcher Terrace'!$A$12:$A$130,"&gt;="&amp;Diagram!$O85,'J1 B - Butcher Terrace'!$A$12:$A$130,"&lt;"&amp;Diagram!$P85)))</f>
        <v>0</v>
      </c>
      <c r="CP85" s="42">
        <f ca="1">IF(OR($I$10="",$O85="",$P85="",$J$39&lt;&gt;"Yes"),0,IF($K$10=0,SUMIFS(INDIRECT(ADDRESS(12,3+18*1+(4),,,"J1 B - Butcher Terrace")&amp;":"&amp;ADDRESS(130,3+18*1+(4))),'J1 B - Butcher Terrace'!$A$12:$A$130,"&gt;="&amp;Diagram!$O85,'J1 B - Butcher Terrace'!$A$12:$A$130,"&lt;"&amp;Diagram!$P85),SUMIFS(INDIRECT(ADDRESS(12,3+18*1+(12),,,"J1 B - Butcher Terrace")&amp;":"&amp;ADDRESS(130,3+18*1+(12))),'J1 B - Butcher Terrace'!$A$12:$A$130,"&gt;="&amp;Diagram!$O85,'J1 B - Butcher Terrace'!$A$12:$A$130,"&lt;"&amp;Diagram!$P85)))</f>
        <v>0</v>
      </c>
      <c r="CQ85" s="42">
        <f ca="1">IF(OR($I$10="",$O85="",$P85="",$J$39&lt;&gt;"Yes"),0,IF($K$10=0,SUMIFS(INDIRECT(ADDRESS(12,3+18*1+(4),,,"J1 C - (South) Bishopthorpe Roa")&amp;":"&amp;ADDRESS(130,3+18*1+(4))),'J1 C - (South) Bishopthorpe Roa'!$A$12:$A$130,"&gt;="&amp;Diagram!$O85,'J1 C - (South) Bishopthorpe Roa'!$A$12:$A$130,"&lt;"&amp;Diagram!$P85),SUMIFS(INDIRECT(ADDRESS(12,3+18*1+(12),,,"J1 C - (South) Bishopthorpe Roa")&amp;":"&amp;ADDRESS(130,3+18*1+(12))),'J1 C - (South) Bishopthorpe Roa'!$A$12:$A$130,"&gt;="&amp;Diagram!$O85,'J1 C - (South) Bishopthorpe Roa'!$A$12:$A$130,"&lt;"&amp;Diagram!$P85)))</f>
        <v>1</v>
      </c>
      <c r="CR85" s="42">
        <f ca="1">IF(OR($I$10="",$O85="",$P85="",$J$39&lt;&gt;"Yes"),0,IF($K$10=0,SUMIFS(INDIRECT(ADDRESS(12,3+18*2+(4),,,"J1 C - (South) Bishopthorpe Roa")&amp;":"&amp;ADDRESS(130,3+18*2+(4))),'J1 C - (South) Bishopthorpe Roa'!$A$12:$A$130,"&gt;="&amp;Diagram!$O85,'J1 C - (South) Bishopthorpe Roa'!$A$12:$A$130,"&lt;"&amp;Diagram!$P85),SUMIFS(INDIRECT(ADDRESS(12,3+18*2+(12),,,"J1 C - (South) Bishopthorpe Roa")&amp;":"&amp;ADDRESS(130,3+18*2+(12))),'J1 C - (South) Bishopthorpe Roa'!$A$12:$A$130,"&gt;="&amp;Diagram!$O85,'J1 C - (South) Bishopthorpe Roa'!$A$12:$A$130,"&lt;"&amp;Diagram!$P85)))</f>
        <v>0</v>
      </c>
      <c r="CS85" s="42">
        <f ca="1">IF(OR($I$10="",$O85="",$P85="",$J$39&lt;&gt;"Yes"),0,IF($K$10=0,SUMIFS(INDIRECT(ADDRESS(12,3+18*3+(4),,,"J1 C - (South) Bishopthorpe Roa")&amp;":"&amp;ADDRESS(130,3+18*3+(4))),'J1 C - (South) Bishopthorpe Roa'!$A$12:$A$130,"&gt;="&amp;Diagram!$O85,'J1 C - (South) Bishopthorpe Roa'!$A$12:$A$130,"&lt;"&amp;Diagram!$P85),SUMIFS(INDIRECT(ADDRESS(12,3+18*3+(12),,,"J1 C - (South) Bishopthorpe Roa")&amp;":"&amp;ADDRESS(130,3+18*3+(12))),'J1 C - (South) Bishopthorpe Roa'!$A$12:$A$130,"&gt;="&amp;Diagram!$O85,'J1 C - (South) Bishopthorpe Roa'!$A$12:$A$130,"&lt;"&amp;Diagram!$P85)))</f>
        <v>0</v>
      </c>
      <c r="CT85" s="42">
        <f ca="1">IF(OR($I$10="",$O85="",$P85="",$J$39&lt;&gt;"Yes"),0,IF($K$10=0,SUMIFS(INDIRECT(ADDRESS(12,3+18*0+(4),,,"J1 C - (South) Bishopthorpe Roa")&amp;":"&amp;ADDRESS(130,3+18*0+(4))),'J1 C - (South) Bishopthorpe Roa'!$A$12:$A$130,"&gt;="&amp;Diagram!$O85,'J1 C - (South) Bishopthorpe Roa'!$A$12:$A$130,"&lt;"&amp;Diagram!$P85),SUMIFS(INDIRECT(ADDRESS(12,3+18*0+(12),,,"J1 C - (South) Bishopthorpe Roa")&amp;":"&amp;ADDRESS(130,3+18*0+(12))),'J1 C - (South) Bishopthorpe Roa'!$A$12:$A$130,"&gt;="&amp;Diagram!$O85,'J1 C - (South) Bishopthorpe Roa'!$A$12:$A$130,"&lt;"&amp;Diagram!$P85)))</f>
        <v>0</v>
      </c>
      <c r="CU85" s="42">
        <f ca="1">IF(OR($I$10="",$O85="",$P85="",$J$39&lt;&gt;"Yes"),0,IF($K$10=0,SUMIFS(INDIRECT(ADDRESS(12,3+18*0+(4),,,"J1 D - South Bank Avenue")&amp;":"&amp;ADDRESS(130,3+18*0+(4))),'J1 D - South Bank Avenue'!$A$12:$A$130,"&gt;="&amp;Diagram!$O85,'J1 D - South Bank Avenue'!$A$12:$A$130,"&lt;"&amp;Diagram!$P85),SUMIFS(INDIRECT(ADDRESS(12,3+18*0+(12),,,"J1 D - South Bank Avenue")&amp;":"&amp;ADDRESS(130,3+18*0+(12))),'J1 D - South Bank Avenue'!$A$12:$A$130,"&gt;="&amp;Diagram!$O85,'J1 D - South Bank Avenue'!$A$12:$A$130,"&lt;"&amp;Diagram!$P85)))</f>
        <v>0</v>
      </c>
      <c r="CV85" s="42">
        <f ca="1">IF(OR($I$10="",$O85="",$P85="",$J$39&lt;&gt;"Yes"),0,IF($K$10=0,SUMIFS(INDIRECT(ADDRESS(12,3+18*1+(4),,,"J1 D - South Bank Avenue")&amp;":"&amp;ADDRESS(130,3+18*1+(4))),'J1 D - South Bank Avenue'!$A$12:$A$130,"&gt;="&amp;Diagram!$O85,'J1 D - South Bank Avenue'!$A$12:$A$130,"&lt;"&amp;Diagram!$P85),SUMIFS(INDIRECT(ADDRESS(12,3+18*1+(12),,,"J1 D - South Bank Avenue")&amp;":"&amp;ADDRESS(130,3+18*1+(12))),'J1 D - South Bank Avenue'!$A$12:$A$130,"&gt;="&amp;Diagram!$O85,'J1 D - South Bank Avenue'!$A$12:$A$130,"&lt;"&amp;Diagram!$P85)))</f>
        <v>0</v>
      </c>
      <c r="CW85" s="42">
        <f ca="1">IF(OR($I$10="",$O85="",$P85="",$J$39&lt;&gt;"Yes"),0,IF($K$10=0,SUMIFS(INDIRECT(ADDRESS(12,3+18*2+(4),,,"J1 D - South Bank Avenue")&amp;":"&amp;ADDRESS(130,3+18*2+(4))),'J1 D - South Bank Avenue'!$A$12:$A$130,"&gt;="&amp;Diagram!$O85,'J1 D - South Bank Avenue'!$A$12:$A$130,"&lt;"&amp;Diagram!$P85),SUMIFS(INDIRECT(ADDRESS(12,3+18*2+(12),,,"J1 D - South Bank Avenue")&amp;":"&amp;ADDRESS(130,3+18*2+(12))),'J1 D - South Bank Avenue'!$A$12:$A$130,"&gt;="&amp;Diagram!$O85,'J1 D - South Bank Avenue'!$A$12:$A$130,"&lt;"&amp;Diagram!$P85)))</f>
        <v>0</v>
      </c>
      <c r="CX85" s="42">
        <f ca="1">IF(OR($I$10="",$O85="",$P85="",$J$39&lt;&gt;"Yes"),0,IF($K$10=0,SUMIFS(INDIRECT(ADDRESS(12,3+18*3+(4),,,"J1 D - South Bank Avenue")&amp;":"&amp;ADDRESS(130,3+18*3+(4))),'J1 D - South Bank Avenue'!$A$12:$A$130,"&gt;="&amp;Diagram!$O85,'J1 D - South Bank Avenue'!$A$12:$A$130,"&lt;"&amp;Diagram!$P85),SUMIFS(INDIRECT(ADDRESS(12,3+18*3+(12),,,"J1 D - South Bank Avenue")&amp;":"&amp;ADDRESS(130,3+18*3+(12))),'J1 D - South Bank Avenue'!$A$12:$A$130,"&gt;="&amp;Diagram!$O85,'J1 D - South Bank Avenue'!$A$12:$A$130,"&lt;"&amp;Diagram!$P85)))</f>
        <v>0</v>
      </c>
      <c r="CY85" s="42">
        <f t="shared" ca="1" si="16"/>
        <v>57</v>
      </c>
      <c r="CZ85" s="42">
        <f ca="1">IF(OR($I$10="",$O85="",$P85="",$J$40&lt;&gt;"Yes"),0,IF($K$10=0,SUMIFS(INDIRECT(ADDRESS(12,3+18*3+(5),,,"J1 A - (North) Bishopthorpe Roa")&amp;":"&amp;ADDRESS(130,3+18*3+(5))),'J1 A - (North) Bishopthorpe Roa'!$A$12:$A$130,"&gt;="&amp;Diagram!$O85,'J1 A - (North) Bishopthorpe Roa'!$A$12:$A$130,"&lt;"&amp;Diagram!$P85),SUMIFS(INDIRECT(ADDRESS(12,3+18*3+(13),,,"J1 A - (North) Bishopthorpe Roa")&amp;":"&amp;ADDRESS(130,3+18*3+(13))),'J1 A - (North) Bishopthorpe Roa'!$A$12:$A$130,"&gt;="&amp;Diagram!$O85,'J1 A - (North) Bishopthorpe Roa'!$A$12:$A$130,"&lt;"&amp;Diagram!$P85)))</f>
        <v>0</v>
      </c>
      <c r="DA85" s="42">
        <f ca="1">IF(OR($I$10="",$O85="",$P85="",$J$40&lt;&gt;"Yes"),0,IF($K$10=0,SUMIFS(INDIRECT(ADDRESS(12,3+18*0+(5),,,"J1 A - (North) Bishopthorpe Roa")&amp;":"&amp;ADDRESS(130,3+18*0+(5))),'J1 A - (North) Bishopthorpe Roa'!$A$12:$A$130,"&gt;="&amp;Diagram!$O85,'J1 A - (North) Bishopthorpe Roa'!$A$12:$A$130,"&lt;"&amp;Diagram!$P85),SUMIFS(INDIRECT(ADDRESS(12,3+18*0+(13),,,"J1 A - (North) Bishopthorpe Roa")&amp;":"&amp;ADDRESS(130,3+18*0+(13))),'J1 A - (North) Bishopthorpe Roa'!$A$12:$A$130,"&gt;="&amp;Diagram!$O85,'J1 A - (North) Bishopthorpe Roa'!$A$12:$A$130,"&lt;"&amp;Diagram!$P85)))</f>
        <v>5</v>
      </c>
      <c r="DB85" s="42">
        <f ca="1">IF(OR($I$10="",$O85="",$P85="",$J$40&lt;&gt;"Yes"),0,IF($K$10=0,SUMIFS(INDIRECT(ADDRESS(12,3+18*1+(5),,,"J1 A - (North) Bishopthorpe Roa")&amp;":"&amp;ADDRESS(130,3+18*1+(5))),'J1 A - (North) Bishopthorpe Roa'!$A$12:$A$130,"&gt;="&amp;Diagram!$O85,'J1 A - (North) Bishopthorpe Roa'!$A$12:$A$130,"&lt;"&amp;Diagram!$P85),SUMIFS(INDIRECT(ADDRESS(12,3+18*1+(13),,,"J1 A - (North) Bishopthorpe Roa")&amp;":"&amp;ADDRESS(130,3+18*1+(13))),'J1 A - (North) Bishopthorpe Roa'!$A$12:$A$130,"&gt;="&amp;Diagram!$O85,'J1 A - (North) Bishopthorpe Roa'!$A$12:$A$130,"&lt;"&amp;Diagram!$P85)))</f>
        <v>6</v>
      </c>
      <c r="DC85" s="42">
        <f ca="1">IF(OR($I$10="",$O85="",$P85="",$J$40&lt;&gt;"Yes"),0,IF($K$10=0,SUMIFS(INDIRECT(ADDRESS(12,3+18*2+(5),,,"J1 A - (North) Bishopthorpe Roa")&amp;":"&amp;ADDRESS(130,3+18*2+(5))),'J1 A - (North) Bishopthorpe Roa'!$A$12:$A$130,"&gt;="&amp;Diagram!$O85,'J1 A - (North) Bishopthorpe Roa'!$A$12:$A$130,"&lt;"&amp;Diagram!$P85),SUMIFS(INDIRECT(ADDRESS(12,3+18*2+(13),,,"J1 A - (North) Bishopthorpe Roa")&amp;":"&amp;ADDRESS(130,3+18*2+(13))),'J1 A - (North) Bishopthorpe Roa'!$A$12:$A$130,"&gt;="&amp;Diagram!$O85,'J1 A - (North) Bishopthorpe Roa'!$A$12:$A$130,"&lt;"&amp;Diagram!$P85)))</f>
        <v>1</v>
      </c>
      <c r="DD85" s="42">
        <f ca="1">IF(OR($I$10="",$O85="",$P85="",$J$40&lt;&gt;"Yes"),0,IF($K$10=0,SUMIFS(INDIRECT(ADDRESS(12,3+18*2+(5),,,"J1 B - Butcher Terrace")&amp;":"&amp;ADDRESS(130,3+18*2+(5))),'J1 B - Butcher Terrace'!$A$12:$A$130,"&gt;="&amp;Diagram!$O85,'J1 B - Butcher Terrace'!$A$12:$A$130,"&lt;"&amp;Diagram!$P85),SUMIFS(INDIRECT(ADDRESS(12,3+18*2+(13),,,"J1 B - Butcher Terrace")&amp;":"&amp;ADDRESS(130,3+18*2+(13))),'J1 B - Butcher Terrace'!$A$12:$A$130,"&gt;="&amp;Diagram!$O85,'J1 B - Butcher Terrace'!$A$12:$A$130,"&lt;"&amp;Diagram!$P85)))</f>
        <v>8</v>
      </c>
      <c r="DE85" s="42">
        <f ca="1">IF(OR($I$10="",$O85="",$P85="",$J$40&lt;&gt;"Yes"),0,IF($K$10=0,SUMIFS(INDIRECT(ADDRESS(12,3+18*3+(5),,,"J1 B - Butcher Terrace")&amp;":"&amp;ADDRESS(130,3+18*3+(5))),'J1 B - Butcher Terrace'!$A$12:$A$130,"&gt;="&amp;Diagram!$O85,'J1 B - Butcher Terrace'!$A$12:$A$130,"&lt;"&amp;Diagram!$P85),SUMIFS(INDIRECT(ADDRESS(12,3+18*3+(13),,,"J1 B - Butcher Terrace")&amp;":"&amp;ADDRESS(130,3+18*3+(13))),'J1 B - Butcher Terrace'!$A$12:$A$130,"&gt;="&amp;Diagram!$O85,'J1 B - Butcher Terrace'!$A$12:$A$130,"&lt;"&amp;Diagram!$P85)))</f>
        <v>0</v>
      </c>
      <c r="DF85" s="42">
        <f ca="1">IF(OR($I$10="",$O85="",$P85="",$J$40&lt;&gt;"Yes"),0,IF($K$10=0,SUMIFS(INDIRECT(ADDRESS(12,3+18*0+(5),,,"J1 B - Butcher Terrace")&amp;":"&amp;ADDRESS(130,3+18*0+(5))),'J1 B - Butcher Terrace'!$A$12:$A$130,"&gt;="&amp;Diagram!$O85,'J1 B - Butcher Terrace'!$A$12:$A$130,"&lt;"&amp;Diagram!$P85),SUMIFS(INDIRECT(ADDRESS(12,3+18*0+(13),,,"J1 B - Butcher Terrace")&amp;":"&amp;ADDRESS(130,3+18*0+(13))),'J1 B - Butcher Terrace'!$A$12:$A$130,"&gt;="&amp;Diagram!$O85,'J1 B - Butcher Terrace'!$A$12:$A$130,"&lt;"&amp;Diagram!$P85)))</f>
        <v>4</v>
      </c>
      <c r="DG85" s="42">
        <f ca="1">IF(OR($I$10="",$O85="",$P85="",$J$40&lt;&gt;"Yes"),0,IF($K$10=0,SUMIFS(INDIRECT(ADDRESS(12,3+18*1+(5),,,"J1 B - Butcher Terrace")&amp;":"&amp;ADDRESS(130,3+18*1+(5))),'J1 B - Butcher Terrace'!$A$12:$A$130,"&gt;="&amp;Diagram!$O85,'J1 B - Butcher Terrace'!$A$12:$A$130,"&lt;"&amp;Diagram!$P85),SUMIFS(INDIRECT(ADDRESS(12,3+18*1+(13),,,"J1 B - Butcher Terrace")&amp;":"&amp;ADDRESS(130,3+18*1+(13))),'J1 B - Butcher Terrace'!$A$12:$A$130,"&gt;="&amp;Diagram!$O85,'J1 B - Butcher Terrace'!$A$12:$A$130,"&lt;"&amp;Diagram!$P85)))</f>
        <v>18</v>
      </c>
      <c r="DH85" s="42">
        <f ca="1">IF(OR($I$10="",$O85="",$P85="",$J$40&lt;&gt;"Yes"),0,IF($K$10=0,SUMIFS(INDIRECT(ADDRESS(12,3+18*1+(5),,,"J1 C - (South) Bishopthorpe Roa")&amp;":"&amp;ADDRESS(130,3+18*1+(5))),'J1 C - (South) Bishopthorpe Roa'!$A$12:$A$130,"&gt;="&amp;Diagram!$O85,'J1 C - (South) Bishopthorpe Roa'!$A$12:$A$130,"&lt;"&amp;Diagram!$P85),SUMIFS(INDIRECT(ADDRESS(12,3+18*1+(13),,,"J1 C - (South) Bishopthorpe Roa")&amp;":"&amp;ADDRESS(130,3+18*1+(13))),'J1 C - (South) Bishopthorpe Roa'!$A$12:$A$130,"&gt;="&amp;Diagram!$O85,'J1 C - (South) Bishopthorpe Roa'!$A$12:$A$130,"&lt;"&amp;Diagram!$P85)))</f>
        <v>7</v>
      </c>
      <c r="DI85" s="42">
        <f ca="1">IF(OR($I$10="",$O85="",$P85="",$J$40&lt;&gt;"Yes"),0,IF($K$10=0,SUMIFS(INDIRECT(ADDRESS(12,3+18*2+(5),,,"J1 C - (South) Bishopthorpe Roa")&amp;":"&amp;ADDRESS(130,3+18*2+(5))),'J1 C - (South) Bishopthorpe Roa'!$A$12:$A$130,"&gt;="&amp;Diagram!$O85,'J1 C - (South) Bishopthorpe Roa'!$A$12:$A$130,"&lt;"&amp;Diagram!$P85),SUMIFS(INDIRECT(ADDRESS(12,3+18*2+(13),,,"J1 C - (South) Bishopthorpe Roa")&amp;":"&amp;ADDRESS(130,3+18*2+(13))),'J1 C - (South) Bishopthorpe Roa'!$A$12:$A$130,"&gt;="&amp;Diagram!$O85,'J1 C - (South) Bishopthorpe Roa'!$A$12:$A$130,"&lt;"&amp;Diagram!$P85)))</f>
        <v>0</v>
      </c>
      <c r="DJ85" s="42">
        <f ca="1">IF(OR($I$10="",$O85="",$P85="",$J$40&lt;&gt;"Yes"),0,IF($K$10=0,SUMIFS(INDIRECT(ADDRESS(12,3+18*3+(5),,,"J1 C - (South) Bishopthorpe Roa")&amp;":"&amp;ADDRESS(130,3+18*3+(5))),'J1 C - (South) Bishopthorpe Roa'!$A$12:$A$130,"&gt;="&amp;Diagram!$O85,'J1 C - (South) Bishopthorpe Roa'!$A$12:$A$130,"&lt;"&amp;Diagram!$P85),SUMIFS(INDIRECT(ADDRESS(12,3+18*3+(13),,,"J1 C - (South) Bishopthorpe Roa")&amp;":"&amp;ADDRESS(130,3+18*3+(13))),'J1 C - (South) Bishopthorpe Roa'!$A$12:$A$130,"&gt;="&amp;Diagram!$O85,'J1 C - (South) Bishopthorpe Roa'!$A$12:$A$130,"&lt;"&amp;Diagram!$P85)))</f>
        <v>0</v>
      </c>
      <c r="DK85" s="42">
        <f ca="1">IF(OR($I$10="",$O85="",$P85="",$J$40&lt;&gt;"Yes"),0,IF($K$10=0,SUMIFS(INDIRECT(ADDRESS(12,3+18*0+(5),,,"J1 C - (South) Bishopthorpe Roa")&amp;":"&amp;ADDRESS(130,3+18*0+(5))),'J1 C - (South) Bishopthorpe Roa'!$A$12:$A$130,"&gt;="&amp;Diagram!$O85,'J1 C - (South) Bishopthorpe Roa'!$A$12:$A$130,"&lt;"&amp;Diagram!$P85),SUMIFS(INDIRECT(ADDRESS(12,3+18*0+(13),,,"J1 C - (South) Bishopthorpe Roa")&amp;":"&amp;ADDRESS(130,3+18*0+(13))),'J1 C - (South) Bishopthorpe Roa'!$A$12:$A$130,"&gt;="&amp;Diagram!$O85,'J1 C - (South) Bishopthorpe Roa'!$A$12:$A$130,"&lt;"&amp;Diagram!$P85)))</f>
        <v>0</v>
      </c>
      <c r="DL85" s="42">
        <f ca="1">IF(OR($I$10="",$O85="",$P85="",$J$40&lt;&gt;"Yes"),0,IF($K$10=0,SUMIFS(INDIRECT(ADDRESS(12,3+18*0+(5),,,"J1 D - South Bank Avenue")&amp;":"&amp;ADDRESS(130,3+18*0+(5))),'J1 D - South Bank Avenue'!$A$12:$A$130,"&gt;="&amp;Diagram!$O85,'J1 D - South Bank Avenue'!$A$12:$A$130,"&lt;"&amp;Diagram!$P85),SUMIFS(INDIRECT(ADDRESS(12,3+18*0+(13),,,"J1 D - South Bank Avenue")&amp;":"&amp;ADDRESS(130,3+18*0+(13))),'J1 D - South Bank Avenue'!$A$12:$A$130,"&gt;="&amp;Diagram!$O85,'J1 D - South Bank Avenue'!$A$12:$A$130,"&lt;"&amp;Diagram!$P85)))</f>
        <v>0</v>
      </c>
      <c r="DM85" s="42">
        <f ca="1">IF(OR($I$10="",$O85="",$P85="",$J$40&lt;&gt;"Yes"),0,IF($K$10=0,SUMIFS(INDIRECT(ADDRESS(12,3+18*1+(5),,,"J1 D - South Bank Avenue")&amp;":"&amp;ADDRESS(130,3+18*1+(5))),'J1 D - South Bank Avenue'!$A$12:$A$130,"&gt;="&amp;Diagram!$O85,'J1 D - South Bank Avenue'!$A$12:$A$130,"&lt;"&amp;Diagram!$P85),SUMIFS(INDIRECT(ADDRESS(12,3+18*1+(13),,,"J1 D - South Bank Avenue")&amp;":"&amp;ADDRESS(130,3+18*1+(13))),'J1 D - South Bank Avenue'!$A$12:$A$130,"&gt;="&amp;Diagram!$O85,'J1 D - South Bank Avenue'!$A$12:$A$130,"&lt;"&amp;Diagram!$P85)))</f>
        <v>8</v>
      </c>
      <c r="DN85" s="42">
        <f ca="1">IF(OR($I$10="",$O85="",$P85="",$J$40&lt;&gt;"Yes"),0,IF($K$10=0,SUMIFS(INDIRECT(ADDRESS(12,3+18*2+(5),,,"J1 D - South Bank Avenue")&amp;":"&amp;ADDRESS(130,3+18*2+(5))),'J1 D - South Bank Avenue'!$A$12:$A$130,"&gt;="&amp;Diagram!$O85,'J1 D - South Bank Avenue'!$A$12:$A$130,"&lt;"&amp;Diagram!$P85),SUMIFS(INDIRECT(ADDRESS(12,3+18*2+(13),,,"J1 D - South Bank Avenue")&amp;":"&amp;ADDRESS(130,3+18*2+(13))),'J1 D - South Bank Avenue'!$A$12:$A$130,"&gt;="&amp;Diagram!$O85,'J1 D - South Bank Avenue'!$A$12:$A$130,"&lt;"&amp;Diagram!$P85)))</f>
        <v>0</v>
      </c>
      <c r="DO85" s="42">
        <f ca="1">IF(OR($I$10="",$O85="",$P85="",$J$40&lt;&gt;"Yes"),0,IF($K$10=0,SUMIFS(INDIRECT(ADDRESS(12,3+18*3+(5),,,"J1 D - South Bank Avenue")&amp;":"&amp;ADDRESS(130,3+18*3+(5))),'J1 D - South Bank Avenue'!$A$12:$A$130,"&gt;="&amp;Diagram!$O85,'J1 D - South Bank Avenue'!$A$12:$A$130,"&lt;"&amp;Diagram!$P85),SUMIFS(INDIRECT(ADDRESS(12,3+18*3+(13),,,"J1 D - South Bank Avenue")&amp;":"&amp;ADDRESS(130,3+18*3+(13))),'J1 D - South Bank Avenue'!$A$12:$A$130,"&gt;="&amp;Diagram!$O85,'J1 D - South Bank Avenue'!$A$12:$A$130,"&lt;"&amp;Diagram!$P85)))</f>
        <v>0</v>
      </c>
      <c r="DP85" s="42">
        <f t="shared" ca="1" si="17"/>
        <v>4</v>
      </c>
      <c r="DQ85" s="42">
        <f ca="1">IF(OR($I$10="",$O85="",$P85="",$J$41&lt;&gt;"Yes"),0,IF($K$10=0,SUMIFS(INDIRECT(ADDRESS(12,3+18*3+(6),,,"J1 A - (North) Bishopthorpe Roa")&amp;":"&amp;ADDRESS(130,3+18*3+(6))),'J1 A - (North) Bishopthorpe Roa'!$A$12:$A$130,"&gt;="&amp;Diagram!$O85,'J1 A - (North) Bishopthorpe Roa'!$A$12:$A$130,"&lt;"&amp;Diagram!$P85),SUMIFS(INDIRECT(ADDRESS(12,3+18*3+(14),,,"J1 A - (North) Bishopthorpe Roa")&amp;":"&amp;ADDRESS(130,3+18*3+(14))),'J1 A - (North) Bishopthorpe Roa'!$A$12:$A$130,"&gt;="&amp;Diagram!$O85,'J1 A - (North) Bishopthorpe Roa'!$A$12:$A$130,"&lt;"&amp;Diagram!$P85)))</f>
        <v>0</v>
      </c>
      <c r="DR85" s="42">
        <f ca="1">IF(OR($I$10="",$O85="",$P85="",$J$41&lt;&gt;"Yes"),0,IF($K$10=0,SUMIFS(INDIRECT(ADDRESS(12,3+18*0+(6),,,"J1 A - (North) Bishopthorpe Roa")&amp;":"&amp;ADDRESS(130,3+18*0+(6))),'J1 A - (North) Bishopthorpe Roa'!$A$12:$A$130,"&gt;="&amp;Diagram!$O85,'J1 A - (North) Bishopthorpe Roa'!$A$12:$A$130,"&lt;"&amp;Diagram!$P85),SUMIFS(INDIRECT(ADDRESS(12,3+18*0+(14),,,"J1 A - (North) Bishopthorpe Roa")&amp;":"&amp;ADDRESS(130,3+18*0+(14))),'J1 A - (North) Bishopthorpe Roa'!$A$12:$A$130,"&gt;="&amp;Diagram!$O85,'J1 A - (North) Bishopthorpe Roa'!$A$12:$A$130,"&lt;"&amp;Diagram!$P85)))</f>
        <v>0</v>
      </c>
      <c r="DS85" s="42">
        <f ca="1">IF(OR($I$10="",$O85="",$P85="",$J$41&lt;&gt;"Yes"),0,IF($K$10=0,SUMIFS(INDIRECT(ADDRESS(12,3+18*1+(6),,,"J1 A - (North) Bishopthorpe Roa")&amp;":"&amp;ADDRESS(130,3+18*1+(6))),'J1 A - (North) Bishopthorpe Roa'!$A$12:$A$130,"&gt;="&amp;Diagram!$O85,'J1 A - (North) Bishopthorpe Roa'!$A$12:$A$130,"&lt;"&amp;Diagram!$P85),SUMIFS(INDIRECT(ADDRESS(12,3+18*1+(14),,,"J1 A - (North) Bishopthorpe Roa")&amp;":"&amp;ADDRESS(130,3+18*1+(14))),'J1 A - (North) Bishopthorpe Roa'!$A$12:$A$130,"&gt;="&amp;Diagram!$O85,'J1 A - (North) Bishopthorpe Roa'!$A$12:$A$130,"&lt;"&amp;Diagram!$P85)))</f>
        <v>0</v>
      </c>
      <c r="DT85" s="42">
        <f ca="1">IF(OR($I$10="",$O85="",$P85="",$J$41&lt;&gt;"Yes"),0,IF($K$10=0,SUMIFS(INDIRECT(ADDRESS(12,3+18*2+(6),,,"J1 A - (North) Bishopthorpe Roa")&amp;":"&amp;ADDRESS(130,3+18*2+(6))),'J1 A - (North) Bishopthorpe Roa'!$A$12:$A$130,"&gt;="&amp;Diagram!$O85,'J1 A - (North) Bishopthorpe Roa'!$A$12:$A$130,"&lt;"&amp;Diagram!$P85),SUMIFS(INDIRECT(ADDRESS(12,3+18*2+(14),,,"J1 A - (North) Bishopthorpe Roa")&amp;":"&amp;ADDRESS(130,3+18*2+(14))),'J1 A - (North) Bishopthorpe Roa'!$A$12:$A$130,"&gt;="&amp;Diagram!$O85,'J1 A - (North) Bishopthorpe Roa'!$A$12:$A$130,"&lt;"&amp;Diagram!$P85)))</f>
        <v>1</v>
      </c>
      <c r="DU85" s="42">
        <f ca="1">IF(OR($I$10="",$O85="",$P85="",$J$41&lt;&gt;"Yes"),0,IF($K$10=0,SUMIFS(INDIRECT(ADDRESS(12,3+18*2+(6),,,"J1 B - Butcher Terrace")&amp;":"&amp;ADDRESS(130,3+18*2+(6))),'J1 B - Butcher Terrace'!$A$12:$A$130,"&gt;="&amp;Diagram!$O85,'J1 B - Butcher Terrace'!$A$12:$A$130,"&lt;"&amp;Diagram!$P85),SUMIFS(INDIRECT(ADDRESS(12,3+18*2+(14),,,"J1 B - Butcher Terrace")&amp;":"&amp;ADDRESS(130,3+18*2+(14))),'J1 B - Butcher Terrace'!$A$12:$A$130,"&gt;="&amp;Diagram!$O85,'J1 B - Butcher Terrace'!$A$12:$A$130,"&lt;"&amp;Diagram!$P85)))</f>
        <v>0</v>
      </c>
      <c r="DV85" s="42">
        <f ca="1">IF(OR($I$10="",$O85="",$P85="",$J$41&lt;&gt;"Yes"),0,IF($K$10=0,SUMIFS(INDIRECT(ADDRESS(12,3+18*3+(6),,,"J1 B - Butcher Terrace")&amp;":"&amp;ADDRESS(130,3+18*3+(6))),'J1 B - Butcher Terrace'!$A$12:$A$130,"&gt;="&amp;Diagram!$O85,'J1 B - Butcher Terrace'!$A$12:$A$130,"&lt;"&amp;Diagram!$P85),SUMIFS(INDIRECT(ADDRESS(12,3+18*3+(14),,,"J1 B - Butcher Terrace")&amp;":"&amp;ADDRESS(130,3+18*3+(14))),'J1 B - Butcher Terrace'!$A$12:$A$130,"&gt;="&amp;Diagram!$O85,'J1 B - Butcher Terrace'!$A$12:$A$130,"&lt;"&amp;Diagram!$P85)))</f>
        <v>0</v>
      </c>
      <c r="DW85" s="42">
        <f ca="1">IF(OR($I$10="",$O85="",$P85="",$J$41&lt;&gt;"Yes"),0,IF($K$10=0,SUMIFS(INDIRECT(ADDRESS(12,3+18*0+(6),,,"J1 B - Butcher Terrace")&amp;":"&amp;ADDRESS(130,3+18*0+(6))),'J1 B - Butcher Terrace'!$A$12:$A$130,"&gt;="&amp;Diagram!$O85,'J1 B - Butcher Terrace'!$A$12:$A$130,"&lt;"&amp;Diagram!$P85),SUMIFS(INDIRECT(ADDRESS(12,3+18*0+(14),,,"J1 B - Butcher Terrace")&amp;":"&amp;ADDRESS(130,3+18*0+(14))),'J1 B - Butcher Terrace'!$A$12:$A$130,"&gt;="&amp;Diagram!$O85,'J1 B - Butcher Terrace'!$A$12:$A$130,"&lt;"&amp;Diagram!$P85)))</f>
        <v>0</v>
      </c>
      <c r="DX85" s="42">
        <f ca="1">IF(OR($I$10="",$O85="",$P85="",$J$41&lt;&gt;"Yes"),0,IF($K$10=0,SUMIFS(INDIRECT(ADDRESS(12,3+18*1+(6),,,"J1 B - Butcher Terrace")&amp;":"&amp;ADDRESS(130,3+18*1+(6))),'J1 B - Butcher Terrace'!$A$12:$A$130,"&gt;="&amp;Diagram!$O85,'J1 B - Butcher Terrace'!$A$12:$A$130,"&lt;"&amp;Diagram!$P85),SUMIFS(INDIRECT(ADDRESS(12,3+18*1+(14),,,"J1 B - Butcher Terrace")&amp;":"&amp;ADDRESS(130,3+18*1+(14))),'J1 B - Butcher Terrace'!$A$12:$A$130,"&gt;="&amp;Diagram!$O85,'J1 B - Butcher Terrace'!$A$12:$A$130,"&lt;"&amp;Diagram!$P85)))</f>
        <v>0</v>
      </c>
      <c r="DY85" s="42">
        <f ca="1">IF(OR($I$10="",$O85="",$P85="",$J$41&lt;&gt;"Yes"),0,IF($K$10=0,SUMIFS(INDIRECT(ADDRESS(12,3+18*1+(6),,,"J1 C - (South) Bishopthorpe Roa")&amp;":"&amp;ADDRESS(130,3+18*1+(6))),'J1 C - (South) Bishopthorpe Roa'!$A$12:$A$130,"&gt;="&amp;Diagram!$O85,'J1 C - (South) Bishopthorpe Roa'!$A$12:$A$130,"&lt;"&amp;Diagram!$P85),SUMIFS(INDIRECT(ADDRESS(12,3+18*1+(14),,,"J1 C - (South) Bishopthorpe Roa")&amp;":"&amp;ADDRESS(130,3+18*1+(14))),'J1 C - (South) Bishopthorpe Roa'!$A$12:$A$130,"&gt;="&amp;Diagram!$O85,'J1 C - (South) Bishopthorpe Roa'!$A$12:$A$130,"&lt;"&amp;Diagram!$P85)))</f>
        <v>0</v>
      </c>
      <c r="DZ85" s="42">
        <f ca="1">IF(OR($I$10="",$O85="",$P85="",$J$41&lt;&gt;"Yes"),0,IF($K$10=0,SUMIFS(INDIRECT(ADDRESS(12,3+18*2+(6),,,"J1 C - (South) Bishopthorpe Roa")&amp;":"&amp;ADDRESS(130,3+18*2+(6))),'J1 C - (South) Bishopthorpe Roa'!$A$12:$A$130,"&gt;="&amp;Diagram!$O85,'J1 C - (South) Bishopthorpe Roa'!$A$12:$A$130,"&lt;"&amp;Diagram!$P85),SUMIFS(INDIRECT(ADDRESS(12,3+18*2+(14),,,"J1 C - (South) Bishopthorpe Roa")&amp;":"&amp;ADDRESS(130,3+18*2+(14))),'J1 C - (South) Bishopthorpe Roa'!$A$12:$A$130,"&gt;="&amp;Diagram!$O85,'J1 C - (South) Bishopthorpe Roa'!$A$12:$A$130,"&lt;"&amp;Diagram!$P85)))</f>
        <v>0</v>
      </c>
      <c r="EA85" s="42">
        <f ca="1">IF(OR($I$10="",$O85="",$P85="",$J$41&lt;&gt;"Yes"),0,IF($K$10=0,SUMIFS(INDIRECT(ADDRESS(12,3+18*3+(6),,,"J1 C - (South) Bishopthorpe Roa")&amp;":"&amp;ADDRESS(130,3+18*3+(6))),'J1 C - (South) Bishopthorpe Roa'!$A$12:$A$130,"&gt;="&amp;Diagram!$O85,'J1 C - (South) Bishopthorpe Roa'!$A$12:$A$130,"&lt;"&amp;Diagram!$P85),SUMIFS(INDIRECT(ADDRESS(12,3+18*3+(14),,,"J1 C - (South) Bishopthorpe Roa")&amp;":"&amp;ADDRESS(130,3+18*3+(14))),'J1 C - (South) Bishopthorpe Roa'!$A$12:$A$130,"&gt;="&amp;Diagram!$O85,'J1 C - (South) Bishopthorpe Roa'!$A$12:$A$130,"&lt;"&amp;Diagram!$P85)))</f>
        <v>0</v>
      </c>
      <c r="EB85" s="42">
        <f ca="1">IF(OR($I$10="",$O85="",$P85="",$J$41&lt;&gt;"Yes"),0,IF($K$10=0,SUMIFS(INDIRECT(ADDRESS(12,3+18*0+(6),,,"J1 C - (South) Bishopthorpe Roa")&amp;":"&amp;ADDRESS(130,3+18*0+(6))),'J1 C - (South) Bishopthorpe Roa'!$A$12:$A$130,"&gt;="&amp;Diagram!$O85,'J1 C - (South) Bishopthorpe Roa'!$A$12:$A$130,"&lt;"&amp;Diagram!$P85),SUMIFS(INDIRECT(ADDRESS(12,3+18*0+(14),,,"J1 C - (South) Bishopthorpe Roa")&amp;":"&amp;ADDRESS(130,3+18*0+(14))),'J1 C - (South) Bishopthorpe Roa'!$A$12:$A$130,"&gt;="&amp;Diagram!$O85,'J1 C - (South) Bishopthorpe Roa'!$A$12:$A$130,"&lt;"&amp;Diagram!$P85)))</f>
        <v>0</v>
      </c>
      <c r="EC85" s="42">
        <f ca="1">IF(OR($I$10="",$O85="",$P85="",$J$41&lt;&gt;"Yes"),0,IF($K$10=0,SUMIFS(INDIRECT(ADDRESS(12,3+18*0+(6),,,"J1 D - South Bank Avenue")&amp;":"&amp;ADDRESS(130,3+18*0+(6))),'J1 D - South Bank Avenue'!$A$12:$A$130,"&gt;="&amp;Diagram!$O85,'J1 D - South Bank Avenue'!$A$12:$A$130,"&lt;"&amp;Diagram!$P85),SUMIFS(INDIRECT(ADDRESS(12,3+18*0+(14),,,"J1 D - South Bank Avenue")&amp;":"&amp;ADDRESS(130,3+18*0+(14))),'J1 D - South Bank Avenue'!$A$12:$A$130,"&gt;="&amp;Diagram!$O85,'J1 D - South Bank Avenue'!$A$12:$A$130,"&lt;"&amp;Diagram!$P85)))</f>
        <v>1</v>
      </c>
      <c r="ED85" s="42">
        <f ca="1">IF(OR($I$10="",$O85="",$P85="",$J$41&lt;&gt;"Yes"),0,IF($K$10=0,SUMIFS(INDIRECT(ADDRESS(12,3+18*1+(6),,,"J1 D - South Bank Avenue")&amp;":"&amp;ADDRESS(130,3+18*1+(6))),'J1 D - South Bank Avenue'!$A$12:$A$130,"&gt;="&amp;Diagram!$O85,'J1 D - South Bank Avenue'!$A$12:$A$130,"&lt;"&amp;Diagram!$P85),SUMIFS(INDIRECT(ADDRESS(12,3+18*1+(14),,,"J1 D - South Bank Avenue")&amp;":"&amp;ADDRESS(130,3+18*1+(14))),'J1 D - South Bank Avenue'!$A$12:$A$130,"&gt;="&amp;Diagram!$O85,'J1 D - South Bank Avenue'!$A$12:$A$130,"&lt;"&amp;Diagram!$P85)))</f>
        <v>2</v>
      </c>
      <c r="EE85" s="42">
        <f ca="1">IF(OR($I$10="",$O85="",$P85="",$J$41&lt;&gt;"Yes"),0,IF($K$10=0,SUMIFS(INDIRECT(ADDRESS(12,3+18*2+(6),,,"J1 D - South Bank Avenue")&amp;":"&amp;ADDRESS(130,3+18*2+(6))),'J1 D - South Bank Avenue'!$A$12:$A$130,"&gt;="&amp;Diagram!$O85,'J1 D - South Bank Avenue'!$A$12:$A$130,"&lt;"&amp;Diagram!$P85),SUMIFS(INDIRECT(ADDRESS(12,3+18*2+(14),,,"J1 D - South Bank Avenue")&amp;":"&amp;ADDRESS(130,3+18*2+(14))),'J1 D - South Bank Avenue'!$A$12:$A$130,"&gt;="&amp;Diagram!$O85,'J1 D - South Bank Avenue'!$A$12:$A$130,"&lt;"&amp;Diagram!$P85)))</f>
        <v>0</v>
      </c>
      <c r="EF85" s="42">
        <f ca="1">IF(OR($I$10="",$O85="",$P85="",$J$41&lt;&gt;"Yes"),0,IF($K$10=0,SUMIFS(INDIRECT(ADDRESS(12,3+18*3+(6),,,"J1 D - South Bank Avenue")&amp;":"&amp;ADDRESS(130,3+18*3+(6))),'J1 D - South Bank Avenue'!$A$12:$A$130,"&gt;="&amp;Diagram!$O85,'J1 D - South Bank Avenue'!$A$12:$A$130,"&lt;"&amp;Diagram!$P85),SUMIFS(INDIRECT(ADDRESS(12,3+18*3+(14),,,"J1 D - South Bank Avenue")&amp;":"&amp;ADDRESS(130,3+18*3+(14))),'J1 D - South Bank Avenue'!$A$12:$A$130,"&gt;="&amp;Diagram!$O85,'J1 D - South Bank Avenue'!$A$12:$A$130,"&lt;"&amp;Diagram!$P85)))</f>
        <v>0</v>
      </c>
      <c r="EG85" s="42">
        <f t="shared" ca="1" si="18"/>
        <v>0</v>
      </c>
      <c r="EH85" s="42">
        <f ca="1">IF(OR($I$10="",$O85="",$P85="",$J$42&lt;&gt;"Yes"),0,IF($K$10=0,SUMIFS(INDIRECT(ADDRESS(12,3+18*3+(7),,,"J1 A - (North) Bishopthorpe Roa")&amp;":"&amp;ADDRESS(130,3+18*3+(7))),'J1 A - (North) Bishopthorpe Roa'!$A$12:$A$130,"&gt;="&amp;Diagram!$O85,'J1 A - (North) Bishopthorpe Roa'!$A$12:$A$130,"&lt;"&amp;Diagram!$P85),SUMIFS(INDIRECT(ADDRESS(12,3+18*3+(15),,,"J1 A - (North) Bishopthorpe Roa")&amp;":"&amp;ADDRESS(130,3+18*3+(15))),'J1 A - (North) Bishopthorpe Roa'!$A$12:$A$130,"&gt;="&amp;Diagram!$O85,'J1 A - (North) Bishopthorpe Roa'!$A$12:$A$130,"&lt;"&amp;Diagram!$P85)))</f>
        <v>0</v>
      </c>
      <c r="EI85" s="42">
        <f ca="1">IF(OR($I$10="",$O85="",$P85="",$J$42&lt;&gt;"Yes"),0,IF($K$10=0,SUMIFS(INDIRECT(ADDRESS(12,3+18*0+(7),,,"J1 A - (North) Bishopthorpe Roa")&amp;":"&amp;ADDRESS(130,3+18*0+(7))),'J1 A - (North) Bishopthorpe Roa'!$A$12:$A$130,"&gt;="&amp;Diagram!$O85,'J1 A - (North) Bishopthorpe Roa'!$A$12:$A$130,"&lt;"&amp;Diagram!$P85),SUMIFS(INDIRECT(ADDRESS(12,3+18*0+(15),,,"J1 A - (North) Bishopthorpe Roa")&amp;":"&amp;ADDRESS(130,3+18*0+(15))),'J1 A - (North) Bishopthorpe Roa'!$A$12:$A$130,"&gt;="&amp;Diagram!$O85,'J1 A - (North) Bishopthorpe Roa'!$A$12:$A$130,"&lt;"&amp;Diagram!$P85)))</f>
        <v>0</v>
      </c>
      <c r="EJ85" s="42">
        <f ca="1">IF(OR($I$10="",$O85="",$P85="",$J$42&lt;&gt;"Yes"),0,IF($K$10=0,SUMIFS(INDIRECT(ADDRESS(12,3+18*1+(7),,,"J1 A - (North) Bishopthorpe Roa")&amp;":"&amp;ADDRESS(130,3+18*1+(7))),'J1 A - (North) Bishopthorpe Roa'!$A$12:$A$130,"&gt;="&amp;Diagram!$O85,'J1 A - (North) Bishopthorpe Roa'!$A$12:$A$130,"&lt;"&amp;Diagram!$P85),SUMIFS(INDIRECT(ADDRESS(12,3+18*1+(15),,,"J1 A - (North) Bishopthorpe Roa")&amp;":"&amp;ADDRESS(130,3+18*1+(15))),'J1 A - (North) Bishopthorpe Roa'!$A$12:$A$130,"&gt;="&amp;Diagram!$O85,'J1 A - (North) Bishopthorpe Roa'!$A$12:$A$130,"&lt;"&amp;Diagram!$P85)))</f>
        <v>0</v>
      </c>
      <c r="EK85" s="42">
        <f ca="1">IF(OR($I$10="",$O85="",$P85="",$J$42&lt;&gt;"Yes"),0,IF($K$10=0,SUMIFS(INDIRECT(ADDRESS(12,3+18*2+(7),,,"J1 A - (North) Bishopthorpe Roa")&amp;":"&amp;ADDRESS(130,3+18*2+(7))),'J1 A - (North) Bishopthorpe Roa'!$A$12:$A$130,"&gt;="&amp;Diagram!$O85,'J1 A - (North) Bishopthorpe Roa'!$A$12:$A$130,"&lt;"&amp;Diagram!$P85),SUMIFS(INDIRECT(ADDRESS(12,3+18*2+(15),,,"J1 A - (North) Bishopthorpe Roa")&amp;":"&amp;ADDRESS(130,3+18*2+(15))),'J1 A - (North) Bishopthorpe Roa'!$A$12:$A$130,"&gt;="&amp;Diagram!$O85,'J1 A - (North) Bishopthorpe Roa'!$A$12:$A$130,"&lt;"&amp;Diagram!$P85)))</f>
        <v>0</v>
      </c>
      <c r="EL85" s="42">
        <f ca="1">IF(OR($I$10="",$O85="",$P85="",$J$42&lt;&gt;"Yes"),0,IF($K$10=0,SUMIFS(INDIRECT(ADDRESS(12,3+18*2+(7),,,"J1 B - Butcher Terrace")&amp;":"&amp;ADDRESS(130,3+18*2+(7))),'J1 B - Butcher Terrace'!$A$12:$A$130,"&gt;="&amp;Diagram!$O85,'J1 B - Butcher Terrace'!$A$12:$A$130,"&lt;"&amp;Diagram!$P85),SUMIFS(INDIRECT(ADDRESS(12,3+18*2+(15),,,"J1 B - Butcher Terrace")&amp;":"&amp;ADDRESS(130,3+18*2+(15))),'J1 B - Butcher Terrace'!$A$12:$A$130,"&gt;="&amp;Diagram!$O85,'J1 B - Butcher Terrace'!$A$12:$A$130,"&lt;"&amp;Diagram!$P85)))</f>
        <v>0</v>
      </c>
      <c r="EM85" s="42">
        <f ca="1">IF(OR($I$10="",$O85="",$P85="",$J$42&lt;&gt;"Yes"),0,IF($K$10=0,SUMIFS(INDIRECT(ADDRESS(12,3+18*3+(7),,,"J1 B - Butcher Terrace")&amp;":"&amp;ADDRESS(130,3+18*3+(7))),'J1 B - Butcher Terrace'!$A$12:$A$130,"&gt;="&amp;Diagram!$O85,'J1 B - Butcher Terrace'!$A$12:$A$130,"&lt;"&amp;Diagram!$P85),SUMIFS(INDIRECT(ADDRESS(12,3+18*3+(15),,,"J1 B - Butcher Terrace")&amp;":"&amp;ADDRESS(130,3+18*3+(15))),'J1 B - Butcher Terrace'!$A$12:$A$130,"&gt;="&amp;Diagram!$O85,'J1 B - Butcher Terrace'!$A$12:$A$130,"&lt;"&amp;Diagram!$P85)))</f>
        <v>0</v>
      </c>
      <c r="EN85" s="42">
        <f ca="1">IF(OR($I$10="",$O85="",$P85="",$J$42&lt;&gt;"Yes"),0,IF($K$10=0,SUMIFS(INDIRECT(ADDRESS(12,3+18*0+(7),,,"J1 B - Butcher Terrace")&amp;":"&amp;ADDRESS(130,3+18*0+(7))),'J1 B - Butcher Terrace'!$A$12:$A$130,"&gt;="&amp;Diagram!$O85,'J1 B - Butcher Terrace'!$A$12:$A$130,"&lt;"&amp;Diagram!$P85),SUMIFS(INDIRECT(ADDRESS(12,3+18*0+(15),,,"J1 B - Butcher Terrace")&amp;":"&amp;ADDRESS(130,3+18*0+(15))),'J1 B - Butcher Terrace'!$A$12:$A$130,"&gt;="&amp;Diagram!$O85,'J1 B - Butcher Terrace'!$A$12:$A$130,"&lt;"&amp;Diagram!$P85)))</f>
        <v>0</v>
      </c>
      <c r="EO85" s="42">
        <f ca="1">IF(OR($I$10="",$O85="",$P85="",$J$42&lt;&gt;"Yes"),0,IF($K$10=0,SUMIFS(INDIRECT(ADDRESS(12,3+18*1+(7),,,"J1 B - Butcher Terrace")&amp;":"&amp;ADDRESS(130,3+18*1+(7))),'J1 B - Butcher Terrace'!$A$12:$A$130,"&gt;="&amp;Diagram!$O85,'J1 B - Butcher Terrace'!$A$12:$A$130,"&lt;"&amp;Diagram!$P85),SUMIFS(INDIRECT(ADDRESS(12,3+18*1+(15),,,"J1 B - Butcher Terrace")&amp;":"&amp;ADDRESS(130,3+18*1+(15))),'J1 B - Butcher Terrace'!$A$12:$A$130,"&gt;="&amp;Diagram!$O85,'J1 B - Butcher Terrace'!$A$12:$A$130,"&lt;"&amp;Diagram!$P85)))</f>
        <v>0</v>
      </c>
      <c r="EP85" s="42">
        <f ca="1">IF(OR($I$10="",$O85="",$P85="",$J$42&lt;&gt;"Yes"),0,IF($K$10=0,SUMIFS(INDIRECT(ADDRESS(12,3+18*1+(7),,,"J1 C - (South) Bishopthorpe Roa")&amp;":"&amp;ADDRESS(130,3+18*1+(7))),'J1 C - (South) Bishopthorpe Roa'!$A$12:$A$130,"&gt;="&amp;Diagram!$O85,'J1 C - (South) Bishopthorpe Roa'!$A$12:$A$130,"&lt;"&amp;Diagram!$P85),SUMIFS(INDIRECT(ADDRESS(12,3+18*1+(15),,,"J1 C - (South) Bishopthorpe Roa")&amp;":"&amp;ADDRESS(130,3+18*1+(15))),'J1 C - (South) Bishopthorpe Roa'!$A$12:$A$130,"&gt;="&amp;Diagram!$O85,'J1 C - (South) Bishopthorpe Roa'!$A$12:$A$130,"&lt;"&amp;Diagram!$P85)))</f>
        <v>0</v>
      </c>
      <c r="EQ85" s="42">
        <f ca="1">IF(OR($I$10="",$O85="",$P85="",$J$42&lt;&gt;"Yes"),0,IF($K$10=0,SUMIFS(INDIRECT(ADDRESS(12,3+18*2+(7),,,"J1 C - (South) Bishopthorpe Roa")&amp;":"&amp;ADDRESS(130,3+18*2+(7))),'J1 C - (South) Bishopthorpe Roa'!$A$12:$A$130,"&gt;="&amp;Diagram!$O85,'J1 C - (South) Bishopthorpe Roa'!$A$12:$A$130,"&lt;"&amp;Diagram!$P85),SUMIFS(INDIRECT(ADDRESS(12,3+18*2+(15),,,"J1 C - (South) Bishopthorpe Roa")&amp;":"&amp;ADDRESS(130,3+18*2+(15))),'J1 C - (South) Bishopthorpe Roa'!$A$12:$A$130,"&gt;="&amp;Diagram!$O85,'J1 C - (South) Bishopthorpe Roa'!$A$12:$A$130,"&lt;"&amp;Diagram!$P85)))</f>
        <v>0</v>
      </c>
      <c r="ER85" s="42">
        <f ca="1">IF(OR($I$10="",$O85="",$P85="",$J$42&lt;&gt;"Yes"),0,IF($K$10=0,SUMIFS(INDIRECT(ADDRESS(12,3+18*3+(7),,,"J1 C - (South) Bishopthorpe Roa")&amp;":"&amp;ADDRESS(130,3+18*3+(7))),'J1 C - (South) Bishopthorpe Roa'!$A$12:$A$130,"&gt;="&amp;Diagram!$O85,'J1 C - (South) Bishopthorpe Roa'!$A$12:$A$130,"&lt;"&amp;Diagram!$P85),SUMIFS(INDIRECT(ADDRESS(12,3+18*3+(15),,,"J1 C - (South) Bishopthorpe Roa")&amp;":"&amp;ADDRESS(130,3+18*3+(15))),'J1 C - (South) Bishopthorpe Roa'!$A$12:$A$130,"&gt;="&amp;Diagram!$O85,'J1 C - (South) Bishopthorpe Roa'!$A$12:$A$130,"&lt;"&amp;Diagram!$P85)))</f>
        <v>0</v>
      </c>
      <c r="ES85" s="42">
        <f ca="1">IF(OR($I$10="",$O85="",$P85="",$J$42&lt;&gt;"Yes"),0,IF($K$10=0,SUMIFS(INDIRECT(ADDRESS(12,3+18*0+(7),,,"J1 C - (South) Bishopthorpe Roa")&amp;":"&amp;ADDRESS(130,3+18*0+(7))),'J1 C - (South) Bishopthorpe Roa'!$A$12:$A$130,"&gt;="&amp;Diagram!$O85,'J1 C - (South) Bishopthorpe Roa'!$A$12:$A$130,"&lt;"&amp;Diagram!$P85),SUMIFS(INDIRECT(ADDRESS(12,3+18*0+(15),,,"J1 C - (South) Bishopthorpe Roa")&amp;":"&amp;ADDRESS(130,3+18*0+(15))),'J1 C - (South) Bishopthorpe Roa'!$A$12:$A$130,"&gt;="&amp;Diagram!$O85,'J1 C - (South) Bishopthorpe Roa'!$A$12:$A$130,"&lt;"&amp;Diagram!$P85)))</f>
        <v>0</v>
      </c>
      <c r="ET85" s="42">
        <f ca="1">IF(OR($I$10="",$O85="",$P85="",$J$42&lt;&gt;"Yes"),0,IF($K$10=0,SUMIFS(INDIRECT(ADDRESS(12,3+18*0+(7),,,"J1 D - South Bank Avenue")&amp;":"&amp;ADDRESS(130,3+18*0+(7))),'J1 D - South Bank Avenue'!$A$12:$A$130,"&gt;="&amp;Diagram!$O85,'J1 D - South Bank Avenue'!$A$12:$A$130,"&lt;"&amp;Diagram!$P85),SUMIFS(INDIRECT(ADDRESS(12,3+18*0+(15),,,"J1 D - South Bank Avenue")&amp;":"&amp;ADDRESS(130,3+18*0+(15))),'J1 D - South Bank Avenue'!$A$12:$A$130,"&gt;="&amp;Diagram!$O85,'J1 D - South Bank Avenue'!$A$12:$A$130,"&lt;"&amp;Diagram!$P85)))</f>
        <v>0</v>
      </c>
      <c r="EU85" s="42">
        <f ca="1">IF(OR($I$10="",$O85="",$P85="",$J$42&lt;&gt;"Yes"),0,IF($K$10=0,SUMIFS(INDIRECT(ADDRESS(12,3+18*1+(7),,,"J1 D - South Bank Avenue")&amp;":"&amp;ADDRESS(130,3+18*1+(7))),'J1 D - South Bank Avenue'!$A$12:$A$130,"&gt;="&amp;Diagram!$O85,'J1 D - South Bank Avenue'!$A$12:$A$130,"&lt;"&amp;Diagram!$P85),SUMIFS(INDIRECT(ADDRESS(12,3+18*1+(15),,,"J1 D - South Bank Avenue")&amp;":"&amp;ADDRESS(130,3+18*1+(15))),'J1 D - South Bank Avenue'!$A$12:$A$130,"&gt;="&amp;Diagram!$O85,'J1 D - South Bank Avenue'!$A$12:$A$130,"&lt;"&amp;Diagram!$P85)))</f>
        <v>0</v>
      </c>
      <c r="EV85" s="42">
        <f ca="1">IF(OR($I$10="",$O85="",$P85="",$J$42&lt;&gt;"Yes"),0,IF($K$10=0,SUMIFS(INDIRECT(ADDRESS(12,3+18*2+(7),,,"J1 D - South Bank Avenue")&amp;":"&amp;ADDRESS(130,3+18*2+(7))),'J1 D - South Bank Avenue'!$A$12:$A$130,"&gt;="&amp;Diagram!$O85,'J1 D - South Bank Avenue'!$A$12:$A$130,"&lt;"&amp;Diagram!$P85),SUMIFS(INDIRECT(ADDRESS(12,3+18*2+(15),,,"J1 D - South Bank Avenue")&amp;":"&amp;ADDRESS(130,3+18*2+(15))),'J1 D - South Bank Avenue'!$A$12:$A$130,"&gt;="&amp;Diagram!$O85,'J1 D - South Bank Avenue'!$A$12:$A$130,"&lt;"&amp;Diagram!$P85)))</f>
        <v>0</v>
      </c>
      <c r="EW85" s="42">
        <f ca="1">IF(OR($I$10="",$O85="",$P85="",$J$42&lt;&gt;"Yes"),0,IF($K$10=0,SUMIFS(INDIRECT(ADDRESS(12,3+18*3+(7),,,"J1 D - South Bank Avenue")&amp;":"&amp;ADDRESS(130,3+18*3+(7))),'J1 D - South Bank Avenue'!$A$12:$A$130,"&gt;="&amp;Diagram!$O85,'J1 D - South Bank Avenue'!$A$12:$A$130,"&lt;"&amp;Diagram!$P85),SUMIFS(INDIRECT(ADDRESS(12,3+18*3+(15),,,"J1 D - South Bank Avenue")&amp;":"&amp;ADDRESS(130,3+18*3+(15))),'J1 D - South Bank Avenue'!$A$12:$A$130,"&gt;="&amp;Diagram!$O85,'J1 D - South Bank Avenue'!$A$12:$A$130,"&lt;"&amp;Diagram!$P85)))</f>
        <v>0</v>
      </c>
    </row>
    <row r="86" spans="1:153">
      <c r="A86" s="1">
        <v>44395.885416666701</v>
      </c>
      <c r="B86" s="1">
        <v>44395.895833333299</v>
      </c>
      <c r="O86" s="3">
        <v>44395.885416666701</v>
      </c>
      <c r="P86" s="3">
        <v>44395.927083333299</v>
      </c>
      <c r="Q86" s="42">
        <f t="shared" ca="1" si="10"/>
        <v>316</v>
      </c>
      <c r="R86" s="42">
        <f t="shared" ca="1" si="11"/>
        <v>238</v>
      </c>
      <c r="S86" s="42">
        <f ca="1">IF(OR($I$10="",$O86="",$P86="",$J$35&lt;&gt;"Yes"),0,IF($K$10=0,SUMIFS(INDIRECT(ADDRESS(12,3+18*3+(0),,,"J1 A - (North) Bishopthorpe Roa")&amp;":"&amp;ADDRESS(130,3+18*3+(0))),'J1 A - (North) Bishopthorpe Roa'!$A$12:$A$130,"&gt;="&amp;Diagram!$O86,'J1 A - (North) Bishopthorpe Roa'!$A$12:$A$130,"&lt;"&amp;Diagram!$P86),SUMIFS(INDIRECT(ADDRESS(12,3+18*3+(8),,,"J1 A - (North) Bishopthorpe Roa")&amp;":"&amp;ADDRESS(130,3+18*3+(8))),'J1 A - (North) Bishopthorpe Roa'!$A$12:$A$130,"&gt;="&amp;Diagram!$O86,'J1 A - (North) Bishopthorpe Roa'!$A$12:$A$130,"&lt;"&amp;Diagram!$P86)))</f>
        <v>0</v>
      </c>
      <c r="T86" s="42">
        <f ca="1">IF(OR($I$10="",$O86="",$P86="",$J$35&lt;&gt;"Yes"),0,IF($K$10=0,SUMIFS(INDIRECT(ADDRESS(12,3+18*0+(0),,,"J1 A - (North) Bishopthorpe Roa")&amp;":"&amp;ADDRESS(130,3+18*0+(0))),'J1 A - (North) Bishopthorpe Roa'!$A$12:$A$130,"&gt;="&amp;Diagram!$O86,'J1 A - (North) Bishopthorpe Roa'!$A$12:$A$130,"&lt;"&amp;Diagram!$P86),SUMIFS(INDIRECT(ADDRESS(12,3+18*0+(8),,,"J1 A - (North) Bishopthorpe Roa")&amp;":"&amp;ADDRESS(130,3+18*0+(8))),'J1 A - (North) Bishopthorpe Roa'!$A$12:$A$130,"&gt;="&amp;Diagram!$O86,'J1 A - (North) Bishopthorpe Roa'!$A$12:$A$130,"&lt;"&amp;Diagram!$P86)))</f>
        <v>6</v>
      </c>
      <c r="U86" s="42">
        <f ca="1">IF(OR($I$10="",$O86="",$P86="",$J$35&lt;&gt;"Yes"),0,IF($K$10=0,SUMIFS(INDIRECT(ADDRESS(12,3+18*1+(0),,,"J1 A - (North) Bishopthorpe Roa")&amp;":"&amp;ADDRESS(130,3+18*1+(0))),'J1 A - (North) Bishopthorpe Roa'!$A$12:$A$130,"&gt;="&amp;Diagram!$O86,'J1 A - (North) Bishopthorpe Roa'!$A$12:$A$130,"&lt;"&amp;Diagram!$P86),SUMIFS(INDIRECT(ADDRESS(12,3+18*1+(8),,,"J1 A - (North) Bishopthorpe Roa")&amp;":"&amp;ADDRESS(130,3+18*1+(8))),'J1 A - (North) Bishopthorpe Roa'!$A$12:$A$130,"&gt;="&amp;Diagram!$O86,'J1 A - (North) Bishopthorpe Roa'!$A$12:$A$130,"&lt;"&amp;Diagram!$P86)))</f>
        <v>103</v>
      </c>
      <c r="V86" s="42">
        <f ca="1">IF(OR($I$10="",$O86="",$P86="",$J$35&lt;&gt;"Yes"),0,IF($K$10=0,SUMIFS(INDIRECT(ADDRESS(12,3+18*2+(0),,,"J1 A - (North) Bishopthorpe Roa")&amp;":"&amp;ADDRESS(130,3+18*2+(0))),'J1 A - (North) Bishopthorpe Roa'!$A$12:$A$130,"&gt;="&amp;Diagram!$O86,'J1 A - (North) Bishopthorpe Roa'!$A$12:$A$130,"&lt;"&amp;Diagram!$P86),SUMIFS(INDIRECT(ADDRESS(12,3+18*2+(8),,,"J1 A - (North) Bishopthorpe Roa")&amp;":"&amp;ADDRESS(130,3+18*2+(8))),'J1 A - (North) Bishopthorpe Roa'!$A$12:$A$130,"&gt;="&amp;Diagram!$O86,'J1 A - (North) Bishopthorpe Roa'!$A$12:$A$130,"&lt;"&amp;Diagram!$P86)))</f>
        <v>20</v>
      </c>
      <c r="W86" s="42">
        <f ca="1">IF(OR($I$10="",$O86="",$P86="",$J$35&lt;&gt;"Yes"),0,IF($K$10=0,SUMIFS(INDIRECT(ADDRESS(12,3+18*2+(0),,,"J1 B - Butcher Terrace")&amp;":"&amp;ADDRESS(130,3+18*2+(0))),'J1 B - Butcher Terrace'!$A$12:$A$130,"&gt;="&amp;Diagram!$O86,'J1 B - Butcher Terrace'!$A$12:$A$130,"&lt;"&amp;Diagram!$P86),SUMIFS(INDIRECT(ADDRESS(12,3+18*2+(8),,,"J1 B - Butcher Terrace")&amp;":"&amp;ADDRESS(130,3+18*2+(8))),'J1 B - Butcher Terrace'!$A$12:$A$130,"&gt;="&amp;Diagram!$O86,'J1 B - Butcher Terrace'!$A$12:$A$130,"&lt;"&amp;Diagram!$P86)))</f>
        <v>4</v>
      </c>
      <c r="X86" s="42">
        <f ca="1">IF(OR($I$10="",$O86="",$P86="",$J$35&lt;&gt;"Yes"),0,IF($K$10=0,SUMIFS(INDIRECT(ADDRESS(12,3+18*3+(0),,,"J1 B - Butcher Terrace")&amp;":"&amp;ADDRESS(130,3+18*3+(0))),'J1 B - Butcher Terrace'!$A$12:$A$130,"&gt;="&amp;Diagram!$O86,'J1 B - Butcher Terrace'!$A$12:$A$130,"&lt;"&amp;Diagram!$P86),SUMIFS(INDIRECT(ADDRESS(12,3+18*3+(8),,,"J1 B - Butcher Terrace")&amp;":"&amp;ADDRESS(130,3+18*3+(8))),'J1 B - Butcher Terrace'!$A$12:$A$130,"&gt;="&amp;Diagram!$O86,'J1 B - Butcher Terrace'!$A$12:$A$130,"&lt;"&amp;Diagram!$P86)))</f>
        <v>0</v>
      </c>
      <c r="Y86" s="42">
        <f ca="1">IF(OR($I$10="",$O86="",$P86="",$J$35&lt;&gt;"Yes"),0,IF($K$10=0,SUMIFS(INDIRECT(ADDRESS(12,3+18*0+(0),,,"J1 B - Butcher Terrace")&amp;":"&amp;ADDRESS(130,3+18*0+(0))),'J1 B - Butcher Terrace'!$A$12:$A$130,"&gt;="&amp;Diagram!$O86,'J1 B - Butcher Terrace'!$A$12:$A$130,"&lt;"&amp;Diagram!$P86),SUMIFS(INDIRECT(ADDRESS(12,3+18*0+(8),,,"J1 B - Butcher Terrace")&amp;":"&amp;ADDRESS(130,3+18*0+(8))),'J1 B - Butcher Terrace'!$A$12:$A$130,"&gt;="&amp;Diagram!$O86,'J1 B - Butcher Terrace'!$A$12:$A$130,"&lt;"&amp;Diagram!$P86)))</f>
        <v>0</v>
      </c>
      <c r="Z86" s="42">
        <f ca="1">IF(OR($I$10="",$O86="",$P86="",$J$35&lt;&gt;"Yes"),0,IF($K$10=0,SUMIFS(INDIRECT(ADDRESS(12,3+18*1+(0),,,"J1 B - Butcher Terrace")&amp;":"&amp;ADDRESS(130,3+18*1+(0))),'J1 B - Butcher Terrace'!$A$12:$A$130,"&gt;="&amp;Diagram!$O86,'J1 B - Butcher Terrace'!$A$12:$A$130,"&lt;"&amp;Diagram!$P86),SUMIFS(INDIRECT(ADDRESS(12,3+18*1+(8),,,"J1 B - Butcher Terrace")&amp;":"&amp;ADDRESS(130,3+18*1+(8))),'J1 B - Butcher Terrace'!$A$12:$A$130,"&gt;="&amp;Diagram!$O86,'J1 B - Butcher Terrace'!$A$12:$A$130,"&lt;"&amp;Diagram!$P86)))</f>
        <v>10</v>
      </c>
      <c r="AA86" s="42">
        <f ca="1">IF(OR($I$10="",$O86="",$P86="",$J$35&lt;&gt;"Yes"),0,IF($K$10=0,SUMIFS(INDIRECT(ADDRESS(12,3+18*1+(0),,,"J1 C - (South) Bishopthorpe Roa")&amp;":"&amp;ADDRESS(130,3+18*1+(0))),'J1 C - (South) Bishopthorpe Roa'!$A$12:$A$130,"&gt;="&amp;Diagram!$O86,'J1 C - (South) Bishopthorpe Roa'!$A$12:$A$130,"&lt;"&amp;Diagram!$P86),SUMIFS(INDIRECT(ADDRESS(12,3+18*1+(8),,,"J1 C - (South) Bishopthorpe Roa")&amp;":"&amp;ADDRESS(130,3+18*1+(8))),'J1 C - (South) Bishopthorpe Roa'!$A$12:$A$130,"&gt;="&amp;Diagram!$O86,'J1 C - (South) Bishopthorpe Roa'!$A$12:$A$130,"&lt;"&amp;Diagram!$P86)))</f>
        <v>73</v>
      </c>
      <c r="AB86" s="42">
        <f ca="1">IF(OR($I$10="",$O86="",$P86="",$J$35&lt;&gt;"Yes"),0,IF($K$10=0,SUMIFS(INDIRECT(ADDRESS(12,3+18*2+(0),,,"J1 C - (South) Bishopthorpe Roa")&amp;":"&amp;ADDRESS(130,3+18*2+(0))),'J1 C - (South) Bishopthorpe Roa'!$A$12:$A$130,"&gt;="&amp;Diagram!$O86,'J1 C - (South) Bishopthorpe Roa'!$A$12:$A$130,"&lt;"&amp;Diagram!$P86),SUMIFS(INDIRECT(ADDRESS(12,3+18*2+(8),,,"J1 C - (South) Bishopthorpe Roa")&amp;":"&amp;ADDRESS(130,3+18*2+(8))),'J1 C - (South) Bishopthorpe Roa'!$A$12:$A$130,"&gt;="&amp;Diagram!$O86,'J1 C - (South) Bishopthorpe Roa'!$A$12:$A$130,"&lt;"&amp;Diagram!$P86)))</f>
        <v>6</v>
      </c>
      <c r="AC86" s="42">
        <f ca="1">IF(OR($I$10="",$O86="",$P86="",$J$35&lt;&gt;"Yes"),0,IF($K$10=0,SUMIFS(INDIRECT(ADDRESS(12,3+18*3+(0),,,"J1 C - (South) Bishopthorpe Roa")&amp;":"&amp;ADDRESS(130,3+18*3+(0))),'J1 C - (South) Bishopthorpe Roa'!$A$12:$A$130,"&gt;="&amp;Diagram!$O86,'J1 C - (South) Bishopthorpe Roa'!$A$12:$A$130,"&lt;"&amp;Diagram!$P86),SUMIFS(INDIRECT(ADDRESS(12,3+18*3+(8),,,"J1 C - (South) Bishopthorpe Roa")&amp;":"&amp;ADDRESS(130,3+18*3+(8))),'J1 C - (South) Bishopthorpe Roa'!$A$12:$A$130,"&gt;="&amp;Diagram!$O86,'J1 C - (South) Bishopthorpe Roa'!$A$12:$A$130,"&lt;"&amp;Diagram!$P86)))</f>
        <v>0</v>
      </c>
      <c r="AD86" s="42">
        <f ca="1">IF(OR($I$10="",$O86="",$P86="",$J$35&lt;&gt;"Yes"),0,IF($K$10=0,SUMIFS(INDIRECT(ADDRESS(12,3+18*0+(0),,,"J1 C - (South) Bishopthorpe Roa")&amp;":"&amp;ADDRESS(130,3+18*0+(0))),'J1 C - (South) Bishopthorpe Roa'!$A$12:$A$130,"&gt;="&amp;Diagram!$O86,'J1 C - (South) Bishopthorpe Roa'!$A$12:$A$130,"&lt;"&amp;Diagram!$P86),SUMIFS(INDIRECT(ADDRESS(12,3+18*0+(8),,,"J1 C - (South) Bishopthorpe Roa")&amp;":"&amp;ADDRESS(130,3+18*0+(8))),'J1 C - (South) Bishopthorpe Roa'!$A$12:$A$130,"&gt;="&amp;Diagram!$O86,'J1 C - (South) Bishopthorpe Roa'!$A$12:$A$130,"&lt;"&amp;Diagram!$P86)))</f>
        <v>3</v>
      </c>
      <c r="AE86" s="42">
        <f ca="1">IF(OR($I$10="",$O86="",$P86="",$J$35&lt;&gt;"Yes"),0,IF($K$10=0,SUMIFS(INDIRECT(ADDRESS(12,3+18*0+(0),,,"J1 D - South Bank Avenue")&amp;":"&amp;ADDRESS(130,3+18*0+(0))),'J1 D - South Bank Avenue'!$A$12:$A$130,"&gt;="&amp;Diagram!$O86,'J1 D - South Bank Avenue'!$A$12:$A$130,"&lt;"&amp;Diagram!$P86),SUMIFS(INDIRECT(ADDRESS(12,3+18*0+(8),,,"J1 D - South Bank Avenue")&amp;":"&amp;ADDRESS(130,3+18*0+(8))),'J1 D - South Bank Avenue'!$A$12:$A$130,"&gt;="&amp;Diagram!$O86,'J1 D - South Bank Avenue'!$A$12:$A$130,"&lt;"&amp;Diagram!$P86)))</f>
        <v>11</v>
      </c>
      <c r="AF86" s="42">
        <f ca="1">IF(OR($I$10="",$O86="",$P86="",$J$35&lt;&gt;"Yes"),0,IF($K$10=0,SUMIFS(INDIRECT(ADDRESS(12,3+18*1+(0),,,"J1 D - South Bank Avenue")&amp;":"&amp;ADDRESS(130,3+18*1+(0))),'J1 D - South Bank Avenue'!$A$12:$A$130,"&gt;="&amp;Diagram!$O86,'J1 D - South Bank Avenue'!$A$12:$A$130,"&lt;"&amp;Diagram!$P86),SUMIFS(INDIRECT(ADDRESS(12,3+18*1+(8),,,"J1 D - South Bank Avenue")&amp;":"&amp;ADDRESS(130,3+18*1+(8))),'J1 D - South Bank Avenue'!$A$12:$A$130,"&gt;="&amp;Diagram!$O86,'J1 D - South Bank Avenue'!$A$12:$A$130,"&lt;"&amp;Diagram!$P86)))</f>
        <v>1</v>
      </c>
      <c r="AG86" s="42">
        <f ca="1">IF(OR($I$10="",$O86="",$P86="",$J$35&lt;&gt;"Yes"),0,IF($K$10=0,SUMIFS(INDIRECT(ADDRESS(12,3+18*2+(0),,,"J1 D - South Bank Avenue")&amp;":"&amp;ADDRESS(130,3+18*2+(0))),'J1 D - South Bank Avenue'!$A$12:$A$130,"&gt;="&amp;Diagram!$O86,'J1 D - South Bank Avenue'!$A$12:$A$130,"&lt;"&amp;Diagram!$P86),SUMIFS(INDIRECT(ADDRESS(12,3+18*2+(8),,,"J1 D - South Bank Avenue")&amp;":"&amp;ADDRESS(130,3+18*2+(8))),'J1 D - South Bank Avenue'!$A$12:$A$130,"&gt;="&amp;Diagram!$O86,'J1 D - South Bank Avenue'!$A$12:$A$130,"&lt;"&amp;Diagram!$P86)))</f>
        <v>1</v>
      </c>
      <c r="AH86" s="42">
        <f ca="1">IF(OR($I$10="",$O86="",$P86="",$J$35&lt;&gt;"Yes"),0,IF($K$10=0,SUMIFS(INDIRECT(ADDRESS(12,3+18*3+(0),,,"J1 D - South Bank Avenue")&amp;":"&amp;ADDRESS(130,3+18*3+(0))),'J1 D - South Bank Avenue'!$A$12:$A$130,"&gt;="&amp;Diagram!$O86,'J1 D - South Bank Avenue'!$A$12:$A$130,"&lt;"&amp;Diagram!$P86),SUMIFS(INDIRECT(ADDRESS(12,3+18*3+(8),,,"J1 D - South Bank Avenue")&amp;":"&amp;ADDRESS(130,3+18*3+(8))),'J1 D - South Bank Avenue'!$A$12:$A$130,"&gt;="&amp;Diagram!$O86,'J1 D - South Bank Avenue'!$A$12:$A$130,"&lt;"&amp;Diagram!$P86)))</f>
        <v>0</v>
      </c>
      <c r="AI86" s="42">
        <f t="shared" ca="1" si="12"/>
        <v>14</v>
      </c>
      <c r="AJ86" s="42">
        <f ca="1">IF(OR($I$10="",$O86="",$P86="",$J$36&lt;&gt;"Yes"),0,IF($K$10=0,SUMIFS(INDIRECT(ADDRESS(12,3+18*3+(1),,,"J1 A - (North) Bishopthorpe Roa")&amp;":"&amp;ADDRESS(130,3+18*3+(1))),'J1 A - (North) Bishopthorpe Roa'!$A$12:$A$130,"&gt;="&amp;Diagram!$O86,'J1 A - (North) Bishopthorpe Roa'!$A$12:$A$130,"&lt;"&amp;Diagram!$P86),SUMIFS(INDIRECT(ADDRESS(12,3+18*3+(9),,,"J1 A - (North) Bishopthorpe Roa")&amp;":"&amp;ADDRESS(130,3+18*3+(9))),'J1 A - (North) Bishopthorpe Roa'!$A$12:$A$130,"&gt;="&amp;Diagram!$O86,'J1 A - (North) Bishopthorpe Roa'!$A$12:$A$130,"&lt;"&amp;Diagram!$P86)))</f>
        <v>0</v>
      </c>
      <c r="AK86" s="42">
        <f ca="1">IF(OR($I$10="",$O86="",$P86="",$J$36&lt;&gt;"Yes"),0,IF($K$10=0,SUMIFS(INDIRECT(ADDRESS(12,3+18*0+(1),,,"J1 A - (North) Bishopthorpe Roa")&amp;":"&amp;ADDRESS(130,3+18*0+(1))),'J1 A - (North) Bishopthorpe Roa'!$A$12:$A$130,"&gt;="&amp;Diagram!$O86,'J1 A - (North) Bishopthorpe Roa'!$A$12:$A$130,"&lt;"&amp;Diagram!$P86),SUMIFS(INDIRECT(ADDRESS(12,3+18*0+(9),,,"J1 A - (North) Bishopthorpe Roa")&amp;":"&amp;ADDRESS(130,3+18*0+(9))),'J1 A - (North) Bishopthorpe Roa'!$A$12:$A$130,"&gt;="&amp;Diagram!$O86,'J1 A - (North) Bishopthorpe Roa'!$A$12:$A$130,"&lt;"&amp;Diagram!$P86)))</f>
        <v>1</v>
      </c>
      <c r="AL86" s="42">
        <f ca="1">IF(OR($I$10="",$O86="",$P86="",$J$36&lt;&gt;"Yes"),0,IF($K$10=0,SUMIFS(INDIRECT(ADDRESS(12,3+18*1+(1),,,"J1 A - (North) Bishopthorpe Roa")&amp;":"&amp;ADDRESS(130,3+18*1+(1))),'J1 A - (North) Bishopthorpe Roa'!$A$12:$A$130,"&gt;="&amp;Diagram!$O86,'J1 A - (North) Bishopthorpe Roa'!$A$12:$A$130,"&lt;"&amp;Diagram!$P86),SUMIFS(INDIRECT(ADDRESS(12,3+18*1+(9),,,"J1 A - (North) Bishopthorpe Roa")&amp;":"&amp;ADDRESS(130,3+18*1+(9))),'J1 A - (North) Bishopthorpe Roa'!$A$12:$A$130,"&gt;="&amp;Diagram!$O86,'J1 A - (North) Bishopthorpe Roa'!$A$12:$A$130,"&lt;"&amp;Diagram!$P86)))</f>
        <v>7</v>
      </c>
      <c r="AM86" s="42">
        <f ca="1">IF(OR($I$10="",$O86="",$P86="",$J$36&lt;&gt;"Yes"),0,IF($K$10=0,SUMIFS(INDIRECT(ADDRESS(12,3+18*2+(1),,,"J1 A - (North) Bishopthorpe Roa")&amp;":"&amp;ADDRESS(130,3+18*2+(1))),'J1 A - (North) Bishopthorpe Roa'!$A$12:$A$130,"&gt;="&amp;Diagram!$O86,'J1 A - (North) Bishopthorpe Roa'!$A$12:$A$130,"&lt;"&amp;Diagram!$P86),SUMIFS(INDIRECT(ADDRESS(12,3+18*2+(9),,,"J1 A - (North) Bishopthorpe Roa")&amp;":"&amp;ADDRESS(130,3+18*2+(9))),'J1 A - (North) Bishopthorpe Roa'!$A$12:$A$130,"&gt;="&amp;Diagram!$O86,'J1 A - (North) Bishopthorpe Roa'!$A$12:$A$130,"&lt;"&amp;Diagram!$P86)))</f>
        <v>0</v>
      </c>
      <c r="AN86" s="42">
        <f ca="1">IF(OR($I$10="",$O86="",$P86="",$J$36&lt;&gt;"Yes"),0,IF($K$10=0,SUMIFS(INDIRECT(ADDRESS(12,3+18*2+(1),,,"J1 B - Butcher Terrace")&amp;":"&amp;ADDRESS(130,3+18*2+(1))),'J1 B - Butcher Terrace'!$A$12:$A$130,"&gt;="&amp;Diagram!$O86,'J1 B - Butcher Terrace'!$A$12:$A$130,"&lt;"&amp;Diagram!$P86),SUMIFS(INDIRECT(ADDRESS(12,3+18*2+(9),,,"J1 B - Butcher Terrace")&amp;":"&amp;ADDRESS(130,3+18*2+(9))),'J1 B - Butcher Terrace'!$A$12:$A$130,"&gt;="&amp;Diagram!$O86,'J1 B - Butcher Terrace'!$A$12:$A$130,"&lt;"&amp;Diagram!$P86)))</f>
        <v>1</v>
      </c>
      <c r="AO86" s="42">
        <f ca="1">IF(OR($I$10="",$O86="",$P86="",$J$36&lt;&gt;"Yes"),0,IF($K$10=0,SUMIFS(INDIRECT(ADDRESS(12,3+18*3+(1),,,"J1 B - Butcher Terrace")&amp;":"&amp;ADDRESS(130,3+18*3+(1))),'J1 B - Butcher Terrace'!$A$12:$A$130,"&gt;="&amp;Diagram!$O86,'J1 B - Butcher Terrace'!$A$12:$A$130,"&lt;"&amp;Diagram!$P86),SUMIFS(INDIRECT(ADDRESS(12,3+18*3+(9),,,"J1 B - Butcher Terrace")&amp;":"&amp;ADDRESS(130,3+18*3+(9))),'J1 B - Butcher Terrace'!$A$12:$A$130,"&gt;="&amp;Diagram!$O86,'J1 B - Butcher Terrace'!$A$12:$A$130,"&lt;"&amp;Diagram!$P86)))</f>
        <v>0</v>
      </c>
      <c r="AP86" s="42">
        <f ca="1">IF(OR($I$10="",$O86="",$P86="",$J$36&lt;&gt;"Yes"),0,IF($K$10=0,SUMIFS(INDIRECT(ADDRESS(12,3+18*0+(1),,,"J1 B - Butcher Terrace")&amp;":"&amp;ADDRESS(130,3+18*0+(1))),'J1 B - Butcher Terrace'!$A$12:$A$130,"&gt;="&amp;Diagram!$O86,'J1 B - Butcher Terrace'!$A$12:$A$130,"&lt;"&amp;Diagram!$P86),SUMIFS(INDIRECT(ADDRESS(12,3+18*0+(9),,,"J1 B - Butcher Terrace")&amp;":"&amp;ADDRESS(130,3+18*0+(9))),'J1 B - Butcher Terrace'!$A$12:$A$130,"&gt;="&amp;Diagram!$O86,'J1 B - Butcher Terrace'!$A$12:$A$130,"&lt;"&amp;Diagram!$P86)))</f>
        <v>0</v>
      </c>
      <c r="AQ86" s="42">
        <f ca="1">IF(OR($I$10="",$O86="",$P86="",$J$36&lt;&gt;"Yes"),0,IF($K$10=0,SUMIFS(INDIRECT(ADDRESS(12,3+18*1+(1),,,"J1 B - Butcher Terrace")&amp;":"&amp;ADDRESS(130,3+18*1+(1))),'J1 B - Butcher Terrace'!$A$12:$A$130,"&gt;="&amp;Diagram!$O86,'J1 B - Butcher Terrace'!$A$12:$A$130,"&lt;"&amp;Diagram!$P86),SUMIFS(INDIRECT(ADDRESS(12,3+18*1+(9),,,"J1 B - Butcher Terrace")&amp;":"&amp;ADDRESS(130,3+18*1+(9))),'J1 B - Butcher Terrace'!$A$12:$A$130,"&gt;="&amp;Diagram!$O86,'J1 B - Butcher Terrace'!$A$12:$A$130,"&lt;"&amp;Diagram!$P86)))</f>
        <v>1</v>
      </c>
      <c r="AR86" s="42">
        <f ca="1">IF(OR($I$10="",$O86="",$P86="",$J$36&lt;&gt;"Yes"),0,IF($K$10=0,SUMIFS(INDIRECT(ADDRESS(12,3+18*1+(1),,,"J1 C - (South) Bishopthorpe Roa")&amp;":"&amp;ADDRESS(130,3+18*1+(1))),'J1 C - (South) Bishopthorpe Roa'!$A$12:$A$130,"&gt;="&amp;Diagram!$O86,'J1 C - (South) Bishopthorpe Roa'!$A$12:$A$130,"&lt;"&amp;Diagram!$P86),SUMIFS(INDIRECT(ADDRESS(12,3+18*1+(9),,,"J1 C - (South) Bishopthorpe Roa")&amp;":"&amp;ADDRESS(130,3+18*1+(9))),'J1 C - (South) Bishopthorpe Roa'!$A$12:$A$130,"&gt;="&amp;Diagram!$O86,'J1 C - (South) Bishopthorpe Roa'!$A$12:$A$130,"&lt;"&amp;Diagram!$P86)))</f>
        <v>3</v>
      </c>
      <c r="AS86" s="42">
        <f ca="1">IF(OR($I$10="",$O86="",$P86="",$J$36&lt;&gt;"Yes"),0,IF($K$10=0,SUMIFS(INDIRECT(ADDRESS(12,3+18*2+(1),,,"J1 C - (South) Bishopthorpe Roa")&amp;":"&amp;ADDRESS(130,3+18*2+(1))),'J1 C - (South) Bishopthorpe Roa'!$A$12:$A$130,"&gt;="&amp;Diagram!$O86,'J1 C - (South) Bishopthorpe Roa'!$A$12:$A$130,"&lt;"&amp;Diagram!$P86),SUMIFS(INDIRECT(ADDRESS(12,3+18*2+(9),,,"J1 C - (South) Bishopthorpe Roa")&amp;":"&amp;ADDRESS(130,3+18*2+(9))),'J1 C - (South) Bishopthorpe Roa'!$A$12:$A$130,"&gt;="&amp;Diagram!$O86,'J1 C - (South) Bishopthorpe Roa'!$A$12:$A$130,"&lt;"&amp;Diagram!$P86)))</f>
        <v>0</v>
      </c>
      <c r="AT86" s="42">
        <f ca="1">IF(OR($I$10="",$O86="",$P86="",$J$36&lt;&gt;"Yes"),0,IF($K$10=0,SUMIFS(INDIRECT(ADDRESS(12,3+18*3+(1),,,"J1 C - (South) Bishopthorpe Roa")&amp;":"&amp;ADDRESS(130,3+18*3+(1))),'J1 C - (South) Bishopthorpe Roa'!$A$12:$A$130,"&gt;="&amp;Diagram!$O86,'J1 C - (South) Bishopthorpe Roa'!$A$12:$A$130,"&lt;"&amp;Diagram!$P86),SUMIFS(INDIRECT(ADDRESS(12,3+18*3+(9),,,"J1 C - (South) Bishopthorpe Roa")&amp;":"&amp;ADDRESS(130,3+18*3+(9))),'J1 C - (South) Bishopthorpe Roa'!$A$12:$A$130,"&gt;="&amp;Diagram!$O86,'J1 C - (South) Bishopthorpe Roa'!$A$12:$A$130,"&lt;"&amp;Diagram!$P86)))</f>
        <v>0</v>
      </c>
      <c r="AU86" s="42">
        <f ca="1">IF(OR($I$10="",$O86="",$P86="",$J$36&lt;&gt;"Yes"),0,IF($K$10=0,SUMIFS(INDIRECT(ADDRESS(12,3+18*0+(1),,,"J1 C - (South) Bishopthorpe Roa")&amp;":"&amp;ADDRESS(130,3+18*0+(1))),'J1 C - (South) Bishopthorpe Roa'!$A$12:$A$130,"&gt;="&amp;Diagram!$O86,'J1 C - (South) Bishopthorpe Roa'!$A$12:$A$130,"&lt;"&amp;Diagram!$P86),SUMIFS(INDIRECT(ADDRESS(12,3+18*0+(9),,,"J1 C - (South) Bishopthorpe Roa")&amp;":"&amp;ADDRESS(130,3+18*0+(9))),'J1 C - (South) Bishopthorpe Roa'!$A$12:$A$130,"&gt;="&amp;Diagram!$O86,'J1 C - (South) Bishopthorpe Roa'!$A$12:$A$130,"&lt;"&amp;Diagram!$P86)))</f>
        <v>0</v>
      </c>
      <c r="AV86" s="42">
        <f ca="1">IF(OR($I$10="",$O86="",$P86="",$J$36&lt;&gt;"Yes"),0,IF($K$10=0,SUMIFS(INDIRECT(ADDRESS(12,3+18*0+(1),,,"J1 D - South Bank Avenue")&amp;":"&amp;ADDRESS(130,3+18*0+(1))),'J1 D - South Bank Avenue'!$A$12:$A$130,"&gt;="&amp;Diagram!$O86,'J1 D - South Bank Avenue'!$A$12:$A$130,"&lt;"&amp;Diagram!$P86),SUMIFS(INDIRECT(ADDRESS(12,3+18*0+(9),,,"J1 D - South Bank Avenue")&amp;":"&amp;ADDRESS(130,3+18*0+(9))),'J1 D - South Bank Avenue'!$A$12:$A$130,"&gt;="&amp;Diagram!$O86,'J1 D - South Bank Avenue'!$A$12:$A$130,"&lt;"&amp;Diagram!$P86)))</f>
        <v>1</v>
      </c>
      <c r="AW86" s="42">
        <f ca="1">IF(OR($I$10="",$O86="",$P86="",$J$36&lt;&gt;"Yes"),0,IF($K$10=0,SUMIFS(INDIRECT(ADDRESS(12,3+18*1+(1),,,"J1 D - South Bank Avenue")&amp;":"&amp;ADDRESS(130,3+18*1+(1))),'J1 D - South Bank Avenue'!$A$12:$A$130,"&gt;="&amp;Diagram!$O86,'J1 D - South Bank Avenue'!$A$12:$A$130,"&lt;"&amp;Diagram!$P86),SUMIFS(INDIRECT(ADDRESS(12,3+18*1+(9),,,"J1 D - South Bank Avenue")&amp;":"&amp;ADDRESS(130,3+18*1+(9))),'J1 D - South Bank Avenue'!$A$12:$A$130,"&gt;="&amp;Diagram!$O86,'J1 D - South Bank Avenue'!$A$12:$A$130,"&lt;"&amp;Diagram!$P86)))</f>
        <v>0</v>
      </c>
      <c r="AX86" s="42">
        <f ca="1">IF(OR($I$10="",$O86="",$P86="",$J$36&lt;&gt;"Yes"),0,IF($K$10=0,SUMIFS(INDIRECT(ADDRESS(12,3+18*2+(1),,,"J1 D - South Bank Avenue")&amp;":"&amp;ADDRESS(130,3+18*2+(1))),'J1 D - South Bank Avenue'!$A$12:$A$130,"&gt;="&amp;Diagram!$O86,'J1 D - South Bank Avenue'!$A$12:$A$130,"&lt;"&amp;Diagram!$P86),SUMIFS(INDIRECT(ADDRESS(12,3+18*2+(9),,,"J1 D - South Bank Avenue")&amp;":"&amp;ADDRESS(130,3+18*2+(9))),'J1 D - South Bank Avenue'!$A$12:$A$130,"&gt;="&amp;Diagram!$O86,'J1 D - South Bank Avenue'!$A$12:$A$130,"&lt;"&amp;Diagram!$P86)))</f>
        <v>0</v>
      </c>
      <c r="AY86" s="42">
        <f ca="1">IF(OR($I$10="",$O86="",$P86="",$J$36&lt;&gt;"Yes"),0,IF($K$10=0,SUMIFS(INDIRECT(ADDRESS(12,3+18*3+(1),,,"J1 D - South Bank Avenue")&amp;":"&amp;ADDRESS(130,3+18*3+(1))),'J1 D - South Bank Avenue'!$A$12:$A$130,"&gt;="&amp;Diagram!$O86,'J1 D - South Bank Avenue'!$A$12:$A$130,"&lt;"&amp;Diagram!$P86),SUMIFS(INDIRECT(ADDRESS(12,3+18*3+(9),,,"J1 D - South Bank Avenue")&amp;":"&amp;ADDRESS(130,3+18*3+(9))),'J1 D - South Bank Avenue'!$A$12:$A$130,"&gt;="&amp;Diagram!$O86,'J1 D - South Bank Avenue'!$A$12:$A$130,"&lt;"&amp;Diagram!$P86)))</f>
        <v>0</v>
      </c>
      <c r="AZ86" s="42">
        <f t="shared" ca="1" si="13"/>
        <v>0</v>
      </c>
      <c r="BA86" s="42">
        <f ca="1">IF(OR($I$10="",$O86="",$P86="",$J$37&lt;&gt;"Yes"),0,IF($K$10=0,SUMIFS(INDIRECT(ADDRESS(12,3+18*3+(2),,,"J1 A - (North) Bishopthorpe Roa")&amp;":"&amp;ADDRESS(130,3+18*3+(2))),'J1 A - (North) Bishopthorpe Roa'!$A$12:$A$130,"&gt;="&amp;Diagram!$O86,'J1 A - (North) Bishopthorpe Roa'!$A$12:$A$130,"&lt;"&amp;Diagram!$P86),SUMIFS(INDIRECT(ADDRESS(12,3+18*3+(10),,,"J1 A - (North) Bishopthorpe Roa")&amp;":"&amp;ADDRESS(130,3+18*3+(10))),'J1 A - (North) Bishopthorpe Roa'!$A$12:$A$130,"&gt;="&amp;Diagram!$O86,'J1 A - (North) Bishopthorpe Roa'!$A$12:$A$130,"&lt;"&amp;Diagram!$P86)))</f>
        <v>0</v>
      </c>
      <c r="BB86" s="42">
        <f ca="1">IF(OR($I$10="",$O86="",$P86="",$J$37&lt;&gt;"Yes"),0,IF($K$10=0,SUMIFS(INDIRECT(ADDRESS(12,3+18*0+(2),,,"J1 A - (North) Bishopthorpe Roa")&amp;":"&amp;ADDRESS(130,3+18*0+(2))),'J1 A - (North) Bishopthorpe Roa'!$A$12:$A$130,"&gt;="&amp;Diagram!$O86,'J1 A - (North) Bishopthorpe Roa'!$A$12:$A$130,"&lt;"&amp;Diagram!$P86),SUMIFS(INDIRECT(ADDRESS(12,3+18*0+(10),,,"J1 A - (North) Bishopthorpe Roa")&amp;":"&amp;ADDRESS(130,3+18*0+(10))),'J1 A - (North) Bishopthorpe Roa'!$A$12:$A$130,"&gt;="&amp;Diagram!$O86,'J1 A - (North) Bishopthorpe Roa'!$A$12:$A$130,"&lt;"&amp;Diagram!$P86)))</f>
        <v>0</v>
      </c>
      <c r="BC86" s="42">
        <f ca="1">IF(OR($I$10="",$O86="",$P86="",$J$37&lt;&gt;"Yes"),0,IF($K$10=0,SUMIFS(INDIRECT(ADDRESS(12,3+18*1+(2),,,"J1 A - (North) Bishopthorpe Roa")&amp;":"&amp;ADDRESS(130,3+18*1+(2))),'J1 A - (North) Bishopthorpe Roa'!$A$12:$A$130,"&gt;="&amp;Diagram!$O86,'J1 A - (North) Bishopthorpe Roa'!$A$12:$A$130,"&lt;"&amp;Diagram!$P86),SUMIFS(INDIRECT(ADDRESS(12,3+18*1+(10),,,"J1 A - (North) Bishopthorpe Roa")&amp;":"&amp;ADDRESS(130,3+18*1+(10))),'J1 A - (North) Bishopthorpe Roa'!$A$12:$A$130,"&gt;="&amp;Diagram!$O86,'J1 A - (North) Bishopthorpe Roa'!$A$12:$A$130,"&lt;"&amp;Diagram!$P86)))</f>
        <v>0</v>
      </c>
      <c r="BD86" s="42">
        <f ca="1">IF(OR($I$10="",$O86="",$P86="",$J$37&lt;&gt;"Yes"),0,IF($K$10=0,SUMIFS(INDIRECT(ADDRESS(12,3+18*2+(2),,,"J1 A - (North) Bishopthorpe Roa")&amp;":"&amp;ADDRESS(130,3+18*2+(2))),'J1 A - (North) Bishopthorpe Roa'!$A$12:$A$130,"&gt;="&amp;Diagram!$O86,'J1 A - (North) Bishopthorpe Roa'!$A$12:$A$130,"&lt;"&amp;Diagram!$P86),SUMIFS(INDIRECT(ADDRESS(12,3+18*2+(10),,,"J1 A - (North) Bishopthorpe Roa")&amp;":"&amp;ADDRESS(130,3+18*2+(10))),'J1 A - (North) Bishopthorpe Roa'!$A$12:$A$130,"&gt;="&amp;Diagram!$O86,'J1 A - (North) Bishopthorpe Roa'!$A$12:$A$130,"&lt;"&amp;Diagram!$P86)))</f>
        <v>0</v>
      </c>
      <c r="BE86" s="42">
        <f ca="1">IF(OR($I$10="",$O86="",$P86="",$J$37&lt;&gt;"Yes"),0,IF($K$10=0,SUMIFS(INDIRECT(ADDRESS(12,3+18*2+(2),,,"J1 B - Butcher Terrace")&amp;":"&amp;ADDRESS(130,3+18*2+(2))),'J1 B - Butcher Terrace'!$A$12:$A$130,"&gt;="&amp;Diagram!$O86,'J1 B - Butcher Terrace'!$A$12:$A$130,"&lt;"&amp;Diagram!$P86),SUMIFS(INDIRECT(ADDRESS(12,3+18*2+(10),,,"J1 B - Butcher Terrace")&amp;":"&amp;ADDRESS(130,3+18*2+(10))),'J1 B - Butcher Terrace'!$A$12:$A$130,"&gt;="&amp;Diagram!$O86,'J1 B - Butcher Terrace'!$A$12:$A$130,"&lt;"&amp;Diagram!$P86)))</f>
        <v>0</v>
      </c>
      <c r="BF86" s="42">
        <f ca="1">IF(OR($I$10="",$O86="",$P86="",$J$37&lt;&gt;"Yes"),0,IF($K$10=0,SUMIFS(INDIRECT(ADDRESS(12,3+18*3+(2),,,"J1 B - Butcher Terrace")&amp;":"&amp;ADDRESS(130,3+18*3+(2))),'J1 B - Butcher Terrace'!$A$12:$A$130,"&gt;="&amp;Diagram!$O86,'J1 B - Butcher Terrace'!$A$12:$A$130,"&lt;"&amp;Diagram!$P86),SUMIFS(INDIRECT(ADDRESS(12,3+18*3+(10),,,"J1 B - Butcher Terrace")&amp;":"&amp;ADDRESS(130,3+18*3+(10))),'J1 B - Butcher Terrace'!$A$12:$A$130,"&gt;="&amp;Diagram!$O86,'J1 B - Butcher Terrace'!$A$12:$A$130,"&lt;"&amp;Diagram!$P86)))</f>
        <v>0</v>
      </c>
      <c r="BG86" s="42">
        <f ca="1">IF(OR($I$10="",$O86="",$P86="",$J$37&lt;&gt;"Yes"),0,IF($K$10=0,SUMIFS(INDIRECT(ADDRESS(12,3+18*0+(2),,,"J1 B - Butcher Terrace")&amp;":"&amp;ADDRESS(130,3+18*0+(2))),'J1 B - Butcher Terrace'!$A$12:$A$130,"&gt;="&amp;Diagram!$O86,'J1 B - Butcher Terrace'!$A$12:$A$130,"&lt;"&amp;Diagram!$P86),SUMIFS(INDIRECT(ADDRESS(12,3+18*0+(10),,,"J1 B - Butcher Terrace")&amp;":"&amp;ADDRESS(130,3+18*0+(10))),'J1 B - Butcher Terrace'!$A$12:$A$130,"&gt;="&amp;Diagram!$O86,'J1 B - Butcher Terrace'!$A$12:$A$130,"&lt;"&amp;Diagram!$P86)))</f>
        <v>0</v>
      </c>
      <c r="BH86" s="42">
        <f ca="1">IF(OR($I$10="",$O86="",$P86="",$J$37&lt;&gt;"Yes"),0,IF($K$10=0,SUMIFS(INDIRECT(ADDRESS(12,3+18*1+(2),,,"J1 B - Butcher Terrace")&amp;":"&amp;ADDRESS(130,3+18*1+(2))),'J1 B - Butcher Terrace'!$A$12:$A$130,"&gt;="&amp;Diagram!$O86,'J1 B - Butcher Terrace'!$A$12:$A$130,"&lt;"&amp;Diagram!$P86),SUMIFS(INDIRECT(ADDRESS(12,3+18*1+(10),,,"J1 B - Butcher Terrace")&amp;":"&amp;ADDRESS(130,3+18*1+(10))),'J1 B - Butcher Terrace'!$A$12:$A$130,"&gt;="&amp;Diagram!$O86,'J1 B - Butcher Terrace'!$A$12:$A$130,"&lt;"&amp;Diagram!$P86)))</f>
        <v>0</v>
      </c>
      <c r="BI86" s="42">
        <f ca="1">IF(OR($I$10="",$O86="",$P86="",$J$37&lt;&gt;"Yes"),0,IF($K$10=0,SUMIFS(INDIRECT(ADDRESS(12,3+18*1+(2),,,"J1 C - (South) Bishopthorpe Roa")&amp;":"&amp;ADDRESS(130,3+18*1+(2))),'J1 C - (South) Bishopthorpe Roa'!$A$12:$A$130,"&gt;="&amp;Diagram!$O86,'J1 C - (South) Bishopthorpe Roa'!$A$12:$A$130,"&lt;"&amp;Diagram!$P86),SUMIFS(INDIRECT(ADDRESS(12,3+18*1+(10),,,"J1 C - (South) Bishopthorpe Roa")&amp;":"&amp;ADDRESS(130,3+18*1+(10))),'J1 C - (South) Bishopthorpe Roa'!$A$12:$A$130,"&gt;="&amp;Diagram!$O86,'J1 C - (South) Bishopthorpe Roa'!$A$12:$A$130,"&lt;"&amp;Diagram!$P86)))</f>
        <v>0</v>
      </c>
      <c r="BJ86" s="42">
        <f ca="1">IF(OR($I$10="",$O86="",$P86="",$J$37&lt;&gt;"Yes"),0,IF($K$10=0,SUMIFS(INDIRECT(ADDRESS(12,3+18*2+(2),,,"J1 C - (South) Bishopthorpe Roa")&amp;":"&amp;ADDRESS(130,3+18*2+(2))),'J1 C - (South) Bishopthorpe Roa'!$A$12:$A$130,"&gt;="&amp;Diagram!$O86,'J1 C - (South) Bishopthorpe Roa'!$A$12:$A$130,"&lt;"&amp;Diagram!$P86),SUMIFS(INDIRECT(ADDRESS(12,3+18*2+(10),,,"J1 C - (South) Bishopthorpe Roa")&amp;":"&amp;ADDRESS(130,3+18*2+(10))),'J1 C - (South) Bishopthorpe Roa'!$A$12:$A$130,"&gt;="&amp;Diagram!$O86,'J1 C - (South) Bishopthorpe Roa'!$A$12:$A$130,"&lt;"&amp;Diagram!$P86)))</f>
        <v>0</v>
      </c>
      <c r="BK86" s="42">
        <f ca="1">IF(OR($I$10="",$O86="",$P86="",$J$37&lt;&gt;"Yes"),0,IF($K$10=0,SUMIFS(INDIRECT(ADDRESS(12,3+18*3+(2),,,"J1 C - (South) Bishopthorpe Roa")&amp;":"&amp;ADDRESS(130,3+18*3+(2))),'J1 C - (South) Bishopthorpe Roa'!$A$12:$A$130,"&gt;="&amp;Diagram!$O86,'J1 C - (South) Bishopthorpe Roa'!$A$12:$A$130,"&lt;"&amp;Diagram!$P86),SUMIFS(INDIRECT(ADDRESS(12,3+18*3+(10),,,"J1 C - (South) Bishopthorpe Roa")&amp;":"&amp;ADDRESS(130,3+18*3+(10))),'J1 C - (South) Bishopthorpe Roa'!$A$12:$A$130,"&gt;="&amp;Diagram!$O86,'J1 C - (South) Bishopthorpe Roa'!$A$12:$A$130,"&lt;"&amp;Diagram!$P86)))</f>
        <v>0</v>
      </c>
      <c r="BL86" s="42">
        <f ca="1">IF(OR($I$10="",$O86="",$P86="",$J$37&lt;&gt;"Yes"),0,IF($K$10=0,SUMIFS(INDIRECT(ADDRESS(12,3+18*0+(2),,,"J1 C - (South) Bishopthorpe Roa")&amp;":"&amp;ADDRESS(130,3+18*0+(2))),'J1 C - (South) Bishopthorpe Roa'!$A$12:$A$130,"&gt;="&amp;Diagram!$O86,'J1 C - (South) Bishopthorpe Roa'!$A$12:$A$130,"&lt;"&amp;Diagram!$P86),SUMIFS(INDIRECT(ADDRESS(12,3+18*0+(10),,,"J1 C - (South) Bishopthorpe Roa")&amp;":"&amp;ADDRESS(130,3+18*0+(10))),'J1 C - (South) Bishopthorpe Roa'!$A$12:$A$130,"&gt;="&amp;Diagram!$O86,'J1 C - (South) Bishopthorpe Roa'!$A$12:$A$130,"&lt;"&amp;Diagram!$P86)))</f>
        <v>0</v>
      </c>
      <c r="BM86" s="42">
        <f ca="1">IF(OR($I$10="",$O86="",$P86="",$J$37&lt;&gt;"Yes"),0,IF($K$10=0,SUMIFS(INDIRECT(ADDRESS(12,3+18*0+(2),,,"J1 D - South Bank Avenue")&amp;":"&amp;ADDRESS(130,3+18*0+(2))),'J1 D - South Bank Avenue'!$A$12:$A$130,"&gt;="&amp;Diagram!$O86,'J1 D - South Bank Avenue'!$A$12:$A$130,"&lt;"&amp;Diagram!$P86),SUMIFS(INDIRECT(ADDRESS(12,3+18*0+(10),,,"J1 D - South Bank Avenue")&amp;":"&amp;ADDRESS(130,3+18*0+(10))),'J1 D - South Bank Avenue'!$A$12:$A$130,"&gt;="&amp;Diagram!$O86,'J1 D - South Bank Avenue'!$A$12:$A$130,"&lt;"&amp;Diagram!$P86)))</f>
        <v>0</v>
      </c>
      <c r="BN86" s="42">
        <f ca="1">IF(OR($I$10="",$O86="",$P86="",$J$37&lt;&gt;"Yes"),0,IF($K$10=0,SUMIFS(INDIRECT(ADDRESS(12,3+18*1+(2),,,"J1 D - South Bank Avenue")&amp;":"&amp;ADDRESS(130,3+18*1+(2))),'J1 D - South Bank Avenue'!$A$12:$A$130,"&gt;="&amp;Diagram!$O86,'J1 D - South Bank Avenue'!$A$12:$A$130,"&lt;"&amp;Diagram!$P86),SUMIFS(INDIRECT(ADDRESS(12,3+18*1+(10),,,"J1 D - South Bank Avenue")&amp;":"&amp;ADDRESS(130,3+18*1+(10))),'J1 D - South Bank Avenue'!$A$12:$A$130,"&gt;="&amp;Diagram!$O86,'J1 D - South Bank Avenue'!$A$12:$A$130,"&lt;"&amp;Diagram!$P86)))</f>
        <v>0</v>
      </c>
      <c r="BO86" s="42">
        <f ca="1">IF(OR($I$10="",$O86="",$P86="",$J$37&lt;&gt;"Yes"),0,IF($K$10=0,SUMIFS(INDIRECT(ADDRESS(12,3+18*2+(2),,,"J1 D - South Bank Avenue")&amp;":"&amp;ADDRESS(130,3+18*2+(2))),'J1 D - South Bank Avenue'!$A$12:$A$130,"&gt;="&amp;Diagram!$O86,'J1 D - South Bank Avenue'!$A$12:$A$130,"&lt;"&amp;Diagram!$P86),SUMIFS(INDIRECT(ADDRESS(12,3+18*2+(10),,,"J1 D - South Bank Avenue")&amp;":"&amp;ADDRESS(130,3+18*2+(10))),'J1 D - South Bank Avenue'!$A$12:$A$130,"&gt;="&amp;Diagram!$O86,'J1 D - South Bank Avenue'!$A$12:$A$130,"&lt;"&amp;Diagram!$P86)))</f>
        <v>0</v>
      </c>
      <c r="BP86" s="42">
        <f ca="1">IF(OR($I$10="",$O86="",$P86="",$J$37&lt;&gt;"Yes"),0,IF($K$10=0,SUMIFS(INDIRECT(ADDRESS(12,3+18*3+(2),,,"J1 D - South Bank Avenue")&amp;":"&amp;ADDRESS(130,3+18*3+(2))),'J1 D - South Bank Avenue'!$A$12:$A$130,"&gt;="&amp;Diagram!$O86,'J1 D - South Bank Avenue'!$A$12:$A$130,"&lt;"&amp;Diagram!$P86),SUMIFS(INDIRECT(ADDRESS(12,3+18*3+(10),,,"J1 D - South Bank Avenue")&amp;":"&amp;ADDRESS(130,3+18*3+(10))),'J1 D - South Bank Avenue'!$A$12:$A$130,"&gt;="&amp;Diagram!$O86,'J1 D - South Bank Avenue'!$A$12:$A$130,"&lt;"&amp;Diagram!$P86)))</f>
        <v>0</v>
      </c>
      <c r="BQ86" s="42">
        <f t="shared" ca="1" si="14"/>
        <v>0</v>
      </c>
      <c r="BR86" s="42">
        <f ca="1">IF(OR($I$10="",$O86="",$P86="",$J$38&lt;&gt;"Yes"),0,IF($K$10=0,SUMIFS(INDIRECT(ADDRESS(12,3+18*3+(3),,,"J1 A - (North) Bishopthorpe Roa")&amp;":"&amp;ADDRESS(130,3+18*3+(3))),'J1 A - (North) Bishopthorpe Roa'!$A$12:$A$130,"&gt;="&amp;Diagram!$O86,'J1 A - (North) Bishopthorpe Roa'!$A$12:$A$130,"&lt;"&amp;Diagram!$P86),SUMIFS(INDIRECT(ADDRESS(12,3+18*3+(11),,,"J1 A - (North) Bishopthorpe Roa")&amp;":"&amp;ADDRESS(130,3+18*3+(11))),'J1 A - (North) Bishopthorpe Roa'!$A$12:$A$130,"&gt;="&amp;Diagram!$O86,'J1 A - (North) Bishopthorpe Roa'!$A$12:$A$130,"&lt;"&amp;Diagram!$P86)))</f>
        <v>0</v>
      </c>
      <c r="BS86" s="42">
        <f ca="1">IF(OR($I$10="",$O86="",$P86="",$J$38&lt;&gt;"Yes"),0,IF($K$10=0,SUMIFS(INDIRECT(ADDRESS(12,3+18*0+(3),,,"J1 A - (North) Bishopthorpe Roa")&amp;":"&amp;ADDRESS(130,3+18*0+(3))),'J1 A - (North) Bishopthorpe Roa'!$A$12:$A$130,"&gt;="&amp;Diagram!$O86,'J1 A - (North) Bishopthorpe Roa'!$A$12:$A$130,"&lt;"&amp;Diagram!$P86),SUMIFS(INDIRECT(ADDRESS(12,3+18*0+(11),,,"J1 A - (North) Bishopthorpe Roa")&amp;":"&amp;ADDRESS(130,3+18*0+(11))),'J1 A - (North) Bishopthorpe Roa'!$A$12:$A$130,"&gt;="&amp;Diagram!$O86,'J1 A - (North) Bishopthorpe Roa'!$A$12:$A$130,"&lt;"&amp;Diagram!$P86)))</f>
        <v>0</v>
      </c>
      <c r="BT86" s="42">
        <f ca="1">IF(OR($I$10="",$O86="",$P86="",$J$38&lt;&gt;"Yes"),0,IF($K$10=0,SUMIFS(INDIRECT(ADDRESS(12,3+18*1+(3),,,"J1 A - (North) Bishopthorpe Roa")&amp;":"&amp;ADDRESS(130,3+18*1+(3))),'J1 A - (North) Bishopthorpe Roa'!$A$12:$A$130,"&gt;="&amp;Diagram!$O86,'J1 A - (North) Bishopthorpe Roa'!$A$12:$A$130,"&lt;"&amp;Diagram!$P86),SUMIFS(INDIRECT(ADDRESS(12,3+18*1+(11),,,"J1 A - (North) Bishopthorpe Roa")&amp;":"&amp;ADDRESS(130,3+18*1+(11))),'J1 A - (North) Bishopthorpe Roa'!$A$12:$A$130,"&gt;="&amp;Diagram!$O86,'J1 A - (North) Bishopthorpe Roa'!$A$12:$A$130,"&lt;"&amp;Diagram!$P86)))</f>
        <v>0</v>
      </c>
      <c r="BU86" s="42">
        <f ca="1">IF(OR($I$10="",$O86="",$P86="",$J$38&lt;&gt;"Yes"),0,IF($K$10=0,SUMIFS(INDIRECT(ADDRESS(12,3+18*2+(3),,,"J1 A - (North) Bishopthorpe Roa")&amp;":"&amp;ADDRESS(130,3+18*2+(3))),'J1 A - (North) Bishopthorpe Roa'!$A$12:$A$130,"&gt;="&amp;Diagram!$O86,'J1 A - (North) Bishopthorpe Roa'!$A$12:$A$130,"&lt;"&amp;Diagram!$P86),SUMIFS(INDIRECT(ADDRESS(12,3+18*2+(11),,,"J1 A - (North) Bishopthorpe Roa")&amp;":"&amp;ADDRESS(130,3+18*2+(11))),'J1 A - (North) Bishopthorpe Roa'!$A$12:$A$130,"&gt;="&amp;Diagram!$O86,'J1 A - (North) Bishopthorpe Roa'!$A$12:$A$130,"&lt;"&amp;Diagram!$P86)))</f>
        <v>0</v>
      </c>
      <c r="BV86" s="42">
        <f ca="1">IF(OR($I$10="",$O86="",$P86="",$J$38&lt;&gt;"Yes"),0,IF($K$10=0,SUMIFS(INDIRECT(ADDRESS(12,3+18*2+(3),,,"J1 B - Butcher Terrace")&amp;":"&amp;ADDRESS(130,3+18*2+(3))),'J1 B - Butcher Terrace'!$A$12:$A$130,"&gt;="&amp;Diagram!$O86,'J1 B - Butcher Terrace'!$A$12:$A$130,"&lt;"&amp;Diagram!$P86),SUMIFS(INDIRECT(ADDRESS(12,3+18*2+(11),,,"J1 B - Butcher Terrace")&amp;":"&amp;ADDRESS(130,3+18*2+(11))),'J1 B - Butcher Terrace'!$A$12:$A$130,"&gt;="&amp;Diagram!$O86,'J1 B - Butcher Terrace'!$A$12:$A$130,"&lt;"&amp;Diagram!$P86)))</f>
        <v>0</v>
      </c>
      <c r="BW86" s="42">
        <f ca="1">IF(OR($I$10="",$O86="",$P86="",$J$38&lt;&gt;"Yes"),0,IF($K$10=0,SUMIFS(INDIRECT(ADDRESS(12,3+18*3+(3),,,"J1 B - Butcher Terrace")&amp;":"&amp;ADDRESS(130,3+18*3+(3))),'J1 B - Butcher Terrace'!$A$12:$A$130,"&gt;="&amp;Diagram!$O86,'J1 B - Butcher Terrace'!$A$12:$A$130,"&lt;"&amp;Diagram!$P86),SUMIFS(INDIRECT(ADDRESS(12,3+18*3+(11),,,"J1 B - Butcher Terrace")&amp;":"&amp;ADDRESS(130,3+18*3+(11))),'J1 B - Butcher Terrace'!$A$12:$A$130,"&gt;="&amp;Diagram!$O86,'J1 B - Butcher Terrace'!$A$12:$A$130,"&lt;"&amp;Diagram!$P86)))</f>
        <v>0</v>
      </c>
      <c r="BX86" s="42">
        <f ca="1">IF(OR($I$10="",$O86="",$P86="",$J$38&lt;&gt;"Yes"),0,IF($K$10=0,SUMIFS(INDIRECT(ADDRESS(12,3+18*0+(3),,,"J1 B - Butcher Terrace")&amp;":"&amp;ADDRESS(130,3+18*0+(3))),'J1 B - Butcher Terrace'!$A$12:$A$130,"&gt;="&amp;Diagram!$O86,'J1 B - Butcher Terrace'!$A$12:$A$130,"&lt;"&amp;Diagram!$P86),SUMIFS(INDIRECT(ADDRESS(12,3+18*0+(11),,,"J1 B - Butcher Terrace")&amp;":"&amp;ADDRESS(130,3+18*0+(11))),'J1 B - Butcher Terrace'!$A$12:$A$130,"&gt;="&amp;Diagram!$O86,'J1 B - Butcher Terrace'!$A$12:$A$130,"&lt;"&amp;Diagram!$P86)))</f>
        <v>0</v>
      </c>
      <c r="BY86" s="42">
        <f ca="1">IF(OR($I$10="",$O86="",$P86="",$J$38&lt;&gt;"Yes"),0,IF($K$10=0,SUMIFS(INDIRECT(ADDRESS(12,3+18*1+(3),,,"J1 B - Butcher Terrace")&amp;":"&amp;ADDRESS(130,3+18*1+(3))),'J1 B - Butcher Terrace'!$A$12:$A$130,"&gt;="&amp;Diagram!$O86,'J1 B - Butcher Terrace'!$A$12:$A$130,"&lt;"&amp;Diagram!$P86),SUMIFS(INDIRECT(ADDRESS(12,3+18*1+(11),,,"J1 B - Butcher Terrace")&amp;":"&amp;ADDRESS(130,3+18*1+(11))),'J1 B - Butcher Terrace'!$A$12:$A$130,"&gt;="&amp;Diagram!$O86,'J1 B - Butcher Terrace'!$A$12:$A$130,"&lt;"&amp;Diagram!$P86)))</f>
        <v>0</v>
      </c>
      <c r="BZ86" s="42">
        <f ca="1">IF(OR($I$10="",$O86="",$P86="",$J$38&lt;&gt;"Yes"),0,IF($K$10=0,SUMIFS(INDIRECT(ADDRESS(12,3+18*1+(3),,,"J1 C - (South) Bishopthorpe Roa")&amp;":"&amp;ADDRESS(130,3+18*1+(3))),'J1 C - (South) Bishopthorpe Roa'!$A$12:$A$130,"&gt;="&amp;Diagram!$O86,'J1 C - (South) Bishopthorpe Roa'!$A$12:$A$130,"&lt;"&amp;Diagram!$P86),SUMIFS(INDIRECT(ADDRESS(12,3+18*1+(11),,,"J1 C - (South) Bishopthorpe Roa")&amp;":"&amp;ADDRESS(130,3+18*1+(11))),'J1 C - (South) Bishopthorpe Roa'!$A$12:$A$130,"&gt;="&amp;Diagram!$O86,'J1 C - (South) Bishopthorpe Roa'!$A$12:$A$130,"&lt;"&amp;Diagram!$P86)))</f>
        <v>0</v>
      </c>
      <c r="CA86" s="42">
        <f ca="1">IF(OR($I$10="",$O86="",$P86="",$J$38&lt;&gt;"Yes"),0,IF($K$10=0,SUMIFS(INDIRECT(ADDRESS(12,3+18*2+(3),,,"J1 C - (South) Bishopthorpe Roa")&amp;":"&amp;ADDRESS(130,3+18*2+(3))),'J1 C - (South) Bishopthorpe Roa'!$A$12:$A$130,"&gt;="&amp;Diagram!$O86,'J1 C - (South) Bishopthorpe Roa'!$A$12:$A$130,"&lt;"&amp;Diagram!$P86),SUMIFS(INDIRECT(ADDRESS(12,3+18*2+(11),,,"J1 C - (South) Bishopthorpe Roa")&amp;":"&amp;ADDRESS(130,3+18*2+(11))),'J1 C - (South) Bishopthorpe Roa'!$A$12:$A$130,"&gt;="&amp;Diagram!$O86,'J1 C - (South) Bishopthorpe Roa'!$A$12:$A$130,"&lt;"&amp;Diagram!$P86)))</f>
        <v>0</v>
      </c>
      <c r="CB86" s="42">
        <f ca="1">IF(OR($I$10="",$O86="",$P86="",$J$38&lt;&gt;"Yes"),0,IF($K$10=0,SUMIFS(INDIRECT(ADDRESS(12,3+18*3+(3),,,"J1 C - (South) Bishopthorpe Roa")&amp;":"&amp;ADDRESS(130,3+18*3+(3))),'J1 C - (South) Bishopthorpe Roa'!$A$12:$A$130,"&gt;="&amp;Diagram!$O86,'J1 C - (South) Bishopthorpe Roa'!$A$12:$A$130,"&lt;"&amp;Diagram!$P86),SUMIFS(INDIRECT(ADDRESS(12,3+18*3+(11),,,"J1 C - (South) Bishopthorpe Roa")&amp;":"&amp;ADDRESS(130,3+18*3+(11))),'J1 C - (South) Bishopthorpe Roa'!$A$12:$A$130,"&gt;="&amp;Diagram!$O86,'J1 C - (South) Bishopthorpe Roa'!$A$12:$A$130,"&lt;"&amp;Diagram!$P86)))</f>
        <v>0</v>
      </c>
      <c r="CC86" s="42">
        <f ca="1">IF(OR($I$10="",$O86="",$P86="",$J$38&lt;&gt;"Yes"),0,IF($K$10=0,SUMIFS(INDIRECT(ADDRESS(12,3+18*0+(3),,,"J1 C - (South) Bishopthorpe Roa")&amp;":"&amp;ADDRESS(130,3+18*0+(3))),'J1 C - (South) Bishopthorpe Roa'!$A$12:$A$130,"&gt;="&amp;Diagram!$O86,'J1 C - (South) Bishopthorpe Roa'!$A$12:$A$130,"&lt;"&amp;Diagram!$P86),SUMIFS(INDIRECT(ADDRESS(12,3+18*0+(11),,,"J1 C - (South) Bishopthorpe Roa")&amp;":"&amp;ADDRESS(130,3+18*0+(11))),'J1 C - (South) Bishopthorpe Roa'!$A$12:$A$130,"&gt;="&amp;Diagram!$O86,'J1 C - (South) Bishopthorpe Roa'!$A$12:$A$130,"&lt;"&amp;Diagram!$P86)))</f>
        <v>0</v>
      </c>
      <c r="CD86" s="42">
        <f ca="1">IF(OR($I$10="",$O86="",$P86="",$J$38&lt;&gt;"Yes"),0,IF($K$10=0,SUMIFS(INDIRECT(ADDRESS(12,3+18*0+(3),,,"J1 D - South Bank Avenue")&amp;":"&amp;ADDRESS(130,3+18*0+(3))),'J1 D - South Bank Avenue'!$A$12:$A$130,"&gt;="&amp;Diagram!$O86,'J1 D - South Bank Avenue'!$A$12:$A$130,"&lt;"&amp;Diagram!$P86),SUMIFS(INDIRECT(ADDRESS(12,3+18*0+(11),,,"J1 D - South Bank Avenue")&amp;":"&amp;ADDRESS(130,3+18*0+(11))),'J1 D - South Bank Avenue'!$A$12:$A$130,"&gt;="&amp;Diagram!$O86,'J1 D - South Bank Avenue'!$A$12:$A$130,"&lt;"&amp;Diagram!$P86)))</f>
        <v>0</v>
      </c>
      <c r="CE86" s="42">
        <f ca="1">IF(OR($I$10="",$O86="",$P86="",$J$38&lt;&gt;"Yes"),0,IF($K$10=0,SUMIFS(INDIRECT(ADDRESS(12,3+18*1+(3),,,"J1 D - South Bank Avenue")&amp;":"&amp;ADDRESS(130,3+18*1+(3))),'J1 D - South Bank Avenue'!$A$12:$A$130,"&gt;="&amp;Diagram!$O86,'J1 D - South Bank Avenue'!$A$12:$A$130,"&lt;"&amp;Diagram!$P86),SUMIFS(INDIRECT(ADDRESS(12,3+18*1+(11),,,"J1 D - South Bank Avenue")&amp;":"&amp;ADDRESS(130,3+18*1+(11))),'J1 D - South Bank Avenue'!$A$12:$A$130,"&gt;="&amp;Diagram!$O86,'J1 D - South Bank Avenue'!$A$12:$A$130,"&lt;"&amp;Diagram!$P86)))</f>
        <v>0</v>
      </c>
      <c r="CF86" s="42">
        <f ca="1">IF(OR($I$10="",$O86="",$P86="",$J$38&lt;&gt;"Yes"),0,IF($K$10=0,SUMIFS(INDIRECT(ADDRESS(12,3+18*2+(3),,,"J1 D - South Bank Avenue")&amp;":"&amp;ADDRESS(130,3+18*2+(3))),'J1 D - South Bank Avenue'!$A$12:$A$130,"&gt;="&amp;Diagram!$O86,'J1 D - South Bank Avenue'!$A$12:$A$130,"&lt;"&amp;Diagram!$P86),SUMIFS(INDIRECT(ADDRESS(12,3+18*2+(11),,,"J1 D - South Bank Avenue")&amp;":"&amp;ADDRESS(130,3+18*2+(11))),'J1 D - South Bank Avenue'!$A$12:$A$130,"&gt;="&amp;Diagram!$O86,'J1 D - South Bank Avenue'!$A$12:$A$130,"&lt;"&amp;Diagram!$P86)))</f>
        <v>0</v>
      </c>
      <c r="CG86" s="42">
        <f ca="1">IF(OR($I$10="",$O86="",$P86="",$J$38&lt;&gt;"Yes"),0,IF($K$10=0,SUMIFS(INDIRECT(ADDRESS(12,3+18*3+(3),,,"J1 D - South Bank Avenue")&amp;":"&amp;ADDRESS(130,3+18*3+(3))),'J1 D - South Bank Avenue'!$A$12:$A$130,"&gt;="&amp;Diagram!$O86,'J1 D - South Bank Avenue'!$A$12:$A$130,"&lt;"&amp;Diagram!$P86),SUMIFS(INDIRECT(ADDRESS(12,3+18*3+(11),,,"J1 D - South Bank Avenue")&amp;":"&amp;ADDRESS(130,3+18*3+(11))),'J1 D - South Bank Avenue'!$A$12:$A$130,"&gt;="&amp;Diagram!$O86,'J1 D - South Bank Avenue'!$A$12:$A$130,"&lt;"&amp;Diagram!$P86)))</f>
        <v>0</v>
      </c>
      <c r="CH86" s="42">
        <f t="shared" ca="1" si="15"/>
        <v>3</v>
      </c>
      <c r="CI86" s="42">
        <f ca="1">IF(OR($I$10="",$O86="",$P86="",$J$39&lt;&gt;"Yes"),0,IF($K$10=0,SUMIFS(INDIRECT(ADDRESS(12,3+18*3+(4),,,"J1 A - (North) Bishopthorpe Roa")&amp;":"&amp;ADDRESS(130,3+18*3+(4))),'J1 A - (North) Bishopthorpe Roa'!$A$12:$A$130,"&gt;="&amp;Diagram!$O86,'J1 A - (North) Bishopthorpe Roa'!$A$12:$A$130,"&lt;"&amp;Diagram!$P86),SUMIFS(INDIRECT(ADDRESS(12,3+18*3+(12),,,"J1 A - (North) Bishopthorpe Roa")&amp;":"&amp;ADDRESS(130,3+18*3+(12))),'J1 A - (North) Bishopthorpe Roa'!$A$12:$A$130,"&gt;="&amp;Diagram!$O86,'J1 A - (North) Bishopthorpe Roa'!$A$12:$A$130,"&lt;"&amp;Diagram!$P86)))</f>
        <v>0</v>
      </c>
      <c r="CJ86" s="42">
        <f ca="1">IF(OR($I$10="",$O86="",$P86="",$J$39&lt;&gt;"Yes"),0,IF($K$10=0,SUMIFS(INDIRECT(ADDRESS(12,3+18*0+(4),,,"J1 A - (North) Bishopthorpe Roa")&amp;":"&amp;ADDRESS(130,3+18*0+(4))),'J1 A - (North) Bishopthorpe Roa'!$A$12:$A$130,"&gt;="&amp;Diagram!$O86,'J1 A - (North) Bishopthorpe Roa'!$A$12:$A$130,"&lt;"&amp;Diagram!$P86),SUMIFS(INDIRECT(ADDRESS(12,3+18*0+(12),,,"J1 A - (North) Bishopthorpe Roa")&amp;":"&amp;ADDRESS(130,3+18*0+(12))),'J1 A - (North) Bishopthorpe Roa'!$A$12:$A$130,"&gt;="&amp;Diagram!$O86,'J1 A - (North) Bishopthorpe Roa'!$A$12:$A$130,"&lt;"&amp;Diagram!$P86)))</f>
        <v>0</v>
      </c>
      <c r="CK86" s="42">
        <f ca="1">IF(OR($I$10="",$O86="",$P86="",$J$39&lt;&gt;"Yes"),0,IF($K$10=0,SUMIFS(INDIRECT(ADDRESS(12,3+18*1+(4),,,"J1 A - (North) Bishopthorpe Roa")&amp;":"&amp;ADDRESS(130,3+18*1+(4))),'J1 A - (North) Bishopthorpe Roa'!$A$12:$A$130,"&gt;="&amp;Diagram!$O86,'J1 A - (North) Bishopthorpe Roa'!$A$12:$A$130,"&lt;"&amp;Diagram!$P86),SUMIFS(INDIRECT(ADDRESS(12,3+18*1+(12),,,"J1 A - (North) Bishopthorpe Roa")&amp;":"&amp;ADDRESS(130,3+18*1+(12))),'J1 A - (North) Bishopthorpe Roa'!$A$12:$A$130,"&gt;="&amp;Diagram!$O86,'J1 A - (North) Bishopthorpe Roa'!$A$12:$A$130,"&lt;"&amp;Diagram!$P86)))</f>
        <v>2</v>
      </c>
      <c r="CL86" s="42">
        <f ca="1">IF(OR($I$10="",$O86="",$P86="",$J$39&lt;&gt;"Yes"),0,IF($K$10=0,SUMIFS(INDIRECT(ADDRESS(12,3+18*2+(4),,,"J1 A - (North) Bishopthorpe Roa")&amp;":"&amp;ADDRESS(130,3+18*2+(4))),'J1 A - (North) Bishopthorpe Roa'!$A$12:$A$130,"&gt;="&amp;Diagram!$O86,'J1 A - (North) Bishopthorpe Roa'!$A$12:$A$130,"&lt;"&amp;Diagram!$P86),SUMIFS(INDIRECT(ADDRESS(12,3+18*2+(12),,,"J1 A - (North) Bishopthorpe Roa")&amp;":"&amp;ADDRESS(130,3+18*2+(12))),'J1 A - (North) Bishopthorpe Roa'!$A$12:$A$130,"&gt;="&amp;Diagram!$O86,'J1 A - (North) Bishopthorpe Roa'!$A$12:$A$130,"&lt;"&amp;Diagram!$P86)))</f>
        <v>0</v>
      </c>
      <c r="CM86" s="42">
        <f ca="1">IF(OR($I$10="",$O86="",$P86="",$J$39&lt;&gt;"Yes"),0,IF($K$10=0,SUMIFS(INDIRECT(ADDRESS(12,3+18*2+(4),,,"J1 B - Butcher Terrace")&amp;":"&amp;ADDRESS(130,3+18*2+(4))),'J1 B - Butcher Terrace'!$A$12:$A$130,"&gt;="&amp;Diagram!$O86,'J1 B - Butcher Terrace'!$A$12:$A$130,"&lt;"&amp;Diagram!$P86),SUMIFS(INDIRECT(ADDRESS(12,3+18*2+(12),,,"J1 B - Butcher Terrace")&amp;":"&amp;ADDRESS(130,3+18*2+(12))),'J1 B - Butcher Terrace'!$A$12:$A$130,"&gt;="&amp;Diagram!$O86,'J1 B - Butcher Terrace'!$A$12:$A$130,"&lt;"&amp;Diagram!$P86)))</f>
        <v>0</v>
      </c>
      <c r="CN86" s="42">
        <f ca="1">IF(OR($I$10="",$O86="",$P86="",$J$39&lt;&gt;"Yes"),0,IF($K$10=0,SUMIFS(INDIRECT(ADDRESS(12,3+18*3+(4),,,"J1 B - Butcher Terrace")&amp;":"&amp;ADDRESS(130,3+18*3+(4))),'J1 B - Butcher Terrace'!$A$12:$A$130,"&gt;="&amp;Diagram!$O86,'J1 B - Butcher Terrace'!$A$12:$A$130,"&lt;"&amp;Diagram!$P86),SUMIFS(INDIRECT(ADDRESS(12,3+18*3+(12),,,"J1 B - Butcher Terrace")&amp;":"&amp;ADDRESS(130,3+18*3+(12))),'J1 B - Butcher Terrace'!$A$12:$A$130,"&gt;="&amp;Diagram!$O86,'J1 B - Butcher Terrace'!$A$12:$A$130,"&lt;"&amp;Diagram!$P86)))</f>
        <v>0</v>
      </c>
      <c r="CO86" s="42">
        <f ca="1">IF(OR($I$10="",$O86="",$P86="",$J$39&lt;&gt;"Yes"),0,IF($K$10=0,SUMIFS(INDIRECT(ADDRESS(12,3+18*0+(4),,,"J1 B - Butcher Terrace")&amp;":"&amp;ADDRESS(130,3+18*0+(4))),'J1 B - Butcher Terrace'!$A$12:$A$130,"&gt;="&amp;Diagram!$O86,'J1 B - Butcher Terrace'!$A$12:$A$130,"&lt;"&amp;Diagram!$P86),SUMIFS(INDIRECT(ADDRESS(12,3+18*0+(12),,,"J1 B - Butcher Terrace")&amp;":"&amp;ADDRESS(130,3+18*0+(12))),'J1 B - Butcher Terrace'!$A$12:$A$130,"&gt;="&amp;Diagram!$O86,'J1 B - Butcher Terrace'!$A$12:$A$130,"&lt;"&amp;Diagram!$P86)))</f>
        <v>0</v>
      </c>
      <c r="CP86" s="42">
        <f ca="1">IF(OR($I$10="",$O86="",$P86="",$J$39&lt;&gt;"Yes"),0,IF($K$10=0,SUMIFS(INDIRECT(ADDRESS(12,3+18*1+(4),,,"J1 B - Butcher Terrace")&amp;":"&amp;ADDRESS(130,3+18*1+(4))),'J1 B - Butcher Terrace'!$A$12:$A$130,"&gt;="&amp;Diagram!$O86,'J1 B - Butcher Terrace'!$A$12:$A$130,"&lt;"&amp;Diagram!$P86),SUMIFS(INDIRECT(ADDRESS(12,3+18*1+(12),,,"J1 B - Butcher Terrace")&amp;":"&amp;ADDRESS(130,3+18*1+(12))),'J1 B - Butcher Terrace'!$A$12:$A$130,"&gt;="&amp;Diagram!$O86,'J1 B - Butcher Terrace'!$A$12:$A$130,"&lt;"&amp;Diagram!$P86)))</f>
        <v>0</v>
      </c>
      <c r="CQ86" s="42">
        <f ca="1">IF(OR($I$10="",$O86="",$P86="",$J$39&lt;&gt;"Yes"),0,IF($K$10=0,SUMIFS(INDIRECT(ADDRESS(12,3+18*1+(4),,,"J1 C - (South) Bishopthorpe Roa")&amp;":"&amp;ADDRESS(130,3+18*1+(4))),'J1 C - (South) Bishopthorpe Roa'!$A$12:$A$130,"&gt;="&amp;Diagram!$O86,'J1 C - (South) Bishopthorpe Roa'!$A$12:$A$130,"&lt;"&amp;Diagram!$P86),SUMIFS(INDIRECT(ADDRESS(12,3+18*1+(12),,,"J1 C - (South) Bishopthorpe Roa")&amp;":"&amp;ADDRESS(130,3+18*1+(12))),'J1 C - (South) Bishopthorpe Roa'!$A$12:$A$130,"&gt;="&amp;Diagram!$O86,'J1 C - (South) Bishopthorpe Roa'!$A$12:$A$130,"&lt;"&amp;Diagram!$P86)))</f>
        <v>1</v>
      </c>
      <c r="CR86" s="42">
        <f ca="1">IF(OR($I$10="",$O86="",$P86="",$J$39&lt;&gt;"Yes"),0,IF($K$10=0,SUMIFS(INDIRECT(ADDRESS(12,3+18*2+(4),,,"J1 C - (South) Bishopthorpe Roa")&amp;":"&amp;ADDRESS(130,3+18*2+(4))),'J1 C - (South) Bishopthorpe Roa'!$A$12:$A$130,"&gt;="&amp;Diagram!$O86,'J1 C - (South) Bishopthorpe Roa'!$A$12:$A$130,"&lt;"&amp;Diagram!$P86),SUMIFS(INDIRECT(ADDRESS(12,3+18*2+(12),,,"J1 C - (South) Bishopthorpe Roa")&amp;":"&amp;ADDRESS(130,3+18*2+(12))),'J1 C - (South) Bishopthorpe Roa'!$A$12:$A$130,"&gt;="&amp;Diagram!$O86,'J1 C - (South) Bishopthorpe Roa'!$A$12:$A$130,"&lt;"&amp;Diagram!$P86)))</f>
        <v>0</v>
      </c>
      <c r="CS86" s="42">
        <f ca="1">IF(OR($I$10="",$O86="",$P86="",$J$39&lt;&gt;"Yes"),0,IF($K$10=0,SUMIFS(INDIRECT(ADDRESS(12,3+18*3+(4),,,"J1 C - (South) Bishopthorpe Roa")&amp;":"&amp;ADDRESS(130,3+18*3+(4))),'J1 C - (South) Bishopthorpe Roa'!$A$12:$A$130,"&gt;="&amp;Diagram!$O86,'J1 C - (South) Bishopthorpe Roa'!$A$12:$A$130,"&lt;"&amp;Diagram!$P86),SUMIFS(INDIRECT(ADDRESS(12,3+18*3+(12),,,"J1 C - (South) Bishopthorpe Roa")&amp;":"&amp;ADDRESS(130,3+18*3+(12))),'J1 C - (South) Bishopthorpe Roa'!$A$12:$A$130,"&gt;="&amp;Diagram!$O86,'J1 C - (South) Bishopthorpe Roa'!$A$12:$A$130,"&lt;"&amp;Diagram!$P86)))</f>
        <v>0</v>
      </c>
      <c r="CT86" s="42">
        <f ca="1">IF(OR($I$10="",$O86="",$P86="",$J$39&lt;&gt;"Yes"),0,IF($K$10=0,SUMIFS(INDIRECT(ADDRESS(12,3+18*0+(4),,,"J1 C - (South) Bishopthorpe Roa")&amp;":"&amp;ADDRESS(130,3+18*0+(4))),'J1 C - (South) Bishopthorpe Roa'!$A$12:$A$130,"&gt;="&amp;Diagram!$O86,'J1 C - (South) Bishopthorpe Roa'!$A$12:$A$130,"&lt;"&amp;Diagram!$P86),SUMIFS(INDIRECT(ADDRESS(12,3+18*0+(12),,,"J1 C - (South) Bishopthorpe Roa")&amp;":"&amp;ADDRESS(130,3+18*0+(12))),'J1 C - (South) Bishopthorpe Roa'!$A$12:$A$130,"&gt;="&amp;Diagram!$O86,'J1 C - (South) Bishopthorpe Roa'!$A$12:$A$130,"&lt;"&amp;Diagram!$P86)))</f>
        <v>0</v>
      </c>
      <c r="CU86" s="42">
        <f ca="1">IF(OR($I$10="",$O86="",$P86="",$J$39&lt;&gt;"Yes"),0,IF($K$10=0,SUMIFS(INDIRECT(ADDRESS(12,3+18*0+(4),,,"J1 D - South Bank Avenue")&amp;":"&amp;ADDRESS(130,3+18*0+(4))),'J1 D - South Bank Avenue'!$A$12:$A$130,"&gt;="&amp;Diagram!$O86,'J1 D - South Bank Avenue'!$A$12:$A$130,"&lt;"&amp;Diagram!$P86),SUMIFS(INDIRECT(ADDRESS(12,3+18*0+(12),,,"J1 D - South Bank Avenue")&amp;":"&amp;ADDRESS(130,3+18*0+(12))),'J1 D - South Bank Avenue'!$A$12:$A$130,"&gt;="&amp;Diagram!$O86,'J1 D - South Bank Avenue'!$A$12:$A$130,"&lt;"&amp;Diagram!$P86)))</f>
        <v>0</v>
      </c>
      <c r="CV86" s="42">
        <f ca="1">IF(OR($I$10="",$O86="",$P86="",$J$39&lt;&gt;"Yes"),0,IF($K$10=0,SUMIFS(INDIRECT(ADDRESS(12,3+18*1+(4),,,"J1 D - South Bank Avenue")&amp;":"&amp;ADDRESS(130,3+18*1+(4))),'J1 D - South Bank Avenue'!$A$12:$A$130,"&gt;="&amp;Diagram!$O86,'J1 D - South Bank Avenue'!$A$12:$A$130,"&lt;"&amp;Diagram!$P86),SUMIFS(INDIRECT(ADDRESS(12,3+18*1+(12),,,"J1 D - South Bank Avenue")&amp;":"&amp;ADDRESS(130,3+18*1+(12))),'J1 D - South Bank Avenue'!$A$12:$A$130,"&gt;="&amp;Diagram!$O86,'J1 D - South Bank Avenue'!$A$12:$A$130,"&lt;"&amp;Diagram!$P86)))</f>
        <v>0</v>
      </c>
      <c r="CW86" s="42">
        <f ca="1">IF(OR($I$10="",$O86="",$P86="",$J$39&lt;&gt;"Yes"),0,IF($K$10=0,SUMIFS(INDIRECT(ADDRESS(12,3+18*2+(4),,,"J1 D - South Bank Avenue")&amp;":"&amp;ADDRESS(130,3+18*2+(4))),'J1 D - South Bank Avenue'!$A$12:$A$130,"&gt;="&amp;Diagram!$O86,'J1 D - South Bank Avenue'!$A$12:$A$130,"&lt;"&amp;Diagram!$P86),SUMIFS(INDIRECT(ADDRESS(12,3+18*2+(12),,,"J1 D - South Bank Avenue")&amp;":"&amp;ADDRESS(130,3+18*2+(12))),'J1 D - South Bank Avenue'!$A$12:$A$130,"&gt;="&amp;Diagram!$O86,'J1 D - South Bank Avenue'!$A$12:$A$130,"&lt;"&amp;Diagram!$P86)))</f>
        <v>0</v>
      </c>
      <c r="CX86" s="42">
        <f ca="1">IF(OR($I$10="",$O86="",$P86="",$J$39&lt;&gt;"Yes"),0,IF($K$10=0,SUMIFS(INDIRECT(ADDRESS(12,3+18*3+(4),,,"J1 D - South Bank Avenue")&amp;":"&amp;ADDRESS(130,3+18*3+(4))),'J1 D - South Bank Avenue'!$A$12:$A$130,"&gt;="&amp;Diagram!$O86,'J1 D - South Bank Avenue'!$A$12:$A$130,"&lt;"&amp;Diagram!$P86),SUMIFS(INDIRECT(ADDRESS(12,3+18*3+(12),,,"J1 D - South Bank Avenue")&amp;":"&amp;ADDRESS(130,3+18*3+(12))),'J1 D - South Bank Avenue'!$A$12:$A$130,"&gt;="&amp;Diagram!$O86,'J1 D - South Bank Avenue'!$A$12:$A$130,"&lt;"&amp;Diagram!$P86)))</f>
        <v>0</v>
      </c>
      <c r="CY86" s="42">
        <f t="shared" ca="1" si="16"/>
        <v>57</v>
      </c>
      <c r="CZ86" s="42">
        <f ca="1">IF(OR($I$10="",$O86="",$P86="",$J$40&lt;&gt;"Yes"),0,IF($K$10=0,SUMIFS(INDIRECT(ADDRESS(12,3+18*3+(5),,,"J1 A - (North) Bishopthorpe Roa")&amp;":"&amp;ADDRESS(130,3+18*3+(5))),'J1 A - (North) Bishopthorpe Roa'!$A$12:$A$130,"&gt;="&amp;Diagram!$O86,'J1 A - (North) Bishopthorpe Roa'!$A$12:$A$130,"&lt;"&amp;Diagram!$P86),SUMIFS(INDIRECT(ADDRESS(12,3+18*3+(13),,,"J1 A - (North) Bishopthorpe Roa")&amp;":"&amp;ADDRESS(130,3+18*3+(13))),'J1 A - (North) Bishopthorpe Roa'!$A$12:$A$130,"&gt;="&amp;Diagram!$O86,'J1 A - (North) Bishopthorpe Roa'!$A$12:$A$130,"&lt;"&amp;Diagram!$P86)))</f>
        <v>0</v>
      </c>
      <c r="DA86" s="42">
        <f ca="1">IF(OR($I$10="",$O86="",$P86="",$J$40&lt;&gt;"Yes"),0,IF($K$10=0,SUMIFS(INDIRECT(ADDRESS(12,3+18*0+(5),,,"J1 A - (North) Bishopthorpe Roa")&amp;":"&amp;ADDRESS(130,3+18*0+(5))),'J1 A - (North) Bishopthorpe Roa'!$A$12:$A$130,"&gt;="&amp;Diagram!$O86,'J1 A - (North) Bishopthorpe Roa'!$A$12:$A$130,"&lt;"&amp;Diagram!$P86),SUMIFS(INDIRECT(ADDRESS(12,3+18*0+(13),,,"J1 A - (North) Bishopthorpe Roa")&amp;":"&amp;ADDRESS(130,3+18*0+(13))),'J1 A - (North) Bishopthorpe Roa'!$A$12:$A$130,"&gt;="&amp;Diagram!$O86,'J1 A - (North) Bishopthorpe Roa'!$A$12:$A$130,"&lt;"&amp;Diagram!$P86)))</f>
        <v>6</v>
      </c>
      <c r="DB86" s="42">
        <f ca="1">IF(OR($I$10="",$O86="",$P86="",$J$40&lt;&gt;"Yes"),0,IF($K$10=0,SUMIFS(INDIRECT(ADDRESS(12,3+18*1+(5),,,"J1 A - (North) Bishopthorpe Roa")&amp;":"&amp;ADDRESS(130,3+18*1+(5))),'J1 A - (North) Bishopthorpe Roa'!$A$12:$A$130,"&gt;="&amp;Diagram!$O86,'J1 A - (North) Bishopthorpe Roa'!$A$12:$A$130,"&lt;"&amp;Diagram!$P86),SUMIFS(INDIRECT(ADDRESS(12,3+18*1+(13),,,"J1 A - (North) Bishopthorpe Roa")&amp;":"&amp;ADDRESS(130,3+18*1+(13))),'J1 A - (North) Bishopthorpe Roa'!$A$12:$A$130,"&gt;="&amp;Diagram!$O86,'J1 A - (North) Bishopthorpe Roa'!$A$12:$A$130,"&lt;"&amp;Diagram!$P86)))</f>
        <v>10</v>
      </c>
      <c r="DC86" s="42">
        <f ca="1">IF(OR($I$10="",$O86="",$P86="",$J$40&lt;&gt;"Yes"),0,IF($K$10=0,SUMIFS(INDIRECT(ADDRESS(12,3+18*2+(5),,,"J1 A - (North) Bishopthorpe Roa")&amp;":"&amp;ADDRESS(130,3+18*2+(5))),'J1 A - (North) Bishopthorpe Roa'!$A$12:$A$130,"&gt;="&amp;Diagram!$O86,'J1 A - (North) Bishopthorpe Roa'!$A$12:$A$130,"&lt;"&amp;Diagram!$P86),SUMIFS(INDIRECT(ADDRESS(12,3+18*2+(13),,,"J1 A - (North) Bishopthorpe Roa")&amp;":"&amp;ADDRESS(130,3+18*2+(13))),'J1 A - (North) Bishopthorpe Roa'!$A$12:$A$130,"&gt;="&amp;Diagram!$O86,'J1 A - (North) Bishopthorpe Roa'!$A$12:$A$130,"&lt;"&amp;Diagram!$P86)))</f>
        <v>0</v>
      </c>
      <c r="DD86" s="42">
        <f ca="1">IF(OR($I$10="",$O86="",$P86="",$J$40&lt;&gt;"Yes"),0,IF($K$10=0,SUMIFS(INDIRECT(ADDRESS(12,3+18*2+(5),,,"J1 B - Butcher Terrace")&amp;":"&amp;ADDRESS(130,3+18*2+(5))),'J1 B - Butcher Terrace'!$A$12:$A$130,"&gt;="&amp;Diagram!$O86,'J1 B - Butcher Terrace'!$A$12:$A$130,"&lt;"&amp;Diagram!$P86),SUMIFS(INDIRECT(ADDRESS(12,3+18*2+(13),,,"J1 B - Butcher Terrace")&amp;":"&amp;ADDRESS(130,3+18*2+(13))),'J1 B - Butcher Terrace'!$A$12:$A$130,"&gt;="&amp;Diagram!$O86,'J1 B - Butcher Terrace'!$A$12:$A$130,"&lt;"&amp;Diagram!$P86)))</f>
        <v>6</v>
      </c>
      <c r="DE86" s="42">
        <f ca="1">IF(OR($I$10="",$O86="",$P86="",$J$40&lt;&gt;"Yes"),0,IF($K$10=0,SUMIFS(INDIRECT(ADDRESS(12,3+18*3+(5),,,"J1 B - Butcher Terrace")&amp;":"&amp;ADDRESS(130,3+18*3+(5))),'J1 B - Butcher Terrace'!$A$12:$A$130,"&gt;="&amp;Diagram!$O86,'J1 B - Butcher Terrace'!$A$12:$A$130,"&lt;"&amp;Diagram!$P86),SUMIFS(INDIRECT(ADDRESS(12,3+18*3+(13),,,"J1 B - Butcher Terrace")&amp;":"&amp;ADDRESS(130,3+18*3+(13))),'J1 B - Butcher Terrace'!$A$12:$A$130,"&gt;="&amp;Diagram!$O86,'J1 B - Butcher Terrace'!$A$12:$A$130,"&lt;"&amp;Diagram!$P86)))</f>
        <v>0</v>
      </c>
      <c r="DF86" s="42">
        <f ca="1">IF(OR($I$10="",$O86="",$P86="",$J$40&lt;&gt;"Yes"),0,IF($K$10=0,SUMIFS(INDIRECT(ADDRESS(12,3+18*0+(5),,,"J1 B - Butcher Terrace")&amp;":"&amp;ADDRESS(130,3+18*0+(5))),'J1 B - Butcher Terrace'!$A$12:$A$130,"&gt;="&amp;Diagram!$O86,'J1 B - Butcher Terrace'!$A$12:$A$130,"&lt;"&amp;Diagram!$P86),SUMIFS(INDIRECT(ADDRESS(12,3+18*0+(13),,,"J1 B - Butcher Terrace")&amp;":"&amp;ADDRESS(130,3+18*0+(13))),'J1 B - Butcher Terrace'!$A$12:$A$130,"&gt;="&amp;Diagram!$O86,'J1 B - Butcher Terrace'!$A$12:$A$130,"&lt;"&amp;Diagram!$P86)))</f>
        <v>1</v>
      </c>
      <c r="DG86" s="42">
        <f ca="1">IF(OR($I$10="",$O86="",$P86="",$J$40&lt;&gt;"Yes"),0,IF($K$10=0,SUMIFS(INDIRECT(ADDRESS(12,3+18*1+(5),,,"J1 B - Butcher Terrace")&amp;":"&amp;ADDRESS(130,3+18*1+(5))),'J1 B - Butcher Terrace'!$A$12:$A$130,"&gt;="&amp;Diagram!$O86,'J1 B - Butcher Terrace'!$A$12:$A$130,"&lt;"&amp;Diagram!$P86),SUMIFS(INDIRECT(ADDRESS(12,3+18*1+(13),,,"J1 B - Butcher Terrace")&amp;":"&amp;ADDRESS(130,3+18*1+(13))),'J1 B - Butcher Terrace'!$A$12:$A$130,"&gt;="&amp;Diagram!$O86,'J1 B - Butcher Terrace'!$A$12:$A$130,"&lt;"&amp;Diagram!$P86)))</f>
        <v>16</v>
      </c>
      <c r="DH86" s="42">
        <f ca="1">IF(OR($I$10="",$O86="",$P86="",$J$40&lt;&gt;"Yes"),0,IF($K$10=0,SUMIFS(INDIRECT(ADDRESS(12,3+18*1+(5),,,"J1 C - (South) Bishopthorpe Roa")&amp;":"&amp;ADDRESS(130,3+18*1+(5))),'J1 C - (South) Bishopthorpe Roa'!$A$12:$A$130,"&gt;="&amp;Diagram!$O86,'J1 C - (South) Bishopthorpe Roa'!$A$12:$A$130,"&lt;"&amp;Diagram!$P86),SUMIFS(INDIRECT(ADDRESS(12,3+18*1+(13),,,"J1 C - (South) Bishopthorpe Roa")&amp;":"&amp;ADDRESS(130,3+18*1+(13))),'J1 C - (South) Bishopthorpe Roa'!$A$12:$A$130,"&gt;="&amp;Diagram!$O86,'J1 C - (South) Bishopthorpe Roa'!$A$12:$A$130,"&lt;"&amp;Diagram!$P86)))</f>
        <v>9</v>
      </c>
      <c r="DI86" s="42">
        <f ca="1">IF(OR($I$10="",$O86="",$P86="",$J$40&lt;&gt;"Yes"),0,IF($K$10=0,SUMIFS(INDIRECT(ADDRESS(12,3+18*2+(5),,,"J1 C - (South) Bishopthorpe Roa")&amp;":"&amp;ADDRESS(130,3+18*2+(5))),'J1 C - (South) Bishopthorpe Roa'!$A$12:$A$130,"&gt;="&amp;Diagram!$O86,'J1 C - (South) Bishopthorpe Roa'!$A$12:$A$130,"&lt;"&amp;Diagram!$P86),SUMIFS(INDIRECT(ADDRESS(12,3+18*2+(13),,,"J1 C - (South) Bishopthorpe Roa")&amp;":"&amp;ADDRESS(130,3+18*2+(13))),'J1 C - (South) Bishopthorpe Roa'!$A$12:$A$130,"&gt;="&amp;Diagram!$O86,'J1 C - (South) Bishopthorpe Roa'!$A$12:$A$130,"&lt;"&amp;Diagram!$P86)))</f>
        <v>0</v>
      </c>
      <c r="DJ86" s="42">
        <f ca="1">IF(OR($I$10="",$O86="",$P86="",$J$40&lt;&gt;"Yes"),0,IF($K$10=0,SUMIFS(INDIRECT(ADDRESS(12,3+18*3+(5),,,"J1 C - (South) Bishopthorpe Roa")&amp;":"&amp;ADDRESS(130,3+18*3+(5))),'J1 C - (South) Bishopthorpe Roa'!$A$12:$A$130,"&gt;="&amp;Diagram!$O86,'J1 C - (South) Bishopthorpe Roa'!$A$12:$A$130,"&lt;"&amp;Diagram!$P86),SUMIFS(INDIRECT(ADDRESS(12,3+18*3+(13),,,"J1 C - (South) Bishopthorpe Roa")&amp;":"&amp;ADDRESS(130,3+18*3+(13))),'J1 C - (South) Bishopthorpe Roa'!$A$12:$A$130,"&gt;="&amp;Diagram!$O86,'J1 C - (South) Bishopthorpe Roa'!$A$12:$A$130,"&lt;"&amp;Diagram!$P86)))</f>
        <v>0</v>
      </c>
      <c r="DK86" s="42">
        <f ca="1">IF(OR($I$10="",$O86="",$P86="",$J$40&lt;&gt;"Yes"),0,IF($K$10=0,SUMIFS(INDIRECT(ADDRESS(12,3+18*0+(5),,,"J1 C - (South) Bishopthorpe Roa")&amp;":"&amp;ADDRESS(130,3+18*0+(5))),'J1 C - (South) Bishopthorpe Roa'!$A$12:$A$130,"&gt;="&amp;Diagram!$O86,'J1 C - (South) Bishopthorpe Roa'!$A$12:$A$130,"&lt;"&amp;Diagram!$P86),SUMIFS(INDIRECT(ADDRESS(12,3+18*0+(13),,,"J1 C - (South) Bishopthorpe Roa")&amp;":"&amp;ADDRESS(130,3+18*0+(13))),'J1 C - (South) Bishopthorpe Roa'!$A$12:$A$130,"&gt;="&amp;Diagram!$O86,'J1 C - (South) Bishopthorpe Roa'!$A$12:$A$130,"&lt;"&amp;Diagram!$P86)))</f>
        <v>1</v>
      </c>
      <c r="DL86" s="42">
        <f ca="1">IF(OR($I$10="",$O86="",$P86="",$J$40&lt;&gt;"Yes"),0,IF($K$10=0,SUMIFS(INDIRECT(ADDRESS(12,3+18*0+(5),,,"J1 D - South Bank Avenue")&amp;":"&amp;ADDRESS(130,3+18*0+(5))),'J1 D - South Bank Avenue'!$A$12:$A$130,"&gt;="&amp;Diagram!$O86,'J1 D - South Bank Avenue'!$A$12:$A$130,"&lt;"&amp;Diagram!$P86),SUMIFS(INDIRECT(ADDRESS(12,3+18*0+(13),,,"J1 D - South Bank Avenue")&amp;":"&amp;ADDRESS(130,3+18*0+(13))),'J1 D - South Bank Avenue'!$A$12:$A$130,"&gt;="&amp;Diagram!$O86,'J1 D - South Bank Avenue'!$A$12:$A$130,"&lt;"&amp;Diagram!$P86)))</f>
        <v>0</v>
      </c>
      <c r="DM86" s="42">
        <f ca="1">IF(OR($I$10="",$O86="",$P86="",$J$40&lt;&gt;"Yes"),0,IF($K$10=0,SUMIFS(INDIRECT(ADDRESS(12,3+18*1+(5),,,"J1 D - South Bank Avenue")&amp;":"&amp;ADDRESS(130,3+18*1+(5))),'J1 D - South Bank Avenue'!$A$12:$A$130,"&gt;="&amp;Diagram!$O86,'J1 D - South Bank Avenue'!$A$12:$A$130,"&lt;"&amp;Diagram!$P86),SUMIFS(INDIRECT(ADDRESS(12,3+18*1+(13),,,"J1 D - South Bank Avenue")&amp;":"&amp;ADDRESS(130,3+18*1+(13))),'J1 D - South Bank Avenue'!$A$12:$A$130,"&gt;="&amp;Diagram!$O86,'J1 D - South Bank Avenue'!$A$12:$A$130,"&lt;"&amp;Diagram!$P86)))</f>
        <v>8</v>
      </c>
      <c r="DN86" s="42">
        <f ca="1">IF(OR($I$10="",$O86="",$P86="",$J$40&lt;&gt;"Yes"),0,IF($K$10=0,SUMIFS(INDIRECT(ADDRESS(12,3+18*2+(5),,,"J1 D - South Bank Avenue")&amp;":"&amp;ADDRESS(130,3+18*2+(5))),'J1 D - South Bank Avenue'!$A$12:$A$130,"&gt;="&amp;Diagram!$O86,'J1 D - South Bank Avenue'!$A$12:$A$130,"&lt;"&amp;Diagram!$P86),SUMIFS(INDIRECT(ADDRESS(12,3+18*2+(13),,,"J1 D - South Bank Avenue")&amp;":"&amp;ADDRESS(130,3+18*2+(13))),'J1 D - South Bank Avenue'!$A$12:$A$130,"&gt;="&amp;Diagram!$O86,'J1 D - South Bank Avenue'!$A$12:$A$130,"&lt;"&amp;Diagram!$P86)))</f>
        <v>0</v>
      </c>
      <c r="DO86" s="42">
        <f ca="1">IF(OR($I$10="",$O86="",$P86="",$J$40&lt;&gt;"Yes"),0,IF($K$10=0,SUMIFS(INDIRECT(ADDRESS(12,3+18*3+(5),,,"J1 D - South Bank Avenue")&amp;":"&amp;ADDRESS(130,3+18*3+(5))),'J1 D - South Bank Avenue'!$A$12:$A$130,"&gt;="&amp;Diagram!$O86,'J1 D - South Bank Avenue'!$A$12:$A$130,"&lt;"&amp;Diagram!$P86),SUMIFS(INDIRECT(ADDRESS(12,3+18*3+(13),,,"J1 D - South Bank Avenue")&amp;":"&amp;ADDRESS(130,3+18*3+(13))),'J1 D - South Bank Avenue'!$A$12:$A$130,"&gt;="&amp;Diagram!$O86,'J1 D - South Bank Avenue'!$A$12:$A$130,"&lt;"&amp;Diagram!$P86)))</f>
        <v>0</v>
      </c>
      <c r="DP86" s="42">
        <f t="shared" ca="1" si="17"/>
        <v>4</v>
      </c>
      <c r="DQ86" s="42">
        <f ca="1">IF(OR($I$10="",$O86="",$P86="",$J$41&lt;&gt;"Yes"),0,IF($K$10=0,SUMIFS(INDIRECT(ADDRESS(12,3+18*3+(6),,,"J1 A - (North) Bishopthorpe Roa")&amp;":"&amp;ADDRESS(130,3+18*3+(6))),'J1 A - (North) Bishopthorpe Roa'!$A$12:$A$130,"&gt;="&amp;Diagram!$O86,'J1 A - (North) Bishopthorpe Roa'!$A$12:$A$130,"&lt;"&amp;Diagram!$P86),SUMIFS(INDIRECT(ADDRESS(12,3+18*3+(14),,,"J1 A - (North) Bishopthorpe Roa")&amp;":"&amp;ADDRESS(130,3+18*3+(14))),'J1 A - (North) Bishopthorpe Roa'!$A$12:$A$130,"&gt;="&amp;Diagram!$O86,'J1 A - (North) Bishopthorpe Roa'!$A$12:$A$130,"&lt;"&amp;Diagram!$P86)))</f>
        <v>0</v>
      </c>
      <c r="DR86" s="42">
        <f ca="1">IF(OR($I$10="",$O86="",$P86="",$J$41&lt;&gt;"Yes"),0,IF($K$10=0,SUMIFS(INDIRECT(ADDRESS(12,3+18*0+(6),,,"J1 A - (North) Bishopthorpe Roa")&amp;":"&amp;ADDRESS(130,3+18*0+(6))),'J1 A - (North) Bishopthorpe Roa'!$A$12:$A$130,"&gt;="&amp;Diagram!$O86,'J1 A - (North) Bishopthorpe Roa'!$A$12:$A$130,"&lt;"&amp;Diagram!$P86),SUMIFS(INDIRECT(ADDRESS(12,3+18*0+(14),,,"J1 A - (North) Bishopthorpe Roa")&amp;":"&amp;ADDRESS(130,3+18*0+(14))),'J1 A - (North) Bishopthorpe Roa'!$A$12:$A$130,"&gt;="&amp;Diagram!$O86,'J1 A - (North) Bishopthorpe Roa'!$A$12:$A$130,"&lt;"&amp;Diagram!$P86)))</f>
        <v>0</v>
      </c>
      <c r="DS86" s="42">
        <f ca="1">IF(OR($I$10="",$O86="",$P86="",$J$41&lt;&gt;"Yes"),0,IF($K$10=0,SUMIFS(INDIRECT(ADDRESS(12,3+18*1+(6),,,"J1 A - (North) Bishopthorpe Roa")&amp;":"&amp;ADDRESS(130,3+18*1+(6))),'J1 A - (North) Bishopthorpe Roa'!$A$12:$A$130,"&gt;="&amp;Diagram!$O86,'J1 A - (North) Bishopthorpe Roa'!$A$12:$A$130,"&lt;"&amp;Diagram!$P86),SUMIFS(INDIRECT(ADDRESS(12,3+18*1+(14),,,"J1 A - (North) Bishopthorpe Roa")&amp;":"&amp;ADDRESS(130,3+18*1+(14))),'J1 A - (North) Bishopthorpe Roa'!$A$12:$A$130,"&gt;="&amp;Diagram!$O86,'J1 A - (North) Bishopthorpe Roa'!$A$12:$A$130,"&lt;"&amp;Diagram!$P86)))</f>
        <v>0</v>
      </c>
      <c r="DT86" s="42">
        <f ca="1">IF(OR($I$10="",$O86="",$P86="",$J$41&lt;&gt;"Yes"),0,IF($K$10=0,SUMIFS(INDIRECT(ADDRESS(12,3+18*2+(6),,,"J1 A - (North) Bishopthorpe Roa")&amp;":"&amp;ADDRESS(130,3+18*2+(6))),'J1 A - (North) Bishopthorpe Roa'!$A$12:$A$130,"&gt;="&amp;Diagram!$O86,'J1 A - (North) Bishopthorpe Roa'!$A$12:$A$130,"&lt;"&amp;Diagram!$P86),SUMIFS(INDIRECT(ADDRESS(12,3+18*2+(14),,,"J1 A - (North) Bishopthorpe Roa")&amp;":"&amp;ADDRESS(130,3+18*2+(14))),'J1 A - (North) Bishopthorpe Roa'!$A$12:$A$130,"&gt;="&amp;Diagram!$O86,'J1 A - (North) Bishopthorpe Roa'!$A$12:$A$130,"&lt;"&amp;Diagram!$P86)))</f>
        <v>0</v>
      </c>
      <c r="DU86" s="42">
        <f ca="1">IF(OR($I$10="",$O86="",$P86="",$J$41&lt;&gt;"Yes"),0,IF($K$10=0,SUMIFS(INDIRECT(ADDRESS(12,3+18*2+(6),,,"J1 B - Butcher Terrace")&amp;":"&amp;ADDRESS(130,3+18*2+(6))),'J1 B - Butcher Terrace'!$A$12:$A$130,"&gt;="&amp;Diagram!$O86,'J1 B - Butcher Terrace'!$A$12:$A$130,"&lt;"&amp;Diagram!$P86),SUMIFS(INDIRECT(ADDRESS(12,3+18*2+(14),,,"J1 B - Butcher Terrace")&amp;":"&amp;ADDRESS(130,3+18*2+(14))),'J1 B - Butcher Terrace'!$A$12:$A$130,"&gt;="&amp;Diagram!$O86,'J1 B - Butcher Terrace'!$A$12:$A$130,"&lt;"&amp;Diagram!$P86)))</f>
        <v>0</v>
      </c>
      <c r="DV86" s="42">
        <f ca="1">IF(OR($I$10="",$O86="",$P86="",$J$41&lt;&gt;"Yes"),0,IF($K$10=0,SUMIFS(INDIRECT(ADDRESS(12,3+18*3+(6),,,"J1 B - Butcher Terrace")&amp;":"&amp;ADDRESS(130,3+18*3+(6))),'J1 B - Butcher Terrace'!$A$12:$A$130,"&gt;="&amp;Diagram!$O86,'J1 B - Butcher Terrace'!$A$12:$A$130,"&lt;"&amp;Diagram!$P86),SUMIFS(INDIRECT(ADDRESS(12,3+18*3+(14),,,"J1 B - Butcher Terrace")&amp;":"&amp;ADDRESS(130,3+18*3+(14))),'J1 B - Butcher Terrace'!$A$12:$A$130,"&gt;="&amp;Diagram!$O86,'J1 B - Butcher Terrace'!$A$12:$A$130,"&lt;"&amp;Diagram!$P86)))</f>
        <v>0</v>
      </c>
      <c r="DW86" s="42">
        <f ca="1">IF(OR($I$10="",$O86="",$P86="",$J$41&lt;&gt;"Yes"),0,IF($K$10=0,SUMIFS(INDIRECT(ADDRESS(12,3+18*0+(6),,,"J1 B - Butcher Terrace")&amp;":"&amp;ADDRESS(130,3+18*0+(6))),'J1 B - Butcher Terrace'!$A$12:$A$130,"&gt;="&amp;Diagram!$O86,'J1 B - Butcher Terrace'!$A$12:$A$130,"&lt;"&amp;Diagram!$P86),SUMIFS(INDIRECT(ADDRESS(12,3+18*0+(14),,,"J1 B - Butcher Terrace")&amp;":"&amp;ADDRESS(130,3+18*0+(14))),'J1 B - Butcher Terrace'!$A$12:$A$130,"&gt;="&amp;Diagram!$O86,'J1 B - Butcher Terrace'!$A$12:$A$130,"&lt;"&amp;Diagram!$P86)))</f>
        <v>0</v>
      </c>
      <c r="DX86" s="42">
        <f ca="1">IF(OR($I$10="",$O86="",$P86="",$J$41&lt;&gt;"Yes"),0,IF($K$10=0,SUMIFS(INDIRECT(ADDRESS(12,3+18*1+(6),,,"J1 B - Butcher Terrace")&amp;":"&amp;ADDRESS(130,3+18*1+(6))),'J1 B - Butcher Terrace'!$A$12:$A$130,"&gt;="&amp;Diagram!$O86,'J1 B - Butcher Terrace'!$A$12:$A$130,"&lt;"&amp;Diagram!$P86),SUMIFS(INDIRECT(ADDRESS(12,3+18*1+(14),,,"J1 B - Butcher Terrace")&amp;":"&amp;ADDRESS(130,3+18*1+(14))),'J1 B - Butcher Terrace'!$A$12:$A$130,"&gt;="&amp;Diagram!$O86,'J1 B - Butcher Terrace'!$A$12:$A$130,"&lt;"&amp;Diagram!$P86)))</f>
        <v>2</v>
      </c>
      <c r="DY86" s="42">
        <f ca="1">IF(OR($I$10="",$O86="",$P86="",$J$41&lt;&gt;"Yes"),0,IF($K$10=0,SUMIFS(INDIRECT(ADDRESS(12,3+18*1+(6),,,"J1 C - (South) Bishopthorpe Roa")&amp;":"&amp;ADDRESS(130,3+18*1+(6))),'J1 C - (South) Bishopthorpe Roa'!$A$12:$A$130,"&gt;="&amp;Diagram!$O86,'J1 C - (South) Bishopthorpe Roa'!$A$12:$A$130,"&lt;"&amp;Diagram!$P86),SUMIFS(INDIRECT(ADDRESS(12,3+18*1+(14),,,"J1 C - (South) Bishopthorpe Roa")&amp;":"&amp;ADDRESS(130,3+18*1+(14))),'J1 C - (South) Bishopthorpe Roa'!$A$12:$A$130,"&gt;="&amp;Diagram!$O86,'J1 C - (South) Bishopthorpe Roa'!$A$12:$A$130,"&lt;"&amp;Diagram!$P86)))</f>
        <v>0</v>
      </c>
      <c r="DZ86" s="42">
        <f ca="1">IF(OR($I$10="",$O86="",$P86="",$J$41&lt;&gt;"Yes"),0,IF($K$10=0,SUMIFS(INDIRECT(ADDRESS(12,3+18*2+(6),,,"J1 C - (South) Bishopthorpe Roa")&amp;":"&amp;ADDRESS(130,3+18*2+(6))),'J1 C - (South) Bishopthorpe Roa'!$A$12:$A$130,"&gt;="&amp;Diagram!$O86,'J1 C - (South) Bishopthorpe Roa'!$A$12:$A$130,"&lt;"&amp;Diagram!$P86),SUMIFS(INDIRECT(ADDRESS(12,3+18*2+(14),,,"J1 C - (South) Bishopthorpe Roa")&amp;":"&amp;ADDRESS(130,3+18*2+(14))),'J1 C - (South) Bishopthorpe Roa'!$A$12:$A$130,"&gt;="&amp;Diagram!$O86,'J1 C - (South) Bishopthorpe Roa'!$A$12:$A$130,"&lt;"&amp;Diagram!$P86)))</f>
        <v>0</v>
      </c>
      <c r="EA86" s="42">
        <f ca="1">IF(OR($I$10="",$O86="",$P86="",$J$41&lt;&gt;"Yes"),0,IF($K$10=0,SUMIFS(INDIRECT(ADDRESS(12,3+18*3+(6),,,"J1 C - (South) Bishopthorpe Roa")&amp;":"&amp;ADDRESS(130,3+18*3+(6))),'J1 C - (South) Bishopthorpe Roa'!$A$12:$A$130,"&gt;="&amp;Diagram!$O86,'J1 C - (South) Bishopthorpe Roa'!$A$12:$A$130,"&lt;"&amp;Diagram!$P86),SUMIFS(INDIRECT(ADDRESS(12,3+18*3+(14),,,"J1 C - (South) Bishopthorpe Roa")&amp;":"&amp;ADDRESS(130,3+18*3+(14))),'J1 C - (South) Bishopthorpe Roa'!$A$12:$A$130,"&gt;="&amp;Diagram!$O86,'J1 C - (South) Bishopthorpe Roa'!$A$12:$A$130,"&lt;"&amp;Diagram!$P86)))</f>
        <v>0</v>
      </c>
      <c r="EB86" s="42">
        <f ca="1">IF(OR($I$10="",$O86="",$P86="",$J$41&lt;&gt;"Yes"),0,IF($K$10=0,SUMIFS(INDIRECT(ADDRESS(12,3+18*0+(6),,,"J1 C - (South) Bishopthorpe Roa")&amp;":"&amp;ADDRESS(130,3+18*0+(6))),'J1 C - (South) Bishopthorpe Roa'!$A$12:$A$130,"&gt;="&amp;Diagram!$O86,'J1 C - (South) Bishopthorpe Roa'!$A$12:$A$130,"&lt;"&amp;Diagram!$P86),SUMIFS(INDIRECT(ADDRESS(12,3+18*0+(14),,,"J1 C - (South) Bishopthorpe Roa")&amp;":"&amp;ADDRESS(130,3+18*0+(14))),'J1 C - (South) Bishopthorpe Roa'!$A$12:$A$130,"&gt;="&amp;Diagram!$O86,'J1 C - (South) Bishopthorpe Roa'!$A$12:$A$130,"&lt;"&amp;Diagram!$P86)))</f>
        <v>0</v>
      </c>
      <c r="EC86" s="42">
        <f ca="1">IF(OR($I$10="",$O86="",$P86="",$J$41&lt;&gt;"Yes"),0,IF($K$10=0,SUMIFS(INDIRECT(ADDRESS(12,3+18*0+(6),,,"J1 D - South Bank Avenue")&amp;":"&amp;ADDRESS(130,3+18*0+(6))),'J1 D - South Bank Avenue'!$A$12:$A$130,"&gt;="&amp;Diagram!$O86,'J1 D - South Bank Avenue'!$A$12:$A$130,"&lt;"&amp;Diagram!$P86),SUMIFS(INDIRECT(ADDRESS(12,3+18*0+(14),,,"J1 D - South Bank Avenue")&amp;":"&amp;ADDRESS(130,3+18*0+(14))),'J1 D - South Bank Avenue'!$A$12:$A$130,"&gt;="&amp;Diagram!$O86,'J1 D - South Bank Avenue'!$A$12:$A$130,"&lt;"&amp;Diagram!$P86)))</f>
        <v>0</v>
      </c>
      <c r="ED86" s="42">
        <f ca="1">IF(OR($I$10="",$O86="",$P86="",$J$41&lt;&gt;"Yes"),0,IF($K$10=0,SUMIFS(INDIRECT(ADDRESS(12,3+18*1+(6),,,"J1 D - South Bank Avenue")&amp;":"&amp;ADDRESS(130,3+18*1+(6))),'J1 D - South Bank Avenue'!$A$12:$A$130,"&gt;="&amp;Diagram!$O86,'J1 D - South Bank Avenue'!$A$12:$A$130,"&lt;"&amp;Diagram!$P86),SUMIFS(INDIRECT(ADDRESS(12,3+18*1+(14),,,"J1 D - South Bank Avenue")&amp;":"&amp;ADDRESS(130,3+18*1+(14))),'J1 D - South Bank Avenue'!$A$12:$A$130,"&gt;="&amp;Diagram!$O86,'J1 D - South Bank Avenue'!$A$12:$A$130,"&lt;"&amp;Diagram!$P86)))</f>
        <v>2</v>
      </c>
      <c r="EE86" s="42">
        <f ca="1">IF(OR($I$10="",$O86="",$P86="",$J$41&lt;&gt;"Yes"),0,IF($K$10=0,SUMIFS(INDIRECT(ADDRESS(12,3+18*2+(6),,,"J1 D - South Bank Avenue")&amp;":"&amp;ADDRESS(130,3+18*2+(6))),'J1 D - South Bank Avenue'!$A$12:$A$130,"&gt;="&amp;Diagram!$O86,'J1 D - South Bank Avenue'!$A$12:$A$130,"&lt;"&amp;Diagram!$P86),SUMIFS(INDIRECT(ADDRESS(12,3+18*2+(14),,,"J1 D - South Bank Avenue")&amp;":"&amp;ADDRESS(130,3+18*2+(14))),'J1 D - South Bank Avenue'!$A$12:$A$130,"&gt;="&amp;Diagram!$O86,'J1 D - South Bank Avenue'!$A$12:$A$130,"&lt;"&amp;Diagram!$P86)))</f>
        <v>0</v>
      </c>
      <c r="EF86" s="42">
        <f ca="1">IF(OR($I$10="",$O86="",$P86="",$J$41&lt;&gt;"Yes"),0,IF($K$10=0,SUMIFS(INDIRECT(ADDRESS(12,3+18*3+(6),,,"J1 D - South Bank Avenue")&amp;":"&amp;ADDRESS(130,3+18*3+(6))),'J1 D - South Bank Avenue'!$A$12:$A$130,"&gt;="&amp;Diagram!$O86,'J1 D - South Bank Avenue'!$A$12:$A$130,"&lt;"&amp;Diagram!$P86),SUMIFS(INDIRECT(ADDRESS(12,3+18*3+(14),,,"J1 D - South Bank Avenue")&amp;":"&amp;ADDRESS(130,3+18*3+(14))),'J1 D - South Bank Avenue'!$A$12:$A$130,"&gt;="&amp;Diagram!$O86,'J1 D - South Bank Avenue'!$A$12:$A$130,"&lt;"&amp;Diagram!$P86)))</f>
        <v>0</v>
      </c>
      <c r="EG86" s="42">
        <f t="shared" ca="1" si="18"/>
        <v>0</v>
      </c>
      <c r="EH86" s="42">
        <f ca="1">IF(OR($I$10="",$O86="",$P86="",$J$42&lt;&gt;"Yes"),0,IF($K$10=0,SUMIFS(INDIRECT(ADDRESS(12,3+18*3+(7),,,"J1 A - (North) Bishopthorpe Roa")&amp;":"&amp;ADDRESS(130,3+18*3+(7))),'J1 A - (North) Bishopthorpe Roa'!$A$12:$A$130,"&gt;="&amp;Diagram!$O86,'J1 A - (North) Bishopthorpe Roa'!$A$12:$A$130,"&lt;"&amp;Diagram!$P86),SUMIFS(INDIRECT(ADDRESS(12,3+18*3+(15),,,"J1 A - (North) Bishopthorpe Roa")&amp;":"&amp;ADDRESS(130,3+18*3+(15))),'J1 A - (North) Bishopthorpe Roa'!$A$12:$A$130,"&gt;="&amp;Diagram!$O86,'J1 A - (North) Bishopthorpe Roa'!$A$12:$A$130,"&lt;"&amp;Diagram!$P86)))</f>
        <v>0</v>
      </c>
      <c r="EI86" s="42">
        <f ca="1">IF(OR($I$10="",$O86="",$P86="",$J$42&lt;&gt;"Yes"),0,IF($K$10=0,SUMIFS(INDIRECT(ADDRESS(12,3+18*0+(7),,,"J1 A - (North) Bishopthorpe Roa")&amp;":"&amp;ADDRESS(130,3+18*0+(7))),'J1 A - (North) Bishopthorpe Roa'!$A$12:$A$130,"&gt;="&amp;Diagram!$O86,'J1 A - (North) Bishopthorpe Roa'!$A$12:$A$130,"&lt;"&amp;Diagram!$P86),SUMIFS(INDIRECT(ADDRESS(12,3+18*0+(15),,,"J1 A - (North) Bishopthorpe Roa")&amp;":"&amp;ADDRESS(130,3+18*0+(15))),'J1 A - (North) Bishopthorpe Roa'!$A$12:$A$130,"&gt;="&amp;Diagram!$O86,'J1 A - (North) Bishopthorpe Roa'!$A$12:$A$130,"&lt;"&amp;Diagram!$P86)))</f>
        <v>0</v>
      </c>
      <c r="EJ86" s="42">
        <f ca="1">IF(OR($I$10="",$O86="",$P86="",$J$42&lt;&gt;"Yes"),0,IF($K$10=0,SUMIFS(INDIRECT(ADDRESS(12,3+18*1+(7),,,"J1 A - (North) Bishopthorpe Roa")&amp;":"&amp;ADDRESS(130,3+18*1+(7))),'J1 A - (North) Bishopthorpe Roa'!$A$12:$A$130,"&gt;="&amp;Diagram!$O86,'J1 A - (North) Bishopthorpe Roa'!$A$12:$A$130,"&lt;"&amp;Diagram!$P86),SUMIFS(INDIRECT(ADDRESS(12,3+18*1+(15),,,"J1 A - (North) Bishopthorpe Roa")&amp;":"&amp;ADDRESS(130,3+18*1+(15))),'J1 A - (North) Bishopthorpe Roa'!$A$12:$A$130,"&gt;="&amp;Diagram!$O86,'J1 A - (North) Bishopthorpe Roa'!$A$12:$A$130,"&lt;"&amp;Diagram!$P86)))</f>
        <v>0</v>
      </c>
      <c r="EK86" s="42">
        <f ca="1">IF(OR($I$10="",$O86="",$P86="",$J$42&lt;&gt;"Yes"),0,IF($K$10=0,SUMIFS(INDIRECT(ADDRESS(12,3+18*2+(7),,,"J1 A - (North) Bishopthorpe Roa")&amp;":"&amp;ADDRESS(130,3+18*2+(7))),'J1 A - (North) Bishopthorpe Roa'!$A$12:$A$130,"&gt;="&amp;Diagram!$O86,'J1 A - (North) Bishopthorpe Roa'!$A$12:$A$130,"&lt;"&amp;Diagram!$P86),SUMIFS(INDIRECT(ADDRESS(12,3+18*2+(15),,,"J1 A - (North) Bishopthorpe Roa")&amp;":"&amp;ADDRESS(130,3+18*2+(15))),'J1 A - (North) Bishopthorpe Roa'!$A$12:$A$130,"&gt;="&amp;Diagram!$O86,'J1 A - (North) Bishopthorpe Roa'!$A$12:$A$130,"&lt;"&amp;Diagram!$P86)))</f>
        <v>0</v>
      </c>
      <c r="EL86" s="42">
        <f ca="1">IF(OR($I$10="",$O86="",$P86="",$J$42&lt;&gt;"Yes"),0,IF($K$10=0,SUMIFS(INDIRECT(ADDRESS(12,3+18*2+(7),,,"J1 B - Butcher Terrace")&amp;":"&amp;ADDRESS(130,3+18*2+(7))),'J1 B - Butcher Terrace'!$A$12:$A$130,"&gt;="&amp;Diagram!$O86,'J1 B - Butcher Terrace'!$A$12:$A$130,"&lt;"&amp;Diagram!$P86),SUMIFS(INDIRECT(ADDRESS(12,3+18*2+(15),,,"J1 B - Butcher Terrace")&amp;":"&amp;ADDRESS(130,3+18*2+(15))),'J1 B - Butcher Terrace'!$A$12:$A$130,"&gt;="&amp;Diagram!$O86,'J1 B - Butcher Terrace'!$A$12:$A$130,"&lt;"&amp;Diagram!$P86)))</f>
        <v>0</v>
      </c>
      <c r="EM86" s="42">
        <f ca="1">IF(OR($I$10="",$O86="",$P86="",$J$42&lt;&gt;"Yes"),0,IF($K$10=0,SUMIFS(INDIRECT(ADDRESS(12,3+18*3+(7),,,"J1 B - Butcher Terrace")&amp;":"&amp;ADDRESS(130,3+18*3+(7))),'J1 B - Butcher Terrace'!$A$12:$A$130,"&gt;="&amp;Diagram!$O86,'J1 B - Butcher Terrace'!$A$12:$A$130,"&lt;"&amp;Diagram!$P86),SUMIFS(INDIRECT(ADDRESS(12,3+18*3+(15),,,"J1 B - Butcher Terrace")&amp;":"&amp;ADDRESS(130,3+18*3+(15))),'J1 B - Butcher Terrace'!$A$12:$A$130,"&gt;="&amp;Diagram!$O86,'J1 B - Butcher Terrace'!$A$12:$A$130,"&lt;"&amp;Diagram!$P86)))</f>
        <v>0</v>
      </c>
      <c r="EN86" s="42">
        <f ca="1">IF(OR($I$10="",$O86="",$P86="",$J$42&lt;&gt;"Yes"),0,IF($K$10=0,SUMIFS(INDIRECT(ADDRESS(12,3+18*0+(7),,,"J1 B - Butcher Terrace")&amp;":"&amp;ADDRESS(130,3+18*0+(7))),'J1 B - Butcher Terrace'!$A$12:$A$130,"&gt;="&amp;Diagram!$O86,'J1 B - Butcher Terrace'!$A$12:$A$130,"&lt;"&amp;Diagram!$P86),SUMIFS(INDIRECT(ADDRESS(12,3+18*0+(15),,,"J1 B - Butcher Terrace")&amp;":"&amp;ADDRESS(130,3+18*0+(15))),'J1 B - Butcher Terrace'!$A$12:$A$130,"&gt;="&amp;Diagram!$O86,'J1 B - Butcher Terrace'!$A$12:$A$130,"&lt;"&amp;Diagram!$P86)))</f>
        <v>0</v>
      </c>
      <c r="EO86" s="42">
        <f ca="1">IF(OR($I$10="",$O86="",$P86="",$J$42&lt;&gt;"Yes"),0,IF($K$10=0,SUMIFS(INDIRECT(ADDRESS(12,3+18*1+(7),,,"J1 B - Butcher Terrace")&amp;":"&amp;ADDRESS(130,3+18*1+(7))),'J1 B - Butcher Terrace'!$A$12:$A$130,"&gt;="&amp;Diagram!$O86,'J1 B - Butcher Terrace'!$A$12:$A$130,"&lt;"&amp;Diagram!$P86),SUMIFS(INDIRECT(ADDRESS(12,3+18*1+(15),,,"J1 B - Butcher Terrace")&amp;":"&amp;ADDRESS(130,3+18*1+(15))),'J1 B - Butcher Terrace'!$A$12:$A$130,"&gt;="&amp;Diagram!$O86,'J1 B - Butcher Terrace'!$A$12:$A$130,"&lt;"&amp;Diagram!$P86)))</f>
        <v>0</v>
      </c>
      <c r="EP86" s="42">
        <f ca="1">IF(OR($I$10="",$O86="",$P86="",$J$42&lt;&gt;"Yes"),0,IF($K$10=0,SUMIFS(INDIRECT(ADDRESS(12,3+18*1+(7),,,"J1 C - (South) Bishopthorpe Roa")&amp;":"&amp;ADDRESS(130,3+18*1+(7))),'J1 C - (South) Bishopthorpe Roa'!$A$12:$A$130,"&gt;="&amp;Diagram!$O86,'J1 C - (South) Bishopthorpe Roa'!$A$12:$A$130,"&lt;"&amp;Diagram!$P86),SUMIFS(INDIRECT(ADDRESS(12,3+18*1+(15),,,"J1 C - (South) Bishopthorpe Roa")&amp;":"&amp;ADDRESS(130,3+18*1+(15))),'J1 C - (South) Bishopthorpe Roa'!$A$12:$A$130,"&gt;="&amp;Diagram!$O86,'J1 C - (South) Bishopthorpe Roa'!$A$12:$A$130,"&lt;"&amp;Diagram!$P86)))</f>
        <v>0</v>
      </c>
      <c r="EQ86" s="42">
        <f ca="1">IF(OR($I$10="",$O86="",$P86="",$J$42&lt;&gt;"Yes"),0,IF($K$10=0,SUMIFS(INDIRECT(ADDRESS(12,3+18*2+(7),,,"J1 C - (South) Bishopthorpe Roa")&amp;":"&amp;ADDRESS(130,3+18*2+(7))),'J1 C - (South) Bishopthorpe Roa'!$A$12:$A$130,"&gt;="&amp;Diagram!$O86,'J1 C - (South) Bishopthorpe Roa'!$A$12:$A$130,"&lt;"&amp;Diagram!$P86),SUMIFS(INDIRECT(ADDRESS(12,3+18*2+(15),,,"J1 C - (South) Bishopthorpe Roa")&amp;":"&amp;ADDRESS(130,3+18*2+(15))),'J1 C - (South) Bishopthorpe Roa'!$A$12:$A$130,"&gt;="&amp;Diagram!$O86,'J1 C - (South) Bishopthorpe Roa'!$A$12:$A$130,"&lt;"&amp;Diagram!$P86)))</f>
        <v>0</v>
      </c>
      <c r="ER86" s="42">
        <f ca="1">IF(OR($I$10="",$O86="",$P86="",$J$42&lt;&gt;"Yes"),0,IF($K$10=0,SUMIFS(INDIRECT(ADDRESS(12,3+18*3+(7),,,"J1 C - (South) Bishopthorpe Roa")&amp;":"&amp;ADDRESS(130,3+18*3+(7))),'J1 C - (South) Bishopthorpe Roa'!$A$12:$A$130,"&gt;="&amp;Diagram!$O86,'J1 C - (South) Bishopthorpe Roa'!$A$12:$A$130,"&lt;"&amp;Diagram!$P86),SUMIFS(INDIRECT(ADDRESS(12,3+18*3+(15),,,"J1 C - (South) Bishopthorpe Roa")&amp;":"&amp;ADDRESS(130,3+18*3+(15))),'J1 C - (South) Bishopthorpe Roa'!$A$12:$A$130,"&gt;="&amp;Diagram!$O86,'J1 C - (South) Bishopthorpe Roa'!$A$12:$A$130,"&lt;"&amp;Diagram!$P86)))</f>
        <v>0</v>
      </c>
      <c r="ES86" s="42">
        <f ca="1">IF(OR($I$10="",$O86="",$P86="",$J$42&lt;&gt;"Yes"),0,IF($K$10=0,SUMIFS(INDIRECT(ADDRESS(12,3+18*0+(7),,,"J1 C - (South) Bishopthorpe Roa")&amp;":"&amp;ADDRESS(130,3+18*0+(7))),'J1 C - (South) Bishopthorpe Roa'!$A$12:$A$130,"&gt;="&amp;Diagram!$O86,'J1 C - (South) Bishopthorpe Roa'!$A$12:$A$130,"&lt;"&amp;Diagram!$P86),SUMIFS(INDIRECT(ADDRESS(12,3+18*0+(15),,,"J1 C - (South) Bishopthorpe Roa")&amp;":"&amp;ADDRESS(130,3+18*0+(15))),'J1 C - (South) Bishopthorpe Roa'!$A$12:$A$130,"&gt;="&amp;Diagram!$O86,'J1 C - (South) Bishopthorpe Roa'!$A$12:$A$130,"&lt;"&amp;Diagram!$P86)))</f>
        <v>0</v>
      </c>
      <c r="ET86" s="42">
        <f ca="1">IF(OR($I$10="",$O86="",$P86="",$J$42&lt;&gt;"Yes"),0,IF($K$10=0,SUMIFS(INDIRECT(ADDRESS(12,3+18*0+(7),,,"J1 D - South Bank Avenue")&amp;":"&amp;ADDRESS(130,3+18*0+(7))),'J1 D - South Bank Avenue'!$A$12:$A$130,"&gt;="&amp;Diagram!$O86,'J1 D - South Bank Avenue'!$A$12:$A$130,"&lt;"&amp;Diagram!$P86),SUMIFS(INDIRECT(ADDRESS(12,3+18*0+(15),,,"J1 D - South Bank Avenue")&amp;":"&amp;ADDRESS(130,3+18*0+(15))),'J1 D - South Bank Avenue'!$A$12:$A$130,"&gt;="&amp;Diagram!$O86,'J1 D - South Bank Avenue'!$A$12:$A$130,"&lt;"&amp;Diagram!$P86)))</f>
        <v>0</v>
      </c>
      <c r="EU86" s="42">
        <f ca="1">IF(OR($I$10="",$O86="",$P86="",$J$42&lt;&gt;"Yes"),0,IF($K$10=0,SUMIFS(INDIRECT(ADDRESS(12,3+18*1+(7),,,"J1 D - South Bank Avenue")&amp;":"&amp;ADDRESS(130,3+18*1+(7))),'J1 D - South Bank Avenue'!$A$12:$A$130,"&gt;="&amp;Diagram!$O86,'J1 D - South Bank Avenue'!$A$12:$A$130,"&lt;"&amp;Diagram!$P86),SUMIFS(INDIRECT(ADDRESS(12,3+18*1+(15),,,"J1 D - South Bank Avenue")&amp;":"&amp;ADDRESS(130,3+18*1+(15))),'J1 D - South Bank Avenue'!$A$12:$A$130,"&gt;="&amp;Diagram!$O86,'J1 D - South Bank Avenue'!$A$12:$A$130,"&lt;"&amp;Diagram!$P86)))</f>
        <v>0</v>
      </c>
      <c r="EV86" s="42">
        <f ca="1">IF(OR($I$10="",$O86="",$P86="",$J$42&lt;&gt;"Yes"),0,IF($K$10=0,SUMIFS(INDIRECT(ADDRESS(12,3+18*2+(7),,,"J1 D - South Bank Avenue")&amp;":"&amp;ADDRESS(130,3+18*2+(7))),'J1 D - South Bank Avenue'!$A$12:$A$130,"&gt;="&amp;Diagram!$O86,'J1 D - South Bank Avenue'!$A$12:$A$130,"&lt;"&amp;Diagram!$P86),SUMIFS(INDIRECT(ADDRESS(12,3+18*2+(15),,,"J1 D - South Bank Avenue")&amp;":"&amp;ADDRESS(130,3+18*2+(15))),'J1 D - South Bank Avenue'!$A$12:$A$130,"&gt;="&amp;Diagram!$O86,'J1 D - South Bank Avenue'!$A$12:$A$130,"&lt;"&amp;Diagram!$P86)))</f>
        <v>0</v>
      </c>
      <c r="EW86" s="42">
        <f ca="1">IF(OR($I$10="",$O86="",$P86="",$J$42&lt;&gt;"Yes"),0,IF($K$10=0,SUMIFS(INDIRECT(ADDRESS(12,3+18*3+(7),,,"J1 D - South Bank Avenue")&amp;":"&amp;ADDRESS(130,3+18*3+(7))),'J1 D - South Bank Avenue'!$A$12:$A$130,"&gt;="&amp;Diagram!$O86,'J1 D - South Bank Avenue'!$A$12:$A$130,"&lt;"&amp;Diagram!$P86),SUMIFS(INDIRECT(ADDRESS(12,3+18*3+(15),,,"J1 D - South Bank Avenue")&amp;":"&amp;ADDRESS(130,3+18*3+(15))),'J1 D - South Bank Avenue'!$A$12:$A$130,"&gt;="&amp;Diagram!$O86,'J1 D - South Bank Avenue'!$A$12:$A$130,"&lt;"&amp;Diagram!$P86)))</f>
        <v>0</v>
      </c>
    </row>
    <row r="87" spans="1:153">
      <c r="A87" s="1">
        <v>44395.895833333299</v>
      </c>
      <c r="B87" s="1">
        <v>44395.90625</v>
      </c>
      <c r="O87" s="3">
        <v>44395.895833333299</v>
      </c>
      <c r="P87" s="3">
        <v>44395.9375</v>
      </c>
      <c r="Q87" s="42">
        <f t="shared" ca="1" si="10"/>
        <v>257</v>
      </c>
      <c r="R87" s="42">
        <f t="shared" ca="1" si="11"/>
        <v>194</v>
      </c>
      <c r="S87" s="42">
        <f ca="1">IF(OR($I$10="",$O87="",$P87="",$J$35&lt;&gt;"Yes"),0,IF($K$10=0,SUMIFS(INDIRECT(ADDRESS(12,3+18*3+(0),,,"J1 A - (North) Bishopthorpe Roa")&amp;":"&amp;ADDRESS(130,3+18*3+(0))),'J1 A - (North) Bishopthorpe Roa'!$A$12:$A$130,"&gt;="&amp;Diagram!$O87,'J1 A - (North) Bishopthorpe Roa'!$A$12:$A$130,"&lt;"&amp;Diagram!$P87),SUMIFS(INDIRECT(ADDRESS(12,3+18*3+(8),,,"J1 A - (North) Bishopthorpe Roa")&amp;":"&amp;ADDRESS(130,3+18*3+(8))),'J1 A - (North) Bishopthorpe Roa'!$A$12:$A$130,"&gt;="&amp;Diagram!$O87,'J1 A - (North) Bishopthorpe Roa'!$A$12:$A$130,"&lt;"&amp;Diagram!$P87)))</f>
        <v>0</v>
      </c>
      <c r="T87" s="42">
        <f ca="1">IF(OR($I$10="",$O87="",$P87="",$J$35&lt;&gt;"Yes"),0,IF($K$10=0,SUMIFS(INDIRECT(ADDRESS(12,3+18*0+(0),,,"J1 A - (North) Bishopthorpe Roa")&amp;":"&amp;ADDRESS(130,3+18*0+(0))),'J1 A - (North) Bishopthorpe Roa'!$A$12:$A$130,"&gt;="&amp;Diagram!$O87,'J1 A - (North) Bishopthorpe Roa'!$A$12:$A$130,"&lt;"&amp;Diagram!$P87),SUMIFS(INDIRECT(ADDRESS(12,3+18*0+(8),,,"J1 A - (North) Bishopthorpe Roa")&amp;":"&amp;ADDRESS(130,3+18*0+(8))),'J1 A - (North) Bishopthorpe Roa'!$A$12:$A$130,"&gt;="&amp;Diagram!$O87,'J1 A - (North) Bishopthorpe Roa'!$A$12:$A$130,"&lt;"&amp;Diagram!$P87)))</f>
        <v>6</v>
      </c>
      <c r="U87" s="42">
        <f ca="1">IF(OR($I$10="",$O87="",$P87="",$J$35&lt;&gt;"Yes"),0,IF($K$10=0,SUMIFS(INDIRECT(ADDRESS(12,3+18*1+(0),,,"J1 A - (North) Bishopthorpe Roa")&amp;":"&amp;ADDRESS(130,3+18*1+(0))),'J1 A - (North) Bishopthorpe Roa'!$A$12:$A$130,"&gt;="&amp;Diagram!$O87,'J1 A - (North) Bishopthorpe Roa'!$A$12:$A$130,"&lt;"&amp;Diagram!$P87),SUMIFS(INDIRECT(ADDRESS(12,3+18*1+(8),,,"J1 A - (North) Bishopthorpe Roa")&amp;":"&amp;ADDRESS(130,3+18*1+(8))),'J1 A - (North) Bishopthorpe Roa'!$A$12:$A$130,"&gt;="&amp;Diagram!$O87,'J1 A - (North) Bishopthorpe Roa'!$A$12:$A$130,"&lt;"&amp;Diagram!$P87)))</f>
        <v>88</v>
      </c>
      <c r="V87" s="42">
        <f ca="1">IF(OR($I$10="",$O87="",$P87="",$J$35&lt;&gt;"Yes"),0,IF($K$10=0,SUMIFS(INDIRECT(ADDRESS(12,3+18*2+(0),,,"J1 A - (North) Bishopthorpe Roa")&amp;":"&amp;ADDRESS(130,3+18*2+(0))),'J1 A - (North) Bishopthorpe Roa'!$A$12:$A$130,"&gt;="&amp;Diagram!$O87,'J1 A - (North) Bishopthorpe Roa'!$A$12:$A$130,"&lt;"&amp;Diagram!$P87),SUMIFS(INDIRECT(ADDRESS(12,3+18*2+(8),,,"J1 A - (North) Bishopthorpe Roa")&amp;":"&amp;ADDRESS(130,3+18*2+(8))),'J1 A - (North) Bishopthorpe Roa'!$A$12:$A$130,"&gt;="&amp;Diagram!$O87,'J1 A - (North) Bishopthorpe Roa'!$A$12:$A$130,"&lt;"&amp;Diagram!$P87)))</f>
        <v>17</v>
      </c>
      <c r="W87" s="42">
        <f ca="1">IF(OR($I$10="",$O87="",$P87="",$J$35&lt;&gt;"Yes"),0,IF($K$10=0,SUMIFS(INDIRECT(ADDRESS(12,3+18*2+(0),,,"J1 B - Butcher Terrace")&amp;":"&amp;ADDRESS(130,3+18*2+(0))),'J1 B - Butcher Terrace'!$A$12:$A$130,"&gt;="&amp;Diagram!$O87,'J1 B - Butcher Terrace'!$A$12:$A$130,"&lt;"&amp;Diagram!$P87),SUMIFS(INDIRECT(ADDRESS(12,3+18*2+(8),,,"J1 B - Butcher Terrace")&amp;":"&amp;ADDRESS(130,3+18*2+(8))),'J1 B - Butcher Terrace'!$A$12:$A$130,"&gt;="&amp;Diagram!$O87,'J1 B - Butcher Terrace'!$A$12:$A$130,"&lt;"&amp;Diagram!$P87)))</f>
        <v>6</v>
      </c>
      <c r="X87" s="42">
        <f ca="1">IF(OR($I$10="",$O87="",$P87="",$J$35&lt;&gt;"Yes"),0,IF($K$10=0,SUMIFS(INDIRECT(ADDRESS(12,3+18*3+(0),,,"J1 B - Butcher Terrace")&amp;":"&amp;ADDRESS(130,3+18*3+(0))),'J1 B - Butcher Terrace'!$A$12:$A$130,"&gt;="&amp;Diagram!$O87,'J1 B - Butcher Terrace'!$A$12:$A$130,"&lt;"&amp;Diagram!$P87),SUMIFS(INDIRECT(ADDRESS(12,3+18*3+(8),,,"J1 B - Butcher Terrace")&amp;":"&amp;ADDRESS(130,3+18*3+(8))),'J1 B - Butcher Terrace'!$A$12:$A$130,"&gt;="&amp;Diagram!$O87,'J1 B - Butcher Terrace'!$A$12:$A$130,"&lt;"&amp;Diagram!$P87)))</f>
        <v>0</v>
      </c>
      <c r="Y87" s="42">
        <f ca="1">IF(OR($I$10="",$O87="",$P87="",$J$35&lt;&gt;"Yes"),0,IF($K$10=0,SUMIFS(INDIRECT(ADDRESS(12,3+18*0+(0),,,"J1 B - Butcher Terrace")&amp;":"&amp;ADDRESS(130,3+18*0+(0))),'J1 B - Butcher Terrace'!$A$12:$A$130,"&gt;="&amp;Diagram!$O87,'J1 B - Butcher Terrace'!$A$12:$A$130,"&lt;"&amp;Diagram!$P87),SUMIFS(INDIRECT(ADDRESS(12,3+18*0+(8),,,"J1 B - Butcher Terrace")&amp;":"&amp;ADDRESS(130,3+18*0+(8))),'J1 B - Butcher Terrace'!$A$12:$A$130,"&gt;="&amp;Diagram!$O87,'J1 B - Butcher Terrace'!$A$12:$A$130,"&lt;"&amp;Diagram!$P87)))</f>
        <v>0</v>
      </c>
      <c r="Z87" s="42">
        <f ca="1">IF(OR($I$10="",$O87="",$P87="",$J$35&lt;&gt;"Yes"),0,IF($K$10=0,SUMIFS(INDIRECT(ADDRESS(12,3+18*1+(0),,,"J1 B - Butcher Terrace")&amp;":"&amp;ADDRESS(130,3+18*1+(0))),'J1 B - Butcher Terrace'!$A$12:$A$130,"&gt;="&amp;Diagram!$O87,'J1 B - Butcher Terrace'!$A$12:$A$130,"&lt;"&amp;Diagram!$P87),SUMIFS(INDIRECT(ADDRESS(12,3+18*1+(8),,,"J1 B - Butcher Terrace")&amp;":"&amp;ADDRESS(130,3+18*1+(8))),'J1 B - Butcher Terrace'!$A$12:$A$130,"&gt;="&amp;Diagram!$O87,'J1 B - Butcher Terrace'!$A$12:$A$130,"&lt;"&amp;Diagram!$P87)))</f>
        <v>1</v>
      </c>
      <c r="AA87" s="42">
        <f ca="1">IF(OR($I$10="",$O87="",$P87="",$J$35&lt;&gt;"Yes"),0,IF($K$10=0,SUMIFS(INDIRECT(ADDRESS(12,3+18*1+(0),,,"J1 C - (South) Bishopthorpe Roa")&amp;":"&amp;ADDRESS(130,3+18*1+(0))),'J1 C - (South) Bishopthorpe Roa'!$A$12:$A$130,"&gt;="&amp;Diagram!$O87,'J1 C - (South) Bishopthorpe Roa'!$A$12:$A$130,"&lt;"&amp;Diagram!$P87),SUMIFS(INDIRECT(ADDRESS(12,3+18*1+(8),,,"J1 C - (South) Bishopthorpe Roa")&amp;":"&amp;ADDRESS(130,3+18*1+(8))),'J1 C - (South) Bishopthorpe Roa'!$A$12:$A$130,"&gt;="&amp;Diagram!$O87,'J1 C - (South) Bishopthorpe Roa'!$A$12:$A$130,"&lt;"&amp;Diagram!$P87)))</f>
        <v>58</v>
      </c>
      <c r="AB87" s="42">
        <f ca="1">IF(OR($I$10="",$O87="",$P87="",$J$35&lt;&gt;"Yes"),0,IF($K$10=0,SUMIFS(INDIRECT(ADDRESS(12,3+18*2+(0),,,"J1 C - (South) Bishopthorpe Roa")&amp;":"&amp;ADDRESS(130,3+18*2+(0))),'J1 C - (South) Bishopthorpe Roa'!$A$12:$A$130,"&gt;="&amp;Diagram!$O87,'J1 C - (South) Bishopthorpe Roa'!$A$12:$A$130,"&lt;"&amp;Diagram!$P87),SUMIFS(INDIRECT(ADDRESS(12,3+18*2+(8),,,"J1 C - (South) Bishopthorpe Roa")&amp;":"&amp;ADDRESS(130,3+18*2+(8))),'J1 C - (South) Bishopthorpe Roa'!$A$12:$A$130,"&gt;="&amp;Diagram!$O87,'J1 C - (South) Bishopthorpe Roa'!$A$12:$A$130,"&lt;"&amp;Diagram!$P87)))</f>
        <v>5</v>
      </c>
      <c r="AC87" s="42">
        <f ca="1">IF(OR($I$10="",$O87="",$P87="",$J$35&lt;&gt;"Yes"),0,IF($K$10=0,SUMIFS(INDIRECT(ADDRESS(12,3+18*3+(0),,,"J1 C - (South) Bishopthorpe Roa")&amp;":"&amp;ADDRESS(130,3+18*3+(0))),'J1 C - (South) Bishopthorpe Roa'!$A$12:$A$130,"&gt;="&amp;Diagram!$O87,'J1 C - (South) Bishopthorpe Roa'!$A$12:$A$130,"&lt;"&amp;Diagram!$P87),SUMIFS(INDIRECT(ADDRESS(12,3+18*3+(8),,,"J1 C - (South) Bishopthorpe Roa")&amp;":"&amp;ADDRESS(130,3+18*3+(8))),'J1 C - (South) Bishopthorpe Roa'!$A$12:$A$130,"&gt;="&amp;Diagram!$O87,'J1 C - (South) Bishopthorpe Roa'!$A$12:$A$130,"&lt;"&amp;Diagram!$P87)))</f>
        <v>0</v>
      </c>
      <c r="AD87" s="42">
        <f ca="1">IF(OR($I$10="",$O87="",$P87="",$J$35&lt;&gt;"Yes"),0,IF($K$10=0,SUMIFS(INDIRECT(ADDRESS(12,3+18*0+(0),,,"J1 C - (South) Bishopthorpe Roa")&amp;":"&amp;ADDRESS(130,3+18*0+(0))),'J1 C - (South) Bishopthorpe Roa'!$A$12:$A$130,"&gt;="&amp;Diagram!$O87,'J1 C - (South) Bishopthorpe Roa'!$A$12:$A$130,"&lt;"&amp;Diagram!$P87),SUMIFS(INDIRECT(ADDRESS(12,3+18*0+(8),,,"J1 C - (South) Bishopthorpe Roa")&amp;":"&amp;ADDRESS(130,3+18*0+(8))),'J1 C - (South) Bishopthorpe Roa'!$A$12:$A$130,"&gt;="&amp;Diagram!$O87,'J1 C - (South) Bishopthorpe Roa'!$A$12:$A$130,"&lt;"&amp;Diagram!$P87)))</f>
        <v>3</v>
      </c>
      <c r="AE87" s="42">
        <f ca="1">IF(OR($I$10="",$O87="",$P87="",$J$35&lt;&gt;"Yes"),0,IF($K$10=0,SUMIFS(INDIRECT(ADDRESS(12,3+18*0+(0),,,"J1 D - South Bank Avenue")&amp;":"&amp;ADDRESS(130,3+18*0+(0))),'J1 D - South Bank Avenue'!$A$12:$A$130,"&gt;="&amp;Diagram!$O87,'J1 D - South Bank Avenue'!$A$12:$A$130,"&lt;"&amp;Diagram!$P87),SUMIFS(INDIRECT(ADDRESS(12,3+18*0+(8),,,"J1 D - South Bank Avenue")&amp;":"&amp;ADDRESS(130,3+18*0+(8))),'J1 D - South Bank Avenue'!$A$12:$A$130,"&gt;="&amp;Diagram!$O87,'J1 D - South Bank Avenue'!$A$12:$A$130,"&lt;"&amp;Diagram!$P87)))</f>
        <v>9</v>
      </c>
      <c r="AF87" s="42">
        <f ca="1">IF(OR($I$10="",$O87="",$P87="",$J$35&lt;&gt;"Yes"),0,IF($K$10=0,SUMIFS(INDIRECT(ADDRESS(12,3+18*1+(0),,,"J1 D - South Bank Avenue")&amp;":"&amp;ADDRESS(130,3+18*1+(0))),'J1 D - South Bank Avenue'!$A$12:$A$130,"&gt;="&amp;Diagram!$O87,'J1 D - South Bank Avenue'!$A$12:$A$130,"&lt;"&amp;Diagram!$P87),SUMIFS(INDIRECT(ADDRESS(12,3+18*1+(8),,,"J1 D - South Bank Avenue")&amp;":"&amp;ADDRESS(130,3+18*1+(8))),'J1 D - South Bank Avenue'!$A$12:$A$130,"&gt;="&amp;Diagram!$O87,'J1 D - South Bank Avenue'!$A$12:$A$130,"&lt;"&amp;Diagram!$P87)))</f>
        <v>0</v>
      </c>
      <c r="AG87" s="42">
        <f ca="1">IF(OR($I$10="",$O87="",$P87="",$J$35&lt;&gt;"Yes"),0,IF($K$10=0,SUMIFS(INDIRECT(ADDRESS(12,3+18*2+(0),,,"J1 D - South Bank Avenue")&amp;":"&amp;ADDRESS(130,3+18*2+(0))),'J1 D - South Bank Avenue'!$A$12:$A$130,"&gt;="&amp;Diagram!$O87,'J1 D - South Bank Avenue'!$A$12:$A$130,"&lt;"&amp;Diagram!$P87),SUMIFS(INDIRECT(ADDRESS(12,3+18*2+(8),,,"J1 D - South Bank Avenue")&amp;":"&amp;ADDRESS(130,3+18*2+(8))),'J1 D - South Bank Avenue'!$A$12:$A$130,"&gt;="&amp;Diagram!$O87,'J1 D - South Bank Avenue'!$A$12:$A$130,"&lt;"&amp;Diagram!$P87)))</f>
        <v>1</v>
      </c>
      <c r="AH87" s="42">
        <f ca="1">IF(OR($I$10="",$O87="",$P87="",$J$35&lt;&gt;"Yes"),0,IF($K$10=0,SUMIFS(INDIRECT(ADDRESS(12,3+18*3+(0),,,"J1 D - South Bank Avenue")&amp;":"&amp;ADDRESS(130,3+18*3+(0))),'J1 D - South Bank Avenue'!$A$12:$A$130,"&gt;="&amp;Diagram!$O87,'J1 D - South Bank Avenue'!$A$12:$A$130,"&lt;"&amp;Diagram!$P87),SUMIFS(INDIRECT(ADDRESS(12,3+18*3+(8),,,"J1 D - South Bank Avenue")&amp;":"&amp;ADDRESS(130,3+18*3+(8))),'J1 D - South Bank Avenue'!$A$12:$A$130,"&gt;="&amp;Diagram!$O87,'J1 D - South Bank Avenue'!$A$12:$A$130,"&lt;"&amp;Diagram!$P87)))</f>
        <v>0</v>
      </c>
      <c r="AI87" s="42">
        <f t="shared" ca="1" si="12"/>
        <v>11</v>
      </c>
      <c r="AJ87" s="42">
        <f ca="1">IF(OR($I$10="",$O87="",$P87="",$J$36&lt;&gt;"Yes"),0,IF($K$10=0,SUMIFS(INDIRECT(ADDRESS(12,3+18*3+(1),,,"J1 A - (North) Bishopthorpe Roa")&amp;":"&amp;ADDRESS(130,3+18*3+(1))),'J1 A - (North) Bishopthorpe Roa'!$A$12:$A$130,"&gt;="&amp;Diagram!$O87,'J1 A - (North) Bishopthorpe Roa'!$A$12:$A$130,"&lt;"&amp;Diagram!$P87),SUMIFS(INDIRECT(ADDRESS(12,3+18*3+(9),,,"J1 A - (North) Bishopthorpe Roa")&amp;":"&amp;ADDRESS(130,3+18*3+(9))),'J1 A - (North) Bishopthorpe Roa'!$A$12:$A$130,"&gt;="&amp;Diagram!$O87,'J1 A - (North) Bishopthorpe Roa'!$A$12:$A$130,"&lt;"&amp;Diagram!$P87)))</f>
        <v>0</v>
      </c>
      <c r="AK87" s="42">
        <f ca="1">IF(OR($I$10="",$O87="",$P87="",$J$36&lt;&gt;"Yes"),0,IF($K$10=0,SUMIFS(INDIRECT(ADDRESS(12,3+18*0+(1),,,"J1 A - (North) Bishopthorpe Roa")&amp;":"&amp;ADDRESS(130,3+18*0+(1))),'J1 A - (North) Bishopthorpe Roa'!$A$12:$A$130,"&gt;="&amp;Diagram!$O87,'J1 A - (North) Bishopthorpe Roa'!$A$12:$A$130,"&lt;"&amp;Diagram!$P87),SUMIFS(INDIRECT(ADDRESS(12,3+18*0+(9),,,"J1 A - (North) Bishopthorpe Roa")&amp;":"&amp;ADDRESS(130,3+18*0+(9))),'J1 A - (North) Bishopthorpe Roa'!$A$12:$A$130,"&gt;="&amp;Diagram!$O87,'J1 A - (North) Bishopthorpe Roa'!$A$12:$A$130,"&lt;"&amp;Diagram!$P87)))</f>
        <v>1</v>
      </c>
      <c r="AL87" s="42">
        <f ca="1">IF(OR($I$10="",$O87="",$P87="",$J$36&lt;&gt;"Yes"),0,IF($K$10=0,SUMIFS(INDIRECT(ADDRESS(12,3+18*1+(1),,,"J1 A - (North) Bishopthorpe Roa")&amp;":"&amp;ADDRESS(130,3+18*1+(1))),'J1 A - (North) Bishopthorpe Roa'!$A$12:$A$130,"&gt;="&amp;Diagram!$O87,'J1 A - (North) Bishopthorpe Roa'!$A$12:$A$130,"&lt;"&amp;Diagram!$P87),SUMIFS(INDIRECT(ADDRESS(12,3+18*1+(9),,,"J1 A - (North) Bishopthorpe Roa")&amp;":"&amp;ADDRESS(130,3+18*1+(9))),'J1 A - (North) Bishopthorpe Roa'!$A$12:$A$130,"&gt;="&amp;Diagram!$O87,'J1 A - (North) Bishopthorpe Roa'!$A$12:$A$130,"&lt;"&amp;Diagram!$P87)))</f>
        <v>5</v>
      </c>
      <c r="AM87" s="42">
        <f ca="1">IF(OR($I$10="",$O87="",$P87="",$J$36&lt;&gt;"Yes"),0,IF($K$10=0,SUMIFS(INDIRECT(ADDRESS(12,3+18*2+(1),,,"J1 A - (North) Bishopthorpe Roa")&amp;":"&amp;ADDRESS(130,3+18*2+(1))),'J1 A - (North) Bishopthorpe Roa'!$A$12:$A$130,"&gt;="&amp;Diagram!$O87,'J1 A - (North) Bishopthorpe Roa'!$A$12:$A$130,"&lt;"&amp;Diagram!$P87),SUMIFS(INDIRECT(ADDRESS(12,3+18*2+(9),,,"J1 A - (North) Bishopthorpe Roa")&amp;":"&amp;ADDRESS(130,3+18*2+(9))),'J1 A - (North) Bishopthorpe Roa'!$A$12:$A$130,"&gt;="&amp;Diagram!$O87,'J1 A - (North) Bishopthorpe Roa'!$A$12:$A$130,"&lt;"&amp;Diagram!$P87)))</f>
        <v>0</v>
      </c>
      <c r="AN87" s="42">
        <f ca="1">IF(OR($I$10="",$O87="",$P87="",$J$36&lt;&gt;"Yes"),0,IF($K$10=0,SUMIFS(INDIRECT(ADDRESS(12,3+18*2+(1),,,"J1 B - Butcher Terrace")&amp;":"&amp;ADDRESS(130,3+18*2+(1))),'J1 B - Butcher Terrace'!$A$12:$A$130,"&gt;="&amp;Diagram!$O87,'J1 B - Butcher Terrace'!$A$12:$A$130,"&lt;"&amp;Diagram!$P87),SUMIFS(INDIRECT(ADDRESS(12,3+18*2+(9),,,"J1 B - Butcher Terrace")&amp;":"&amp;ADDRESS(130,3+18*2+(9))),'J1 B - Butcher Terrace'!$A$12:$A$130,"&gt;="&amp;Diagram!$O87,'J1 B - Butcher Terrace'!$A$12:$A$130,"&lt;"&amp;Diagram!$P87)))</f>
        <v>1</v>
      </c>
      <c r="AO87" s="42">
        <f ca="1">IF(OR($I$10="",$O87="",$P87="",$J$36&lt;&gt;"Yes"),0,IF($K$10=0,SUMIFS(INDIRECT(ADDRESS(12,3+18*3+(1),,,"J1 B - Butcher Terrace")&amp;":"&amp;ADDRESS(130,3+18*3+(1))),'J1 B - Butcher Terrace'!$A$12:$A$130,"&gt;="&amp;Diagram!$O87,'J1 B - Butcher Terrace'!$A$12:$A$130,"&lt;"&amp;Diagram!$P87),SUMIFS(INDIRECT(ADDRESS(12,3+18*3+(9),,,"J1 B - Butcher Terrace")&amp;":"&amp;ADDRESS(130,3+18*3+(9))),'J1 B - Butcher Terrace'!$A$12:$A$130,"&gt;="&amp;Diagram!$O87,'J1 B - Butcher Terrace'!$A$12:$A$130,"&lt;"&amp;Diagram!$P87)))</f>
        <v>0</v>
      </c>
      <c r="AP87" s="42">
        <f ca="1">IF(OR($I$10="",$O87="",$P87="",$J$36&lt;&gt;"Yes"),0,IF($K$10=0,SUMIFS(INDIRECT(ADDRESS(12,3+18*0+(1),,,"J1 B - Butcher Terrace")&amp;":"&amp;ADDRESS(130,3+18*0+(1))),'J1 B - Butcher Terrace'!$A$12:$A$130,"&gt;="&amp;Diagram!$O87,'J1 B - Butcher Terrace'!$A$12:$A$130,"&lt;"&amp;Diagram!$P87),SUMIFS(INDIRECT(ADDRESS(12,3+18*0+(9),,,"J1 B - Butcher Terrace")&amp;":"&amp;ADDRESS(130,3+18*0+(9))),'J1 B - Butcher Terrace'!$A$12:$A$130,"&gt;="&amp;Diagram!$O87,'J1 B - Butcher Terrace'!$A$12:$A$130,"&lt;"&amp;Diagram!$P87)))</f>
        <v>0</v>
      </c>
      <c r="AQ87" s="42">
        <f ca="1">IF(OR($I$10="",$O87="",$P87="",$J$36&lt;&gt;"Yes"),0,IF($K$10=0,SUMIFS(INDIRECT(ADDRESS(12,3+18*1+(1),,,"J1 B - Butcher Terrace")&amp;":"&amp;ADDRESS(130,3+18*1+(1))),'J1 B - Butcher Terrace'!$A$12:$A$130,"&gt;="&amp;Diagram!$O87,'J1 B - Butcher Terrace'!$A$12:$A$130,"&lt;"&amp;Diagram!$P87),SUMIFS(INDIRECT(ADDRESS(12,3+18*1+(9),,,"J1 B - Butcher Terrace")&amp;":"&amp;ADDRESS(130,3+18*1+(9))),'J1 B - Butcher Terrace'!$A$12:$A$130,"&gt;="&amp;Diagram!$O87,'J1 B - Butcher Terrace'!$A$12:$A$130,"&lt;"&amp;Diagram!$P87)))</f>
        <v>1</v>
      </c>
      <c r="AR87" s="42">
        <f ca="1">IF(OR($I$10="",$O87="",$P87="",$J$36&lt;&gt;"Yes"),0,IF($K$10=0,SUMIFS(INDIRECT(ADDRESS(12,3+18*1+(1),,,"J1 C - (South) Bishopthorpe Roa")&amp;":"&amp;ADDRESS(130,3+18*1+(1))),'J1 C - (South) Bishopthorpe Roa'!$A$12:$A$130,"&gt;="&amp;Diagram!$O87,'J1 C - (South) Bishopthorpe Roa'!$A$12:$A$130,"&lt;"&amp;Diagram!$P87),SUMIFS(INDIRECT(ADDRESS(12,3+18*1+(9),,,"J1 C - (South) Bishopthorpe Roa")&amp;":"&amp;ADDRESS(130,3+18*1+(9))),'J1 C - (South) Bishopthorpe Roa'!$A$12:$A$130,"&gt;="&amp;Diagram!$O87,'J1 C - (South) Bishopthorpe Roa'!$A$12:$A$130,"&lt;"&amp;Diagram!$P87)))</f>
        <v>2</v>
      </c>
      <c r="AS87" s="42">
        <f ca="1">IF(OR($I$10="",$O87="",$P87="",$J$36&lt;&gt;"Yes"),0,IF($K$10=0,SUMIFS(INDIRECT(ADDRESS(12,3+18*2+(1),,,"J1 C - (South) Bishopthorpe Roa")&amp;":"&amp;ADDRESS(130,3+18*2+(1))),'J1 C - (South) Bishopthorpe Roa'!$A$12:$A$130,"&gt;="&amp;Diagram!$O87,'J1 C - (South) Bishopthorpe Roa'!$A$12:$A$130,"&lt;"&amp;Diagram!$P87),SUMIFS(INDIRECT(ADDRESS(12,3+18*2+(9),,,"J1 C - (South) Bishopthorpe Roa")&amp;":"&amp;ADDRESS(130,3+18*2+(9))),'J1 C - (South) Bishopthorpe Roa'!$A$12:$A$130,"&gt;="&amp;Diagram!$O87,'J1 C - (South) Bishopthorpe Roa'!$A$12:$A$130,"&lt;"&amp;Diagram!$P87)))</f>
        <v>0</v>
      </c>
      <c r="AT87" s="42">
        <f ca="1">IF(OR($I$10="",$O87="",$P87="",$J$36&lt;&gt;"Yes"),0,IF($K$10=0,SUMIFS(INDIRECT(ADDRESS(12,3+18*3+(1),,,"J1 C - (South) Bishopthorpe Roa")&amp;":"&amp;ADDRESS(130,3+18*3+(1))),'J1 C - (South) Bishopthorpe Roa'!$A$12:$A$130,"&gt;="&amp;Diagram!$O87,'J1 C - (South) Bishopthorpe Roa'!$A$12:$A$130,"&lt;"&amp;Diagram!$P87),SUMIFS(INDIRECT(ADDRESS(12,3+18*3+(9),,,"J1 C - (South) Bishopthorpe Roa")&amp;":"&amp;ADDRESS(130,3+18*3+(9))),'J1 C - (South) Bishopthorpe Roa'!$A$12:$A$130,"&gt;="&amp;Diagram!$O87,'J1 C - (South) Bishopthorpe Roa'!$A$12:$A$130,"&lt;"&amp;Diagram!$P87)))</f>
        <v>0</v>
      </c>
      <c r="AU87" s="42">
        <f ca="1">IF(OR($I$10="",$O87="",$P87="",$J$36&lt;&gt;"Yes"),0,IF($K$10=0,SUMIFS(INDIRECT(ADDRESS(12,3+18*0+(1),,,"J1 C - (South) Bishopthorpe Roa")&amp;":"&amp;ADDRESS(130,3+18*0+(1))),'J1 C - (South) Bishopthorpe Roa'!$A$12:$A$130,"&gt;="&amp;Diagram!$O87,'J1 C - (South) Bishopthorpe Roa'!$A$12:$A$130,"&lt;"&amp;Diagram!$P87),SUMIFS(INDIRECT(ADDRESS(12,3+18*0+(9),,,"J1 C - (South) Bishopthorpe Roa")&amp;":"&amp;ADDRESS(130,3+18*0+(9))),'J1 C - (South) Bishopthorpe Roa'!$A$12:$A$130,"&gt;="&amp;Diagram!$O87,'J1 C - (South) Bishopthorpe Roa'!$A$12:$A$130,"&lt;"&amp;Diagram!$P87)))</f>
        <v>0</v>
      </c>
      <c r="AV87" s="42">
        <f ca="1">IF(OR($I$10="",$O87="",$P87="",$J$36&lt;&gt;"Yes"),0,IF($K$10=0,SUMIFS(INDIRECT(ADDRESS(12,3+18*0+(1),,,"J1 D - South Bank Avenue")&amp;":"&amp;ADDRESS(130,3+18*0+(1))),'J1 D - South Bank Avenue'!$A$12:$A$130,"&gt;="&amp;Diagram!$O87,'J1 D - South Bank Avenue'!$A$12:$A$130,"&lt;"&amp;Diagram!$P87),SUMIFS(INDIRECT(ADDRESS(12,3+18*0+(9),,,"J1 D - South Bank Avenue")&amp;":"&amp;ADDRESS(130,3+18*0+(9))),'J1 D - South Bank Avenue'!$A$12:$A$130,"&gt;="&amp;Diagram!$O87,'J1 D - South Bank Avenue'!$A$12:$A$130,"&lt;"&amp;Diagram!$P87)))</f>
        <v>1</v>
      </c>
      <c r="AW87" s="42">
        <f ca="1">IF(OR($I$10="",$O87="",$P87="",$J$36&lt;&gt;"Yes"),0,IF($K$10=0,SUMIFS(INDIRECT(ADDRESS(12,3+18*1+(1),,,"J1 D - South Bank Avenue")&amp;":"&amp;ADDRESS(130,3+18*1+(1))),'J1 D - South Bank Avenue'!$A$12:$A$130,"&gt;="&amp;Diagram!$O87,'J1 D - South Bank Avenue'!$A$12:$A$130,"&lt;"&amp;Diagram!$P87),SUMIFS(INDIRECT(ADDRESS(12,3+18*1+(9),,,"J1 D - South Bank Avenue")&amp;":"&amp;ADDRESS(130,3+18*1+(9))),'J1 D - South Bank Avenue'!$A$12:$A$130,"&gt;="&amp;Diagram!$O87,'J1 D - South Bank Avenue'!$A$12:$A$130,"&lt;"&amp;Diagram!$P87)))</f>
        <v>0</v>
      </c>
      <c r="AX87" s="42">
        <f ca="1">IF(OR($I$10="",$O87="",$P87="",$J$36&lt;&gt;"Yes"),0,IF($K$10=0,SUMIFS(INDIRECT(ADDRESS(12,3+18*2+(1),,,"J1 D - South Bank Avenue")&amp;":"&amp;ADDRESS(130,3+18*2+(1))),'J1 D - South Bank Avenue'!$A$12:$A$130,"&gt;="&amp;Diagram!$O87,'J1 D - South Bank Avenue'!$A$12:$A$130,"&lt;"&amp;Diagram!$P87),SUMIFS(INDIRECT(ADDRESS(12,3+18*2+(9),,,"J1 D - South Bank Avenue")&amp;":"&amp;ADDRESS(130,3+18*2+(9))),'J1 D - South Bank Avenue'!$A$12:$A$130,"&gt;="&amp;Diagram!$O87,'J1 D - South Bank Avenue'!$A$12:$A$130,"&lt;"&amp;Diagram!$P87)))</f>
        <v>0</v>
      </c>
      <c r="AY87" s="42">
        <f ca="1">IF(OR($I$10="",$O87="",$P87="",$J$36&lt;&gt;"Yes"),0,IF($K$10=0,SUMIFS(INDIRECT(ADDRESS(12,3+18*3+(1),,,"J1 D - South Bank Avenue")&amp;":"&amp;ADDRESS(130,3+18*3+(1))),'J1 D - South Bank Avenue'!$A$12:$A$130,"&gt;="&amp;Diagram!$O87,'J1 D - South Bank Avenue'!$A$12:$A$130,"&lt;"&amp;Diagram!$P87),SUMIFS(INDIRECT(ADDRESS(12,3+18*3+(9),,,"J1 D - South Bank Avenue")&amp;":"&amp;ADDRESS(130,3+18*3+(9))),'J1 D - South Bank Avenue'!$A$12:$A$130,"&gt;="&amp;Diagram!$O87,'J1 D - South Bank Avenue'!$A$12:$A$130,"&lt;"&amp;Diagram!$P87)))</f>
        <v>0</v>
      </c>
      <c r="AZ87" s="42">
        <f t="shared" ca="1" si="13"/>
        <v>0</v>
      </c>
      <c r="BA87" s="42">
        <f ca="1">IF(OR($I$10="",$O87="",$P87="",$J$37&lt;&gt;"Yes"),0,IF($K$10=0,SUMIFS(INDIRECT(ADDRESS(12,3+18*3+(2),,,"J1 A - (North) Bishopthorpe Roa")&amp;":"&amp;ADDRESS(130,3+18*3+(2))),'J1 A - (North) Bishopthorpe Roa'!$A$12:$A$130,"&gt;="&amp;Diagram!$O87,'J1 A - (North) Bishopthorpe Roa'!$A$12:$A$130,"&lt;"&amp;Diagram!$P87),SUMIFS(INDIRECT(ADDRESS(12,3+18*3+(10),,,"J1 A - (North) Bishopthorpe Roa")&amp;":"&amp;ADDRESS(130,3+18*3+(10))),'J1 A - (North) Bishopthorpe Roa'!$A$12:$A$130,"&gt;="&amp;Diagram!$O87,'J1 A - (North) Bishopthorpe Roa'!$A$12:$A$130,"&lt;"&amp;Diagram!$P87)))</f>
        <v>0</v>
      </c>
      <c r="BB87" s="42">
        <f ca="1">IF(OR($I$10="",$O87="",$P87="",$J$37&lt;&gt;"Yes"),0,IF($K$10=0,SUMIFS(INDIRECT(ADDRESS(12,3+18*0+(2),,,"J1 A - (North) Bishopthorpe Roa")&amp;":"&amp;ADDRESS(130,3+18*0+(2))),'J1 A - (North) Bishopthorpe Roa'!$A$12:$A$130,"&gt;="&amp;Diagram!$O87,'J1 A - (North) Bishopthorpe Roa'!$A$12:$A$130,"&lt;"&amp;Diagram!$P87),SUMIFS(INDIRECT(ADDRESS(12,3+18*0+(10),,,"J1 A - (North) Bishopthorpe Roa")&amp;":"&amp;ADDRESS(130,3+18*0+(10))),'J1 A - (North) Bishopthorpe Roa'!$A$12:$A$130,"&gt;="&amp;Diagram!$O87,'J1 A - (North) Bishopthorpe Roa'!$A$12:$A$130,"&lt;"&amp;Diagram!$P87)))</f>
        <v>0</v>
      </c>
      <c r="BC87" s="42">
        <f ca="1">IF(OR($I$10="",$O87="",$P87="",$J$37&lt;&gt;"Yes"),0,IF($K$10=0,SUMIFS(INDIRECT(ADDRESS(12,3+18*1+(2),,,"J1 A - (North) Bishopthorpe Roa")&amp;":"&amp;ADDRESS(130,3+18*1+(2))),'J1 A - (North) Bishopthorpe Roa'!$A$12:$A$130,"&gt;="&amp;Diagram!$O87,'J1 A - (North) Bishopthorpe Roa'!$A$12:$A$130,"&lt;"&amp;Diagram!$P87),SUMIFS(INDIRECT(ADDRESS(12,3+18*1+(10),,,"J1 A - (North) Bishopthorpe Roa")&amp;":"&amp;ADDRESS(130,3+18*1+(10))),'J1 A - (North) Bishopthorpe Roa'!$A$12:$A$130,"&gt;="&amp;Diagram!$O87,'J1 A - (North) Bishopthorpe Roa'!$A$12:$A$130,"&lt;"&amp;Diagram!$P87)))</f>
        <v>0</v>
      </c>
      <c r="BD87" s="42">
        <f ca="1">IF(OR($I$10="",$O87="",$P87="",$J$37&lt;&gt;"Yes"),0,IF($K$10=0,SUMIFS(INDIRECT(ADDRESS(12,3+18*2+(2),,,"J1 A - (North) Bishopthorpe Roa")&amp;":"&amp;ADDRESS(130,3+18*2+(2))),'J1 A - (North) Bishopthorpe Roa'!$A$12:$A$130,"&gt;="&amp;Diagram!$O87,'J1 A - (North) Bishopthorpe Roa'!$A$12:$A$130,"&lt;"&amp;Diagram!$P87),SUMIFS(INDIRECT(ADDRESS(12,3+18*2+(10),,,"J1 A - (North) Bishopthorpe Roa")&amp;":"&amp;ADDRESS(130,3+18*2+(10))),'J1 A - (North) Bishopthorpe Roa'!$A$12:$A$130,"&gt;="&amp;Diagram!$O87,'J1 A - (North) Bishopthorpe Roa'!$A$12:$A$130,"&lt;"&amp;Diagram!$P87)))</f>
        <v>0</v>
      </c>
      <c r="BE87" s="42">
        <f ca="1">IF(OR($I$10="",$O87="",$P87="",$J$37&lt;&gt;"Yes"),0,IF($K$10=0,SUMIFS(INDIRECT(ADDRESS(12,3+18*2+(2),,,"J1 B - Butcher Terrace")&amp;":"&amp;ADDRESS(130,3+18*2+(2))),'J1 B - Butcher Terrace'!$A$12:$A$130,"&gt;="&amp;Diagram!$O87,'J1 B - Butcher Terrace'!$A$12:$A$130,"&lt;"&amp;Diagram!$P87),SUMIFS(INDIRECT(ADDRESS(12,3+18*2+(10),,,"J1 B - Butcher Terrace")&amp;":"&amp;ADDRESS(130,3+18*2+(10))),'J1 B - Butcher Terrace'!$A$12:$A$130,"&gt;="&amp;Diagram!$O87,'J1 B - Butcher Terrace'!$A$12:$A$130,"&lt;"&amp;Diagram!$P87)))</f>
        <v>0</v>
      </c>
      <c r="BF87" s="42">
        <f ca="1">IF(OR($I$10="",$O87="",$P87="",$J$37&lt;&gt;"Yes"),0,IF($K$10=0,SUMIFS(INDIRECT(ADDRESS(12,3+18*3+(2),,,"J1 B - Butcher Terrace")&amp;":"&amp;ADDRESS(130,3+18*3+(2))),'J1 B - Butcher Terrace'!$A$12:$A$130,"&gt;="&amp;Diagram!$O87,'J1 B - Butcher Terrace'!$A$12:$A$130,"&lt;"&amp;Diagram!$P87),SUMIFS(INDIRECT(ADDRESS(12,3+18*3+(10),,,"J1 B - Butcher Terrace")&amp;":"&amp;ADDRESS(130,3+18*3+(10))),'J1 B - Butcher Terrace'!$A$12:$A$130,"&gt;="&amp;Diagram!$O87,'J1 B - Butcher Terrace'!$A$12:$A$130,"&lt;"&amp;Diagram!$P87)))</f>
        <v>0</v>
      </c>
      <c r="BG87" s="42">
        <f ca="1">IF(OR($I$10="",$O87="",$P87="",$J$37&lt;&gt;"Yes"),0,IF($K$10=0,SUMIFS(INDIRECT(ADDRESS(12,3+18*0+(2),,,"J1 B - Butcher Terrace")&amp;":"&amp;ADDRESS(130,3+18*0+(2))),'J1 B - Butcher Terrace'!$A$12:$A$130,"&gt;="&amp;Diagram!$O87,'J1 B - Butcher Terrace'!$A$12:$A$130,"&lt;"&amp;Diagram!$P87),SUMIFS(INDIRECT(ADDRESS(12,3+18*0+(10),,,"J1 B - Butcher Terrace")&amp;":"&amp;ADDRESS(130,3+18*0+(10))),'J1 B - Butcher Terrace'!$A$12:$A$130,"&gt;="&amp;Diagram!$O87,'J1 B - Butcher Terrace'!$A$12:$A$130,"&lt;"&amp;Diagram!$P87)))</f>
        <v>0</v>
      </c>
      <c r="BH87" s="42">
        <f ca="1">IF(OR($I$10="",$O87="",$P87="",$J$37&lt;&gt;"Yes"),0,IF($K$10=0,SUMIFS(INDIRECT(ADDRESS(12,3+18*1+(2),,,"J1 B - Butcher Terrace")&amp;":"&amp;ADDRESS(130,3+18*1+(2))),'J1 B - Butcher Terrace'!$A$12:$A$130,"&gt;="&amp;Diagram!$O87,'J1 B - Butcher Terrace'!$A$12:$A$130,"&lt;"&amp;Diagram!$P87),SUMIFS(INDIRECT(ADDRESS(12,3+18*1+(10),,,"J1 B - Butcher Terrace")&amp;":"&amp;ADDRESS(130,3+18*1+(10))),'J1 B - Butcher Terrace'!$A$12:$A$130,"&gt;="&amp;Diagram!$O87,'J1 B - Butcher Terrace'!$A$12:$A$130,"&lt;"&amp;Diagram!$P87)))</f>
        <v>0</v>
      </c>
      <c r="BI87" s="42">
        <f ca="1">IF(OR($I$10="",$O87="",$P87="",$J$37&lt;&gt;"Yes"),0,IF($K$10=0,SUMIFS(INDIRECT(ADDRESS(12,3+18*1+(2),,,"J1 C - (South) Bishopthorpe Roa")&amp;":"&amp;ADDRESS(130,3+18*1+(2))),'J1 C - (South) Bishopthorpe Roa'!$A$12:$A$130,"&gt;="&amp;Diagram!$O87,'J1 C - (South) Bishopthorpe Roa'!$A$12:$A$130,"&lt;"&amp;Diagram!$P87),SUMIFS(INDIRECT(ADDRESS(12,3+18*1+(10),,,"J1 C - (South) Bishopthorpe Roa")&amp;":"&amp;ADDRESS(130,3+18*1+(10))),'J1 C - (South) Bishopthorpe Roa'!$A$12:$A$130,"&gt;="&amp;Diagram!$O87,'J1 C - (South) Bishopthorpe Roa'!$A$12:$A$130,"&lt;"&amp;Diagram!$P87)))</f>
        <v>0</v>
      </c>
      <c r="BJ87" s="42">
        <f ca="1">IF(OR($I$10="",$O87="",$P87="",$J$37&lt;&gt;"Yes"),0,IF($K$10=0,SUMIFS(INDIRECT(ADDRESS(12,3+18*2+(2),,,"J1 C - (South) Bishopthorpe Roa")&amp;":"&amp;ADDRESS(130,3+18*2+(2))),'J1 C - (South) Bishopthorpe Roa'!$A$12:$A$130,"&gt;="&amp;Diagram!$O87,'J1 C - (South) Bishopthorpe Roa'!$A$12:$A$130,"&lt;"&amp;Diagram!$P87),SUMIFS(INDIRECT(ADDRESS(12,3+18*2+(10),,,"J1 C - (South) Bishopthorpe Roa")&amp;":"&amp;ADDRESS(130,3+18*2+(10))),'J1 C - (South) Bishopthorpe Roa'!$A$12:$A$130,"&gt;="&amp;Diagram!$O87,'J1 C - (South) Bishopthorpe Roa'!$A$12:$A$130,"&lt;"&amp;Diagram!$P87)))</f>
        <v>0</v>
      </c>
      <c r="BK87" s="42">
        <f ca="1">IF(OR($I$10="",$O87="",$P87="",$J$37&lt;&gt;"Yes"),0,IF($K$10=0,SUMIFS(INDIRECT(ADDRESS(12,3+18*3+(2),,,"J1 C - (South) Bishopthorpe Roa")&amp;":"&amp;ADDRESS(130,3+18*3+(2))),'J1 C - (South) Bishopthorpe Roa'!$A$12:$A$130,"&gt;="&amp;Diagram!$O87,'J1 C - (South) Bishopthorpe Roa'!$A$12:$A$130,"&lt;"&amp;Diagram!$P87),SUMIFS(INDIRECT(ADDRESS(12,3+18*3+(10),,,"J1 C - (South) Bishopthorpe Roa")&amp;":"&amp;ADDRESS(130,3+18*3+(10))),'J1 C - (South) Bishopthorpe Roa'!$A$12:$A$130,"&gt;="&amp;Diagram!$O87,'J1 C - (South) Bishopthorpe Roa'!$A$12:$A$130,"&lt;"&amp;Diagram!$P87)))</f>
        <v>0</v>
      </c>
      <c r="BL87" s="42">
        <f ca="1">IF(OR($I$10="",$O87="",$P87="",$J$37&lt;&gt;"Yes"),0,IF($K$10=0,SUMIFS(INDIRECT(ADDRESS(12,3+18*0+(2),,,"J1 C - (South) Bishopthorpe Roa")&amp;":"&amp;ADDRESS(130,3+18*0+(2))),'J1 C - (South) Bishopthorpe Roa'!$A$12:$A$130,"&gt;="&amp;Diagram!$O87,'J1 C - (South) Bishopthorpe Roa'!$A$12:$A$130,"&lt;"&amp;Diagram!$P87),SUMIFS(INDIRECT(ADDRESS(12,3+18*0+(10),,,"J1 C - (South) Bishopthorpe Roa")&amp;":"&amp;ADDRESS(130,3+18*0+(10))),'J1 C - (South) Bishopthorpe Roa'!$A$12:$A$130,"&gt;="&amp;Diagram!$O87,'J1 C - (South) Bishopthorpe Roa'!$A$12:$A$130,"&lt;"&amp;Diagram!$P87)))</f>
        <v>0</v>
      </c>
      <c r="BM87" s="42">
        <f ca="1">IF(OR($I$10="",$O87="",$P87="",$J$37&lt;&gt;"Yes"),0,IF($K$10=0,SUMIFS(INDIRECT(ADDRESS(12,3+18*0+(2),,,"J1 D - South Bank Avenue")&amp;":"&amp;ADDRESS(130,3+18*0+(2))),'J1 D - South Bank Avenue'!$A$12:$A$130,"&gt;="&amp;Diagram!$O87,'J1 D - South Bank Avenue'!$A$12:$A$130,"&lt;"&amp;Diagram!$P87),SUMIFS(INDIRECT(ADDRESS(12,3+18*0+(10),,,"J1 D - South Bank Avenue")&amp;":"&amp;ADDRESS(130,3+18*0+(10))),'J1 D - South Bank Avenue'!$A$12:$A$130,"&gt;="&amp;Diagram!$O87,'J1 D - South Bank Avenue'!$A$12:$A$130,"&lt;"&amp;Diagram!$P87)))</f>
        <v>0</v>
      </c>
      <c r="BN87" s="42">
        <f ca="1">IF(OR($I$10="",$O87="",$P87="",$J$37&lt;&gt;"Yes"),0,IF($K$10=0,SUMIFS(INDIRECT(ADDRESS(12,3+18*1+(2),,,"J1 D - South Bank Avenue")&amp;":"&amp;ADDRESS(130,3+18*1+(2))),'J1 D - South Bank Avenue'!$A$12:$A$130,"&gt;="&amp;Diagram!$O87,'J1 D - South Bank Avenue'!$A$12:$A$130,"&lt;"&amp;Diagram!$P87),SUMIFS(INDIRECT(ADDRESS(12,3+18*1+(10),,,"J1 D - South Bank Avenue")&amp;":"&amp;ADDRESS(130,3+18*1+(10))),'J1 D - South Bank Avenue'!$A$12:$A$130,"&gt;="&amp;Diagram!$O87,'J1 D - South Bank Avenue'!$A$12:$A$130,"&lt;"&amp;Diagram!$P87)))</f>
        <v>0</v>
      </c>
      <c r="BO87" s="42">
        <f ca="1">IF(OR($I$10="",$O87="",$P87="",$J$37&lt;&gt;"Yes"),0,IF($K$10=0,SUMIFS(INDIRECT(ADDRESS(12,3+18*2+(2),,,"J1 D - South Bank Avenue")&amp;":"&amp;ADDRESS(130,3+18*2+(2))),'J1 D - South Bank Avenue'!$A$12:$A$130,"&gt;="&amp;Diagram!$O87,'J1 D - South Bank Avenue'!$A$12:$A$130,"&lt;"&amp;Diagram!$P87),SUMIFS(INDIRECT(ADDRESS(12,3+18*2+(10),,,"J1 D - South Bank Avenue")&amp;":"&amp;ADDRESS(130,3+18*2+(10))),'J1 D - South Bank Avenue'!$A$12:$A$130,"&gt;="&amp;Diagram!$O87,'J1 D - South Bank Avenue'!$A$12:$A$130,"&lt;"&amp;Diagram!$P87)))</f>
        <v>0</v>
      </c>
      <c r="BP87" s="42">
        <f ca="1">IF(OR($I$10="",$O87="",$P87="",$J$37&lt;&gt;"Yes"),0,IF($K$10=0,SUMIFS(INDIRECT(ADDRESS(12,3+18*3+(2),,,"J1 D - South Bank Avenue")&amp;":"&amp;ADDRESS(130,3+18*3+(2))),'J1 D - South Bank Avenue'!$A$12:$A$130,"&gt;="&amp;Diagram!$O87,'J1 D - South Bank Avenue'!$A$12:$A$130,"&lt;"&amp;Diagram!$P87),SUMIFS(INDIRECT(ADDRESS(12,3+18*3+(10),,,"J1 D - South Bank Avenue")&amp;":"&amp;ADDRESS(130,3+18*3+(10))),'J1 D - South Bank Avenue'!$A$12:$A$130,"&gt;="&amp;Diagram!$O87,'J1 D - South Bank Avenue'!$A$12:$A$130,"&lt;"&amp;Diagram!$P87)))</f>
        <v>0</v>
      </c>
      <c r="BQ87" s="42">
        <f t="shared" ca="1" si="14"/>
        <v>0</v>
      </c>
      <c r="BR87" s="42">
        <f ca="1">IF(OR($I$10="",$O87="",$P87="",$J$38&lt;&gt;"Yes"),0,IF($K$10=0,SUMIFS(INDIRECT(ADDRESS(12,3+18*3+(3),,,"J1 A - (North) Bishopthorpe Roa")&amp;":"&amp;ADDRESS(130,3+18*3+(3))),'J1 A - (North) Bishopthorpe Roa'!$A$12:$A$130,"&gt;="&amp;Diagram!$O87,'J1 A - (North) Bishopthorpe Roa'!$A$12:$A$130,"&lt;"&amp;Diagram!$P87),SUMIFS(INDIRECT(ADDRESS(12,3+18*3+(11),,,"J1 A - (North) Bishopthorpe Roa")&amp;":"&amp;ADDRESS(130,3+18*3+(11))),'J1 A - (North) Bishopthorpe Roa'!$A$12:$A$130,"&gt;="&amp;Diagram!$O87,'J1 A - (North) Bishopthorpe Roa'!$A$12:$A$130,"&lt;"&amp;Diagram!$P87)))</f>
        <v>0</v>
      </c>
      <c r="BS87" s="42">
        <f ca="1">IF(OR($I$10="",$O87="",$P87="",$J$38&lt;&gt;"Yes"),0,IF($K$10=0,SUMIFS(INDIRECT(ADDRESS(12,3+18*0+(3),,,"J1 A - (North) Bishopthorpe Roa")&amp;":"&amp;ADDRESS(130,3+18*0+(3))),'J1 A - (North) Bishopthorpe Roa'!$A$12:$A$130,"&gt;="&amp;Diagram!$O87,'J1 A - (North) Bishopthorpe Roa'!$A$12:$A$130,"&lt;"&amp;Diagram!$P87),SUMIFS(INDIRECT(ADDRESS(12,3+18*0+(11),,,"J1 A - (North) Bishopthorpe Roa")&amp;":"&amp;ADDRESS(130,3+18*0+(11))),'J1 A - (North) Bishopthorpe Roa'!$A$12:$A$130,"&gt;="&amp;Diagram!$O87,'J1 A - (North) Bishopthorpe Roa'!$A$12:$A$130,"&lt;"&amp;Diagram!$P87)))</f>
        <v>0</v>
      </c>
      <c r="BT87" s="42">
        <f ca="1">IF(OR($I$10="",$O87="",$P87="",$J$38&lt;&gt;"Yes"),0,IF($K$10=0,SUMIFS(INDIRECT(ADDRESS(12,3+18*1+(3),,,"J1 A - (North) Bishopthorpe Roa")&amp;":"&amp;ADDRESS(130,3+18*1+(3))),'J1 A - (North) Bishopthorpe Roa'!$A$12:$A$130,"&gt;="&amp;Diagram!$O87,'J1 A - (North) Bishopthorpe Roa'!$A$12:$A$130,"&lt;"&amp;Diagram!$P87),SUMIFS(INDIRECT(ADDRESS(12,3+18*1+(11),,,"J1 A - (North) Bishopthorpe Roa")&amp;":"&amp;ADDRESS(130,3+18*1+(11))),'J1 A - (North) Bishopthorpe Roa'!$A$12:$A$130,"&gt;="&amp;Diagram!$O87,'J1 A - (North) Bishopthorpe Roa'!$A$12:$A$130,"&lt;"&amp;Diagram!$P87)))</f>
        <v>0</v>
      </c>
      <c r="BU87" s="42">
        <f ca="1">IF(OR($I$10="",$O87="",$P87="",$J$38&lt;&gt;"Yes"),0,IF($K$10=0,SUMIFS(INDIRECT(ADDRESS(12,3+18*2+(3),,,"J1 A - (North) Bishopthorpe Roa")&amp;":"&amp;ADDRESS(130,3+18*2+(3))),'J1 A - (North) Bishopthorpe Roa'!$A$12:$A$130,"&gt;="&amp;Diagram!$O87,'J1 A - (North) Bishopthorpe Roa'!$A$12:$A$130,"&lt;"&amp;Diagram!$P87),SUMIFS(INDIRECT(ADDRESS(12,3+18*2+(11),,,"J1 A - (North) Bishopthorpe Roa")&amp;":"&amp;ADDRESS(130,3+18*2+(11))),'J1 A - (North) Bishopthorpe Roa'!$A$12:$A$130,"&gt;="&amp;Diagram!$O87,'J1 A - (North) Bishopthorpe Roa'!$A$12:$A$130,"&lt;"&amp;Diagram!$P87)))</f>
        <v>0</v>
      </c>
      <c r="BV87" s="42">
        <f ca="1">IF(OR($I$10="",$O87="",$P87="",$J$38&lt;&gt;"Yes"),0,IF($K$10=0,SUMIFS(INDIRECT(ADDRESS(12,3+18*2+(3),,,"J1 B - Butcher Terrace")&amp;":"&amp;ADDRESS(130,3+18*2+(3))),'J1 B - Butcher Terrace'!$A$12:$A$130,"&gt;="&amp;Diagram!$O87,'J1 B - Butcher Terrace'!$A$12:$A$130,"&lt;"&amp;Diagram!$P87),SUMIFS(INDIRECT(ADDRESS(12,3+18*2+(11),,,"J1 B - Butcher Terrace")&amp;":"&amp;ADDRESS(130,3+18*2+(11))),'J1 B - Butcher Terrace'!$A$12:$A$130,"&gt;="&amp;Diagram!$O87,'J1 B - Butcher Terrace'!$A$12:$A$130,"&lt;"&amp;Diagram!$P87)))</f>
        <v>0</v>
      </c>
      <c r="BW87" s="42">
        <f ca="1">IF(OR($I$10="",$O87="",$P87="",$J$38&lt;&gt;"Yes"),0,IF($K$10=0,SUMIFS(INDIRECT(ADDRESS(12,3+18*3+(3),,,"J1 B - Butcher Terrace")&amp;":"&amp;ADDRESS(130,3+18*3+(3))),'J1 B - Butcher Terrace'!$A$12:$A$130,"&gt;="&amp;Diagram!$O87,'J1 B - Butcher Terrace'!$A$12:$A$130,"&lt;"&amp;Diagram!$P87),SUMIFS(INDIRECT(ADDRESS(12,3+18*3+(11),,,"J1 B - Butcher Terrace")&amp;":"&amp;ADDRESS(130,3+18*3+(11))),'J1 B - Butcher Terrace'!$A$12:$A$130,"&gt;="&amp;Diagram!$O87,'J1 B - Butcher Terrace'!$A$12:$A$130,"&lt;"&amp;Diagram!$P87)))</f>
        <v>0</v>
      </c>
      <c r="BX87" s="42">
        <f ca="1">IF(OR($I$10="",$O87="",$P87="",$J$38&lt;&gt;"Yes"),0,IF($K$10=0,SUMIFS(INDIRECT(ADDRESS(12,3+18*0+(3),,,"J1 B - Butcher Terrace")&amp;":"&amp;ADDRESS(130,3+18*0+(3))),'J1 B - Butcher Terrace'!$A$12:$A$130,"&gt;="&amp;Diagram!$O87,'J1 B - Butcher Terrace'!$A$12:$A$130,"&lt;"&amp;Diagram!$P87),SUMIFS(INDIRECT(ADDRESS(12,3+18*0+(11),,,"J1 B - Butcher Terrace")&amp;":"&amp;ADDRESS(130,3+18*0+(11))),'J1 B - Butcher Terrace'!$A$12:$A$130,"&gt;="&amp;Diagram!$O87,'J1 B - Butcher Terrace'!$A$12:$A$130,"&lt;"&amp;Diagram!$P87)))</f>
        <v>0</v>
      </c>
      <c r="BY87" s="42">
        <f ca="1">IF(OR($I$10="",$O87="",$P87="",$J$38&lt;&gt;"Yes"),0,IF($K$10=0,SUMIFS(INDIRECT(ADDRESS(12,3+18*1+(3),,,"J1 B - Butcher Terrace")&amp;":"&amp;ADDRESS(130,3+18*1+(3))),'J1 B - Butcher Terrace'!$A$12:$A$130,"&gt;="&amp;Diagram!$O87,'J1 B - Butcher Terrace'!$A$12:$A$130,"&lt;"&amp;Diagram!$P87),SUMIFS(INDIRECT(ADDRESS(12,3+18*1+(11),,,"J1 B - Butcher Terrace")&amp;":"&amp;ADDRESS(130,3+18*1+(11))),'J1 B - Butcher Terrace'!$A$12:$A$130,"&gt;="&amp;Diagram!$O87,'J1 B - Butcher Terrace'!$A$12:$A$130,"&lt;"&amp;Diagram!$P87)))</f>
        <v>0</v>
      </c>
      <c r="BZ87" s="42">
        <f ca="1">IF(OR($I$10="",$O87="",$P87="",$J$38&lt;&gt;"Yes"),0,IF($K$10=0,SUMIFS(INDIRECT(ADDRESS(12,3+18*1+(3),,,"J1 C - (South) Bishopthorpe Roa")&amp;":"&amp;ADDRESS(130,3+18*1+(3))),'J1 C - (South) Bishopthorpe Roa'!$A$12:$A$130,"&gt;="&amp;Diagram!$O87,'J1 C - (South) Bishopthorpe Roa'!$A$12:$A$130,"&lt;"&amp;Diagram!$P87),SUMIFS(INDIRECT(ADDRESS(12,3+18*1+(11),,,"J1 C - (South) Bishopthorpe Roa")&amp;":"&amp;ADDRESS(130,3+18*1+(11))),'J1 C - (South) Bishopthorpe Roa'!$A$12:$A$130,"&gt;="&amp;Diagram!$O87,'J1 C - (South) Bishopthorpe Roa'!$A$12:$A$130,"&lt;"&amp;Diagram!$P87)))</f>
        <v>0</v>
      </c>
      <c r="CA87" s="42">
        <f ca="1">IF(OR($I$10="",$O87="",$P87="",$J$38&lt;&gt;"Yes"),0,IF($K$10=0,SUMIFS(INDIRECT(ADDRESS(12,3+18*2+(3),,,"J1 C - (South) Bishopthorpe Roa")&amp;":"&amp;ADDRESS(130,3+18*2+(3))),'J1 C - (South) Bishopthorpe Roa'!$A$12:$A$130,"&gt;="&amp;Diagram!$O87,'J1 C - (South) Bishopthorpe Roa'!$A$12:$A$130,"&lt;"&amp;Diagram!$P87),SUMIFS(INDIRECT(ADDRESS(12,3+18*2+(11),,,"J1 C - (South) Bishopthorpe Roa")&amp;":"&amp;ADDRESS(130,3+18*2+(11))),'J1 C - (South) Bishopthorpe Roa'!$A$12:$A$130,"&gt;="&amp;Diagram!$O87,'J1 C - (South) Bishopthorpe Roa'!$A$12:$A$130,"&lt;"&amp;Diagram!$P87)))</f>
        <v>0</v>
      </c>
      <c r="CB87" s="42">
        <f ca="1">IF(OR($I$10="",$O87="",$P87="",$J$38&lt;&gt;"Yes"),0,IF($K$10=0,SUMIFS(INDIRECT(ADDRESS(12,3+18*3+(3),,,"J1 C - (South) Bishopthorpe Roa")&amp;":"&amp;ADDRESS(130,3+18*3+(3))),'J1 C - (South) Bishopthorpe Roa'!$A$12:$A$130,"&gt;="&amp;Diagram!$O87,'J1 C - (South) Bishopthorpe Roa'!$A$12:$A$130,"&lt;"&amp;Diagram!$P87),SUMIFS(INDIRECT(ADDRESS(12,3+18*3+(11),,,"J1 C - (South) Bishopthorpe Roa")&amp;":"&amp;ADDRESS(130,3+18*3+(11))),'J1 C - (South) Bishopthorpe Roa'!$A$12:$A$130,"&gt;="&amp;Diagram!$O87,'J1 C - (South) Bishopthorpe Roa'!$A$12:$A$130,"&lt;"&amp;Diagram!$P87)))</f>
        <v>0</v>
      </c>
      <c r="CC87" s="42">
        <f ca="1">IF(OR($I$10="",$O87="",$P87="",$J$38&lt;&gt;"Yes"),0,IF($K$10=0,SUMIFS(INDIRECT(ADDRESS(12,3+18*0+(3),,,"J1 C - (South) Bishopthorpe Roa")&amp;":"&amp;ADDRESS(130,3+18*0+(3))),'J1 C - (South) Bishopthorpe Roa'!$A$12:$A$130,"&gt;="&amp;Diagram!$O87,'J1 C - (South) Bishopthorpe Roa'!$A$12:$A$130,"&lt;"&amp;Diagram!$P87),SUMIFS(INDIRECT(ADDRESS(12,3+18*0+(11),,,"J1 C - (South) Bishopthorpe Roa")&amp;":"&amp;ADDRESS(130,3+18*0+(11))),'J1 C - (South) Bishopthorpe Roa'!$A$12:$A$130,"&gt;="&amp;Diagram!$O87,'J1 C - (South) Bishopthorpe Roa'!$A$12:$A$130,"&lt;"&amp;Diagram!$P87)))</f>
        <v>0</v>
      </c>
      <c r="CD87" s="42">
        <f ca="1">IF(OR($I$10="",$O87="",$P87="",$J$38&lt;&gt;"Yes"),0,IF($K$10=0,SUMIFS(INDIRECT(ADDRESS(12,3+18*0+(3),,,"J1 D - South Bank Avenue")&amp;":"&amp;ADDRESS(130,3+18*0+(3))),'J1 D - South Bank Avenue'!$A$12:$A$130,"&gt;="&amp;Diagram!$O87,'J1 D - South Bank Avenue'!$A$12:$A$130,"&lt;"&amp;Diagram!$P87),SUMIFS(INDIRECT(ADDRESS(12,3+18*0+(11),,,"J1 D - South Bank Avenue")&amp;":"&amp;ADDRESS(130,3+18*0+(11))),'J1 D - South Bank Avenue'!$A$12:$A$130,"&gt;="&amp;Diagram!$O87,'J1 D - South Bank Avenue'!$A$12:$A$130,"&lt;"&amp;Diagram!$P87)))</f>
        <v>0</v>
      </c>
      <c r="CE87" s="42">
        <f ca="1">IF(OR($I$10="",$O87="",$P87="",$J$38&lt;&gt;"Yes"),0,IF($K$10=0,SUMIFS(INDIRECT(ADDRESS(12,3+18*1+(3),,,"J1 D - South Bank Avenue")&amp;":"&amp;ADDRESS(130,3+18*1+(3))),'J1 D - South Bank Avenue'!$A$12:$A$130,"&gt;="&amp;Diagram!$O87,'J1 D - South Bank Avenue'!$A$12:$A$130,"&lt;"&amp;Diagram!$P87),SUMIFS(INDIRECT(ADDRESS(12,3+18*1+(11),,,"J1 D - South Bank Avenue")&amp;":"&amp;ADDRESS(130,3+18*1+(11))),'J1 D - South Bank Avenue'!$A$12:$A$130,"&gt;="&amp;Diagram!$O87,'J1 D - South Bank Avenue'!$A$12:$A$130,"&lt;"&amp;Diagram!$P87)))</f>
        <v>0</v>
      </c>
      <c r="CF87" s="42">
        <f ca="1">IF(OR($I$10="",$O87="",$P87="",$J$38&lt;&gt;"Yes"),0,IF($K$10=0,SUMIFS(INDIRECT(ADDRESS(12,3+18*2+(3),,,"J1 D - South Bank Avenue")&amp;":"&amp;ADDRESS(130,3+18*2+(3))),'J1 D - South Bank Avenue'!$A$12:$A$130,"&gt;="&amp;Diagram!$O87,'J1 D - South Bank Avenue'!$A$12:$A$130,"&lt;"&amp;Diagram!$P87),SUMIFS(INDIRECT(ADDRESS(12,3+18*2+(11),,,"J1 D - South Bank Avenue")&amp;":"&amp;ADDRESS(130,3+18*2+(11))),'J1 D - South Bank Avenue'!$A$12:$A$130,"&gt;="&amp;Diagram!$O87,'J1 D - South Bank Avenue'!$A$12:$A$130,"&lt;"&amp;Diagram!$P87)))</f>
        <v>0</v>
      </c>
      <c r="CG87" s="42">
        <f ca="1">IF(OR($I$10="",$O87="",$P87="",$J$38&lt;&gt;"Yes"),0,IF($K$10=0,SUMIFS(INDIRECT(ADDRESS(12,3+18*3+(3),,,"J1 D - South Bank Avenue")&amp;":"&amp;ADDRESS(130,3+18*3+(3))),'J1 D - South Bank Avenue'!$A$12:$A$130,"&gt;="&amp;Diagram!$O87,'J1 D - South Bank Avenue'!$A$12:$A$130,"&lt;"&amp;Diagram!$P87),SUMIFS(INDIRECT(ADDRESS(12,3+18*3+(11),,,"J1 D - South Bank Avenue")&amp;":"&amp;ADDRESS(130,3+18*3+(11))),'J1 D - South Bank Avenue'!$A$12:$A$130,"&gt;="&amp;Diagram!$O87,'J1 D - South Bank Avenue'!$A$12:$A$130,"&lt;"&amp;Diagram!$P87)))</f>
        <v>0</v>
      </c>
      <c r="CH87" s="42">
        <f t="shared" ca="1" si="15"/>
        <v>3</v>
      </c>
      <c r="CI87" s="42">
        <f ca="1">IF(OR($I$10="",$O87="",$P87="",$J$39&lt;&gt;"Yes"),0,IF($K$10=0,SUMIFS(INDIRECT(ADDRESS(12,3+18*3+(4),,,"J1 A - (North) Bishopthorpe Roa")&amp;":"&amp;ADDRESS(130,3+18*3+(4))),'J1 A - (North) Bishopthorpe Roa'!$A$12:$A$130,"&gt;="&amp;Diagram!$O87,'J1 A - (North) Bishopthorpe Roa'!$A$12:$A$130,"&lt;"&amp;Diagram!$P87),SUMIFS(INDIRECT(ADDRESS(12,3+18*3+(12),,,"J1 A - (North) Bishopthorpe Roa")&amp;":"&amp;ADDRESS(130,3+18*3+(12))),'J1 A - (North) Bishopthorpe Roa'!$A$12:$A$130,"&gt;="&amp;Diagram!$O87,'J1 A - (North) Bishopthorpe Roa'!$A$12:$A$130,"&lt;"&amp;Diagram!$P87)))</f>
        <v>0</v>
      </c>
      <c r="CJ87" s="42">
        <f ca="1">IF(OR($I$10="",$O87="",$P87="",$J$39&lt;&gt;"Yes"),0,IF($K$10=0,SUMIFS(INDIRECT(ADDRESS(12,3+18*0+(4),,,"J1 A - (North) Bishopthorpe Roa")&amp;":"&amp;ADDRESS(130,3+18*0+(4))),'J1 A - (North) Bishopthorpe Roa'!$A$12:$A$130,"&gt;="&amp;Diagram!$O87,'J1 A - (North) Bishopthorpe Roa'!$A$12:$A$130,"&lt;"&amp;Diagram!$P87),SUMIFS(INDIRECT(ADDRESS(12,3+18*0+(12),,,"J1 A - (North) Bishopthorpe Roa")&amp;":"&amp;ADDRESS(130,3+18*0+(12))),'J1 A - (North) Bishopthorpe Roa'!$A$12:$A$130,"&gt;="&amp;Diagram!$O87,'J1 A - (North) Bishopthorpe Roa'!$A$12:$A$130,"&lt;"&amp;Diagram!$P87)))</f>
        <v>0</v>
      </c>
      <c r="CK87" s="42">
        <f ca="1">IF(OR($I$10="",$O87="",$P87="",$J$39&lt;&gt;"Yes"),0,IF($K$10=0,SUMIFS(INDIRECT(ADDRESS(12,3+18*1+(4),,,"J1 A - (North) Bishopthorpe Roa")&amp;":"&amp;ADDRESS(130,3+18*1+(4))),'J1 A - (North) Bishopthorpe Roa'!$A$12:$A$130,"&gt;="&amp;Diagram!$O87,'J1 A - (North) Bishopthorpe Roa'!$A$12:$A$130,"&lt;"&amp;Diagram!$P87),SUMIFS(INDIRECT(ADDRESS(12,3+18*1+(12),,,"J1 A - (North) Bishopthorpe Roa")&amp;":"&amp;ADDRESS(130,3+18*1+(12))),'J1 A - (North) Bishopthorpe Roa'!$A$12:$A$130,"&gt;="&amp;Diagram!$O87,'J1 A - (North) Bishopthorpe Roa'!$A$12:$A$130,"&lt;"&amp;Diagram!$P87)))</f>
        <v>2</v>
      </c>
      <c r="CL87" s="42">
        <f ca="1">IF(OR($I$10="",$O87="",$P87="",$J$39&lt;&gt;"Yes"),0,IF($K$10=0,SUMIFS(INDIRECT(ADDRESS(12,3+18*2+(4),,,"J1 A - (North) Bishopthorpe Roa")&amp;":"&amp;ADDRESS(130,3+18*2+(4))),'J1 A - (North) Bishopthorpe Roa'!$A$12:$A$130,"&gt;="&amp;Diagram!$O87,'J1 A - (North) Bishopthorpe Roa'!$A$12:$A$130,"&lt;"&amp;Diagram!$P87),SUMIFS(INDIRECT(ADDRESS(12,3+18*2+(12),,,"J1 A - (North) Bishopthorpe Roa")&amp;":"&amp;ADDRESS(130,3+18*2+(12))),'J1 A - (North) Bishopthorpe Roa'!$A$12:$A$130,"&gt;="&amp;Diagram!$O87,'J1 A - (North) Bishopthorpe Roa'!$A$12:$A$130,"&lt;"&amp;Diagram!$P87)))</f>
        <v>0</v>
      </c>
      <c r="CM87" s="42">
        <f ca="1">IF(OR($I$10="",$O87="",$P87="",$J$39&lt;&gt;"Yes"),0,IF($K$10=0,SUMIFS(INDIRECT(ADDRESS(12,3+18*2+(4),,,"J1 B - Butcher Terrace")&amp;":"&amp;ADDRESS(130,3+18*2+(4))),'J1 B - Butcher Terrace'!$A$12:$A$130,"&gt;="&amp;Diagram!$O87,'J1 B - Butcher Terrace'!$A$12:$A$130,"&lt;"&amp;Diagram!$P87),SUMIFS(INDIRECT(ADDRESS(12,3+18*2+(12),,,"J1 B - Butcher Terrace")&amp;":"&amp;ADDRESS(130,3+18*2+(12))),'J1 B - Butcher Terrace'!$A$12:$A$130,"&gt;="&amp;Diagram!$O87,'J1 B - Butcher Terrace'!$A$12:$A$130,"&lt;"&amp;Diagram!$P87)))</f>
        <v>0</v>
      </c>
      <c r="CN87" s="42">
        <f ca="1">IF(OR($I$10="",$O87="",$P87="",$J$39&lt;&gt;"Yes"),0,IF($K$10=0,SUMIFS(INDIRECT(ADDRESS(12,3+18*3+(4),,,"J1 B - Butcher Terrace")&amp;":"&amp;ADDRESS(130,3+18*3+(4))),'J1 B - Butcher Terrace'!$A$12:$A$130,"&gt;="&amp;Diagram!$O87,'J1 B - Butcher Terrace'!$A$12:$A$130,"&lt;"&amp;Diagram!$P87),SUMIFS(INDIRECT(ADDRESS(12,3+18*3+(12),,,"J1 B - Butcher Terrace")&amp;":"&amp;ADDRESS(130,3+18*3+(12))),'J1 B - Butcher Terrace'!$A$12:$A$130,"&gt;="&amp;Diagram!$O87,'J1 B - Butcher Terrace'!$A$12:$A$130,"&lt;"&amp;Diagram!$P87)))</f>
        <v>0</v>
      </c>
      <c r="CO87" s="42">
        <f ca="1">IF(OR($I$10="",$O87="",$P87="",$J$39&lt;&gt;"Yes"),0,IF($K$10=0,SUMIFS(INDIRECT(ADDRESS(12,3+18*0+(4),,,"J1 B - Butcher Terrace")&amp;":"&amp;ADDRESS(130,3+18*0+(4))),'J1 B - Butcher Terrace'!$A$12:$A$130,"&gt;="&amp;Diagram!$O87,'J1 B - Butcher Terrace'!$A$12:$A$130,"&lt;"&amp;Diagram!$P87),SUMIFS(INDIRECT(ADDRESS(12,3+18*0+(12),,,"J1 B - Butcher Terrace")&amp;":"&amp;ADDRESS(130,3+18*0+(12))),'J1 B - Butcher Terrace'!$A$12:$A$130,"&gt;="&amp;Diagram!$O87,'J1 B - Butcher Terrace'!$A$12:$A$130,"&lt;"&amp;Diagram!$P87)))</f>
        <v>0</v>
      </c>
      <c r="CP87" s="42">
        <f ca="1">IF(OR($I$10="",$O87="",$P87="",$J$39&lt;&gt;"Yes"),0,IF($K$10=0,SUMIFS(INDIRECT(ADDRESS(12,3+18*1+(4),,,"J1 B - Butcher Terrace")&amp;":"&amp;ADDRESS(130,3+18*1+(4))),'J1 B - Butcher Terrace'!$A$12:$A$130,"&gt;="&amp;Diagram!$O87,'J1 B - Butcher Terrace'!$A$12:$A$130,"&lt;"&amp;Diagram!$P87),SUMIFS(INDIRECT(ADDRESS(12,3+18*1+(12),,,"J1 B - Butcher Terrace")&amp;":"&amp;ADDRESS(130,3+18*1+(12))),'J1 B - Butcher Terrace'!$A$12:$A$130,"&gt;="&amp;Diagram!$O87,'J1 B - Butcher Terrace'!$A$12:$A$130,"&lt;"&amp;Diagram!$P87)))</f>
        <v>0</v>
      </c>
      <c r="CQ87" s="42">
        <f ca="1">IF(OR($I$10="",$O87="",$P87="",$J$39&lt;&gt;"Yes"),0,IF($K$10=0,SUMIFS(INDIRECT(ADDRESS(12,3+18*1+(4),,,"J1 C - (South) Bishopthorpe Roa")&amp;":"&amp;ADDRESS(130,3+18*1+(4))),'J1 C - (South) Bishopthorpe Roa'!$A$12:$A$130,"&gt;="&amp;Diagram!$O87,'J1 C - (South) Bishopthorpe Roa'!$A$12:$A$130,"&lt;"&amp;Diagram!$P87),SUMIFS(INDIRECT(ADDRESS(12,3+18*1+(12),,,"J1 C - (South) Bishopthorpe Roa")&amp;":"&amp;ADDRESS(130,3+18*1+(12))),'J1 C - (South) Bishopthorpe Roa'!$A$12:$A$130,"&gt;="&amp;Diagram!$O87,'J1 C - (South) Bishopthorpe Roa'!$A$12:$A$130,"&lt;"&amp;Diagram!$P87)))</f>
        <v>1</v>
      </c>
      <c r="CR87" s="42">
        <f ca="1">IF(OR($I$10="",$O87="",$P87="",$J$39&lt;&gt;"Yes"),0,IF($K$10=0,SUMIFS(INDIRECT(ADDRESS(12,3+18*2+(4),,,"J1 C - (South) Bishopthorpe Roa")&amp;":"&amp;ADDRESS(130,3+18*2+(4))),'J1 C - (South) Bishopthorpe Roa'!$A$12:$A$130,"&gt;="&amp;Diagram!$O87,'J1 C - (South) Bishopthorpe Roa'!$A$12:$A$130,"&lt;"&amp;Diagram!$P87),SUMIFS(INDIRECT(ADDRESS(12,3+18*2+(12),,,"J1 C - (South) Bishopthorpe Roa")&amp;":"&amp;ADDRESS(130,3+18*2+(12))),'J1 C - (South) Bishopthorpe Roa'!$A$12:$A$130,"&gt;="&amp;Diagram!$O87,'J1 C - (South) Bishopthorpe Roa'!$A$12:$A$130,"&lt;"&amp;Diagram!$P87)))</f>
        <v>0</v>
      </c>
      <c r="CS87" s="42">
        <f ca="1">IF(OR($I$10="",$O87="",$P87="",$J$39&lt;&gt;"Yes"),0,IF($K$10=0,SUMIFS(INDIRECT(ADDRESS(12,3+18*3+(4),,,"J1 C - (South) Bishopthorpe Roa")&amp;":"&amp;ADDRESS(130,3+18*3+(4))),'J1 C - (South) Bishopthorpe Roa'!$A$12:$A$130,"&gt;="&amp;Diagram!$O87,'J1 C - (South) Bishopthorpe Roa'!$A$12:$A$130,"&lt;"&amp;Diagram!$P87),SUMIFS(INDIRECT(ADDRESS(12,3+18*3+(12),,,"J1 C - (South) Bishopthorpe Roa")&amp;":"&amp;ADDRESS(130,3+18*3+(12))),'J1 C - (South) Bishopthorpe Roa'!$A$12:$A$130,"&gt;="&amp;Diagram!$O87,'J1 C - (South) Bishopthorpe Roa'!$A$12:$A$130,"&lt;"&amp;Diagram!$P87)))</f>
        <v>0</v>
      </c>
      <c r="CT87" s="42">
        <f ca="1">IF(OR($I$10="",$O87="",$P87="",$J$39&lt;&gt;"Yes"),0,IF($K$10=0,SUMIFS(INDIRECT(ADDRESS(12,3+18*0+(4),,,"J1 C - (South) Bishopthorpe Roa")&amp;":"&amp;ADDRESS(130,3+18*0+(4))),'J1 C - (South) Bishopthorpe Roa'!$A$12:$A$130,"&gt;="&amp;Diagram!$O87,'J1 C - (South) Bishopthorpe Roa'!$A$12:$A$130,"&lt;"&amp;Diagram!$P87),SUMIFS(INDIRECT(ADDRESS(12,3+18*0+(12),,,"J1 C - (South) Bishopthorpe Roa")&amp;":"&amp;ADDRESS(130,3+18*0+(12))),'J1 C - (South) Bishopthorpe Roa'!$A$12:$A$130,"&gt;="&amp;Diagram!$O87,'J1 C - (South) Bishopthorpe Roa'!$A$12:$A$130,"&lt;"&amp;Diagram!$P87)))</f>
        <v>0</v>
      </c>
      <c r="CU87" s="42">
        <f ca="1">IF(OR($I$10="",$O87="",$P87="",$J$39&lt;&gt;"Yes"),0,IF($K$10=0,SUMIFS(INDIRECT(ADDRESS(12,3+18*0+(4),,,"J1 D - South Bank Avenue")&amp;":"&amp;ADDRESS(130,3+18*0+(4))),'J1 D - South Bank Avenue'!$A$12:$A$130,"&gt;="&amp;Diagram!$O87,'J1 D - South Bank Avenue'!$A$12:$A$130,"&lt;"&amp;Diagram!$P87),SUMIFS(INDIRECT(ADDRESS(12,3+18*0+(12),,,"J1 D - South Bank Avenue")&amp;":"&amp;ADDRESS(130,3+18*0+(12))),'J1 D - South Bank Avenue'!$A$12:$A$130,"&gt;="&amp;Diagram!$O87,'J1 D - South Bank Avenue'!$A$12:$A$130,"&lt;"&amp;Diagram!$P87)))</f>
        <v>0</v>
      </c>
      <c r="CV87" s="42">
        <f ca="1">IF(OR($I$10="",$O87="",$P87="",$J$39&lt;&gt;"Yes"),0,IF($K$10=0,SUMIFS(INDIRECT(ADDRESS(12,3+18*1+(4),,,"J1 D - South Bank Avenue")&amp;":"&amp;ADDRESS(130,3+18*1+(4))),'J1 D - South Bank Avenue'!$A$12:$A$130,"&gt;="&amp;Diagram!$O87,'J1 D - South Bank Avenue'!$A$12:$A$130,"&lt;"&amp;Diagram!$P87),SUMIFS(INDIRECT(ADDRESS(12,3+18*1+(12),,,"J1 D - South Bank Avenue")&amp;":"&amp;ADDRESS(130,3+18*1+(12))),'J1 D - South Bank Avenue'!$A$12:$A$130,"&gt;="&amp;Diagram!$O87,'J1 D - South Bank Avenue'!$A$12:$A$130,"&lt;"&amp;Diagram!$P87)))</f>
        <v>0</v>
      </c>
      <c r="CW87" s="42">
        <f ca="1">IF(OR($I$10="",$O87="",$P87="",$J$39&lt;&gt;"Yes"),0,IF($K$10=0,SUMIFS(INDIRECT(ADDRESS(12,3+18*2+(4),,,"J1 D - South Bank Avenue")&amp;":"&amp;ADDRESS(130,3+18*2+(4))),'J1 D - South Bank Avenue'!$A$12:$A$130,"&gt;="&amp;Diagram!$O87,'J1 D - South Bank Avenue'!$A$12:$A$130,"&lt;"&amp;Diagram!$P87),SUMIFS(INDIRECT(ADDRESS(12,3+18*2+(12),,,"J1 D - South Bank Avenue")&amp;":"&amp;ADDRESS(130,3+18*2+(12))),'J1 D - South Bank Avenue'!$A$12:$A$130,"&gt;="&amp;Diagram!$O87,'J1 D - South Bank Avenue'!$A$12:$A$130,"&lt;"&amp;Diagram!$P87)))</f>
        <v>0</v>
      </c>
      <c r="CX87" s="42">
        <f ca="1">IF(OR($I$10="",$O87="",$P87="",$J$39&lt;&gt;"Yes"),0,IF($K$10=0,SUMIFS(INDIRECT(ADDRESS(12,3+18*3+(4),,,"J1 D - South Bank Avenue")&amp;":"&amp;ADDRESS(130,3+18*3+(4))),'J1 D - South Bank Avenue'!$A$12:$A$130,"&gt;="&amp;Diagram!$O87,'J1 D - South Bank Avenue'!$A$12:$A$130,"&lt;"&amp;Diagram!$P87),SUMIFS(INDIRECT(ADDRESS(12,3+18*3+(12),,,"J1 D - South Bank Avenue")&amp;":"&amp;ADDRESS(130,3+18*3+(12))),'J1 D - South Bank Avenue'!$A$12:$A$130,"&gt;="&amp;Diagram!$O87,'J1 D - South Bank Avenue'!$A$12:$A$130,"&lt;"&amp;Diagram!$P87)))</f>
        <v>0</v>
      </c>
      <c r="CY87" s="42">
        <f t="shared" ca="1" si="16"/>
        <v>44</v>
      </c>
      <c r="CZ87" s="42">
        <f ca="1">IF(OR($I$10="",$O87="",$P87="",$J$40&lt;&gt;"Yes"),0,IF($K$10=0,SUMIFS(INDIRECT(ADDRESS(12,3+18*3+(5),,,"J1 A - (North) Bishopthorpe Roa")&amp;":"&amp;ADDRESS(130,3+18*3+(5))),'J1 A - (North) Bishopthorpe Roa'!$A$12:$A$130,"&gt;="&amp;Diagram!$O87,'J1 A - (North) Bishopthorpe Roa'!$A$12:$A$130,"&lt;"&amp;Diagram!$P87),SUMIFS(INDIRECT(ADDRESS(12,3+18*3+(13),,,"J1 A - (North) Bishopthorpe Roa")&amp;":"&amp;ADDRESS(130,3+18*3+(13))),'J1 A - (North) Bishopthorpe Roa'!$A$12:$A$130,"&gt;="&amp;Diagram!$O87,'J1 A - (North) Bishopthorpe Roa'!$A$12:$A$130,"&lt;"&amp;Diagram!$P87)))</f>
        <v>0</v>
      </c>
      <c r="DA87" s="42">
        <f ca="1">IF(OR($I$10="",$O87="",$P87="",$J$40&lt;&gt;"Yes"),0,IF($K$10=0,SUMIFS(INDIRECT(ADDRESS(12,3+18*0+(5),,,"J1 A - (North) Bishopthorpe Roa")&amp;":"&amp;ADDRESS(130,3+18*0+(5))),'J1 A - (North) Bishopthorpe Roa'!$A$12:$A$130,"&gt;="&amp;Diagram!$O87,'J1 A - (North) Bishopthorpe Roa'!$A$12:$A$130,"&lt;"&amp;Diagram!$P87),SUMIFS(INDIRECT(ADDRESS(12,3+18*0+(13),,,"J1 A - (North) Bishopthorpe Roa")&amp;":"&amp;ADDRESS(130,3+18*0+(13))),'J1 A - (North) Bishopthorpe Roa'!$A$12:$A$130,"&gt;="&amp;Diagram!$O87,'J1 A - (North) Bishopthorpe Roa'!$A$12:$A$130,"&lt;"&amp;Diagram!$P87)))</f>
        <v>5</v>
      </c>
      <c r="DB87" s="42">
        <f ca="1">IF(OR($I$10="",$O87="",$P87="",$J$40&lt;&gt;"Yes"),0,IF($K$10=0,SUMIFS(INDIRECT(ADDRESS(12,3+18*1+(5),,,"J1 A - (North) Bishopthorpe Roa")&amp;":"&amp;ADDRESS(130,3+18*1+(5))),'J1 A - (North) Bishopthorpe Roa'!$A$12:$A$130,"&gt;="&amp;Diagram!$O87,'J1 A - (North) Bishopthorpe Roa'!$A$12:$A$130,"&lt;"&amp;Diagram!$P87),SUMIFS(INDIRECT(ADDRESS(12,3+18*1+(13),,,"J1 A - (North) Bishopthorpe Roa")&amp;":"&amp;ADDRESS(130,3+18*1+(13))),'J1 A - (North) Bishopthorpe Roa'!$A$12:$A$130,"&gt;="&amp;Diagram!$O87,'J1 A - (North) Bishopthorpe Roa'!$A$12:$A$130,"&lt;"&amp;Diagram!$P87)))</f>
        <v>10</v>
      </c>
      <c r="DC87" s="42">
        <f ca="1">IF(OR($I$10="",$O87="",$P87="",$J$40&lt;&gt;"Yes"),0,IF($K$10=0,SUMIFS(INDIRECT(ADDRESS(12,3+18*2+(5),,,"J1 A - (North) Bishopthorpe Roa")&amp;":"&amp;ADDRESS(130,3+18*2+(5))),'J1 A - (North) Bishopthorpe Roa'!$A$12:$A$130,"&gt;="&amp;Diagram!$O87,'J1 A - (North) Bishopthorpe Roa'!$A$12:$A$130,"&lt;"&amp;Diagram!$P87),SUMIFS(INDIRECT(ADDRESS(12,3+18*2+(13),,,"J1 A - (North) Bishopthorpe Roa")&amp;":"&amp;ADDRESS(130,3+18*2+(13))),'J1 A - (North) Bishopthorpe Roa'!$A$12:$A$130,"&gt;="&amp;Diagram!$O87,'J1 A - (North) Bishopthorpe Roa'!$A$12:$A$130,"&lt;"&amp;Diagram!$P87)))</f>
        <v>0</v>
      </c>
      <c r="DD87" s="42">
        <f ca="1">IF(OR($I$10="",$O87="",$P87="",$J$40&lt;&gt;"Yes"),0,IF($K$10=0,SUMIFS(INDIRECT(ADDRESS(12,3+18*2+(5),,,"J1 B - Butcher Terrace")&amp;":"&amp;ADDRESS(130,3+18*2+(5))),'J1 B - Butcher Terrace'!$A$12:$A$130,"&gt;="&amp;Diagram!$O87,'J1 B - Butcher Terrace'!$A$12:$A$130,"&lt;"&amp;Diagram!$P87),SUMIFS(INDIRECT(ADDRESS(12,3+18*2+(13),,,"J1 B - Butcher Terrace")&amp;":"&amp;ADDRESS(130,3+18*2+(13))),'J1 B - Butcher Terrace'!$A$12:$A$130,"&gt;="&amp;Diagram!$O87,'J1 B - Butcher Terrace'!$A$12:$A$130,"&lt;"&amp;Diagram!$P87)))</f>
        <v>0</v>
      </c>
      <c r="DE87" s="42">
        <f ca="1">IF(OR($I$10="",$O87="",$P87="",$J$40&lt;&gt;"Yes"),0,IF($K$10=0,SUMIFS(INDIRECT(ADDRESS(12,3+18*3+(5),,,"J1 B - Butcher Terrace")&amp;":"&amp;ADDRESS(130,3+18*3+(5))),'J1 B - Butcher Terrace'!$A$12:$A$130,"&gt;="&amp;Diagram!$O87,'J1 B - Butcher Terrace'!$A$12:$A$130,"&lt;"&amp;Diagram!$P87),SUMIFS(INDIRECT(ADDRESS(12,3+18*3+(13),,,"J1 B - Butcher Terrace")&amp;":"&amp;ADDRESS(130,3+18*3+(13))),'J1 B - Butcher Terrace'!$A$12:$A$130,"&gt;="&amp;Diagram!$O87,'J1 B - Butcher Terrace'!$A$12:$A$130,"&lt;"&amp;Diagram!$P87)))</f>
        <v>0</v>
      </c>
      <c r="DF87" s="42">
        <f ca="1">IF(OR($I$10="",$O87="",$P87="",$J$40&lt;&gt;"Yes"),0,IF($K$10=0,SUMIFS(INDIRECT(ADDRESS(12,3+18*0+(5),,,"J1 B - Butcher Terrace")&amp;":"&amp;ADDRESS(130,3+18*0+(5))),'J1 B - Butcher Terrace'!$A$12:$A$130,"&gt;="&amp;Diagram!$O87,'J1 B - Butcher Terrace'!$A$12:$A$130,"&lt;"&amp;Diagram!$P87),SUMIFS(INDIRECT(ADDRESS(12,3+18*0+(13),,,"J1 B - Butcher Terrace")&amp;":"&amp;ADDRESS(130,3+18*0+(13))),'J1 B - Butcher Terrace'!$A$12:$A$130,"&gt;="&amp;Diagram!$O87,'J1 B - Butcher Terrace'!$A$12:$A$130,"&lt;"&amp;Diagram!$P87)))</f>
        <v>1</v>
      </c>
      <c r="DG87" s="42">
        <f ca="1">IF(OR($I$10="",$O87="",$P87="",$J$40&lt;&gt;"Yes"),0,IF($K$10=0,SUMIFS(INDIRECT(ADDRESS(12,3+18*1+(5),,,"J1 B - Butcher Terrace")&amp;":"&amp;ADDRESS(130,3+18*1+(5))),'J1 B - Butcher Terrace'!$A$12:$A$130,"&gt;="&amp;Diagram!$O87,'J1 B - Butcher Terrace'!$A$12:$A$130,"&lt;"&amp;Diagram!$P87),SUMIFS(INDIRECT(ADDRESS(12,3+18*1+(13),,,"J1 B - Butcher Terrace")&amp;":"&amp;ADDRESS(130,3+18*1+(13))),'J1 B - Butcher Terrace'!$A$12:$A$130,"&gt;="&amp;Diagram!$O87,'J1 B - Butcher Terrace'!$A$12:$A$130,"&lt;"&amp;Diagram!$P87)))</f>
        <v>16</v>
      </c>
      <c r="DH87" s="42">
        <f ca="1">IF(OR($I$10="",$O87="",$P87="",$J$40&lt;&gt;"Yes"),0,IF($K$10=0,SUMIFS(INDIRECT(ADDRESS(12,3+18*1+(5),,,"J1 C - (South) Bishopthorpe Roa")&amp;":"&amp;ADDRESS(130,3+18*1+(5))),'J1 C - (South) Bishopthorpe Roa'!$A$12:$A$130,"&gt;="&amp;Diagram!$O87,'J1 C - (South) Bishopthorpe Roa'!$A$12:$A$130,"&lt;"&amp;Diagram!$P87),SUMIFS(INDIRECT(ADDRESS(12,3+18*1+(13),,,"J1 C - (South) Bishopthorpe Roa")&amp;":"&amp;ADDRESS(130,3+18*1+(13))),'J1 C - (South) Bishopthorpe Roa'!$A$12:$A$130,"&gt;="&amp;Diagram!$O87,'J1 C - (South) Bishopthorpe Roa'!$A$12:$A$130,"&lt;"&amp;Diagram!$P87)))</f>
        <v>7</v>
      </c>
      <c r="DI87" s="42">
        <f ca="1">IF(OR($I$10="",$O87="",$P87="",$J$40&lt;&gt;"Yes"),0,IF($K$10=0,SUMIFS(INDIRECT(ADDRESS(12,3+18*2+(5),,,"J1 C - (South) Bishopthorpe Roa")&amp;":"&amp;ADDRESS(130,3+18*2+(5))),'J1 C - (South) Bishopthorpe Roa'!$A$12:$A$130,"&gt;="&amp;Diagram!$O87,'J1 C - (South) Bishopthorpe Roa'!$A$12:$A$130,"&lt;"&amp;Diagram!$P87),SUMIFS(INDIRECT(ADDRESS(12,3+18*2+(13),,,"J1 C - (South) Bishopthorpe Roa")&amp;":"&amp;ADDRESS(130,3+18*2+(13))),'J1 C - (South) Bishopthorpe Roa'!$A$12:$A$130,"&gt;="&amp;Diagram!$O87,'J1 C - (South) Bishopthorpe Roa'!$A$12:$A$130,"&lt;"&amp;Diagram!$P87)))</f>
        <v>0</v>
      </c>
      <c r="DJ87" s="42">
        <f ca="1">IF(OR($I$10="",$O87="",$P87="",$J$40&lt;&gt;"Yes"),0,IF($K$10=0,SUMIFS(INDIRECT(ADDRESS(12,3+18*3+(5),,,"J1 C - (South) Bishopthorpe Roa")&amp;":"&amp;ADDRESS(130,3+18*3+(5))),'J1 C - (South) Bishopthorpe Roa'!$A$12:$A$130,"&gt;="&amp;Diagram!$O87,'J1 C - (South) Bishopthorpe Roa'!$A$12:$A$130,"&lt;"&amp;Diagram!$P87),SUMIFS(INDIRECT(ADDRESS(12,3+18*3+(13),,,"J1 C - (South) Bishopthorpe Roa")&amp;":"&amp;ADDRESS(130,3+18*3+(13))),'J1 C - (South) Bishopthorpe Roa'!$A$12:$A$130,"&gt;="&amp;Diagram!$O87,'J1 C - (South) Bishopthorpe Roa'!$A$12:$A$130,"&lt;"&amp;Diagram!$P87)))</f>
        <v>0</v>
      </c>
      <c r="DK87" s="42">
        <f ca="1">IF(OR($I$10="",$O87="",$P87="",$J$40&lt;&gt;"Yes"),0,IF($K$10=0,SUMIFS(INDIRECT(ADDRESS(12,3+18*0+(5),,,"J1 C - (South) Bishopthorpe Roa")&amp;":"&amp;ADDRESS(130,3+18*0+(5))),'J1 C - (South) Bishopthorpe Roa'!$A$12:$A$130,"&gt;="&amp;Diagram!$O87,'J1 C - (South) Bishopthorpe Roa'!$A$12:$A$130,"&lt;"&amp;Diagram!$P87),SUMIFS(INDIRECT(ADDRESS(12,3+18*0+(13),,,"J1 C - (South) Bishopthorpe Roa")&amp;":"&amp;ADDRESS(130,3+18*0+(13))),'J1 C - (South) Bishopthorpe Roa'!$A$12:$A$130,"&gt;="&amp;Diagram!$O87,'J1 C - (South) Bishopthorpe Roa'!$A$12:$A$130,"&lt;"&amp;Diagram!$P87)))</f>
        <v>1</v>
      </c>
      <c r="DL87" s="42">
        <f ca="1">IF(OR($I$10="",$O87="",$P87="",$J$40&lt;&gt;"Yes"),0,IF($K$10=0,SUMIFS(INDIRECT(ADDRESS(12,3+18*0+(5),,,"J1 D - South Bank Avenue")&amp;":"&amp;ADDRESS(130,3+18*0+(5))),'J1 D - South Bank Avenue'!$A$12:$A$130,"&gt;="&amp;Diagram!$O87,'J1 D - South Bank Avenue'!$A$12:$A$130,"&lt;"&amp;Diagram!$P87),SUMIFS(INDIRECT(ADDRESS(12,3+18*0+(13),,,"J1 D - South Bank Avenue")&amp;":"&amp;ADDRESS(130,3+18*0+(13))),'J1 D - South Bank Avenue'!$A$12:$A$130,"&gt;="&amp;Diagram!$O87,'J1 D - South Bank Avenue'!$A$12:$A$130,"&lt;"&amp;Diagram!$P87)))</f>
        <v>0</v>
      </c>
      <c r="DM87" s="42">
        <f ca="1">IF(OR($I$10="",$O87="",$P87="",$J$40&lt;&gt;"Yes"),0,IF($K$10=0,SUMIFS(INDIRECT(ADDRESS(12,3+18*1+(5),,,"J1 D - South Bank Avenue")&amp;":"&amp;ADDRESS(130,3+18*1+(5))),'J1 D - South Bank Avenue'!$A$12:$A$130,"&gt;="&amp;Diagram!$O87,'J1 D - South Bank Avenue'!$A$12:$A$130,"&lt;"&amp;Diagram!$P87),SUMIFS(INDIRECT(ADDRESS(12,3+18*1+(13),,,"J1 D - South Bank Avenue")&amp;":"&amp;ADDRESS(130,3+18*1+(13))),'J1 D - South Bank Avenue'!$A$12:$A$130,"&gt;="&amp;Diagram!$O87,'J1 D - South Bank Avenue'!$A$12:$A$130,"&lt;"&amp;Diagram!$P87)))</f>
        <v>4</v>
      </c>
      <c r="DN87" s="42">
        <f ca="1">IF(OR($I$10="",$O87="",$P87="",$J$40&lt;&gt;"Yes"),0,IF($K$10=0,SUMIFS(INDIRECT(ADDRESS(12,3+18*2+(5),,,"J1 D - South Bank Avenue")&amp;":"&amp;ADDRESS(130,3+18*2+(5))),'J1 D - South Bank Avenue'!$A$12:$A$130,"&gt;="&amp;Diagram!$O87,'J1 D - South Bank Avenue'!$A$12:$A$130,"&lt;"&amp;Diagram!$P87),SUMIFS(INDIRECT(ADDRESS(12,3+18*2+(13),,,"J1 D - South Bank Avenue")&amp;":"&amp;ADDRESS(130,3+18*2+(13))),'J1 D - South Bank Avenue'!$A$12:$A$130,"&gt;="&amp;Diagram!$O87,'J1 D - South Bank Avenue'!$A$12:$A$130,"&lt;"&amp;Diagram!$P87)))</f>
        <v>0</v>
      </c>
      <c r="DO87" s="42">
        <f ca="1">IF(OR($I$10="",$O87="",$P87="",$J$40&lt;&gt;"Yes"),0,IF($K$10=0,SUMIFS(INDIRECT(ADDRESS(12,3+18*3+(5),,,"J1 D - South Bank Avenue")&amp;":"&amp;ADDRESS(130,3+18*3+(5))),'J1 D - South Bank Avenue'!$A$12:$A$130,"&gt;="&amp;Diagram!$O87,'J1 D - South Bank Avenue'!$A$12:$A$130,"&lt;"&amp;Diagram!$P87),SUMIFS(INDIRECT(ADDRESS(12,3+18*3+(13),,,"J1 D - South Bank Avenue")&amp;":"&amp;ADDRESS(130,3+18*3+(13))),'J1 D - South Bank Avenue'!$A$12:$A$130,"&gt;="&amp;Diagram!$O87,'J1 D - South Bank Avenue'!$A$12:$A$130,"&lt;"&amp;Diagram!$P87)))</f>
        <v>0</v>
      </c>
      <c r="DP87" s="42">
        <f t="shared" ca="1" si="17"/>
        <v>5</v>
      </c>
      <c r="DQ87" s="42">
        <f ca="1">IF(OR($I$10="",$O87="",$P87="",$J$41&lt;&gt;"Yes"),0,IF($K$10=0,SUMIFS(INDIRECT(ADDRESS(12,3+18*3+(6),,,"J1 A - (North) Bishopthorpe Roa")&amp;":"&amp;ADDRESS(130,3+18*3+(6))),'J1 A - (North) Bishopthorpe Roa'!$A$12:$A$130,"&gt;="&amp;Diagram!$O87,'J1 A - (North) Bishopthorpe Roa'!$A$12:$A$130,"&lt;"&amp;Diagram!$P87),SUMIFS(INDIRECT(ADDRESS(12,3+18*3+(14),,,"J1 A - (North) Bishopthorpe Roa")&amp;":"&amp;ADDRESS(130,3+18*3+(14))),'J1 A - (North) Bishopthorpe Roa'!$A$12:$A$130,"&gt;="&amp;Diagram!$O87,'J1 A - (North) Bishopthorpe Roa'!$A$12:$A$130,"&lt;"&amp;Diagram!$P87)))</f>
        <v>0</v>
      </c>
      <c r="DR87" s="42">
        <f ca="1">IF(OR($I$10="",$O87="",$P87="",$J$41&lt;&gt;"Yes"),0,IF($K$10=0,SUMIFS(INDIRECT(ADDRESS(12,3+18*0+(6),,,"J1 A - (North) Bishopthorpe Roa")&amp;":"&amp;ADDRESS(130,3+18*0+(6))),'J1 A - (North) Bishopthorpe Roa'!$A$12:$A$130,"&gt;="&amp;Diagram!$O87,'J1 A - (North) Bishopthorpe Roa'!$A$12:$A$130,"&lt;"&amp;Diagram!$P87),SUMIFS(INDIRECT(ADDRESS(12,3+18*0+(14),,,"J1 A - (North) Bishopthorpe Roa")&amp;":"&amp;ADDRESS(130,3+18*0+(14))),'J1 A - (North) Bishopthorpe Roa'!$A$12:$A$130,"&gt;="&amp;Diagram!$O87,'J1 A - (North) Bishopthorpe Roa'!$A$12:$A$130,"&lt;"&amp;Diagram!$P87)))</f>
        <v>0</v>
      </c>
      <c r="DS87" s="42">
        <f ca="1">IF(OR($I$10="",$O87="",$P87="",$J$41&lt;&gt;"Yes"),0,IF($K$10=0,SUMIFS(INDIRECT(ADDRESS(12,3+18*1+(6),,,"J1 A - (North) Bishopthorpe Roa")&amp;":"&amp;ADDRESS(130,3+18*1+(6))),'J1 A - (North) Bishopthorpe Roa'!$A$12:$A$130,"&gt;="&amp;Diagram!$O87,'J1 A - (North) Bishopthorpe Roa'!$A$12:$A$130,"&lt;"&amp;Diagram!$P87),SUMIFS(INDIRECT(ADDRESS(12,3+18*1+(14),,,"J1 A - (North) Bishopthorpe Roa")&amp;":"&amp;ADDRESS(130,3+18*1+(14))),'J1 A - (North) Bishopthorpe Roa'!$A$12:$A$130,"&gt;="&amp;Diagram!$O87,'J1 A - (North) Bishopthorpe Roa'!$A$12:$A$130,"&lt;"&amp;Diagram!$P87)))</f>
        <v>1</v>
      </c>
      <c r="DT87" s="42">
        <f ca="1">IF(OR($I$10="",$O87="",$P87="",$J$41&lt;&gt;"Yes"),0,IF($K$10=0,SUMIFS(INDIRECT(ADDRESS(12,3+18*2+(6),,,"J1 A - (North) Bishopthorpe Roa")&amp;":"&amp;ADDRESS(130,3+18*2+(6))),'J1 A - (North) Bishopthorpe Roa'!$A$12:$A$130,"&gt;="&amp;Diagram!$O87,'J1 A - (North) Bishopthorpe Roa'!$A$12:$A$130,"&lt;"&amp;Diagram!$P87),SUMIFS(INDIRECT(ADDRESS(12,3+18*2+(14),,,"J1 A - (North) Bishopthorpe Roa")&amp;":"&amp;ADDRESS(130,3+18*2+(14))),'J1 A - (North) Bishopthorpe Roa'!$A$12:$A$130,"&gt;="&amp;Diagram!$O87,'J1 A - (North) Bishopthorpe Roa'!$A$12:$A$130,"&lt;"&amp;Diagram!$P87)))</f>
        <v>0</v>
      </c>
      <c r="DU87" s="42">
        <f ca="1">IF(OR($I$10="",$O87="",$P87="",$J$41&lt;&gt;"Yes"),0,IF($K$10=0,SUMIFS(INDIRECT(ADDRESS(12,3+18*2+(6),,,"J1 B - Butcher Terrace")&amp;":"&amp;ADDRESS(130,3+18*2+(6))),'J1 B - Butcher Terrace'!$A$12:$A$130,"&gt;="&amp;Diagram!$O87,'J1 B - Butcher Terrace'!$A$12:$A$130,"&lt;"&amp;Diagram!$P87),SUMIFS(INDIRECT(ADDRESS(12,3+18*2+(14),,,"J1 B - Butcher Terrace")&amp;":"&amp;ADDRESS(130,3+18*2+(14))),'J1 B - Butcher Terrace'!$A$12:$A$130,"&gt;="&amp;Diagram!$O87,'J1 B - Butcher Terrace'!$A$12:$A$130,"&lt;"&amp;Diagram!$P87)))</f>
        <v>0</v>
      </c>
      <c r="DV87" s="42">
        <f ca="1">IF(OR($I$10="",$O87="",$P87="",$J$41&lt;&gt;"Yes"),0,IF($K$10=0,SUMIFS(INDIRECT(ADDRESS(12,3+18*3+(6),,,"J1 B - Butcher Terrace")&amp;":"&amp;ADDRESS(130,3+18*3+(6))),'J1 B - Butcher Terrace'!$A$12:$A$130,"&gt;="&amp;Diagram!$O87,'J1 B - Butcher Terrace'!$A$12:$A$130,"&lt;"&amp;Diagram!$P87),SUMIFS(INDIRECT(ADDRESS(12,3+18*3+(14),,,"J1 B - Butcher Terrace")&amp;":"&amp;ADDRESS(130,3+18*3+(14))),'J1 B - Butcher Terrace'!$A$12:$A$130,"&gt;="&amp;Diagram!$O87,'J1 B - Butcher Terrace'!$A$12:$A$130,"&lt;"&amp;Diagram!$P87)))</f>
        <v>0</v>
      </c>
      <c r="DW87" s="42">
        <f ca="1">IF(OR($I$10="",$O87="",$P87="",$J$41&lt;&gt;"Yes"),0,IF($K$10=0,SUMIFS(INDIRECT(ADDRESS(12,3+18*0+(6),,,"J1 B - Butcher Terrace")&amp;":"&amp;ADDRESS(130,3+18*0+(6))),'J1 B - Butcher Terrace'!$A$12:$A$130,"&gt;="&amp;Diagram!$O87,'J1 B - Butcher Terrace'!$A$12:$A$130,"&lt;"&amp;Diagram!$P87),SUMIFS(INDIRECT(ADDRESS(12,3+18*0+(14),,,"J1 B - Butcher Terrace")&amp;":"&amp;ADDRESS(130,3+18*0+(14))),'J1 B - Butcher Terrace'!$A$12:$A$130,"&gt;="&amp;Diagram!$O87,'J1 B - Butcher Terrace'!$A$12:$A$130,"&lt;"&amp;Diagram!$P87)))</f>
        <v>0</v>
      </c>
      <c r="DX87" s="42">
        <f ca="1">IF(OR($I$10="",$O87="",$P87="",$J$41&lt;&gt;"Yes"),0,IF($K$10=0,SUMIFS(INDIRECT(ADDRESS(12,3+18*1+(6),,,"J1 B - Butcher Terrace")&amp;":"&amp;ADDRESS(130,3+18*1+(6))),'J1 B - Butcher Terrace'!$A$12:$A$130,"&gt;="&amp;Diagram!$O87,'J1 B - Butcher Terrace'!$A$12:$A$130,"&lt;"&amp;Diagram!$P87),SUMIFS(INDIRECT(ADDRESS(12,3+18*1+(14),,,"J1 B - Butcher Terrace")&amp;":"&amp;ADDRESS(130,3+18*1+(14))),'J1 B - Butcher Terrace'!$A$12:$A$130,"&gt;="&amp;Diagram!$O87,'J1 B - Butcher Terrace'!$A$12:$A$130,"&lt;"&amp;Diagram!$P87)))</f>
        <v>2</v>
      </c>
      <c r="DY87" s="42">
        <f ca="1">IF(OR($I$10="",$O87="",$P87="",$J$41&lt;&gt;"Yes"),0,IF($K$10=0,SUMIFS(INDIRECT(ADDRESS(12,3+18*1+(6),,,"J1 C - (South) Bishopthorpe Roa")&amp;":"&amp;ADDRESS(130,3+18*1+(6))),'J1 C - (South) Bishopthorpe Roa'!$A$12:$A$130,"&gt;="&amp;Diagram!$O87,'J1 C - (South) Bishopthorpe Roa'!$A$12:$A$130,"&lt;"&amp;Diagram!$P87),SUMIFS(INDIRECT(ADDRESS(12,3+18*1+(14),,,"J1 C - (South) Bishopthorpe Roa")&amp;":"&amp;ADDRESS(130,3+18*1+(14))),'J1 C - (South) Bishopthorpe Roa'!$A$12:$A$130,"&gt;="&amp;Diagram!$O87,'J1 C - (South) Bishopthorpe Roa'!$A$12:$A$130,"&lt;"&amp;Diagram!$P87)))</f>
        <v>0</v>
      </c>
      <c r="DZ87" s="42">
        <f ca="1">IF(OR($I$10="",$O87="",$P87="",$J$41&lt;&gt;"Yes"),0,IF($K$10=0,SUMIFS(INDIRECT(ADDRESS(12,3+18*2+(6),,,"J1 C - (South) Bishopthorpe Roa")&amp;":"&amp;ADDRESS(130,3+18*2+(6))),'J1 C - (South) Bishopthorpe Roa'!$A$12:$A$130,"&gt;="&amp;Diagram!$O87,'J1 C - (South) Bishopthorpe Roa'!$A$12:$A$130,"&lt;"&amp;Diagram!$P87),SUMIFS(INDIRECT(ADDRESS(12,3+18*2+(14),,,"J1 C - (South) Bishopthorpe Roa")&amp;":"&amp;ADDRESS(130,3+18*2+(14))),'J1 C - (South) Bishopthorpe Roa'!$A$12:$A$130,"&gt;="&amp;Diagram!$O87,'J1 C - (South) Bishopthorpe Roa'!$A$12:$A$130,"&lt;"&amp;Diagram!$P87)))</f>
        <v>0</v>
      </c>
      <c r="EA87" s="42">
        <f ca="1">IF(OR($I$10="",$O87="",$P87="",$J$41&lt;&gt;"Yes"),0,IF($K$10=0,SUMIFS(INDIRECT(ADDRESS(12,3+18*3+(6),,,"J1 C - (South) Bishopthorpe Roa")&amp;":"&amp;ADDRESS(130,3+18*3+(6))),'J1 C - (South) Bishopthorpe Roa'!$A$12:$A$130,"&gt;="&amp;Diagram!$O87,'J1 C - (South) Bishopthorpe Roa'!$A$12:$A$130,"&lt;"&amp;Diagram!$P87),SUMIFS(INDIRECT(ADDRESS(12,3+18*3+(14),,,"J1 C - (South) Bishopthorpe Roa")&amp;":"&amp;ADDRESS(130,3+18*3+(14))),'J1 C - (South) Bishopthorpe Roa'!$A$12:$A$130,"&gt;="&amp;Diagram!$O87,'J1 C - (South) Bishopthorpe Roa'!$A$12:$A$130,"&lt;"&amp;Diagram!$P87)))</f>
        <v>0</v>
      </c>
      <c r="EB87" s="42">
        <f ca="1">IF(OR($I$10="",$O87="",$P87="",$J$41&lt;&gt;"Yes"),0,IF($K$10=0,SUMIFS(INDIRECT(ADDRESS(12,3+18*0+(6),,,"J1 C - (South) Bishopthorpe Roa")&amp;":"&amp;ADDRESS(130,3+18*0+(6))),'J1 C - (South) Bishopthorpe Roa'!$A$12:$A$130,"&gt;="&amp;Diagram!$O87,'J1 C - (South) Bishopthorpe Roa'!$A$12:$A$130,"&lt;"&amp;Diagram!$P87),SUMIFS(INDIRECT(ADDRESS(12,3+18*0+(14),,,"J1 C - (South) Bishopthorpe Roa")&amp;":"&amp;ADDRESS(130,3+18*0+(14))),'J1 C - (South) Bishopthorpe Roa'!$A$12:$A$130,"&gt;="&amp;Diagram!$O87,'J1 C - (South) Bishopthorpe Roa'!$A$12:$A$130,"&lt;"&amp;Diagram!$P87)))</f>
        <v>0</v>
      </c>
      <c r="EC87" s="42">
        <f ca="1">IF(OR($I$10="",$O87="",$P87="",$J$41&lt;&gt;"Yes"),0,IF($K$10=0,SUMIFS(INDIRECT(ADDRESS(12,3+18*0+(6),,,"J1 D - South Bank Avenue")&amp;":"&amp;ADDRESS(130,3+18*0+(6))),'J1 D - South Bank Avenue'!$A$12:$A$130,"&gt;="&amp;Diagram!$O87,'J1 D - South Bank Avenue'!$A$12:$A$130,"&lt;"&amp;Diagram!$P87),SUMIFS(INDIRECT(ADDRESS(12,3+18*0+(14),,,"J1 D - South Bank Avenue")&amp;":"&amp;ADDRESS(130,3+18*0+(14))),'J1 D - South Bank Avenue'!$A$12:$A$130,"&gt;="&amp;Diagram!$O87,'J1 D - South Bank Avenue'!$A$12:$A$130,"&lt;"&amp;Diagram!$P87)))</f>
        <v>0</v>
      </c>
      <c r="ED87" s="42">
        <f ca="1">IF(OR($I$10="",$O87="",$P87="",$J$41&lt;&gt;"Yes"),0,IF($K$10=0,SUMIFS(INDIRECT(ADDRESS(12,3+18*1+(6),,,"J1 D - South Bank Avenue")&amp;":"&amp;ADDRESS(130,3+18*1+(6))),'J1 D - South Bank Avenue'!$A$12:$A$130,"&gt;="&amp;Diagram!$O87,'J1 D - South Bank Avenue'!$A$12:$A$130,"&lt;"&amp;Diagram!$P87),SUMIFS(INDIRECT(ADDRESS(12,3+18*1+(14),,,"J1 D - South Bank Avenue")&amp;":"&amp;ADDRESS(130,3+18*1+(14))),'J1 D - South Bank Avenue'!$A$12:$A$130,"&gt;="&amp;Diagram!$O87,'J1 D - South Bank Avenue'!$A$12:$A$130,"&lt;"&amp;Diagram!$P87)))</f>
        <v>2</v>
      </c>
      <c r="EE87" s="42">
        <f ca="1">IF(OR($I$10="",$O87="",$P87="",$J$41&lt;&gt;"Yes"),0,IF($K$10=0,SUMIFS(INDIRECT(ADDRESS(12,3+18*2+(6),,,"J1 D - South Bank Avenue")&amp;":"&amp;ADDRESS(130,3+18*2+(6))),'J1 D - South Bank Avenue'!$A$12:$A$130,"&gt;="&amp;Diagram!$O87,'J1 D - South Bank Avenue'!$A$12:$A$130,"&lt;"&amp;Diagram!$P87),SUMIFS(INDIRECT(ADDRESS(12,3+18*2+(14),,,"J1 D - South Bank Avenue")&amp;":"&amp;ADDRESS(130,3+18*2+(14))),'J1 D - South Bank Avenue'!$A$12:$A$130,"&gt;="&amp;Diagram!$O87,'J1 D - South Bank Avenue'!$A$12:$A$130,"&lt;"&amp;Diagram!$P87)))</f>
        <v>0</v>
      </c>
      <c r="EF87" s="42">
        <f ca="1">IF(OR($I$10="",$O87="",$P87="",$J$41&lt;&gt;"Yes"),0,IF($K$10=0,SUMIFS(INDIRECT(ADDRESS(12,3+18*3+(6),,,"J1 D - South Bank Avenue")&amp;":"&amp;ADDRESS(130,3+18*3+(6))),'J1 D - South Bank Avenue'!$A$12:$A$130,"&gt;="&amp;Diagram!$O87,'J1 D - South Bank Avenue'!$A$12:$A$130,"&lt;"&amp;Diagram!$P87),SUMIFS(INDIRECT(ADDRESS(12,3+18*3+(14),,,"J1 D - South Bank Avenue")&amp;":"&amp;ADDRESS(130,3+18*3+(14))),'J1 D - South Bank Avenue'!$A$12:$A$130,"&gt;="&amp;Diagram!$O87,'J1 D - South Bank Avenue'!$A$12:$A$130,"&lt;"&amp;Diagram!$P87)))</f>
        <v>0</v>
      </c>
      <c r="EG87" s="42">
        <f t="shared" ca="1" si="18"/>
        <v>0</v>
      </c>
      <c r="EH87" s="42">
        <f ca="1">IF(OR($I$10="",$O87="",$P87="",$J$42&lt;&gt;"Yes"),0,IF($K$10=0,SUMIFS(INDIRECT(ADDRESS(12,3+18*3+(7),,,"J1 A - (North) Bishopthorpe Roa")&amp;":"&amp;ADDRESS(130,3+18*3+(7))),'J1 A - (North) Bishopthorpe Roa'!$A$12:$A$130,"&gt;="&amp;Diagram!$O87,'J1 A - (North) Bishopthorpe Roa'!$A$12:$A$130,"&lt;"&amp;Diagram!$P87),SUMIFS(INDIRECT(ADDRESS(12,3+18*3+(15),,,"J1 A - (North) Bishopthorpe Roa")&amp;":"&amp;ADDRESS(130,3+18*3+(15))),'J1 A - (North) Bishopthorpe Roa'!$A$12:$A$130,"&gt;="&amp;Diagram!$O87,'J1 A - (North) Bishopthorpe Roa'!$A$12:$A$130,"&lt;"&amp;Diagram!$P87)))</f>
        <v>0</v>
      </c>
      <c r="EI87" s="42">
        <f ca="1">IF(OR($I$10="",$O87="",$P87="",$J$42&lt;&gt;"Yes"),0,IF($K$10=0,SUMIFS(INDIRECT(ADDRESS(12,3+18*0+(7),,,"J1 A - (North) Bishopthorpe Roa")&amp;":"&amp;ADDRESS(130,3+18*0+(7))),'J1 A - (North) Bishopthorpe Roa'!$A$12:$A$130,"&gt;="&amp;Diagram!$O87,'J1 A - (North) Bishopthorpe Roa'!$A$12:$A$130,"&lt;"&amp;Diagram!$P87),SUMIFS(INDIRECT(ADDRESS(12,3+18*0+(15),,,"J1 A - (North) Bishopthorpe Roa")&amp;":"&amp;ADDRESS(130,3+18*0+(15))),'J1 A - (North) Bishopthorpe Roa'!$A$12:$A$130,"&gt;="&amp;Diagram!$O87,'J1 A - (North) Bishopthorpe Roa'!$A$12:$A$130,"&lt;"&amp;Diagram!$P87)))</f>
        <v>0</v>
      </c>
      <c r="EJ87" s="42">
        <f ca="1">IF(OR($I$10="",$O87="",$P87="",$J$42&lt;&gt;"Yes"),0,IF($K$10=0,SUMIFS(INDIRECT(ADDRESS(12,3+18*1+(7),,,"J1 A - (North) Bishopthorpe Roa")&amp;":"&amp;ADDRESS(130,3+18*1+(7))),'J1 A - (North) Bishopthorpe Roa'!$A$12:$A$130,"&gt;="&amp;Diagram!$O87,'J1 A - (North) Bishopthorpe Roa'!$A$12:$A$130,"&lt;"&amp;Diagram!$P87),SUMIFS(INDIRECT(ADDRESS(12,3+18*1+(15),,,"J1 A - (North) Bishopthorpe Roa")&amp;":"&amp;ADDRESS(130,3+18*1+(15))),'J1 A - (North) Bishopthorpe Roa'!$A$12:$A$130,"&gt;="&amp;Diagram!$O87,'J1 A - (North) Bishopthorpe Roa'!$A$12:$A$130,"&lt;"&amp;Diagram!$P87)))</f>
        <v>0</v>
      </c>
      <c r="EK87" s="42">
        <f ca="1">IF(OR($I$10="",$O87="",$P87="",$J$42&lt;&gt;"Yes"),0,IF($K$10=0,SUMIFS(INDIRECT(ADDRESS(12,3+18*2+(7),,,"J1 A - (North) Bishopthorpe Roa")&amp;":"&amp;ADDRESS(130,3+18*2+(7))),'J1 A - (North) Bishopthorpe Roa'!$A$12:$A$130,"&gt;="&amp;Diagram!$O87,'J1 A - (North) Bishopthorpe Roa'!$A$12:$A$130,"&lt;"&amp;Diagram!$P87),SUMIFS(INDIRECT(ADDRESS(12,3+18*2+(15),,,"J1 A - (North) Bishopthorpe Roa")&amp;":"&amp;ADDRESS(130,3+18*2+(15))),'J1 A - (North) Bishopthorpe Roa'!$A$12:$A$130,"&gt;="&amp;Diagram!$O87,'J1 A - (North) Bishopthorpe Roa'!$A$12:$A$130,"&lt;"&amp;Diagram!$P87)))</f>
        <v>0</v>
      </c>
      <c r="EL87" s="42">
        <f ca="1">IF(OR($I$10="",$O87="",$P87="",$J$42&lt;&gt;"Yes"),0,IF($K$10=0,SUMIFS(INDIRECT(ADDRESS(12,3+18*2+(7),,,"J1 B - Butcher Terrace")&amp;":"&amp;ADDRESS(130,3+18*2+(7))),'J1 B - Butcher Terrace'!$A$12:$A$130,"&gt;="&amp;Diagram!$O87,'J1 B - Butcher Terrace'!$A$12:$A$130,"&lt;"&amp;Diagram!$P87),SUMIFS(INDIRECT(ADDRESS(12,3+18*2+(15),,,"J1 B - Butcher Terrace")&amp;":"&amp;ADDRESS(130,3+18*2+(15))),'J1 B - Butcher Terrace'!$A$12:$A$130,"&gt;="&amp;Diagram!$O87,'J1 B - Butcher Terrace'!$A$12:$A$130,"&lt;"&amp;Diagram!$P87)))</f>
        <v>0</v>
      </c>
      <c r="EM87" s="42">
        <f ca="1">IF(OR($I$10="",$O87="",$P87="",$J$42&lt;&gt;"Yes"),0,IF($K$10=0,SUMIFS(INDIRECT(ADDRESS(12,3+18*3+(7),,,"J1 B - Butcher Terrace")&amp;":"&amp;ADDRESS(130,3+18*3+(7))),'J1 B - Butcher Terrace'!$A$12:$A$130,"&gt;="&amp;Diagram!$O87,'J1 B - Butcher Terrace'!$A$12:$A$130,"&lt;"&amp;Diagram!$P87),SUMIFS(INDIRECT(ADDRESS(12,3+18*3+(15),,,"J1 B - Butcher Terrace")&amp;":"&amp;ADDRESS(130,3+18*3+(15))),'J1 B - Butcher Terrace'!$A$12:$A$130,"&gt;="&amp;Diagram!$O87,'J1 B - Butcher Terrace'!$A$12:$A$130,"&lt;"&amp;Diagram!$P87)))</f>
        <v>0</v>
      </c>
      <c r="EN87" s="42">
        <f ca="1">IF(OR($I$10="",$O87="",$P87="",$J$42&lt;&gt;"Yes"),0,IF($K$10=0,SUMIFS(INDIRECT(ADDRESS(12,3+18*0+(7),,,"J1 B - Butcher Terrace")&amp;":"&amp;ADDRESS(130,3+18*0+(7))),'J1 B - Butcher Terrace'!$A$12:$A$130,"&gt;="&amp;Diagram!$O87,'J1 B - Butcher Terrace'!$A$12:$A$130,"&lt;"&amp;Diagram!$P87),SUMIFS(INDIRECT(ADDRESS(12,3+18*0+(15),,,"J1 B - Butcher Terrace")&amp;":"&amp;ADDRESS(130,3+18*0+(15))),'J1 B - Butcher Terrace'!$A$12:$A$130,"&gt;="&amp;Diagram!$O87,'J1 B - Butcher Terrace'!$A$12:$A$130,"&lt;"&amp;Diagram!$P87)))</f>
        <v>0</v>
      </c>
      <c r="EO87" s="42">
        <f ca="1">IF(OR($I$10="",$O87="",$P87="",$J$42&lt;&gt;"Yes"),0,IF($K$10=0,SUMIFS(INDIRECT(ADDRESS(12,3+18*1+(7),,,"J1 B - Butcher Terrace")&amp;":"&amp;ADDRESS(130,3+18*1+(7))),'J1 B - Butcher Terrace'!$A$12:$A$130,"&gt;="&amp;Diagram!$O87,'J1 B - Butcher Terrace'!$A$12:$A$130,"&lt;"&amp;Diagram!$P87),SUMIFS(INDIRECT(ADDRESS(12,3+18*1+(15),,,"J1 B - Butcher Terrace")&amp;":"&amp;ADDRESS(130,3+18*1+(15))),'J1 B - Butcher Terrace'!$A$12:$A$130,"&gt;="&amp;Diagram!$O87,'J1 B - Butcher Terrace'!$A$12:$A$130,"&lt;"&amp;Diagram!$P87)))</f>
        <v>0</v>
      </c>
      <c r="EP87" s="42">
        <f ca="1">IF(OR($I$10="",$O87="",$P87="",$J$42&lt;&gt;"Yes"),0,IF($K$10=0,SUMIFS(INDIRECT(ADDRESS(12,3+18*1+(7),,,"J1 C - (South) Bishopthorpe Roa")&amp;":"&amp;ADDRESS(130,3+18*1+(7))),'J1 C - (South) Bishopthorpe Roa'!$A$12:$A$130,"&gt;="&amp;Diagram!$O87,'J1 C - (South) Bishopthorpe Roa'!$A$12:$A$130,"&lt;"&amp;Diagram!$P87),SUMIFS(INDIRECT(ADDRESS(12,3+18*1+(15),,,"J1 C - (South) Bishopthorpe Roa")&amp;":"&amp;ADDRESS(130,3+18*1+(15))),'J1 C - (South) Bishopthorpe Roa'!$A$12:$A$130,"&gt;="&amp;Diagram!$O87,'J1 C - (South) Bishopthorpe Roa'!$A$12:$A$130,"&lt;"&amp;Diagram!$P87)))</f>
        <v>0</v>
      </c>
      <c r="EQ87" s="42">
        <f ca="1">IF(OR($I$10="",$O87="",$P87="",$J$42&lt;&gt;"Yes"),0,IF($K$10=0,SUMIFS(INDIRECT(ADDRESS(12,3+18*2+(7),,,"J1 C - (South) Bishopthorpe Roa")&amp;":"&amp;ADDRESS(130,3+18*2+(7))),'J1 C - (South) Bishopthorpe Roa'!$A$12:$A$130,"&gt;="&amp;Diagram!$O87,'J1 C - (South) Bishopthorpe Roa'!$A$12:$A$130,"&lt;"&amp;Diagram!$P87),SUMIFS(INDIRECT(ADDRESS(12,3+18*2+(15),,,"J1 C - (South) Bishopthorpe Roa")&amp;":"&amp;ADDRESS(130,3+18*2+(15))),'J1 C - (South) Bishopthorpe Roa'!$A$12:$A$130,"&gt;="&amp;Diagram!$O87,'J1 C - (South) Bishopthorpe Roa'!$A$12:$A$130,"&lt;"&amp;Diagram!$P87)))</f>
        <v>0</v>
      </c>
      <c r="ER87" s="42">
        <f ca="1">IF(OR($I$10="",$O87="",$P87="",$J$42&lt;&gt;"Yes"),0,IF($K$10=0,SUMIFS(INDIRECT(ADDRESS(12,3+18*3+(7),,,"J1 C - (South) Bishopthorpe Roa")&amp;":"&amp;ADDRESS(130,3+18*3+(7))),'J1 C - (South) Bishopthorpe Roa'!$A$12:$A$130,"&gt;="&amp;Diagram!$O87,'J1 C - (South) Bishopthorpe Roa'!$A$12:$A$130,"&lt;"&amp;Diagram!$P87),SUMIFS(INDIRECT(ADDRESS(12,3+18*3+(15),,,"J1 C - (South) Bishopthorpe Roa")&amp;":"&amp;ADDRESS(130,3+18*3+(15))),'J1 C - (South) Bishopthorpe Roa'!$A$12:$A$130,"&gt;="&amp;Diagram!$O87,'J1 C - (South) Bishopthorpe Roa'!$A$12:$A$130,"&lt;"&amp;Diagram!$P87)))</f>
        <v>0</v>
      </c>
      <c r="ES87" s="42">
        <f ca="1">IF(OR($I$10="",$O87="",$P87="",$J$42&lt;&gt;"Yes"),0,IF($K$10=0,SUMIFS(INDIRECT(ADDRESS(12,3+18*0+(7),,,"J1 C - (South) Bishopthorpe Roa")&amp;":"&amp;ADDRESS(130,3+18*0+(7))),'J1 C - (South) Bishopthorpe Roa'!$A$12:$A$130,"&gt;="&amp;Diagram!$O87,'J1 C - (South) Bishopthorpe Roa'!$A$12:$A$130,"&lt;"&amp;Diagram!$P87),SUMIFS(INDIRECT(ADDRESS(12,3+18*0+(15),,,"J1 C - (South) Bishopthorpe Roa")&amp;":"&amp;ADDRESS(130,3+18*0+(15))),'J1 C - (South) Bishopthorpe Roa'!$A$12:$A$130,"&gt;="&amp;Diagram!$O87,'J1 C - (South) Bishopthorpe Roa'!$A$12:$A$130,"&lt;"&amp;Diagram!$P87)))</f>
        <v>0</v>
      </c>
      <c r="ET87" s="42">
        <f ca="1">IF(OR($I$10="",$O87="",$P87="",$J$42&lt;&gt;"Yes"),0,IF($K$10=0,SUMIFS(INDIRECT(ADDRESS(12,3+18*0+(7),,,"J1 D - South Bank Avenue")&amp;":"&amp;ADDRESS(130,3+18*0+(7))),'J1 D - South Bank Avenue'!$A$12:$A$130,"&gt;="&amp;Diagram!$O87,'J1 D - South Bank Avenue'!$A$12:$A$130,"&lt;"&amp;Diagram!$P87),SUMIFS(INDIRECT(ADDRESS(12,3+18*0+(15),,,"J1 D - South Bank Avenue")&amp;":"&amp;ADDRESS(130,3+18*0+(15))),'J1 D - South Bank Avenue'!$A$12:$A$130,"&gt;="&amp;Diagram!$O87,'J1 D - South Bank Avenue'!$A$12:$A$130,"&lt;"&amp;Diagram!$P87)))</f>
        <v>0</v>
      </c>
      <c r="EU87" s="42">
        <f ca="1">IF(OR($I$10="",$O87="",$P87="",$J$42&lt;&gt;"Yes"),0,IF($K$10=0,SUMIFS(INDIRECT(ADDRESS(12,3+18*1+(7),,,"J1 D - South Bank Avenue")&amp;":"&amp;ADDRESS(130,3+18*1+(7))),'J1 D - South Bank Avenue'!$A$12:$A$130,"&gt;="&amp;Diagram!$O87,'J1 D - South Bank Avenue'!$A$12:$A$130,"&lt;"&amp;Diagram!$P87),SUMIFS(INDIRECT(ADDRESS(12,3+18*1+(15),,,"J1 D - South Bank Avenue")&amp;":"&amp;ADDRESS(130,3+18*1+(15))),'J1 D - South Bank Avenue'!$A$12:$A$130,"&gt;="&amp;Diagram!$O87,'J1 D - South Bank Avenue'!$A$12:$A$130,"&lt;"&amp;Diagram!$P87)))</f>
        <v>0</v>
      </c>
      <c r="EV87" s="42">
        <f ca="1">IF(OR($I$10="",$O87="",$P87="",$J$42&lt;&gt;"Yes"),0,IF($K$10=0,SUMIFS(INDIRECT(ADDRESS(12,3+18*2+(7),,,"J1 D - South Bank Avenue")&amp;":"&amp;ADDRESS(130,3+18*2+(7))),'J1 D - South Bank Avenue'!$A$12:$A$130,"&gt;="&amp;Diagram!$O87,'J1 D - South Bank Avenue'!$A$12:$A$130,"&lt;"&amp;Diagram!$P87),SUMIFS(INDIRECT(ADDRESS(12,3+18*2+(15),,,"J1 D - South Bank Avenue")&amp;":"&amp;ADDRESS(130,3+18*2+(15))),'J1 D - South Bank Avenue'!$A$12:$A$130,"&gt;="&amp;Diagram!$O87,'J1 D - South Bank Avenue'!$A$12:$A$130,"&lt;"&amp;Diagram!$P87)))</f>
        <v>0</v>
      </c>
      <c r="EW87" s="42">
        <f ca="1">IF(OR($I$10="",$O87="",$P87="",$J$42&lt;&gt;"Yes"),0,IF($K$10=0,SUMIFS(INDIRECT(ADDRESS(12,3+18*3+(7),,,"J1 D - South Bank Avenue")&amp;":"&amp;ADDRESS(130,3+18*3+(7))),'J1 D - South Bank Avenue'!$A$12:$A$130,"&gt;="&amp;Diagram!$O87,'J1 D - South Bank Avenue'!$A$12:$A$130,"&lt;"&amp;Diagram!$P87),SUMIFS(INDIRECT(ADDRESS(12,3+18*3+(15),,,"J1 D - South Bank Avenue")&amp;":"&amp;ADDRESS(130,3+18*3+(15))),'J1 D - South Bank Avenue'!$A$12:$A$130,"&gt;="&amp;Diagram!$O87,'J1 D - South Bank Avenue'!$A$12:$A$130,"&lt;"&amp;Diagram!$P87)))</f>
        <v>0</v>
      </c>
    </row>
    <row r="88" spans="1:153">
      <c r="A88" s="1">
        <v>44395.90625</v>
      </c>
      <c r="B88" s="1">
        <v>44395.916666666701</v>
      </c>
      <c r="O88" s="3">
        <v>44395.90625</v>
      </c>
      <c r="P88" s="3">
        <v>44395.947916666701</v>
      </c>
      <c r="Q88" s="42">
        <f t="shared" ca="1" si="10"/>
        <v>242</v>
      </c>
      <c r="R88" s="42">
        <f t="shared" ca="1" si="11"/>
        <v>180</v>
      </c>
      <c r="S88" s="42">
        <f ca="1">IF(OR($I$10="",$O88="",$P88="",$J$35&lt;&gt;"Yes"),0,IF($K$10=0,SUMIFS(INDIRECT(ADDRESS(12,3+18*3+(0),,,"J1 A - (North) Bishopthorpe Roa")&amp;":"&amp;ADDRESS(130,3+18*3+(0))),'J1 A - (North) Bishopthorpe Roa'!$A$12:$A$130,"&gt;="&amp;Diagram!$O88,'J1 A - (North) Bishopthorpe Roa'!$A$12:$A$130,"&lt;"&amp;Diagram!$P88),SUMIFS(INDIRECT(ADDRESS(12,3+18*3+(8),,,"J1 A - (North) Bishopthorpe Roa")&amp;":"&amp;ADDRESS(130,3+18*3+(8))),'J1 A - (North) Bishopthorpe Roa'!$A$12:$A$130,"&gt;="&amp;Diagram!$O88,'J1 A - (North) Bishopthorpe Roa'!$A$12:$A$130,"&lt;"&amp;Diagram!$P88)))</f>
        <v>0</v>
      </c>
      <c r="T88" s="42">
        <f ca="1">IF(OR($I$10="",$O88="",$P88="",$J$35&lt;&gt;"Yes"),0,IF($K$10=0,SUMIFS(INDIRECT(ADDRESS(12,3+18*0+(0),,,"J1 A - (North) Bishopthorpe Roa")&amp;":"&amp;ADDRESS(130,3+18*0+(0))),'J1 A - (North) Bishopthorpe Roa'!$A$12:$A$130,"&gt;="&amp;Diagram!$O88,'J1 A - (North) Bishopthorpe Roa'!$A$12:$A$130,"&lt;"&amp;Diagram!$P88),SUMIFS(INDIRECT(ADDRESS(12,3+18*0+(8),,,"J1 A - (North) Bishopthorpe Roa")&amp;":"&amp;ADDRESS(130,3+18*0+(8))),'J1 A - (North) Bishopthorpe Roa'!$A$12:$A$130,"&gt;="&amp;Diagram!$O88,'J1 A - (North) Bishopthorpe Roa'!$A$12:$A$130,"&lt;"&amp;Diagram!$P88)))</f>
        <v>9</v>
      </c>
      <c r="U88" s="42">
        <f ca="1">IF(OR($I$10="",$O88="",$P88="",$J$35&lt;&gt;"Yes"),0,IF($K$10=0,SUMIFS(INDIRECT(ADDRESS(12,3+18*1+(0),,,"J1 A - (North) Bishopthorpe Roa")&amp;":"&amp;ADDRESS(130,3+18*1+(0))),'J1 A - (North) Bishopthorpe Roa'!$A$12:$A$130,"&gt;="&amp;Diagram!$O88,'J1 A - (North) Bishopthorpe Roa'!$A$12:$A$130,"&lt;"&amp;Diagram!$P88),SUMIFS(INDIRECT(ADDRESS(12,3+18*1+(8),,,"J1 A - (North) Bishopthorpe Roa")&amp;":"&amp;ADDRESS(130,3+18*1+(8))),'J1 A - (North) Bishopthorpe Roa'!$A$12:$A$130,"&gt;="&amp;Diagram!$O88,'J1 A - (North) Bishopthorpe Roa'!$A$12:$A$130,"&lt;"&amp;Diagram!$P88)))</f>
        <v>77</v>
      </c>
      <c r="V88" s="42">
        <f ca="1">IF(OR($I$10="",$O88="",$P88="",$J$35&lt;&gt;"Yes"),0,IF($K$10=0,SUMIFS(INDIRECT(ADDRESS(12,3+18*2+(0),,,"J1 A - (North) Bishopthorpe Roa")&amp;":"&amp;ADDRESS(130,3+18*2+(0))),'J1 A - (North) Bishopthorpe Roa'!$A$12:$A$130,"&gt;="&amp;Diagram!$O88,'J1 A - (North) Bishopthorpe Roa'!$A$12:$A$130,"&lt;"&amp;Diagram!$P88),SUMIFS(INDIRECT(ADDRESS(12,3+18*2+(8),,,"J1 A - (North) Bishopthorpe Roa")&amp;":"&amp;ADDRESS(130,3+18*2+(8))),'J1 A - (North) Bishopthorpe Roa'!$A$12:$A$130,"&gt;="&amp;Diagram!$O88,'J1 A - (North) Bishopthorpe Roa'!$A$12:$A$130,"&lt;"&amp;Diagram!$P88)))</f>
        <v>15</v>
      </c>
      <c r="W88" s="42">
        <f ca="1">IF(OR($I$10="",$O88="",$P88="",$J$35&lt;&gt;"Yes"),0,IF($K$10=0,SUMIFS(INDIRECT(ADDRESS(12,3+18*2+(0),,,"J1 B - Butcher Terrace")&amp;":"&amp;ADDRESS(130,3+18*2+(0))),'J1 B - Butcher Terrace'!$A$12:$A$130,"&gt;="&amp;Diagram!$O88,'J1 B - Butcher Terrace'!$A$12:$A$130,"&lt;"&amp;Diagram!$P88),SUMIFS(INDIRECT(ADDRESS(12,3+18*2+(8),,,"J1 B - Butcher Terrace")&amp;":"&amp;ADDRESS(130,3+18*2+(8))),'J1 B - Butcher Terrace'!$A$12:$A$130,"&gt;="&amp;Diagram!$O88,'J1 B - Butcher Terrace'!$A$12:$A$130,"&lt;"&amp;Diagram!$P88)))</f>
        <v>6</v>
      </c>
      <c r="X88" s="42">
        <f ca="1">IF(OR($I$10="",$O88="",$P88="",$J$35&lt;&gt;"Yes"),0,IF($K$10=0,SUMIFS(INDIRECT(ADDRESS(12,3+18*3+(0),,,"J1 B - Butcher Terrace")&amp;":"&amp;ADDRESS(130,3+18*3+(0))),'J1 B - Butcher Terrace'!$A$12:$A$130,"&gt;="&amp;Diagram!$O88,'J1 B - Butcher Terrace'!$A$12:$A$130,"&lt;"&amp;Diagram!$P88),SUMIFS(INDIRECT(ADDRESS(12,3+18*3+(8),,,"J1 B - Butcher Terrace")&amp;":"&amp;ADDRESS(130,3+18*3+(8))),'J1 B - Butcher Terrace'!$A$12:$A$130,"&gt;="&amp;Diagram!$O88,'J1 B - Butcher Terrace'!$A$12:$A$130,"&lt;"&amp;Diagram!$P88)))</f>
        <v>0</v>
      </c>
      <c r="Y88" s="42">
        <f ca="1">IF(OR($I$10="",$O88="",$P88="",$J$35&lt;&gt;"Yes"),0,IF($K$10=0,SUMIFS(INDIRECT(ADDRESS(12,3+18*0+(0),,,"J1 B - Butcher Terrace")&amp;":"&amp;ADDRESS(130,3+18*0+(0))),'J1 B - Butcher Terrace'!$A$12:$A$130,"&gt;="&amp;Diagram!$O88,'J1 B - Butcher Terrace'!$A$12:$A$130,"&lt;"&amp;Diagram!$P88),SUMIFS(INDIRECT(ADDRESS(12,3+18*0+(8),,,"J1 B - Butcher Terrace")&amp;":"&amp;ADDRESS(130,3+18*0+(8))),'J1 B - Butcher Terrace'!$A$12:$A$130,"&gt;="&amp;Diagram!$O88,'J1 B - Butcher Terrace'!$A$12:$A$130,"&lt;"&amp;Diagram!$P88)))</f>
        <v>0</v>
      </c>
      <c r="Z88" s="42">
        <f ca="1">IF(OR($I$10="",$O88="",$P88="",$J$35&lt;&gt;"Yes"),0,IF($K$10=0,SUMIFS(INDIRECT(ADDRESS(12,3+18*1+(0),,,"J1 B - Butcher Terrace")&amp;":"&amp;ADDRESS(130,3+18*1+(0))),'J1 B - Butcher Terrace'!$A$12:$A$130,"&gt;="&amp;Diagram!$O88,'J1 B - Butcher Terrace'!$A$12:$A$130,"&lt;"&amp;Diagram!$P88),SUMIFS(INDIRECT(ADDRESS(12,3+18*1+(8),,,"J1 B - Butcher Terrace")&amp;":"&amp;ADDRESS(130,3+18*1+(8))),'J1 B - Butcher Terrace'!$A$12:$A$130,"&gt;="&amp;Diagram!$O88,'J1 B - Butcher Terrace'!$A$12:$A$130,"&lt;"&amp;Diagram!$P88)))</f>
        <v>1</v>
      </c>
      <c r="AA88" s="42">
        <f ca="1">IF(OR($I$10="",$O88="",$P88="",$J$35&lt;&gt;"Yes"),0,IF($K$10=0,SUMIFS(INDIRECT(ADDRESS(12,3+18*1+(0),,,"J1 C - (South) Bishopthorpe Roa")&amp;":"&amp;ADDRESS(130,3+18*1+(0))),'J1 C - (South) Bishopthorpe Roa'!$A$12:$A$130,"&gt;="&amp;Diagram!$O88,'J1 C - (South) Bishopthorpe Roa'!$A$12:$A$130,"&lt;"&amp;Diagram!$P88),SUMIFS(INDIRECT(ADDRESS(12,3+18*1+(8),,,"J1 C - (South) Bishopthorpe Roa")&amp;":"&amp;ADDRESS(130,3+18*1+(8))),'J1 C - (South) Bishopthorpe Roa'!$A$12:$A$130,"&gt;="&amp;Diagram!$O88,'J1 C - (South) Bishopthorpe Roa'!$A$12:$A$130,"&lt;"&amp;Diagram!$P88)))</f>
        <v>55</v>
      </c>
      <c r="AB88" s="42">
        <f ca="1">IF(OR($I$10="",$O88="",$P88="",$J$35&lt;&gt;"Yes"),0,IF($K$10=0,SUMIFS(INDIRECT(ADDRESS(12,3+18*2+(0),,,"J1 C - (South) Bishopthorpe Roa")&amp;":"&amp;ADDRESS(130,3+18*2+(0))),'J1 C - (South) Bishopthorpe Roa'!$A$12:$A$130,"&gt;="&amp;Diagram!$O88,'J1 C - (South) Bishopthorpe Roa'!$A$12:$A$130,"&lt;"&amp;Diagram!$P88),SUMIFS(INDIRECT(ADDRESS(12,3+18*2+(8),,,"J1 C - (South) Bishopthorpe Roa")&amp;":"&amp;ADDRESS(130,3+18*2+(8))),'J1 C - (South) Bishopthorpe Roa'!$A$12:$A$130,"&gt;="&amp;Diagram!$O88,'J1 C - (South) Bishopthorpe Roa'!$A$12:$A$130,"&lt;"&amp;Diagram!$P88)))</f>
        <v>5</v>
      </c>
      <c r="AC88" s="42">
        <f ca="1">IF(OR($I$10="",$O88="",$P88="",$J$35&lt;&gt;"Yes"),0,IF($K$10=0,SUMIFS(INDIRECT(ADDRESS(12,3+18*3+(0),,,"J1 C - (South) Bishopthorpe Roa")&amp;":"&amp;ADDRESS(130,3+18*3+(0))),'J1 C - (South) Bishopthorpe Roa'!$A$12:$A$130,"&gt;="&amp;Diagram!$O88,'J1 C - (South) Bishopthorpe Roa'!$A$12:$A$130,"&lt;"&amp;Diagram!$P88),SUMIFS(INDIRECT(ADDRESS(12,3+18*3+(8),,,"J1 C - (South) Bishopthorpe Roa")&amp;":"&amp;ADDRESS(130,3+18*3+(8))),'J1 C - (South) Bishopthorpe Roa'!$A$12:$A$130,"&gt;="&amp;Diagram!$O88,'J1 C - (South) Bishopthorpe Roa'!$A$12:$A$130,"&lt;"&amp;Diagram!$P88)))</f>
        <v>0</v>
      </c>
      <c r="AD88" s="42">
        <f ca="1">IF(OR($I$10="",$O88="",$P88="",$J$35&lt;&gt;"Yes"),0,IF($K$10=0,SUMIFS(INDIRECT(ADDRESS(12,3+18*0+(0),,,"J1 C - (South) Bishopthorpe Roa")&amp;":"&amp;ADDRESS(130,3+18*0+(0))),'J1 C - (South) Bishopthorpe Roa'!$A$12:$A$130,"&gt;="&amp;Diagram!$O88,'J1 C - (South) Bishopthorpe Roa'!$A$12:$A$130,"&lt;"&amp;Diagram!$P88),SUMIFS(INDIRECT(ADDRESS(12,3+18*0+(8),,,"J1 C - (South) Bishopthorpe Roa")&amp;":"&amp;ADDRESS(130,3+18*0+(8))),'J1 C - (South) Bishopthorpe Roa'!$A$12:$A$130,"&gt;="&amp;Diagram!$O88,'J1 C - (South) Bishopthorpe Roa'!$A$12:$A$130,"&lt;"&amp;Diagram!$P88)))</f>
        <v>3</v>
      </c>
      <c r="AE88" s="42">
        <f ca="1">IF(OR($I$10="",$O88="",$P88="",$J$35&lt;&gt;"Yes"),0,IF($K$10=0,SUMIFS(INDIRECT(ADDRESS(12,3+18*0+(0),,,"J1 D - South Bank Avenue")&amp;":"&amp;ADDRESS(130,3+18*0+(0))),'J1 D - South Bank Avenue'!$A$12:$A$130,"&gt;="&amp;Diagram!$O88,'J1 D - South Bank Avenue'!$A$12:$A$130,"&lt;"&amp;Diagram!$P88),SUMIFS(INDIRECT(ADDRESS(12,3+18*0+(8),,,"J1 D - South Bank Avenue")&amp;":"&amp;ADDRESS(130,3+18*0+(8))),'J1 D - South Bank Avenue'!$A$12:$A$130,"&gt;="&amp;Diagram!$O88,'J1 D - South Bank Avenue'!$A$12:$A$130,"&lt;"&amp;Diagram!$P88)))</f>
        <v>8</v>
      </c>
      <c r="AF88" s="42">
        <f ca="1">IF(OR($I$10="",$O88="",$P88="",$J$35&lt;&gt;"Yes"),0,IF($K$10=0,SUMIFS(INDIRECT(ADDRESS(12,3+18*1+(0),,,"J1 D - South Bank Avenue")&amp;":"&amp;ADDRESS(130,3+18*1+(0))),'J1 D - South Bank Avenue'!$A$12:$A$130,"&gt;="&amp;Diagram!$O88,'J1 D - South Bank Avenue'!$A$12:$A$130,"&lt;"&amp;Diagram!$P88),SUMIFS(INDIRECT(ADDRESS(12,3+18*1+(8),,,"J1 D - South Bank Avenue")&amp;":"&amp;ADDRESS(130,3+18*1+(8))),'J1 D - South Bank Avenue'!$A$12:$A$130,"&gt;="&amp;Diagram!$O88,'J1 D - South Bank Avenue'!$A$12:$A$130,"&lt;"&amp;Diagram!$P88)))</f>
        <v>0</v>
      </c>
      <c r="AG88" s="42">
        <f ca="1">IF(OR($I$10="",$O88="",$P88="",$J$35&lt;&gt;"Yes"),0,IF($K$10=0,SUMIFS(INDIRECT(ADDRESS(12,3+18*2+(0),,,"J1 D - South Bank Avenue")&amp;":"&amp;ADDRESS(130,3+18*2+(0))),'J1 D - South Bank Avenue'!$A$12:$A$130,"&gt;="&amp;Diagram!$O88,'J1 D - South Bank Avenue'!$A$12:$A$130,"&lt;"&amp;Diagram!$P88),SUMIFS(INDIRECT(ADDRESS(12,3+18*2+(8),,,"J1 D - South Bank Avenue")&amp;":"&amp;ADDRESS(130,3+18*2+(8))),'J1 D - South Bank Avenue'!$A$12:$A$130,"&gt;="&amp;Diagram!$O88,'J1 D - South Bank Avenue'!$A$12:$A$130,"&lt;"&amp;Diagram!$P88)))</f>
        <v>1</v>
      </c>
      <c r="AH88" s="42">
        <f ca="1">IF(OR($I$10="",$O88="",$P88="",$J$35&lt;&gt;"Yes"),0,IF($K$10=0,SUMIFS(INDIRECT(ADDRESS(12,3+18*3+(0),,,"J1 D - South Bank Avenue")&amp;":"&amp;ADDRESS(130,3+18*3+(0))),'J1 D - South Bank Avenue'!$A$12:$A$130,"&gt;="&amp;Diagram!$O88,'J1 D - South Bank Avenue'!$A$12:$A$130,"&lt;"&amp;Diagram!$P88),SUMIFS(INDIRECT(ADDRESS(12,3+18*3+(8),,,"J1 D - South Bank Avenue")&amp;":"&amp;ADDRESS(130,3+18*3+(8))),'J1 D - South Bank Avenue'!$A$12:$A$130,"&gt;="&amp;Diagram!$O88,'J1 D - South Bank Avenue'!$A$12:$A$130,"&lt;"&amp;Diagram!$P88)))</f>
        <v>0</v>
      </c>
      <c r="AI88" s="42">
        <f t="shared" ca="1" si="12"/>
        <v>11</v>
      </c>
      <c r="AJ88" s="42">
        <f ca="1">IF(OR($I$10="",$O88="",$P88="",$J$36&lt;&gt;"Yes"),0,IF($K$10=0,SUMIFS(INDIRECT(ADDRESS(12,3+18*3+(1),,,"J1 A - (North) Bishopthorpe Roa")&amp;":"&amp;ADDRESS(130,3+18*3+(1))),'J1 A - (North) Bishopthorpe Roa'!$A$12:$A$130,"&gt;="&amp;Diagram!$O88,'J1 A - (North) Bishopthorpe Roa'!$A$12:$A$130,"&lt;"&amp;Diagram!$P88),SUMIFS(INDIRECT(ADDRESS(12,3+18*3+(9),,,"J1 A - (North) Bishopthorpe Roa")&amp;":"&amp;ADDRESS(130,3+18*3+(9))),'J1 A - (North) Bishopthorpe Roa'!$A$12:$A$130,"&gt;="&amp;Diagram!$O88,'J1 A - (North) Bishopthorpe Roa'!$A$12:$A$130,"&lt;"&amp;Diagram!$P88)))</f>
        <v>0</v>
      </c>
      <c r="AK88" s="42">
        <f ca="1">IF(OR($I$10="",$O88="",$P88="",$J$36&lt;&gt;"Yes"),0,IF($K$10=0,SUMIFS(INDIRECT(ADDRESS(12,3+18*0+(1),,,"J1 A - (North) Bishopthorpe Roa")&amp;":"&amp;ADDRESS(130,3+18*0+(1))),'J1 A - (North) Bishopthorpe Roa'!$A$12:$A$130,"&gt;="&amp;Diagram!$O88,'J1 A - (North) Bishopthorpe Roa'!$A$12:$A$130,"&lt;"&amp;Diagram!$P88),SUMIFS(INDIRECT(ADDRESS(12,3+18*0+(9),,,"J1 A - (North) Bishopthorpe Roa")&amp;":"&amp;ADDRESS(130,3+18*0+(9))),'J1 A - (North) Bishopthorpe Roa'!$A$12:$A$130,"&gt;="&amp;Diagram!$O88,'J1 A - (North) Bishopthorpe Roa'!$A$12:$A$130,"&lt;"&amp;Diagram!$P88)))</f>
        <v>1</v>
      </c>
      <c r="AL88" s="42">
        <f ca="1">IF(OR($I$10="",$O88="",$P88="",$J$36&lt;&gt;"Yes"),0,IF($K$10=0,SUMIFS(INDIRECT(ADDRESS(12,3+18*1+(1),,,"J1 A - (North) Bishopthorpe Roa")&amp;":"&amp;ADDRESS(130,3+18*1+(1))),'J1 A - (North) Bishopthorpe Roa'!$A$12:$A$130,"&gt;="&amp;Diagram!$O88,'J1 A - (North) Bishopthorpe Roa'!$A$12:$A$130,"&lt;"&amp;Diagram!$P88),SUMIFS(INDIRECT(ADDRESS(12,3+18*1+(9),,,"J1 A - (North) Bishopthorpe Roa")&amp;":"&amp;ADDRESS(130,3+18*1+(9))),'J1 A - (North) Bishopthorpe Roa'!$A$12:$A$130,"&gt;="&amp;Diagram!$O88,'J1 A - (North) Bishopthorpe Roa'!$A$12:$A$130,"&lt;"&amp;Diagram!$P88)))</f>
        <v>4</v>
      </c>
      <c r="AM88" s="42">
        <f ca="1">IF(OR($I$10="",$O88="",$P88="",$J$36&lt;&gt;"Yes"),0,IF($K$10=0,SUMIFS(INDIRECT(ADDRESS(12,3+18*2+(1),,,"J1 A - (North) Bishopthorpe Roa")&amp;":"&amp;ADDRESS(130,3+18*2+(1))),'J1 A - (North) Bishopthorpe Roa'!$A$12:$A$130,"&gt;="&amp;Diagram!$O88,'J1 A - (North) Bishopthorpe Roa'!$A$12:$A$130,"&lt;"&amp;Diagram!$P88),SUMIFS(INDIRECT(ADDRESS(12,3+18*2+(9),,,"J1 A - (North) Bishopthorpe Roa")&amp;":"&amp;ADDRESS(130,3+18*2+(9))),'J1 A - (North) Bishopthorpe Roa'!$A$12:$A$130,"&gt;="&amp;Diagram!$O88,'J1 A - (North) Bishopthorpe Roa'!$A$12:$A$130,"&lt;"&amp;Diagram!$P88)))</f>
        <v>0</v>
      </c>
      <c r="AN88" s="42">
        <f ca="1">IF(OR($I$10="",$O88="",$P88="",$J$36&lt;&gt;"Yes"),0,IF($K$10=0,SUMIFS(INDIRECT(ADDRESS(12,3+18*2+(1),,,"J1 B - Butcher Terrace")&amp;":"&amp;ADDRESS(130,3+18*2+(1))),'J1 B - Butcher Terrace'!$A$12:$A$130,"&gt;="&amp;Diagram!$O88,'J1 B - Butcher Terrace'!$A$12:$A$130,"&lt;"&amp;Diagram!$P88),SUMIFS(INDIRECT(ADDRESS(12,3+18*2+(9),,,"J1 B - Butcher Terrace")&amp;":"&amp;ADDRESS(130,3+18*2+(9))),'J1 B - Butcher Terrace'!$A$12:$A$130,"&gt;="&amp;Diagram!$O88,'J1 B - Butcher Terrace'!$A$12:$A$130,"&lt;"&amp;Diagram!$P88)))</f>
        <v>1</v>
      </c>
      <c r="AO88" s="42">
        <f ca="1">IF(OR($I$10="",$O88="",$P88="",$J$36&lt;&gt;"Yes"),0,IF($K$10=0,SUMIFS(INDIRECT(ADDRESS(12,3+18*3+(1),,,"J1 B - Butcher Terrace")&amp;":"&amp;ADDRESS(130,3+18*3+(1))),'J1 B - Butcher Terrace'!$A$12:$A$130,"&gt;="&amp;Diagram!$O88,'J1 B - Butcher Terrace'!$A$12:$A$130,"&lt;"&amp;Diagram!$P88),SUMIFS(INDIRECT(ADDRESS(12,3+18*3+(9),,,"J1 B - Butcher Terrace")&amp;":"&amp;ADDRESS(130,3+18*3+(9))),'J1 B - Butcher Terrace'!$A$12:$A$130,"&gt;="&amp;Diagram!$O88,'J1 B - Butcher Terrace'!$A$12:$A$130,"&lt;"&amp;Diagram!$P88)))</f>
        <v>0</v>
      </c>
      <c r="AP88" s="42">
        <f ca="1">IF(OR($I$10="",$O88="",$P88="",$J$36&lt;&gt;"Yes"),0,IF($K$10=0,SUMIFS(INDIRECT(ADDRESS(12,3+18*0+(1),,,"J1 B - Butcher Terrace")&amp;":"&amp;ADDRESS(130,3+18*0+(1))),'J1 B - Butcher Terrace'!$A$12:$A$130,"&gt;="&amp;Diagram!$O88,'J1 B - Butcher Terrace'!$A$12:$A$130,"&lt;"&amp;Diagram!$P88),SUMIFS(INDIRECT(ADDRESS(12,3+18*0+(9),,,"J1 B - Butcher Terrace")&amp;":"&amp;ADDRESS(130,3+18*0+(9))),'J1 B - Butcher Terrace'!$A$12:$A$130,"&gt;="&amp;Diagram!$O88,'J1 B - Butcher Terrace'!$A$12:$A$130,"&lt;"&amp;Diagram!$P88)))</f>
        <v>1</v>
      </c>
      <c r="AQ88" s="42">
        <f ca="1">IF(OR($I$10="",$O88="",$P88="",$J$36&lt;&gt;"Yes"),0,IF($K$10=0,SUMIFS(INDIRECT(ADDRESS(12,3+18*1+(1),,,"J1 B - Butcher Terrace")&amp;":"&amp;ADDRESS(130,3+18*1+(1))),'J1 B - Butcher Terrace'!$A$12:$A$130,"&gt;="&amp;Diagram!$O88,'J1 B - Butcher Terrace'!$A$12:$A$130,"&lt;"&amp;Diagram!$P88),SUMIFS(INDIRECT(ADDRESS(12,3+18*1+(9),,,"J1 B - Butcher Terrace")&amp;":"&amp;ADDRESS(130,3+18*1+(9))),'J1 B - Butcher Terrace'!$A$12:$A$130,"&gt;="&amp;Diagram!$O88,'J1 B - Butcher Terrace'!$A$12:$A$130,"&lt;"&amp;Diagram!$P88)))</f>
        <v>0</v>
      </c>
      <c r="AR88" s="42">
        <f ca="1">IF(OR($I$10="",$O88="",$P88="",$J$36&lt;&gt;"Yes"),0,IF($K$10=0,SUMIFS(INDIRECT(ADDRESS(12,3+18*1+(1),,,"J1 C - (South) Bishopthorpe Roa")&amp;":"&amp;ADDRESS(130,3+18*1+(1))),'J1 C - (South) Bishopthorpe Roa'!$A$12:$A$130,"&gt;="&amp;Diagram!$O88,'J1 C - (South) Bishopthorpe Roa'!$A$12:$A$130,"&lt;"&amp;Diagram!$P88),SUMIFS(INDIRECT(ADDRESS(12,3+18*1+(9),,,"J1 C - (South) Bishopthorpe Roa")&amp;":"&amp;ADDRESS(130,3+18*1+(9))),'J1 C - (South) Bishopthorpe Roa'!$A$12:$A$130,"&gt;="&amp;Diagram!$O88,'J1 C - (South) Bishopthorpe Roa'!$A$12:$A$130,"&lt;"&amp;Diagram!$P88)))</f>
        <v>3</v>
      </c>
      <c r="AS88" s="42">
        <f ca="1">IF(OR($I$10="",$O88="",$P88="",$J$36&lt;&gt;"Yes"),0,IF($K$10=0,SUMIFS(INDIRECT(ADDRESS(12,3+18*2+(1),,,"J1 C - (South) Bishopthorpe Roa")&amp;":"&amp;ADDRESS(130,3+18*2+(1))),'J1 C - (South) Bishopthorpe Roa'!$A$12:$A$130,"&gt;="&amp;Diagram!$O88,'J1 C - (South) Bishopthorpe Roa'!$A$12:$A$130,"&lt;"&amp;Diagram!$P88),SUMIFS(INDIRECT(ADDRESS(12,3+18*2+(9),,,"J1 C - (South) Bishopthorpe Roa")&amp;":"&amp;ADDRESS(130,3+18*2+(9))),'J1 C - (South) Bishopthorpe Roa'!$A$12:$A$130,"&gt;="&amp;Diagram!$O88,'J1 C - (South) Bishopthorpe Roa'!$A$12:$A$130,"&lt;"&amp;Diagram!$P88)))</f>
        <v>0</v>
      </c>
      <c r="AT88" s="42">
        <f ca="1">IF(OR($I$10="",$O88="",$P88="",$J$36&lt;&gt;"Yes"),0,IF($K$10=0,SUMIFS(INDIRECT(ADDRESS(12,3+18*3+(1),,,"J1 C - (South) Bishopthorpe Roa")&amp;":"&amp;ADDRESS(130,3+18*3+(1))),'J1 C - (South) Bishopthorpe Roa'!$A$12:$A$130,"&gt;="&amp;Diagram!$O88,'J1 C - (South) Bishopthorpe Roa'!$A$12:$A$130,"&lt;"&amp;Diagram!$P88),SUMIFS(INDIRECT(ADDRESS(12,3+18*3+(9),,,"J1 C - (South) Bishopthorpe Roa")&amp;":"&amp;ADDRESS(130,3+18*3+(9))),'J1 C - (South) Bishopthorpe Roa'!$A$12:$A$130,"&gt;="&amp;Diagram!$O88,'J1 C - (South) Bishopthorpe Roa'!$A$12:$A$130,"&lt;"&amp;Diagram!$P88)))</f>
        <v>0</v>
      </c>
      <c r="AU88" s="42">
        <f ca="1">IF(OR($I$10="",$O88="",$P88="",$J$36&lt;&gt;"Yes"),0,IF($K$10=0,SUMIFS(INDIRECT(ADDRESS(12,3+18*0+(1),,,"J1 C - (South) Bishopthorpe Roa")&amp;":"&amp;ADDRESS(130,3+18*0+(1))),'J1 C - (South) Bishopthorpe Roa'!$A$12:$A$130,"&gt;="&amp;Diagram!$O88,'J1 C - (South) Bishopthorpe Roa'!$A$12:$A$130,"&lt;"&amp;Diagram!$P88),SUMIFS(INDIRECT(ADDRESS(12,3+18*0+(9),,,"J1 C - (South) Bishopthorpe Roa")&amp;":"&amp;ADDRESS(130,3+18*0+(9))),'J1 C - (South) Bishopthorpe Roa'!$A$12:$A$130,"&gt;="&amp;Diagram!$O88,'J1 C - (South) Bishopthorpe Roa'!$A$12:$A$130,"&lt;"&amp;Diagram!$P88)))</f>
        <v>0</v>
      </c>
      <c r="AV88" s="42">
        <f ca="1">IF(OR($I$10="",$O88="",$P88="",$J$36&lt;&gt;"Yes"),0,IF($K$10=0,SUMIFS(INDIRECT(ADDRESS(12,3+18*0+(1),,,"J1 D - South Bank Avenue")&amp;":"&amp;ADDRESS(130,3+18*0+(1))),'J1 D - South Bank Avenue'!$A$12:$A$130,"&gt;="&amp;Diagram!$O88,'J1 D - South Bank Avenue'!$A$12:$A$130,"&lt;"&amp;Diagram!$P88),SUMIFS(INDIRECT(ADDRESS(12,3+18*0+(9),,,"J1 D - South Bank Avenue")&amp;":"&amp;ADDRESS(130,3+18*0+(9))),'J1 D - South Bank Avenue'!$A$12:$A$130,"&gt;="&amp;Diagram!$O88,'J1 D - South Bank Avenue'!$A$12:$A$130,"&lt;"&amp;Diagram!$P88)))</f>
        <v>1</v>
      </c>
      <c r="AW88" s="42">
        <f ca="1">IF(OR($I$10="",$O88="",$P88="",$J$36&lt;&gt;"Yes"),0,IF($K$10=0,SUMIFS(INDIRECT(ADDRESS(12,3+18*1+(1),,,"J1 D - South Bank Avenue")&amp;":"&amp;ADDRESS(130,3+18*1+(1))),'J1 D - South Bank Avenue'!$A$12:$A$130,"&gt;="&amp;Diagram!$O88,'J1 D - South Bank Avenue'!$A$12:$A$130,"&lt;"&amp;Diagram!$P88),SUMIFS(INDIRECT(ADDRESS(12,3+18*1+(9),,,"J1 D - South Bank Avenue")&amp;":"&amp;ADDRESS(130,3+18*1+(9))),'J1 D - South Bank Avenue'!$A$12:$A$130,"&gt;="&amp;Diagram!$O88,'J1 D - South Bank Avenue'!$A$12:$A$130,"&lt;"&amp;Diagram!$P88)))</f>
        <v>0</v>
      </c>
      <c r="AX88" s="42">
        <f ca="1">IF(OR($I$10="",$O88="",$P88="",$J$36&lt;&gt;"Yes"),0,IF($K$10=0,SUMIFS(INDIRECT(ADDRESS(12,3+18*2+(1),,,"J1 D - South Bank Avenue")&amp;":"&amp;ADDRESS(130,3+18*2+(1))),'J1 D - South Bank Avenue'!$A$12:$A$130,"&gt;="&amp;Diagram!$O88,'J1 D - South Bank Avenue'!$A$12:$A$130,"&lt;"&amp;Diagram!$P88),SUMIFS(INDIRECT(ADDRESS(12,3+18*2+(9),,,"J1 D - South Bank Avenue")&amp;":"&amp;ADDRESS(130,3+18*2+(9))),'J1 D - South Bank Avenue'!$A$12:$A$130,"&gt;="&amp;Diagram!$O88,'J1 D - South Bank Avenue'!$A$12:$A$130,"&lt;"&amp;Diagram!$P88)))</f>
        <v>0</v>
      </c>
      <c r="AY88" s="42">
        <f ca="1">IF(OR($I$10="",$O88="",$P88="",$J$36&lt;&gt;"Yes"),0,IF($K$10=0,SUMIFS(INDIRECT(ADDRESS(12,3+18*3+(1),,,"J1 D - South Bank Avenue")&amp;":"&amp;ADDRESS(130,3+18*3+(1))),'J1 D - South Bank Avenue'!$A$12:$A$130,"&gt;="&amp;Diagram!$O88,'J1 D - South Bank Avenue'!$A$12:$A$130,"&lt;"&amp;Diagram!$P88),SUMIFS(INDIRECT(ADDRESS(12,3+18*3+(9),,,"J1 D - South Bank Avenue")&amp;":"&amp;ADDRESS(130,3+18*3+(9))),'J1 D - South Bank Avenue'!$A$12:$A$130,"&gt;="&amp;Diagram!$O88,'J1 D - South Bank Avenue'!$A$12:$A$130,"&lt;"&amp;Diagram!$P88)))</f>
        <v>0</v>
      </c>
      <c r="AZ88" s="42">
        <f t="shared" ca="1" si="13"/>
        <v>0</v>
      </c>
      <c r="BA88" s="42">
        <f ca="1">IF(OR($I$10="",$O88="",$P88="",$J$37&lt;&gt;"Yes"),0,IF($K$10=0,SUMIFS(INDIRECT(ADDRESS(12,3+18*3+(2),,,"J1 A - (North) Bishopthorpe Roa")&amp;":"&amp;ADDRESS(130,3+18*3+(2))),'J1 A - (North) Bishopthorpe Roa'!$A$12:$A$130,"&gt;="&amp;Diagram!$O88,'J1 A - (North) Bishopthorpe Roa'!$A$12:$A$130,"&lt;"&amp;Diagram!$P88),SUMIFS(INDIRECT(ADDRESS(12,3+18*3+(10),,,"J1 A - (North) Bishopthorpe Roa")&amp;":"&amp;ADDRESS(130,3+18*3+(10))),'J1 A - (North) Bishopthorpe Roa'!$A$12:$A$130,"&gt;="&amp;Diagram!$O88,'J1 A - (North) Bishopthorpe Roa'!$A$12:$A$130,"&lt;"&amp;Diagram!$P88)))</f>
        <v>0</v>
      </c>
      <c r="BB88" s="42">
        <f ca="1">IF(OR($I$10="",$O88="",$P88="",$J$37&lt;&gt;"Yes"),0,IF($K$10=0,SUMIFS(INDIRECT(ADDRESS(12,3+18*0+(2),,,"J1 A - (North) Bishopthorpe Roa")&amp;":"&amp;ADDRESS(130,3+18*0+(2))),'J1 A - (North) Bishopthorpe Roa'!$A$12:$A$130,"&gt;="&amp;Diagram!$O88,'J1 A - (North) Bishopthorpe Roa'!$A$12:$A$130,"&lt;"&amp;Diagram!$P88),SUMIFS(INDIRECT(ADDRESS(12,3+18*0+(10),,,"J1 A - (North) Bishopthorpe Roa")&amp;":"&amp;ADDRESS(130,3+18*0+(10))),'J1 A - (North) Bishopthorpe Roa'!$A$12:$A$130,"&gt;="&amp;Diagram!$O88,'J1 A - (North) Bishopthorpe Roa'!$A$12:$A$130,"&lt;"&amp;Diagram!$P88)))</f>
        <v>0</v>
      </c>
      <c r="BC88" s="42">
        <f ca="1">IF(OR($I$10="",$O88="",$P88="",$J$37&lt;&gt;"Yes"),0,IF($K$10=0,SUMIFS(INDIRECT(ADDRESS(12,3+18*1+(2),,,"J1 A - (North) Bishopthorpe Roa")&amp;":"&amp;ADDRESS(130,3+18*1+(2))),'J1 A - (North) Bishopthorpe Roa'!$A$12:$A$130,"&gt;="&amp;Diagram!$O88,'J1 A - (North) Bishopthorpe Roa'!$A$12:$A$130,"&lt;"&amp;Diagram!$P88),SUMIFS(INDIRECT(ADDRESS(12,3+18*1+(10),,,"J1 A - (North) Bishopthorpe Roa")&amp;":"&amp;ADDRESS(130,3+18*1+(10))),'J1 A - (North) Bishopthorpe Roa'!$A$12:$A$130,"&gt;="&amp;Diagram!$O88,'J1 A - (North) Bishopthorpe Roa'!$A$12:$A$130,"&lt;"&amp;Diagram!$P88)))</f>
        <v>0</v>
      </c>
      <c r="BD88" s="42">
        <f ca="1">IF(OR($I$10="",$O88="",$P88="",$J$37&lt;&gt;"Yes"),0,IF($K$10=0,SUMIFS(INDIRECT(ADDRESS(12,3+18*2+(2),,,"J1 A - (North) Bishopthorpe Roa")&amp;":"&amp;ADDRESS(130,3+18*2+(2))),'J1 A - (North) Bishopthorpe Roa'!$A$12:$A$130,"&gt;="&amp;Diagram!$O88,'J1 A - (North) Bishopthorpe Roa'!$A$12:$A$130,"&lt;"&amp;Diagram!$P88),SUMIFS(INDIRECT(ADDRESS(12,3+18*2+(10),,,"J1 A - (North) Bishopthorpe Roa")&amp;":"&amp;ADDRESS(130,3+18*2+(10))),'J1 A - (North) Bishopthorpe Roa'!$A$12:$A$130,"&gt;="&amp;Diagram!$O88,'J1 A - (North) Bishopthorpe Roa'!$A$12:$A$130,"&lt;"&amp;Diagram!$P88)))</f>
        <v>0</v>
      </c>
      <c r="BE88" s="42">
        <f ca="1">IF(OR($I$10="",$O88="",$P88="",$J$37&lt;&gt;"Yes"),0,IF($K$10=0,SUMIFS(INDIRECT(ADDRESS(12,3+18*2+(2),,,"J1 B - Butcher Terrace")&amp;":"&amp;ADDRESS(130,3+18*2+(2))),'J1 B - Butcher Terrace'!$A$12:$A$130,"&gt;="&amp;Diagram!$O88,'J1 B - Butcher Terrace'!$A$12:$A$130,"&lt;"&amp;Diagram!$P88),SUMIFS(INDIRECT(ADDRESS(12,3+18*2+(10),,,"J1 B - Butcher Terrace")&amp;":"&amp;ADDRESS(130,3+18*2+(10))),'J1 B - Butcher Terrace'!$A$12:$A$130,"&gt;="&amp;Diagram!$O88,'J1 B - Butcher Terrace'!$A$12:$A$130,"&lt;"&amp;Diagram!$P88)))</f>
        <v>0</v>
      </c>
      <c r="BF88" s="42">
        <f ca="1">IF(OR($I$10="",$O88="",$P88="",$J$37&lt;&gt;"Yes"),0,IF($K$10=0,SUMIFS(INDIRECT(ADDRESS(12,3+18*3+(2),,,"J1 B - Butcher Terrace")&amp;":"&amp;ADDRESS(130,3+18*3+(2))),'J1 B - Butcher Terrace'!$A$12:$A$130,"&gt;="&amp;Diagram!$O88,'J1 B - Butcher Terrace'!$A$12:$A$130,"&lt;"&amp;Diagram!$P88),SUMIFS(INDIRECT(ADDRESS(12,3+18*3+(10),,,"J1 B - Butcher Terrace")&amp;":"&amp;ADDRESS(130,3+18*3+(10))),'J1 B - Butcher Terrace'!$A$12:$A$130,"&gt;="&amp;Diagram!$O88,'J1 B - Butcher Terrace'!$A$12:$A$130,"&lt;"&amp;Diagram!$P88)))</f>
        <v>0</v>
      </c>
      <c r="BG88" s="42">
        <f ca="1">IF(OR($I$10="",$O88="",$P88="",$J$37&lt;&gt;"Yes"),0,IF($K$10=0,SUMIFS(INDIRECT(ADDRESS(12,3+18*0+(2),,,"J1 B - Butcher Terrace")&amp;":"&amp;ADDRESS(130,3+18*0+(2))),'J1 B - Butcher Terrace'!$A$12:$A$130,"&gt;="&amp;Diagram!$O88,'J1 B - Butcher Terrace'!$A$12:$A$130,"&lt;"&amp;Diagram!$P88),SUMIFS(INDIRECT(ADDRESS(12,3+18*0+(10),,,"J1 B - Butcher Terrace")&amp;":"&amp;ADDRESS(130,3+18*0+(10))),'J1 B - Butcher Terrace'!$A$12:$A$130,"&gt;="&amp;Diagram!$O88,'J1 B - Butcher Terrace'!$A$12:$A$130,"&lt;"&amp;Diagram!$P88)))</f>
        <v>0</v>
      </c>
      <c r="BH88" s="42">
        <f ca="1">IF(OR($I$10="",$O88="",$P88="",$J$37&lt;&gt;"Yes"),0,IF($K$10=0,SUMIFS(INDIRECT(ADDRESS(12,3+18*1+(2),,,"J1 B - Butcher Terrace")&amp;":"&amp;ADDRESS(130,3+18*1+(2))),'J1 B - Butcher Terrace'!$A$12:$A$130,"&gt;="&amp;Diagram!$O88,'J1 B - Butcher Terrace'!$A$12:$A$130,"&lt;"&amp;Diagram!$P88),SUMIFS(INDIRECT(ADDRESS(12,3+18*1+(10),,,"J1 B - Butcher Terrace")&amp;":"&amp;ADDRESS(130,3+18*1+(10))),'J1 B - Butcher Terrace'!$A$12:$A$130,"&gt;="&amp;Diagram!$O88,'J1 B - Butcher Terrace'!$A$12:$A$130,"&lt;"&amp;Diagram!$P88)))</f>
        <v>0</v>
      </c>
      <c r="BI88" s="42">
        <f ca="1">IF(OR($I$10="",$O88="",$P88="",$J$37&lt;&gt;"Yes"),0,IF($K$10=0,SUMIFS(INDIRECT(ADDRESS(12,3+18*1+(2),,,"J1 C - (South) Bishopthorpe Roa")&amp;":"&amp;ADDRESS(130,3+18*1+(2))),'J1 C - (South) Bishopthorpe Roa'!$A$12:$A$130,"&gt;="&amp;Diagram!$O88,'J1 C - (South) Bishopthorpe Roa'!$A$12:$A$130,"&lt;"&amp;Diagram!$P88),SUMIFS(INDIRECT(ADDRESS(12,3+18*1+(10),,,"J1 C - (South) Bishopthorpe Roa")&amp;":"&amp;ADDRESS(130,3+18*1+(10))),'J1 C - (South) Bishopthorpe Roa'!$A$12:$A$130,"&gt;="&amp;Diagram!$O88,'J1 C - (South) Bishopthorpe Roa'!$A$12:$A$130,"&lt;"&amp;Diagram!$P88)))</f>
        <v>0</v>
      </c>
      <c r="BJ88" s="42">
        <f ca="1">IF(OR($I$10="",$O88="",$P88="",$J$37&lt;&gt;"Yes"),0,IF($K$10=0,SUMIFS(INDIRECT(ADDRESS(12,3+18*2+(2),,,"J1 C - (South) Bishopthorpe Roa")&amp;":"&amp;ADDRESS(130,3+18*2+(2))),'J1 C - (South) Bishopthorpe Roa'!$A$12:$A$130,"&gt;="&amp;Diagram!$O88,'J1 C - (South) Bishopthorpe Roa'!$A$12:$A$130,"&lt;"&amp;Diagram!$P88),SUMIFS(INDIRECT(ADDRESS(12,3+18*2+(10),,,"J1 C - (South) Bishopthorpe Roa")&amp;":"&amp;ADDRESS(130,3+18*2+(10))),'J1 C - (South) Bishopthorpe Roa'!$A$12:$A$130,"&gt;="&amp;Diagram!$O88,'J1 C - (South) Bishopthorpe Roa'!$A$12:$A$130,"&lt;"&amp;Diagram!$P88)))</f>
        <v>0</v>
      </c>
      <c r="BK88" s="42">
        <f ca="1">IF(OR($I$10="",$O88="",$P88="",$J$37&lt;&gt;"Yes"),0,IF($K$10=0,SUMIFS(INDIRECT(ADDRESS(12,3+18*3+(2),,,"J1 C - (South) Bishopthorpe Roa")&amp;":"&amp;ADDRESS(130,3+18*3+(2))),'J1 C - (South) Bishopthorpe Roa'!$A$12:$A$130,"&gt;="&amp;Diagram!$O88,'J1 C - (South) Bishopthorpe Roa'!$A$12:$A$130,"&lt;"&amp;Diagram!$P88),SUMIFS(INDIRECT(ADDRESS(12,3+18*3+(10),,,"J1 C - (South) Bishopthorpe Roa")&amp;":"&amp;ADDRESS(130,3+18*3+(10))),'J1 C - (South) Bishopthorpe Roa'!$A$12:$A$130,"&gt;="&amp;Diagram!$O88,'J1 C - (South) Bishopthorpe Roa'!$A$12:$A$130,"&lt;"&amp;Diagram!$P88)))</f>
        <v>0</v>
      </c>
      <c r="BL88" s="42">
        <f ca="1">IF(OR($I$10="",$O88="",$P88="",$J$37&lt;&gt;"Yes"),0,IF($K$10=0,SUMIFS(INDIRECT(ADDRESS(12,3+18*0+(2),,,"J1 C - (South) Bishopthorpe Roa")&amp;":"&amp;ADDRESS(130,3+18*0+(2))),'J1 C - (South) Bishopthorpe Roa'!$A$12:$A$130,"&gt;="&amp;Diagram!$O88,'J1 C - (South) Bishopthorpe Roa'!$A$12:$A$130,"&lt;"&amp;Diagram!$P88),SUMIFS(INDIRECT(ADDRESS(12,3+18*0+(10),,,"J1 C - (South) Bishopthorpe Roa")&amp;":"&amp;ADDRESS(130,3+18*0+(10))),'J1 C - (South) Bishopthorpe Roa'!$A$12:$A$130,"&gt;="&amp;Diagram!$O88,'J1 C - (South) Bishopthorpe Roa'!$A$12:$A$130,"&lt;"&amp;Diagram!$P88)))</f>
        <v>0</v>
      </c>
      <c r="BM88" s="42">
        <f ca="1">IF(OR($I$10="",$O88="",$P88="",$J$37&lt;&gt;"Yes"),0,IF($K$10=0,SUMIFS(INDIRECT(ADDRESS(12,3+18*0+(2),,,"J1 D - South Bank Avenue")&amp;":"&amp;ADDRESS(130,3+18*0+(2))),'J1 D - South Bank Avenue'!$A$12:$A$130,"&gt;="&amp;Diagram!$O88,'J1 D - South Bank Avenue'!$A$12:$A$130,"&lt;"&amp;Diagram!$P88),SUMIFS(INDIRECT(ADDRESS(12,3+18*0+(10),,,"J1 D - South Bank Avenue")&amp;":"&amp;ADDRESS(130,3+18*0+(10))),'J1 D - South Bank Avenue'!$A$12:$A$130,"&gt;="&amp;Diagram!$O88,'J1 D - South Bank Avenue'!$A$12:$A$130,"&lt;"&amp;Diagram!$P88)))</f>
        <v>0</v>
      </c>
      <c r="BN88" s="42">
        <f ca="1">IF(OR($I$10="",$O88="",$P88="",$J$37&lt;&gt;"Yes"),0,IF($K$10=0,SUMIFS(INDIRECT(ADDRESS(12,3+18*1+(2),,,"J1 D - South Bank Avenue")&amp;":"&amp;ADDRESS(130,3+18*1+(2))),'J1 D - South Bank Avenue'!$A$12:$A$130,"&gt;="&amp;Diagram!$O88,'J1 D - South Bank Avenue'!$A$12:$A$130,"&lt;"&amp;Diagram!$P88),SUMIFS(INDIRECT(ADDRESS(12,3+18*1+(10),,,"J1 D - South Bank Avenue")&amp;":"&amp;ADDRESS(130,3+18*1+(10))),'J1 D - South Bank Avenue'!$A$12:$A$130,"&gt;="&amp;Diagram!$O88,'J1 D - South Bank Avenue'!$A$12:$A$130,"&lt;"&amp;Diagram!$P88)))</f>
        <v>0</v>
      </c>
      <c r="BO88" s="42">
        <f ca="1">IF(OR($I$10="",$O88="",$P88="",$J$37&lt;&gt;"Yes"),0,IF($K$10=0,SUMIFS(INDIRECT(ADDRESS(12,3+18*2+(2),,,"J1 D - South Bank Avenue")&amp;":"&amp;ADDRESS(130,3+18*2+(2))),'J1 D - South Bank Avenue'!$A$12:$A$130,"&gt;="&amp;Diagram!$O88,'J1 D - South Bank Avenue'!$A$12:$A$130,"&lt;"&amp;Diagram!$P88),SUMIFS(INDIRECT(ADDRESS(12,3+18*2+(10),,,"J1 D - South Bank Avenue")&amp;":"&amp;ADDRESS(130,3+18*2+(10))),'J1 D - South Bank Avenue'!$A$12:$A$130,"&gt;="&amp;Diagram!$O88,'J1 D - South Bank Avenue'!$A$12:$A$130,"&lt;"&amp;Diagram!$P88)))</f>
        <v>0</v>
      </c>
      <c r="BP88" s="42">
        <f ca="1">IF(OR($I$10="",$O88="",$P88="",$J$37&lt;&gt;"Yes"),0,IF($K$10=0,SUMIFS(INDIRECT(ADDRESS(12,3+18*3+(2),,,"J1 D - South Bank Avenue")&amp;":"&amp;ADDRESS(130,3+18*3+(2))),'J1 D - South Bank Avenue'!$A$12:$A$130,"&gt;="&amp;Diagram!$O88,'J1 D - South Bank Avenue'!$A$12:$A$130,"&lt;"&amp;Diagram!$P88),SUMIFS(INDIRECT(ADDRESS(12,3+18*3+(10),,,"J1 D - South Bank Avenue")&amp;":"&amp;ADDRESS(130,3+18*3+(10))),'J1 D - South Bank Avenue'!$A$12:$A$130,"&gt;="&amp;Diagram!$O88,'J1 D - South Bank Avenue'!$A$12:$A$130,"&lt;"&amp;Diagram!$P88)))</f>
        <v>0</v>
      </c>
      <c r="BQ88" s="42">
        <f t="shared" ca="1" si="14"/>
        <v>0</v>
      </c>
      <c r="BR88" s="42">
        <f ca="1">IF(OR($I$10="",$O88="",$P88="",$J$38&lt;&gt;"Yes"),0,IF($K$10=0,SUMIFS(INDIRECT(ADDRESS(12,3+18*3+(3),,,"J1 A - (North) Bishopthorpe Roa")&amp;":"&amp;ADDRESS(130,3+18*3+(3))),'J1 A - (North) Bishopthorpe Roa'!$A$12:$A$130,"&gt;="&amp;Diagram!$O88,'J1 A - (North) Bishopthorpe Roa'!$A$12:$A$130,"&lt;"&amp;Diagram!$P88),SUMIFS(INDIRECT(ADDRESS(12,3+18*3+(11),,,"J1 A - (North) Bishopthorpe Roa")&amp;":"&amp;ADDRESS(130,3+18*3+(11))),'J1 A - (North) Bishopthorpe Roa'!$A$12:$A$130,"&gt;="&amp;Diagram!$O88,'J1 A - (North) Bishopthorpe Roa'!$A$12:$A$130,"&lt;"&amp;Diagram!$P88)))</f>
        <v>0</v>
      </c>
      <c r="BS88" s="42">
        <f ca="1">IF(OR($I$10="",$O88="",$P88="",$J$38&lt;&gt;"Yes"),0,IF($K$10=0,SUMIFS(INDIRECT(ADDRESS(12,3+18*0+(3),,,"J1 A - (North) Bishopthorpe Roa")&amp;":"&amp;ADDRESS(130,3+18*0+(3))),'J1 A - (North) Bishopthorpe Roa'!$A$12:$A$130,"&gt;="&amp;Diagram!$O88,'J1 A - (North) Bishopthorpe Roa'!$A$12:$A$130,"&lt;"&amp;Diagram!$P88),SUMIFS(INDIRECT(ADDRESS(12,3+18*0+(11),,,"J1 A - (North) Bishopthorpe Roa")&amp;":"&amp;ADDRESS(130,3+18*0+(11))),'J1 A - (North) Bishopthorpe Roa'!$A$12:$A$130,"&gt;="&amp;Diagram!$O88,'J1 A - (North) Bishopthorpe Roa'!$A$12:$A$130,"&lt;"&amp;Diagram!$P88)))</f>
        <v>0</v>
      </c>
      <c r="BT88" s="42">
        <f ca="1">IF(OR($I$10="",$O88="",$P88="",$J$38&lt;&gt;"Yes"),0,IF($K$10=0,SUMIFS(INDIRECT(ADDRESS(12,3+18*1+(3),,,"J1 A - (North) Bishopthorpe Roa")&amp;":"&amp;ADDRESS(130,3+18*1+(3))),'J1 A - (North) Bishopthorpe Roa'!$A$12:$A$130,"&gt;="&amp;Diagram!$O88,'J1 A - (North) Bishopthorpe Roa'!$A$12:$A$130,"&lt;"&amp;Diagram!$P88),SUMIFS(INDIRECT(ADDRESS(12,3+18*1+(11),,,"J1 A - (North) Bishopthorpe Roa")&amp;":"&amp;ADDRESS(130,3+18*1+(11))),'J1 A - (North) Bishopthorpe Roa'!$A$12:$A$130,"&gt;="&amp;Diagram!$O88,'J1 A - (North) Bishopthorpe Roa'!$A$12:$A$130,"&lt;"&amp;Diagram!$P88)))</f>
        <v>0</v>
      </c>
      <c r="BU88" s="42">
        <f ca="1">IF(OR($I$10="",$O88="",$P88="",$J$38&lt;&gt;"Yes"),0,IF($K$10=0,SUMIFS(INDIRECT(ADDRESS(12,3+18*2+(3),,,"J1 A - (North) Bishopthorpe Roa")&amp;":"&amp;ADDRESS(130,3+18*2+(3))),'J1 A - (North) Bishopthorpe Roa'!$A$12:$A$130,"&gt;="&amp;Diagram!$O88,'J1 A - (North) Bishopthorpe Roa'!$A$12:$A$130,"&lt;"&amp;Diagram!$P88),SUMIFS(INDIRECT(ADDRESS(12,3+18*2+(11),,,"J1 A - (North) Bishopthorpe Roa")&amp;":"&amp;ADDRESS(130,3+18*2+(11))),'J1 A - (North) Bishopthorpe Roa'!$A$12:$A$130,"&gt;="&amp;Diagram!$O88,'J1 A - (North) Bishopthorpe Roa'!$A$12:$A$130,"&lt;"&amp;Diagram!$P88)))</f>
        <v>0</v>
      </c>
      <c r="BV88" s="42">
        <f ca="1">IF(OR($I$10="",$O88="",$P88="",$J$38&lt;&gt;"Yes"),0,IF($K$10=0,SUMIFS(INDIRECT(ADDRESS(12,3+18*2+(3),,,"J1 B - Butcher Terrace")&amp;":"&amp;ADDRESS(130,3+18*2+(3))),'J1 B - Butcher Terrace'!$A$12:$A$130,"&gt;="&amp;Diagram!$O88,'J1 B - Butcher Terrace'!$A$12:$A$130,"&lt;"&amp;Diagram!$P88),SUMIFS(INDIRECT(ADDRESS(12,3+18*2+(11),,,"J1 B - Butcher Terrace")&amp;":"&amp;ADDRESS(130,3+18*2+(11))),'J1 B - Butcher Terrace'!$A$12:$A$130,"&gt;="&amp;Diagram!$O88,'J1 B - Butcher Terrace'!$A$12:$A$130,"&lt;"&amp;Diagram!$P88)))</f>
        <v>0</v>
      </c>
      <c r="BW88" s="42">
        <f ca="1">IF(OR($I$10="",$O88="",$P88="",$J$38&lt;&gt;"Yes"),0,IF($K$10=0,SUMIFS(INDIRECT(ADDRESS(12,3+18*3+(3),,,"J1 B - Butcher Terrace")&amp;":"&amp;ADDRESS(130,3+18*3+(3))),'J1 B - Butcher Terrace'!$A$12:$A$130,"&gt;="&amp;Diagram!$O88,'J1 B - Butcher Terrace'!$A$12:$A$130,"&lt;"&amp;Diagram!$P88),SUMIFS(INDIRECT(ADDRESS(12,3+18*3+(11),,,"J1 B - Butcher Terrace")&amp;":"&amp;ADDRESS(130,3+18*3+(11))),'J1 B - Butcher Terrace'!$A$12:$A$130,"&gt;="&amp;Diagram!$O88,'J1 B - Butcher Terrace'!$A$12:$A$130,"&lt;"&amp;Diagram!$P88)))</f>
        <v>0</v>
      </c>
      <c r="BX88" s="42">
        <f ca="1">IF(OR($I$10="",$O88="",$P88="",$J$38&lt;&gt;"Yes"),0,IF($K$10=0,SUMIFS(INDIRECT(ADDRESS(12,3+18*0+(3),,,"J1 B - Butcher Terrace")&amp;":"&amp;ADDRESS(130,3+18*0+(3))),'J1 B - Butcher Terrace'!$A$12:$A$130,"&gt;="&amp;Diagram!$O88,'J1 B - Butcher Terrace'!$A$12:$A$130,"&lt;"&amp;Diagram!$P88),SUMIFS(INDIRECT(ADDRESS(12,3+18*0+(11),,,"J1 B - Butcher Terrace")&amp;":"&amp;ADDRESS(130,3+18*0+(11))),'J1 B - Butcher Terrace'!$A$12:$A$130,"&gt;="&amp;Diagram!$O88,'J1 B - Butcher Terrace'!$A$12:$A$130,"&lt;"&amp;Diagram!$P88)))</f>
        <v>0</v>
      </c>
      <c r="BY88" s="42">
        <f ca="1">IF(OR($I$10="",$O88="",$P88="",$J$38&lt;&gt;"Yes"),0,IF($K$10=0,SUMIFS(INDIRECT(ADDRESS(12,3+18*1+(3),,,"J1 B - Butcher Terrace")&amp;":"&amp;ADDRESS(130,3+18*1+(3))),'J1 B - Butcher Terrace'!$A$12:$A$130,"&gt;="&amp;Diagram!$O88,'J1 B - Butcher Terrace'!$A$12:$A$130,"&lt;"&amp;Diagram!$P88),SUMIFS(INDIRECT(ADDRESS(12,3+18*1+(11),,,"J1 B - Butcher Terrace")&amp;":"&amp;ADDRESS(130,3+18*1+(11))),'J1 B - Butcher Terrace'!$A$12:$A$130,"&gt;="&amp;Diagram!$O88,'J1 B - Butcher Terrace'!$A$12:$A$130,"&lt;"&amp;Diagram!$P88)))</f>
        <v>0</v>
      </c>
      <c r="BZ88" s="42">
        <f ca="1">IF(OR($I$10="",$O88="",$P88="",$J$38&lt;&gt;"Yes"),0,IF($K$10=0,SUMIFS(INDIRECT(ADDRESS(12,3+18*1+(3),,,"J1 C - (South) Bishopthorpe Roa")&amp;":"&amp;ADDRESS(130,3+18*1+(3))),'J1 C - (South) Bishopthorpe Roa'!$A$12:$A$130,"&gt;="&amp;Diagram!$O88,'J1 C - (South) Bishopthorpe Roa'!$A$12:$A$130,"&lt;"&amp;Diagram!$P88),SUMIFS(INDIRECT(ADDRESS(12,3+18*1+(11),,,"J1 C - (South) Bishopthorpe Roa")&amp;":"&amp;ADDRESS(130,3+18*1+(11))),'J1 C - (South) Bishopthorpe Roa'!$A$12:$A$130,"&gt;="&amp;Diagram!$O88,'J1 C - (South) Bishopthorpe Roa'!$A$12:$A$130,"&lt;"&amp;Diagram!$P88)))</f>
        <v>0</v>
      </c>
      <c r="CA88" s="42">
        <f ca="1">IF(OR($I$10="",$O88="",$P88="",$J$38&lt;&gt;"Yes"),0,IF($K$10=0,SUMIFS(INDIRECT(ADDRESS(12,3+18*2+(3),,,"J1 C - (South) Bishopthorpe Roa")&amp;":"&amp;ADDRESS(130,3+18*2+(3))),'J1 C - (South) Bishopthorpe Roa'!$A$12:$A$130,"&gt;="&amp;Diagram!$O88,'J1 C - (South) Bishopthorpe Roa'!$A$12:$A$130,"&lt;"&amp;Diagram!$P88),SUMIFS(INDIRECT(ADDRESS(12,3+18*2+(11),,,"J1 C - (South) Bishopthorpe Roa")&amp;":"&amp;ADDRESS(130,3+18*2+(11))),'J1 C - (South) Bishopthorpe Roa'!$A$12:$A$130,"&gt;="&amp;Diagram!$O88,'J1 C - (South) Bishopthorpe Roa'!$A$12:$A$130,"&lt;"&amp;Diagram!$P88)))</f>
        <v>0</v>
      </c>
      <c r="CB88" s="42">
        <f ca="1">IF(OR($I$10="",$O88="",$P88="",$J$38&lt;&gt;"Yes"),0,IF($K$10=0,SUMIFS(INDIRECT(ADDRESS(12,3+18*3+(3),,,"J1 C - (South) Bishopthorpe Roa")&amp;":"&amp;ADDRESS(130,3+18*3+(3))),'J1 C - (South) Bishopthorpe Roa'!$A$12:$A$130,"&gt;="&amp;Diagram!$O88,'J1 C - (South) Bishopthorpe Roa'!$A$12:$A$130,"&lt;"&amp;Diagram!$P88),SUMIFS(INDIRECT(ADDRESS(12,3+18*3+(11),,,"J1 C - (South) Bishopthorpe Roa")&amp;":"&amp;ADDRESS(130,3+18*3+(11))),'J1 C - (South) Bishopthorpe Roa'!$A$12:$A$130,"&gt;="&amp;Diagram!$O88,'J1 C - (South) Bishopthorpe Roa'!$A$12:$A$130,"&lt;"&amp;Diagram!$P88)))</f>
        <v>0</v>
      </c>
      <c r="CC88" s="42">
        <f ca="1">IF(OR($I$10="",$O88="",$P88="",$J$38&lt;&gt;"Yes"),0,IF($K$10=0,SUMIFS(INDIRECT(ADDRESS(12,3+18*0+(3),,,"J1 C - (South) Bishopthorpe Roa")&amp;":"&amp;ADDRESS(130,3+18*0+(3))),'J1 C - (South) Bishopthorpe Roa'!$A$12:$A$130,"&gt;="&amp;Diagram!$O88,'J1 C - (South) Bishopthorpe Roa'!$A$12:$A$130,"&lt;"&amp;Diagram!$P88),SUMIFS(INDIRECT(ADDRESS(12,3+18*0+(11),,,"J1 C - (South) Bishopthorpe Roa")&amp;":"&amp;ADDRESS(130,3+18*0+(11))),'J1 C - (South) Bishopthorpe Roa'!$A$12:$A$130,"&gt;="&amp;Diagram!$O88,'J1 C - (South) Bishopthorpe Roa'!$A$12:$A$130,"&lt;"&amp;Diagram!$P88)))</f>
        <v>0</v>
      </c>
      <c r="CD88" s="42">
        <f ca="1">IF(OR($I$10="",$O88="",$P88="",$J$38&lt;&gt;"Yes"),0,IF($K$10=0,SUMIFS(INDIRECT(ADDRESS(12,3+18*0+(3),,,"J1 D - South Bank Avenue")&amp;":"&amp;ADDRESS(130,3+18*0+(3))),'J1 D - South Bank Avenue'!$A$12:$A$130,"&gt;="&amp;Diagram!$O88,'J1 D - South Bank Avenue'!$A$12:$A$130,"&lt;"&amp;Diagram!$P88),SUMIFS(INDIRECT(ADDRESS(12,3+18*0+(11),,,"J1 D - South Bank Avenue")&amp;":"&amp;ADDRESS(130,3+18*0+(11))),'J1 D - South Bank Avenue'!$A$12:$A$130,"&gt;="&amp;Diagram!$O88,'J1 D - South Bank Avenue'!$A$12:$A$130,"&lt;"&amp;Diagram!$P88)))</f>
        <v>0</v>
      </c>
      <c r="CE88" s="42">
        <f ca="1">IF(OR($I$10="",$O88="",$P88="",$J$38&lt;&gt;"Yes"),0,IF($K$10=0,SUMIFS(INDIRECT(ADDRESS(12,3+18*1+(3),,,"J1 D - South Bank Avenue")&amp;":"&amp;ADDRESS(130,3+18*1+(3))),'J1 D - South Bank Avenue'!$A$12:$A$130,"&gt;="&amp;Diagram!$O88,'J1 D - South Bank Avenue'!$A$12:$A$130,"&lt;"&amp;Diagram!$P88),SUMIFS(INDIRECT(ADDRESS(12,3+18*1+(11),,,"J1 D - South Bank Avenue")&amp;":"&amp;ADDRESS(130,3+18*1+(11))),'J1 D - South Bank Avenue'!$A$12:$A$130,"&gt;="&amp;Diagram!$O88,'J1 D - South Bank Avenue'!$A$12:$A$130,"&lt;"&amp;Diagram!$P88)))</f>
        <v>0</v>
      </c>
      <c r="CF88" s="42">
        <f ca="1">IF(OR($I$10="",$O88="",$P88="",$J$38&lt;&gt;"Yes"),0,IF($K$10=0,SUMIFS(INDIRECT(ADDRESS(12,3+18*2+(3),,,"J1 D - South Bank Avenue")&amp;":"&amp;ADDRESS(130,3+18*2+(3))),'J1 D - South Bank Avenue'!$A$12:$A$130,"&gt;="&amp;Diagram!$O88,'J1 D - South Bank Avenue'!$A$12:$A$130,"&lt;"&amp;Diagram!$P88),SUMIFS(INDIRECT(ADDRESS(12,3+18*2+(11),,,"J1 D - South Bank Avenue")&amp;":"&amp;ADDRESS(130,3+18*2+(11))),'J1 D - South Bank Avenue'!$A$12:$A$130,"&gt;="&amp;Diagram!$O88,'J1 D - South Bank Avenue'!$A$12:$A$130,"&lt;"&amp;Diagram!$P88)))</f>
        <v>0</v>
      </c>
      <c r="CG88" s="42">
        <f ca="1">IF(OR($I$10="",$O88="",$P88="",$J$38&lt;&gt;"Yes"),0,IF($K$10=0,SUMIFS(INDIRECT(ADDRESS(12,3+18*3+(3),,,"J1 D - South Bank Avenue")&amp;":"&amp;ADDRESS(130,3+18*3+(3))),'J1 D - South Bank Avenue'!$A$12:$A$130,"&gt;="&amp;Diagram!$O88,'J1 D - South Bank Avenue'!$A$12:$A$130,"&lt;"&amp;Diagram!$P88),SUMIFS(INDIRECT(ADDRESS(12,3+18*3+(11),,,"J1 D - South Bank Avenue")&amp;":"&amp;ADDRESS(130,3+18*3+(11))),'J1 D - South Bank Avenue'!$A$12:$A$130,"&gt;="&amp;Diagram!$O88,'J1 D - South Bank Avenue'!$A$12:$A$130,"&lt;"&amp;Diagram!$P88)))</f>
        <v>0</v>
      </c>
      <c r="CH88" s="42">
        <f t="shared" ca="1" si="15"/>
        <v>3</v>
      </c>
      <c r="CI88" s="42">
        <f ca="1">IF(OR($I$10="",$O88="",$P88="",$J$39&lt;&gt;"Yes"),0,IF($K$10=0,SUMIFS(INDIRECT(ADDRESS(12,3+18*3+(4),,,"J1 A - (North) Bishopthorpe Roa")&amp;":"&amp;ADDRESS(130,3+18*3+(4))),'J1 A - (North) Bishopthorpe Roa'!$A$12:$A$130,"&gt;="&amp;Diagram!$O88,'J1 A - (North) Bishopthorpe Roa'!$A$12:$A$130,"&lt;"&amp;Diagram!$P88),SUMIFS(INDIRECT(ADDRESS(12,3+18*3+(12),,,"J1 A - (North) Bishopthorpe Roa")&amp;":"&amp;ADDRESS(130,3+18*3+(12))),'J1 A - (North) Bishopthorpe Roa'!$A$12:$A$130,"&gt;="&amp;Diagram!$O88,'J1 A - (North) Bishopthorpe Roa'!$A$12:$A$130,"&lt;"&amp;Diagram!$P88)))</f>
        <v>0</v>
      </c>
      <c r="CJ88" s="42">
        <f ca="1">IF(OR($I$10="",$O88="",$P88="",$J$39&lt;&gt;"Yes"),0,IF($K$10=0,SUMIFS(INDIRECT(ADDRESS(12,3+18*0+(4),,,"J1 A - (North) Bishopthorpe Roa")&amp;":"&amp;ADDRESS(130,3+18*0+(4))),'J1 A - (North) Bishopthorpe Roa'!$A$12:$A$130,"&gt;="&amp;Diagram!$O88,'J1 A - (North) Bishopthorpe Roa'!$A$12:$A$130,"&lt;"&amp;Diagram!$P88),SUMIFS(INDIRECT(ADDRESS(12,3+18*0+(12),,,"J1 A - (North) Bishopthorpe Roa")&amp;":"&amp;ADDRESS(130,3+18*0+(12))),'J1 A - (North) Bishopthorpe Roa'!$A$12:$A$130,"&gt;="&amp;Diagram!$O88,'J1 A - (North) Bishopthorpe Roa'!$A$12:$A$130,"&lt;"&amp;Diagram!$P88)))</f>
        <v>0</v>
      </c>
      <c r="CK88" s="42">
        <f ca="1">IF(OR($I$10="",$O88="",$P88="",$J$39&lt;&gt;"Yes"),0,IF($K$10=0,SUMIFS(INDIRECT(ADDRESS(12,3+18*1+(4),,,"J1 A - (North) Bishopthorpe Roa")&amp;":"&amp;ADDRESS(130,3+18*1+(4))),'J1 A - (North) Bishopthorpe Roa'!$A$12:$A$130,"&gt;="&amp;Diagram!$O88,'J1 A - (North) Bishopthorpe Roa'!$A$12:$A$130,"&lt;"&amp;Diagram!$P88),SUMIFS(INDIRECT(ADDRESS(12,3+18*1+(12),,,"J1 A - (North) Bishopthorpe Roa")&amp;":"&amp;ADDRESS(130,3+18*1+(12))),'J1 A - (North) Bishopthorpe Roa'!$A$12:$A$130,"&gt;="&amp;Diagram!$O88,'J1 A - (North) Bishopthorpe Roa'!$A$12:$A$130,"&lt;"&amp;Diagram!$P88)))</f>
        <v>2</v>
      </c>
      <c r="CL88" s="42">
        <f ca="1">IF(OR($I$10="",$O88="",$P88="",$J$39&lt;&gt;"Yes"),0,IF($K$10=0,SUMIFS(INDIRECT(ADDRESS(12,3+18*2+(4),,,"J1 A - (North) Bishopthorpe Roa")&amp;":"&amp;ADDRESS(130,3+18*2+(4))),'J1 A - (North) Bishopthorpe Roa'!$A$12:$A$130,"&gt;="&amp;Diagram!$O88,'J1 A - (North) Bishopthorpe Roa'!$A$12:$A$130,"&lt;"&amp;Diagram!$P88),SUMIFS(INDIRECT(ADDRESS(12,3+18*2+(12),,,"J1 A - (North) Bishopthorpe Roa")&amp;":"&amp;ADDRESS(130,3+18*2+(12))),'J1 A - (North) Bishopthorpe Roa'!$A$12:$A$130,"&gt;="&amp;Diagram!$O88,'J1 A - (North) Bishopthorpe Roa'!$A$12:$A$130,"&lt;"&amp;Diagram!$P88)))</f>
        <v>0</v>
      </c>
      <c r="CM88" s="42">
        <f ca="1">IF(OR($I$10="",$O88="",$P88="",$J$39&lt;&gt;"Yes"),0,IF($K$10=0,SUMIFS(INDIRECT(ADDRESS(12,3+18*2+(4),,,"J1 B - Butcher Terrace")&amp;":"&amp;ADDRESS(130,3+18*2+(4))),'J1 B - Butcher Terrace'!$A$12:$A$130,"&gt;="&amp;Diagram!$O88,'J1 B - Butcher Terrace'!$A$12:$A$130,"&lt;"&amp;Diagram!$P88),SUMIFS(INDIRECT(ADDRESS(12,3+18*2+(12),,,"J1 B - Butcher Terrace")&amp;":"&amp;ADDRESS(130,3+18*2+(12))),'J1 B - Butcher Terrace'!$A$12:$A$130,"&gt;="&amp;Diagram!$O88,'J1 B - Butcher Terrace'!$A$12:$A$130,"&lt;"&amp;Diagram!$P88)))</f>
        <v>0</v>
      </c>
      <c r="CN88" s="42">
        <f ca="1">IF(OR($I$10="",$O88="",$P88="",$J$39&lt;&gt;"Yes"),0,IF($K$10=0,SUMIFS(INDIRECT(ADDRESS(12,3+18*3+(4),,,"J1 B - Butcher Terrace")&amp;":"&amp;ADDRESS(130,3+18*3+(4))),'J1 B - Butcher Terrace'!$A$12:$A$130,"&gt;="&amp;Diagram!$O88,'J1 B - Butcher Terrace'!$A$12:$A$130,"&lt;"&amp;Diagram!$P88),SUMIFS(INDIRECT(ADDRESS(12,3+18*3+(12),,,"J1 B - Butcher Terrace")&amp;":"&amp;ADDRESS(130,3+18*3+(12))),'J1 B - Butcher Terrace'!$A$12:$A$130,"&gt;="&amp;Diagram!$O88,'J1 B - Butcher Terrace'!$A$12:$A$130,"&lt;"&amp;Diagram!$P88)))</f>
        <v>0</v>
      </c>
      <c r="CO88" s="42">
        <f ca="1">IF(OR($I$10="",$O88="",$P88="",$J$39&lt;&gt;"Yes"),0,IF($K$10=0,SUMIFS(INDIRECT(ADDRESS(12,3+18*0+(4),,,"J1 B - Butcher Terrace")&amp;":"&amp;ADDRESS(130,3+18*0+(4))),'J1 B - Butcher Terrace'!$A$12:$A$130,"&gt;="&amp;Diagram!$O88,'J1 B - Butcher Terrace'!$A$12:$A$130,"&lt;"&amp;Diagram!$P88),SUMIFS(INDIRECT(ADDRESS(12,3+18*0+(12),,,"J1 B - Butcher Terrace")&amp;":"&amp;ADDRESS(130,3+18*0+(12))),'J1 B - Butcher Terrace'!$A$12:$A$130,"&gt;="&amp;Diagram!$O88,'J1 B - Butcher Terrace'!$A$12:$A$130,"&lt;"&amp;Diagram!$P88)))</f>
        <v>0</v>
      </c>
      <c r="CP88" s="42">
        <f ca="1">IF(OR($I$10="",$O88="",$P88="",$J$39&lt;&gt;"Yes"),0,IF($K$10=0,SUMIFS(INDIRECT(ADDRESS(12,3+18*1+(4),,,"J1 B - Butcher Terrace")&amp;":"&amp;ADDRESS(130,3+18*1+(4))),'J1 B - Butcher Terrace'!$A$12:$A$130,"&gt;="&amp;Diagram!$O88,'J1 B - Butcher Terrace'!$A$12:$A$130,"&lt;"&amp;Diagram!$P88),SUMIFS(INDIRECT(ADDRESS(12,3+18*1+(12),,,"J1 B - Butcher Terrace")&amp;":"&amp;ADDRESS(130,3+18*1+(12))),'J1 B - Butcher Terrace'!$A$12:$A$130,"&gt;="&amp;Diagram!$O88,'J1 B - Butcher Terrace'!$A$12:$A$130,"&lt;"&amp;Diagram!$P88)))</f>
        <v>0</v>
      </c>
      <c r="CQ88" s="42">
        <f ca="1">IF(OR($I$10="",$O88="",$P88="",$J$39&lt;&gt;"Yes"),0,IF($K$10=0,SUMIFS(INDIRECT(ADDRESS(12,3+18*1+(4),,,"J1 C - (South) Bishopthorpe Roa")&amp;":"&amp;ADDRESS(130,3+18*1+(4))),'J1 C - (South) Bishopthorpe Roa'!$A$12:$A$130,"&gt;="&amp;Diagram!$O88,'J1 C - (South) Bishopthorpe Roa'!$A$12:$A$130,"&lt;"&amp;Diagram!$P88),SUMIFS(INDIRECT(ADDRESS(12,3+18*1+(12),,,"J1 C - (South) Bishopthorpe Roa")&amp;":"&amp;ADDRESS(130,3+18*1+(12))),'J1 C - (South) Bishopthorpe Roa'!$A$12:$A$130,"&gt;="&amp;Diagram!$O88,'J1 C - (South) Bishopthorpe Roa'!$A$12:$A$130,"&lt;"&amp;Diagram!$P88)))</f>
        <v>1</v>
      </c>
      <c r="CR88" s="42">
        <f ca="1">IF(OR($I$10="",$O88="",$P88="",$J$39&lt;&gt;"Yes"),0,IF($K$10=0,SUMIFS(INDIRECT(ADDRESS(12,3+18*2+(4),,,"J1 C - (South) Bishopthorpe Roa")&amp;":"&amp;ADDRESS(130,3+18*2+(4))),'J1 C - (South) Bishopthorpe Roa'!$A$12:$A$130,"&gt;="&amp;Diagram!$O88,'J1 C - (South) Bishopthorpe Roa'!$A$12:$A$130,"&lt;"&amp;Diagram!$P88),SUMIFS(INDIRECT(ADDRESS(12,3+18*2+(12),,,"J1 C - (South) Bishopthorpe Roa")&amp;":"&amp;ADDRESS(130,3+18*2+(12))),'J1 C - (South) Bishopthorpe Roa'!$A$12:$A$130,"&gt;="&amp;Diagram!$O88,'J1 C - (South) Bishopthorpe Roa'!$A$12:$A$130,"&lt;"&amp;Diagram!$P88)))</f>
        <v>0</v>
      </c>
      <c r="CS88" s="42">
        <f ca="1">IF(OR($I$10="",$O88="",$P88="",$J$39&lt;&gt;"Yes"),0,IF($K$10=0,SUMIFS(INDIRECT(ADDRESS(12,3+18*3+(4),,,"J1 C - (South) Bishopthorpe Roa")&amp;":"&amp;ADDRESS(130,3+18*3+(4))),'J1 C - (South) Bishopthorpe Roa'!$A$12:$A$130,"&gt;="&amp;Diagram!$O88,'J1 C - (South) Bishopthorpe Roa'!$A$12:$A$130,"&lt;"&amp;Diagram!$P88),SUMIFS(INDIRECT(ADDRESS(12,3+18*3+(12),,,"J1 C - (South) Bishopthorpe Roa")&amp;":"&amp;ADDRESS(130,3+18*3+(12))),'J1 C - (South) Bishopthorpe Roa'!$A$12:$A$130,"&gt;="&amp;Diagram!$O88,'J1 C - (South) Bishopthorpe Roa'!$A$12:$A$130,"&lt;"&amp;Diagram!$P88)))</f>
        <v>0</v>
      </c>
      <c r="CT88" s="42">
        <f ca="1">IF(OR($I$10="",$O88="",$P88="",$J$39&lt;&gt;"Yes"),0,IF($K$10=0,SUMIFS(INDIRECT(ADDRESS(12,3+18*0+(4),,,"J1 C - (South) Bishopthorpe Roa")&amp;":"&amp;ADDRESS(130,3+18*0+(4))),'J1 C - (South) Bishopthorpe Roa'!$A$12:$A$130,"&gt;="&amp;Diagram!$O88,'J1 C - (South) Bishopthorpe Roa'!$A$12:$A$130,"&lt;"&amp;Diagram!$P88),SUMIFS(INDIRECT(ADDRESS(12,3+18*0+(12),,,"J1 C - (South) Bishopthorpe Roa")&amp;":"&amp;ADDRESS(130,3+18*0+(12))),'J1 C - (South) Bishopthorpe Roa'!$A$12:$A$130,"&gt;="&amp;Diagram!$O88,'J1 C - (South) Bishopthorpe Roa'!$A$12:$A$130,"&lt;"&amp;Diagram!$P88)))</f>
        <v>0</v>
      </c>
      <c r="CU88" s="42">
        <f ca="1">IF(OR($I$10="",$O88="",$P88="",$J$39&lt;&gt;"Yes"),0,IF($K$10=0,SUMIFS(INDIRECT(ADDRESS(12,3+18*0+(4),,,"J1 D - South Bank Avenue")&amp;":"&amp;ADDRESS(130,3+18*0+(4))),'J1 D - South Bank Avenue'!$A$12:$A$130,"&gt;="&amp;Diagram!$O88,'J1 D - South Bank Avenue'!$A$12:$A$130,"&lt;"&amp;Diagram!$P88),SUMIFS(INDIRECT(ADDRESS(12,3+18*0+(12),,,"J1 D - South Bank Avenue")&amp;":"&amp;ADDRESS(130,3+18*0+(12))),'J1 D - South Bank Avenue'!$A$12:$A$130,"&gt;="&amp;Diagram!$O88,'J1 D - South Bank Avenue'!$A$12:$A$130,"&lt;"&amp;Diagram!$P88)))</f>
        <v>0</v>
      </c>
      <c r="CV88" s="42">
        <f ca="1">IF(OR($I$10="",$O88="",$P88="",$J$39&lt;&gt;"Yes"),0,IF($K$10=0,SUMIFS(INDIRECT(ADDRESS(12,3+18*1+(4),,,"J1 D - South Bank Avenue")&amp;":"&amp;ADDRESS(130,3+18*1+(4))),'J1 D - South Bank Avenue'!$A$12:$A$130,"&gt;="&amp;Diagram!$O88,'J1 D - South Bank Avenue'!$A$12:$A$130,"&lt;"&amp;Diagram!$P88),SUMIFS(INDIRECT(ADDRESS(12,3+18*1+(12),,,"J1 D - South Bank Avenue")&amp;":"&amp;ADDRESS(130,3+18*1+(12))),'J1 D - South Bank Avenue'!$A$12:$A$130,"&gt;="&amp;Diagram!$O88,'J1 D - South Bank Avenue'!$A$12:$A$130,"&lt;"&amp;Diagram!$P88)))</f>
        <v>0</v>
      </c>
      <c r="CW88" s="42">
        <f ca="1">IF(OR($I$10="",$O88="",$P88="",$J$39&lt;&gt;"Yes"),0,IF($K$10=0,SUMIFS(INDIRECT(ADDRESS(12,3+18*2+(4),,,"J1 D - South Bank Avenue")&amp;":"&amp;ADDRESS(130,3+18*2+(4))),'J1 D - South Bank Avenue'!$A$12:$A$130,"&gt;="&amp;Diagram!$O88,'J1 D - South Bank Avenue'!$A$12:$A$130,"&lt;"&amp;Diagram!$P88),SUMIFS(INDIRECT(ADDRESS(12,3+18*2+(12),,,"J1 D - South Bank Avenue")&amp;":"&amp;ADDRESS(130,3+18*2+(12))),'J1 D - South Bank Avenue'!$A$12:$A$130,"&gt;="&amp;Diagram!$O88,'J1 D - South Bank Avenue'!$A$12:$A$130,"&lt;"&amp;Diagram!$P88)))</f>
        <v>0</v>
      </c>
      <c r="CX88" s="42">
        <f ca="1">IF(OR($I$10="",$O88="",$P88="",$J$39&lt;&gt;"Yes"),0,IF($K$10=0,SUMIFS(INDIRECT(ADDRESS(12,3+18*3+(4),,,"J1 D - South Bank Avenue")&amp;":"&amp;ADDRESS(130,3+18*3+(4))),'J1 D - South Bank Avenue'!$A$12:$A$130,"&gt;="&amp;Diagram!$O88,'J1 D - South Bank Avenue'!$A$12:$A$130,"&lt;"&amp;Diagram!$P88),SUMIFS(INDIRECT(ADDRESS(12,3+18*3+(12),,,"J1 D - South Bank Avenue")&amp;":"&amp;ADDRESS(130,3+18*3+(12))),'J1 D - South Bank Avenue'!$A$12:$A$130,"&gt;="&amp;Diagram!$O88,'J1 D - South Bank Avenue'!$A$12:$A$130,"&lt;"&amp;Diagram!$P88)))</f>
        <v>0</v>
      </c>
      <c r="CY88" s="42">
        <f t="shared" ca="1" si="16"/>
        <v>39</v>
      </c>
      <c r="CZ88" s="42">
        <f ca="1">IF(OR($I$10="",$O88="",$P88="",$J$40&lt;&gt;"Yes"),0,IF($K$10=0,SUMIFS(INDIRECT(ADDRESS(12,3+18*3+(5),,,"J1 A - (North) Bishopthorpe Roa")&amp;":"&amp;ADDRESS(130,3+18*3+(5))),'J1 A - (North) Bishopthorpe Roa'!$A$12:$A$130,"&gt;="&amp;Diagram!$O88,'J1 A - (North) Bishopthorpe Roa'!$A$12:$A$130,"&lt;"&amp;Diagram!$P88),SUMIFS(INDIRECT(ADDRESS(12,3+18*3+(13),,,"J1 A - (North) Bishopthorpe Roa")&amp;":"&amp;ADDRESS(130,3+18*3+(13))),'J1 A - (North) Bishopthorpe Roa'!$A$12:$A$130,"&gt;="&amp;Diagram!$O88,'J1 A - (North) Bishopthorpe Roa'!$A$12:$A$130,"&lt;"&amp;Diagram!$P88)))</f>
        <v>0</v>
      </c>
      <c r="DA88" s="42">
        <f ca="1">IF(OR($I$10="",$O88="",$P88="",$J$40&lt;&gt;"Yes"),0,IF($K$10=0,SUMIFS(INDIRECT(ADDRESS(12,3+18*0+(5),,,"J1 A - (North) Bishopthorpe Roa")&amp;":"&amp;ADDRESS(130,3+18*0+(5))),'J1 A - (North) Bishopthorpe Roa'!$A$12:$A$130,"&gt;="&amp;Diagram!$O88,'J1 A - (North) Bishopthorpe Roa'!$A$12:$A$130,"&lt;"&amp;Diagram!$P88),SUMIFS(INDIRECT(ADDRESS(12,3+18*0+(13),,,"J1 A - (North) Bishopthorpe Roa")&amp;":"&amp;ADDRESS(130,3+18*0+(13))),'J1 A - (North) Bishopthorpe Roa'!$A$12:$A$130,"&gt;="&amp;Diagram!$O88,'J1 A - (North) Bishopthorpe Roa'!$A$12:$A$130,"&lt;"&amp;Diagram!$P88)))</f>
        <v>3</v>
      </c>
      <c r="DB88" s="42">
        <f ca="1">IF(OR($I$10="",$O88="",$P88="",$J$40&lt;&gt;"Yes"),0,IF($K$10=0,SUMIFS(INDIRECT(ADDRESS(12,3+18*1+(5),,,"J1 A - (North) Bishopthorpe Roa")&amp;":"&amp;ADDRESS(130,3+18*1+(5))),'J1 A - (North) Bishopthorpe Roa'!$A$12:$A$130,"&gt;="&amp;Diagram!$O88,'J1 A - (North) Bishopthorpe Roa'!$A$12:$A$130,"&lt;"&amp;Diagram!$P88),SUMIFS(INDIRECT(ADDRESS(12,3+18*1+(13),,,"J1 A - (North) Bishopthorpe Roa")&amp;":"&amp;ADDRESS(130,3+18*1+(13))),'J1 A - (North) Bishopthorpe Roa'!$A$12:$A$130,"&gt;="&amp;Diagram!$O88,'J1 A - (North) Bishopthorpe Roa'!$A$12:$A$130,"&lt;"&amp;Diagram!$P88)))</f>
        <v>9</v>
      </c>
      <c r="DC88" s="42">
        <f ca="1">IF(OR($I$10="",$O88="",$P88="",$J$40&lt;&gt;"Yes"),0,IF($K$10=0,SUMIFS(INDIRECT(ADDRESS(12,3+18*2+(5),,,"J1 A - (North) Bishopthorpe Roa")&amp;":"&amp;ADDRESS(130,3+18*2+(5))),'J1 A - (North) Bishopthorpe Roa'!$A$12:$A$130,"&gt;="&amp;Diagram!$O88,'J1 A - (North) Bishopthorpe Roa'!$A$12:$A$130,"&lt;"&amp;Diagram!$P88),SUMIFS(INDIRECT(ADDRESS(12,3+18*2+(13),,,"J1 A - (North) Bishopthorpe Roa")&amp;":"&amp;ADDRESS(130,3+18*2+(13))),'J1 A - (North) Bishopthorpe Roa'!$A$12:$A$130,"&gt;="&amp;Diagram!$O88,'J1 A - (North) Bishopthorpe Roa'!$A$12:$A$130,"&lt;"&amp;Diagram!$P88)))</f>
        <v>0</v>
      </c>
      <c r="DD88" s="42">
        <f ca="1">IF(OR($I$10="",$O88="",$P88="",$J$40&lt;&gt;"Yes"),0,IF($K$10=0,SUMIFS(INDIRECT(ADDRESS(12,3+18*2+(5),,,"J1 B - Butcher Terrace")&amp;":"&amp;ADDRESS(130,3+18*2+(5))),'J1 B - Butcher Terrace'!$A$12:$A$130,"&gt;="&amp;Diagram!$O88,'J1 B - Butcher Terrace'!$A$12:$A$130,"&lt;"&amp;Diagram!$P88),SUMIFS(INDIRECT(ADDRESS(12,3+18*2+(13),,,"J1 B - Butcher Terrace")&amp;":"&amp;ADDRESS(130,3+18*2+(13))),'J1 B - Butcher Terrace'!$A$12:$A$130,"&gt;="&amp;Diagram!$O88,'J1 B - Butcher Terrace'!$A$12:$A$130,"&lt;"&amp;Diagram!$P88)))</f>
        <v>2</v>
      </c>
      <c r="DE88" s="42">
        <f ca="1">IF(OR($I$10="",$O88="",$P88="",$J$40&lt;&gt;"Yes"),0,IF($K$10=0,SUMIFS(INDIRECT(ADDRESS(12,3+18*3+(5),,,"J1 B - Butcher Terrace")&amp;":"&amp;ADDRESS(130,3+18*3+(5))),'J1 B - Butcher Terrace'!$A$12:$A$130,"&gt;="&amp;Diagram!$O88,'J1 B - Butcher Terrace'!$A$12:$A$130,"&lt;"&amp;Diagram!$P88),SUMIFS(INDIRECT(ADDRESS(12,3+18*3+(13),,,"J1 B - Butcher Terrace")&amp;":"&amp;ADDRESS(130,3+18*3+(13))),'J1 B - Butcher Terrace'!$A$12:$A$130,"&gt;="&amp;Diagram!$O88,'J1 B - Butcher Terrace'!$A$12:$A$130,"&lt;"&amp;Diagram!$P88)))</f>
        <v>0</v>
      </c>
      <c r="DF88" s="42">
        <f ca="1">IF(OR($I$10="",$O88="",$P88="",$J$40&lt;&gt;"Yes"),0,IF($K$10=0,SUMIFS(INDIRECT(ADDRESS(12,3+18*0+(5),,,"J1 B - Butcher Terrace")&amp;":"&amp;ADDRESS(130,3+18*0+(5))),'J1 B - Butcher Terrace'!$A$12:$A$130,"&gt;="&amp;Diagram!$O88,'J1 B - Butcher Terrace'!$A$12:$A$130,"&lt;"&amp;Diagram!$P88),SUMIFS(INDIRECT(ADDRESS(12,3+18*0+(13),,,"J1 B - Butcher Terrace")&amp;":"&amp;ADDRESS(130,3+18*0+(13))),'J1 B - Butcher Terrace'!$A$12:$A$130,"&gt;="&amp;Diagram!$O88,'J1 B - Butcher Terrace'!$A$12:$A$130,"&lt;"&amp;Diagram!$P88)))</f>
        <v>0</v>
      </c>
      <c r="DG88" s="42">
        <f ca="1">IF(OR($I$10="",$O88="",$P88="",$J$40&lt;&gt;"Yes"),0,IF($K$10=0,SUMIFS(INDIRECT(ADDRESS(12,3+18*1+(5),,,"J1 B - Butcher Terrace")&amp;":"&amp;ADDRESS(130,3+18*1+(5))),'J1 B - Butcher Terrace'!$A$12:$A$130,"&gt;="&amp;Diagram!$O88,'J1 B - Butcher Terrace'!$A$12:$A$130,"&lt;"&amp;Diagram!$P88),SUMIFS(INDIRECT(ADDRESS(12,3+18*1+(13),,,"J1 B - Butcher Terrace")&amp;":"&amp;ADDRESS(130,3+18*1+(13))),'J1 B - Butcher Terrace'!$A$12:$A$130,"&gt;="&amp;Diagram!$O88,'J1 B - Butcher Terrace'!$A$12:$A$130,"&lt;"&amp;Diagram!$P88)))</f>
        <v>13</v>
      </c>
      <c r="DH88" s="42">
        <f ca="1">IF(OR($I$10="",$O88="",$P88="",$J$40&lt;&gt;"Yes"),0,IF($K$10=0,SUMIFS(INDIRECT(ADDRESS(12,3+18*1+(5),,,"J1 C - (South) Bishopthorpe Roa")&amp;":"&amp;ADDRESS(130,3+18*1+(5))),'J1 C - (South) Bishopthorpe Roa'!$A$12:$A$130,"&gt;="&amp;Diagram!$O88,'J1 C - (South) Bishopthorpe Roa'!$A$12:$A$130,"&lt;"&amp;Diagram!$P88),SUMIFS(INDIRECT(ADDRESS(12,3+18*1+(13),,,"J1 C - (South) Bishopthorpe Roa")&amp;":"&amp;ADDRESS(130,3+18*1+(13))),'J1 C - (South) Bishopthorpe Roa'!$A$12:$A$130,"&gt;="&amp;Diagram!$O88,'J1 C - (South) Bishopthorpe Roa'!$A$12:$A$130,"&lt;"&amp;Diagram!$P88)))</f>
        <v>6</v>
      </c>
      <c r="DI88" s="42">
        <f ca="1">IF(OR($I$10="",$O88="",$P88="",$J$40&lt;&gt;"Yes"),0,IF($K$10=0,SUMIFS(INDIRECT(ADDRESS(12,3+18*2+(5),,,"J1 C - (South) Bishopthorpe Roa")&amp;":"&amp;ADDRESS(130,3+18*2+(5))),'J1 C - (South) Bishopthorpe Roa'!$A$12:$A$130,"&gt;="&amp;Diagram!$O88,'J1 C - (South) Bishopthorpe Roa'!$A$12:$A$130,"&lt;"&amp;Diagram!$P88),SUMIFS(INDIRECT(ADDRESS(12,3+18*2+(13),,,"J1 C - (South) Bishopthorpe Roa")&amp;":"&amp;ADDRESS(130,3+18*2+(13))),'J1 C - (South) Bishopthorpe Roa'!$A$12:$A$130,"&gt;="&amp;Diagram!$O88,'J1 C - (South) Bishopthorpe Roa'!$A$12:$A$130,"&lt;"&amp;Diagram!$P88)))</f>
        <v>0</v>
      </c>
      <c r="DJ88" s="42">
        <f ca="1">IF(OR($I$10="",$O88="",$P88="",$J$40&lt;&gt;"Yes"),0,IF($K$10=0,SUMIFS(INDIRECT(ADDRESS(12,3+18*3+(5),,,"J1 C - (South) Bishopthorpe Roa")&amp;":"&amp;ADDRESS(130,3+18*3+(5))),'J1 C - (South) Bishopthorpe Roa'!$A$12:$A$130,"&gt;="&amp;Diagram!$O88,'J1 C - (South) Bishopthorpe Roa'!$A$12:$A$130,"&lt;"&amp;Diagram!$P88),SUMIFS(INDIRECT(ADDRESS(12,3+18*3+(13),,,"J1 C - (South) Bishopthorpe Roa")&amp;":"&amp;ADDRESS(130,3+18*3+(13))),'J1 C - (South) Bishopthorpe Roa'!$A$12:$A$130,"&gt;="&amp;Diagram!$O88,'J1 C - (South) Bishopthorpe Roa'!$A$12:$A$130,"&lt;"&amp;Diagram!$P88)))</f>
        <v>0</v>
      </c>
      <c r="DK88" s="42">
        <f ca="1">IF(OR($I$10="",$O88="",$P88="",$J$40&lt;&gt;"Yes"),0,IF($K$10=0,SUMIFS(INDIRECT(ADDRESS(12,3+18*0+(5),,,"J1 C - (South) Bishopthorpe Roa")&amp;":"&amp;ADDRESS(130,3+18*0+(5))),'J1 C - (South) Bishopthorpe Roa'!$A$12:$A$130,"&gt;="&amp;Diagram!$O88,'J1 C - (South) Bishopthorpe Roa'!$A$12:$A$130,"&lt;"&amp;Diagram!$P88),SUMIFS(INDIRECT(ADDRESS(12,3+18*0+(13),,,"J1 C - (South) Bishopthorpe Roa")&amp;":"&amp;ADDRESS(130,3+18*0+(13))),'J1 C - (South) Bishopthorpe Roa'!$A$12:$A$130,"&gt;="&amp;Diagram!$O88,'J1 C - (South) Bishopthorpe Roa'!$A$12:$A$130,"&lt;"&amp;Diagram!$P88)))</f>
        <v>1</v>
      </c>
      <c r="DL88" s="42">
        <f ca="1">IF(OR($I$10="",$O88="",$P88="",$J$40&lt;&gt;"Yes"),0,IF($K$10=0,SUMIFS(INDIRECT(ADDRESS(12,3+18*0+(5),,,"J1 D - South Bank Avenue")&amp;":"&amp;ADDRESS(130,3+18*0+(5))),'J1 D - South Bank Avenue'!$A$12:$A$130,"&gt;="&amp;Diagram!$O88,'J1 D - South Bank Avenue'!$A$12:$A$130,"&lt;"&amp;Diagram!$P88),SUMIFS(INDIRECT(ADDRESS(12,3+18*0+(13),,,"J1 D - South Bank Avenue")&amp;":"&amp;ADDRESS(130,3+18*0+(13))),'J1 D - South Bank Avenue'!$A$12:$A$130,"&gt;="&amp;Diagram!$O88,'J1 D - South Bank Avenue'!$A$12:$A$130,"&lt;"&amp;Diagram!$P88)))</f>
        <v>2</v>
      </c>
      <c r="DM88" s="42">
        <f ca="1">IF(OR($I$10="",$O88="",$P88="",$J$40&lt;&gt;"Yes"),0,IF($K$10=0,SUMIFS(INDIRECT(ADDRESS(12,3+18*1+(5),,,"J1 D - South Bank Avenue")&amp;":"&amp;ADDRESS(130,3+18*1+(5))),'J1 D - South Bank Avenue'!$A$12:$A$130,"&gt;="&amp;Diagram!$O88,'J1 D - South Bank Avenue'!$A$12:$A$130,"&lt;"&amp;Diagram!$P88),SUMIFS(INDIRECT(ADDRESS(12,3+18*1+(13),,,"J1 D - South Bank Avenue")&amp;":"&amp;ADDRESS(130,3+18*1+(13))),'J1 D - South Bank Avenue'!$A$12:$A$130,"&gt;="&amp;Diagram!$O88,'J1 D - South Bank Avenue'!$A$12:$A$130,"&lt;"&amp;Diagram!$P88)))</f>
        <v>3</v>
      </c>
      <c r="DN88" s="42">
        <f ca="1">IF(OR($I$10="",$O88="",$P88="",$J$40&lt;&gt;"Yes"),0,IF($K$10=0,SUMIFS(INDIRECT(ADDRESS(12,3+18*2+(5),,,"J1 D - South Bank Avenue")&amp;":"&amp;ADDRESS(130,3+18*2+(5))),'J1 D - South Bank Avenue'!$A$12:$A$130,"&gt;="&amp;Diagram!$O88,'J1 D - South Bank Avenue'!$A$12:$A$130,"&lt;"&amp;Diagram!$P88),SUMIFS(INDIRECT(ADDRESS(12,3+18*2+(13),,,"J1 D - South Bank Avenue")&amp;":"&amp;ADDRESS(130,3+18*2+(13))),'J1 D - South Bank Avenue'!$A$12:$A$130,"&gt;="&amp;Diagram!$O88,'J1 D - South Bank Avenue'!$A$12:$A$130,"&lt;"&amp;Diagram!$P88)))</f>
        <v>0</v>
      </c>
      <c r="DO88" s="42">
        <f ca="1">IF(OR($I$10="",$O88="",$P88="",$J$40&lt;&gt;"Yes"),0,IF($K$10=0,SUMIFS(INDIRECT(ADDRESS(12,3+18*3+(5),,,"J1 D - South Bank Avenue")&amp;":"&amp;ADDRESS(130,3+18*3+(5))),'J1 D - South Bank Avenue'!$A$12:$A$130,"&gt;="&amp;Diagram!$O88,'J1 D - South Bank Avenue'!$A$12:$A$130,"&lt;"&amp;Diagram!$P88),SUMIFS(INDIRECT(ADDRESS(12,3+18*3+(13),,,"J1 D - South Bank Avenue")&amp;":"&amp;ADDRESS(130,3+18*3+(13))),'J1 D - South Bank Avenue'!$A$12:$A$130,"&gt;="&amp;Diagram!$O88,'J1 D - South Bank Avenue'!$A$12:$A$130,"&lt;"&amp;Diagram!$P88)))</f>
        <v>0</v>
      </c>
      <c r="DP88" s="42">
        <f t="shared" ca="1" si="17"/>
        <v>9</v>
      </c>
      <c r="DQ88" s="42">
        <f ca="1">IF(OR($I$10="",$O88="",$P88="",$J$41&lt;&gt;"Yes"),0,IF($K$10=0,SUMIFS(INDIRECT(ADDRESS(12,3+18*3+(6),,,"J1 A - (North) Bishopthorpe Roa")&amp;":"&amp;ADDRESS(130,3+18*3+(6))),'J1 A - (North) Bishopthorpe Roa'!$A$12:$A$130,"&gt;="&amp;Diagram!$O88,'J1 A - (North) Bishopthorpe Roa'!$A$12:$A$130,"&lt;"&amp;Diagram!$P88),SUMIFS(INDIRECT(ADDRESS(12,3+18*3+(14),,,"J1 A - (North) Bishopthorpe Roa")&amp;":"&amp;ADDRESS(130,3+18*3+(14))),'J1 A - (North) Bishopthorpe Roa'!$A$12:$A$130,"&gt;="&amp;Diagram!$O88,'J1 A - (North) Bishopthorpe Roa'!$A$12:$A$130,"&lt;"&amp;Diagram!$P88)))</f>
        <v>0</v>
      </c>
      <c r="DR88" s="42">
        <f ca="1">IF(OR($I$10="",$O88="",$P88="",$J$41&lt;&gt;"Yes"),0,IF($K$10=0,SUMIFS(INDIRECT(ADDRESS(12,3+18*0+(6),,,"J1 A - (North) Bishopthorpe Roa")&amp;":"&amp;ADDRESS(130,3+18*0+(6))),'J1 A - (North) Bishopthorpe Roa'!$A$12:$A$130,"&gt;="&amp;Diagram!$O88,'J1 A - (North) Bishopthorpe Roa'!$A$12:$A$130,"&lt;"&amp;Diagram!$P88),SUMIFS(INDIRECT(ADDRESS(12,3+18*0+(14),,,"J1 A - (North) Bishopthorpe Roa")&amp;":"&amp;ADDRESS(130,3+18*0+(14))),'J1 A - (North) Bishopthorpe Roa'!$A$12:$A$130,"&gt;="&amp;Diagram!$O88,'J1 A - (North) Bishopthorpe Roa'!$A$12:$A$130,"&lt;"&amp;Diagram!$P88)))</f>
        <v>1</v>
      </c>
      <c r="DS88" s="42">
        <f ca="1">IF(OR($I$10="",$O88="",$P88="",$J$41&lt;&gt;"Yes"),0,IF($K$10=0,SUMIFS(INDIRECT(ADDRESS(12,3+18*1+(6),,,"J1 A - (North) Bishopthorpe Roa")&amp;":"&amp;ADDRESS(130,3+18*1+(6))),'J1 A - (North) Bishopthorpe Roa'!$A$12:$A$130,"&gt;="&amp;Diagram!$O88,'J1 A - (North) Bishopthorpe Roa'!$A$12:$A$130,"&lt;"&amp;Diagram!$P88),SUMIFS(INDIRECT(ADDRESS(12,3+18*1+(14),,,"J1 A - (North) Bishopthorpe Roa")&amp;":"&amp;ADDRESS(130,3+18*1+(14))),'J1 A - (North) Bishopthorpe Roa'!$A$12:$A$130,"&gt;="&amp;Diagram!$O88,'J1 A - (North) Bishopthorpe Roa'!$A$12:$A$130,"&lt;"&amp;Diagram!$P88)))</f>
        <v>1</v>
      </c>
      <c r="DT88" s="42">
        <f ca="1">IF(OR($I$10="",$O88="",$P88="",$J$41&lt;&gt;"Yes"),0,IF($K$10=0,SUMIFS(INDIRECT(ADDRESS(12,3+18*2+(6),,,"J1 A - (North) Bishopthorpe Roa")&amp;":"&amp;ADDRESS(130,3+18*2+(6))),'J1 A - (North) Bishopthorpe Roa'!$A$12:$A$130,"&gt;="&amp;Diagram!$O88,'J1 A - (North) Bishopthorpe Roa'!$A$12:$A$130,"&lt;"&amp;Diagram!$P88),SUMIFS(INDIRECT(ADDRESS(12,3+18*2+(14),,,"J1 A - (North) Bishopthorpe Roa")&amp;":"&amp;ADDRESS(130,3+18*2+(14))),'J1 A - (North) Bishopthorpe Roa'!$A$12:$A$130,"&gt;="&amp;Diagram!$O88,'J1 A - (North) Bishopthorpe Roa'!$A$12:$A$130,"&lt;"&amp;Diagram!$P88)))</f>
        <v>1</v>
      </c>
      <c r="DU88" s="42">
        <f ca="1">IF(OR($I$10="",$O88="",$P88="",$J$41&lt;&gt;"Yes"),0,IF($K$10=0,SUMIFS(INDIRECT(ADDRESS(12,3+18*2+(6),,,"J1 B - Butcher Terrace")&amp;":"&amp;ADDRESS(130,3+18*2+(6))),'J1 B - Butcher Terrace'!$A$12:$A$130,"&gt;="&amp;Diagram!$O88,'J1 B - Butcher Terrace'!$A$12:$A$130,"&lt;"&amp;Diagram!$P88),SUMIFS(INDIRECT(ADDRESS(12,3+18*2+(14),,,"J1 B - Butcher Terrace")&amp;":"&amp;ADDRESS(130,3+18*2+(14))),'J1 B - Butcher Terrace'!$A$12:$A$130,"&gt;="&amp;Diagram!$O88,'J1 B - Butcher Terrace'!$A$12:$A$130,"&lt;"&amp;Diagram!$P88)))</f>
        <v>0</v>
      </c>
      <c r="DV88" s="42">
        <f ca="1">IF(OR($I$10="",$O88="",$P88="",$J$41&lt;&gt;"Yes"),0,IF($K$10=0,SUMIFS(INDIRECT(ADDRESS(12,3+18*3+(6),,,"J1 B - Butcher Terrace")&amp;":"&amp;ADDRESS(130,3+18*3+(6))),'J1 B - Butcher Terrace'!$A$12:$A$130,"&gt;="&amp;Diagram!$O88,'J1 B - Butcher Terrace'!$A$12:$A$130,"&lt;"&amp;Diagram!$P88),SUMIFS(INDIRECT(ADDRESS(12,3+18*3+(14),,,"J1 B - Butcher Terrace")&amp;":"&amp;ADDRESS(130,3+18*3+(14))),'J1 B - Butcher Terrace'!$A$12:$A$130,"&gt;="&amp;Diagram!$O88,'J1 B - Butcher Terrace'!$A$12:$A$130,"&lt;"&amp;Diagram!$P88)))</f>
        <v>0</v>
      </c>
      <c r="DW88" s="42">
        <f ca="1">IF(OR($I$10="",$O88="",$P88="",$J$41&lt;&gt;"Yes"),0,IF($K$10=0,SUMIFS(INDIRECT(ADDRESS(12,3+18*0+(6),,,"J1 B - Butcher Terrace")&amp;":"&amp;ADDRESS(130,3+18*0+(6))),'J1 B - Butcher Terrace'!$A$12:$A$130,"&gt;="&amp;Diagram!$O88,'J1 B - Butcher Terrace'!$A$12:$A$130,"&lt;"&amp;Diagram!$P88),SUMIFS(INDIRECT(ADDRESS(12,3+18*0+(14),,,"J1 B - Butcher Terrace")&amp;":"&amp;ADDRESS(130,3+18*0+(14))),'J1 B - Butcher Terrace'!$A$12:$A$130,"&gt;="&amp;Diagram!$O88,'J1 B - Butcher Terrace'!$A$12:$A$130,"&lt;"&amp;Diagram!$P88)))</f>
        <v>0</v>
      </c>
      <c r="DX88" s="42">
        <f ca="1">IF(OR($I$10="",$O88="",$P88="",$J$41&lt;&gt;"Yes"),0,IF($K$10=0,SUMIFS(INDIRECT(ADDRESS(12,3+18*1+(6),,,"J1 B - Butcher Terrace")&amp;":"&amp;ADDRESS(130,3+18*1+(6))),'J1 B - Butcher Terrace'!$A$12:$A$130,"&gt;="&amp;Diagram!$O88,'J1 B - Butcher Terrace'!$A$12:$A$130,"&lt;"&amp;Diagram!$P88),SUMIFS(INDIRECT(ADDRESS(12,3+18*1+(14),,,"J1 B - Butcher Terrace")&amp;":"&amp;ADDRESS(130,3+18*1+(14))),'J1 B - Butcher Terrace'!$A$12:$A$130,"&gt;="&amp;Diagram!$O88,'J1 B - Butcher Terrace'!$A$12:$A$130,"&lt;"&amp;Diagram!$P88)))</f>
        <v>2</v>
      </c>
      <c r="DY88" s="42">
        <f ca="1">IF(OR($I$10="",$O88="",$P88="",$J$41&lt;&gt;"Yes"),0,IF($K$10=0,SUMIFS(INDIRECT(ADDRESS(12,3+18*1+(6),,,"J1 C - (South) Bishopthorpe Roa")&amp;":"&amp;ADDRESS(130,3+18*1+(6))),'J1 C - (South) Bishopthorpe Roa'!$A$12:$A$130,"&gt;="&amp;Diagram!$O88,'J1 C - (South) Bishopthorpe Roa'!$A$12:$A$130,"&lt;"&amp;Diagram!$P88),SUMIFS(INDIRECT(ADDRESS(12,3+18*1+(14),,,"J1 C - (South) Bishopthorpe Roa")&amp;":"&amp;ADDRESS(130,3+18*1+(14))),'J1 C - (South) Bishopthorpe Roa'!$A$12:$A$130,"&gt;="&amp;Diagram!$O88,'J1 C - (South) Bishopthorpe Roa'!$A$12:$A$130,"&lt;"&amp;Diagram!$P88)))</f>
        <v>1</v>
      </c>
      <c r="DZ88" s="42">
        <f ca="1">IF(OR($I$10="",$O88="",$P88="",$J$41&lt;&gt;"Yes"),0,IF($K$10=0,SUMIFS(INDIRECT(ADDRESS(12,3+18*2+(6),,,"J1 C - (South) Bishopthorpe Roa")&amp;":"&amp;ADDRESS(130,3+18*2+(6))),'J1 C - (South) Bishopthorpe Roa'!$A$12:$A$130,"&gt;="&amp;Diagram!$O88,'J1 C - (South) Bishopthorpe Roa'!$A$12:$A$130,"&lt;"&amp;Diagram!$P88),SUMIFS(INDIRECT(ADDRESS(12,3+18*2+(14),,,"J1 C - (South) Bishopthorpe Roa")&amp;":"&amp;ADDRESS(130,3+18*2+(14))),'J1 C - (South) Bishopthorpe Roa'!$A$12:$A$130,"&gt;="&amp;Diagram!$O88,'J1 C - (South) Bishopthorpe Roa'!$A$12:$A$130,"&lt;"&amp;Diagram!$P88)))</f>
        <v>0</v>
      </c>
      <c r="EA88" s="42">
        <f ca="1">IF(OR($I$10="",$O88="",$P88="",$J$41&lt;&gt;"Yes"),0,IF($K$10=0,SUMIFS(INDIRECT(ADDRESS(12,3+18*3+(6),,,"J1 C - (South) Bishopthorpe Roa")&amp;":"&amp;ADDRESS(130,3+18*3+(6))),'J1 C - (South) Bishopthorpe Roa'!$A$12:$A$130,"&gt;="&amp;Diagram!$O88,'J1 C - (South) Bishopthorpe Roa'!$A$12:$A$130,"&lt;"&amp;Diagram!$P88),SUMIFS(INDIRECT(ADDRESS(12,3+18*3+(14),,,"J1 C - (South) Bishopthorpe Roa")&amp;":"&amp;ADDRESS(130,3+18*3+(14))),'J1 C - (South) Bishopthorpe Roa'!$A$12:$A$130,"&gt;="&amp;Diagram!$O88,'J1 C - (South) Bishopthorpe Roa'!$A$12:$A$130,"&lt;"&amp;Diagram!$P88)))</f>
        <v>0</v>
      </c>
      <c r="EB88" s="42">
        <f ca="1">IF(OR($I$10="",$O88="",$P88="",$J$41&lt;&gt;"Yes"),0,IF($K$10=0,SUMIFS(INDIRECT(ADDRESS(12,3+18*0+(6),,,"J1 C - (South) Bishopthorpe Roa")&amp;":"&amp;ADDRESS(130,3+18*0+(6))),'J1 C - (South) Bishopthorpe Roa'!$A$12:$A$130,"&gt;="&amp;Diagram!$O88,'J1 C - (South) Bishopthorpe Roa'!$A$12:$A$130,"&lt;"&amp;Diagram!$P88),SUMIFS(INDIRECT(ADDRESS(12,3+18*0+(14),,,"J1 C - (South) Bishopthorpe Roa")&amp;":"&amp;ADDRESS(130,3+18*0+(14))),'J1 C - (South) Bishopthorpe Roa'!$A$12:$A$130,"&gt;="&amp;Diagram!$O88,'J1 C - (South) Bishopthorpe Roa'!$A$12:$A$130,"&lt;"&amp;Diagram!$P88)))</f>
        <v>0</v>
      </c>
      <c r="EC88" s="42">
        <f ca="1">IF(OR($I$10="",$O88="",$P88="",$J$41&lt;&gt;"Yes"),0,IF($K$10=0,SUMIFS(INDIRECT(ADDRESS(12,3+18*0+(6),,,"J1 D - South Bank Avenue")&amp;":"&amp;ADDRESS(130,3+18*0+(6))),'J1 D - South Bank Avenue'!$A$12:$A$130,"&gt;="&amp;Diagram!$O88,'J1 D - South Bank Avenue'!$A$12:$A$130,"&lt;"&amp;Diagram!$P88),SUMIFS(INDIRECT(ADDRESS(12,3+18*0+(14),,,"J1 D - South Bank Avenue")&amp;":"&amp;ADDRESS(130,3+18*0+(14))),'J1 D - South Bank Avenue'!$A$12:$A$130,"&gt;="&amp;Diagram!$O88,'J1 D - South Bank Avenue'!$A$12:$A$130,"&lt;"&amp;Diagram!$P88)))</f>
        <v>1</v>
      </c>
      <c r="ED88" s="42">
        <f ca="1">IF(OR($I$10="",$O88="",$P88="",$J$41&lt;&gt;"Yes"),0,IF($K$10=0,SUMIFS(INDIRECT(ADDRESS(12,3+18*1+(6),,,"J1 D - South Bank Avenue")&amp;":"&amp;ADDRESS(130,3+18*1+(6))),'J1 D - South Bank Avenue'!$A$12:$A$130,"&gt;="&amp;Diagram!$O88,'J1 D - South Bank Avenue'!$A$12:$A$130,"&lt;"&amp;Diagram!$P88),SUMIFS(INDIRECT(ADDRESS(12,3+18*1+(14),,,"J1 D - South Bank Avenue")&amp;":"&amp;ADDRESS(130,3+18*1+(14))),'J1 D - South Bank Avenue'!$A$12:$A$130,"&gt;="&amp;Diagram!$O88,'J1 D - South Bank Avenue'!$A$12:$A$130,"&lt;"&amp;Diagram!$P88)))</f>
        <v>2</v>
      </c>
      <c r="EE88" s="42">
        <f ca="1">IF(OR($I$10="",$O88="",$P88="",$J$41&lt;&gt;"Yes"),0,IF($K$10=0,SUMIFS(INDIRECT(ADDRESS(12,3+18*2+(6),,,"J1 D - South Bank Avenue")&amp;":"&amp;ADDRESS(130,3+18*2+(6))),'J1 D - South Bank Avenue'!$A$12:$A$130,"&gt;="&amp;Diagram!$O88,'J1 D - South Bank Avenue'!$A$12:$A$130,"&lt;"&amp;Diagram!$P88),SUMIFS(INDIRECT(ADDRESS(12,3+18*2+(14),,,"J1 D - South Bank Avenue")&amp;":"&amp;ADDRESS(130,3+18*2+(14))),'J1 D - South Bank Avenue'!$A$12:$A$130,"&gt;="&amp;Diagram!$O88,'J1 D - South Bank Avenue'!$A$12:$A$130,"&lt;"&amp;Diagram!$P88)))</f>
        <v>0</v>
      </c>
      <c r="EF88" s="42">
        <f ca="1">IF(OR($I$10="",$O88="",$P88="",$J$41&lt;&gt;"Yes"),0,IF($K$10=0,SUMIFS(INDIRECT(ADDRESS(12,3+18*3+(6),,,"J1 D - South Bank Avenue")&amp;":"&amp;ADDRESS(130,3+18*3+(6))),'J1 D - South Bank Avenue'!$A$12:$A$130,"&gt;="&amp;Diagram!$O88,'J1 D - South Bank Avenue'!$A$12:$A$130,"&lt;"&amp;Diagram!$P88),SUMIFS(INDIRECT(ADDRESS(12,3+18*3+(14),,,"J1 D - South Bank Avenue")&amp;":"&amp;ADDRESS(130,3+18*3+(14))),'J1 D - South Bank Avenue'!$A$12:$A$130,"&gt;="&amp;Diagram!$O88,'J1 D - South Bank Avenue'!$A$12:$A$130,"&lt;"&amp;Diagram!$P88)))</f>
        <v>0</v>
      </c>
      <c r="EG88" s="42">
        <f t="shared" ca="1" si="18"/>
        <v>0</v>
      </c>
      <c r="EH88" s="42">
        <f ca="1">IF(OR($I$10="",$O88="",$P88="",$J$42&lt;&gt;"Yes"),0,IF($K$10=0,SUMIFS(INDIRECT(ADDRESS(12,3+18*3+(7),,,"J1 A - (North) Bishopthorpe Roa")&amp;":"&amp;ADDRESS(130,3+18*3+(7))),'J1 A - (North) Bishopthorpe Roa'!$A$12:$A$130,"&gt;="&amp;Diagram!$O88,'J1 A - (North) Bishopthorpe Roa'!$A$12:$A$130,"&lt;"&amp;Diagram!$P88),SUMIFS(INDIRECT(ADDRESS(12,3+18*3+(15),,,"J1 A - (North) Bishopthorpe Roa")&amp;":"&amp;ADDRESS(130,3+18*3+(15))),'J1 A - (North) Bishopthorpe Roa'!$A$12:$A$130,"&gt;="&amp;Diagram!$O88,'J1 A - (North) Bishopthorpe Roa'!$A$12:$A$130,"&lt;"&amp;Diagram!$P88)))</f>
        <v>0</v>
      </c>
      <c r="EI88" s="42">
        <f ca="1">IF(OR($I$10="",$O88="",$P88="",$J$42&lt;&gt;"Yes"),0,IF($K$10=0,SUMIFS(INDIRECT(ADDRESS(12,3+18*0+(7),,,"J1 A - (North) Bishopthorpe Roa")&amp;":"&amp;ADDRESS(130,3+18*0+(7))),'J1 A - (North) Bishopthorpe Roa'!$A$12:$A$130,"&gt;="&amp;Diagram!$O88,'J1 A - (North) Bishopthorpe Roa'!$A$12:$A$130,"&lt;"&amp;Diagram!$P88),SUMIFS(INDIRECT(ADDRESS(12,3+18*0+(15),,,"J1 A - (North) Bishopthorpe Roa")&amp;":"&amp;ADDRESS(130,3+18*0+(15))),'J1 A - (North) Bishopthorpe Roa'!$A$12:$A$130,"&gt;="&amp;Diagram!$O88,'J1 A - (North) Bishopthorpe Roa'!$A$12:$A$130,"&lt;"&amp;Diagram!$P88)))</f>
        <v>0</v>
      </c>
      <c r="EJ88" s="42">
        <f ca="1">IF(OR($I$10="",$O88="",$P88="",$J$42&lt;&gt;"Yes"),0,IF($K$10=0,SUMIFS(INDIRECT(ADDRESS(12,3+18*1+(7),,,"J1 A - (North) Bishopthorpe Roa")&amp;":"&amp;ADDRESS(130,3+18*1+(7))),'J1 A - (North) Bishopthorpe Roa'!$A$12:$A$130,"&gt;="&amp;Diagram!$O88,'J1 A - (North) Bishopthorpe Roa'!$A$12:$A$130,"&lt;"&amp;Diagram!$P88),SUMIFS(INDIRECT(ADDRESS(12,3+18*1+(15),,,"J1 A - (North) Bishopthorpe Roa")&amp;":"&amp;ADDRESS(130,3+18*1+(15))),'J1 A - (North) Bishopthorpe Roa'!$A$12:$A$130,"&gt;="&amp;Diagram!$O88,'J1 A - (North) Bishopthorpe Roa'!$A$12:$A$130,"&lt;"&amp;Diagram!$P88)))</f>
        <v>0</v>
      </c>
      <c r="EK88" s="42">
        <f ca="1">IF(OR($I$10="",$O88="",$P88="",$J$42&lt;&gt;"Yes"),0,IF($K$10=0,SUMIFS(INDIRECT(ADDRESS(12,3+18*2+(7),,,"J1 A - (North) Bishopthorpe Roa")&amp;":"&amp;ADDRESS(130,3+18*2+(7))),'J1 A - (North) Bishopthorpe Roa'!$A$12:$A$130,"&gt;="&amp;Diagram!$O88,'J1 A - (North) Bishopthorpe Roa'!$A$12:$A$130,"&lt;"&amp;Diagram!$P88),SUMIFS(INDIRECT(ADDRESS(12,3+18*2+(15),,,"J1 A - (North) Bishopthorpe Roa")&amp;":"&amp;ADDRESS(130,3+18*2+(15))),'J1 A - (North) Bishopthorpe Roa'!$A$12:$A$130,"&gt;="&amp;Diagram!$O88,'J1 A - (North) Bishopthorpe Roa'!$A$12:$A$130,"&lt;"&amp;Diagram!$P88)))</f>
        <v>0</v>
      </c>
      <c r="EL88" s="42">
        <f ca="1">IF(OR($I$10="",$O88="",$P88="",$J$42&lt;&gt;"Yes"),0,IF($K$10=0,SUMIFS(INDIRECT(ADDRESS(12,3+18*2+(7),,,"J1 B - Butcher Terrace")&amp;":"&amp;ADDRESS(130,3+18*2+(7))),'J1 B - Butcher Terrace'!$A$12:$A$130,"&gt;="&amp;Diagram!$O88,'J1 B - Butcher Terrace'!$A$12:$A$130,"&lt;"&amp;Diagram!$P88),SUMIFS(INDIRECT(ADDRESS(12,3+18*2+(15),,,"J1 B - Butcher Terrace")&amp;":"&amp;ADDRESS(130,3+18*2+(15))),'J1 B - Butcher Terrace'!$A$12:$A$130,"&gt;="&amp;Diagram!$O88,'J1 B - Butcher Terrace'!$A$12:$A$130,"&lt;"&amp;Diagram!$P88)))</f>
        <v>0</v>
      </c>
      <c r="EM88" s="42">
        <f ca="1">IF(OR($I$10="",$O88="",$P88="",$J$42&lt;&gt;"Yes"),0,IF($K$10=0,SUMIFS(INDIRECT(ADDRESS(12,3+18*3+(7),,,"J1 B - Butcher Terrace")&amp;":"&amp;ADDRESS(130,3+18*3+(7))),'J1 B - Butcher Terrace'!$A$12:$A$130,"&gt;="&amp;Diagram!$O88,'J1 B - Butcher Terrace'!$A$12:$A$130,"&lt;"&amp;Diagram!$P88),SUMIFS(INDIRECT(ADDRESS(12,3+18*3+(15),,,"J1 B - Butcher Terrace")&amp;":"&amp;ADDRESS(130,3+18*3+(15))),'J1 B - Butcher Terrace'!$A$12:$A$130,"&gt;="&amp;Diagram!$O88,'J1 B - Butcher Terrace'!$A$12:$A$130,"&lt;"&amp;Diagram!$P88)))</f>
        <v>0</v>
      </c>
      <c r="EN88" s="42">
        <f ca="1">IF(OR($I$10="",$O88="",$P88="",$J$42&lt;&gt;"Yes"),0,IF($K$10=0,SUMIFS(INDIRECT(ADDRESS(12,3+18*0+(7),,,"J1 B - Butcher Terrace")&amp;":"&amp;ADDRESS(130,3+18*0+(7))),'J1 B - Butcher Terrace'!$A$12:$A$130,"&gt;="&amp;Diagram!$O88,'J1 B - Butcher Terrace'!$A$12:$A$130,"&lt;"&amp;Diagram!$P88),SUMIFS(INDIRECT(ADDRESS(12,3+18*0+(15),,,"J1 B - Butcher Terrace")&amp;":"&amp;ADDRESS(130,3+18*0+(15))),'J1 B - Butcher Terrace'!$A$12:$A$130,"&gt;="&amp;Diagram!$O88,'J1 B - Butcher Terrace'!$A$12:$A$130,"&lt;"&amp;Diagram!$P88)))</f>
        <v>0</v>
      </c>
      <c r="EO88" s="42">
        <f ca="1">IF(OR($I$10="",$O88="",$P88="",$J$42&lt;&gt;"Yes"),0,IF($K$10=0,SUMIFS(INDIRECT(ADDRESS(12,3+18*1+(7),,,"J1 B - Butcher Terrace")&amp;":"&amp;ADDRESS(130,3+18*1+(7))),'J1 B - Butcher Terrace'!$A$12:$A$130,"&gt;="&amp;Diagram!$O88,'J1 B - Butcher Terrace'!$A$12:$A$130,"&lt;"&amp;Diagram!$P88),SUMIFS(INDIRECT(ADDRESS(12,3+18*1+(15),,,"J1 B - Butcher Terrace")&amp;":"&amp;ADDRESS(130,3+18*1+(15))),'J1 B - Butcher Terrace'!$A$12:$A$130,"&gt;="&amp;Diagram!$O88,'J1 B - Butcher Terrace'!$A$12:$A$130,"&lt;"&amp;Diagram!$P88)))</f>
        <v>0</v>
      </c>
      <c r="EP88" s="42">
        <f ca="1">IF(OR($I$10="",$O88="",$P88="",$J$42&lt;&gt;"Yes"),0,IF($K$10=0,SUMIFS(INDIRECT(ADDRESS(12,3+18*1+(7),,,"J1 C - (South) Bishopthorpe Roa")&amp;":"&amp;ADDRESS(130,3+18*1+(7))),'J1 C - (South) Bishopthorpe Roa'!$A$12:$A$130,"&gt;="&amp;Diagram!$O88,'J1 C - (South) Bishopthorpe Roa'!$A$12:$A$130,"&lt;"&amp;Diagram!$P88),SUMIFS(INDIRECT(ADDRESS(12,3+18*1+(15),,,"J1 C - (South) Bishopthorpe Roa")&amp;":"&amp;ADDRESS(130,3+18*1+(15))),'J1 C - (South) Bishopthorpe Roa'!$A$12:$A$130,"&gt;="&amp;Diagram!$O88,'J1 C - (South) Bishopthorpe Roa'!$A$12:$A$130,"&lt;"&amp;Diagram!$P88)))</f>
        <v>0</v>
      </c>
      <c r="EQ88" s="42">
        <f ca="1">IF(OR($I$10="",$O88="",$P88="",$J$42&lt;&gt;"Yes"),0,IF($K$10=0,SUMIFS(INDIRECT(ADDRESS(12,3+18*2+(7),,,"J1 C - (South) Bishopthorpe Roa")&amp;":"&amp;ADDRESS(130,3+18*2+(7))),'J1 C - (South) Bishopthorpe Roa'!$A$12:$A$130,"&gt;="&amp;Diagram!$O88,'J1 C - (South) Bishopthorpe Roa'!$A$12:$A$130,"&lt;"&amp;Diagram!$P88),SUMIFS(INDIRECT(ADDRESS(12,3+18*2+(15),,,"J1 C - (South) Bishopthorpe Roa")&amp;":"&amp;ADDRESS(130,3+18*2+(15))),'J1 C - (South) Bishopthorpe Roa'!$A$12:$A$130,"&gt;="&amp;Diagram!$O88,'J1 C - (South) Bishopthorpe Roa'!$A$12:$A$130,"&lt;"&amp;Diagram!$P88)))</f>
        <v>0</v>
      </c>
      <c r="ER88" s="42">
        <f ca="1">IF(OR($I$10="",$O88="",$P88="",$J$42&lt;&gt;"Yes"),0,IF($K$10=0,SUMIFS(INDIRECT(ADDRESS(12,3+18*3+(7),,,"J1 C - (South) Bishopthorpe Roa")&amp;":"&amp;ADDRESS(130,3+18*3+(7))),'J1 C - (South) Bishopthorpe Roa'!$A$12:$A$130,"&gt;="&amp;Diagram!$O88,'J1 C - (South) Bishopthorpe Roa'!$A$12:$A$130,"&lt;"&amp;Diagram!$P88),SUMIFS(INDIRECT(ADDRESS(12,3+18*3+(15),,,"J1 C - (South) Bishopthorpe Roa")&amp;":"&amp;ADDRESS(130,3+18*3+(15))),'J1 C - (South) Bishopthorpe Roa'!$A$12:$A$130,"&gt;="&amp;Diagram!$O88,'J1 C - (South) Bishopthorpe Roa'!$A$12:$A$130,"&lt;"&amp;Diagram!$P88)))</f>
        <v>0</v>
      </c>
      <c r="ES88" s="42">
        <f ca="1">IF(OR($I$10="",$O88="",$P88="",$J$42&lt;&gt;"Yes"),0,IF($K$10=0,SUMIFS(INDIRECT(ADDRESS(12,3+18*0+(7),,,"J1 C - (South) Bishopthorpe Roa")&amp;":"&amp;ADDRESS(130,3+18*0+(7))),'J1 C - (South) Bishopthorpe Roa'!$A$12:$A$130,"&gt;="&amp;Diagram!$O88,'J1 C - (South) Bishopthorpe Roa'!$A$12:$A$130,"&lt;"&amp;Diagram!$P88),SUMIFS(INDIRECT(ADDRESS(12,3+18*0+(15),,,"J1 C - (South) Bishopthorpe Roa")&amp;":"&amp;ADDRESS(130,3+18*0+(15))),'J1 C - (South) Bishopthorpe Roa'!$A$12:$A$130,"&gt;="&amp;Diagram!$O88,'J1 C - (South) Bishopthorpe Roa'!$A$12:$A$130,"&lt;"&amp;Diagram!$P88)))</f>
        <v>0</v>
      </c>
      <c r="ET88" s="42">
        <f ca="1">IF(OR($I$10="",$O88="",$P88="",$J$42&lt;&gt;"Yes"),0,IF($K$10=0,SUMIFS(INDIRECT(ADDRESS(12,3+18*0+(7),,,"J1 D - South Bank Avenue")&amp;":"&amp;ADDRESS(130,3+18*0+(7))),'J1 D - South Bank Avenue'!$A$12:$A$130,"&gt;="&amp;Diagram!$O88,'J1 D - South Bank Avenue'!$A$12:$A$130,"&lt;"&amp;Diagram!$P88),SUMIFS(INDIRECT(ADDRESS(12,3+18*0+(15),,,"J1 D - South Bank Avenue")&amp;":"&amp;ADDRESS(130,3+18*0+(15))),'J1 D - South Bank Avenue'!$A$12:$A$130,"&gt;="&amp;Diagram!$O88,'J1 D - South Bank Avenue'!$A$12:$A$130,"&lt;"&amp;Diagram!$P88)))</f>
        <v>0</v>
      </c>
      <c r="EU88" s="42">
        <f ca="1">IF(OR($I$10="",$O88="",$P88="",$J$42&lt;&gt;"Yes"),0,IF($K$10=0,SUMIFS(INDIRECT(ADDRESS(12,3+18*1+(7),,,"J1 D - South Bank Avenue")&amp;":"&amp;ADDRESS(130,3+18*1+(7))),'J1 D - South Bank Avenue'!$A$12:$A$130,"&gt;="&amp;Diagram!$O88,'J1 D - South Bank Avenue'!$A$12:$A$130,"&lt;"&amp;Diagram!$P88),SUMIFS(INDIRECT(ADDRESS(12,3+18*1+(15),,,"J1 D - South Bank Avenue")&amp;":"&amp;ADDRESS(130,3+18*1+(15))),'J1 D - South Bank Avenue'!$A$12:$A$130,"&gt;="&amp;Diagram!$O88,'J1 D - South Bank Avenue'!$A$12:$A$130,"&lt;"&amp;Diagram!$P88)))</f>
        <v>0</v>
      </c>
      <c r="EV88" s="42">
        <f ca="1">IF(OR($I$10="",$O88="",$P88="",$J$42&lt;&gt;"Yes"),0,IF($K$10=0,SUMIFS(INDIRECT(ADDRESS(12,3+18*2+(7),,,"J1 D - South Bank Avenue")&amp;":"&amp;ADDRESS(130,3+18*2+(7))),'J1 D - South Bank Avenue'!$A$12:$A$130,"&gt;="&amp;Diagram!$O88,'J1 D - South Bank Avenue'!$A$12:$A$130,"&lt;"&amp;Diagram!$P88),SUMIFS(INDIRECT(ADDRESS(12,3+18*2+(15),,,"J1 D - South Bank Avenue")&amp;":"&amp;ADDRESS(130,3+18*2+(15))),'J1 D - South Bank Avenue'!$A$12:$A$130,"&gt;="&amp;Diagram!$O88,'J1 D - South Bank Avenue'!$A$12:$A$130,"&lt;"&amp;Diagram!$P88)))</f>
        <v>0</v>
      </c>
      <c r="EW88" s="42">
        <f ca="1">IF(OR($I$10="",$O88="",$P88="",$J$42&lt;&gt;"Yes"),0,IF($K$10=0,SUMIFS(INDIRECT(ADDRESS(12,3+18*3+(7),,,"J1 D - South Bank Avenue")&amp;":"&amp;ADDRESS(130,3+18*3+(7))),'J1 D - South Bank Avenue'!$A$12:$A$130,"&gt;="&amp;Diagram!$O88,'J1 D - South Bank Avenue'!$A$12:$A$130,"&lt;"&amp;Diagram!$P88),SUMIFS(INDIRECT(ADDRESS(12,3+18*3+(15),,,"J1 D - South Bank Avenue")&amp;":"&amp;ADDRESS(130,3+18*3+(15))),'J1 D - South Bank Avenue'!$A$12:$A$130,"&gt;="&amp;Diagram!$O88,'J1 D - South Bank Avenue'!$A$12:$A$130,"&lt;"&amp;Diagram!$P88)))</f>
        <v>0</v>
      </c>
    </row>
    <row r="89" spans="1:153">
      <c r="A89" s="1">
        <v>44395.916666666701</v>
      </c>
      <c r="B89" s="1">
        <v>44395.927083333299</v>
      </c>
      <c r="O89" s="3">
        <v>44395.916666666701</v>
      </c>
      <c r="P89" s="3">
        <v>44395.958333333299</v>
      </c>
      <c r="Q89" s="42">
        <f t="shared" ca="1" si="10"/>
        <v>211</v>
      </c>
      <c r="R89" s="42">
        <f t="shared" ca="1" si="11"/>
        <v>158</v>
      </c>
      <c r="S89" s="42">
        <f ca="1">IF(OR($I$10="",$O89="",$P89="",$J$35&lt;&gt;"Yes"),0,IF($K$10=0,SUMIFS(INDIRECT(ADDRESS(12,3+18*3+(0),,,"J1 A - (North) Bishopthorpe Roa")&amp;":"&amp;ADDRESS(130,3+18*3+(0))),'J1 A - (North) Bishopthorpe Roa'!$A$12:$A$130,"&gt;="&amp;Diagram!$O89,'J1 A - (North) Bishopthorpe Roa'!$A$12:$A$130,"&lt;"&amp;Diagram!$P89),SUMIFS(INDIRECT(ADDRESS(12,3+18*3+(8),,,"J1 A - (North) Bishopthorpe Roa")&amp;":"&amp;ADDRESS(130,3+18*3+(8))),'J1 A - (North) Bishopthorpe Roa'!$A$12:$A$130,"&gt;="&amp;Diagram!$O89,'J1 A - (North) Bishopthorpe Roa'!$A$12:$A$130,"&lt;"&amp;Diagram!$P89)))</f>
        <v>1</v>
      </c>
      <c r="T89" s="42">
        <f ca="1">IF(OR($I$10="",$O89="",$P89="",$J$35&lt;&gt;"Yes"),0,IF($K$10=0,SUMIFS(INDIRECT(ADDRESS(12,3+18*0+(0),,,"J1 A - (North) Bishopthorpe Roa")&amp;":"&amp;ADDRESS(130,3+18*0+(0))),'J1 A - (North) Bishopthorpe Roa'!$A$12:$A$130,"&gt;="&amp;Diagram!$O89,'J1 A - (North) Bishopthorpe Roa'!$A$12:$A$130,"&lt;"&amp;Diagram!$P89),SUMIFS(INDIRECT(ADDRESS(12,3+18*0+(8),,,"J1 A - (North) Bishopthorpe Roa")&amp;":"&amp;ADDRESS(130,3+18*0+(8))),'J1 A - (North) Bishopthorpe Roa'!$A$12:$A$130,"&gt;="&amp;Diagram!$O89,'J1 A - (North) Bishopthorpe Roa'!$A$12:$A$130,"&lt;"&amp;Diagram!$P89)))</f>
        <v>8</v>
      </c>
      <c r="U89" s="42">
        <f ca="1">IF(OR($I$10="",$O89="",$P89="",$J$35&lt;&gt;"Yes"),0,IF($K$10=0,SUMIFS(INDIRECT(ADDRESS(12,3+18*1+(0),,,"J1 A - (North) Bishopthorpe Roa")&amp;":"&amp;ADDRESS(130,3+18*1+(0))),'J1 A - (North) Bishopthorpe Roa'!$A$12:$A$130,"&gt;="&amp;Diagram!$O89,'J1 A - (North) Bishopthorpe Roa'!$A$12:$A$130,"&lt;"&amp;Diagram!$P89),SUMIFS(INDIRECT(ADDRESS(12,3+18*1+(8),,,"J1 A - (North) Bishopthorpe Roa")&amp;":"&amp;ADDRESS(130,3+18*1+(8))),'J1 A - (North) Bishopthorpe Roa'!$A$12:$A$130,"&gt;="&amp;Diagram!$O89,'J1 A - (North) Bishopthorpe Roa'!$A$12:$A$130,"&lt;"&amp;Diagram!$P89)))</f>
        <v>67</v>
      </c>
      <c r="V89" s="42">
        <f ca="1">IF(OR($I$10="",$O89="",$P89="",$J$35&lt;&gt;"Yes"),0,IF($K$10=0,SUMIFS(INDIRECT(ADDRESS(12,3+18*2+(0),,,"J1 A - (North) Bishopthorpe Roa")&amp;":"&amp;ADDRESS(130,3+18*2+(0))),'J1 A - (North) Bishopthorpe Roa'!$A$12:$A$130,"&gt;="&amp;Diagram!$O89,'J1 A - (North) Bishopthorpe Roa'!$A$12:$A$130,"&lt;"&amp;Diagram!$P89),SUMIFS(INDIRECT(ADDRESS(12,3+18*2+(8),,,"J1 A - (North) Bishopthorpe Roa")&amp;":"&amp;ADDRESS(130,3+18*2+(8))),'J1 A - (North) Bishopthorpe Roa'!$A$12:$A$130,"&gt;="&amp;Diagram!$O89,'J1 A - (North) Bishopthorpe Roa'!$A$12:$A$130,"&lt;"&amp;Diagram!$P89)))</f>
        <v>11</v>
      </c>
      <c r="W89" s="42">
        <f ca="1">IF(OR($I$10="",$O89="",$P89="",$J$35&lt;&gt;"Yes"),0,IF($K$10=0,SUMIFS(INDIRECT(ADDRESS(12,3+18*2+(0),,,"J1 B - Butcher Terrace")&amp;":"&amp;ADDRESS(130,3+18*2+(0))),'J1 B - Butcher Terrace'!$A$12:$A$130,"&gt;="&amp;Diagram!$O89,'J1 B - Butcher Terrace'!$A$12:$A$130,"&lt;"&amp;Diagram!$P89),SUMIFS(INDIRECT(ADDRESS(12,3+18*2+(8),,,"J1 B - Butcher Terrace")&amp;":"&amp;ADDRESS(130,3+18*2+(8))),'J1 B - Butcher Terrace'!$A$12:$A$130,"&gt;="&amp;Diagram!$O89,'J1 B - Butcher Terrace'!$A$12:$A$130,"&lt;"&amp;Diagram!$P89)))</f>
        <v>7</v>
      </c>
      <c r="X89" s="42">
        <f ca="1">IF(OR($I$10="",$O89="",$P89="",$J$35&lt;&gt;"Yes"),0,IF($K$10=0,SUMIFS(INDIRECT(ADDRESS(12,3+18*3+(0),,,"J1 B - Butcher Terrace")&amp;":"&amp;ADDRESS(130,3+18*3+(0))),'J1 B - Butcher Terrace'!$A$12:$A$130,"&gt;="&amp;Diagram!$O89,'J1 B - Butcher Terrace'!$A$12:$A$130,"&lt;"&amp;Diagram!$P89),SUMIFS(INDIRECT(ADDRESS(12,3+18*3+(8),,,"J1 B - Butcher Terrace")&amp;":"&amp;ADDRESS(130,3+18*3+(8))),'J1 B - Butcher Terrace'!$A$12:$A$130,"&gt;="&amp;Diagram!$O89,'J1 B - Butcher Terrace'!$A$12:$A$130,"&lt;"&amp;Diagram!$P89)))</f>
        <v>0</v>
      </c>
      <c r="Y89" s="42">
        <f ca="1">IF(OR($I$10="",$O89="",$P89="",$J$35&lt;&gt;"Yes"),0,IF($K$10=0,SUMIFS(INDIRECT(ADDRESS(12,3+18*0+(0),,,"J1 B - Butcher Terrace")&amp;":"&amp;ADDRESS(130,3+18*0+(0))),'J1 B - Butcher Terrace'!$A$12:$A$130,"&gt;="&amp;Diagram!$O89,'J1 B - Butcher Terrace'!$A$12:$A$130,"&lt;"&amp;Diagram!$P89),SUMIFS(INDIRECT(ADDRESS(12,3+18*0+(8),,,"J1 B - Butcher Terrace")&amp;":"&amp;ADDRESS(130,3+18*0+(8))),'J1 B - Butcher Terrace'!$A$12:$A$130,"&gt;="&amp;Diagram!$O89,'J1 B - Butcher Terrace'!$A$12:$A$130,"&lt;"&amp;Diagram!$P89)))</f>
        <v>0</v>
      </c>
      <c r="Z89" s="42">
        <f ca="1">IF(OR($I$10="",$O89="",$P89="",$J$35&lt;&gt;"Yes"),0,IF($K$10=0,SUMIFS(INDIRECT(ADDRESS(12,3+18*1+(0),,,"J1 B - Butcher Terrace")&amp;":"&amp;ADDRESS(130,3+18*1+(0))),'J1 B - Butcher Terrace'!$A$12:$A$130,"&gt;="&amp;Diagram!$O89,'J1 B - Butcher Terrace'!$A$12:$A$130,"&lt;"&amp;Diagram!$P89),SUMIFS(INDIRECT(ADDRESS(12,3+18*1+(8),,,"J1 B - Butcher Terrace")&amp;":"&amp;ADDRESS(130,3+18*1+(8))),'J1 B - Butcher Terrace'!$A$12:$A$130,"&gt;="&amp;Diagram!$O89,'J1 B - Butcher Terrace'!$A$12:$A$130,"&lt;"&amp;Diagram!$P89)))</f>
        <v>0</v>
      </c>
      <c r="AA89" s="42">
        <f ca="1">IF(OR($I$10="",$O89="",$P89="",$J$35&lt;&gt;"Yes"),0,IF($K$10=0,SUMIFS(INDIRECT(ADDRESS(12,3+18*1+(0),,,"J1 C - (South) Bishopthorpe Roa")&amp;":"&amp;ADDRESS(130,3+18*1+(0))),'J1 C - (South) Bishopthorpe Roa'!$A$12:$A$130,"&gt;="&amp;Diagram!$O89,'J1 C - (South) Bishopthorpe Roa'!$A$12:$A$130,"&lt;"&amp;Diagram!$P89),SUMIFS(INDIRECT(ADDRESS(12,3+18*1+(8),,,"J1 C - (South) Bishopthorpe Roa")&amp;":"&amp;ADDRESS(130,3+18*1+(8))),'J1 C - (South) Bishopthorpe Roa'!$A$12:$A$130,"&gt;="&amp;Diagram!$O89,'J1 C - (South) Bishopthorpe Roa'!$A$12:$A$130,"&lt;"&amp;Diagram!$P89)))</f>
        <v>49</v>
      </c>
      <c r="AB89" s="42">
        <f ca="1">IF(OR($I$10="",$O89="",$P89="",$J$35&lt;&gt;"Yes"),0,IF($K$10=0,SUMIFS(INDIRECT(ADDRESS(12,3+18*2+(0),,,"J1 C - (South) Bishopthorpe Roa")&amp;":"&amp;ADDRESS(130,3+18*2+(0))),'J1 C - (South) Bishopthorpe Roa'!$A$12:$A$130,"&gt;="&amp;Diagram!$O89,'J1 C - (South) Bishopthorpe Roa'!$A$12:$A$130,"&lt;"&amp;Diagram!$P89),SUMIFS(INDIRECT(ADDRESS(12,3+18*2+(8),,,"J1 C - (South) Bishopthorpe Roa")&amp;":"&amp;ADDRESS(130,3+18*2+(8))),'J1 C - (South) Bishopthorpe Roa'!$A$12:$A$130,"&gt;="&amp;Diagram!$O89,'J1 C - (South) Bishopthorpe Roa'!$A$12:$A$130,"&lt;"&amp;Diagram!$P89)))</f>
        <v>3</v>
      </c>
      <c r="AC89" s="42">
        <f ca="1">IF(OR($I$10="",$O89="",$P89="",$J$35&lt;&gt;"Yes"),0,IF($K$10=0,SUMIFS(INDIRECT(ADDRESS(12,3+18*3+(0),,,"J1 C - (South) Bishopthorpe Roa")&amp;":"&amp;ADDRESS(130,3+18*3+(0))),'J1 C - (South) Bishopthorpe Roa'!$A$12:$A$130,"&gt;="&amp;Diagram!$O89,'J1 C - (South) Bishopthorpe Roa'!$A$12:$A$130,"&lt;"&amp;Diagram!$P89),SUMIFS(INDIRECT(ADDRESS(12,3+18*3+(8),,,"J1 C - (South) Bishopthorpe Roa")&amp;":"&amp;ADDRESS(130,3+18*3+(8))),'J1 C - (South) Bishopthorpe Roa'!$A$12:$A$130,"&gt;="&amp;Diagram!$O89,'J1 C - (South) Bishopthorpe Roa'!$A$12:$A$130,"&lt;"&amp;Diagram!$P89)))</f>
        <v>0</v>
      </c>
      <c r="AD89" s="42">
        <f ca="1">IF(OR($I$10="",$O89="",$P89="",$J$35&lt;&gt;"Yes"),0,IF($K$10=0,SUMIFS(INDIRECT(ADDRESS(12,3+18*0+(0),,,"J1 C - (South) Bishopthorpe Roa")&amp;":"&amp;ADDRESS(130,3+18*0+(0))),'J1 C - (South) Bishopthorpe Roa'!$A$12:$A$130,"&gt;="&amp;Diagram!$O89,'J1 C - (South) Bishopthorpe Roa'!$A$12:$A$130,"&lt;"&amp;Diagram!$P89),SUMIFS(INDIRECT(ADDRESS(12,3+18*0+(8),,,"J1 C - (South) Bishopthorpe Roa")&amp;":"&amp;ADDRESS(130,3+18*0+(8))),'J1 C - (South) Bishopthorpe Roa'!$A$12:$A$130,"&gt;="&amp;Diagram!$O89,'J1 C - (South) Bishopthorpe Roa'!$A$12:$A$130,"&lt;"&amp;Diagram!$P89)))</f>
        <v>2</v>
      </c>
      <c r="AE89" s="42">
        <f ca="1">IF(OR($I$10="",$O89="",$P89="",$J$35&lt;&gt;"Yes"),0,IF($K$10=0,SUMIFS(INDIRECT(ADDRESS(12,3+18*0+(0),,,"J1 D - South Bank Avenue")&amp;":"&amp;ADDRESS(130,3+18*0+(0))),'J1 D - South Bank Avenue'!$A$12:$A$130,"&gt;="&amp;Diagram!$O89,'J1 D - South Bank Avenue'!$A$12:$A$130,"&lt;"&amp;Diagram!$P89),SUMIFS(INDIRECT(ADDRESS(12,3+18*0+(8),,,"J1 D - South Bank Avenue")&amp;":"&amp;ADDRESS(130,3+18*0+(8))),'J1 D - South Bank Avenue'!$A$12:$A$130,"&gt;="&amp;Diagram!$O89,'J1 D - South Bank Avenue'!$A$12:$A$130,"&lt;"&amp;Diagram!$P89)))</f>
        <v>8</v>
      </c>
      <c r="AF89" s="42">
        <f ca="1">IF(OR($I$10="",$O89="",$P89="",$J$35&lt;&gt;"Yes"),0,IF($K$10=0,SUMIFS(INDIRECT(ADDRESS(12,3+18*1+(0),,,"J1 D - South Bank Avenue")&amp;":"&amp;ADDRESS(130,3+18*1+(0))),'J1 D - South Bank Avenue'!$A$12:$A$130,"&gt;="&amp;Diagram!$O89,'J1 D - South Bank Avenue'!$A$12:$A$130,"&lt;"&amp;Diagram!$P89),SUMIFS(INDIRECT(ADDRESS(12,3+18*1+(8),,,"J1 D - South Bank Avenue")&amp;":"&amp;ADDRESS(130,3+18*1+(8))),'J1 D - South Bank Avenue'!$A$12:$A$130,"&gt;="&amp;Diagram!$O89,'J1 D - South Bank Avenue'!$A$12:$A$130,"&lt;"&amp;Diagram!$P89)))</f>
        <v>0</v>
      </c>
      <c r="AG89" s="42">
        <f ca="1">IF(OR($I$10="",$O89="",$P89="",$J$35&lt;&gt;"Yes"),0,IF($K$10=0,SUMIFS(INDIRECT(ADDRESS(12,3+18*2+(0),,,"J1 D - South Bank Avenue")&amp;":"&amp;ADDRESS(130,3+18*2+(0))),'J1 D - South Bank Avenue'!$A$12:$A$130,"&gt;="&amp;Diagram!$O89,'J1 D - South Bank Avenue'!$A$12:$A$130,"&lt;"&amp;Diagram!$P89),SUMIFS(INDIRECT(ADDRESS(12,3+18*2+(8),,,"J1 D - South Bank Avenue")&amp;":"&amp;ADDRESS(130,3+18*2+(8))),'J1 D - South Bank Avenue'!$A$12:$A$130,"&gt;="&amp;Diagram!$O89,'J1 D - South Bank Avenue'!$A$12:$A$130,"&lt;"&amp;Diagram!$P89)))</f>
        <v>2</v>
      </c>
      <c r="AH89" s="42">
        <f ca="1">IF(OR($I$10="",$O89="",$P89="",$J$35&lt;&gt;"Yes"),0,IF($K$10=0,SUMIFS(INDIRECT(ADDRESS(12,3+18*3+(0),,,"J1 D - South Bank Avenue")&amp;":"&amp;ADDRESS(130,3+18*3+(0))),'J1 D - South Bank Avenue'!$A$12:$A$130,"&gt;="&amp;Diagram!$O89,'J1 D - South Bank Avenue'!$A$12:$A$130,"&lt;"&amp;Diagram!$P89),SUMIFS(INDIRECT(ADDRESS(12,3+18*3+(8),,,"J1 D - South Bank Avenue")&amp;":"&amp;ADDRESS(130,3+18*3+(8))),'J1 D - South Bank Avenue'!$A$12:$A$130,"&gt;="&amp;Diagram!$O89,'J1 D - South Bank Avenue'!$A$12:$A$130,"&lt;"&amp;Diagram!$P89)))</f>
        <v>0</v>
      </c>
      <c r="AI89" s="42">
        <f t="shared" ca="1" si="12"/>
        <v>9</v>
      </c>
      <c r="AJ89" s="42">
        <f ca="1">IF(OR($I$10="",$O89="",$P89="",$J$36&lt;&gt;"Yes"),0,IF($K$10=0,SUMIFS(INDIRECT(ADDRESS(12,3+18*3+(1),,,"J1 A - (North) Bishopthorpe Roa")&amp;":"&amp;ADDRESS(130,3+18*3+(1))),'J1 A - (North) Bishopthorpe Roa'!$A$12:$A$130,"&gt;="&amp;Diagram!$O89,'J1 A - (North) Bishopthorpe Roa'!$A$12:$A$130,"&lt;"&amp;Diagram!$P89),SUMIFS(INDIRECT(ADDRESS(12,3+18*3+(9),,,"J1 A - (North) Bishopthorpe Roa")&amp;":"&amp;ADDRESS(130,3+18*3+(9))),'J1 A - (North) Bishopthorpe Roa'!$A$12:$A$130,"&gt;="&amp;Diagram!$O89,'J1 A - (North) Bishopthorpe Roa'!$A$12:$A$130,"&lt;"&amp;Diagram!$P89)))</f>
        <v>0</v>
      </c>
      <c r="AK89" s="42">
        <f ca="1">IF(OR($I$10="",$O89="",$P89="",$J$36&lt;&gt;"Yes"),0,IF($K$10=0,SUMIFS(INDIRECT(ADDRESS(12,3+18*0+(1),,,"J1 A - (North) Bishopthorpe Roa")&amp;":"&amp;ADDRESS(130,3+18*0+(1))),'J1 A - (North) Bishopthorpe Roa'!$A$12:$A$130,"&gt;="&amp;Diagram!$O89,'J1 A - (North) Bishopthorpe Roa'!$A$12:$A$130,"&lt;"&amp;Diagram!$P89),SUMIFS(INDIRECT(ADDRESS(12,3+18*0+(9),,,"J1 A - (North) Bishopthorpe Roa")&amp;":"&amp;ADDRESS(130,3+18*0+(9))),'J1 A - (North) Bishopthorpe Roa'!$A$12:$A$130,"&gt;="&amp;Diagram!$O89,'J1 A - (North) Bishopthorpe Roa'!$A$12:$A$130,"&lt;"&amp;Diagram!$P89)))</f>
        <v>1</v>
      </c>
      <c r="AL89" s="42">
        <f ca="1">IF(OR($I$10="",$O89="",$P89="",$J$36&lt;&gt;"Yes"),0,IF($K$10=0,SUMIFS(INDIRECT(ADDRESS(12,3+18*1+(1),,,"J1 A - (North) Bishopthorpe Roa")&amp;":"&amp;ADDRESS(130,3+18*1+(1))),'J1 A - (North) Bishopthorpe Roa'!$A$12:$A$130,"&gt;="&amp;Diagram!$O89,'J1 A - (North) Bishopthorpe Roa'!$A$12:$A$130,"&lt;"&amp;Diagram!$P89),SUMIFS(INDIRECT(ADDRESS(12,3+18*1+(9),,,"J1 A - (North) Bishopthorpe Roa")&amp;":"&amp;ADDRESS(130,3+18*1+(9))),'J1 A - (North) Bishopthorpe Roa'!$A$12:$A$130,"&gt;="&amp;Diagram!$O89,'J1 A - (North) Bishopthorpe Roa'!$A$12:$A$130,"&lt;"&amp;Diagram!$P89)))</f>
        <v>2</v>
      </c>
      <c r="AM89" s="42">
        <f ca="1">IF(OR($I$10="",$O89="",$P89="",$J$36&lt;&gt;"Yes"),0,IF($K$10=0,SUMIFS(INDIRECT(ADDRESS(12,3+18*2+(1),,,"J1 A - (North) Bishopthorpe Roa")&amp;":"&amp;ADDRESS(130,3+18*2+(1))),'J1 A - (North) Bishopthorpe Roa'!$A$12:$A$130,"&gt;="&amp;Diagram!$O89,'J1 A - (North) Bishopthorpe Roa'!$A$12:$A$130,"&lt;"&amp;Diagram!$P89),SUMIFS(INDIRECT(ADDRESS(12,3+18*2+(9),,,"J1 A - (North) Bishopthorpe Roa")&amp;":"&amp;ADDRESS(130,3+18*2+(9))),'J1 A - (North) Bishopthorpe Roa'!$A$12:$A$130,"&gt;="&amp;Diagram!$O89,'J1 A - (North) Bishopthorpe Roa'!$A$12:$A$130,"&lt;"&amp;Diagram!$P89)))</f>
        <v>0</v>
      </c>
      <c r="AN89" s="42">
        <f ca="1">IF(OR($I$10="",$O89="",$P89="",$J$36&lt;&gt;"Yes"),0,IF($K$10=0,SUMIFS(INDIRECT(ADDRESS(12,3+18*2+(1),,,"J1 B - Butcher Terrace")&amp;":"&amp;ADDRESS(130,3+18*2+(1))),'J1 B - Butcher Terrace'!$A$12:$A$130,"&gt;="&amp;Diagram!$O89,'J1 B - Butcher Terrace'!$A$12:$A$130,"&lt;"&amp;Diagram!$P89),SUMIFS(INDIRECT(ADDRESS(12,3+18*2+(9),,,"J1 B - Butcher Terrace")&amp;":"&amp;ADDRESS(130,3+18*2+(9))),'J1 B - Butcher Terrace'!$A$12:$A$130,"&gt;="&amp;Diagram!$O89,'J1 B - Butcher Terrace'!$A$12:$A$130,"&lt;"&amp;Diagram!$P89)))</f>
        <v>1</v>
      </c>
      <c r="AO89" s="42">
        <f ca="1">IF(OR($I$10="",$O89="",$P89="",$J$36&lt;&gt;"Yes"),0,IF($K$10=0,SUMIFS(INDIRECT(ADDRESS(12,3+18*3+(1),,,"J1 B - Butcher Terrace")&amp;":"&amp;ADDRESS(130,3+18*3+(1))),'J1 B - Butcher Terrace'!$A$12:$A$130,"&gt;="&amp;Diagram!$O89,'J1 B - Butcher Terrace'!$A$12:$A$130,"&lt;"&amp;Diagram!$P89),SUMIFS(INDIRECT(ADDRESS(12,3+18*3+(9),,,"J1 B - Butcher Terrace")&amp;":"&amp;ADDRESS(130,3+18*3+(9))),'J1 B - Butcher Terrace'!$A$12:$A$130,"&gt;="&amp;Diagram!$O89,'J1 B - Butcher Terrace'!$A$12:$A$130,"&lt;"&amp;Diagram!$P89)))</f>
        <v>0</v>
      </c>
      <c r="AP89" s="42">
        <f ca="1">IF(OR($I$10="",$O89="",$P89="",$J$36&lt;&gt;"Yes"),0,IF($K$10=0,SUMIFS(INDIRECT(ADDRESS(12,3+18*0+(1),,,"J1 B - Butcher Terrace")&amp;":"&amp;ADDRESS(130,3+18*0+(1))),'J1 B - Butcher Terrace'!$A$12:$A$130,"&gt;="&amp;Diagram!$O89,'J1 B - Butcher Terrace'!$A$12:$A$130,"&lt;"&amp;Diagram!$P89),SUMIFS(INDIRECT(ADDRESS(12,3+18*0+(9),,,"J1 B - Butcher Terrace")&amp;":"&amp;ADDRESS(130,3+18*0+(9))),'J1 B - Butcher Terrace'!$A$12:$A$130,"&gt;="&amp;Diagram!$O89,'J1 B - Butcher Terrace'!$A$12:$A$130,"&lt;"&amp;Diagram!$P89)))</f>
        <v>1</v>
      </c>
      <c r="AQ89" s="42">
        <f ca="1">IF(OR($I$10="",$O89="",$P89="",$J$36&lt;&gt;"Yes"),0,IF($K$10=0,SUMIFS(INDIRECT(ADDRESS(12,3+18*1+(1),,,"J1 B - Butcher Terrace")&amp;":"&amp;ADDRESS(130,3+18*1+(1))),'J1 B - Butcher Terrace'!$A$12:$A$130,"&gt;="&amp;Diagram!$O89,'J1 B - Butcher Terrace'!$A$12:$A$130,"&lt;"&amp;Diagram!$P89),SUMIFS(INDIRECT(ADDRESS(12,3+18*1+(9),,,"J1 B - Butcher Terrace")&amp;":"&amp;ADDRESS(130,3+18*1+(9))),'J1 B - Butcher Terrace'!$A$12:$A$130,"&gt;="&amp;Diagram!$O89,'J1 B - Butcher Terrace'!$A$12:$A$130,"&lt;"&amp;Diagram!$P89)))</f>
        <v>0</v>
      </c>
      <c r="AR89" s="42">
        <f ca="1">IF(OR($I$10="",$O89="",$P89="",$J$36&lt;&gt;"Yes"),0,IF($K$10=0,SUMIFS(INDIRECT(ADDRESS(12,3+18*1+(1),,,"J1 C - (South) Bishopthorpe Roa")&amp;":"&amp;ADDRESS(130,3+18*1+(1))),'J1 C - (South) Bishopthorpe Roa'!$A$12:$A$130,"&gt;="&amp;Diagram!$O89,'J1 C - (South) Bishopthorpe Roa'!$A$12:$A$130,"&lt;"&amp;Diagram!$P89),SUMIFS(INDIRECT(ADDRESS(12,3+18*1+(9),,,"J1 C - (South) Bishopthorpe Roa")&amp;":"&amp;ADDRESS(130,3+18*1+(9))),'J1 C - (South) Bishopthorpe Roa'!$A$12:$A$130,"&gt;="&amp;Diagram!$O89,'J1 C - (South) Bishopthorpe Roa'!$A$12:$A$130,"&lt;"&amp;Diagram!$P89)))</f>
        <v>3</v>
      </c>
      <c r="AS89" s="42">
        <f ca="1">IF(OR($I$10="",$O89="",$P89="",$J$36&lt;&gt;"Yes"),0,IF($K$10=0,SUMIFS(INDIRECT(ADDRESS(12,3+18*2+(1),,,"J1 C - (South) Bishopthorpe Roa")&amp;":"&amp;ADDRESS(130,3+18*2+(1))),'J1 C - (South) Bishopthorpe Roa'!$A$12:$A$130,"&gt;="&amp;Diagram!$O89,'J1 C - (South) Bishopthorpe Roa'!$A$12:$A$130,"&lt;"&amp;Diagram!$P89),SUMIFS(INDIRECT(ADDRESS(12,3+18*2+(9),,,"J1 C - (South) Bishopthorpe Roa")&amp;":"&amp;ADDRESS(130,3+18*2+(9))),'J1 C - (South) Bishopthorpe Roa'!$A$12:$A$130,"&gt;="&amp;Diagram!$O89,'J1 C - (South) Bishopthorpe Roa'!$A$12:$A$130,"&lt;"&amp;Diagram!$P89)))</f>
        <v>0</v>
      </c>
      <c r="AT89" s="42">
        <f ca="1">IF(OR($I$10="",$O89="",$P89="",$J$36&lt;&gt;"Yes"),0,IF($K$10=0,SUMIFS(INDIRECT(ADDRESS(12,3+18*3+(1),,,"J1 C - (South) Bishopthorpe Roa")&amp;":"&amp;ADDRESS(130,3+18*3+(1))),'J1 C - (South) Bishopthorpe Roa'!$A$12:$A$130,"&gt;="&amp;Diagram!$O89,'J1 C - (South) Bishopthorpe Roa'!$A$12:$A$130,"&lt;"&amp;Diagram!$P89),SUMIFS(INDIRECT(ADDRESS(12,3+18*3+(9),,,"J1 C - (South) Bishopthorpe Roa")&amp;":"&amp;ADDRESS(130,3+18*3+(9))),'J1 C - (South) Bishopthorpe Roa'!$A$12:$A$130,"&gt;="&amp;Diagram!$O89,'J1 C - (South) Bishopthorpe Roa'!$A$12:$A$130,"&lt;"&amp;Diagram!$P89)))</f>
        <v>0</v>
      </c>
      <c r="AU89" s="42">
        <f ca="1">IF(OR($I$10="",$O89="",$P89="",$J$36&lt;&gt;"Yes"),0,IF($K$10=0,SUMIFS(INDIRECT(ADDRESS(12,3+18*0+(1),,,"J1 C - (South) Bishopthorpe Roa")&amp;":"&amp;ADDRESS(130,3+18*0+(1))),'J1 C - (South) Bishopthorpe Roa'!$A$12:$A$130,"&gt;="&amp;Diagram!$O89,'J1 C - (South) Bishopthorpe Roa'!$A$12:$A$130,"&lt;"&amp;Diagram!$P89),SUMIFS(INDIRECT(ADDRESS(12,3+18*0+(9),,,"J1 C - (South) Bishopthorpe Roa")&amp;":"&amp;ADDRESS(130,3+18*0+(9))),'J1 C - (South) Bishopthorpe Roa'!$A$12:$A$130,"&gt;="&amp;Diagram!$O89,'J1 C - (South) Bishopthorpe Roa'!$A$12:$A$130,"&lt;"&amp;Diagram!$P89)))</f>
        <v>0</v>
      </c>
      <c r="AV89" s="42">
        <f ca="1">IF(OR($I$10="",$O89="",$P89="",$J$36&lt;&gt;"Yes"),0,IF($K$10=0,SUMIFS(INDIRECT(ADDRESS(12,3+18*0+(1),,,"J1 D - South Bank Avenue")&amp;":"&amp;ADDRESS(130,3+18*0+(1))),'J1 D - South Bank Avenue'!$A$12:$A$130,"&gt;="&amp;Diagram!$O89,'J1 D - South Bank Avenue'!$A$12:$A$130,"&lt;"&amp;Diagram!$P89),SUMIFS(INDIRECT(ADDRESS(12,3+18*0+(9),,,"J1 D - South Bank Avenue")&amp;":"&amp;ADDRESS(130,3+18*0+(9))),'J1 D - South Bank Avenue'!$A$12:$A$130,"&gt;="&amp;Diagram!$O89,'J1 D - South Bank Avenue'!$A$12:$A$130,"&lt;"&amp;Diagram!$P89)))</f>
        <v>1</v>
      </c>
      <c r="AW89" s="42">
        <f ca="1">IF(OR($I$10="",$O89="",$P89="",$J$36&lt;&gt;"Yes"),0,IF($K$10=0,SUMIFS(INDIRECT(ADDRESS(12,3+18*1+(1),,,"J1 D - South Bank Avenue")&amp;":"&amp;ADDRESS(130,3+18*1+(1))),'J1 D - South Bank Avenue'!$A$12:$A$130,"&gt;="&amp;Diagram!$O89,'J1 D - South Bank Avenue'!$A$12:$A$130,"&lt;"&amp;Diagram!$P89),SUMIFS(INDIRECT(ADDRESS(12,3+18*1+(9),,,"J1 D - South Bank Avenue")&amp;":"&amp;ADDRESS(130,3+18*1+(9))),'J1 D - South Bank Avenue'!$A$12:$A$130,"&gt;="&amp;Diagram!$O89,'J1 D - South Bank Avenue'!$A$12:$A$130,"&lt;"&amp;Diagram!$P89)))</f>
        <v>0</v>
      </c>
      <c r="AX89" s="42">
        <f ca="1">IF(OR($I$10="",$O89="",$P89="",$J$36&lt;&gt;"Yes"),0,IF($K$10=0,SUMIFS(INDIRECT(ADDRESS(12,3+18*2+(1),,,"J1 D - South Bank Avenue")&amp;":"&amp;ADDRESS(130,3+18*2+(1))),'J1 D - South Bank Avenue'!$A$12:$A$130,"&gt;="&amp;Diagram!$O89,'J1 D - South Bank Avenue'!$A$12:$A$130,"&lt;"&amp;Diagram!$P89),SUMIFS(INDIRECT(ADDRESS(12,3+18*2+(9),,,"J1 D - South Bank Avenue")&amp;":"&amp;ADDRESS(130,3+18*2+(9))),'J1 D - South Bank Avenue'!$A$12:$A$130,"&gt;="&amp;Diagram!$O89,'J1 D - South Bank Avenue'!$A$12:$A$130,"&lt;"&amp;Diagram!$P89)))</f>
        <v>0</v>
      </c>
      <c r="AY89" s="42">
        <f ca="1">IF(OR($I$10="",$O89="",$P89="",$J$36&lt;&gt;"Yes"),0,IF($K$10=0,SUMIFS(INDIRECT(ADDRESS(12,3+18*3+(1),,,"J1 D - South Bank Avenue")&amp;":"&amp;ADDRESS(130,3+18*3+(1))),'J1 D - South Bank Avenue'!$A$12:$A$130,"&gt;="&amp;Diagram!$O89,'J1 D - South Bank Avenue'!$A$12:$A$130,"&lt;"&amp;Diagram!$P89),SUMIFS(INDIRECT(ADDRESS(12,3+18*3+(9),,,"J1 D - South Bank Avenue")&amp;":"&amp;ADDRESS(130,3+18*3+(9))),'J1 D - South Bank Avenue'!$A$12:$A$130,"&gt;="&amp;Diagram!$O89,'J1 D - South Bank Avenue'!$A$12:$A$130,"&lt;"&amp;Diagram!$P89)))</f>
        <v>0</v>
      </c>
      <c r="AZ89" s="42">
        <f t="shared" ca="1" si="13"/>
        <v>0</v>
      </c>
      <c r="BA89" s="42">
        <f ca="1">IF(OR($I$10="",$O89="",$P89="",$J$37&lt;&gt;"Yes"),0,IF($K$10=0,SUMIFS(INDIRECT(ADDRESS(12,3+18*3+(2),,,"J1 A - (North) Bishopthorpe Roa")&amp;":"&amp;ADDRESS(130,3+18*3+(2))),'J1 A - (North) Bishopthorpe Roa'!$A$12:$A$130,"&gt;="&amp;Diagram!$O89,'J1 A - (North) Bishopthorpe Roa'!$A$12:$A$130,"&lt;"&amp;Diagram!$P89),SUMIFS(INDIRECT(ADDRESS(12,3+18*3+(10),,,"J1 A - (North) Bishopthorpe Roa")&amp;":"&amp;ADDRESS(130,3+18*3+(10))),'J1 A - (North) Bishopthorpe Roa'!$A$12:$A$130,"&gt;="&amp;Diagram!$O89,'J1 A - (North) Bishopthorpe Roa'!$A$12:$A$130,"&lt;"&amp;Diagram!$P89)))</f>
        <v>0</v>
      </c>
      <c r="BB89" s="42">
        <f ca="1">IF(OR($I$10="",$O89="",$P89="",$J$37&lt;&gt;"Yes"),0,IF($K$10=0,SUMIFS(INDIRECT(ADDRESS(12,3+18*0+(2),,,"J1 A - (North) Bishopthorpe Roa")&amp;":"&amp;ADDRESS(130,3+18*0+(2))),'J1 A - (North) Bishopthorpe Roa'!$A$12:$A$130,"&gt;="&amp;Diagram!$O89,'J1 A - (North) Bishopthorpe Roa'!$A$12:$A$130,"&lt;"&amp;Diagram!$P89),SUMIFS(INDIRECT(ADDRESS(12,3+18*0+(10),,,"J1 A - (North) Bishopthorpe Roa")&amp;":"&amp;ADDRESS(130,3+18*0+(10))),'J1 A - (North) Bishopthorpe Roa'!$A$12:$A$130,"&gt;="&amp;Diagram!$O89,'J1 A - (North) Bishopthorpe Roa'!$A$12:$A$130,"&lt;"&amp;Diagram!$P89)))</f>
        <v>0</v>
      </c>
      <c r="BC89" s="42">
        <f ca="1">IF(OR($I$10="",$O89="",$P89="",$J$37&lt;&gt;"Yes"),0,IF($K$10=0,SUMIFS(INDIRECT(ADDRESS(12,3+18*1+(2),,,"J1 A - (North) Bishopthorpe Roa")&amp;":"&amp;ADDRESS(130,3+18*1+(2))),'J1 A - (North) Bishopthorpe Roa'!$A$12:$A$130,"&gt;="&amp;Diagram!$O89,'J1 A - (North) Bishopthorpe Roa'!$A$12:$A$130,"&lt;"&amp;Diagram!$P89),SUMIFS(INDIRECT(ADDRESS(12,3+18*1+(10),,,"J1 A - (North) Bishopthorpe Roa")&amp;":"&amp;ADDRESS(130,3+18*1+(10))),'J1 A - (North) Bishopthorpe Roa'!$A$12:$A$130,"&gt;="&amp;Diagram!$O89,'J1 A - (North) Bishopthorpe Roa'!$A$12:$A$130,"&lt;"&amp;Diagram!$P89)))</f>
        <v>0</v>
      </c>
      <c r="BD89" s="42">
        <f ca="1">IF(OR($I$10="",$O89="",$P89="",$J$37&lt;&gt;"Yes"),0,IF($K$10=0,SUMIFS(INDIRECT(ADDRESS(12,3+18*2+(2),,,"J1 A - (North) Bishopthorpe Roa")&amp;":"&amp;ADDRESS(130,3+18*2+(2))),'J1 A - (North) Bishopthorpe Roa'!$A$12:$A$130,"&gt;="&amp;Diagram!$O89,'J1 A - (North) Bishopthorpe Roa'!$A$12:$A$130,"&lt;"&amp;Diagram!$P89),SUMIFS(INDIRECT(ADDRESS(12,3+18*2+(10),,,"J1 A - (North) Bishopthorpe Roa")&amp;":"&amp;ADDRESS(130,3+18*2+(10))),'J1 A - (North) Bishopthorpe Roa'!$A$12:$A$130,"&gt;="&amp;Diagram!$O89,'J1 A - (North) Bishopthorpe Roa'!$A$12:$A$130,"&lt;"&amp;Diagram!$P89)))</f>
        <v>0</v>
      </c>
      <c r="BE89" s="42">
        <f ca="1">IF(OR($I$10="",$O89="",$P89="",$J$37&lt;&gt;"Yes"),0,IF($K$10=0,SUMIFS(INDIRECT(ADDRESS(12,3+18*2+(2),,,"J1 B - Butcher Terrace")&amp;":"&amp;ADDRESS(130,3+18*2+(2))),'J1 B - Butcher Terrace'!$A$12:$A$130,"&gt;="&amp;Diagram!$O89,'J1 B - Butcher Terrace'!$A$12:$A$130,"&lt;"&amp;Diagram!$P89),SUMIFS(INDIRECT(ADDRESS(12,3+18*2+(10),,,"J1 B - Butcher Terrace")&amp;":"&amp;ADDRESS(130,3+18*2+(10))),'J1 B - Butcher Terrace'!$A$12:$A$130,"&gt;="&amp;Diagram!$O89,'J1 B - Butcher Terrace'!$A$12:$A$130,"&lt;"&amp;Diagram!$P89)))</f>
        <v>0</v>
      </c>
      <c r="BF89" s="42">
        <f ca="1">IF(OR($I$10="",$O89="",$P89="",$J$37&lt;&gt;"Yes"),0,IF($K$10=0,SUMIFS(INDIRECT(ADDRESS(12,3+18*3+(2),,,"J1 B - Butcher Terrace")&amp;":"&amp;ADDRESS(130,3+18*3+(2))),'J1 B - Butcher Terrace'!$A$12:$A$130,"&gt;="&amp;Diagram!$O89,'J1 B - Butcher Terrace'!$A$12:$A$130,"&lt;"&amp;Diagram!$P89),SUMIFS(INDIRECT(ADDRESS(12,3+18*3+(10),,,"J1 B - Butcher Terrace")&amp;":"&amp;ADDRESS(130,3+18*3+(10))),'J1 B - Butcher Terrace'!$A$12:$A$130,"&gt;="&amp;Diagram!$O89,'J1 B - Butcher Terrace'!$A$12:$A$130,"&lt;"&amp;Diagram!$P89)))</f>
        <v>0</v>
      </c>
      <c r="BG89" s="42">
        <f ca="1">IF(OR($I$10="",$O89="",$P89="",$J$37&lt;&gt;"Yes"),0,IF($K$10=0,SUMIFS(INDIRECT(ADDRESS(12,3+18*0+(2),,,"J1 B - Butcher Terrace")&amp;":"&amp;ADDRESS(130,3+18*0+(2))),'J1 B - Butcher Terrace'!$A$12:$A$130,"&gt;="&amp;Diagram!$O89,'J1 B - Butcher Terrace'!$A$12:$A$130,"&lt;"&amp;Diagram!$P89),SUMIFS(INDIRECT(ADDRESS(12,3+18*0+(10),,,"J1 B - Butcher Terrace")&amp;":"&amp;ADDRESS(130,3+18*0+(10))),'J1 B - Butcher Terrace'!$A$12:$A$130,"&gt;="&amp;Diagram!$O89,'J1 B - Butcher Terrace'!$A$12:$A$130,"&lt;"&amp;Diagram!$P89)))</f>
        <v>0</v>
      </c>
      <c r="BH89" s="42">
        <f ca="1">IF(OR($I$10="",$O89="",$P89="",$J$37&lt;&gt;"Yes"),0,IF($K$10=0,SUMIFS(INDIRECT(ADDRESS(12,3+18*1+(2),,,"J1 B - Butcher Terrace")&amp;":"&amp;ADDRESS(130,3+18*1+(2))),'J1 B - Butcher Terrace'!$A$12:$A$130,"&gt;="&amp;Diagram!$O89,'J1 B - Butcher Terrace'!$A$12:$A$130,"&lt;"&amp;Diagram!$P89),SUMIFS(INDIRECT(ADDRESS(12,3+18*1+(10),,,"J1 B - Butcher Terrace")&amp;":"&amp;ADDRESS(130,3+18*1+(10))),'J1 B - Butcher Terrace'!$A$12:$A$130,"&gt;="&amp;Diagram!$O89,'J1 B - Butcher Terrace'!$A$12:$A$130,"&lt;"&amp;Diagram!$P89)))</f>
        <v>0</v>
      </c>
      <c r="BI89" s="42">
        <f ca="1">IF(OR($I$10="",$O89="",$P89="",$J$37&lt;&gt;"Yes"),0,IF($K$10=0,SUMIFS(INDIRECT(ADDRESS(12,3+18*1+(2),,,"J1 C - (South) Bishopthorpe Roa")&amp;":"&amp;ADDRESS(130,3+18*1+(2))),'J1 C - (South) Bishopthorpe Roa'!$A$12:$A$130,"&gt;="&amp;Diagram!$O89,'J1 C - (South) Bishopthorpe Roa'!$A$12:$A$130,"&lt;"&amp;Diagram!$P89),SUMIFS(INDIRECT(ADDRESS(12,3+18*1+(10),,,"J1 C - (South) Bishopthorpe Roa")&amp;":"&amp;ADDRESS(130,3+18*1+(10))),'J1 C - (South) Bishopthorpe Roa'!$A$12:$A$130,"&gt;="&amp;Diagram!$O89,'J1 C - (South) Bishopthorpe Roa'!$A$12:$A$130,"&lt;"&amp;Diagram!$P89)))</f>
        <v>0</v>
      </c>
      <c r="BJ89" s="42">
        <f ca="1">IF(OR($I$10="",$O89="",$P89="",$J$37&lt;&gt;"Yes"),0,IF($K$10=0,SUMIFS(INDIRECT(ADDRESS(12,3+18*2+(2),,,"J1 C - (South) Bishopthorpe Roa")&amp;":"&amp;ADDRESS(130,3+18*2+(2))),'J1 C - (South) Bishopthorpe Roa'!$A$12:$A$130,"&gt;="&amp;Diagram!$O89,'J1 C - (South) Bishopthorpe Roa'!$A$12:$A$130,"&lt;"&amp;Diagram!$P89),SUMIFS(INDIRECT(ADDRESS(12,3+18*2+(10),,,"J1 C - (South) Bishopthorpe Roa")&amp;":"&amp;ADDRESS(130,3+18*2+(10))),'J1 C - (South) Bishopthorpe Roa'!$A$12:$A$130,"&gt;="&amp;Diagram!$O89,'J1 C - (South) Bishopthorpe Roa'!$A$12:$A$130,"&lt;"&amp;Diagram!$P89)))</f>
        <v>0</v>
      </c>
      <c r="BK89" s="42">
        <f ca="1">IF(OR($I$10="",$O89="",$P89="",$J$37&lt;&gt;"Yes"),0,IF($K$10=0,SUMIFS(INDIRECT(ADDRESS(12,3+18*3+(2),,,"J1 C - (South) Bishopthorpe Roa")&amp;":"&amp;ADDRESS(130,3+18*3+(2))),'J1 C - (South) Bishopthorpe Roa'!$A$12:$A$130,"&gt;="&amp;Diagram!$O89,'J1 C - (South) Bishopthorpe Roa'!$A$12:$A$130,"&lt;"&amp;Diagram!$P89),SUMIFS(INDIRECT(ADDRESS(12,3+18*3+(10),,,"J1 C - (South) Bishopthorpe Roa")&amp;":"&amp;ADDRESS(130,3+18*3+(10))),'J1 C - (South) Bishopthorpe Roa'!$A$12:$A$130,"&gt;="&amp;Diagram!$O89,'J1 C - (South) Bishopthorpe Roa'!$A$12:$A$130,"&lt;"&amp;Diagram!$P89)))</f>
        <v>0</v>
      </c>
      <c r="BL89" s="42">
        <f ca="1">IF(OR($I$10="",$O89="",$P89="",$J$37&lt;&gt;"Yes"),0,IF($K$10=0,SUMIFS(INDIRECT(ADDRESS(12,3+18*0+(2),,,"J1 C - (South) Bishopthorpe Roa")&amp;":"&amp;ADDRESS(130,3+18*0+(2))),'J1 C - (South) Bishopthorpe Roa'!$A$12:$A$130,"&gt;="&amp;Diagram!$O89,'J1 C - (South) Bishopthorpe Roa'!$A$12:$A$130,"&lt;"&amp;Diagram!$P89),SUMIFS(INDIRECT(ADDRESS(12,3+18*0+(10),,,"J1 C - (South) Bishopthorpe Roa")&amp;":"&amp;ADDRESS(130,3+18*0+(10))),'J1 C - (South) Bishopthorpe Roa'!$A$12:$A$130,"&gt;="&amp;Diagram!$O89,'J1 C - (South) Bishopthorpe Roa'!$A$12:$A$130,"&lt;"&amp;Diagram!$P89)))</f>
        <v>0</v>
      </c>
      <c r="BM89" s="42">
        <f ca="1">IF(OR($I$10="",$O89="",$P89="",$J$37&lt;&gt;"Yes"),0,IF($K$10=0,SUMIFS(INDIRECT(ADDRESS(12,3+18*0+(2),,,"J1 D - South Bank Avenue")&amp;":"&amp;ADDRESS(130,3+18*0+(2))),'J1 D - South Bank Avenue'!$A$12:$A$130,"&gt;="&amp;Diagram!$O89,'J1 D - South Bank Avenue'!$A$12:$A$130,"&lt;"&amp;Diagram!$P89),SUMIFS(INDIRECT(ADDRESS(12,3+18*0+(10),,,"J1 D - South Bank Avenue")&amp;":"&amp;ADDRESS(130,3+18*0+(10))),'J1 D - South Bank Avenue'!$A$12:$A$130,"&gt;="&amp;Diagram!$O89,'J1 D - South Bank Avenue'!$A$12:$A$130,"&lt;"&amp;Diagram!$P89)))</f>
        <v>0</v>
      </c>
      <c r="BN89" s="42">
        <f ca="1">IF(OR($I$10="",$O89="",$P89="",$J$37&lt;&gt;"Yes"),0,IF($K$10=0,SUMIFS(INDIRECT(ADDRESS(12,3+18*1+(2),,,"J1 D - South Bank Avenue")&amp;":"&amp;ADDRESS(130,3+18*1+(2))),'J1 D - South Bank Avenue'!$A$12:$A$130,"&gt;="&amp;Diagram!$O89,'J1 D - South Bank Avenue'!$A$12:$A$130,"&lt;"&amp;Diagram!$P89),SUMIFS(INDIRECT(ADDRESS(12,3+18*1+(10),,,"J1 D - South Bank Avenue")&amp;":"&amp;ADDRESS(130,3+18*1+(10))),'J1 D - South Bank Avenue'!$A$12:$A$130,"&gt;="&amp;Diagram!$O89,'J1 D - South Bank Avenue'!$A$12:$A$130,"&lt;"&amp;Diagram!$P89)))</f>
        <v>0</v>
      </c>
      <c r="BO89" s="42">
        <f ca="1">IF(OR($I$10="",$O89="",$P89="",$J$37&lt;&gt;"Yes"),0,IF($K$10=0,SUMIFS(INDIRECT(ADDRESS(12,3+18*2+(2),,,"J1 D - South Bank Avenue")&amp;":"&amp;ADDRESS(130,3+18*2+(2))),'J1 D - South Bank Avenue'!$A$12:$A$130,"&gt;="&amp;Diagram!$O89,'J1 D - South Bank Avenue'!$A$12:$A$130,"&lt;"&amp;Diagram!$P89),SUMIFS(INDIRECT(ADDRESS(12,3+18*2+(10),,,"J1 D - South Bank Avenue")&amp;":"&amp;ADDRESS(130,3+18*2+(10))),'J1 D - South Bank Avenue'!$A$12:$A$130,"&gt;="&amp;Diagram!$O89,'J1 D - South Bank Avenue'!$A$12:$A$130,"&lt;"&amp;Diagram!$P89)))</f>
        <v>0</v>
      </c>
      <c r="BP89" s="42">
        <f ca="1">IF(OR($I$10="",$O89="",$P89="",$J$37&lt;&gt;"Yes"),0,IF($K$10=0,SUMIFS(INDIRECT(ADDRESS(12,3+18*3+(2),,,"J1 D - South Bank Avenue")&amp;":"&amp;ADDRESS(130,3+18*3+(2))),'J1 D - South Bank Avenue'!$A$12:$A$130,"&gt;="&amp;Diagram!$O89,'J1 D - South Bank Avenue'!$A$12:$A$130,"&lt;"&amp;Diagram!$P89),SUMIFS(INDIRECT(ADDRESS(12,3+18*3+(10),,,"J1 D - South Bank Avenue")&amp;":"&amp;ADDRESS(130,3+18*3+(10))),'J1 D - South Bank Avenue'!$A$12:$A$130,"&gt;="&amp;Diagram!$O89,'J1 D - South Bank Avenue'!$A$12:$A$130,"&lt;"&amp;Diagram!$P89)))</f>
        <v>0</v>
      </c>
      <c r="BQ89" s="42">
        <f t="shared" ca="1" si="14"/>
        <v>0</v>
      </c>
      <c r="BR89" s="42">
        <f ca="1">IF(OR($I$10="",$O89="",$P89="",$J$38&lt;&gt;"Yes"),0,IF($K$10=0,SUMIFS(INDIRECT(ADDRESS(12,3+18*3+(3),,,"J1 A - (North) Bishopthorpe Roa")&amp;":"&amp;ADDRESS(130,3+18*3+(3))),'J1 A - (North) Bishopthorpe Roa'!$A$12:$A$130,"&gt;="&amp;Diagram!$O89,'J1 A - (North) Bishopthorpe Roa'!$A$12:$A$130,"&lt;"&amp;Diagram!$P89),SUMIFS(INDIRECT(ADDRESS(12,3+18*3+(11),,,"J1 A - (North) Bishopthorpe Roa")&amp;":"&amp;ADDRESS(130,3+18*3+(11))),'J1 A - (North) Bishopthorpe Roa'!$A$12:$A$130,"&gt;="&amp;Diagram!$O89,'J1 A - (North) Bishopthorpe Roa'!$A$12:$A$130,"&lt;"&amp;Diagram!$P89)))</f>
        <v>0</v>
      </c>
      <c r="BS89" s="42">
        <f ca="1">IF(OR($I$10="",$O89="",$P89="",$J$38&lt;&gt;"Yes"),0,IF($K$10=0,SUMIFS(INDIRECT(ADDRESS(12,3+18*0+(3),,,"J1 A - (North) Bishopthorpe Roa")&amp;":"&amp;ADDRESS(130,3+18*0+(3))),'J1 A - (North) Bishopthorpe Roa'!$A$12:$A$130,"&gt;="&amp;Diagram!$O89,'J1 A - (North) Bishopthorpe Roa'!$A$12:$A$130,"&lt;"&amp;Diagram!$P89),SUMIFS(INDIRECT(ADDRESS(12,3+18*0+(11),,,"J1 A - (North) Bishopthorpe Roa")&amp;":"&amp;ADDRESS(130,3+18*0+(11))),'J1 A - (North) Bishopthorpe Roa'!$A$12:$A$130,"&gt;="&amp;Diagram!$O89,'J1 A - (North) Bishopthorpe Roa'!$A$12:$A$130,"&lt;"&amp;Diagram!$P89)))</f>
        <v>0</v>
      </c>
      <c r="BT89" s="42">
        <f ca="1">IF(OR($I$10="",$O89="",$P89="",$J$38&lt;&gt;"Yes"),0,IF($K$10=0,SUMIFS(INDIRECT(ADDRESS(12,3+18*1+(3),,,"J1 A - (North) Bishopthorpe Roa")&amp;":"&amp;ADDRESS(130,3+18*1+(3))),'J1 A - (North) Bishopthorpe Roa'!$A$12:$A$130,"&gt;="&amp;Diagram!$O89,'J1 A - (North) Bishopthorpe Roa'!$A$12:$A$130,"&lt;"&amp;Diagram!$P89),SUMIFS(INDIRECT(ADDRESS(12,3+18*1+(11),,,"J1 A - (North) Bishopthorpe Roa")&amp;":"&amp;ADDRESS(130,3+18*1+(11))),'J1 A - (North) Bishopthorpe Roa'!$A$12:$A$130,"&gt;="&amp;Diagram!$O89,'J1 A - (North) Bishopthorpe Roa'!$A$12:$A$130,"&lt;"&amp;Diagram!$P89)))</f>
        <v>0</v>
      </c>
      <c r="BU89" s="42">
        <f ca="1">IF(OR($I$10="",$O89="",$P89="",$J$38&lt;&gt;"Yes"),0,IF($K$10=0,SUMIFS(INDIRECT(ADDRESS(12,3+18*2+(3),,,"J1 A - (North) Bishopthorpe Roa")&amp;":"&amp;ADDRESS(130,3+18*2+(3))),'J1 A - (North) Bishopthorpe Roa'!$A$12:$A$130,"&gt;="&amp;Diagram!$O89,'J1 A - (North) Bishopthorpe Roa'!$A$12:$A$130,"&lt;"&amp;Diagram!$P89),SUMIFS(INDIRECT(ADDRESS(12,3+18*2+(11),,,"J1 A - (North) Bishopthorpe Roa")&amp;":"&amp;ADDRESS(130,3+18*2+(11))),'J1 A - (North) Bishopthorpe Roa'!$A$12:$A$130,"&gt;="&amp;Diagram!$O89,'J1 A - (North) Bishopthorpe Roa'!$A$12:$A$130,"&lt;"&amp;Diagram!$P89)))</f>
        <v>0</v>
      </c>
      <c r="BV89" s="42">
        <f ca="1">IF(OR($I$10="",$O89="",$P89="",$J$38&lt;&gt;"Yes"),0,IF($K$10=0,SUMIFS(INDIRECT(ADDRESS(12,3+18*2+(3),,,"J1 B - Butcher Terrace")&amp;":"&amp;ADDRESS(130,3+18*2+(3))),'J1 B - Butcher Terrace'!$A$12:$A$130,"&gt;="&amp;Diagram!$O89,'J1 B - Butcher Terrace'!$A$12:$A$130,"&lt;"&amp;Diagram!$P89),SUMIFS(INDIRECT(ADDRESS(12,3+18*2+(11),,,"J1 B - Butcher Terrace")&amp;":"&amp;ADDRESS(130,3+18*2+(11))),'J1 B - Butcher Terrace'!$A$12:$A$130,"&gt;="&amp;Diagram!$O89,'J1 B - Butcher Terrace'!$A$12:$A$130,"&lt;"&amp;Diagram!$P89)))</f>
        <v>0</v>
      </c>
      <c r="BW89" s="42">
        <f ca="1">IF(OR($I$10="",$O89="",$P89="",$J$38&lt;&gt;"Yes"),0,IF($K$10=0,SUMIFS(INDIRECT(ADDRESS(12,3+18*3+(3),,,"J1 B - Butcher Terrace")&amp;":"&amp;ADDRESS(130,3+18*3+(3))),'J1 B - Butcher Terrace'!$A$12:$A$130,"&gt;="&amp;Diagram!$O89,'J1 B - Butcher Terrace'!$A$12:$A$130,"&lt;"&amp;Diagram!$P89),SUMIFS(INDIRECT(ADDRESS(12,3+18*3+(11),,,"J1 B - Butcher Terrace")&amp;":"&amp;ADDRESS(130,3+18*3+(11))),'J1 B - Butcher Terrace'!$A$12:$A$130,"&gt;="&amp;Diagram!$O89,'J1 B - Butcher Terrace'!$A$12:$A$130,"&lt;"&amp;Diagram!$P89)))</f>
        <v>0</v>
      </c>
      <c r="BX89" s="42">
        <f ca="1">IF(OR($I$10="",$O89="",$P89="",$J$38&lt;&gt;"Yes"),0,IF($K$10=0,SUMIFS(INDIRECT(ADDRESS(12,3+18*0+(3),,,"J1 B - Butcher Terrace")&amp;":"&amp;ADDRESS(130,3+18*0+(3))),'J1 B - Butcher Terrace'!$A$12:$A$130,"&gt;="&amp;Diagram!$O89,'J1 B - Butcher Terrace'!$A$12:$A$130,"&lt;"&amp;Diagram!$P89),SUMIFS(INDIRECT(ADDRESS(12,3+18*0+(11),,,"J1 B - Butcher Terrace")&amp;":"&amp;ADDRESS(130,3+18*0+(11))),'J1 B - Butcher Terrace'!$A$12:$A$130,"&gt;="&amp;Diagram!$O89,'J1 B - Butcher Terrace'!$A$12:$A$130,"&lt;"&amp;Diagram!$P89)))</f>
        <v>0</v>
      </c>
      <c r="BY89" s="42">
        <f ca="1">IF(OR($I$10="",$O89="",$P89="",$J$38&lt;&gt;"Yes"),0,IF($K$10=0,SUMIFS(INDIRECT(ADDRESS(12,3+18*1+(3),,,"J1 B - Butcher Terrace")&amp;":"&amp;ADDRESS(130,3+18*1+(3))),'J1 B - Butcher Terrace'!$A$12:$A$130,"&gt;="&amp;Diagram!$O89,'J1 B - Butcher Terrace'!$A$12:$A$130,"&lt;"&amp;Diagram!$P89),SUMIFS(INDIRECT(ADDRESS(12,3+18*1+(11),,,"J1 B - Butcher Terrace")&amp;":"&amp;ADDRESS(130,3+18*1+(11))),'J1 B - Butcher Terrace'!$A$12:$A$130,"&gt;="&amp;Diagram!$O89,'J1 B - Butcher Terrace'!$A$12:$A$130,"&lt;"&amp;Diagram!$P89)))</f>
        <v>0</v>
      </c>
      <c r="BZ89" s="42">
        <f ca="1">IF(OR($I$10="",$O89="",$P89="",$J$38&lt;&gt;"Yes"),0,IF($K$10=0,SUMIFS(INDIRECT(ADDRESS(12,3+18*1+(3),,,"J1 C - (South) Bishopthorpe Roa")&amp;":"&amp;ADDRESS(130,3+18*1+(3))),'J1 C - (South) Bishopthorpe Roa'!$A$12:$A$130,"&gt;="&amp;Diagram!$O89,'J1 C - (South) Bishopthorpe Roa'!$A$12:$A$130,"&lt;"&amp;Diagram!$P89),SUMIFS(INDIRECT(ADDRESS(12,3+18*1+(11),,,"J1 C - (South) Bishopthorpe Roa")&amp;":"&amp;ADDRESS(130,3+18*1+(11))),'J1 C - (South) Bishopthorpe Roa'!$A$12:$A$130,"&gt;="&amp;Diagram!$O89,'J1 C - (South) Bishopthorpe Roa'!$A$12:$A$130,"&lt;"&amp;Diagram!$P89)))</f>
        <v>0</v>
      </c>
      <c r="CA89" s="42">
        <f ca="1">IF(OR($I$10="",$O89="",$P89="",$J$38&lt;&gt;"Yes"),0,IF($K$10=0,SUMIFS(INDIRECT(ADDRESS(12,3+18*2+(3),,,"J1 C - (South) Bishopthorpe Roa")&amp;":"&amp;ADDRESS(130,3+18*2+(3))),'J1 C - (South) Bishopthorpe Roa'!$A$12:$A$130,"&gt;="&amp;Diagram!$O89,'J1 C - (South) Bishopthorpe Roa'!$A$12:$A$130,"&lt;"&amp;Diagram!$P89),SUMIFS(INDIRECT(ADDRESS(12,3+18*2+(11),,,"J1 C - (South) Bishopthorpe Roa")&amp;":"&amp;ADDRESS(130,3+18*2+(11))),'J1 C - (South) Bishopthorpe Roa'!$A$12:$A$130,"&gt;="&amp;Diagram!$O89,'J1 C - (South) Bishopthorpe Roa'!$A$12:$A$130,"&lt;"&amp;Diagram!$P89)))</f>
        <v>0</v>
      </c>
      <c r="CB89" s="42">
        <f ca="1">IF(OR($I$10="",$O89="",$P89="",$J$38&lt;&gt;"Yes"),0,IF($K$10=0,SUMIFS(INDIRECT(ADDRESS(12,3+18*3+(3),,,"J1 C - (South) Bishopthorpe Roa")&amp;":"&amp;ADDRESS(130,3+18*3+(3))),'J1 C - (South) Bishopthorpe Roa'!$A$12:$A$130,"&gt;="&amp;Diagram!$O89,'J1 C - (South) Bishopthorpe Roa'!$A$12:$A$130,"&lt;"&amp;Diagram!$P89),SUMIFS(INDIRECT(ADDRESS(12,3+18*3+(11),,,"J1 C - (South) Bishopthorpe Roa")&amp;":"&amp;ADDRESS(130,3+18*3+(11))),'J1 C - (South) Bishopthorpe Roa'!$A$12:$A$130,"&gt;="&amp;Diagram!$O89,'J1 C - (South) Bishopthorpe Roa'!$A$12:$A$130,"&lt;"&amp;Diagram!$P89)))</f>
        <v>0</v>
      </c>
      <c r="CC89" s="42">
        <f ca="1">IF(OR($I$10="",$O89="",$P89="",$J$38&lt;&gt;"Yes"),0,IF($K$10=0,SUMIFS(INDIRECT(ADDRESS(12,3+18*0+(3),,,"J1 C - (South) Bishopthorpe Roa")&amp;":"&amp;ADDRESS(130,3+18*0+(3))),'J1 C - (South) Bishopthorpe Roa'!$A$12:$A$130,"&gt;="&amp;Diagram!$O89,'J1 C - (South) Bishopthorpe Roa'!$A$12:$A$130,"&lt;"&amp;Diagram!$P89),SUMIFS(INDIRECT(ADDRESS(12,3+18*0+(11),,,"J1 C - (South) Bishopthorpe Roa")&amp;":"&amp;ADDRESS(130,3+18*0+(11))),'J1 C - (South) Bishopthorpe Roa'!$A$12:$A$130,"&gt;="&amp;Diagram!$O89,'J1 C - (South) Bishopthorpe Roa'!$A$12:$A$130,"&lt;"&amp;Diagram!$P89)))</f>
        <v>0</v>
      </c>
      <c r="CD89" s="42">
        <f ca="1">IF(OR($I$10="",$O89="",$P89="",$J$38&lt;&gt;"Yes"),0,IF($K$10=0,SUMIFS(INDIRECT(ADDRESS(12,3+18*0+(3),,,"J1 D - South Bank Avenue")&amp;":"&amp;ADDRESS(130,3+18*0+(3))),'J1 D - South Bank Avenue'!$A$12:$A$130,"&gt;="&amp;Diagram!$O89,'J1 D - South Bank Avenue'!$A$12:$A$130,"&lt;"&amp;Diagram!$P89),SUMIFS(INDIRECT(ADDRESS(12,3+18*0+(11),,,"J1 D - South Bank Avenue")&amp;":"&amp;ADDRESS(130,3+18*0+(11))),'J1 D - South Bank Avenue'!$A$12:$A$130,"&gt;="&amp;Diagram!$O89,'J1 D - South Bank Avenue'!$A$12:$A$130,"&lt;"&amp;Diagram!$P89)))</f>
        <v>0</v>
      </c>
      <c r="CE89" s="42">
        <f ca="1">IF(OR($I$10="",$O89="",$P89="",$J$38&lt;&gt;"Yes"),0,IF($K$10=0,SUMIFS(INDIRECT(ADDRESS(12,3+18*1+(3),,,"J1 D - South Bank Avenue")&amp;":"&amp;ADDRESS(130,3+18*1+(3))),'J1 D - South Bank Avenue'!$A$12:$A$130,"&gt;="&amp;Diagram!$O89,'J1 D - South Bank Avenue'!$A$12:$A$130,"&lt;"&amp;Diagram!$P89),SUMIFS(INDIRECT(ADDRESS(12,3+18*1+(11),,,"J1 D - South Bank Avenue")&amp;":"&amp;ADDRESS(130,3+18*1+(11))),'J1 D - South Bank Avenue'!$A$12:$A$130,"&gt;="&amp;Diagram!$O89,'J1 D - South Bank Avenue'!$A$12:$A$130,"&lt;"&amp;Diagram!$P89)))</f>
        <v>0</v>
      </c>
      <c r="CF89" s="42">
        <f ca="1">IF(OR($I$10="",$O89="",$P89="",$J$38&lt;&gt;"Yes"),0,IF($K$10=0,SUMIFS(INDIRECT(ADDRESS(12,3+18*2+(3),,,"J1 D - South Bank Avenue")&amp;":"&amp;ADDRESS(130,3+18*2+(3))),'J1 D - South Bank Avenue'!$A$12:$A$130,"&gt;="&amp;Diagram!$O89,'J1 D - South Bank Avenue'!$A$12:$A$130,"&lt;"&amp;Diagram!$P89),SUMIFS(INDIRECT(ADDRESS(12,3+18*2+(11),,,"J1 D - South Bank Avenue")&amp;":"&amp;ADDRESS(130,3+18*2+(11))),'J1 D - South Bank Avenue'!$A$12:$A$130,"&gt;="&amp;Diagram!$O89,'J1 D - South Bank Avenue'!$A$12:$A$130,"&lt;"&amp;Diagram!$P89)))</f>
        <v>0</v>
      </c>
      <c r="CG89" s="42">
        <f ca="1">IF(OR($I$10="",$O89="",$P89="",$J$38&lt;&gt;"Yes"),0,IF($K$10=0,SUMIFS(INDIRECT(ADDRESS(12,3+18*3+(3),,,"J1 D - South Bank Avenue")&amp;":"&amp;ADDRESS(130,3+18*3+(3))),'J1 D - South Bank Avenue'!$A$12:$A$130,"&gt;="&amp;Diagram!$O89,'J1 D - South Bank Avenue'!$A$12:$A$130,"&lt;"&amp;Diagram!$P89),SUMIFS(INDIRECT(ADDRESS(12,3+18*3+(11),,,"J1 D - South Bank Avenue")&amp;":"&amp;ADDRESS(130,3+18*3+(11))),'J1 D - South Bank Avenue'!$A$12:$A$130,"&gt;="&amp;Diagram!$O89,'J1 D - South Bank Avenue'!$A$12:$A$130,"&lt;"&amp;Diagram!$P89)))</f>
        <v>0</v>
      </c>
      <c r="CH89" s="42">
        <f t="shared" ca="1" si="15"/>
        <v>2</v>
      </c>
      <c r="CI89" s="42">
        <f ca="1">IF(OR($I$10="",$O89="",$P89="",$J$39&lt;&gt;"Yes"),0,IF($K$10=0,SUMIFS(INDIRECT(ADDRESS(12,3+18*3+(4),,,"J1 A - (North) Bishopthorpe Roa")&amp;":"&amp;ADDRESS(130,3+18*3+(4))),'J1 A - (North) Bishopthorpe Roa'!$A$12:$A$130,"&gt;="&amp;Diagram!$O89,'J1 A - (North) Bishopthorpe Roa'!$A$12:$A$130,"&lt;"&amp;Diagram!$P89),SUMIFS(INDIRECT(ADDRESS(12,3+18*3+(12),,,"J1 A - (North) Bishopthorpe Roa")&amp;":"&amp;ADDRESS(130,3+18*3+(12))),'J1 A - (North) Bishopthorpe Roa'!$A$12:$A$130,"&gt;="&amp;Diagram!$O89,'J1 A - (North) Bishopthorpe Roa'!$A$12:$A$130,"&lt;"&amp;Diagram!$P89)))</f>
        <v>0</v>
      </c>
      <c r="CJ89" s="42">
        <f ca="1">IF(OR($I$10="",$O89="",$P89="",$J$39&lt;&gt;"Yes"),0,IF($K$10=0,SUMIFS(INDIRECT(ADDRESS(12,3+18*0+(4),,,"J1 A - (North) Bishopthorpe Roa")&amp;":"&amp;ADDRESS(130,3+18*0+(4))),'J1 A - (North) Bishopthorpe Roa'!$A$12:$A$130,"&gt;="&amp;Diagram!$O89,'J1 A - (North) Bishopthorpe Roa'!$A$12:$A$130,"&lt;"&amp;Diagram!$P89),SUMIFS(INDIRECT(ADDRESS(12,3+18*0+(12),,,"J1 A - (North) Bishopthorpe Roa")&amp;":"&amp;ADDRESS(130,3+18*0+(12))),'J1 A - (North) Bishopthorpe Roa'!$A$12:$A$130,"&gt;="&amp;Diagram!$O89,'J1 A - (North) Bishopthorpe Roa'!$A$12:$A$130,"&lt;"&amp;Diagram!$P89)))</f>
        <v>0</v>
      </c>
      <c r="CK89" s="42">
        <f ca="1">IF(OR($I$10="",$O89="",$P89="",$J$39&lt;&gt;"Yes"),0,IF($K$10=0,SUMIFS(INDIRECT(ADDRESS(12,3+18*1+(4),,,"J1 A - (North) Bishopthorpe Roa")&amp;":"&amp;ADDRESS(130,3+18*1+(4))),'J1 A - (North) Bishopthorpe Roa'!$A$12:$A$130,"&gt;="&amp;Diagram!$O89,'J1 A - (North) Bishopthorpe Roa'!$A$12:$A$130,"&lt;"&amp;Diagram!$P89),SUMIFS(INDIRECT(ADDRESS(12,3+18*1+(12),,,"J1 A - (North) Bishopthorpe Roa")&amp;":"&amp;ADDRESS(130,3+18*1+(12))),'J1 A - (North) Bishopthorpe Roa'!$A$12:$A$130,"&gt;="&amp;Diagram!$O89,'J1 A - (North) Bishopthorpe Roa'!$A$12:$A$130,"&lt;"&amp;Diagram!$P89)))</f>
        <v>1</v>
      </c>
      <c r="CL89" s="42">
        <f ca="1">IF(OR($I$10="",$O89="",$P89="",$J$39&lt;&gt;"Yes"),0,IF($K$10=0,SUMIFS(INDIRECT(ADDRESS(12,3+18*2+(4),,,"J1 A - (North) Bishopthorpe Roa")&amp;":"&amp;ADDRESS(130,3+18*2+(4))),'J1 A - (North) Bishopthorpe Roa'!$A$12:$A$130,"&gt;="&amp;Diagram!$O89,'J1 A - (North) Bishopthorpe Roa'!$A$12:$A$130,"&lt;"&amp;Diagram!$P89),SUMIFS(INDIRECT(ADDRESS(12,3+18*2+(12),,,"J1 A - (North) Bishopthorpe Roa")&amp;":"&amp;ADDRESS(130,3+18*2+(12))),'J1 A - (North) Bishopthorpe Roa'!$A$12:$A$130,"&gt;="&amp;Diagram!$O89,'J1 A - (North) Bishopthorpe Roa'!$A$12:$A$130,"&lt;"&amp;Diagram!$P89)))</f>
        <v>0</v>
      </c>
      <c r="CM89" s="42">
        <f ca="1">IF(OR($I$10="",$O89="",$P89="",$J$39&lt;&gt;"Yes"),0,IF($K$10=0,SUMIFS(INDIRECT(ADDRESS(12,3+18*2+(4),,,"J1 B - Butcher Terrace")&amp;":"&amp;ADDRESS(130,3+18*2+(4))),'J1 B - Butcher Terrace'!$A$12:$A$130,"&gt;="&amp;Diagram!$O89,'J1 B - Butcher Terrace'!$A$12:$A$130,"&lt;"&amp;Diagram!$P89),SUMIFS(INDIRECT(ADDRESS(12,3+18*2+(12),,,"J1 B - Butcher Terrace")&amp;":"&amp;ADDRESS(130,3+18*2+(12))),'J1 B - Butcher Terrace'!$A$12:$A$130,"&gt;="&amp;Diagram!$O89,'J1 B - Butcher Terrace'!$A$12:$A$130,"&lt;"&amp;Diagram!$P89)))</f>
        <v>0</v>
      </c>
      <c r="CN89" s="42">
        <f ca="1">IF(OR($I$10="",$O89="",$P89="",$J$39&lt;&gt;"Yes"),0,IF($K$10=0,SUMIFS(INDIRECT(ADDRESS(12,3+18*3+(4),,,"J1 B - Butcher Terrace")&amp;":"&amp;ADDRESS(130,3+18*3+(4))),'J1 B - Butcher Terrace'!$A$12:$A$130,"&gt;="&amp;Diagram!$O89,'J1 B - Butcher Terrace'!$A$12:$A$130,"&lt;"&amp;Diagram!$P89),SUMIFS(INDIRECT(ADDRESS(12,3+18*3+(12),,,"J1 B - Butcher Terrace")&amp;":"&amp;ADDRESS(130,3+18*3+(12))),'J1 B - Butcher Terrace'!$A$12:$A$130,"&gt;="&amp;Diagram!$O89,'J1 B - Butcher Terrace'!$A$12:$A$130,"&lt;"&amp;Diagram!$P89)))</f>
        <v>0</v>
      </c>
      <c r="CO89" s="42">
        <f ca="1">IF(OR($I$10="",$O89="",$P89="",$J$39&lt;&gt;"Yes"),0,IF($K$10=0,SUMIFS(INDIRECT(ADDRESS(12,3+18*0+(4),,,"J1 B - Butcher Terrace")&amp;":"&amp;ADDRESS(130,3+18*0+(4))),'J1 B - Butcher Terrace'!$A$12:$A$130,"&gt;="&amp;Diagram!$O89,'J1 B - Butcher Terrace'!$A$12:$A$130,"&lt;"&amp;Diagram!$P89),SUMIFS(INDIRECT(ADDRESS(12,3+18*0+(12),,,"J1 B - Butcher Terrace")&amp;":"&amp;ADDRESS(130,3+18*0+(12))),'J1 B - Butcher Terrace'!$A$12:$A$130,"&gt;="&amp;Diagram!$O89,'J1 B - Butcher Terrace'!$A$12:$A$130,"&lt;"&amp;Diagram!$P89)))</f>
        <v>0</v>
      </c>
      <c r="CP89" s="42">
        <f ca="1">IF(OR($I$10="",$O89="",$P89="",$J$39&lt;&gt;"Yes"),0,IF($K$10=0,SUMIFS(INDIRECT(ADDRESS(12,3+18*1+(4),,,"J1 B - Butcher Terrace")&amp;":"&amp;ADDRESS(130,3+18*1+(4))),'J1 B - Butcher Terrace'!$A$12:$A$130,"&gt;="&amp;Diagram!$O89,'J1 B - Butcher Terrace'!$A$12:$A$130,"&lt;"&amp;Diagram!$P89),SUMIFS(INDIRECT(ADDRESS(12,3+18*1+(12),,,"J1 B - Butcher Terrace")&amp;":"&amp;ADDRESS(130,3+18*1+(12))),'J1 B - Butcher Terrace'!$A$12:$A$130,"&gt;="&amp;Diagram!$O89,'J1 B - Butcher Terrace'!$A$12:$A$130,"&lt;"&amp;Diagram!$P89)))</f>
        <v>0</v>
      </c>
      <c r="CQ89" s="42">
        <f ca="1">IF(OR($I$10="",$O89="",$P89="",$J$39&lt;&gt;"Yes"),0,IF($K$10=0,SUMIFS(INDIRECT(ADDRESS(12,3+18*1+(4),,,"J1 C - (South) Bishopthorpe Roa")&amp;":"&amp;ADDRESS(130,3+18*1+(4))),'J1 C - (South) Bishopthorpe Roa'!$A$12:$A$130,"&gt;="&amp;Diagram!$O89,'J1 C - (South) Bishopthorpe Roa'!$A$12:$A$130,"&lt;"&amp;Diagram!$P89),SUMIFS(INDIRECT(ADDRESS(12,3+18*1+(12),,,"J1 C - (South) Bishopthorpe Roa")&amp;":"&amp;ADDRESS(130,3+18*1+(12))),'J1 C - (South) Bishopthorpe Roa'!$A$12:$A$130,"&gt;="&amp;Diagram!$O89,'J1 C - (South) Bishopthorpe Roa'!$A$12:$A$130,"&lt;"&amp;Diagram!$P89)))</f>
        <v>1</v>
      </c>
      <c r="CR89" s="42">
        <f ca="1">IF(OR($I$10="",$O89="",$P89="",$J$39&lt;&gt;"Yes"),0,IF($K$10=0,SUMIFS(INDIRECT(ADDRESS(12,3+18*2+(4),,,"J1 C - (South) Bishopthorpe Roa")&amp;":"&amp;ADDRESS(130,3+18*2+(4))),'J1 C - (South) Bishopthorpe Roa'!$A$12:$A$130,"&gt;="&amp;Diagram!$O89,'J1 C - (South) Bishopthorpe Roa'!$A$12:$A$130,"&lt;"&amp;Diagram!$P89),SUMIFS(INDIRECT(ADDRESS(12,3+18*2+(12),,,"J1 C - (South) Bishopthorpe Roa")&amp;":"&amp;ADDRESS(130,3+18*2+(12))),'J1 C - (South) Bishopthorpe Roa'!$A$12:$A$130,"&gt;="&amp;Diagram!$O89,'J1 C - (South) Bishopthorpe Roa'!$A$12:$A$130,"&lt;"&amp;Diagram!$P89)))</f>
        <v>0</v>
      </c>
      <c r="CS89" s="42">
        <f ca="1">IF(OR($I$10="",$O89="",$P89="",$J$39&lt;&gt;"Yes"),0,IF($K$10=0,SUMIFS(INDIRECT(ADDRESS(12,3+18*3+(4),,,"J1 C - (South) Bishopthorpe Roa")&amp;":"&amp;ADDRESS(130,3+18*3+(4))),'J1 C - (South) Bishopthorpe Roa'!$A$12:$A$130,"&gt;="&amp;Diagram!$O89,'J1 C - (South) Bishopthorpe Roa'!$A$12:$A$130,"&lt;"&amp;Diagram!$P89),SUMIFS(INDIRECT(ADDRESS(12,3+18*3+(12),,,"J1 C - (South) Bishopthorpe Roa")&amp;":"&amp;ADDRESS(130,3+18*3+(12))),'J1 C - (South) Bishopthorpe Roa'!$A$12:$A$130,"&gt;="&amp;Diagram!$O89,'J1 C - (South) Bishopthorpe Roa'!$A$12:$A$130,"&lt;"&amp;Diagram!$P89)))</f>
        <v>0</v>
      </c>
      <c r="CT89" s="42">
        <f ca="1">IF(OR($I$10="",$O89="",$P89="",$J$39&lt;&gt;"Yes"),0,IF($K$10=0,SUMIFS(INDIRECT(ADDRESS(12,3+18*0+(4),,,"J1 C - (South) Bishopthorpe Roa")&amp;":"&amp;ADDRESS(130,3+18*0+(4))),'J1 C - (South) Bishopthorpe Roa'!$A$12:$A$130,"&gt;="&amp;Diagram!$O89,'J1 C - (South) Bishopthorpe Roa'!$A$12:$A$130,"&lt;"&amp;Diagram!$P89),SUMIFS(INDIRECT(ADDRESS(12,3+18*0+(12),,,"J1 C - (South) Bishopthorpe Roa")&amp;":"&amp;ADDRESS(130,3+18*0+(12))),'J1 C - (South) Bishopthorpe Roa'!$A$12:$A$130,"&gt;="&amp;Diagram!$O89,'J1 C - (South) Bishopthorpe Roa'!$A$12:$A$130,"&lt;"&amp;Diagram!$P89)))</f>
        <v>0</v>
      </c>
      <c r="CU89" s="42">
        <f ca="1">IF(OR($I$10="",$O89="",$P89="",$J$39&lt;&gt;"Yes"),0,IF($K$10=0,SUMIFS(INDIRECT(ADDRESS(12,3+18*0+(4),,,"J1 D - South Bank Avenue")&amp;":"&amp;ADDRESS(130,3+18*0+(4))),'J1 D - South Bank Avenue'!$A$12:$A$130,"&gt;="&amp;Diagram!$O89,'J1 D - South Bank Avenue'!$A$12:$A$130,"&lt;"&amp;Diagram!$P89),SUMIFS(INDIRECT(ADDRESS(12,3+18*0+(12),,,"J1 D - South Bank Avenue")&amp;":"&amp;ADDRESS(130,3+18*0+(12))),'J1 D - South Bank Avenue'!$A$12:$A$130,"&gt;="&amp;Diagram!$O89,'J1 D - South Bank Avenue'!$A$12:$A$130,"&lt;"&amp;Diagram!$P89)))</f>
        <v>0</v>
      </c>
      <c r="CV89" s="42">
        <f ca="1">IF(OR($I$10="",$O89="",$P89="",$J$39&lt;&gt;"Yes"),0,IF($K$10=0,SUMIFS(INDIRECT(ADDRESS(12,3+18*1+(4),,,"J1 D - South Bank Avenue")&amp;":"&amp;ADDRESS(130,3+18*1+(4))),'J1 D - South Bank Avenue'!$A$12:$A$130,"&gt;="&amp;Diagram!$O89,'J1 D - South Bank Avenue'!$A$12:$A$130,"&lt;"&amp;Diagram!$P89),SUMIFS(INDIRECT(ADDRESS(12,3+18*1+(12),,,"J1 D - South Bank Avenue")&amp;":"&amp;ADDRESS(130,3+18*1+(12))),'J1 D - South Bank Avenue'!$A$12:$A$130,"&gt;="&amp;Diagram!$O89,'J1 D - South Bank Avenue'!$A$12:$A$130,"&lt;"&amp;Diagram!$P89)))</f>
        <v>0</v>
      </c>
      <c r="CW89" s="42">
        <f ca="1">IF(OR($I$10="",$O89="",$P89="",$J$39&lt;&gt;"Yes"),0,IF($K$10=0,SUMIFS(INDIRECT(ADDRESS(12,3+18*2+(4),,,"J1 D - South Bank Avenue")&amp;":"&amp;ADDRESS(130,3+18*2+(4))),'J1 D - South Bank Avenue'!$A$12:$A$130,"&gt;="&amp;Diagram!$O89,'J1 D - South Bank Avenue'!$A$12:$A$130,"&lt;"&amp;Diagram!$P89),SUMIFS(INDIRECT(ADDRESS(12,3+18*2+(12),,,"J1 D - South Bank Avenue")&amp;":"&amp;ADDRESS(130,3+18*2+(12))),'J1 D - South Bank Avenue'!$A$12:$A$130,"&gt;="&amp;Diagram!$O89,'J1 D - South Bank Avenue'!$A$12:$A$130,"&lt;"&amp;Diagram!$P89)))</f>
        <v>0</v>
      </c>
      <c r="CX89" s="42">
        <f ca="1">IF(OR($I$10="",$O89="",$P89="",$J$39&lt;&gt;"Yes"),0,IF($K$10=0,SUMIFS(INDIRECT(ADDRESS(12,3+18*3+(4),,,"J1 D - South Bank Avenue")&amp;":"&amp;ADDRESS(130,3+18*3+(4))),'J1 D - South Bank Avenue'!$A$12:$A$130,"&gt;="&amp;Diagram!$O89,'J1 D - South Bank Avenue'!$A$12:$A$130,"&lt;"&amp;Diagram!$P89),SUMIFS(INDIRECT(ADDRESS(12,3+18*3+(12),,,"J1 D - South Bank Avenue")&amp;":"&amp;ADDRESS(130,3+18*3+(12))),'J1 D - South Bank Avenue'!$A$12:$A$130,"&gt;="&amp;Diagram!$O89,'J1 D - South Bank Avenue'!$A$12:$A$130,"&lt;"&amp;Diagram!$P89)))</f>
        <v>0</v>
      </c>
      <c r="CY89" s="42">
        <f t="shared" ca="1" si="16"/>
        <v>34</v>
      </c>
      <c r="CZ89" s="42">
        <f ca="1">IF(OR($I$10="",$O89="",$P89="",$J$40&lt;&gt;"Yes"),0,IF($K$10=0,SUMIFS(INDIRECT(ADDRESS(12,3+18*3+(5),,,"J1 A - (North) Bishopthorpe Roa")&amp;":"&amp;ADDRESS(130,3+18*3+(5))),'J1 A - (North) Bishopthorpe Roa'!$A$12:$A$130,"&gt;="&amp;Diagram!$O89,'J1 A - (North) Bishopthorpe Roa'!$A$12:$A$130,"&lt;"&amp;Diagram!$P89),SUMIFS(INDIRECT(ADDRESS(12,3+18*3+(13),,,"J1 A - (North) Bishopthorpe Roa")&amp;":"&amp;ADDRESS(130,3+18*3+(13))),'J1 A - (North) Bishopthorpe Roa'!$A$12:$A$130,"&gt;="&amp;Diagram!$O89,'J1 A - (North) Bishopthorpe Roa'!$A$12:$A$130,"&lt;"&amp;Diagram!$P89)))</f>
        <v>0</v>
      </c>
      <c r="DA89" s="42">
        <f ca="1">IF(OR($I$10="",$O89="",$P89="",$J$40&lt;&gt;"Yes"),0,IF($K$10=0,SUMIFS(INDIRECT(ADDRESS(12,3+18*0+(5),,,"J1 A - (North) Bishopthorpe Roa")&amp;":"&amp;ADDRESS(130,3+18*0+(5))),'J1 A - (North) Bishopthorpe Roa'!$A$12:$A$130,"&gt;="&amp;Diagram!$O89,'J1 A - (North) Bishopthorpe Roa'!$A$12:$A$130,"&lt;"&amp;Diagram!$P89),SUMIFS(INDIRECT(ADDRESS(12,3+18*0+(13),,,"J1 A - (North) Bishopthorpe Roa")&amp;":"&amp;ADDRESS(130,3+18*0+(13))),'J1 A - (North) Bishopthorpe Roa'!$A$12:$A$130,"&gt;="&amp;Diagram!$O89,'J1 A - (North) Bishopthorpe Roa'!$A$12:$A$130,"&lt;"&amp;Diagram!$P89)))</f>
        <v>1</v>
      </c>
      <c r="DB89" s="42">
        <f ca="1">IF(OR($I$10="",$O89="",$P89="",$J$40&lt;&gt;"Yes"),0,IF($K$10=0,SUMIFS(INDIRECT(ADDRESS(12,3+18*1+(5),,,"J1 A - (North) Bishopthorpe Roa")&amp;":"&amp;ADDRESS(130,3+18*1+(5))),'J1 A - (North) Bishopthorpe Roa'!$A$12:$A$130,"&gt;="&amp;Diagram!$O89,'J1 A - (North) Bishopthorpe Roa'!$A$12:$A$130,"&lt;"&amp;Diagram!$P89),SUMIFS(INDIRECT(ADDRESS(12,3+18*1+(13),,,"J1 A - (North) Bishopthorpe Roa")&amp;":"&amp;ADDRESS(130,3+18*1+(13))),'J1 A - (North) Bishopthorpe Roa'!$A$12:$A$130,"&gt;="&amp;Diagram!$O89,'J1 A - (North) Bishopthorpe Roa'!$A$12:$A$130,"&lt;"&amp;Diagram!$P89)))</f>
        <v>8</v>
      </c>
      <c r="DC89" s="42">
        <f ca="1">IF(OR($I$10="",$O89="",$P89="",$J$40&lt;&gt;"Yes"),0,IF($K$10=0,SUMIFS(INDIRECT(ADDRESS(12,3+18*2+(5),,,"J1 A - (North) Bishopthorpe Roa")&amp;":"&amp;ADDRESS(130,3+18*2+(5))),'J1 A - (North) Bishopthorpe Roa'!$A$12:$A$130,"&gt;="&amp;Diagram!$O89,'J1 A - (North) Bishopthorpe Roa'!$A$12:$A$130,"&lt;"&amp;Diagram!$P89),SUMIFS(INDIRECT(ADDRESS(12,3+18*2+(13),,,"J1 A - (North) Bishopthorpe Roa")&amp;":"&amp;ADDRESS(130,3+18*2+(13))),'J1 A - (North) Bishopthorpe Roa'!$A$12:$A$130,"&gt;="&amp;Diagram!$O89,'J1 A - (North) Bishopthorpe Roa'!$A$12:$A$130,"&lt;"&amp;Diagram!$P89)))</f>
        <v>1</v>
      </c>
      <c r="DD89" s="42">
        <f ca="1">IF(OR($I$10="",$O89="",$P89="",$J$40&lt;&gt;"Yes"),0,IF($K$10=0,SUMIFS(INDIRECT(ADDRESS(12,3+18*2+(5),,,"J1 B - Butcher Terrace")&amp;":"&amp;ADDRESS(130,3+18*2+(5))),'J1 B - Butcher Terrace'!$A$12:$A$130,"&gt;="&amp;Diagram!$O89,'J1 B - Butcher Terrace'!$A$12:$A$130,"&lt;"&amp;Diagram!$P89),SUMIFS(INDIRECT(ADDRESS(12,3+18*2+(13),,,"J1 B - Butcher Terrace")&amp;":"&amp;ADDRESS(130,3+18*2+(13))),'J1 B - Butcher Terrace'!$A$12:$A$130,"&gt;="&amp;Diagram!$O89,'J1 B - Butcher Terrace'!$A$12:$A$130,"&lt;"&amp;Diagram!$P89)))</f>
        <v>4</v>
      </c>
      <c r="DE89" s="42">
        <f ca="1">IF(OR($I$10="",$O89="",$P89="",$J$40&lt;&gt;"Yes"),0,IF($K$10=0,SUMIFS(INDIRECT(ADDRESS(12,3+18*3+(5),,,"J1 B - Butcher Terrace")&amp;":"&amp;ADDRESS(130,3+18*3+(5))),'J1 B - Butcher Terrace'!$A$12:$A$130,"&gt;="&amp;Diagram!$O89,'J1 B - Butcher Terrace'!$A$12:$A$130,"&lt;"&amp;Diagram!$P89),SUMIFS(INDIRECT(ADDRESS(12,3+18*3+(13),,,"J1 B - Butcher Terrace")&amp;":"&amp;ADDRESS(130,3+18*3+(13))),'J1 B - Butcher Terrace'!$A$12:$A$130,"&gt;="&amp;Diagram!$O89,'J1 B - Butcher Terrace'!$A$12:$A$130,"&lt;"&amp;Diagram!$P89)))</f>
        <v>0</v>
      </c>
      <c r="DF89" s="42">
        <f ca="1">IF(OR($I$10="",$O89="",$P89="",$J$40&lt;&gt;"Yes"),0,IF($K$10=0,SUMIFS(INDIRECT(ADDRESS(12,3+18*0+(5),,,"J1 B - Butcher Terrace")&amp;":"&amp;ADDRESS(130,3+18*0+(5))),'J1 B - Butcher Terrace'!$A$12:$A$130,"&gt;="&amp;Diagram!$O89,'J1 B - Butcher Terrace'!$A$12:$A$130,"&lt;"&amp;Diagram!$P89),SUMIFS(INDIRECT(ADDRESS(12,3+18*0+(13),,,"J1 B - Butcher Terrace")&amp;":"&amp;ADDRESS(130,3+18*0+(13))),'J1 B - Butcher Terrace'!$A$12:$A$130,"&gt;="&amp;Diagram!$O89,'J1 B - Butcher Terrace'!$A$12:$A$130,"&lt;"&amp;Diagram!$P89)))</f>
        <v>0</v>
      </c>
      <c r="DG89" s="42">
        <f ca="1">IF(OR($I$10="",$O89="",$P89="",$J$40&lt;&gt;"Yes"),0,IF($K$10=0,SUMIFS(INDIRECT(ADDRESS(12,3+18*1+(5),,,"J1 B - Butcher Terrace")&amp;":"&amp;ADDRESS(130,3+18*1+(5))),'J1 B - Butcher Terrace'!$A$12:$A$130,"&gt;="&amp;Diagram!$O89,'J1 B - Butcher Terrace'!$A$12:$A$130,"&lt;"&amp;Diagram!$P89),SUMIFS(INDIRECT(ADDRESS(12,3+18*1+(13),,,"J1 B - Butcher Terrace")&amp;":"&amp;ADDRESS(130,3+18*1+(13))),'J1 B - Butcher Terrace'!$A$12:$A$130,"&gt;="&amp;Diagram!$O89,'J1 B - Butcher Terrace'!$A$12:$A$130,"&lt;"&amp;Diagram!$P89)))</f>
        <v>12</v>
      </c>
      <c r="DH89" s="42">
        <f ca="1">IF(OR($I$10="",$O89="",$P89="",$J$40&lt;&gt;"Yes"),0,IF($K$10=0,SUMIFS(INDIRECT(ADDRESS(12,3+18*1+(5),,,"J1 C - (South) Bishopthorpe Roa")&amp;":"&amp;ADDRESS(130,3+18*1+(5))),'J1 C - (South) Bishopthorpe Roa'!$A$12:$A$130,"&gt;="&amp;Diagram!$O89,'J1 C - (South) Bishopthorpe Roa'!$A$12:$A$130,"&lt;"&amp;Diagram!$P89),SUMIFS(INDIRECT(ADDRESS(12,3+18*1+(13),,,"J1 C - (South) Bishopthorpe Roa")&amp;":"&amp;ADDRESS(130,3+18*1+(13))),'J1 C - (South) Bishopthorpe Roa'!$A$12:$A$130,"&gt;="&amp;Diagram!$O89,'J1 C - (South) Bishopthorpe Roa'!$A$12:$A$130,"&lt;"&amp;Diagram!$P89)))</f>
        <v>3</v>
      </c>
      <c r="DI89" s="42">
        <f ca="1">IF(OR($I$10="",$O89="",$P89="",$J$40&lt;&gt;"Yes"),0,IF($K$10=0,SUMIFS(INDIRECT(ADDRESS(12,3+18*2+(5),,,"J1 C - (South) Bishopthorpe Roa")&amp;":"&amp;ADDRESS(130,3+18*2+(5))),'J1 C - (South) Bishopthorpe Roa'!$A$12:$A$130,"&gt;="&amp;Diagram!$O89,'J1 C - (South) Bishopthorpe Roa'!$A$12:$A$130,"&lt;"&amp;Diagram!$P89),SUMIFS(INDIRECT(ADDRESS(12,3+18*2+(13),,,"J1 C - (South) Bishopthorpe Roa")&amp;":"&amp;ADDRESS(130,3+18*2+(13))),'J1 C - (South) Bishopthorpe Roa'!$A$12:$A$130,"&gt;="&amp;Diagram!$O89,'J1 C - (South) Bishopthorpe Roa'!$A$12:$A$130,"&lt;"&amp;Diagram!$P89)))</f>
        <v>0</v>
      </c>
      <c r="DJ89" s="42">
        <f ca="1">IF(OR($I$10="",$O89="",$P89="",$J$40&lt;&gt;"Yes"),0,IF($K$10=0,SUMIFS(INDIRECT(ADDRESS(12,3+18*3+(5),,,"J1 C - (South) Bishopthorpe Roa")&amp;":"&amp;ADDRESS(130,3+18*3+(5))),'J1 C - (South) Bishopthorpe Roa'!$A$12:$A$130,"&gt;="&amp;Diagram!$O89,'J1 C - (South) Bishopthorpe Roa'!$A$12:$A$130,"&lt;"&amp;Diagram!$P89),SUMIFS(INDIRECT(ADDRESS(12,3+18*3+(13),,,"J1 C - (South) Bishopthorpe Roa")&amp;":"&amp;ADDRESS(130,3+18*3+(13))),'J1 C - (South) Bishopthorpe Roa'!$A$12:$A$130,"&gt;="&amp;Diagram!$O89,'J1 C - (South) Bishopthorpe Roa'!$A$12:$A$130,"&lt;"&amp;Diagram!$P89)))</f>
        <v>0</v>
      </c>
      <c r="DK89" s="42">
        <f ca="1">IF(OR($I$10="",$O89="",$P89="",$J$40&lt;&gt;"Yes"),0,IF($K$10=0,SUMIFS(INDIRECT(ADDRESS(12,3+18*0+(5),,,"J1 C - (South) Bishopthorpe Roa")&amp;":"&amp;ADDRESS(130,3+18*0+(5))),'J1 C - (South) Bishopthorpe Roa'!$A$12:$A$130,"&gt;="&amp;Diagram!$O89,'J1 C - (South) Bishopthorpe Roa'!$A$12:$A$130,"&lt;"&amp;Diagram!$P89),SUMIFS(INDIRECT(ADDRESS(12,3+18*0+(13),,,"J1 C - (South) Bishopthorpe Roa")&amp;":"&amp;ADDRESS(130,3+18*0+(13))),'J1 C - (South) Bishopthorpe Roa'!$A$12:$A$130,"&gt;="&amp;Diagram!$O89,'J1 C - (South) Bishopthorpe Roa'!$A$12:$A$130,"&lt;"&amp;Diagram!$P89)))</f>
        <v>1</v>
      </c>
      <c r="DL89" s="42">
        <f ca="1">IF(OR($I$10="",$O89="",$P89="",$J$40&lt;&gt;"Yes"),0,IF($K$10=0,SUMIFS(INDIRECT(ADDRESS(12,3+18*0+(5),,,"J1 D - South Bank Avenue")&amp;":"&amp;ADDRESS(130,3+18*0+(5))),'J1 D - South Bank Avenue'!$A$12:$A$130,"&gt;="&amp;Diagram!$O89,'J1 D - South Bank Avenue'!$A$12:$A$130,"&lt;"&amp;Diagram!$P89),SUMIFS(INDIRECT(ADDRESS(12,3+18*0+(13),,,"J1 D - South Bank Avenue")&amp;":"&amp;ADDRESS(130,3+18*0+(13))),'J1 D - South Bank Avenue'!$A$12:$A$130,"&gt;="&amp;Diagram!$O89,'J1 D - South Bank Avenue'!$A$12:$A$130,"&lt;"&amp;Diagram!$P89)))</f>
        <v>2</v>
      </c>
      <c r="DM89" s="42">
        <f ca="1">IF(OR($I$10="",$O89="",$P89="",$J$40&lt;&gt;"Yes"),0,IF($K$10=0,SUMIFS(INDIRECT(ADDRESS(12,3+18*1+(5),,,"J1 D - South Bank Avenue")&amp;":"&amp;ADDRESS(130,3+18*1+(5))),'J1 D - South Bank Avenue'!$A$12:$A$130,"&gt;="&amp;Diagram!$O89,'J1 D - South Bank Avenue'!$A$12:$A$130,"&lt;"&amp;Diagram!$P89),SUMIFS(INDIRECT(ADDRESS(12,3+18*1+(13),,,"J1 D - South Bank Avenue")&amp;":"&amp;ADDRESS(130,3+18*1+(13))),'J1 D - South Bank Avenue'!$A$12:$A$130,"&gt;="&amp;Diagram!$O89,'J1 D - South Bank Avenue'!$A$12:$A$130,"&lt;"&amp;Diagram!$P89)))</f>
        <v>2</v>
      </c>
      <c r="DN89" s="42">
        <f ca="1">IF(OR($I$10="",$O89="",$P89="",$J$40&lt;&gt;"Yes"),0,IF($K$10=0,SUMIFS(INDIRECT(ADDRESS(12,3+18*2+(5),,,"J1 D - South Bank Avenue")&amp;":"&amp;ADDRESS(130,3+18*2+(5))),'J1 D - South Bank Avenue'!$A$12:$A$130,"&gt;="&amp;Diagram!$O89,'J1 D - South Bank Avenue'!$A$12:$A$130,"&lt;"&amp;Diagram!$P89),SUMIFS(INDIRECT(ADDRESS(12,3+18*2+(13),,,"J1 D - South Bank Avenue")&amp;":"&amp;ADDRESS(130,3+18*2+(13))),'J1 D - South Bank Avenue'!$A$12:$A$130,"&gt;="&amp;Diagram!$O89,'J1 D - South Bank Avenue'!$A$12:$A$130,"&lt;"&amp;Diagram!$P89)))</f>
        <v>0</v>
      </c>
      <c r="DO89" s="42">
        <f ca="1">IF(OR($I$10="",$O89="",$P89="",$J$40&lt;&gt;"Yes"),0,IF($K$10=0,SUMIFS(INDIRECT(ADDRESS(12,3+18*3+(5),,,"J1 D - South Bank Avenue")&amp;":"&amp;ADDRESS(130,3+18*3+(5))),'J1 D - South Bank Avenue'!$A$12:$A$130,"&gt;="&amp;Diagram!$O89,'J1 D - South Bank Avenue'!$A$12:$A$130,"&lt;"&amp;Diagram!$P89),SUMIFS(INDIRECT(ADDRESS(12,3+18*3+(13),,,"J1 D - South Bank Avenue")&amp;":"&amp;ADDRESS(130,3+18*3+(13))),'J1 D - South Bank Avenue'!$A$12:$A$130,"&gt;="&amp;Diagram!$O89,'J1 D - South Bank Avenue'!$A$12:$A$130,"&lt;"&amp;Diagram!$P89)))</f>
        <v>0</v>
      </c>
      <c r="DP89" s="42">
        <f t="shared" ca="1" si="17"/>
        <v>8</v>
      </c>
      <c r="DQ89" s="42">
        <f ca="1">IF(OR($I$10="",$O89="",$P89="",$J$41&lt;&gt;"Yes"),0,IF($K$10=0,SUMIFS(INDIRECT(ADDRESS(12,3+18*3+(6),,,"J1 A - (North) Bishopthorpe Roa")&amp;":"&amp;ADDRESS(130,3+18*3+(6))),'J1 A - (North) Bishopthorpe Roa'!$A$12:$A$130,"&gt;="&amp;Diagram!$O89,'J1 A - (North) Bishopthorpe Roa'!$A$12:$A$130,"&lt;"&amp;Diagram!$P89),SUMIFS(INDIRECT(ADDRESS(12,3+18*3+(14),,,"J1 A - (North) Bishopthorpe Roa")&amp;":"&amp;ADDRESS(130,3+18*3+(14))),'J1 A - (North) Bishopthorpe Roa'!$A$12:$A$130,"&gt;="&amp;Diagram!$O89,'J1 A - (North) Bishopthorpe Roa'!$A$12:$A$130,"&lt;"&amp;Diagram!$P89)))</f>
        <v>0</v>
      </c>
      <c r="DR89" s="42">
        <f ca="1">IF(OR($I$10="",$O89="",$P89="",$J$41&lt;&gt;"Yes"),0,IF($K$10=0,SUMIFS(INDIRECT(ADDRESS(12,3+18*0+(6),,,"J1 A - (North) Bishopthorpe Roa")&amp;":"&amp;ADDRESS(130,3+18*0+(6))),'J1 A - (North) Bishopthorpe Roa'!$A$12:$A$130,"&gt;="&amp;Diagram!$O89,'J1 A - (North) Bishopthorpe Roa'!$A$12:$A$130,"&lt;"&amp;Diagram!$P89),SUMIFS(INDIRECT(ADDRESS(12,3+18*0+(14),,,"J1 A - (North) Bishopthorpe Roa")&amp;":"&amp;ADDRESS(130,3+18*0+(14))),'J1 A - (North) Bishopthorpe Roa'!$A$12:$A$130,"&gt;="&amp;Diagram!$O89,'J1 A - (North) Bishopthorpe Roa'!$A$12:$A$130,"&lt;"&amp;Diagram!$P89)))</f>
        <v>1</v>
      </c>
      <c r="DS89" s="42">
        <f ca="1">IF(OR($I$10="",$O89="",$P89="",$J$41&lt;&gt;"Yes"),0,IF($K$10=0,SUMIFS(INDIRECT(ADDRESS(12,3+18*1+(6),,,"J1 A - (North) Bishopthorpe Roa")&amp;":"&amp;ADDRESS(130,3+18*1+(6))),'J1 A - (North) Bishopthorpe Roa'!$A$12:$A$130,"&gt;="&amp;Diagram!$O89,'J1 A - (North) Bishopthorpe Roa'!$A$12:$A$130,"&lt;"&amp;Diagram!$P89),SUMIFS(INDIRECT(ADDRESS(12,3+18*1+(14),,,"J1 A - (North) Bishopthorpe Roa")&amp;":"&amp;ADDRESS(130,3+18*1+(14))),'J1 A - (North) Bishopthorpe Roa'!$A$12:$A$130,"&gt;="&amp;Diagram!$O89,'J1 A - (North) Bishopthorpe Roa'!$A$12:$A$130,"&lt;"&amp;Diagram!$P89)))</f>
        <v>1</v>
      </c>
      <c r="DT89" s="42">
        <f ca="1">IF(OR($I$10="",$O89="",$P89="",$J$41&lt;&gt;"Yes"),0,IF($K$10=0,SUMIFS(INDIRECT(ADDRESS(12,3+18*2+(6),,,"J1 A - (North) Bishopthorpe Roa")&amp;":"&amp;ADDRESS(130,3+18*2+(6))),'J1 A - (North) Bishopthorpe Roa'!$A$12:$A$130,"&gt;="&amp;Diagram!$O89,'J1 A - (North) Bishopthorpe Roa'!$A$12:$A$130,"&lt;"&amp;Diagram!$P89),SUMIFS(INDIRECT(ADDRESS(12,3+18*2+(14),,,"J1 A - (North) Bishopthorpe Roa")&amp;":"&amp;ADDRESS(130,3+18*2+(14))),'J1 A - (North) Bishopthorpe Roa'!$A$12:$A$130,"&gt;="&amp;Diagram!$O89,'J1 A - (North) Bishopthorpe Roa'!$A$12:$A$130,"&lt;"&amp;Diagram!$P89)))</f>
        <v>1</v>
      </c>
      <c r="DU89" s="42">
        <f ca="1">IF(OR($I$10="",$O89="",$P89="",$J$41&lt;&gt;"Yes"),0,IF($K$10=0,SUMIFS(INDIRECT(ADDRESS(12,3+18*2+(6),,,"J1 B - Butcher Terrace")&amp;":"&amp;ADDRESS(130,3+18*2+(6))),'J1 B - Butcher Terrace'!$A$12:$A$130,"&gt;="&amp;Diagram!$O89,'J1 B - Butcher Terrace'!$A$12:$A$130,"&lt;"&amp;Diagram!$P89),SUMIFS(INDIRECT(ADDRESS(12,3+18*2+(14),,,"J1 B - Butcher Terrace")&amp;":"&amp;ADDRESS(130,3+18*2+(14))),'J1 B - Butcher Terrace'!$A$12:$A$130,"&gt;="&amp;Diagram!$O89,'J1 B - Butcher Terrace'!$A$12:$A$130,"&lt;"&amp;Diagram!$P89)))</f>
        <v>1</v>
      </c>
      <c r="DV89" s="42">
        <f ca="1">IF(OR($I$10="",$O89="",$P89="",$J$41&lt;&gt;"Yes"),0,IF($K$10=0,SUMIFS(INDIRECT(ADDRESS(12,3+18*3+(6),,,"J1 B - Butcher Terrace")&amp;":"&amp;ADDRESS(130,3+18*3+(6))),'J1 B - Butcher Terrace'!$A$12:$A$130,"&gt;="&amp;Diagram!$O89,'J1 B - Butcher Terrace'!$A$12:$A$130,"&lt;"&amp;Diagram!$P89),SUMIFS(INDIRECT(ADDRESS(12,3+18*3+(14),,,"J1 B - Butcher Terrace")&amp;":"&amp;ADDRESS(130,3+18*3+(14))),'J1 B - Butcher Terrace'!$A$12:$A$130,"&gt;="&amp;Diagram!$O89,'J1 B - Butcher Terrace'!$A$12:$A$130,"&lt;"&amp;Diagram!$P89)))</f>
        <v>0</v>
      </c>
      <c r="DW89" s="42">
        <f ca="1">IF(OR($I$10="",$O89="",$P89="",$J$41&lt;&gt;"Yes"),0,IF($K$10=0,SUMIFS(INDIRECT(ADDRESS(12,3+18*0+(6),,,"J1 B - Butcher Terrace")&amp;":"&amp;ADDRESS(130,3+18*0+(6))),'J1 B - Butcher Terrace'!$A$12:$A$130,"&gt;="&amp;Diagram!$O89,'J1 B - Butcher Terrace'!$A$12:$A$130,"&lt;"&amp;Diagram!$P89),SUMIFS(INDIRECT(ADDRESS(12,3+18*0+(14),,,"J1 B - Butcher Terrace")&amp;":"&amp;ADDRESS(130,3+18*0+(14))),'J1 B - Butcher Terrace'!$A$12:$A$130,"&gt;="&amp;Diagram!$O89,'J1 B - Butcher Terrace'!$A$12:$A$130,"&lt;"&amp;Diagram!$P89)))</f>
        <v>0</v>
      </c>
      <c r="DX89" s="42">
        <f ca="1">IF(OR($I$10="",$O89="",$P89="",$J$41&lt;&gt;"Yes"),0,IF($K$10=0,SUMIFS(INDIRECT(ADDRESS(12,3+18*1+(6),,,"J1 B - Butcher Terrace")&amp;":"&amp;ADDRESS(130,3+18*1+(6))),'J1 B - Butcher Terrace'!$A$12:$A$130,"&gt;="&amp;Diagram!$O89,'J1 B - Butcher Terrace'!$A$12:$A$130,"&lt;"&amp;Diagram!$P89),SUMIFS(INDIRECT(ADDRESS(12,3+18*1+(14),,,"J1 B - Butcher Terrace")&amp;":"&amp;ADDRESS(130,3+18*1+(14))),'J1 B - Butcher Terrace'!$A$12:$A$130,"&gt;="&amp;Diagram!$O89,'J1 B - Butcher Terrace'!$A$12:$A$130,"&lt;"&amp;Diagram!$P89)))</f>
        <v>2</v>
      </c>
      <c r="DY89" s="42">
        <f ca="1">IF(OR($I$10="",$O89="",$P89="",$J$41&lt;&gt;"Yes"),0,IF($K$10=0,SUMIFS(INDIRECT(ADDRESS(12,3+18*1+(6),,,"J1 C - (South) Bishopthorpe Roa")&amp;":"&amp;ADDRESS(130,3+18*1+(6))),'J1 C - (South) Bishopthorpe Roa'!$A$12:$A$130,"&gt;="&amp;Diagram!$O89,'J1 C - (South) Bishopthorpe Roa'!$A$12:$A$130,"&lt;"&amp;Diagram!$P89),SUMIFS(INDIRECT(ADDRESS(12,3+18*1+(14),,,"J1 C - (South) Bishopthorpe Roa")&amp;":"&amp;ADDRESS(130,3+18*1+(14))),'J1 C - (South) Bishopthorpe Roa'!$A$12:$A$130,"&gt;="&amp;Diagram!$O89,'J1 C - (South) Bishopthorpe Roa'!$A$12:$A$130,"&lt;"&amp;Diagram!$P89)))</f>
        <v>1</v>
      </c>
      <c r="DZ89" s="42">
        <f ca="1">IF(OR($I$10="",$O89="",$P89="",$J$41&lt;&gt;"Yes"),0,IF($K$10=0,SUMIFS(INDIRECT(ADDRESS(12,3+18*2+(6),,,"J1 C - (South) Bishopthorpe Roa")&amp;":"&amp;ADDRESS(130,3+18*2+(6))),'J1 C - (South) Bishopthorpe Roa'!$A$12:$A$130,"&gt;="&amp;Diagram!$O89,'J1 C - (South) Bishopthorpe Roa'!$A$12:$A$130,"&lt;"&amp;Diagram!$P89),SUMIFS(INDIRECT(ADDRESS(12,3+18*2+(14),,,"J1 C - (South) Bishopthorpe Roa")&amp;":"&amp;ADDRESS(130,3+18*2+(14))),'J1 C - (South) Bishopthorpe Roa'!$A$12:$A$130,"&gt;="&amp;Diagram!$O89,'J1 C - (South) Bishopthorpe Roa'!$A$12:$A$130,"&lt;"&amp;Diagram!$P89)))</f>
        <v>0</v>
      </c>
      <c r="EA89" s="42">
        <f ca="1">IF(OR($I$10="",$O89="",$P89="",$J$41&lt;&gt;"Yes"),0,IF($K$10=0,SUMIFS(INDIRECT(ADDRESS(12,3+18*3+(6),,,"J1 C - (South) Bishopthorpe Roa")&amp;":"&amp;ADDRESS(130,3+18*3+(6))),'J1 C - (South) Bishopthorpe Roa'!$A$12:$A$130,"&gt;="&amp;Diagram!$O89,'J1 C - (South) Bishopthorpe Roa'!$A$12:$A$130,"&lt;"&amp;Diagram!$P89),SUMIFS(INDIRECT(ADDRESS(12,3+18*3+(14),,,"J1 C - (South) Bishopthorpe Roa")&amp;":"&amp;ADDRESS(130,3+18*3+(14))),'J1 C - (South) Bishopthorpe Roa'!$A$12:$A$130,"&gt;="&amp;Diagram!$O89,'J1 C - (South) Bishopthorpe Roa'!$A$12:$A$130,"&lt;"&amp;Diagram!$P89)))</f>
        <v>0</v>
      </c>
      <c r="EB89" s="42">
        <f ca="1">IF(OR($I$10="",$O89="",$P89="",$J$41&lt;&gt;"Yes"),0,IF($K$10=0,SUMIFS(INDIRECT(ADDRESS(12,3+18*0+(6),,,"J1 C - (South) Bishopthorpe Roa")&amp;":"&amp;ADDRESS(130,3+18*0+(6))),'J1 C - (South) Bishopthorpe Roa'!$A$12:$A$130,"&gt;="&amp;Diagram!$O89,'J1 C - (South) Bishopthorpe Roa'!$A$12:$A$130,"&lt;"&amp;Diagram!$P89),SUMIFS(INDIRECT(ADDRESS(12,3+18*0+(14),,,"J1 C - (South) Bishopthorpe Roa")&amp;":"&amp;ADDRESS(130,3+18*0+(14))),'J1 C - (South) Bishopthorpe Roa'!$A$12:$A$130,"&gt;="&amp;Diagram!$O89,'J1 C - (South) Bishopthorpe Roa'!$A$12:$A$130,"&lt;"&amp;Diagram!$P89)))</f>
        <v>0</v>
      </c>
      <c r="EC89" s="42">
        <f ca="1">IF(OR($I$10="",$O89="",$P89="",$J$41&lt;&gt;"Yes"),0,IF($K$10=0,SUMIFS(INDIRECT(ADDRESS(12,3+18*0+(6),,,"J1 D - South Bank Avenue")&amp;":"&amp;ADDRESS(130,3+18*0+(6))),'J1 D - South Bank Avenue'!$A$12:$A$130,"&gt;="&amp;Diagram!$O89,'J1 D - South Bank Avenue'!$A$12:$A$130,"&lt;"&amp;Diagram!$P89),SUMIFS(INDIRECT(ADDRESS(12,3+18*0+(14),,,"J1 D - South Bank Avenue")&amp;":"&amp;ADDRESS(130,3+18*0+(14))),'J1 D - South Bank Avenue'!$A$12:$A$130,"&gt;="&amp;Diagram!$O89,'J1 D - South Bank Avenue'!$A$12:$A$130,"&lt;"&amp;Diagram!$P89)))</f>
        <v>1</v>
      </c>
      <c r="ED89" s="42">
        <f ca="1">IF(OR($I$10="",$O89="",$P89="",$J$41&lt;&gt;"Yes"),0,IF($K$10=0,SUMIFS(INDIRECT(ADDRESS(12,3+18*1+(6),,,"J1 D - South Bank Avenue")&amp;":"&amp;ADDRESS(130,3+18*1+(6))),'J1 D - South Bank Avenue'!$A$12:$A$130,"&gt;="&amp;Diagram!$O89,'J1 D - South Bank Avenue'!$A$12:$A$130,"&lt;"&amp;Diagram!$P89),SUMIFS(INDIRECT(ADDRESS(12,3+18*1+(14),,,"J1 D - South Bank Avenue")&amp;":"&amp;ADDRESS(130,3+18*1+(14))),'J1 D - South Bank Avenue'!$A$12:$A$130,"&gt;="&amp;Diagram!$O89,'J1 D - South Bank Avenue'!$A$12:$A$130,"&lt;"&amp;Diagram!$P89)))</f>
        <v>0</v>
      </c>
      <c r="EE89" s="42">
        <f ca="1">IF(OR($I$10="",$O89="",$P89="",$J$41&lt;&gt;"Yes"),0,IF($K$10=0,SUMIFS(INDIRECT(ADDRESS(12,3+18*2+(6),,,"J1 D - South Bank Avenue")&amp;":"&amp;ADDRESS(130,3+18*2+(6))),'J1 D - South Bank Avenue'!$A$12:$A$130,"&gt;="&amp;Diagram!$O89,'J1 D - South Bank Avenue'!$A$12:$A$130,"&lt;"&amp;Diagram!$P89),SUMIFS(INDIRECT(ADDRESS(12,3+18*2+(14),,,"J1 D - South Bank Avenue")&amp;":"&amp;ADDRESS(130,3+18*2+(14))),'J1 D - South Bank Avenue'!$A$12:$A$130,"&gt;="&amp;Diagram!$O89,'J1 D - South Bank Avenue'!$A$12:$A$130,"&lt;"&amp;Diagram!$P89)))</f>
        <v>0</v>
      </c>
      <c r="EF89" s="42">
        <f ca="1">IF(OR($I$10="",$O89="",$P89="",$J$41&lt;&gt;"Yes"),0,IF($K$10=0,SUMIFS(INDIRECT(ADDRESS(12,3+18*3+(6),,,"J1 D - South Bank Avenue")&amp;":"&amp;ADDRESS(130,3+18*3+(6))),'J1 D - South Bank Avenue'!$A$12:$A$130,"&gt;="&amp;Diagram!$O89,'J1 D - South Bank Avenue'!$A$12:$A$130,"&lt;"&amp;Diagram!$P89),SUMIFS(INDIRECT(ADDRESS(12,3+18*3+(14),,,"J1 D - South Bank Avenue")&amp;":"&amp;ADDRESS(130,3+18*3+(14))),'J1 D - South Bank Avenue'!$A$12:$A$130,"&gt;="&amp;Diagram!$O89,'J1 D - South Bank Avenue'!$A$12:$A$130,"&lt;"&amp;Diagram!$P89)))</f>
        <v>0</v>
      </c>
      <c r="EG89" s="42">
        <f t="shared" ca="1" si="18"/>
        <v>0</v>
      </c>
      <c r="EH89" s="42">
        <f ca="1">IF(OR($I$10="",$O89="",$P89="",$J$42&lt;&gt;"Yes"),0,IF($K$10=0,SUMIFS(INDIRECT(ADDRESS(12,3+18*3+(7),,,"J1 A - (North) Bishopthorpe Roa")&amp;":"&amp;ADDRESS(130,3+18*3+(7))),'J1 A - (North) Bishopthorpe Roa'!$A$12:$A$130,"&gt;="&amp;Diagram!$O89,'J1 A - (North) Bishopthorpe Roa'!$A$12:$A$130,"&lt;"&amp;Diagram!$P89),SUMIFS(INDIRECT(ADDRESS(12,3+18*3+(15),,,"J1 A - (North) Bishopthorpe Roa")&amp;":"&amp;ADDRESS(130,3+18*3+(15))),'J1 A - (North) Bishopthorpe Roa'!$A$12:$A$130,"&gt;="&amp;Diagram!$O89,'J1 A - (North) Bishopthorpe Roa'!$A$12:$A$130,"&lt;"&amp;Diagram!$P89)))</f>
        <v>0</v>
      </c>
      <c r="EI89" s="42">
        <f ca="1">IF(OR($I$10="",$O89="",$P89="",$J$42&lt;&gt;"Yes"),0,IF($K$10=0,SUMIFS(INDIRECT(ADDRESS(12,3+18*0+(7),,,"J1 A - (North) Bishopthorpe Roa")&amp;":"&amp;ADDRESS(130,3+18*0+(7))),'J1 A - (North) Bishopthorpe Roa'!$A$12:$A$130,"&gt;="&amp;Diagram!$O89,'J1 A - (North) Bishopthorpe Roa'!$A$12:$A$130,"&lt;"&amp;Diagram!$P89),SUMIFS(INDIRECT(ADDRESS(12,3+18*0+(15),,,"J1 A - (North) Bishopthorpe Roa")&amp;":"&amp;ADDRESS(130,3+18*0+(15))),'J1 A - (North) Bishopthorpe Roa'!$A$12:$A$130,"&gt;="&amp;Diagram!$O89,'J1 A - (North) Bishopthorpe Roa'!$A$12:$A$130,"&lt;"&amp;Diagram!$P89)))</f>
        <v>0</v>
      </c>
      <c r="EJ89" s="42">
        <f ca="1">IF(OR($I$10="",$O89="",$P89="",$J$42&lt;&gt;"Yes"),0,IF($K$10=0,SUMIFS(INDIRECT(ADDRESS(12,3+18*1+(7),,,"J1 A - (North) Bishopthorpe Roa")&amp;":"&amp;ADDRESS(130,3+18*1+(7))),'J1 A - (North) Bishopthorpe Roa'!$A$12:$A$130,"&gt;="&amp;Diagram!$O89,'J1 A - (North) Bishopthorpe Roa'!$A$12:$A$130,"&lt;"&amp;Diagram!$P89),SUMIFS(INDIRECT(ADDRESS(12,3+18*1+(15),,,"J1 A - (North) Bishopthorpe Roa")&amp;":"&amp;ADDRESS(130,3+18*1+(15))),'J1 A - (North) Bishopthorpe Roa'!$A$12:$A$130,"&gt;="&amp;Diagram!$O89,'J1 A - (North) Bishopthorpe Roa'!$A$12:$A$130,"&lt;"&amp;Diagram!$P89)))</f>
        <v>0</v>
      </c>
      <c r="EK89" s="42">
        <f ca="1">IF(OR($I$10="",$O89="",$P89="",$J$42&lt;&gt;"Yes"),0,IF($K$10=0,SUMIFS(INDIRECT(ADDRESS(12,3+18*2+(7),,,"J1 A - (North) Bishopthorpe Roa")&amp;":"&amp;ADDRESS(130,3+18*2+(7))),'J1 A - (North) Bishopthorpe Roa'!$A$12:$A$130,"&gt;="&amp;Diagram!$O89,'J1 A - (North) Bishopthorpe Roa'!$A$12:$A$130,"&lt;"&amp;Diagram!$P89),SUMIFS(INDIRECT(ADDRESS(12,3+18*2+(15),,,"J1 A - (North) Bishopthorpe Roa")&amp;":"&amp;ADDRESS(130,3+18*2+(15))),'J1 A - (North) Bishopthorpe Roa'!$A$12:$A$130,"&gt;="&amp;Diagram!$O89,'J1 A - (North) Bishopthorpe Roa'!$A$12:$A$130,"&lt;"&amp;Diagram!$P89)))</f>
        <v>0</v>
      </c>
      <c r="EL89" s="42">
        <f ca="1">IF(OR($I$10="",$O89="",$P89="",$J$42&lt;&gt;"Yes"),0,IF($K$10=0,SUMIFS(INDIRECT(ADDRESS(12,3+18*2+(7),,,"J1 B - Butcher Terrace")&amp;":"&amp;ADDRESS(130,3+18*2+(7))),'J1 B - Butcher Terrace'!$A$12:$A$130,"&gt;="&amp;Diagram!$O89,'J1 B - Butcher Terrace'!$A$12:$A$130,"&lt;"&amp;Diagram!$P89),SUMIFS(INDIRECT(ADDRESS(12,3+18*2+(15),,,"J1 B - Butcher Terrace")&amp;":"&amp;ADDRESS(130,3+18*2+(15))),'J1 B - Butcher Terrace'!$A$12:$A$130,"&gt;="&amp;Diagram!$O89,'J1 B - Butcher Terrace'!$A$12:$A$130,"&lt;"&amp;Diagram!$P89)))</f>
        <v>0</v>
      </c>
      <c r="EM89" s="42">
        <f ca="1">IF(OR($I$10="",$O89="",$P89="",$J$42&lt;&gt;"Yes"),0,IF($K$10=0,SUMIFS(INDIRECT(ADDRESS(12,3+18*3+(7),,,"J1 B - Butcher Terrace")&amp;":"&amp;ADDRESS(130,3+18*3+(7))),'J1 B - Butcher Terrace'!$A$12:$A$130,"&gt;="&amp;Diagram!$O89,'J1 B - Butcher Terrace'!$A$12:$A$130,"&lt;"&amp;Diagram!$P89),SUMIFS(INDIRECT(ADDRESS(12,3+18*3+(15),,,"J1 B - Butcher Terrace")&amp;":"&amp;ADDRESS(130,3+18*3+(15))),'J1 B - Butcher Terrace'!$A$12:$A$130,"&gt;="&amp;Diagram!$O89,'J1 B - Butcher Terrace'!$A$12:$A$130,"&lt;"&amp;Diagram!$P89)))</f>
        <v>0</v>
      </c>
      <c r="EN89" s="42">
        <f ca="1">IF(OR($I$10="",$O89="",$P89="",$J$42&lt;&gt;"Yes"),0,IF($K$10=0,SUMIFS(INDIRECT(ADDRESS(12,3+18*0+(7),,,"J1 B - Butcher Terrace")&amp;":"&amp;ADDRESS(130,3+18*0+(7))),'J1 B - Butcher Terrace'!$A$12:$A$130,"&gt;="&amp;Diagram!$O89,'J1 B - Butcher Terrace'!$A$12:$A$130,"&lt;"&amp;Diagram!$P89),SUMIFS(INDIRECT(ADDRESS(12,3+18*0+(15),,,"J1 B - Butcher Terrace")&amp;":"&amp;ADDRESS(130,3+18*0+(15))),'J1 B - Butcher Terrace'!$A$12:$A$130,"&gt;="&amp;Diagram!$O89,'J1 B - Butcher Terrace'!$A$12:$A$130,"&lt;"&amp;Diagram!$P89)))</f>
        <v>0</v>
      </c>
      <c r="EO89" s="42">
        <f ca="1">IF(OR($I$10="",$O89="",$P89="",$J$42&lt;&gt;"Yes"),0,IF($K$10=0,SUMIFS(INDIRECT(ADDRESS(12,3+18*1+(7),,,"J1 B - Butcher Terrace")&amp;":"&amp;ADDRESS(130,3+18*1+(7))),'J1 B - Butcher Terrace'!$A$12:$A$130,"&gt;="&amp;Diagram!$O89,'J1 B - Butcher Terrace'!$A$12:$A$130,"&lt;"&amp;Diagram!$P89),SUMIFS(INDIRECT(ADDRESS(12,3+18*1+(15),,,"J1 B - Butcher Terrace")&amp;":"&amp;ADDRESS(130,3+18*1+(15))),'J1 B - Butcher Terrace'!$A$12:$A$130,"&gt;="&amp;Diagram!$O89,'J1 B - Butcher Terrace'!$A$12:$A$130,"&lt;"&amp;Diagram!$P89)))</f>
        <v>0</v>
      </c>
      <c r="EP89" s="42">
        <f ca="1">IF(OR($I$10="",$O89="",$P89="",$J$42&lt;&gt;"Yes"),0,IF($K$10=0,SUMIFS(INDIRECT(ADDRESS(12,3+18*1+(7),,,"J1 C - (South) Bishopthorpe Roa")&amp;":"&amp;ADDRESS(130,3+18*1+(7))),'J1 C - (South) Bishopthorpe Roa'!$A$12:$A$130,"&gt;="&amp;Diagram!$O89,'J1 C - (South) Bishopthorpe Roa'!$A$12:$A$130,"&lt;"&amp;Diagram!$P89),SUMIFS(INDIRECT(ADDRESS(12,3+18*1+(15),,,"J1 C - (South) Bishopthorpe Roa")&amp;":"&amp;ADDRESS(130,3+18*1+(15))),'J1 C - (South) Bishopthorpe Roa'!$A$12:$A$130,"&gt;="&amp;Diagram!$O89,'J1 C - (South) Bishopthorpe Roa'!$A$12:$A$130,"&lt;"&amp;Diagram!$P89)))</f>
        <v>0</v>
      </c>
      <c r="EQ89" s="42">
        <f ca="1">IF(OR($I$10="",$O89="",$P89="",$J$42&lt;&gt;"Yes"),0,IF($K$10=0,SUMIFS(INDIRECT(ADDRESS(12,3+18*2+(7),,,"J1 C - (South) Bishopthorpe Roa")&amp;":"&amp;ADDRESS(130,3+18*2+(7))),'J1 C - (South) Bishopthorpe Roa'!$A$12:$A$130,"&gt;="&amp;Diagram!$O89,'J1 C - (South) Bishopthorpe Roa'!$A$12:$A$130,"&lt;"&amp;Diagram!$P89),SUMIFS(INDIRECT(ADDRESS(12,3+18*2+(15),,,"J1 C - (South) Bishopthorpe Roa")&amp;":"&amp;ADDRESS(130,3+18*2+(15))),'J1 C - (South) Bishopthorpe Roa'!$A$12:$A$130,"&gt;="&amp;Diagram!$O89,'J1 C - (South) Bishopthorpe Roa'!$A$12:$A$130,"&lt;"&amp;Diagram!$P89)))</f>
        <v>0</v>
      </c>
      <c r="ER89" s="42">
        <f ca="1">IF(OR($I$10="",$O89="",$P89="",$J$42&lt;&gt;"Yes"),0,IF($K$10=0,SUMIFS(INDIRECT(ADDRESS(12,3+18*3+(7),,,"J1 C - (South) Bishopthorpe Roa")&amp;":"&amp;ADDRESS(130,3+18*3+(7))),'J1 C - (South) Bishopthorpe Roa'!$A$12:$A$130,"&gt;="&amp;Diagram!$O89,'J1 C - (South) Bishopthorpe Roa'!$A$12:$A$130,"&lt;"&amp;Diagram!$P89),SUMIFS(INDIRECT(ADDRESS(12,3+18*3+(15),,,"J1 C - (South) Bishopthorpe Roa")&amp;":"&amp;ADDRESS(130,3+18*3+(15))),'J1 C - (South) Bishopthorpe Roa'!$A$12:$A$130,"&gt;="&amp;Diagram!$O89,'J1 C - (South) Bishopthorpe Roa'!$A$12:$A$130,"&lt;"&amp;Diagram!$P89)))</f>
        <v>0</v>
      </c>
      <c r="ES89" s="42">
        <f ca="1">IF(OR($I$10="",$O89="",$P89="",$J$42&lt;&gt;"Yes"),0,IF($K$10=0,SUMIFS(INDIRECT(ADDRESS(12,3+18*0+(7),,,"J1 C - (South) Bishopthorpe Roa")&amp;":"&amp;ADDRESS(130,3+18*0+(7))),'J1 C - (South) Bishopthorpe Roa'!$A$12:$A$130,"&gt;="&amp;Diagram!$O89,'J1 C - (South) Bishopthorpe Roa'!$A$12:$A$130,"&lt;"&amp;Diagram!$P89),SUMIFS(INDIRECT(ADDRESS(12,3+18*0+(15),,,"J1 C - (South) Bishopthorpe Roa")&amp;":"&amp;ADDRESS(130,3+18*0+(15))),'J1 C - (South) Bishopthorpe Roa'!$A$12:$A$130,"&gt;="&amp;Diagram!$O89,'J1 C - (South) Bishopthorpe Roa'!$A$12:$A$130,"&lt;"&amp;Diagram!$P89)))</f>
        <v>0</v>
      </c>
      <c r="ET89" s="42">
        <f ca="1">IF(OR($I$10="",$O89="",$P89="",$J$42&lt;&gt;"Yes"),0,IF($K$10=0,SUMIFS(INDIRECT(ADDRESS(12,3+18*0+(7),,,"J1 D - South Bank Avenue")&amp;":"&amp;ADDRESS(130,3+18*0+(7))),'J1 D - South Bank Avenue'!$A$12:$A$130,"&gt;="&amp;Diagram!$O89,'J1 D - South Bank Avenue'!$A$12:$A$130,"&lt;"&amp;Diagram!$P89),SUMIFS(INDIRECT(ADDRESS(12,3+18*0+(15),,,"J1 D - South Bank Avenue")&amp;":"&amp;ADDRESS(130,3+18*0+(15))),'J1 D - South Bank Avenue'!$A$12:$A$130,"&gt;="&amp;Diagram!$O89,'J1 D - South Bank Avenue'!$A$12:$A$130,"&lt;"&amp;Diagram!$P89)))</f>
        <v>0</v>
      </c>
      <c r="EU89" s="42">
        <f ca="1">IF(OR($I$10="",$O89="",$P89="",$J$42&lt;&gt;"Yes"),0,IF($K$10=0,SUMIFS(INDIRECT(ADDRESS(12,3+18*1+(7),,,"J1 D - South Bank Avenue")&amp;":"&amp;ADDRESS(130,3+18*1+(7))),'J1 D - South Bank Avenue'!$A$12:$A$130,"&gt;="&amp;Diagram!$O89,'J1 D - South Bank Avenue'!$A$12:$A$130,"&lt;"&amp;Diagram!$P89),SUMIFS(INDIRECT(ADDRESS(12,3+18*1+(15),,,"J1 D - South Bank Avenue")&amp;":"&amp;ADDRESS(130,3+18*1+(15))),'J1 D - South Bank Avenue'!$A$12:$A$130,"&gt;="&amp;Diagram!$O89,'J1 D - South Bank Avenue'!$A$12:$A$130,"&lt;"&amp;Diagram!$P89)))</f>
        <v>0</v>
      </c>
      <c r="EV89" s="42">
        <f ca="1">IF(OR($I$10="",$O89="",$P89="",$J$42&lt;&gt;"Yes"),0,IF($K$10=0,SUMIFS(INDIRECT(ADDRESS(12,3+18*2+(7),,,"J1 D - South Bank Avenue")&amp;":"&amp;ADDRESS(130,3+18*2+(7))),'J1 D - South Bank Avenue'!$A$12:$A$130,"&gt;="&amp;Diagram!$O89,'J1 D - South Bank Avenue'!$A$12:$A$130,"&lt;"&amp;Diagram!$P89),SUMIFS(INDIRECT(ADDRESS(12,3+18*2+(15),,,"J1 D - South Bank Avenue")&amp;":"&amp;ADDRESS(130,3+18*2+(15))),'J1 D - South Bank Avenue'!$A$12:$A$130,"&gt;="&amp;Diagram!$O89,'J1 D - South Bank Avenue'!$A$12:$A$130,"&lt;"&amp;Diagram!$P89)))</f>
        <v>0</v>
      </c>
      <c r="EW89" s="42">
        <f ca="1">IF(OR($I$10="",$O89="",$P89="",$J$42&lt;&gt;"Yes"),0,IF($K$10=0,SUMIFS(INDIRECT(ADDRESS(12,3+18*3+(7),,,"J1 D - South Bank Avenue")&amp;":"&amp;ADDRESS(130,3+18*3+(7))),'J1 D - South Bank Avenue'!$A$12:$A$130,"&gt;="&amp;Diagram!$O89,'J1 D - South Bank Avenue'!$A$12:$A$130,"&lt;"&amp;Diagram!$P89),SUMIFS(INDIRECT(ADDRESS(12,3+18*3+(15),,,"J1 D - South Bank Avenue")&amp;":"&amp;ADDRESS(130,3+18*3+(15))),'J1 D - South Bank Avenue'!$A$12:$A$130,"&gt;="&amp;Diagram!$O89,'J1 D - South Bank Avenue'!$A$12:$A$130,"&lt;"&amp;Diagram!$P89)))</f>
        <v>0</v>
      </c>
    </row>
    <row r="90" spans="1:153">
      <c r="A90" s="1">
        <v>44395.927083333299</v>
      </c>
      <c r="B90" s="1">
        <v>44395.9375</v>
      </c>
      <c r="O90" s="3">
        <v>44395.927083333299</v>
      </c>
      <c r="P90" s="3">
        <v>44395.96875</v>
      </c>
      <c r="Q90" s="42">
        <f t="shared" ca="1" si="10"/>
        <v>186</v>
      </c>
      <c r="R90" s="42">
        <f t="shared" ca="1" si="11"/>
        <v>147</v>
      </c>
      <c r="S90" s="42">
        <f ca="1">IF(OR($I$10="",$O90="",$P90="",$J$35&lt;&gt;"Yes"),0,IF($K$10=0,SUMIFS(INDIRECT(ADDRESS(12,3+18*3+(0),,,"J1 A - (North) Bishopthorpe Roa")&amp;":"&amp;ADDRESS(130,3+18*3+(0))),'J1 A - (North) Bishopthorpe Roa'!$A$12:$A$130,"&gt;="&amp;Diagram!$O90,'J1 A - (North) Bishopthorpe Roa'!$A$12:$A$130,"&lt;"&amp;Diagram!$P90),SUMIFS(INDIRECT(ADDRESS(12,3+18*3+(8),,,"J1 A - (North) Bishopthorpe Roa")&amp;":"&amp;ADDRESS(130,3+18*3+(8))),'J1 A - (North) Bishopthorpe Roa'!$A$12:$A$130,"&gt;="&amp;Diagram!$O90,'J1 A - (North) Bishopthorpe Roa'!$A$12:$A$130,"&lt;"&amp;Diagram!$P90)))</f>
        <v>1</v>
      </c>
      <c r="T90" s="42">
        <f ca="1">IF(OR($I$10="",$O90="",$P90="",$J$35&lt;&gt;"Yes"),0,IF($K$10=0,SUMIFS(INDIRECT(ADDRESS(12,3+18*0+(0),,,"J1 A - (North) Bishopthorpe Roa")&amp;":"&amp;ADDRESS(130,3+18*0+(0))),'J1 A - (North) Bishopthorpe Roa'!$A$12:$A$130,"&gt;="&amp;Diagram!$O90,'J1 A - (North) Bishopthorpe Roa'!$A$12:$A$130,"&lt;"&amp;Diagram!$P90),SUMIFS(INDIRECT(ADDRESS(12,3+18*0+(8),,,"J1 A - (North) Bishopthorpe Roa")&amp;":"&amp;ADDRESS(130,3+18*0+(8))),'J1 A - (North) Bishopthorpe Roa'!$A$12:$A$130,"&gt;="&amp;Diagram!$O90,'J1 A - (North) Bishopthorpe Roa'!$A$12:$A$130,"&lt;"&amp;Diagram!$P90)))</f>
        <v>7</v>
      </c>
      <c r="U90" s="42">
        <f ca="1">IF(OR($I$10="",$O90="",$P90="",$J$35&lt;&gt;"Yes"),0,IF($K$10=0,SUMIFS(INDIRECT(ADDRESS(12,3+18*1+(0),,,"J1 A - (North) Bishopthorpe Roa")&amp;":"&amp;ADDRESS(130,3+18*1+(0))),'J1 A - (North) Bishopthorpe Roa'!$A$12:$A$130,"&gt;="&amp;Diagram!$O90,'J1 A - (North) Bishopthorpe Roa'!$A$12:$A$130,"&lt;"&amp;Diagram!$P90),SUMIFS(INDIRECT(ADDRESS(12,3+18*1+(8),,,"J1 A - (North) Bishopthorpe Roa")&amp;":"&amp;ADDRESS(130,3+18*1+(8))),'J1 A - (North) Bishopthorpe Roa'!$A$12:$A$130,"&gt;="&amp;Diagram!$O90,'J1 A - (North) Bishopthorpe Roa'!$A$12:$A$130,"&lt;"&amp;Diagram!$P90)))</f>
        <v>57</v>
      </c>
      <c r="V90" s="42">
        <f ca="1">IF(OR($I$10="",$O90="",$P90="",$J$35&lt;&gt;"Yes"),0,IF($K$10=0,SUMIFS(INDIRECT(ADDRESS(12,3+18*2+(0),,,"J1 A - (North) Bishopthorpe Roa")&amp;":"&amp;ADDRESS(130,3+18*2+(0))),'J1 A - (North) Bishopthorpe Roa'!$A$12:$A$130,"&gt;="&amp;Diagram!$O90,'J1 A - (North) Bishopthorpe Roa'!$A$12:$A$130,"&lt;"&amp;Diagram!$P90),SUMIFS(INDIRECT(ADDRESS(12,3+18*2+(8),,,"J1 A - (North) Bishopthorpe Roa")&amp;":"&amp;ADDRESS(130,3+18*2+(8))),'J1 A - (North) Bishopthorpe Roa'!$A$12:$A$130,"&gt;="&amp;Diagram!$O90,'J1 A - (North) Bishopthorpe Roa'!$A$12:$A$130,"&lt;"&amp;Diagram!$P90)))</f>
        <v>10</v>
      </c>
      <c r="W90" s="42">
        <f ca="1">IF(OR($I$10="",$O90="",$P90="",$J$35&lt;&gt;"Yes"),0,IF($K$10=0,SUMIFS(INDIRECT(ADDRESS(12,3+18*2+(0),,,"J1 B - Butcher Terrace")&amp;":"&amp;ADDRESS(130,3+18*2+(0))),'J1 B - Butcher Terrace'!$A$12:$A$130,"&gt;="&amp;Diagram!$O90,'J1 B - Butcher Terrace'!$A$12:$A$130,"&lt;"&amp;Diagram!$P90),SUMIFS(INDIRECT(ADDRESS(12,3+18*2+(8),,,"J1 B - Butcher Terrace")&amp;":"&amp;ADDRESS(130,3+18*2+(8))),'J1 B - Butcher Terrace'!$A$12:$A$130,"&gt;="&amp;Diagram!$O90,'J1 B - Butcher Terrace'!$A$12:$A$130,"&lt;"&amp;Diagram!$P90)))</f>
        <v>6</v>
      </c>
      <c r="X90" s="42">
        <f ca="1">IF(OR($I$10="",$O90="",$P90="",$J$35&lt;&gt;"Yes"),0,IF($K$10=0,SUMIFS(INDIRECT(ADDRESS(12,3+18*3+(0),,,"J1 B - Butcher Terrace")&amp;":"&amp;ADDRESS(130,3+18*3+(0))),'J1 B - Butcher Terrace'!$A$12:$A$130,"&gt;="&amp;Diagram!$O90,'J1 B - Butcher Terrace'!$A$12:$A$130,"&lt;"&amp;Diagram!$P90),SUMIFS(INDIRECT(ADDRESS(12,3+18*3+(8),,,"J1 B - Butcher Terrace")&amp;":"&amp;ADDRESS(130,3+18*3+(8))),'J1 B - Butcher Terrace'!$A$12:$A$130,"&gt;="&amp;Diagram!$O90,'J1 B - Butcher Terrace'!$A$12:$A$130,"&lt;"&amp;Diagram!$P90)))</f>
        <v>0</v>
      </c>
      <c r="Y90" s="42">
        <f ca="1">IF(OR($I$10="",$O90="",$P90="",$J$35&lt;&gt;"Yes"),0,IF($K$10=0,SUMIFS(INDIRECT(ADDRESS(12,3+18*0+(0),,,"J1 B - Butcher Terrace")&amp;":"&amp;ADDRESS(130,3+18*0+(0))),'J1 B - Butcher Terrace'!$A$12:$A$130,"&gt;="&amp;Diagram!$O90,'J1 B - Butcher Terrace'!$A$12:$A$130,"&lt;"&amp;Diagram!$P90),SUMIFS(INDIRECT(ADDRESS(12,3+18*0+(8),,,"J1 B - Butcher Terrace")&amp;":"&amp;ADDRESS(130,3+18*0+(8))),'J1 B - Butcher Terrace'!$A$12:$A$130,"&gt;="&amp;Diagram!$O90,'J1 B - Butcher Terrace'!$A$12:$A$130,"&lt;"&amp;Diagram!$P90)))</f>
        <v>0</v>
      </c>
      <c r="Z90" s="42">
        <f ca="1">IF(OR($I$10="",$O90="",$P90="",$J$35&lt;&gt;"Yes"),0,IF($K$10=0,SUMIFS(INDIRECT(ADDRESS(12,3+18*1+(0),,,"J1 B - Butcher Terrace")&amp;":"&amp;ADDRESS(130,3+18*1+(0))),'J1 B - Butcher Terrace'!$A$12:$A$130,"&gt;="&amp;Diagram!$O90,'J1 B - Butcher Terrace'!$A$12:$A$130,"&lt;"&amp;Diagram!$P90),SUMIFS(INDIRECT(ADDRESS(12,3+18*1+(8),,,"J1 B - Butcher Terrace")&amp;":"&amp;ADDRESS(130,3+18*1+(8))),'J1 B - Butcher Terrace'!$A$12:$A$130,"&gt;="&amp;Diagram!$O90,'J1 B - Butcher Terrace'!$A$12:$A$130,"&lt;"&amp;Diagram!$P90)))</f>
        <v>0</v>
      </c>
      <c r="AA90" s="42">
        <f ca="1">IF(OR($I$10="",$O90="",$P90="",$J$35&lt;&gt;"Yes"),0,IF($K$10=0,SUMIFS(INDIRECT(ADDRESS(12,3+18*1+(0),,,"J1 C - (South) Bishopthorpe Roa")&amp;":"&amp;ADDRESS(130,3+18*1+(0))),'J1 C - (South) Bishopthorpe Roa'!$A$12:$A$130,"&gt;="&amp;Diagram!$O90,'J1 C - (South) Bishopthorpe Roa'!$A$12:$A$130,"&lt;"&amp;Diagram!$P90),SUMIFS(INDIRECT(ADDRESS(12,3+18*1+(8),,,"J1 C - (South) Bishopthorpe Roa")&amp;":"&amp;ADDRESS(130,3+18*1+(8))),'J1 C - (South) Bishopthorpe Roa'!$A$12:$A$130,"&gt;="&amp;Diagram!$O90,'J1 C - (South) Bishopthorpe Roa'!$A$12:$A$130,"&lt;"&amp;Diagram!$P90)))</f>
        <v>59</v>
      </c>
      <c r="AB90" s="42">
        <f ca="1">IF(OR($I$10="",$O90="",$P90="",$J$35&lt;&gt;"Yes"),0,IF($K$10=0,SUMIFS(INDIRECT(ADDRESS(12,3+18*2+(0),,,"J1 C - (South) Bishopthorpe Roa")&amp;":"&amp;ADDRESS(130,3+18*2+(0))),'J1 C - (South) Bishopthorpe Roa'!$A$12:$A$130,"&gt;="&amp;Diagram!$O90,'J1 C - (South) Bishopthorpe Roa'!$A$12:$A$130,"&lt;"&amp;Diagram!$P90),SUMIFS(INDIRECT(ADDRESS(12,3+18*2+(8),,,"J1 C - (South) Bishopthorpe Roa")&amp;":"&amp;ADDRESS(130,3+18*2+(8))),'J1 C - (South) Bishopthorpe Roa'!$A$12:$A$130,"&gt;="&amp;Diagram!$O90,'J1 C - (South) Bishopthorpe Roa'!$A$12:$A$130,"&lt;"&amp;Diagram!$P90)))</f>
        <v>0</v>
      </c>
      <c r="AC90" s="42">
        <f ca="1">IF(OR($I$10="",$O90="",$P90="",$J$35&lt;&gt;"Yes"),0,IF($K$10=0,SUMIFS(INDIRECT(ADDRESS(12,3+18*3+(0),,,"J1 C - (South) Bishopthorpe Roa")&amp;":"&amp;ADDRESS(130,3+18*3+(0))),'J1 C - (South) Bishopthorpe Roa'!$A$12:$A$130,"&gt;="&amp;Diagram!$O90,'J1 C - (South) Bishopthorpe Roa'!$A$12:$A$130,"&lt;"&amp;Diagram!$P90),SUMIFS(INDIRECT(ADDRESS(12,3+18*3+(8),,,"J1 C - (South) Bishopthorpe Roa")&amp;":"&amp;ADDRESS(130,3+18*3+(8))),'J1 C - (South) Bishopthorpe Roa'!$A$12:$A$130,"&gt;="&amp;Diagram!$O90,'J1 C - (South) Bishopthorpe Roa'!$A$12:$A$130,"&lt;"&amp;Diagram!$P90)))</f>
        <v>0</v>
      </c>
      <c r="AD90" s="42">
        <f ca="1">IF(OR($I$10="",$O90="",$P90="",$J$35&lt;&gt;"Yes"),0,IF($K$10=0,SUMIFS(INDIRECT(ADDRESS(12,3+18*0+(0),,,"J1 C - (South) Bishopthorpe Roa")&amp;":"&amp;ADDRESS(130,3+18*0+(0))),'J1 C - (South) Bishopthorpe Roa'!$A$12:$A$130,"&gt;="&amp;Diagram!$O90,'J1 C - (South) Bishopthorpe Roa'!$A$12:$A$130,"&lt;"&amp;Diagram!$P90),SUMIFS(INDIRECT(ADDRESS(12,3+18*0+(8),,,"J1 C - (South) Bishopthorpe Roa")&amp;":"&amp;ADDRESS(130,3+18*0+(8))),'J1 C - (South) Bishopthorpe Roa'!$A$12:$A$130,"&gt;="&amp;Diagram!$O90,'J1 C - (South) Bishopthorpe Roa'!$A$12:$A$130,"&lt;"&amp;Diagram!$P90)))</f>
        <v>1</v>
      </c>
      <c r="AE90" s="42">
        <f ca="1">IF(OR($I$10="",$O90="",$P90="",$J$35&lt;&gt;"Yes"),0,IF($K$10=0,SUMIFS(INDIRECT(ADDRESS(12,3+18*0+(0),,,"J1 D - South Bank Avenue")&amp;":"&amp;ADDRESS(130,3+18*0+(0))),'J1 D - South Bank Avenue'!$A$12:$A$130,"&gt;="&amp;Diagram!$O90,'J1 D - South Bank Avenue'!$A$12:$A$130,"&lt;"&amp;Diagram!$P90),SUMIFS(INDIRECT(ADDRESS(12,3+18*0+(8),,,"J1 D - South Bank Avenue")&amp;":"&amp;ADDRESS(130,3+18*0+(8))),'J1 D - South Bank Avenue'!$A$12:$A$130,"&gt;="&amp;Diagram!$O90,'J1 D - South Bank Avenue'!$A$12:$A$130,"&lt;"&amp;Diagram!$P90)))</f>
        <v>4</v>
      </c>
      <c r="AF90" s="42">
        <f ca="1">IF(OR($I$10="",$O90="",$P90="",$J$35&lt;&gt;"Yes"),0,IF($K$10=0,SUMIFS(INDIRECT(ADDRESS(12,3+18*1+(0),,,"J1 D - South Bank Avenue")&amp;":"&amp;ADDRESS(130,3+18*1+(0))),'J1 D - South Bank Avenue'!$A$12:$A$130,"&gt;="&amp;Diagram!$O90,'J1 D - South Bank Avenue'!$A$12:$A$130,"&lt;"&amp;Diagram!$P90),SUMIFS(INDIRECT(ADDRESS(12,3+18*1+(8),,,"J1 D - South Bank Avenue")&amp;":"&amp;ADDRESS(130,3+18*1+(8))),'J1 D - South Bank Avenue'!$A$12:$A$130,"&gt;="&amp;Diagram!$O90,'J1 D - South Bank Avenue'!$A$12:$A$130,"&lt;"&amp;Diagram!$P90)))</f>
        <v>0</v>
      </c>
      <c r="AG90" s="42">
        <f ca="1">IF(OR($I$10="",$O90="",$P90="",$J$35&lt;&gt;"Yes"),0,IF($K$10=0,SUMIFS(INDIRECT(ADDRESS(12,3+18*2+(0),,,"J1 D - South Bank Avenue")&amp;":"&amp;ADDRESS(130,3+18*2+(0))),'J1 D - South Bank Avenue'!$A$12:$A$130,"&gt;="&amp;Diagram!$O90,'J1 D - South Bank Avenue'!$A$12:$A$130,"&lt;"&amp;Diagram!$P90),SUMIFS(INDIRECT(ADDRESS(12,3+18*2+(8),,,"J1 D - South Bank Avenue")&amp;":"&amp;ADDRESS(130,3+18*2+(8))),'J1 D - South Bank Avenue'!$A$12:$A$130,"&gt;="&amp;Diagram!$O90,'J1 D - South Bank Avenue'!$A$12:$A$130,"&lt;"&amp;Diagram!$P90)))</f>
        <v>2</v>
      </c>
      <c r="AH90" s="42">
        <f ca="1">IF(OR($I$10="",$O90="",$P90="",$J$35&lt;&gt;"Yes"),0,IF($K$10=0,SUMIFS(INDIRECT(ADDRESS(12,3+18*3+(0),,,"J1 D - South Bank Avenue")&amp;":"&amp;ADDRESS(130,3+18*3+(0))),'J1 D - South Bank Avenue'!$A$12:$A$130,"&gt;="&amp;Diagram!$O90,'J1 D - South Bank Avenue'!$A$12:$A$130,"&lt;"&amp;Diagram!$P90),SUMIFS(INDIRECT(ADDRESS(12,3+18*3+(8),,,"J1 D - South Bank Avenue")&amp;":"&amp;ADDRESS(130,3+18*3+(8))),'J1 D - South Bank Avenue'!$A$12:$A$130,"&gt;="&amp;Diagram!$O90,'J1 D - South Bank Avenue'!$A$12:$A$130,"&lt;"&amp;Diagram!$P90)))</f>
        <v>0</v>
      </c>
      <c r="AI90" s="42">
        <f t="shared" ca="1" si="12"/>
        <v>3</v>
      </c>
      <c r="AJ90" s="42">
        <f ca="1">IF(OR($I$10="",$O90="",$P90="",$J$36&lt;&gt;"Yes"),0,IF($K$10=0,SUMIFS(INDIRECT(ADDRESS(12,3+18*3+(1),,,"J1 A - (North) Bishopthorpe Roa")&amp;":"&amp;ADDRESS(130,3+18*3+(1))),'J1 A - (North) Bishopthorpe Roa'!$A$12:$A$130,"&gt;="&amp;Diagram!$O90,'J1 A - (North) Bishopthorpe Roa'!$A$12:$A$130,"&lt;"&amp;Diagram!$P90),SUMIFS(INDIRECT(ADDRESS(12,3+18*3+(9),,,"J1 A - (North) Bishopthorpe Roa")&amp;":"&amp;ADDRESS(130,3+18*3+(9))),'J1 A - (North) Bishopthorpe Roa'!$A$12:$A$130,"&gt;="&amp;Diagram!$O90,'J1 A - (North) Bishopthorpe Roa'!$A$12:$A$130,"&lt;"&amp;Diagram!$P90)))</f>
        <v>0</v>
      </c>
      <c r="AK90" s="42">
        <f ca="1">IF(OR($I$10="",$O90="",$P90="",$J$36&lt;&gt;"Yes"),0,IF($K$10=0,SUMIFS(INDIRECT(ADDRESS(12,3+18*0+(1),,,"J1 A - (North) Bishopthorpe Roa")&amp;":"&amp;ADDRESS(130,3+18*0+(1))),'J1 A - (North) Bishopthorpe Roa'!$A$12:$A$130,"&gt;="&amp;Diagram!$O90,'J1 A - (North) Bishopthorpe Roa'!$A$12:$A$130,"&lt;"&amp;Diagram!$P90),SUMIFS(INDIRECT(ADDRESS(12,3+18*0+(9),,,"J1 A - (North) Bishopthorpe Roa")&amp;":"&amp;ADDRESS(130,3+18*0+(9))),'J1 A - (North) Bishopthorpe Roa'!$A$12:$A$130,"&gt;="&amp;Diagram!$O90,'J1 A - (North) Bishopthorpe Roa'!$A$12:$A$130,"&lt;"&amp;Diagram!$P90)))</f>
        <v>0</v>
      </c>
      <c r="AL90" s="42">
        <f ca="1">IF(OR($I$10="",$O90="",$P90="",$J$36&lt;&gt;"Yes"),0,IF($K$10=0,SUMIFS(INDIRECT(ADDRESS(12,3+18*1+(1),,,"J1 A - (North) Bishopthorpe Roa")&amp;":"&amp;ADDRESS(130,3+18*1+(1))),'J1 A - (North) Bishopthorpe Roa'!$A$12:$A$130,"&gt;="&amp;Diagram!$O90,'J1 A - (North) Bishopthorpe Roa'!$A$12:$A$130,"&lt;"&amp;Diagram!$P90),SUMIFS(INDIRECT(ADDRESS(12,3+18*1+(9),,,"J1 A - (North) Bishopthorpe Roa")&amp;":"&amp;ADDRESS(130,3+18*1+(9))),'J1 A - (North) Bishopthorpe Roa'!$A$12:$A$130,"&gt;="&amp;Diagram!$O90,'J1 A - (North) Bishopthorpe Roa'!$A$12:$A$130,"&lt;"&amp;Diagram!$P90)))</f>
        <v>1</v>
      </c>
      <c r="AM90" s="42">
        <f ca="1">IF(OR($I$10="",$O90="",$P90="",$J$36&lt;&gt;"Yes"),0,IF($K$10=0,SUMIFS(INDIRECT(ADDRESS(12,3+18*2+(1),,,"J1 A - (North) Bishopthorpe Roa")&amp;":"&amp;ADDRESS(130,3+18*2+(1))),'J1 A - (North) Bishopthorpe Roa'!$A$12:$A$130,"&gt;="&amp;Diagram!$O90,'J1 A - (North) Bishopthorpe Roa'!$A$12:$A$130,"&lt;"&amp;Diagram!$P90),SUMIFS(INDIRECT(ADDRESS(12,3+18*2+(9),,,"J1 A - (North) Bishopthorpe Roa")&amp;":"&amp;ADDRESS(130,3+18*2+(9))),'J1 A - (North) Bishopthorpe Roa'!$A$12:$A$130,"&gt;="&amp;Diagram!$O90,'J1 A - (North) Bishopthorpe Roa'!$A$12:$A$130,"&lt;"&amp;Diagram!$P90)))</f>
        <v>0</v>
      </c>
      <c r="AN90" s="42">
        <f ca="1">IF(OR($I$10="",$O90="",$P90="",$J$36&lt;&gt;"Yes"),0,IF($K$10=0,SUMIFS(INDIRECT(ADDRESS(12,3+18*2+(1),,,"J1 B - Butcher Terrace")&amp;":"&amp;ADDRESS(130,3+18*2+(1))),'J1 B - Butcher Terrace'!$A$12:$A$130,"&gt;="&amp;Diagram!$O90,'J1 B - Butcher Terrace'!$A$12:$A$130,"&lt;"&amp;Diagram!$P90),SUMIFS(INDIRECT(ADDRESS(12,3+18*2+(9),,,"J1 B - Butcher Terrace")&amp;":"&amp;ADDRESS(130,3+18*2+(9))),'J1 B - Butcher Terrace'!$A$12:$A$130,"&gt;="&amp;Diagram!$O90,'J1 B - Butcher Terrace'!$A$12:$A$130,"&lt;"&amp;Diagram!$P90)))</f>
        <v>0</v>
      </c>
      <c r="AO90" s="42">
        <f ca="1">IF(OR($I$10="",$O90="",$P90="",$J$36&lt;&gt;"Yes"),0,IF($K$10=0,SUMIFS(INDIRECT(ADDRESS(12,3+18*3+(1),,,"J1 B - Butcher Terrace")&amp;":"&amp;ADDRESS(130,3+18*3+(1))),'J1 B - Butcher Terrace'!$A$12:$A$130,"&gt;="&amp;Diagram!$O90,'J1 B - Butcher Terrace'!$A$12:$A$130,"&lt;"&amp;Diagram!$P90),SUMIFS(INDIRECT(ADDRESS(12,3+18*3+(9),,,"J1 B - Butcher Terrace")&amp;":"&amp;ADDRESS(130,3+18*3+(9))),'J1 B - Butcher Terrace'!$A$12:$A$130,"&gt;="&amp;Diagram!$O90,'J1 B - Butcher Terrace'!$A$12:$A$130,"&lt;"&amp;Diagram!$P90)))</f>
        <v>0</v>
      </c>
      <c r="AP90" s="42">
        <f ca="1">IF(OR($I$10="",$O90="",$P90="",$J$36&lt;&gt;"Yes"),0,IF($K$10=0,SUMIFS(INDIRECT(ADDRESS(12,3+18*0+(1),,,"J1 B - Butcher Terrace")&amp;":"&amp;ADDRESS(130,3+18*0+(1))),'J1 B - Butcher Terrace'!$A$12:$A$130,"&gt;="&amp;Diagram!$O90,'J1 B - Butcher Terrace'!$A$12:$A$130,"&lt;"&amp;Diagram!$P90),SUMIFS(INDIRECT(ADDRESS(12,3+18*0+(9),,,"J1 B - Butcher Terrace")&amp;":"&amp;ADDRESS(130,3+18*0+(9))),'J1 B - Butcher Terrace'!$A$12:$A$130,"&gt;="&amp;Diagram!$O90,'J1 B - Butcher Terrace'!$A$12:$A$130,"&lt;"&amp;Diagram!$P90)))</f>
        <v>1</v>
      </c>
      <c r="AQ90" s="42">
        <f ca="1">IF(OR($I$10="",$O90="",$P90="",$J$36&lt;&gt;"Yes"),0,IF($K$10=0,SUMIFS(INDIRECT(ADDRESS(12,3+18*1+(1),,,"J1 B - Butcher Terrace")&amp;":"&amp;ADDRESS(130,3+18*1+(1))),'J1 B - Butcher Terrace'!$A$12:$A$130,"&gt;="&amp;Diagram!$O90,'J1 B - Butcher Terrace'!$A$12:$A$130,"&lt;"&amp;Diagram!$P90),SUMIFS(INDIRECT(ADDRESS(12,3+18*1+(9),,,"J1 B - Butcher Terrace")&amp;":"&amp;ADDRESS(130,3+18*1+(9))),'J1 B - Butcher Terrace'!$A$12:$A$130,"&gt;="&amp;Diagram!$O90,'J1 B - Butcher Terrace'!$A$12:$A$130,"&lt;"&amp;Diagram!$P90)))</f>
        <v>0</v>
      </c>
      <c r="AR90" s="42">
        <f ca="1">IF(OR($I$10="",$O90="",$P90="",$J$36&lt;&gt;"Yes"),0,IF($K$10=0,SUMIFS(INDIRECT(ADDRESS(12,3+18*1+(1),,,"J1 C - (South) Bishopthorpe Roa")&amp;":"&amp;ADDRESS(130,3+18*1+(1))),'J1 C - (South) Bishopthorpe Roa'!$A$12:$A$130,"&gt;="&amp;Diagram!$O90,'J1 C - (South) Bishopthorpe Roa'!$A$12:$A$130,"&lt;"&amp;Diagram!$P90),SUMIFS(INDIRECT(ADDRESS(12,3+18*1+(9),,,"J1 C - (South) Bishopthorpe Roa")&amp;":"&amp;ADDRESS(130,3+18*1+(9))),'J1 C - (South) Bishopthorpe Roa'!$A$12:$A$130,"&gt;="&amp;Diagram!$O90,'J1 C - (South) Bishopthorpe Roa'!$A$12:$A$130,"&lt;"&amp;Diagram!$P90)))</f>
        <v>1</v>
      </c>
      <c r="AS90" s="42">
        <f ca="1">IF(OR($I$10="",$O90="",$P90="",$J$36&lt;&gt;"Yes"),0,IF($K$10=0,SUMIFS(INDIRECT(ADDRESS(12,3+18*2+(1),,,"J1 C - (South) Bishopthorpe Roa")&amp;":"&amp;ADDRESS(130,3+18*2+(1))),'J1 C - (South) Bishopthorpe Roa'!$A$12:$A$130,"&gt;="&amp;Diagram!$O90,'J1 C - (South) Bishopthorpe Roa'!$A$12:$A$130,"&lt;"&amp;Diagram!$P90),SUMIFS(INDIRECT(ADDRESS(12,3+18*2+(9),,,"J1 C - (South) Bishopthorpe Roa")&amp;":"&amp;ADDRESS(130,3+18*2+(9))),'J1 C - (South) Bishopthorpe Roa'!$A$12:$A$130,"&gt;="&amp;Diagram!$O90,'J1 C - (South) Bishopthorpe Roa'!$A$12:$A$130,"&lt;"&amp;Diagram!$P90)))</f>
        <v>0</v>
      </c>
      <c r="AT90" s="42">
        <f ca="1">IF(OR($I$10="",$O90="",$P90="",$J$36&lt;&gt;"Yes"),0,IF($K$10=0,SUMIFS(INDIRECT(ADDRESS(12,3+18*3+(1),,,"J1 C - (South) Bishopthorpe Roa")&amp;":"&amp;ADDRESS(130,3+18*3+(1))),'J1 C - (South) Bishopthorpe Roa'!$A$12:$A$130,"&gt;="&amp;Diagram!$O90,'J1 C - (South) Bishopthorpe Roa'!$A$12:$A$130,"&lt;"&amp;Diagram!$P90),SUMIFS(INDIRECT(ADDRESS(12,3+18*3+(9),,,"J1 C - (South) Bishopthorpe Roa")&amp;":"&amp;ADDRESS(130,3+18*3+(9))),'J1 C - (South) Bishopthorpe Roa'!$A$12:$A$130,"&gt;="&amp;Diagram!$O90,'J1 C - (South) Bishopthorpe Roa'!$A$12:$A$130,"&lt;"&amp;Diagram!$P90)))</f>
        <v>0</v>
      </c>
      <c r="AU90" s="42">
        <f ca="1">IF(OR($I$10="",$O90="",$P90="",$J$36&lt;&gt;"Yes"),0,IF($K$10=0,SUMIFS(INDIRECT(ADDRESS(12,3+18*0+(1),,,"J1 C - (South) Bishopthorpe Roa")&amp;":"&amp;ADDRESS(130,3+18*0+(1))),'J1 C - (South) Bishopthorpe Roa'!$A$12:$A$130,"&gt;="&amp;Diagram!$O90,'J1 C - (South) Bishopthorpe Roa'!$A$12:$A$130,"&lt;"&amp;Diagram!$P90),SUMIFS(INDIRECT(ADDRESS(12,3+18*0+(9),,,"J1 C - (South) Bishopthorpe Roa")&amp;":"&amp;ADDRESS(130,3+18*0+(9))),'J1 C - (South) Bishopthorpe Roa'!$A$12:$A$130,"&gt;="&amp;Diagram!$O90,'J1 C - (South) Bishopthorpe Roa'!$A$12:$A$130,"&lt;"&amp;Diagram!$P90)))</f>
        <v>0</v>
      </c>
      <c r="AV90" s="42">
        <f ca="1">IF(OR($I$10="",$O90="",$P90="",$J$36&lt;&gt;"Yes"),0,IF($K$10=0,SUMIFS(INDIRECT(ADDRESS(12,3+18*0+(1),,,"J1 D - South Bank Avenue")&amp;":"&amp;ADDRESS(130,3+18*0+(1))),'J1 D - South Bank Avenue'!$A$12:$A$130,"&gt;="&amp;Diagram!$O90,'J1 D - South Bank Avenue'!$A$12:$A$130,"&lt;"&amp;Diagram!$P90),SUMIFS(INDIRECT(ADDRESS(12,3+18*0+(9),,,"J1 D - South Bank Avenue")&amp;":"&amp;ADDRESS(130,3+18*0+(9))),'J1 D - South Bank Avenue'!$A$12:$A$130,"&gt;="&amp;Diagram!$O90,'J1 D - South Bank Avenue'!$A$12:$A$130,"&lt;"&amp;Diagram!$P90)))</f>
        <v>0</v>
      </c>
      <c r="AW90" s="42">
        <f ca="1">IF(OR($I$10="",$O90="",$P90="",$J$36&lt;&gt;"Yes"),0,IF($K$10=0,SUMIFS(INDIRECT(ADDRESS(12,3+18*1+(1),,,"J1 D - South Bank Avenue")&amp;":"&amp;ADDRESS(130,3+18*1+(1))),'J1 D - South Bank Avenue'!$A$12:$A$130,"&gt;="&amp;Diagram!$O90,'J1 D - South Bank Avenue'!$A$12:$A$130,"&lt;"&amp;Diagram!$P90),SUMIFS(INDIRECT(ADDRESS(12,3+18*1+(9),,,"J1 D - South Bank Avenue")&amp;":"&amp;ADDRESS(130,3+18*1+(9))),'J1 D - South Bank Avenue'!$A$12:$A$130,"&gt;="&amp;Diagram!$O90,'J1 D - South Bank Avenue'!$A$12:$A$130,"&lt;"&amp;Diagram!$P90)))</f>
        <v>0</v>
      </c>
      <c r="AX90" s="42">
        <f ca="1">IF(OR($I$10="",$O90="",$P90="",$J$36&lt;&gt;"Yes"),0,IF($K$10=0,SUMIFS(INDIRECT(ADDRESS(12,3+18*2+(1),,,"J1 D - South Bank Avenue")&amp;":"&amp;ADDRESS(130,3+18*2+(1))),'J1 D - South Bank Avenue'!$A$12:$A$130,"&gt;="&amp;Diagram!$O90,'J1 D - South Bank Avenue'!$A$12:$A$130,"&lt;"&amp;Diagram!$P90),SUMIFS(INDIRECT(ADDRESS(12,3+18*2+(9),,,"J1 D - South Bank Avenue")&amp;":"&amp;ADDRESS(130,3+18*2+(9))),'J1 D - South Bank Avenue'!$A$12:$A$130,"&gt;="&amp;Diagram!$O90,'J1 D - South Bank Avenue'!$A$12:$A$130,"&lt;"&amp;Diagram!$P90)))</f>
        <v>0</v>
      </c>
      <c r="AY90" s="42">
        <f ca="1">IF(OR($I$10="",$O90="",$P90="",$J$36&lt;&gt;"Yes"),0,IF($K$10=0,SUMIFS(INDIRECT(ADDRESS(12,3+18*3+(1),,,"J1 D - South Bank Avenue")&amp;":"&amp;ADDRESS(130,3+18*3+(1))),'J1 D - South Bank Avenue'!$A$12:$A$130,"&gt;="&amp;Diagram!$O90,'J1 D - South Bank Avenue'!$A$12:$A$130,"&lt;"&amp;Diagram!$P90),SUMIFS(INDIRECT(ADDRESS(12,3+18*3+(9),,,"J1 D - South Bank Avenue")&amp;":"&amp;ADDRESS(130,3+18*3+(9))),'J1 D - South Bank Avenue'!$A$12:$A$130,"&gt;="&amp;Diagram!$O90,'J1 D - South Bank Avenue'!$A$12:$A$130,"&lt;"&amp;Diagram!$P90)))</f>
        <v>0</v>
      </c>
      <c r="AZ90" s="42">
        <f t="shared" ca="1" si="13"/>
        <v>0</v>
      </c>
      <c r="BA90" s="42">
        <f ca="1">IF(OR($I$10="",$O90="",$P90="",$J$37&lt;&gt;"Yes"),0,IF($K$10=0,SUMIFS(INDIRECT(ADDRESS(12,3+18*3+(2),,,"J1 A - (North) Bishopthorpe Roa")&amp;":"&amp;ADDRESS(130,3+18*3+(2))),'J1 A - (North) Bishopthorpe Roa'!$A$12:$A$130,"&gt;="&amp;Diagram!$O90,'J1 A - (North) Bishopthorpe Roa'!$A$12:$A$130,"&lt;"&amp;Diagram!$P90),SUMIFS(INDIRECT(ADDRESS(12,3+18*3+(10),,,"J1 A - (North) Bishopthorpe Roa")&amp;":"&amp;ADDRESS(130,3+18*3+(10))),'J1 A - (North) Bishopthorpe Roa'!$A$12:$A$130,"&gt;="&amp;Diagram!$O90,'J1 A - (North) Bishopthorpe Roa'!$A$12:$A$130,"&lt;"&amp;Diagram!$P90)))</f>
        <v>0</v>
      </c>
      <c r="BB90" s="42">
        <f ca="1">IF(OR($I$10="",$O90="",$P90="",$J$37&lt;&gt;"Yes"),0,IF($K$10=0,SUMIFS(INDIRECT(ADDRESS(12,3+18*0+(2),,,"J1 A - (North) Bishopthorpe Roa")&amp;":"&amp;ADDRESS(130,3+18*0+(2))),'J1 A - (North) Bishopthorpe Roa'!$A$12:$A$130,"&gt;="&amp;Diagram!$O90,'J1 A - (North) Bishopthorpe Roa'!$A$12:$A$130,"&lt;"&amp;Diagram!$P90),SUMIFS(INDIRECT(ADDRESS(12,3+18*0+(10),,,"J1 A - (North) Bishopthorpe Roa")&amp;":"&amp;ADDRESS(130,3+18*0+(10))),'J1 A - (North) Bishopthorpe Roa'!$A$12:$A$130,"&gt;="&amp;Diagram!$O90,'J1 A - (North) Bishopthorpe Roa'!$A$12:$A$130,"&lt;"&amp;Diagram!$P90)))</f>
        <v>0</v>
      </c>
      <c r="BC90" s="42">
        <f ca="1">IF(OR($I$10="",$O90="",$P90="",$J$37&lt;&gt;"Yes"),0,IF($K$10=0,SUMIFS(INDIRECT(ADDRESS(12,3+18*1+(2),,,"J1 A - (North) Bishopthorpe Roa")&amp;":"&amp;ADDRESS(130,3+18*1+(2))),'J1 A - (North) Bishopthorpe Roa'!$A$12:$A$130,"&gt;="&amp;Diagram!$O90,'J1 A - (North) Bishopthorpe Roa'!$A$12:$A$130,"&lt;"&amp;Diagram!$P90),SUMIFS(INDIRECT(ADDRESS(12,3+18*1+(10),,,"J1 A - (North) Bishopthorpe Roa")&amp;":"&amp;ADDRESS(130,3+18*1+(10))),'J1 A - (North) Bishopthorpe Roa'!$A$12:$A$130,"&gt;="&amp;Diagram!$O90,'J1 A - (North) Bishopthorpe Roa'!$A$12:$A$130,"&lt;"&amp;Diagram!$P90)))</f>
        <v>0</v>
      </c>
      <c r="BD90" s="42">
        <f ca="1">IF(OR($I$10="",$O90="",$P90="",$J$37&lt;&gt;"Yes"),0,IF($K$10=0,SUMIFS(INDIRECT(ADDRESS(12,3+18*2+(2),,,"J1 A - (North) Bishopthorpe Roa")&amp;":"&amp;ADDRESS(130,3+18*2+(2))),'J1 A - (North) Bishopthorpe Roa'!$A$12:$A$130,"&gt;="&amp;Diagram!$O90,'J1 A - (North) Bishopthorpe Roa'!$A$12:$A$130,"&lt;"&amp;Diagram!$P90),SUMIFS(INDIRECT(ADDRESS(12,3+18*2+(10),,,"J1 A - (North) Bishopthorpe Roa")&amp;":"&amp;ADDRESS(130,3+18*2+(10))),'J1 A - (North) Bishopthorpe Roa'!$A$12:$A$130,"&gt;="&amp;Diagram!$O90,'J1 A - (North) Bishopthorpe Roa'!$A$12:$A$130,"&lt;"&amp;Diagram!$P90)))</f>
        <v>0</v>
      </c>
      <c r="BE90" s="42">
        <f ca="1">IF(OR($I$10="",$O90="",$P90="",$J$37&lt;&gt;"Yes"),0,IF($K$10=0,SUMIFS(INDIRECT(ADDRESS(12,3+18*2+(2),,,"J1 B - Butcher Terrace")&amp;":"&amp;ADDRESS(130,3+18*2+(2))),'J1 B - Butcher Terrace'!$A$12:$A$130,"&gt;="&amp;Diagram!$O90,'J1 B - Butcher Terrace'!$A$12:$A$130,"&lt;"&amp;Diagram!$P90),SUMIFS(INDIRECT(ADDRESS(12,3+18*2+(10),,,"J1 B - Butcher Terrace")&amp;":"&amp;ADDRESS(130,3+18*2+(10))),'J1 B - Butcher Terrace'!$A$12:$A$130,"&gt;="&amp;Diagram!$O90,'J1 B - Butcher Terrace'!$A$12:$A$130,"&lt;"&amp;Diagram!$P90)))</f>
        <v>0</v>
      </c>
      <c r="BF90" s="42">
        <f ca="1">IF(OR($I$10="",$O90="",$P90="",$J$37&lt;&gt;"Yes"),0,IF($K$10=0,SUMIFS(INDIRECT(ADDRESS(12,3+18*3+(2),,,"J1 B - Butcher Terrace")&amp;":"&amp;ADDRESS(130,3+18*3+(2))),'J1 B - Butcher Terrace'!$A$12:$A$130,"&gt;="&amp;Diagram!$O90,'J1 B - Butcher Terrace'!$A$12:$A$130,"&lt;"&amp;Diagram!$P90),SUMIFS(INDIRECT(ADDRESS(12,3+18*3+(10),,,"J1 B - Butcher Terrace")&amp;":"&amp;ADDRESS(130,3+18*3+(10))),'J1 B - Butcher Terrace'!$A$12:$A$130,"&gt;="&amp;Diagram!$O90,'J1 B - Butcher Terrace'!$A$12:$A$130,"&lt;"&amp;Diagram!$P90)))</f>
        <v>0</v>
      </c>
      <c r="BG90" s="42">
        <f ca="1">IF(OR($I$10="",$O90="",$P90="",$J$37&lt;&gt;"Yes"),0,IF($K$10=0,SUMIFS(INDIRECT(ADDRESS(12,3+18*0+(2),,,"J1 B - Butcher Terrace")&amp;":"&amp;ADDRESS(130,3+18*0+(2))),'J1 B - Butcher Terrace'!$A$12:$A$130,"&gt;="&amp;Diagram!$O90,'J1 B - Butcher Terrace'!$A$12:$A$130,"&lt;"&amp;Diagram!$P90),SUMIFS(INDIRECT(ADDRESS(12,3+18*0+(10),,,"J1 B - Butcher Terrace")&amp;":"&amp;ADDRESS(130,3+18*0+(10))),'J1 B - Butcher Terrace'!$A$12:$A$130,"&gt;="&amp;Diagram!$O90,'J1 B - Butcher Terrace'!$A$12:$A$130,"&lt;"&amp;Diagram!$P90)))</f>
        <v>0</v>
      </c>
      <c r="BH90" s="42">
        <f ca="1">IF(OR($I$10="",$O90="",$P90="",$J$37&lt;&gt;"Yes"),0,IF($K$10=0,SUMIFS(INDIRECT(ADDRESS(12,3+18*1+(2),,,"J1 B - Butcher Terrace")&amp;":"&amp;ADDRESS(130,3+18*1+(2))),'J1 B - Butcher Terrace'!$A$12:$A$130,"&gt;="&amp;Diagram!$O90,'J1 B - Butcher Terrace'!$A$12:$A$130,"&lt;"&amp;Diagram!$P90),SUMIFS(INDIRECT(ADDRESS(12,3+18*1+(10),,,"J1 B - Butcher Terrace")&amp;":"&amp;ADDRESS(130,3+18*1+(10))),'J1 B - Butcher Terrace'!$A$12:$A$130,"&gt;="&amp;Diagram!$O90,'J1 B - Butcher Terrace'!$A$12:$A$130,"&lt;"&amp;Diagram!$P90)))</f>
        <v>0</v>
      </c>
      <c r="BI90" s="42">
        <f ca="1">IF(OR($I$10="",$O90="",$P90="",$J$37&lt;&gt;"Yes"),0,IF($K$10=0,SUMIFS(INDIRECT(ADDRESS(12,3+18*1+(2),,,"J1 C - (South) Bishopthorpe Roa")&amp;":"&amp;ADDRESS(130,3+18*1+(2))),'J1 C - (South) Bishopthorpe Roa'!$A$12:$A$130,"&gt;="&amp;Diagram!$O90,'J1 C - (South) Bishopthorpe Roa'!$A$12:$A$130,"&lt;"&amp;Diagram!$P90),SUMIFS(INDIRECT(ADDRESS(12,3+18*1+(10),,,"J1 C - (South) Bishopthorpe Roa")&amp;":"&amp;ADDRESS(130,3+18*1+(10))),'J1 C - (South) Bishopthorpe Roa'!$A$12:$A$130,"&gt;="&amp;Diagram!$O90,'J1 C - (South) Bishopthorpe Roa'!$A$12:$A$130,"&lt;"&amp;Diagram!$P90)))</f>
        <v>0</v>
      </c>
      <c r="BJ90" s="42">
        <f ca="1">IF(OR($I$10="",$O90="",$P90="",$J$37&lt;&gt;"Yes"),0,IF($K$10=0,SUMIFS(INDIRECT(ADDRESS(12,3+18*2+(2),,,"J1 C - (South) Bishopthorpe Roa")&amp;":"&amp;ADDRESS(130,3+18*2+(2))),'J1 C - (South) Bishopthorpe Roa'!$A$12:$A$130,"&gt;="&amp;Diagram!$O90,'J1 C - (South) Bishopthorpe Roa'!$A$12:$A$130,"&lt;"&amp;Diagram!$P90),SUMIFS(INDIRECT(ADDRESS(12,3+18*2+(10),,,"J1 C - (South) Bishopthorpe Roa")&amp;":"&amp;ADDRESS(130,3+18*2+(10))),'J1 C - (South) Bishopthorpe Roa'!$A$12:$A$130,"&gt;="&amp;Diagram!$O90,'J1 C - (South) Bishopthorpe Roa'!$A$12:$A$130,"&lt;"&amp;Diagram!$P90)))</f>
        <v>0</v>
      </c>
      <c r="BK90" s="42">
        <f ca="1">IF(OR($I$10="",$O90="",$P90="",$J$37&lt;&gt;"Yes"),0,IF($K$10=0,SUMIFS(INDIRECT(ADDRESS(12,3+18*3+(2),,,"J1 C - (South) Bishopthorpe Roa")&amp;":"&amp;ADDRESS(130,3+18*3+(2))),'J1 C - (South) Bishopthorpe Roa'!$A$12:$A$130,"&gt;="&amp;Diagram!$O90,'J1 C - (South) Bishopthorpe Roa'!$A$12:$A$130,"&lt;"&amp;Diagram!$P90),SUMIFS(INDIRECT(ADDRESS(12,3+18*3+(10),,,"J1 C - (South) Bishopthorpe Roa")&amp;":"&amp;ADDRESS(130,3+18*3+(10))),'J1 C - (South) Bishopthorpe Roa'!$A$12:$A$130,"&gt;="&amp;Diagram!$O90,'J1 C - (South) Bishopthorpe Roa'!$A$12:$A$130,"&lt;"&amp;Diagram!$P90)))</f>
        <v>0</v>
      </c>
      <c r="BL90" s="42">
        <f ca="1">IF(OR($I$10="",$O90="",$P90="",$J$37&lt;&gt;"Yes"),0,IF($K$10=0,SUMIFS(INDIRECT(ADDRESS(12,3+18*0+(2),,,"J1 C - (South) Bishopthorpe Roa")&amp;":"&amp;ADDRESS(130,3+18*0+(2))),'J1 C - (South) Bishopthorpe Roa'!$A$12:$A$130,"&gt;="&amp;Diagram!$O90,'J1 C - (South) Bishopthorpe Roa'!$A$12:$A$130,"&lt;"&amp;Diagram!$P90),SUMIFS(INDIRECT(ADDRESS(12,3+18*0+(10),,,"J1 C - (South) Bishopthorpe Roa")&amp;":"&amp;ADDRESS(130,3+18*0+(10))),'J1 C - (South) Bishopthorpe Roa'!$A$12:$A$130,"&gt;="&amp;Diagram!$O90,'J1 C - (South) Bishopthorpe Roa'!$A$12:$A$130,"&lt;"&amp;Diagram!$P90)))</f>
        <v>0</v>
      </c>
      <c r="BM90" s="42">
        <f ca="1">IF(OR($I$10="",$O90="",$P90="",$J$37&lt;&gt;"Yes"),0,IF($K$10=0,SUMIFS(INDIRECT(ADDRESS(12,3+18*0+(2),,,"J1 D - South Bank Avenue")&amp;":"&amp;ADDRESS(130,3+18*0+(2))),'J1 D - South Bank Avenue'!$A$12:$A$130,"&gt;="&amp;Diagram!$O90,'J1 D - South Bank Avenue'!$A$12:$A$130,"&lt;"&amp;Diagram!$P90),SUMIFS(INDIRECT(ADDRESS(12,3+18*0+(10),,,"J1 D - South Bank Avenue")&amp;":"&amp;ADDRESS(130,3+18*0+(10))),'J1 D - South Bank Avenue'!$A$12:$A$130,"&gt;="&amp;Diagram!$O90,'J1 D - South Bank Avenue'!$A$12:$A$130,"&lt;"&amp;Diagram!$P90)))</f>
        <v>0</v>
      </c>
      <c r="BN90" s="42">
        <f ca="1">IF(OR($I$10="",$O90="",$P90="",$J$37&lt;&gt;"Yes"),0,IF($K$10=0,SUMIFS(INDIRECT(ADDRESS(12,3+18*1+(2),,,"J1 D - South Bank Avenue")&amp;":"&amp;ADDRESS(130,3+18*1+(2))),'J1 D - South Bank Avenue'!$A$12:$A$130,"&gt;="&amp;Diagram!$O90,'J1 D - South Bank Avenue'!$A$12:$A$130,"&lt;"&amp;Diagram!$P90),SUMIFS(INDIRECT(ADDRESS(12,3+18*1+(10),,,"J1 D - South Bank Avenue")&amp;":"&amp;ADDRESS(130,3+18*1+(10))),'J1 D - South Bank Avenue'!$A$12:$A$130,"&gt;="&amp;Diagram!$O90,'J1 D - South Bank Avenue'!$A$12:$A$130,"&lt;"&amp;Diagram!$P90)))</f>
        <v>0</v>
      </c>
      <c r="BO90" s="42">
        <f ca="1">IF(OR($I$10="",$O90="",$P90="",$J$37&lt;&gt;"Yes"),0,IF($K$10=0,SUMIFS(INDIRECT(ADDRESS(12,3+18*2+(2),,,"J1 D - South Bank Avenue")&amp;":"&amp;ADDRESS(130,3+18*2+(2))),'J1 D - South Bank Avenue'!$A$12:$A$130,"&gt;="&amp;Diagram!$O90,'J1 D - South Bank Avenue'!$A$12:$A$130,"&lt;"&amp;Diagram!$P90),SUMIFS(INDIRECT(ADDRESS(12,3+18*2+(10),,,"J1 D - South Bank Avenue")&amp;":"&amp;ADDRESS(130,3+18*2+(10))),'J1 D - South Bank Avenue'!$A$12:$A$130,"&gt;="&amp;Diagram!$O90,'J1 D - South Bank Avenue'!$A$12:$A$130,"&lt;"&amp;Diagram!$P90)))</f>
        <v>0</v>
      </c>
      <c r="BP90" s="42">
        <f ca="1">IF(OR($I$10="",$O90="",$P90="",$J$37&lt;&gt;"Yes"),0,IF($K$10=0,SUMIFS(INDIRECT(ADDRESS(12,3+18*3+(2),,,"J1 D - South Bank Avenue")&amp;":"&amp;ADDRESS(130,3+18*3+(2))),'J1 D - South Bank Avenue'!$A$12:$A$130,"&gt;="&amp;Diagram!$O90,'J1 D - South Bank Avenue'!$A$12:$A$130,"&lt;"&amp;Diagram!$P90),SUMIFS(INDIRECT(ADDRESS(12,3+18*3+(10),,,"J1 D - South Bank Avenue")&amp;":"&amp;ADDRESS(130,3+18*3+(10))),'J1 D - South Bank Avenue'!$A$12:$A$130,"&gt;="&amp;Diagram!$O90,'J1 D - South Bank Avenue'!$A$12:$A$130,"&lt;"&amp;Diagram!$P90)))</f>
        <v>0</v>
      </c>
      <c r="BQ90" s="42">
        <f t="shared" ca="1" si="14"/>
        <v>0</v>
      </c>
      <c r="BR90" s="42">
        <f ca="1">IF(OR($I$10="",$O90="",$P90="",$J$38&lt;&gt;"Yes"),0,IF($K$10=0,SUMIFS(INDIRECT(ADDRESS(12,3+18*3+(3),,,"J1 A - (North) Bishopthorpe Roa")&amp;":"&amp;ADDRESS(130,3+18*3+(3))),'J1 A - (North) Bishopthorpe Roa'!$A$12:$A$130,"&gt;="&amp;Diagram!$O90,'J1 A - (North) Bishopthorpe Roa'!$A$12:$A$130,"&lt;"&amp;Diagram!$P90),SUMIFS(INDIRECT(ADDRESS(12,3+18*3+(11),,,"J1 A - (North) Bishopthorpe Roa")&amp;":"&amp;ADDRESS(130,3+18*3+(11))),'J1 A - (North) Bishopthorpe Roa'!$A$12:$A$130,"&gt;="&amp;Diagram!$O90,'J1 A - (North) Bishopthorpe Roa'!$A$12:$A$130,"&lt;"&amp;Diagram!$P90)))</f>
        <v>0</v>
      </c>
      <c r="BS90" s="42">
        <f ca="1">IF(OR($I$10="",$O90="",$P90="",$J$38&lt;&gt;"Yes"),0,IF($K$10=0,SUMIFS(INDIRECT(ADDRESS(12,3+18*0+(3),,,"J1 A - (North) Bishopthorpe Roa")&amp;":"&amp;ADDRESS(130,3+18*0+(3))),'J1 A - (North) Bishopthorpe Roa'!$A$12:$A$130,"&gt;="&amp;Diagram!$O90,'J1 A - (North) Bishopthorpe Roa'!$A$12:$A$130,"&lt;"&amp;Diagram!$P90),SUMIFS(INDIRECT(ADDRESS(12,3+18*0+(11),,,"J1 A - (North) Bishopthorpe Roa")&amp;":"&amp;ADDRESS(130,3+18*0+(11))),'J1 A - (North) Bishopthorpe Roa'!$A$12:$A$130,"&gt;="&amp;Diagram!$O90,'J1 A - (North) Bishopthorpe Roa'!$A$12:$A$130,"&lt;"&amp;Diagram!$P90)))</f>
        <v>0</v>
      </c>
      <c r="BT90" s="42">
        <f ca="1">IF(OR($I$10="",$O90="",$P90="",$J$38&lt;&gt;"Yes"),0,IF($K$10=0,SUMIFS(INDIRECT(ADDRESS(12,3+18*1+(3),,,"J1 A - (North) Bishopthorpe Roa")&amp;":"&amp;ADDRESS(130,3+18*1+(3))),'J1 A - (North) Bishopthorpe Roa'!$A$12:$A$130,"&gt;="&amp;Diagram!$O90,'J1 A - (North) Bishopthorpe Roa'!$A$12:$A$130,"&lt;"&amp;Diagram!$P90),SUMIFS(INDIRECT(ADDRESS(12,3+18*1+(11),,,"J1 A - (North) Bishopthorpe Roa")&amp;":"&amp;ADDRESS(130,3+18*1+(11))),'J1 A - (North) Bishopthorpe Roa'!$A$12:$A$130,"&gt;="&amp;Diagram!$O90,'J1 A - (North) Bishopthorpe Roa'!$A$12:$A$130,"&lt;"&amp;Diagram!$P90)))</f>
        <v>0</v>
      </c>
      <c r="BU90" s="42">
        <f ca="1">IF(OR($I$10="",$O90="",$P90="",$J$38&lt;&gt;"Yes"),0,IF($K$10=0,SUMIFS(INDIRECT(ADDRESS(12,3+18*2+(3),,,"J1 A - (North) Bishopthorpe Roa")&amp;":"&amp;ADDRESS(130,3+18*2+(3))),'J1 A - (North) Bishopthorpe Roa'!$A$12:$A$130,"&gt;="&amp;Diagram!$O90,'J1 A - (North) Bishopthorpe Roa'!$A$12:$A$130,"&lt;"&amp;Diagram!$P90),SUMIFS(INDIRECT(ADDRESS(12,3+18*2+(11),,,"J1 A - (North) Bishopthorpe Roa")&amp;":"&amp;ADDRESS(130,3+18*2+(11))),'J1 A - (North) Bishopthorpe Roa'!$A$12:$A$130,"&gt;="&amp;Diagram!$O90,'J1 A - (North) Bishopthorpe Roa'!$A$12:$A$130,"&lt;"&amp;Diagram!$P90)))</f>
        <v>0</v>
      </c>
      <c r="BV90" s="42">
        <f ca="1">IF(OR($I$10="",$O90="",$P90="",$J$38&lt;&gt;"Yes"),0,IF($K$10=0,SUMIFS(INDIRECT(ADDRESS(12,3+18*2+(3),,,"J1 B - Butcher Terrace")&amp;":"&amp;ADDRESS(130,3+18*2+(3))),'J1 B - Butcher Terrace'!$A$12:$A$130,"&gt;="&amp;Diagram!$O90,'J1 B - Butcher Terrace'!$A$12:$A$130,"&lt;"&amp;Diagram!$P90),SUMIFS(INDIRECT(ADDRESS(12,3+18*2+(11),,,"J1 B - Butcher Terrace")&amp;":"&amp;ADDRESS(130,3+18*2+(11))),'J1 B - Butcher Terrace'!$A$12:$A$130,"&gt;="&amp;Diagram!$O90,'J1 B - Butcher Terrace'!$A$12:$A$130,"&lt;"&amp;Diagram!$P90)))</f>
        <v>0</v>
      </c>
      <c r="BW90" s="42">
        <f ca="1">IF(OR($I$10="",$O90="",$P90="",$J$38&lt;&gt;"Yes"),0,IF($K$10=0,SUMIFS(INDIRECT(ADDRESS(12,3+18*3+(3),,,"J1 B - Butcher Terrace")&amp;":"&amp;ADDRESS(130,3+18*3+(3))),'J1 B - Butcher Terrace'!$A$12:$A$130,"&gt;="&amp;Diagram!$O90,'J1 B - Butcher Terrace'!$A$12:$A$130,"&lt;"&amp;Diagram!$P90),SUMIFS(INDIRECT(ADDRESS(12,3+18*3+(11),,,"J1 B - Butcher Terrace")&amp;":"&amp;ADDRESS(130,3+18*3+(11))),'J1 B - Butcher Terrace'!$A$12:$A$130,"&gt;="&amp;Diagram!$O90,'J1 B - Butcher Terrace'!$A$12:$A$130,"&lt;"&amp;Diagram!$P90)))</f>
        <v>0</v>
      </c>
      <c r="BX90" s="42">
        <f ca="1">IF(OR($I$10="",$O90="",$P90="",$J$38&lt;&gt;"Yes"),0,IF($K$10=0,SUMIFS(INDIRECT(ADDRESS(12,3+18*0+(3),,,"J1 B - Butcher Terrace")&amp;":"&amp;ADDRESS(130,3+18*0+(3))),'J1 B - Butcher Terrace'!$A$12:$A$130,"&gt;="&amp;Diagram!$O90,'J1 B - Butcher Terrace'!$A$12:$A$130,"&lt;"&amp;Diagram!$P90),SUMIFS(INDIRECT(ADDRESS(12,3+18*0+(11),,,"J1 B - Butcher Terrace")&amp;":"&amp;ADDRESS(130,3+18*0+(11))),'J1 B - Butcher Terrace'!$A$12:$A$130,"&gt;="&amp;Diagram!$O90,'J1 B - Butcher Terrace'!$A$12:$A$130,"&lt;"&amp;Diagram!$P90)))</f>
        <v>0</v>
      </c>
      <c r="BY90" s="42">
        <f ca="1">IF(OR($I$10="",$O90="",$P90="",$J$38&lt;&gt;"Yes"),0,IF($K$10=0,SUMIFS(INDIRECT(ADDRESS(12,3+18*1+(3),,,"J1 B - Butcher Terrace")&amp;":"&amp;ADDRESS(130,3+18*1+(3))),'J1 B - Butcher Terrace'!$A$12:$A$130,"&gt;="&amp;Diagram!$O90,'J1 B - Butcher Terrace'!$A$12:$A$130,"&lt;"&amp;Diagram!$P90),SUMIFS(INDIRECT(ADDRESS(12,3+18*1+(11),,,"J1 B - Butcher Terrace")&amp;":"&amp;ADDRESS(130,3+18*1+(11))),'J1 B - Butcher Terrace'!$A$12:$A$130,"&gt;="&amp;Diagram!$O90,'J1 B - Butcher Terrace'!$A$12:$A$130,"&lt;"&amp;Diagram!$P90)))</f>
        <v>0</v>
      </c>
      <c r="BZ90" s="42">
        <f ca="1">IF(OR($I$10="",$O90="",$P90="",$J$38&lt;&gt;"Yes"),0,IF($K$10=0,SUMIFS(INDIRECT(ADDRESS(12,3+18*1+(3),,,"J1 C - (South) Bishopthorpe Roa")&amp;":"&amp;ADDRESS(130,3+18*1+(3))),'J1 C - (South) Bishopthorpe Roa'!$A$12:$A$130,"&gt;="&amp;Diagram!$O90,'J1 C - (South) Bishopthorpe Roa'!$A$12:$A$130,"&lt;"&amp;Diagram!$P90),SUMIFS(INDIRECT(ADDRESS(12,3+18*1+(11),,,"J1 C - (South) Bishopthorpe Roa")&amp;":"&amp;ADDRESS(130,3+18*1+(11))),'J1 C - (South) Bishopthorpe Roa'!$A$12:$A$130,"&gt;="&amp;Diagram!$O90,'J1 C - (South) Bishopthorpe Roa'!$A$12:$A$130,"&lt;"&amp;Diagram!$P90)))</f>
        <v>0</v>
      </c>
      <c r="CA90" s="42">
        <f ca="1">IF(OR($I$10="",$O90="",$P90="",$J$38&lt;&gt;"Yes"),0,IF($K$10=0,SUMIFS(INDIRECT(ADDRESS(12,3+18*2+(3),,,"J1 C - (South) Bishopthorpe Roa")&amp;":"&amp;ADDRESS(130,3+18*2+(3))),'J1 C - (South) Bishopthorpe Roa'!$A$12:$A$130,"&gt;="&amp;Diagram!$O90,'J1 C - (South) Bishopthorpe Roa'!$A$12:$A$130,"&lt;"&amp;Diagram!$P90),SUMIFS(INDIRECT(ADDRESS(12,3+18*2+(11),,,"J1 C - (South) Bishopthorpe Roa")&amp;":"&amp;ADDRESS(130,3+18*2+(11))),'J1 C - (South) Bishopthorpe Roa'!$A$12:$A$130,"&gt;="&amp;Diagram!$O90,'J1 C - (South) Bishopthorpe Roa'!$A$12:$A$130,"&lt;"&amp;Diagram!$P90)))</f>
        <v>0</v>
      </c>
      <c r="CB90" s="42">
        <f ca="1">IF(OR($I$10="",$O90="",$P90="",$J$38&lt;&gt;"Yes"),0,IF($K$10=0,SUMIFS(INDIRECT(ADDRESS(12,3+18*3+(3),,,"J1 C - (South) Bishopthorpe Roa")&amp;":"&amp;ADDRESS(130,3+18*3+(3))),'J1 C - (South) Bishopthorpe Roa'!$A$12:$A$130,"&gt;="&amp;Diagram!$O90,'J1 C - (South) Bishopthorpe Roa'!$A$12:$A$130,"&lt;"&amp;Diagram!$P90),SUMIFS(INDIRECT(ADDRESS(12,3+18*3+(11),,,"J1 C - (South) Bishopthorpe Roa")&amp;":"&amp;ADDRESS(130,3+18*3+(11))),'J1 C - (South) Bishopthorpe Roa'!$A$12:$A$130,"&gt;="&amp;Diagram!$O90,'J1 C - (South) Bishopthorpe Roa'!$A$12:$A$130,"&lt;"&amp;Diagram!$P90)))</f>
        <v>0</v>
      </c>
      <c r="CC90" s="42">
        <f ca="1">IF(OR($I$10="",$O90="",$P90="",$J$38&lt;&gt;"Yes"),0,IF($K$10=0,SUMIFS(INDIRECT(ADDRESS(12,3+18*0+(3),,,"J1 C - (South) Bishopthorpe Roa")&amp;":"&amp;ADDRESS(130,3+18*0+(3))),'J1 C - (South) Bishopthorpe Roa'!$A$12:$A$130,"&gt;="&amp;Diagram!$O90,'J1 C - (South) Bishopthorpe Roa'!$A$12:$A$130,"&lt;"&amp;Diagram!$P90),SUMIFS(INDIRECT(ADDRESS(12,3+18*0+(11),,,"J1 C - (South) Bishopthorpe Roa")&amp;":"&amp;ADDRESS(130,3+18*0+(11))),'J1 C - (South) Bishopthorpe Roa'!$A$12:$A$130,"&gt;="&amp;Diagram!$O90,'J1 C - (South) Bishopthorpe Roa'!$A$12:$A$130,"&lt;"&amp;Diagram!$P90)))</f>
        <v>0</v>
      </c>
      <c r="CD90" s="42">
        <f ca="1">IF(OR($I$10="",$O90="",$P90="",$J$38&lt;&gt;"Yes"),0,IF($K$10=0,SUMIFS(INDIRECT(ADDRESS(12,3+18*0+(3),,,"J1 D - South Bank Avenue")&amp;":"&amp;ADDRESS(130,3+18*0+(3))),'J1 D - South Bank Avenue'!$A$12:$A$130,"&gt;="&amp;Diagram!$O90,'J1 D - South Bank Avenue'!$A$12:$A$130,"&lt;"&amp;Diagram!$P90),SUMIFS(INDIRECT(ADDRESS(12,3+18*0+(11),,,"J1 D - South Bank Avenue")&amp;":"&amp;ADDRESS(130,3+18*0+(11))),'J1 D - South Bank Avenue'!$A$12:$A$130,"&gt;="&amp;Diagram!$O90,'J1 D - South Bank Avenue'!$A$12:$A$130,"&lt;"&amp;Diagram!$P90)))</f>
        <v>0</v>
      </c>
      <c r="CE90" s="42">
        <f ca="1">IF(OR($I$10="",$O90="",$P90="",$J$38&lt;&gt;"Yes"),0,IF($K$10=0,SUMIFS(INDIRECT(ADDRESS(12,3+18*1+(3),,,"J1 D - South Bank Avenue")&amp;":"&amp;ADDRESS(130,3+18*1+(3))),'J1 D - South Bank Avenue'!$A$12:$A$130,"&gt;="&amp;Diagram!$O90,'J1 D - South Bank Avenue'!$A$12:$A$130,"&lt;"&amp;Diagram!$P90),SUMIFS(INDIRECT(ADDRESS(12,3+18*1+(11),,,"J1 D - South Bank Avenue")&amp;":"&amp;ADDRESS(130,3+18*1+(11))),'J1 D - South Bank Avenue'!$A$12:$A$130,"&gt;="&amp;Diagram!$O90,'J1 D - South Bank Avenue'!$A$12:$A$130,"&lt;"&amp;Diagram!$P90)))</f>
        <v>0</v>
      </c>
      <c r="CF90" s="42">
        <f ca="1">IF(OR($I$10="",$O90="",$P90="",$J$38&lt;&gt;"Yes"),0,IF($K$10=0,SUMIFS(INDIRECT(ADDRESS(12,3+18*2+(3),,,"J1 D - South Bank Avenue")&amp;":"&amp;ADDRESS(130,3+18*2+(3))),'J1 D - South Bank Avenue'!$A$12:$A$130,"&gt;="&amp;Diagram!$O90,'J1 D - South Bank Avenue'!$A$12:$A$130,"&lt;"&amp;Diagram!$P90),SUMIFS(INDIRECT(ADDRESS(12,3+18*2+(11),,,"J1 D - South Bank Avenue")&amp;":"&amp;ADDRESS(130,3+18*2+(11))),'J1 D - South Bank Avenue'!$A$12:$A$130,"&gt;="&amp;Diagram!$O90,'J1 D - South Bank Avenue'!$A$12:$A$130,"&lt;"&amp;Diagram!$P90)))</f>
        <v>0</v>
      </c>
      <c r="CG90" s="42">
        <f ca="1">IF(OR($I$10="",$O90="",$P90="",$J$38&lt;&gt;"Yes"),0,IF($K$10=0,SUMIFS(INDIRECT(ADDRESS(12,3+18*3+(3),,,"J1 D - South Bank Avenue")&amp;":"&amp;ADDRESS(130,3+18*3+(3))),'J1 D - South Bank Avenue'!$A$12:$A$130,"&gt;="&amp;Diagram!$O90,'J1 D - South Bank Avenue'!$A$12:$A$130,"&lt;"&amp;Diagram!$P90),SUMIFS(INDIRECT(ADDRESS(12,3+18*3+(11),,,"J1 D - South Bank Avenue")&amp;":"&amp;ADDRESS(130,3+18*3+(11))),'J1 D - South Bank Avenue'!$A$12:$A$130,"&gt;="&amp;Diagram!$O90,'J1 D - South Bank Avenue'!$A$12:$A$130,"&lt;"&amp;Diagram!$P90)))</f>
        <v>0</v>
      </c>
      <c r="CH90" s="42">
        <f t="shared" ca="1" si="15"/>
        <v>2</v>
      </c>
      <c r="CI90" s="42">
        <f ca="1">IF(OR($I$10="",$O90="",$P90="",$J$39&lt;&gt;"Yes"),0,IF($K$10=0,SUMIFS(INDIRECT(ADDRESS(12,3+18*3+(4),,,"J1 A - (North) Bishopthorpe Roa")&amp;":"&amp;ADDRESS(130,3+18*3+(4))),'J1 A - (North) Bishopthorpe Roa'!$A$12:$A$130,"&gt;="&amp;Diagram!$O90,'J1 A - (North) Bishopthorpe Roa'!$A$12:$A$130,"&lt;"&amp;Diagram!$P90),SUMIFS(INDIRECT(ADDRESS(12,3+18*3+(12),,,"J1 A - (North) Bishopthorpe Roa")&amp;":"&amp;ADDRESS(130,3+18*3+(12))),'J1 A - (North) Bishopthorpe Roa'!$A$12:$A$130,"&gt;="&amp;Diagram!$O90,'J1 A - (North) Bishopthorpe Roa'!$A$12:$A$130,"&lt;"&amp;Diagram!$P90)))</f>
        <v>0</v>
      </c>
      <c r="CJ90" s="42">
        <f ca="1">IF(OR($I$10="",$O90="",$P90="",$J$39&lt;&gt;"Yes"),0,IF($K$10=0,SUMIFS(INDIRECT(ADDRESS(12,3+18*0+(4),,,"J1 A - (North) Bishopthorpe Roa")&amp;":"&amp;ADDRESS(130,3+18*0+(4))),'J1 A - (North) Bishopthorpe Roa'!$A$12:$A$130,"&gt;="&amp;Diagram!$O90,'J1 A - (North) Bishopthorpe Roa'!$A$12:$A$130,"&lt;"&amp;Diagram!$P90),SUMIFS(INDIRECT(ADDRESS(12,3+18*0+(12),,,"J1 A - (North) Bishopthorpe Roa")&amp;":"&amp;ADDRESS(130,3+18*0+(12))),'J1 A - (North) Bishopthorpe Roa'!$A$12:$A$130,"&gt;="&amp;Diagram!$O90,'J1 A - (North) Bishopthorpe Roa'!$A$12:$A$130,"&lt;"&amp;Diagram!$P90)))</f>
        <v>0</v>
      </c>
      <c r="CK90" s="42">
        <f ca="1">IF(OR($I$10="",$O90="",$P90="",$J$39&lt;&gt;"Yes"),0,IF($K$10=0,SUMIFS(INDIRECT(ADDRESS(12,3+18*1+(4),,,"J1 A - (North) Bishopthorpe Roa")&amp;":"&amp;ADDRESS(130,3+18*1+(4))),'J1 A - (North) Bishopthorpe Roa'!$A$12:$A$130,"&gt;="&amp;Diagram!$O90,'J1 A - (North) Bishopthorpe Roa'!$A$12:$A$130,"&lt;"&amp;Diagram!$P90),SUMIFS(INDIRECT(ADDRESS(12,3+18*1+(12),,,"J1 A - (North) Bishopthorpe Roa")&amp;":"&amp;ADDRESS(130,3+18*1+(12))),'J1 A - (North) Bishopthorpe Roa'!$A$12:$A$130,"&gt;="&amp;Diagram!$O90,'J1 A - (North) Bishopthorpe Roa'!$A$12:$A$130,"&lt;"&amp;Diagram!$P90)))</f>
        <v>1</v>
      </c>
      <c r="CL90" s="42">
        <f ca="1">IF(OR($I$10="",$O90="",$P90="",$J$39&lt;&gt;"Yes"),0,IF($K$10=0,SUMIFS(INDIRECT(ADDRESS(12,3+18*2+(4),,,"J1 A - (North) Bishopthorpe Roa")&amp;":"&amp;ADDRESS(130,3+18*2+(4))),'J1 A - (North) Bishopthorpe Roa'!$A$12:$A$130,"&gt;="&amp;Diagram!$O90,'J1 A - (North) Bishopthorpe Roa'!$A$12:$A$130,"&lt;"&amp;Diagram!$P90),SUMIFS(INDIRECT(ADDRESS(12,3+18*2+(12),,,"J1 A - (North) Bishopthorpe Roa")&amp;":"&amp;ADDRESS(130,3+18*2+(12))),'J1 A - (North) Bishopthorpe Roa'!$A$12:$A$130,"&gt;="&amp;Diagram!$O90,'J1 A - (North) Bishopthorpe Roa'!$A$12:$A$130,"&lt;"&amp;Diagram!$P90)))</f>
        <v>0</v>
      </c>
      <c r="CM90" s="42">
        <f ca="1">IF(OR($I$10="",$O90="",$P90="",$J$39&lt;&gt;"Yes"),0,IF($K$10=0,SUMIFS(INDIRECT(ADDRESS(12,3+18*2+(4),,,"J1 B - Butcher Terrace")&amp;":"&amp;ADDRESS(130,3+18*2+(4))),'J1 B - Butcher Terrace'!$A$12:$A$130,"&gt;="&amp;Diagram!$O90,'J1 B - Butcher Terrace'!$A$12:$A$130,"&lt;"&amp;Diagram!$P90),SUMIFS(INDIRECT(ADDRESS(12,3+18*2+(12),,,"J1 B - Butcher Terrace")&amp;":"&amp;ADDRESS(130,3+18*2+(12))),'J1 B - Butcher Terrace'!$A$12:$A$130,"&gt;="&amp;Diagram!$O90,'J1 B - Butcher Terrace'!$A$12:$A$130,"&lt;"&amp;Diagram!$P90)))</f>
        <v>0</v>
      </c>
      <c r="CN90" s="42">
        <f ca="1">IF(OR($I$10="",$O90="",$P90="",$J$39&lt;&gt;"Yes"),0,IF($K$10=0,SUMIFS(INDIRECT(ADDRESS(12,3+18*3+(4),,,"J1 B - Butcher Terrace")&amp;":"&amp;ADDRESS(130,3+18*3+(4))),'J1 B - Butcher Terrace'!$A$12:$A$130,"&gt;="&amp;Diagram!$O90,'J1 B - Butcher Terrace'!$A$12:$A$130,"&lt;"&amp;Diagram!$P90),SUMIFS(INDIRECT(ADDRESS(12,3+18*3+(12),,,"J1 B - Butcher Terrace")&amp;":"&amp;ADDRESS(130,3+18*3+(12))),'J1 B - Butcher Terrace'!$A$12:$A$130,"&gt;="&amp;Diagram!$O90,'J1 B - Butcher Terrace'!$A$12:$A$130,"&lt;"&amp;Diagram!$P90)))</f>
        <v>0</v>
      </c>
      <c r="CO90" s="42">
        <f ca="1">IF(OR($I$10="",$O90="",$P90="",$J$39&lt;&gt;"Yes"),0,IF($K$10=0,SUMIFS(INDIRECT(ADDRESS(12,3+18*0+(4),,,"J1 B - Butcher Terrace")&amp;":"&amp;ADDRESS(130,3+18*0+(4))),'J1 B - Butcher Terrace'!$A$12:$A$130,"&gt;="&amp;Diagram!$O90,'J1 B - Butcher Terrace'!$A$12:$A$130,"&lt;"&amp;Diagram!$P90),SUMIFS(INDIRECT(ADDRESS(12,3+18*0+(12),,,"J1 B - Butcher Terrace")&amp;":"&amp;ADDRESS(130,3+18*0+(12))),'J1 B - Butcher Terrace'!$A$12:$A$130,"&gt;="&amp;Diagram!$O90,'J1 B - Butcher Terrace'!$A$12:$A$130,"&lt;"&amp;Diagram!$P90)))</f>
        <v>0</v>
      </c>
      <c r="CP90" s="42">
        <f ca="1">IF(OR($I$10="",$O90="",$P90="",$J$39&lt;&gt;"Yes"),0,IF($K$10=0,SUMIFS(INDIRECT(ADDRESS(12,3+18*1+(4),,,"J1 B - Butcher Terrace")&amp;":"&amp;ADDRESS(130,3+18*1+(4))),'J1 B - Butcher Terrace'!$A$12:$A$130,"&gt;="&amp;Diagram!$O90,'J1 B - Butcher Terrace'!$A$12:$A$130,"&lt;"&amp;Diagram!$P90),SUMIFS(INDIRECT(ADDRESS(12,3+18*1+(12),,,"J1 B - Butcher Terrace")&amp;":"&amp;ADDRESS(130,3+18*1+(12))),'J1 B - Butcher Terrace'!$A$12:$A$130,"&gt;="&amp;Diagram!$O90,'J1 B - Butcher Terrace'!$A$12:$A$130,"&lt;"&amp;Diagram!$P90)))</f>
        <v>0</v>
      </c>
      <c r="CQ90" s="42">
        <f ca="1">IF(OR($I$10="",$O90="",$P90="",$J$39&lt;&gt;"Yes"),0,IF($K$10=0,SUMIFS(INDIRECT(ADDRESS(12,3+18*1+(4),,,"J1 C - (South) Bishopthorpe Roa")&amp;":"&amp;ADDRESS(130,3+18*1+(4))),'J1 C - (South) Bishopthorpe Roa'!$A$12:$A$130,"&gt;="&amp;Diagram!$O90,'J1 C - (South) Bishopthorpe Roa'!$A$12:$A$130,"&lt;"&amp;Diagram!$P90),SUMIFS(INDIRECT(ADDRESS(12,3+18*1+(12),,,"J1 C - (South) Bishopthorpe Roa")&amp;":"&amp;ADDRESS(130,3+18*1+(12))),'J1 C - (South) Bishopthorpe Roa'!$A$12:$A$130,"&gt;="&amp;Diagram!$O90,'J1 C - (South) Bishopthorpe Roa'!$A$12:$A$130,"&lt;"&amp;Diagram!$P90)))</f>
        <v>1</v>
      </c>
      <c r="CR90" s="42">
        <f ca="1">IF(OR($I$10="",$O90="",$P90="",$J$39&lt;&gt;"Yes"),0,IF($K$10=0,SUMIFS(INDIRECT(ADDRESS(12,3+18*2+(4),,,"J1 C - (South) Bishopthorpe Roa")&amp;":"&amp;ADDRESS(130,3+18*2+(4))),'J1 C - (South) Bishopthorpe Roa'!$A$12:$A$130,"&gt;="&amp;Diagram!$O90,'J1 C - (South) Bishopthorpe Roa'!$A$12:$A$130,"&lt;"&amp;Diagram!$P90),SUMIFS(INDIRECT(ADDRESS(12,3+18*2+(12),,,"J1 C - (South) Bishopthorpe Roa")&amp;":"&amp;ADDRESS(130,3+18*2+(12))),'J1 C - (South) Bishopthorpe Roa'!$A$12:$A$130,"&gt;="&amp;Diagram!$O90,'J1 C - (South) Bishopthorpe Roa'!$A$12:$A$130,"&lt;"&amp;Diagram!$P90)))</f>
        <v>0</v>
      </c>
      <c r="CS90" s="42">
        <f ca="1">IF(OR($I$10="",$O90="",$P90="",$J$39&lt;&gt;"Yes"),0,IF($K$10=0,SUMIFS(INDIRECT(ADDRESS(12,3+18*3+(4),,,"J1 C - (South) Bishopthorpe Roa")&amp;":"&amp;ADDRESS(130,3+18*3+(4))),'J1 C - (South) Bishopthorpe Roa'!$A$12:$A$130,"&gt;="&amp;Diagram!$O90,'J1 C - (South) Bishopthorpe Roa'!$A$12:$A$130,"&lt;"&amp;Diagram!$P90),SUMIFS(INDIRECT(ADDRESS(12,3+18*3+(12),,,"J1 C - (South) Bishopthorpe Roa")&amp;":"&amp;ADDRESS(130,3+18*3+(12))),'J1 C - (South) Bishopthorpe Roa'!$A$12:$A$130,"&gt;="&amp;Diagram!$O90,'J1 C - (South) Bishopthorpe Roa'!$A$12:$A$130,"&lt;"&amp;Diagram!$P90)))</f>
        <v>0</v>
      </c>
      <c r="CT90" s="42">
        <f ca="1">IF(OR($I$10="",$O90="",$P90="",$J$39&lt;&gt;"Yes"),0,IF($K$10=0,SUMIFS(INDIRECT(ADDRESS(12,3+18*0+(4),,,"J1 C - (South) Bishopthorpe Roa")&amp;":"&amp;ADDRESS(130,3+18*0+(4))),'J1 C - (South) Bishopthorpe Roa'!$A$12:$A$130,"&gt;="&amp;Diagram!$O90,'J1 C - (South) Bishopthorpe Roa'!$A$12:$A$130,"&lt;"&amp;Diagram!$P90),SUMIFS(INDIRECT(ADDRESS(12,3+18*0+(12),,,"J1 C - (South) Bishopthorpe Roa")&amp;":"&amp;ADDRESS(130,3+18*0+(12))),'J1 C - (South) Bishopthorpe Roa'!$A$12:$A$130,"&gt;="&amp;Diagram!$O90,'J1 C - (South) Bishopthorpe Roa'!$A$12:$A$130,"&lt;"&amp;Diagram!$P90)))</f>
        <v>0</v>
      </c>
      <c r="CU90" s="42">
        <f ca="1">IF(OR($I$10="",$O90="",$P90="",$J$39&lt;&gt;"Yes"),0,IF($K$10=0,SUMIFS(INDIRECT(ADDRESS(12,3+18*0+(4),,,"J1 D - South Bank Avenue")&amp;":"&amp;ADDRESS(130,3+18*0+(4))),'J1 D - South Bank Avenue'!$A$12:$A$130,"&gt;="&amp;Diagram!$O90,'J1 D - South Bank Avenue'!$A$12:$A$130,"&lt;"&amp;Diagram!$P90),SUMIFS(INDIRECT(ADDRESS(12,3+18*0+(12),,,"J1 D - South Bank Avenue")&amp;":"&amp;ADDRESS(130,3+18*0+(12))),'J1 D - South Bank Avenue'!$A$12:$A$130,"&gt;="&amp;Diagram!$O90,'J1 D - South Bank Avenue'!$A$12:$A$130,"&lt;"&amp;Diagram!$P90)))</f>
        <v>0</v>
      </c>
      <c r="CV90" s="42">
        <f ca="1">IF(OR($I$10="",$O90="",$P90="",$J$39&lt;&gt;"Yes"),0,IF($K$10=0,SUMIFS(INDIRECT(ADDRESS(12,3+18*1+(4),,,"J1 D - South Bank Avenue")&amp;":"&amp;ADDRESS(130,3+18*1+(4))),'J1 D - South Bank Avenue'!$A$12:$A$130,"&gt;="&amp;Diagram!$O90,'J1 D - South Bank Avenue'!$A$12:$A$130,"&lt;"&amp;Diagram!$P90),SUMIFS(INDIRECT(ADDRESS(12,3+18*1+(12),,,"J1 D - South Bank Avenue")&amp;":"&amp;ADDRESS(130,3+18*1+(12))),'J1 D - South Bank Avenue'!$A$12:$A$130,"&gt;="&amp;Diagram!$O90,'J1 D - South Bank Avenue'!$A$12:$A$130,"&lt;"&amp;Diagram!$P90)))</f>
        <v>0</v>
      </c>
      <c r="CW90" s="42">
        <f ca="1">IF(OR($I$10="",$O90="",$P90="",$J$39&lt;&gt;"Yes"),0,IF($K$10=0,SUMIFS(INDIRECT(ADDRESS(12,3+18*2+(4),,,"J1 D - South Bank Avenue")&amp;":"&amp;ADDRESS(130,3+18*2+(4))),'J1 D - South Bank Avenue'!$A$12:$A$130,"&gt;="&amp;Diagram!$O90,'J1 D - South Bank Avenue'!$A$12:$A$130,"&lt;"&amp;Diagram!$P90),SUMIFS(INDIRECT(ADDRESS(12,3+18*2+(12),,,"J1 D - South Bank Avenue")&amp;":"&amp;ADDRESS(130,3+18*2+(12))),'J1 D - South Bank Avenue'!$A$12:$A$130,"&gt;="&amp;Diagram!$O90,'J1 D - South Bank Avenue'!$A$12:$A$130,"&lt;"&amp;Diagram!$P90)))</f>
        <v>0</v>
      </c>
      <c r="CX90" s="42">
        <f ca="1">IF(OR($I$10="",$O90="",$P90="",$J$39&lt;&gt;"Yes"),0,IF($K$10=0,SUMIFS(INDIRECT(ADDRESS(12,3+18*3+(4),,,"J1 D - South Bank Avenue")&amp;":"&amp;ADDRESS(130,3+18*3+(4))),'J1 D - South Bank Avenue'!$A$12:$A$130,"&gt;="&amp;Diagram!$O90,'J1 D - South Bank Avenue'!$A$12:$A$130,"&lt;"&amp;Diagram!$P90),SUMIFS(INDIRECT(ADDRESS(12,3+18*3+(12),,,"J1 D - South Bank Avenue")&amp;":"&amp;ADDRESS(130,3+18*3+(12))),'J1 D - South Bank Avenue'!$A$12:$A$130,"&gt;="&amp;Diagram!$O90,'J1 D - South Bank Avenue'!$A$12:$A$130,"&lt;"&amp;Diagram!$P90)))</f>
        <v>0</v>
      </c>
      <c r="CY90" s="42">
        <f t="shared" ca="1" si="16"/>
        <v>27</v>
      </c>
      <c r="CZ90" s="42">
        <f ca="1">IF(OR($I$10="",$O90="",$P90="",$J$40&lt;&gt;"Yes"),0,IF($K$10=0,SUMIFS(INDIRECT(ADDRESS(12,3+18*3+(5),,,"J1 A - (North) Bishopthorpe Roa")&amp;":"&amp;ADDRESS(130,3+18*3+(5))),'J1 A - (North) Bishopthorpe Roa'!$A$12:$A$130,"&gt;="&amp;Diagram!$O90,'J1 A - (North) Bishopthorpe Roa'!$A$12:$A$130,"&lt;"&amp;Diagram!$P90),SUMIFS(INDIRECT(ADDRESS(12,3+18*3+(13),,,"J1 A - (North) Bishopthorpe Roa")&amp;":"&amp;ADDRESS(130,3+18*3+(13))),'J1 A - (North) Bishopthorpe Roa'!$A$12:$A$130,"&gt;="&amp;Diagram!$O90,'J1 A - (North) Bishopthorpe Roa'!$A$12:$A$130,"&lt;"&amp;Diagram!$P90)))</f>
        <v>0</v>
      </c>
      <c r="DA90" s="42">
        <f ca="1">IF(OR($I$10="",$O90="",$P90="",$J$40&lt;&gt;"Yes"),0,IF($K$10=0,SUMIFS(INDIRECT(ADDRESS(12,3+18*0+(5),,,"J1 A - (North) Bishopthorpe Roa")&amp;":"&amp;ADDRESS(130,3+18*0+(5))),'J1 A - (North) Bishopthorpe Roa'!$A$12:$A$130,"&gt;="&amp;Diagram!$O90,'J1 A - (North) Bishopthorpe Roa'!$A$12:$A$130,"&lt;"&amp;Diagram!$P90),SUMIFS(INDIRECT(ADDRESS(12,3+18*0+(13),,,"J1 A - (North) Bishopthorpe Roa")&amp;":"&amp;ADDRESS(130,3+18*0+(13))),'J1 A - (North) Bishopthorpe Roa'!$A$12:$A$130,"&gt;="&amp;Diagram!$O90,'J1 A - (North) Bishopthorpe Roa'!$A$12:$A$130,"&lt;"&amp;Diagram!$P90)))</f>
        <v>0</v>
      </c>
      <c r="DB90" s="42">
        <f ca="1">IF(OR($I$10="",$O90="",$P90="",$J$40&lt;&gt;"Yes"),0,IF($K$10=0,SUMIFS(INDIRECT(ADDRESS(12,3+18*1+(5),,,"J1 A - (North) Bishopthorpe Roa")&amp;":"&amp;ADDRESS(130,3+18*1+(5))),'J1 A - (North) Bishopthorpe Roa'!$A$12:$A$130,"&gt;="&amp;Diagram!$O90,'J1 A - (North) Bishopthorpe Roa'!$A$12:$A$130,"&lt;"&amp;Diagram!$P90),SUMIFS(INDIRECT(ADDRESS(12,3+18*1+(13),,,"J1 A - (North) Bishopthorpe Roa")&amp;":"&amp;ADDRESS(130,3+18*1+(13))),'J1 A - (North) Bishopthorpe Roa'!$A$12:$A$130,"&gt;="&amp;Diagram!$O90,'J1 A - (North) Bishopthorpe Roa'!$A$12:$A$130,"&lt;"&amp;Diagram!$P90)))</f>
        <v>3</v>
      </c>
      <c r="DC90" s="42">
        <f ca="1">IF(OR($I$10="",$O90="",$P90="",$J$40&lt;&gt;"Yes"),0,IF($K$10=0,SUMIFS(INDIRECT(ADDRESS(12,3+18*2+(5),,,"J1 A - (North) Bishopthorpe Roa")&amp;":"&amp;ADDRESS(130,3+18*2+(5))),'J1 A - (North) Bishopthorpe Roa'!$A$12:$A$130,"&gt;="&amp;Diagram!$O90,'J1 A - (North) Bishopthorpe Roa'!$A$12:$A$130,"&lt;"&amp;Diagram!$P90),SUMIFS(INDIRECT(ADDRESS(12,3+18*2+(13),,,"J1 A - (North) Bishopthorpe Roa")&amp;":"&amp;ADDRESS(130,3+18*2+(13))),'J1 A - (North) Bishopthorpe Roa'!$A$12:$A$130,"&gt;="&amp;Diagram!$O90,'J1 A - (North) Bishopthorpe Roa'!$A$12:$A$130,"&lt;"&amp;Diagram!$P90)))</f>
        <v>2</v>
      </c>
      <c r="DD90" s="42">
        <f ca="1">IF(OR($I$10="",$O90="",$P90="",$J$40&lt;&gt;"Yes"),0,IF($K$10=0,SUMIFS(INDIRECT(ADDRESS(12,3+18*2+(5),,,"J1 B - Butcher Terrace")&amp;":"&amp;ADDRESS(130,3+18*2+(5))),'J1 B - Butcher Terrace'!$A$12:$A$130,"&gt;="&amp;Diagram!$O90,'J1 B - Butcher Terrace'!$A$12:$A$130,"&lt;"&amp;Diagram!$P90),SUMIFS(INDIRECT(ADDRESS(12,3+18*2+(13),,,"J1 B - Butcher Terrace")&amp;":"&amp;ADDRESS(130,3+18*2+(13))),'J1 B - Butcher Terrace'!$A$12:$A$130,"&gt;="&amp;Diagram!$O90,'J1 B - Butcher Terrace'!$A$12:$A$130,"&lt;"&amp;Diagram!$P90)))</f>
        <v>4</v>
      </c>
      <c r="DE90" s="42">
        <f ca="1">IF(OR($I$10="",$O90="",$P90="",$J$40&lt;&gt;"Yes"),0,IF($K$10=0,SUMIFS(INDIRECT(ADDRESS(12,3+18*3+(5),,,"J1 B - Butcher Terrace")&amp;":"&amp;ADDRESS(130,3+18*3+(5))),'J1 B - Butcher Terrace'!$A$12:$A$130,"&gt;="&amp;Diagram!$O90,'J1 B - Butcher Terrace'!$A$12:$A$130,"&lt;"&amp;Diagram!$P90),SUMIFS(INDIRECT(ADDRESS(12,3+18*3+(13),,,"J1 B - Butcher Terrace")&amp;":"&amp;ADDRESS(130,3+18*3+(13))),'J1 B - Butcher Terrace'!$A$12:$A$130,"&gt;="&amp;Diagram!$O90,'J1 B - Butcher Terrace'!$A$12:$A$130,"&lt;"&amp;Diagram!$P90)))</f>
        <v>0</v>
      </c>
      <c r="DF90" s="42">
        <f ca="1">IF(OR($I$10="",$O90="",$P90="",$J$40&lt;&gt;"Yes"),0,IF($K$10=0,SUMIFS(INDIRECT(ADDRESS(12,3+18*0+(5),,,"J1 B - Butcher Terrace")&amp;":"&amp;ADDRESS(130,3+18*0+(5))),'J1 B - Butcher Terrace'!$A$12:$A$130,"&gt;="&amp;Diagram!$O90,'J1 B - Butcher Terrace'!$A$12:$A$130,"&lt;"&amp;Diagram!$P90),SUMIFS(INDIRECT(ADDRESS(12,3+18*0+(13),,,"J1 B - Butcher Terrace")&amp;":"&amp;ADDRESS(130,3+18*0+(13))),'J1 B - Butcher Terrace'!$A$12:$A$130,"&gt;="&amp;Diagram!$O90,'J1 B - Butcher Terrace'!$A$12:$A$130,"&lt;"&amp;Diagram!$P90)))</f>
        <v>1</v>
      </c>
      <c r="DG90" s="42">
        <f ca="1">IF(OR($I$10="",$O90="",$P90="",$J$40&lt;&gt;"Yes"),0,IF($K$10=0,SUMIFS(INDIRECT(ADDRESS(12,3+18*1+(5),,,"J1 B - Butcher Terrace")&amp;":"&amp;ADDRESS(130,3+18*1+(5))),'J1 B - Butcher Terrace'!$A$12:$A$130,"&gt;="&amp;Diagram!$O90,'J1 B - Butcher Terrace'!$A$12:$A$130,"&lt;"&amp;Diagram!$P90),SUMIFS(INDIRECT(ADDRESS(12,3+18*1+(13),,,"J1 B - Butcher Terrace")&amp;":"&amp;ADDRESS(130,3+18*1+(13))),'J1 B - Butcher Terrace'!$A$12:$A$130,"&gt;="&amp;Diagram!$O90,'J1 B - Butcher Terrace'!$A$12:$A$130,"&lt;"&amp;Diagram!$P90)))</f>
        <v>10</v>
      </c>
      <c r="DH90" s="42">
        <f ca="1">IF(OR($I$10="",$O90="",$P90="",$J$40&lt;&gt;"Yes"),0,IF($K$10=0,SUMIFS(INDIRECT(ADDRESS(12,3+18*1+(5),,,"J1 C - (South) Bishopthorpe Roa")&amp;":"&amp;ADDRESS(130,3+18*1+(5))),'J1 C - (South) Bishopthorpe Roa'!$A$12:$A$130,"&gt;="&amp;Diagram!$O90,'J1 C - (South) Bishopthorpe Roa'!$A$12:$A$130,"&lt;"&amp;Diagram!$P90),SUMIFS(INDIRECT(ADDRESS(12,3+18*1+(13),,,"J1 C - (South) Bishopthorpe Roa")&amp;":"&amp;ADDRESS(130,3+18*1+(13))),'J1 C - (South) Bishopthorpe Roa'!$A$12:$A$130,"&gt;="&amp;Diagram!$O90,'J1 C - (South) Bishopthorpe Roa'!$A$12:$A$130,"&lt;"&amp;Diagram!$P90)))</f>
        <v>1</v>
      </c>
      <c r="DI90" s="42">
        <f ca="1">IF(OR($I$10="",$O90="",$P90="",$J$40&lt;&gt;"Yes"),0,IF($K$10=0,SUMIFS(INDIRECT(ADDRESS(12,3+18*2+(5),,,"J1 C - (South) Bishopthorpe Roa")&amp;":"&amp;ADDRESS(130,3+18*2+(5))),'J1 C - (South) Bishopthorpe Roa'!$A$12:$A$130,"&gt;="&amp;Diagram!$O90,'J1 C - (South) Bishopthorpe Roa'!$A$12:$A$130,"&lt;"&amp;Diagram!$P90),SUMIFS(INDIRECT(ADDRESS(12,3+18*2+(13),,,"J1 C - (South) Bishopthorpe Roa")&amp;":"&amp;ADDRESS(130,3+18*2+(13))),'J1 C - (South) Bishopthorpe Roa'!$A$12:$A$130,"&gt;="&amp;Diagram!$O90,'J1 C - (South) Bishopthorpe Roa'!$A$12:$A$130,"&lt;"&amp;Diagram!$P90)))</f>
        <v>0</v>
      </c>
      <c r="DJ90" s="42">
        <f ca="1">IF(OR($I$10="",$O90="",$P90="",$J$40&lt;&gt;"Yes"),0,IF($K$10=0,SUMIFS(INDIRECT(ADDRESS(12,3+18*3+(5),,,"J1 C - (South) Bishopthorpe Roa")&amp;":"&amp;ADDRESS(130,3+18*3+(5))),'J1 C - (South) Bishopthorpe Roa'!$A$12:$A$130,"&gt;="&amp;Diagram!$O90,'J1 C - (South) Bishopthorpe Roa'!$A$12:$A$130,"&lt;"&amp;Diagram!$P90),SUMIFS(INDIRECT(ADDRESS(12,3+18*3+(13),,,"J1 C - (South) Bishopthorpe Roa")&amp;":"&amp;ADDRESS(130,3+18*3+(13))),'J1 C - (South) Bishopthorpe Roa'!$A$12:$A$130,"&gt;="&amp;Diagram!$O90,'J1 C - (South) Bishopthorpe Roa'!$A$12:$A$130,"&lt;"&amp;Diagram!$P90)))</f>
        <v>0</v>
      </c>
      <c r="DK90" s="42">
        <f ca="1">IF(OR($I$10="",$O90="",$P90="",$J$40&lt;&gt;"Yes"),0,IF($K$10=0,SUMIFS(INDIRECT(ADDRESS(12,3+18*0+(5),,,"J1 C - (South) Bishopthorpe Roa")&amp;":"&amp;ADDRESS(130,3+18*0+(5))),'J1 C - (South) Bishopthorpe Roa'!$A$12:$A$130,"&gt;="&amp;Diagram!$O90,'J1 C - (South) Bishopthorpe Roa'!$A$12:$A$130,"&lt;"&amp;Diagram!$P90),SUMIFS(INDIRECT(ADDRESS(12,3+18*0+(13),,,"J1 C - (South) Bishopthorpe Roa")&amp;":"&amp;ADDRESS(130,3+18*0+(13))),'J1 C - (South) Bishopthorpe Roa'!$A$12:$A$130,"&gt;="&amp;Diagram!$O90,'J1 C - (South) Bishopthorpe Roa'!$A$12:$A$130,"&lt;"&amp;Diagram!$P90)))</f>
        <v>0</v>
      </c>
      <c r="DL90" s="42">
        <f ca="1">IF(OR($I$10="",$O90="",$P90="",$J$40&lt;&gt;"Yes"),0,IF($K$10=0,SUMIFS(INDIRECT(ADDRESS(12,3+18*0+(5),,,"J1 D - South Bank Avenue")&amp;":"&amp;ADDRESS(130,3+18*0+(5))),'J1 D - South Bank Avenue'!$A$12:$A$130,"&gt;="&amp;Diagram!$O90,'J1 D - South Bank Avenue'!$A$12:$A$130,"&lt;"&amp;Diagram!$P90),SUMIFS(INDIRECT(ADDRESS(12,3+18*0+(13),,,"J1 D - South Bank Avenue")&amp;":"&amp;ADDRESS(130,3+18*0+(13))),'J1 D - South Bank Avenue'!$A$12:$A$130,"&gt;="&amp;Diagram!$O90,'J1 D - South Bank Avenue'!$A$12:$A$130,"&lt;"&amp;Diagram!$P90)))</f>
        <v>3</v>
      </c>
      <c r="DM90" s="42">
        <f ca="1">IF(OR($I$10="",$O90="",$P90="",$J$40&lt;&gt;"Yes"),0,IF($K$10=0,SUMIFS(INDIRECT(ADDRESS(12,3+18*1+(5),,,"J1 D - South Bank Avenue")&amp;":"&amp;ADDRESS(130,3+18*1+(5))),'J1 D - South Bank Avenue'!$A$12:$A$130,"&gt;="&amp;Diagram!$O90,'J1 D - South Bank Avenue'!$A$12:$A$130,"&lt;"&amp;Diagram!$P90),SUMIFS(INDIRECT(ADDRESS(12,3+18*1+(13),,,"J1 D - South Bank Avenue")&amp;":"&amp;ADDRESS(130,3+18*1+(13))),'J1 D - South Bank Avenue'!$A$12:$A$130,"&gt;="&amp;Diagram!$O90,'J1 D - South Bank Avenue'!$A$12:$A$130,"&lt;"&amp;Diagram!$P90)))</f>
        <v>3</v>
      </c>
      <c r="DN90" s="42">
        <f ca="1">IF(OR($I$10="",$O90="",$P90="",$J$40&lt;&gt;"Yes"),0,IF($K$10=0,SUMIFS(INDIRECT(ADDRESS(12,3+18*2+(5),,,"J1 D - South Bank Avenue")&amp;":"&amp;ADDRESS(130,3+18*2+(5))),'J1 D - South Bank Avenue'!$A$12:$A$130,"&gt;="&amp;Diagram!$O90,'J1 D - South Bank Avenue'!$A$12:$A$130,"&lt;"&amp;Diagram!$P90),SUMIFS(INDIRECT(ADDRESS(12,3+18*2+(13),,,"J1 D - South Bank Avenue")&amp;":"&amp;ADDRESS(130,3+18*2+(13))),'J1 D - South Bank Avenue'!$A$12:$A$130,"&gt;="&amp;Diagram!$O90,'J1 D - South Bank Avenue'!$A$12:$A$130,"&lt;"&amp;Diagram!$P90)))</f>
        <v>0</v>
      </c>
      <c r="DO90" s="42">
        <f ca="1">IF(OR($I$10="",$O90="",$P90="",$J$40&lt;&gt;"Yes"),0,IF($K$10=0,SUMIFS(INDIRECT(ADDRESS(12,3+18*3+(5),,,"J1 D - South Bank Avenue")&amp;":"&amp;ADDRESS(130,3+18*3+(5))),'J1 D - South Bank Avenue'!$A$12:$A$130,"&gt;="&amp;Diagram!$O90,'J1 D - South Bank Avenue'!$A$12:$A$130,"&lt;"&amp;Diagram!$P90),SUMIFS(INDIRECT(ADDRESS(12,3+18*3+(13),,,"J1 D - South Bank Avenue")&amp;":"&amp;ADDRESS(130,3+18*3+(13))),'J1 D - South Bank Avenue'!$A$12:$A$130,"&gt;="&amp;Diagram!$O90,'J1 D - South Bank Avenue'!$A$12:$A$130,"&lt;"&amp;Diagram!$P90)))</f>
        <v>0</v>
      </c>
      <c r="DP90" s="42">
        <f t="shared" ca="1" si="17"/>
        <v>7</v>
      </c>
      <c r="DQ90" s="42">
        <f ca="1">IF(OR($I$10="",$O90="",$P90="",$J$41&lt;&gt;"Yes"),0,IF($K$10=0,SUMIFS(INDIRECT(ADDRESS(12,3+18*3+(6),,,"J1 A - (North) Bishopthorpe Roa")&amp;":"&amp;ADDRESS(130,3+18*3+(6))),'J1 A - (North) Bishopthorpe Roa'!$A$12:$A$130,"&gt;="&amp;Diagram!$O90,'J1 A - (North) Bishopthorpe Roa'!$A$12:$A$130,"&lt;"&amp;Diagram!$P90),SUMIFS(INDIRECT(ADDRESS(12,3+18*3+(14),,,"J1 A - (North) Bishopthorpe Roa")&amp;":"&amp;ADDRESS(130,3+18*3+(14))),'J1 A - (North) Bishopthorpe Roa'!$A$12:$A$130,"&gt;="&amp;Diagram!$O90,'J1 A - (North) Bishopthorpe Roa'!$A$12:$A$130,"&lt;"&amp;Diagram!$P90)))</f>
        <v>0</v>
      </c>
      <c r="DR90" s="42">
        <f ca="1">IF(OR($I$10="",$O90="",$P90="",$J$41&lt;&gt;"Yes"),0,IF($K$10=0,SUMIFS(INDIRECT(ADDRESS(12,3+18*0+(6),,,"J1 A - (North) Bishopthorpe Roa")&amp;":"&amp;ADDRESS(130,3+18*0+(6))),'J1 A - (North) Bishopthorpe Roa'!$A$12:$A$130,"&gt;="&amp;Diagram!$O90,'J1 A - (North) Bishopthorpe Roa'!$A$12:$A$130,"&lt;"&amp;Diagram!$P90),SUMIFS(INDIRECT(ADDRESS(12,3+18*0+(14),,,"J1 A - (North) Bishopthorpe Roa")&amp;":"&amp;ADDRESS(130,3+18*0+(14))),'J1 A - (North) Bishopthorpe Roa'!$A$12:$A$130,"&gt;="&amp;Diagram!$O90,'J1 A - (North) Bishopthorpe Roa'!$A$12:$A$130,"&lt;"&amp;Diagram!$P90)))</f>
        <v>1</v>
      </c>
      <c r="DS90" s="42">
        <f ca="1">IF(OR($I$10="",$O90="",$P90="",$J$41&lt;&gt;"Yes"),0,IF($K$10=0,SUMIFS(INDIRECT(ADDRESS(12,3+18*1+(6),,,"J1 A - (North) Bishopthorpe Roa")&amp;":"&amp;ADDRESS(130,3+18*1+(6))),'J1 A - (North) Bishopthorpe Roa'!$A$12:$A$130,"&gt;="&amp;Diagram!$O90,'J1 A - (North) Bishopthorpe Roa'!$A$12:$A$130,"&lt;"&amp;Diagram!$P90),SUMIFS(INDIRECT(ADDRESS(12,3+18*1+(14),,,"J1 A - (North) Bishopthorpe Roa")&amp;":"&amp;ADDRESS(130,3+18*1+(14))),'J1 A - (North) Bishopthorpe Roa'!$A$12:$A$130,"&gt;="&amp;Diagram!$O90,'J1 A - (North) Bishopthorpe Roa'!$A$12:$A$130,"&lt;"&amp;Diagram!$P90)))</f>
        <v>1</v>
      </c>
      <c r="DT90" s="42">
        <f ca="1">IF(OR($I$10="",$O90="",$P90="",$J$41&lt;&gt;"Yes"),0,IF($K$10=0,SUMIFS(INDIRECT(ADDRESS(12,3+18*2+(6),,,"J1 A - (North) Bishopthorpe Roa")&amp;":"&amp;ADDRESS(130,3+18*2+(6))),'J1 A - (North) Bishopthorpe Roa'!$A$12:$A$130,"&gt;="&amp;Diagram!$O90,'J1 A - (North) Bishopthorpe Roa'!$A$12:$A$130,"&lt;"&amp;Diagram!$P90),SUMIFS(INDIRECT(ADDRESS(12,3+18*2+(14),,,"J1 A - (North) Bishopthorpe Roa")&amp;":"&amp;ADDRESS(130,3+18*2+(14))),'J1 A - (North) Bishopthorpe Roa'!$A$12:$A$130,"&gt;="&amp;Diagram!$O90,'J1 A - (North) Bishopthorpe Roa'!$A$12:$A$130,"&lt;"&amp;Diagram!$P90)))</f>
        <v>1</v>
      </c>
      <c r="DU90" s="42">
        <f ca="1">IF(OR($I$10="",$O90="",$P90="",$J$41&lt;&gt;"Yes"),0,IF($K$10=0,SUMIFS(INDIRECT(ADDRESS(12,3+18*2+(6),,,"J1 B - Butcher Terrace")&amp;":"&amp;ADDRESS(130,3+18*2+(6))),'J1 B - Butcher Terrace'!$A$12:$A$130,"&gt;="&amp;Diagram!$O90,'J1 B - Butcher Terrace'!$A$12:$A$130,"&lt;"&amp;Diagram!$P90),SUMIFS(INDIRECT(ADDRESS(12,3+18*2+(14),,,"J1 B - Butcher Terrace")&amp;":"&amp;ADDRESS(130,3+18*2+(14))),'J1 B - Butcher Terrace'!$A$12:$A$130,"&gt;="&amp;Diagram!$O90,'J1 B - Butcher Terrace'!$A$12:$A$130,"&lt;"&amp;Diagram!$P90)))</f>
        <v>1</v>
      </c>
      <c r="DV90" s="42">
        <f ca="1">IF(OR($I$10="",$O90="",$P90="",$J$41&lt;&gt;"Yes"),0,IF($K$10=0,SUMIFS(INDIRECT(ADDRESS(12,3+18*3+(6),,,"J1 B - Butcher Terrace")&amp;":"&amp;ADDRESS(130,3+18*3+(6))),'J1 B - Butcher Terrace'!$A$12:$A$130,"&gt;="&amp;Diagram!$O90,'J1 B - Butcher Terrace'!$A$12:$A$130,"&lt;"&amp;Diagram!$P90),SUMIFS(INDIRECT(ADDRESS(12,3+18*3+(14),,,"J1 B - Butcher Terrace")&amp;":"&amp;ADDRESS(130,3+18*3+(14))),'J1 B - Butcher Terrace'!$A$12:$A$130,"&gt;="&amp;Diagram!$O90,'J1 B - Butcher Terrace'!$A$12:$A$130,"&lt;"&amp;Diagram!$P90)))</f>
        <v>0</v>
      </c>
      <c r="DW90" s="42">
        <f ca="1">IF(OR($I$10="",$O90="",$P90="",$J$41&lt;&gt;"Yes"),0,IF($K$10=0,SUMIFS(INDIRECT(ADDRESS(12,3+18*0+(6),,,"J1 B - Butcher Terrace")&amp;":"&amp;ADDRESS(130,3+18*0+(6))),'J1 B - Butcher Terrace'!$A$12:$A$130,"&gt;="&amp;Diagram!$O90,'J1 B - Butcher Terrace'!$A$12:$A$130,"&lt;"&amp;Diagram!$P90),SUMIFS(INDIRECT(ADDRESS(12,3+18*0+(14),,,"J1 B - Butcher Terrace")&amp;":"&amp;ADDRESS(130,3+18*0+(14))),'J1 B - Butcher Terrace'!$A$12:$A$130,"&gt;="&amp;Diagram!$O90,'J1 B - Butcher Terrace'!$A$12:$A$130,"&lt;"&amp;Diagram!$P90)))</f>
        <v>0</v>
      </c>
      <c r="DX90" s="42">
        <f ca="1">IF(OR($I$10="",$O90="",$P90="",$J$41&lt;&gt;"Yes"),0,IF($K$10=0,SUMIFS(INDIRECT(ADDRESS(12,3+18*1+(6),,,"J1 B - Butcher Terrace")&amp;":"&amp;ADDRESS(130,3+18*1+(6))),'J1 B - Butcher Terrace'!$A$12:$A$130,"&gt;="&amp;Diagram!$O90,'J1 B - Butcher Terrace'!$A$12:$A$130,"&lt;"&amp;Diagram!$P90),SUMIFS(INDIRECT(ADDRESS(12,3+18*1+(14),,,"J1 B - Butcher Terrace")&amp;":"&amp;ADDRESS(130,3+18*1+(14))),'J1 B - Butcher Terrace'!$A$12:$A$130,"&gt;="&amp;Diagram!$O90,'J1 B - Butcher Terrace'!$A$12:$A$130,"&lt;"&amp;Diagram!$P90)))</f>
        <v>0</v>
      </c>
      <c r="DY90" s="42">
        <f ca="1">IF(OR($I$10="",$O90="",$P90="",$J$41&lt;&gt;"Yes"),0,IF($K$10=0,SUMIFS(INDIRECT(ADDRESS(12,3+18*1+(6),,,"J1 C - (South) Bishopthorpe Roa")&amp;":"&amp;ADDRESS(130,3+18*1+(6))),'J1 C - (South) Bishopthorpe Roa'!$A$12:$A$130,"&gt;="&amp;Diagram!$O90,'J1 C - (South) Bishopthorpe Roa'!$A$12:$A$130,"&lt;"&amp;Diagram!$P90),SUMIFS(INDIRECT(ADDRESS(12,3+18*1+(14),,,"J1 C - (South) Bishopthorpe Roa")&amp;":"&amp;ADDRESS(130,3+18*1+(14))),'J1 C - (South) Bishopthorpe Roa'!$A$12:$A$130,"&gt;="&amp;Diagram!$O90,'J1 C - (South) Bishopthorpe Roa'!$A$12:$A$130,"&lt;"&amp;Diagram!$P90)))</f>
        <v>2</v>
      </c>
      <c r="DZ90" s="42">
        <f ca="1">IF(OR($I$10="",$O90="",$P90="",$J$41&lt;&gt;"Yes"),0,IF($K$10=0,SUMIFS(INDIRECT(ADDRESS(12,3+18*2+(6),,,"J1 C - (South) Bishopthorpe Roa")&amp;":"&amp;ADDRESS(130,3+18*2+(6))),'J1 C - (South) Bishopthorpe Roa'!$A$12:$A$130,"&gt;="&amp;Diagram!$O90,'J1 C - (South) Bishopthorpe Roa'!$A$12:$A$130,"&lt;"&amp;Diagram!$P90),SUMIFS(INDIRECT(ADDRESS(12,3+18*2+(14),,,"J1 C - (South) Bishopthorpe Roa")&amp;":"&amp;ADDRESS(130,3+18*2+(14))),'J1 C - (South) Bishopthorpe Roa'!$A$12:$A$130,"&gt;="&amp;Diagram!$O90,'J1 C - (South) Bishopthorpe Roa'!$A$12:$A$130,"&lt;"&amp;Diagram!$P90)))</f>
        <v>0</v>
      </c>
      <c r="EA90" s="42">
        <f ca="1">IF(OR($I$10="",$O90="",$P90="",$J$41&lt;&gt;"Yes"),0,IF($K$10=0,SUMIFS(INDIRECT(ADDRESS(12,3+18*3+(6),,,"J1 C - (South) Bishopthorpe Roa")&amp;":"&amp;ADDRESS(130,3+18*3+(6))),'J1 C - (South) Bishopthorpe Roa'!$A$12:$A$130,"&gt;="&amp;Diagram!$O90,'J1 C - (South) Bishopthorpe Roa'!$A$12:$A$130,"&lt;"&amp;Diagram!$P90),SUMIFS(INDIRECT(ADDRESS(12,3+18*3+(14),,,"J1 C - (South) Bishopthorpe Roa")&amp;":"&amp;ADDRESS(130,3+18*3+(14))),'J1 C - (South) Bishopthorpe Roa'!$A$12:$A$130,"&gt;="&amp;Diagram!$O90,'J1 C - (South) Bishopthorpe Roa'!$A$12:$A$130,"&lt;"&amp;Diagram!$P90)))</f>
        <v>0</v>
      </c>
      <c r="EB90" s="42">
        <f ca="1">IF(OR($I$10="",$O90="",$P90="",$J$41&lt;&gt;"Yes"),0,IF($K$10=0,SUMIFS(INDIRECT(ADDRESS(12,3+18*0+(6),,,"J1 C - (South) Bishopthorpe Roa")&amp;":"&amp;ADDRESS(130,3+18*0+(6))),'J1 C - (South) Bishopthorpe Roa'!$A$12:$A$130,"&gt;="&amp;Diagram!$O90,'J1 C - (South) Bishopthorpe Roa'!$A$12:$A$130,"&lt;"&amp;Diagram!$P90),SUMIFS(INDIRECT(ADDRESS(12,3+18*0+(14),,,"J1 C - (South) Bishopthorpe Roa")&amp;":"&amp;ADDRESS(130,3+18*0+(14))),'J1 C - (South) Bishopthorpe Roa'!$A$12:$A$130,"&gt;="&amp;Diagram!$O90,'J1 C - (South) Bishopthorpe Roa'!$A$12:$A$130,"&lt;"&amp;Diagram!$P90)))</f>
        <v>0</v>
      </c>
      <c r="EC90" s="42">
        <f ca="1">IF(OR($I$10="",$O90="",$P90="",$J$41&lt;&gt;"Yes"),0,IF($K$10=0,SUMIFS(INDIRECT(ADDRESS(12,3+18*0+(6),,,"J1 D - South Bank Avenue")&amp;":"&amp;ADDRESS(130,3+18*0+(6))),'J1 D - South Bank Avenue'!$A$12:$A$130,"&gt;="&amp;Diagram!$O90,'J1 D - South Bank Avenue'!$A$12:$A$130,"&lt;"&amp;Diagram!$P90),SUMIFS(INDIRECT(ADDRESS(12,3+18*0+(14),,,"J1 D - South Bank Avenue")&amp;":"&amp;ADDRESS(130,3+18*0+(14))),'J1 D - South Bank Avenue'!$A$12:$A$130,"&gt;="&amp;Diagram!$O90,'J1 D - South Bank Avenue'!$A$12:$A$130,"&lt;"&amp;Diagram!$P90)))</f>
        <v>1</v>
      </c>
      <c r="ED90" s="42">
        <f ca="1">IF(OR($I$10="",$O90="",$P90="",$J$41&lt;&gt;"Yes"),0,IF($K$10=0,SUMIFS(INDIRECT(ADDRESS(12,3+18*1+(6),,,"J1 D - South Bank Avenue")&amp;":"&amp;ADDRESS(130,3+18*1+(6))),'J1 D - South Bank Avenue'!$A$12:$A$130,"&gt;="&amp;Diagram!$O90,'J1 D - South Bank Avenue'!$A$12:$A$130,"&lt;"&amp;Diagram!$P90),SUMIFS(INDIRECT(ADDRESS(12,3+18*1+(14),,,"J1 D - South Bank Avenue")&amp;":"&amp;ADDRESS(130,3+18*1+(14))),'J1 D - South Bank Avenue'!$A$12:$A$130,"&gt;="&amp;Diagram!$O90,'J1 D - South Bank Avenue'!$A$12:$A$130,"&lt;"&amp;Diagram!$P90)))</f>
        <v>0</v>
      </c>
      <c r="EE90" s="42">
        <f ca="1">IF(OR($I$10="",$O90="",$P90="",$J$41&lt;&gt;"Yes"),0,IF($K$10=0,SUMIFS(INDIRECT(ADDRESS(12,3+18*2+(6),,,"J1 D - South Bank Avenue")&amp;":"&amp;ADDRESS(130,3+18*2+(6))),'J1 D - South Bank Avenue'!$A$12:$A$130,"&gt;="&amp;Diagram!$O90,'J1 D - South Bank Avenue'!$A$12:$A$130,"&lt;"&amp;Diagram!$P90),SUMIFS(INDIRECT(ADDRESS(12,3+18*2+(14),,,"J1 D - South Bank Avenue")&amp;":"&amp;ADDRESS(130,3+18*2+(14))),'J1 D - South Bank Avenue'!$A$12:$A$130,"&gt;="&amp;Diagram!$O90,'J1 D - South Bank Avenue'!$A$12:$A$130,"&lt;"&amp;Diagram!$P90)))</f>
        <v>0</v>
      </c>
      <c r="EF90" s="42">
        <f ca="1">IF(OR($I$10="",$O90="",$P90="",$J$41&lt;&gt;"Yes"),0,IF($K$10=0,SUMIFS(INDIRECT(ADDRESS(12,3+18*3+(6),,,"J1 D - South Bank Avenue")&amp;":"&amp;ADDRESS(130,3+18*3+(6))),'J1 D - South Bank Avenue'!$A$12:$A$130,"&gt;="&amp;Diagram!$O90,'J1 D - South Bank Avenue'!$A$12:$A$130,"&lt;"&amp;Diagram!$P90),SUMIFS(INDIRECT(ADDRESS(12,3+18*3+(14),,,"J1 D - South Bank Avenue")&amp;":"&amp;ADDRESS(130,3+18*3+(14))),'J1 D - South Bank Avenue'!$A$12:$A$130,"&gt;="&amp;Diagram!$O90,'J1 D - South Bank Avenue'!$A$12:$A$130,"&lt;"&amp;Diagram!$P90)))</f>
        <v>0</v>
      </c>
      <c r="EG90" s="42">
        <f t="shared" ca="1" si="18"/>
        <v>0</v>
      </c>
      <c r="EH90" s="42">
        <f ca="1">IF(OR($I$10="",$O90="",$P90="",$J$42&lt;&gt;"Yes"),0,IF($K$10=0,SUMIFS(INDIRECT(ADDRESS(12,3+18*3+(7),,,"J1 A - (North) Bishopthorpe Roa")&amp;":"&amp;ADDRESS(130,3+18*3+(7))),'J1 A - (North) Bishopthorpe Roa'!$A$12:$A$130,"&gt;="&amp;Diagram!$O90,'J1 A - (North) Bishopthorpe Roa'!$A$12:$A$130,"&lt;"&amp;Diagram!$P90),SUMIFS(INDIRECT(ADDRESS(12,3+18*3+(15),,,"J1 A - (North) Bishopthorpe Roa")&amp;":"&amp;ADDRESS(130,3+18*3+(15))),'J1 A - (North) Bishopthorpe Roa'!$A$12:$A$130,"&gt;="&amp;Diagram!$O90,'J1 A - (North) Bishopthorpe Roa'!$A$12:$A$130,"&lt;"&amp;Diagram!$P90)))</f>
        <v>0</v>
      </c>
      <c r="EI90" s="42">
        <f ca="1">IF(OR($I$10="",$O90="",$P90="",$J$42&lt;&gt;"Yes"),0,IF($K$10=0,SUMIFS(INDIRECT(ADDRESS(12,3+18*0+(7),,,"J1 A - (North) Bishopthorpe Roa")&amp;":"&amp;ADDRESS(130,3+18*0+(7))),'J1 A - (North) Bishopthorpe Roa'!$A$12:$A$130,"&gt;="&amp;Diagram!$O90,'J1 A - (North) Bishopthorpe Roa'!$A$12:$A$130,"&lt;"&amp;Diagram!$P90),SUMIFS(INDIRECT(ADDRESS(12,3+18*0+(15),,,"J1 A - (North) Bishopthorpe Roa")&amp;":"&amp;ADDRESS(130,3+18*0+(15))),'J1 A - (North) Bishopthorpe Roa'!$A$12:$A$130,"&gt;="&amp;Diagram!$O90,'J1 A - (North) Bishopthorpe Roa'!$A$12:$A$130,"&lt;"&amp;Diagram!$P90)))</f>
        <v>0</v>
      </c>
      <c r="EJ90" s="42">
        <f ca="1">IF(OR($I$10="",$O90="",$P90="",$J$42&lt;&gt;"Yes"),0,IF($K$10=0,SUMIFS(INDIRECT(ADDRESS(12,3+18*1+(7),,,"J1 A - (North) Bishopthorpe Roa")&amp;":"&amp;ADDRESS(130,3+18*1+(7))),'J1 A - (North) Bishopthorpe Roa'!$A$12:$A$130,"&gt;="&amp;Diagram!$O90,'J1 A - (North) Bishopthorpe Roa'!$A$12:$A$130,"&lt;"&amp;Diagram!$P90),SUMIFS(INDIRECT(ADDRESS(12,3+18*1+(15),,,"J1 A - (North) Bishopthorpe Roa")&amp;":"&amp;ADDRESS(130,3+18*1+(15))),'J1 A - (North) Bishopthorpe Roa'!$A$12:$A$130,"&gt;="&amp;Diagram!$O90,'J1 A - (North) Bishopthorpe Roa'!$A$12:$A$130,"&lt;"&amp;Diagram!$P90)))</f>
        <v>0</v>
      </c>
      <c r="EK90" s="42">
        <f ca="1">IF(OR($I$10="",$O90="",$P90="",$J$42&lt;&gt;"Yes"),0,IF($K$10=0,SUMIFS(INDIRECT(ADDRESS(12,3+18*2+(7),,,"J1 A - (North) Bishopthorpe Roa")&amp;":"&amp;ADDRESS(130,3+18*2+(7))),'J1 A - (North) Bishopthorpe Roa'!$A$12:$A$130,"&gt;="&amp;Diagram!$O90,'J1 A - (North) Bishopthorpe Roa'!$A$12:$A$130,"&lt;"&amp;Diagram!$P90),SUMIFS(INDIRECT(ADDRESS(12,3+18*2+(15),,,"J1 A - (North) Bishopthorpe Roa")&amp;":"&amp;ADDRESS(130,3+18*2+(15))),'J1 A - (North) Bishopthorpe Roa'!$A$12:$A$130,"&gt;="&amp;Diagram!$O90,'J1 A - (North) Bishopthorpe Roa'!$A$12:$A$130,"&lt;"&amp;Diagram!$P90)))</f>
        <v>0</v>
      </c>
      <c r="EL90" s="42">
        <f ca="1">IF(OR($I$10="",$O90="",$P90="",$J$42&lt;&gt;"Yes"),0,IF($K$10=0,SUMIFS(INDIRECT(ADDRESS(12,3+18*2+(7),,,"J1 B - Butcher Terrace")&amp;":"&amp;ADDRESS(130,3+18*2+(7))),'J1 B - Butcher Terrace'!$A$12:$A$130,"&gt;="&amp;Diagram!$O90,'J1 B - Butcher Terrace'!$A$12:$A$130,"&lt;"&amp;Diagram!$P90),SUMIFS(INDIRECT(ADDRESS(12,3+18*2+(15),,,"J1 B - Butcher Terrace")&amp;":"&amp;ADDRESS(130,3+18*2+(15))),'J1 B - Butcher Terrace'!$A$12:$A$130,"&gt;="&amp;Diagram!$O90,'J1 B - Butcher Terrace'!$A$12:$A$130,"&lt;"&amp;Diagram!$P90)))</f>
        <v>0</v>
      </c>
      <c r="EM90" s="42">
        <f ca="1">IF(OR($I$10="",$O90="",$P90="",$J$42&lt;&gt;"Yes"),0,IF($K$10=0,SUMIFS(INDIRECT(ADDRESS(12,3+18*3+(7),,,"J1 B - Butcher Terrace")&amp;":"&amp;ADDRESS(130,3+18*3+(7))),'J1 B - Butcher Terrace'!$A$12:$A$130,"&gt;="&amp;Diagram!$O90,'J1 B - Butcher Terrace'!$A$12:$A$130,"&lt;"&amp;Diagram!$P90),SUMIFS(INDIRECT(ADDRESS(12,3+18*3+(15),,,"J1 B - Butcher Terrace")&amp;":"&amp;ADDRESS(130,3+18*3+(15))),'J1 B - Butcher Terrace'!$A$12:$A$130,"&gt;="&amp;Diagram!$O90,'J1 B - Butcher Terrace'!$A$12:$A$130,"&lt;"&amp;Diagram!$P90)))</f>
        <v>0</v>
      </c>
      <c r="EN90" s="42">
        <f ca="1">IF(OR($I$10="",$O90="",$P90="",$J$42&lt;&gt;"Yes"),0,IF($K$10=0,SUMIFS(INDIRECT(ADDRESS(12,3+18*0+(7),,,"J1 B - Butcher Terrace")&amp;":"&amp;ADDRESS(130,3+18*0+(7))),'J1 B - Butcher Terrace'!$A$12:$A$130,"&gt;="&amp;Diagram!$O90,'J1 B - Butcher Terrace'!$A$12:$A$130,"&lt;"&amp;Diagram!$P90),SUMIFS(INDIRECT(ADDRESS(12,3+18*0+(15),,,"J1 B - Butcher Terrace")&amp;":"&amp;ADDRESS(130,3+18*0+(15))),'J1 B - Butcher Terrace'!$A$12:$A$130,"&gt;="&amp;Diagram!$O90,'J1 B - Butcher Terrace'!$A$12:$A$130,"&lt;"&amp;Diagram!$P90)))</f>
        <v>0</v>
      </c>
      <c r="EO90" s="42">
        <f ca="1">IF(OR($I$10="",$O90="",$P90="",$J$42&lt;&gt;"Yes"),0,IF($K$10=0,SUMIFS(INDIRECT(ADDRESS(12,3+18*1+(7),,,"J1 B - Butcher Terrace")&amp;":"&amp;ADDRESS(130,3+18*1+(7))),'J1 B - Butcher Terrace'!$A$12:$A$130,"&gt;="&amp;Diagram!$O90,'J1 B - Butcher Terrace'!$A$12:$A$130,"&lt;"&amp;Diagram!$P90),SUMIFS(INDIRECT(ADDRESS(12,3+18*1+(15),,,"J1 B - Butcher Terrace")&amp;":"&amp;ADDRESS(130,3+18*1+(15))),'J1 B - Butcher Terrace'!$A$12:$A$130,"&gt;="&amp;Diagram!$O90,'J1 B - Butcher Terrace'!$A$12:$A$130,"&lt;"&amp;Diagram!$P90)))</f>
        <v>0</v>
      </c>
      <c r="EP90" s="42">
        <f ca="1">IF(OR($I$10="",$O90="",$P90="",$J$42&lt;&gt;"Yes"),0,IF($K$10=0,SUMIFS(INDIRECT(ADDRESS(12,3+18*1+(7),,,"J1 C - (South) Bishopthorpe Roa")&amp;":"&amp;ADDRESS(130,3+18*1+(7))),'J1 C - (South) Bishopthorpe Roa'!$A$12:$A$130,"&gt;="&amp;Diagram!$O90,'J1 C - (South) Bishopthorpe Roa'!$A$12:$A$130,"&lt;"&amp;Diagram!$P90),SUMIFS(INDIRECT(ADDRESS(12,3+18*1+(15),,,"J1 C - (South) Bishopthorpe Roa")&amp;":"&amp;ADDRESS(130,3+18*1+(15))),'J1 C - (South) Bishopthorpe Roa'!$A$12:$A$130,"&gt;="&amp;Diagram!$O90,'J1 C - (South) Bishopthorpe Roa'!$A$12:$A$130,"&lt;"&amp;Diagram!$P90)))</f>
        <v>0</v>
      </c>
      <c r="EQ90" s="42">
        <f ca="1">IF(OR($I$10="",$O90="",$P90="",$J$42&lt;&gt;"Yes"),0,IF($K$10=0,SUMIFS(INDIRECT(ADDRESS(12,3+18*2+(7),,,"J1 C - (South) Bishopthorpe Roa")&amp;":"&amp;ADDRESS(130,3+18*2+(7))),'J1 C - (South) Bishopthorpe Roa'!$A$12:$A$130,"&gt;="&amp;Diagram!$O90,'J1 C - (South) Bishopthorpe Roa'!$A$12:$A$130,"&lt;"&amp;Diagram!$P90),SUMIFS(INDIRECT(ADDRESS(12,3+18*2+(15),,,"J1 C - (South) Bishopthorpe Roa")&amp;":"&amp;ADDRESS(130,3+18*2+(15))),'J1 C - (South) Bishopthorpe Roa'!$A$12:$A$130,"&gt;="&amp;Diagram!$O90,'J1 C - (South) Bishopthorpe Roa'!$A$12:$A$130,"&lt;"&amp;Diagram!$P90)))</f>
        <v>0</v>
      </c>
      <c r="ER90" s="42">
        <f ca="1">IF(OR($I$10="",$O90="",$P90="",$J$42&lt;&gt;"Yes"),0,IF($K$10=0,SUMIFS(INDIRECT(ADDRESS(12,3+18*3+(7),,,"J1 C - (South) Bishopthorpe Roa")&amp;":"&amp;ADDRESS(130,3+18*3+(7))),'J1 C - (South) Bishopthorpe Roa'!$A$12:$A$130,"&gt;="&amp;Diagram!$O90,'J1 C - (South) Bishopthorpe Roa'!$A$12:$A$130,"&lt;"&amp;Diagram!$P90),SUMIFS(INDIRECT(ADDRESS(12,3+18*3+(15),,,"J1 C - (South) Bishopthorpe Roa")&amp;":"&amp;ADDRESS(130,3+18*3+(15))),'J1 C - (South) Bishopthorpe Roa'!$A$12:$A$130,"&gt;="&amp;Diagram!$O90,'J1 C - (South) Bishopthorpe Roa'!$A$12:$A$130,"&lt;"&amp;Diagram!$P90)))</f>
        <v>0</v>
      </c>
      <c r="ES90" s="42">
        <f ca="1">IF(OR($I$10="",$O90="",$P90="",$J$42&lt;&gt;"Yes"),0,IF($K$10=0,SUMIFS(INDIRECT(ADDRESS(12,3+18*0+(7),,,"J1 C - (South) Bishopthorpe Roa")&amp;":"&amp;ADDRESS(130,3+18*0+(7))),'J1 C - (South) Bishopthorpe Roa'!$A$12:$A$130,"&gt;="&amp;Diagram!$O90,'J1 C - (South) Bishopthorpe Roa'!$A$12:$A$130,"&lt;"&amp;Diagram!$P90),SUMIFS(INDIRECT(ADDRESS(12,3+18*0+(15),,,"J1 C - (South) Bishopthorpe Roa")&amp;":"&amp;ADDRESS(130,3+18*0+(15))),'J1 C - (South) Bishopthorpe Roa'!$A$12:$A$130,"&gt;="&amp;Diagram!$O90,'J1 C - (South) Bishopthorpe Roa'!$A$12:$A$130,"&lt;"&amp;Diagram!$P90)))</f>
        <v>0</v>
      </c>
      <c r="ET90" s="42">
        <f ca="1">IF(OR($I$10="",$O90="",$P90="",$J$42&lt;&gt;"Yes"),0,IF($K$10=0,SUMIFS(INDIRECT(ADDRESS(12,3+18*0+(7),,,"J1 D - South Bank Avenue")&amp;":"&amp;ADDRESS(130,3+18*0+(7))),'J1 D - South Bank Avenue'!$A$12:$A$130,"&gt;="&amp;Diagram!$O90,'J1 D - South Bank Avenue'!$A$12:$A$130,"&lt;"&amp;Diagram!$P90),SUMIFS(INDIRECT(ADDRESS(12,3+18*0+(15),,,"J1 D - South Bank Avenue")&amp;":"&amp;ADDRESS(130,3+18*0+(15))),'J1 D - South Bank Avenue'!$A$12:$A$130,"&gt;="&amp;Diagram!$O90,'J1 D - South Bank Avenue'!$A$12:$A$130,"&lt;"&amp;Diagram!$P90)))</f>
        <v>0</v>
      </c>
      <c r="EU90" s="42">
        <f ca="1">IF(OR($I$10="",$O90="",$P90="",$J$42&lt;&gt;"Yes"),0,IF($K$10=0,SUMIFS(INDIRECT(ADDRESS(12,3+18*1+(7),,,"J1 D - South Bank Avenue")&amp;":"&amp;ADDRESS(130,3+18*1+(7))),'J1 D - South Bank Avenue'!$A$12:$A$130,"&gt;="&amp;Diagram!$O90,'J1 D - South Bank Avenue'!$A$12:$A$130,"&lt;"&amp;Diagram!$P90),SUMIFS(INDIRECT(ADDRESS(12,3+18*1+(15),,,"J1 D - South Bank Avenue")&amp;":"&amp;ADDRESS(130,3+18*1+(15))),'J1 D - South Bank Avenue'!$A$12:$A$130,"&gt;="&amp;Diagram!$O90,'J1 D - South Bank Avenue'!$A$12:$A$130,"&lt;"&amp;Diagram!$P90)))</f>
        <v>0</v>
      </c>
      <c r="EV90" s="42">
        <f ca="1">IF(OR($I$10="",$O90="",$P90="",$J$42&lt;&gt;"Yes"),0,IF($K$10=0,SUMIFS(INDIRECT(ADDRESS(12,3+18*2+(7),,,"J1 D - South Bank Avenue")&amp;":"&amp;ADDRESS(130,3+18*2+(7))),'J1 D - South Bank Avenue'!$A$12:$A$130,"&gt;="&amp;Diagram!$O90,'J1 D - South Bank Avenue'!$A$12:$A$130,"&lt;"&amp;Diagram!$P90),SUMIFS(INDIRECT(ADDRESS(12,3+18*2+(15),,,"J1 D - South Bank Avenue")&amp;":"&amp;ADDRESS(130,3+18*2+(15))),'J1 D - South Bank Avenue'!$A$12:$A$130,"&gt;="&amp;Diagram!$O90,'J1 D - South Bank Avenue'!$A$12:$A$130,"&lt;"&amp;Diagram!$P90)))</f>
        <v>0</v>
      </c>
      <c r="EW90" s="42">
        <f ca="1">IF(OR($I$10="",$O90="",$P90="",$J$42&lt;&gt;"Yes"),0,IF($K$10=0,SUMIFS(INDIRECT(ADDRESS(12,3+18*3+(7),,,"J1 D - South Bank Avenue")&amp;":"&amp;ADDRESS(130,3+18*3+(7))),'J1 D - South Bank Avenue'!$A$12:$A$130,"&gt;="&amp;Diagram!$O90,'J1 D - South Bank Avenue'!$A$12:$A$130,"&lt;"&amp;Diagram!$P90),SUMIFS(INDIRECT(ADDRESS(12,3+18*3+(15),,,"J1 D - South Bank Avenue")&amp;":"&amp;ADDRESS(130,3+18*3+(15))),'J1 D - South Bank Avenue'!$A$12:$A$130,"&gt;="&amp;Diagram!$O90,'J1 D - South Bank Avenue'!$A$12:$A$130,"&lt;"&amp;Diagram!$P90)))</f>
        <v>0</v>
      </c>
    </row>
    <row r="91" spans="1:153">
      <c r="A91" s="1">
        <v>44395.9375</v>
      </c>
      <c r="B91" s="1">
        <v>44395.947916666701</v>
      </c>
      <c r="O91" s="3">
        <v>44395.9375</v>
      </c>
      <c r="P91" s="3">
        <v>44395.979166666701</v>
      </c>
      <c r="Q91" s="42">
        <f t="shared" ca="1" si="10"/>
        <v>188</v>
      </c>
      <c r="R91" s="42">
        <f t="shared" ca="1" si="11"/>
        <v>148</v>
      </c>
      <c r="S91" s="42">
        <f ca="1">IF(OR($I$10="",$O91="",$P91="",$J$35&lt;&gt;"Yes"),0,IF($K$10=0,SUMIFS(INDIRECT(ADDRESS(12,3+18*3+(0),,,"J1 A - (North) Bishopthorpe Roa")&amp;":"&amp;ADDRESS(130,3+18*3+(0))),'J1 A - (North) Bishopthorpe Roa'!$A$12:$A$130,"&gt;="&amp;Diagram!$O91,'J1 A - (North) Bishopthorpe Roa'!$A$12:$A$130,"&lt;"&amp;Diagram!$P91),SUMIFS(INDIRECT(ADDRESS(12,3+18*3+(8),,,"J1 A - (North) Bishopthorpe Roa")&amp;":"&amp;ADDRESS(130,3+18*3+(8))),'J1 A - (North) Bishopthorpe Roa'!$A$12:$A$130,"&gt;="&amp;Diagram!$O91,'J1 A - (North) Bishopthorpe Roa'!$A$12:$A$130,"&lt;"&amp;Diagram!$P91)))</f>
        <v>1</v>
      </c>
      <c r="T91" s="42">
        <f ca="1">IF(OR($I$10="",$O91="",$P91="",$J$35&lt;&gt;"Yes"),0,IF($K$10=0,SUMIFS(INDIRECT(ADDRESS(12,3+18*0+(0),,,"J1 A - (North) Bishopthorpe Roa")&amp;":"&amp;ADDRESS(130,3+18*0+(0))),'J1 A - (North) Bishopthorpe Roa'!$A$12:$A$130,"&gt;="&amp;Diagram!$O91,'J1 A - (North) Bishopthorpe Roa'!$A$12:$A$130,"&lt;"&amp;Diagram!$P91),SUMIFS(INDIRECT(ADDRESS(12,3+18*0+(8),,,"J1 A - (North) Bishopthorpe Roa")&amp;":"&amp;ADDRESS(130,3+18*0+(8))),'J1 A - (North) Bishopthorpe Roa'!$A$12:$A$130,"&gt;="&amp;Diagram!$O91,'J1 A - (North) Bishopthorpe Roa'!$A$12:$A$130,"&lt;"&amp;Diagram!$P91)))</f>
        <v>10</v>
      </c>
      <c r="U91" s="42">
        <f ca="1">IF(OR($I$10="",$O91="",$P91="",$J$35&lt;&gt;"Yes"),0,IF($K$10=0,SUMIFS(INDIRECT(ADDRESS(12,3+18*1+(0),,,"J1 A - (North) Bishopthorpe Roa")&amp;":"&amp;ADDRESS(130,3+18*1+(0))),'J1 A - (North) Bishopthorpe Roa'!$A$12:$A$130,"&gt;="&amp;Diagram!$O91,'J1 A - (North) Bishopthorpe Roa'!$A$12:$A$130,"&lt;"&amp;Diagram!$P91),SUMIFS(INDIRECT(ADDRESS(12,3+18*1+(8),,,"J1 A - (North) Bishopthorpe Roa")&amp;":"&amp;ADDRESS(130,3+18*1+(8))),'J1 A - (North) Bishopthorpe Roa'!$A$12:$A$130,"&gt;="&amp;Diagram!$O91,'J1 A - (North) Bishopthorpe Roa'!$A$12:$A$130,"&lt;"&amp;Diagram!$P91)))</f>
        <v>55</v>
      </c>
      <c r="V91" s="42">
        <f ca="1">IF(OR($I$10="",$O91="",$P91="",$J$35&lt;&gt;"Yes"),0,IF($K$10=0,SUMIFS(INDIRECT(ADDRESS(12,3+18*2+(0),,,"J1 A - (North) Bishopthorpe Roa")&amp;":"&amp;ADDRESS(130,3+18*2+(0))),'J1 A - (North) Bishopthorpe Roa'!$A$12:$A$130,"&gt;="&amp;Diagram!$O91,'J1 A - (North) Bishopthorpe Roa'!$A$12:$A$130,"&lt;"&amp;Diagram!$P91),SUMIFS(INDIRECT(ADDRESS(12,3+18*2+(8),,,"J1 A - (North) Bishopthorpe Roa")&amp;":"&amp;ADDRESS(130,3+18*2+(8))),'J1 A - (North) Bishopthorpe Roa'!$A$12:$A$130,"&gt;="&amp;Diagram!$O91,'J1 A - (North) Bishopthorpe Roa'!$A$12:$A$130,"&lt;"&amp;Diagram!$P91)))</f>
        <v>10</v>
      </c>
      <c r="W91" s="42">
        <f ca="1">IF(OR($I$10="",$O91="",$P91="",$J$35&lt;&gt;"Yes"),0,IF($K$10=0,SUMIFS(INDIRECT(ADDRESS(12,3+18*2+(0),,,"J1 B - Butcher Terrace")&amp;":"&amp;ADDRESS(130,3+18*2+(0))),'J1 B - Butcher Terrace'!$A$12:$A$130,"&gt;="&amp;Diagram!$O91,'J1 B - Butcher Terrace'!$A$12:$A$130,"&lt;"&amp;Diagram!$P91),SUMIFS(INDIRECT(ADDRESS(12,3+18*2+(8),,,"J1 B - Butcher Terrace")&amp;":"&amp;ADDRESS(130,3+18*2+(8))),'J1 B - Butcher Terrace'!$A$12:$A$130,"&gt;="&amp;Diagram!$O91,'J1 B - Butcher Terrace'!$A$12:$A$130,"&lt;"&amp;Diagram!$P91)))</f>
        <v>8</v>
      </c>
      <c r="X91" s="42">
        <f ca="1">IF(OR($I$10="",$O91="",$P91="",$J$35&lt;&gt;"Yes"),0,IF($K$10=0,SUMIFS(INDIRECT(ADDRESS(12,3+18*3+(0),,,"J1 B - Butcher Terrace")&amp;":"&amp;ADDRESS(130,3+18*3+(0))),'J1 B - Butcher Terrace'!$A$12:$A$130,"&gt;="&amp;Diagram!$O91,'J1 B - Butcher Terrace'!$A$12:$A$130,"&lt;"&amp;Diagram!$P91),SUMIFS(INDIRECT(ADDRESS(12,3+18*3+(8),,,"J1 B - Butcher Terrace")&amp;":"&amp;ADDRESS(130,3+18*3+(8))),'J1 B - Butcher Terrace'!$A$12:$A$130,"&gt;="&amp;Diagram!$O91,'J1 B - Butcher Terrace'!$A$12:$A$130,"&lt;"&amp;Diagram!$P91)))</f>
        <v>0</v>
      </c>
      <c r="Y91" s="42">
        <f ca="1">IF(OR($I$10="",$O91="",$P91="",$J$35&lt;&gt;"Yes"),0,IF($K$10=0,SUMIFS(INDIRECT(ADDRESS(12,3+18*0+(0),,,"J1 B - Butcher Terrace")&amp;":"&amp;ADDRESS(130,3+18*0+(0))),'J1 B - Butcher Terrace'!$A$12:$A$130,"&gt;="&amp;Diagram!$O91,'J1 B - Butcher Terrace'!$A$12:$A$130,"&lt;"&amp;Diagram!$P91),SUMIFS(INDIRECT(ADDRESS(12,3+18*0+(8),,,"J1 B - Butcher Terrace")&amp;":"&amp;ADDRESS(130,3+18*0+(8))),'J1 B - Butcher Terrace'!$A$12:$A$130,"&gt;="&amp;Diagram!$O91,'J1 B - Butcher Terrace'!$A$12:$A$130,"&lt;"&amp;Diagram!$P91)))</f>
        <v>0</v>
      </c>
      <c r="Z91" s="42">
        <f ca="1">IF(OR($I$10="",$O91="",$P91="",$J$35&lt;&gt;"Yes"),0,IF($K$10=0,SUMIFS(INDIRECT(ADDRESS(12,3+18*1+(0),,,"J1 B - Butcher Terrace")&amp;":"&amp;ADDRESS(130,3+18*1+(0))),'J1 B - Butcher Terrace'!$A$12:$A$130,"&gt;="&amp;Diagram!$O91,'J1 B - Butcher Terrace'!$A$12:$A$130,"&lt;"&amp;Diagram!$P91),SUMIFS(INDIRECT(ADDRESS(12,3+18*1+(8),,,"J1 B - Butcher Terrace")&amp;":"&amp;ADDRESS(130,3+18*1+(8))),'J1 B - Butcher Terrace'!$A$12:$A$130,"&gt;="&amp;Diagram!$O91,'J1 B - Butcher Terrace'!$A$12:$A$130,"&lt;"&amp;Diagram!$P91)))</f>
        <v>0</v>
      </c>
      <c r="AA91" s="42">
        <f ca="1">IF(OR($I$10="",$O91="",$P91="",$J$35&lt;&gt;"Yes"),0,IF($K$10=0,SUMIFS(INDIRECT(ADDRESS(12,3+18*1+(0),,,"J1 C - (South) Bishopthorpe Roa")&amp;":"&amp;ADDRESS(130,3+18*1+(0))),'J1 C - (South) Bishopthorpe Roa'!$A$12:$A$130,"&gt;="&amp;Diagram!$O91,'J1 C - (South) Bishopthorpe Roa'!$A$12:$A$130,"&lt;"&amp;Diagram!$P91),SUMIFS(INDIRECT(ADDRESS(12,3+18*1+(8),,,"J1 C - (South) Bishopthorpe Roa")&amp;":"&amp;ADDRESS(130,3+18*1+(8))),'J1 C - (South) Bishopthorpe Roa'!$A$12:$A$130,"&gt;="&amp;Diagram!$O91,'J1 C - (South) Bishopthorpe Roa'!$A$12:$A$130,"&lt;"&amp;Diagram!$P91)))</f>
        <v>56</v>
      </c>
      <c r="AB91" s="42">
        <f ca="1">IF(OR($I$10="",$O91="",$P91="",$J$35&lt;&gt;"Yes"),0,IF($K$10=0,SUMIFS(INDIRECT(ADDRESS(12,3+18*2+(0),,,"J1 C - (South) Bishopthorpe Roa")&amp;":"&amp;ADDRESS(130,3+18*2+(0))),'J1 C - (South) Bishopthorpe Roa'!$A$12:$A$130,"&gt;="&amp;Diagram!$O91,'J1 C - (South) Bishopthorpe Roa'!$A$12:$A$130,"&lt;"&amp;Diagram!$P91),SUMIFS(INDIRECT(ADDRESS(12,3+18*2+(8),,,"J1 C - (South) Bishopthorpe Roa")&amp;":"&amp;ADDRESS(130,3+18*2+(8))),'J1 C - (South) Bishopthorpe Roa'!$A$12:$A$130,"&gt;="&amp;Diagram!$O91,'J1 C - (South) Bishopthorpe Roa'!$A$12:$A$130,"&lt;"&amp;Diagram!$P91)))</f>
        <v>1</v>
      </c>
      <c r="AC91" s="42">
        <f ca="1">IF(OR($I$10="",$O91="",$P91="",$J$35&lt;&gt;"Yes"),0,IF($K$10=0,SUMIFS(INDIRECT(ADDRESS(12,3+18*3+(0),,,"J1 C - (South) Bishopthorpe Roa")&amp;":"&amp;ADDRESS(130,3+18*3+(0))),'J1 C - (South) Bishopthorpe Roa'!$A$12:$A$130,"&gt;="&amp;Diagram!$O91,'J1 C - (South) Bishopthorpe Roa'!$A$12:$A$130,"&lt;"&amp;Diagram!$P91),SUMIFS(INDIRECT(ADDRESS(12,3+18*3+(8),,,"J1 C - (South) Bishopthorpe Roa")&amp;":"&amp;ADDRESS(130,3+18*3+(8))),'J1 C - (South) Bishopthorpe Roa'!$A$12:$A$130,"&gt;="&amp;Diagram!$O91,'J1 C - (South) Bishopthorpe Roa'!$A$12:$A$130,"&lt;"&amp;Diagram!$P91)))</f>
        <v>0</v>
      </c>
      <c r="AD91" s="42">
        <f ca="1">IF(OR($I$10="",$O91="",$P91="",$J$35&lt;&gt;"Yes"),0,IF($K$10=0,SUMIFS(INDIRECT(ADDRESS(12,3+18*0+(0),,,"J1 C - (South) Bishopthorpe Roa")&amp;":"&amp;ADDRESS(130,3+18*0+(0))),'J1 C - (South) Bishopthorpe Roa'!$A$12:$A$130,"&gt;="&amp;Diagram!$O91,'J1 C - (South) Bishopthorpe Roa'!$A$12:$A$130,"&lt;"&amp;Diagram!$P91),SUMIFS(INDIRECT(ADDRESS(12,3+18*0+(8),,,"J1 C - (South) Bishopthorpe Roa")&amp;":"&amp;ADDRESS(130,3+18*0+(8))),'J1 C - (South) Bishopthorpe Roa'!$A$12:$A$130,"&gt;="&amp;Diagram!$O91,'J1 C - (South) Bishopthorpe Roa'!$A$12:$A$130,"&lt;"&amp;Diagram!$P91)))</f>
        <v>0</v>
      </c>
      <c r="AE91" s="42">
        <f ca="1">IF(OR($I$10="",$O91="",$P91="",$J$35&lt;&gt;"Yes"),0,IF($K$10=0,SUMIFS(INDIRECT(ADDRESS(12,3+18*0+(0),,,"J1 D - South Bank Avenue")&amp;":"&amp;ADDRESS(130,3+18*0+(0))),'J1 D - South Bank Avenue'!$A$12:$A$130,"&gt;="&amp;Diagram!$O91,'J1 D - South Bank Avenue'!$A$12:$A$130,"&lt;"&amp;Diagram!$P91),SUMIFS(INDIRECT(ADDRESS(12,3+18*0+(8),,,"J1 D - South Bank Avenue")&amp;":"&amp;ADDRESS(130,3+18*0+(8))),'J1 D - South Bank Avenue'!$A$12:$A$130,"&gt;="&amp;Diagram!$O91,'J1 D - South Bank Avenue'!$A$12:$A$130,"&lt;"&amp;Diagram!$P91)))</f>
        <v>5</v>
      </c>
      <c r="AF91" s="42">
        <f ca="1">IF(OR($I$10="",$O91="",$P91="",$J$35&lt;&gt;"Yes"),0,IF($K$10=0,SUMIFS(INDIRECT(ADDRESS(12,3+18*1+(0),,,"J1 D - South Bank Avenue")&amp;":"&amp;ADDRESS(130,3+18*1+(0))),'J1 D - South Bank Avenue'!$A$12:$A$130,"&gt;="&amp;Diagram!$O91,'J1 D - South Bank Avenue'!$A$12:$A$130,"&lt;"&amp;Diagram!$P91),SUMIFS(INDIRECT(ADDRESS(12,3+18*1+(8),,,"J1 D - South Bank Avenue")&amp;":"&amp;ADDRESS(130,3+18*1+(8))),'J1 D - South Bank Avenue'!$A$12:$A$130,"&gt;="&amp;Diagram!$O91,'J1 D - South Bank Avenue'!$A$12:$A$130,"&lt;"&amp;Diagram!$P91)))</f>
        <v>0</v>
      </c>
      <c r="AG91" s="42">
        <f ca="1">IF(OR($I$10="",$O91="",$P91="",$J$35&lt;&gt;"Yes"),0,IF($K$10=0,SUMIFS(INDIRECT(ADDRESS(12,3+18*2+(0),,,"J1 D - South Bank Avenue")&amp;":"&amp;ADDRESS(130,3+18*2+(0))),'J1 D - South Bank Avenue'!$A$12:$A$130,"&gt;="&amp;Diagram!$O91,'J1 D - South Bank Avenue'!$A$12:$A$130,"&lt;"&amp;Diagram!$P91),SUMIFS(INDIRECT(ADDRESS(12,3+18*2+(8),,,"J1 D - South Bank Avenue")&amp;":"&amp;ADDRESS(130,3+18*2+(8))),'J1 D - South Bank Avenue'!$A$12:$A$130,"&gt;="&amp;Diagram!$O91,'J1 D - South Bank Avenue'!$A$12:$A$130,"&lt;"&amp;Diagram!$P91)))</f>
        <v>2</v>
      </c>
      <c r="AH91" s="42">
        <f ca="1">IF(OR($I$10="",$O91="",$P91="",$J$35&lt;&gt;"Yes"),0,IF($K$10=0,SUMIFS(INDIRECT(ADDRESS(12,3+18*3+(0),,,"J1 D - South Bank Avenue")&amp;":"&amp;ADDRESS(130,3+18*3+(0))),'J1 D - South Bank Avenue'!$A$12:$A$130,"&gt;="&amp;Diagram!$O91,'J1 D - South Bank Avenue'!$A$12:$A$130,"&lt;"&amp;Diagram!$P91),SUMIFS(INDIRECT(ADDRESS(12,3+18*3+(8),,,"J1 D - South Bank Avenue")&amp;":"&amp;ADDRESS(130,3+18*3+(8))),'J1 D - South Bank Avenue'!$A$12:$A$130,"&gt;="&amp;Diagram!$O91,'J1 D - South Bank Avenue'!$A$12:$A$130,"&lt;"&amp;Diagram!$P91)))</f>
        <v>0</v>
      </c>
      <c r="AI91" s="42">
        <f t="shared" ca="1" si="12"/>
        <v>6</v>
      </c>
      <c r="AJ91" s="42">
        <f ca="1">IF(OR($I$10="",$O91="",$P91="",$J$36&lt;&gt;"Yes"),0,IF($K$10=0,SUMIFS(INDIRECT(ADDRESS(12,3+18*3+(1),,,"J1 A - (North) Bishopthorpe Roa")&amp;":"&amp;ADDRESS(130,3+18*3+(1))),'J1 A - (North) Bishopthorpe Roa'!$A$12:$A$130,"&gt;="&amp;Diagram!$O91,'J1 A - (North) Bishopthorpe Roa'!$A$12:$A$130,"&lt;"&amp;Diagram!$P91),SUMIFS(INDIRECT(ADDRESS(12,3+18*3+(9),,,"J1 A - (North) Bishopthorpe Roa")&amp;":"&amp;ADDRESS(130,3+18*3+(9))),'J1 A - (North) Bishopthorpe Roa'!$A$12:$A$130,"&gt;="&amp;Diagram!$O91,'J1 A - (North) Bishopthorpe Roa'!$A$12:$A$130,"&lt;"&amp;Diagram!$P91)))</f>
        <v>0</v>
      </c>
      <c r="AK91" s="42">
        <f ca="1">IF(OR($I$10="",$O91="",$P91="",$J$36&lt;&gt;"Yes"),0,IF($K$10=0,SUMIFS(INDIRECT(ADDRESS(12,3+18*0+(1),,,"J1 A - (North) Bishopthorpe Roa")&amp;":"&amp;ADDRESS(130,3+18*0+(1))),'J1 A - (North) Bishopthorpe Roa'!$A$12:$A$130,"&gt;="&amp;Diagram!$O91,'J1 A - (North) Bishopthorpe Roa'!$A$12:$A$130,"&lt;"&amp;Diagram!$P91),SUMIFS(INDIRECT(ADDRESS(12,3+18*0+(9),,,"J1 A - (North) Bishopthorpe Roa")&amp;":"&amp;ADDRESS(130,3+18*0+(9))),'J1 A - (North) Bishopthorpe Roa'!$A$12:$A$130,"&gt;="&amp;Diagram!$O91,'J1 A - (North) Bishopthorpe Roa'!$A$12:$A$130,"&lt;"&amp;Diagram!$P91)))</f>
        <v>0</v>
      </c>
      <c r="AL91" s="42">
        <f ca="1">IF(OR($I$10="",$O91="",$P91="",$J$36&lt;&gt;"Yes"),0,IF($K$10=0,SUMIFS(INDIRECT(ADDRESS(12,3+18*1+(1),,,"J1 A - (North) Bishopthorpe Roa")&amp;":"&amp;ADDRESS(130,3+18*1+(1))),'J1 A - (North) Bishopthorpe Roa'!$A$12:$A$130,"&gt;="&amp;Diagram!$O91,'J1 A - (North) Bishopthorpe Roa'!$A$12:$A$130,"&lt;"&amp;Diagram!$P91),SUMIFS(INDIRECT(ADDRESS(12,3+18*1+(9),,,"J1 A - (North) Bishopthorpe Roa")&amp;":"&amp;ADDRESS(130,3+18*1+(9))),'J1 A - (North) Bishopthorpe Roa'!$A$12:$A$130,"&gt;="&amp;Diagram!$O91,'J1 A - (North) Bishopthorpe Roa'!$A$12:$A$130,"&lt;"&amp;Diagram!$P91)))</f>
        <v>3</v>
      </c>
      <c r="AM91" s="42">
        <f ca="1">IF(OR($I$10="",$O91="",$P91="",$J$36&lt;&gt;"Yes"),0,IF($K$10=0,SUMIFS(INDIRECT(ADDRESS(12,3+18*2+(1),,,"J1 A - (North) Bishopthorpe Roa")&amp;":"&amp;ADDRESS(130,3+18*2+(1))),'J1 A - (North) Bishopthorpe Roa'!$A$12:$A$130,"&gt;="&amp;Diagram!$O91,'J1 A - (North) Bishopthorpe Roa'!$A$12:$A$130,"&lt;"&amp;Diagram!$P91),SUMIFS(INDIRECT(ADDRESS(12,3+18*2+(9),,,"J1 A - (North) Bishopthorpe Roa")&amp;":"&amp;ADDRESS(130,3+18*2+(9))),'J1 A - (North) Bishopthorpe Roa'!$A$12:$A$130,"&gt;="&amp;Diagram!$O91,'J1 A - (North) Bishopthorpe Roa'!$A$12:$A$130,"&lt;"&amp;Diagram!$P91)))</f>
        <v>0</v>
      </c>
      <c r="AN91" s="42">
        <f ca="1">IF(OR($I$10="",$O91="",$P91="",$J$36&lt;&gt;"Yes"),0,IF($K$10=0,SUMIFS(INDIRECT(ADDRESS(12,3+18*2+(1),,,"J1 B - Butcher Terrace")&amp;":"&amp;ADDRESS(130,3+18*2+(1))),'J1 B - Butcher Terrace'!$A$12:$A$130,"&gt;="&amp;Diagram!$O91,'J1 B - Butcher Terrace'!$A$12:$A$130,"&lt;"&amp;Diagram!$P91),SUMIFS(INDIRECT(ADDRESS(12,3+18*2+(9),,,"J1 B - Butcher Terrace")&amp;":"&amp;ADDRESS(130,3+18*2+(9))),'J1 B - Butcher Terrace'!$A$12:$A$130,"&gt;="&amp;Diagram!$O91,'J1 B - Butcher Terrace'!$A$12:$A$130,"&lt;"&amp;Diagram!$P91)))</f>
        <v>0</v>
      </c>
      <c r="AO91" s="42">
        <f ca="1">IF(OR($I$10="",$O91="",$P91="",$J$36&lt;&gt;"Yes"),0,IF($K$10=0,SUMIFS(INDIRECT(ADDRESS(12,3+18*3+(1),,,"J1 B - Butcher Terrace")&amp;":"&amp;ADDRESS(130,3+18*3+(1))),'J1 B - Butcher Terrace'!$A$12:$A$130,"&gt;="&amp;Diagram!$O91,'J1 B - Butcher Terrace'!$A$12:$A$130,"&lt;"&amp;Diagram!$P91),SUMIFS(INDIRECT(ADDRESS(12,3+18*3+(9),,,"J1 B - Butcher Terrace")&amp;":"&amp;ADDRESS(130,3+18*3+(9))),'J1 B - Butcher Terrace'!$A$12:$A$130,"&gt;="&amp;Diagram!$O91,'J1 B - Butcher Terrace'!$A$12:$A$130,"&lt;"&amp;Diagram!$P91)))</f>
        <v>0</v>
      </c>
      <c r="AP91" s="42">
        <f ca="1">IF(OR($I$10="",$O91="",$P91="",$J$36&lt;&gt;"Yes"),0,IF($K$10=0,SUMIFS(INDIRECT(ADDRESS(12,3+18*0+(1),,,"J1 B - Butcher Terrace")&amp;":"&amp;ADDRESS(130,3+18*0+(1))),'J1 B - Butcher Terrace'!$A$12:$A$130,"&gt;="&amp;Diagram!$O91,'J1 B - Butcher Terrace'!$A$12:$A$130,"&lt;"&amp;Diagram!$P91),SUMIFS(INDIRECT(ADDRESS(12,3+18*0+(9),,,"J1 B - Butcher Terrace")&amp;":"&amp;ADDRESS(130,3+18*0+(9))),'J1 B - Butcher Terrace'!$A$12:$A$130,"&gt;="&amp;Diagram!$O91,'J1 B - Butcher Terrace'!$A$12:$A$130,"&lt;"&amp;Diagram!$P91)))</f>
        <v>1</v>
      </c>
      <c r="AQ91" s="42">
        <f ca="1">IF(OR($I$10="",$O91="",$P91="",$J$36&lt;&gt;"Yes"),0,IF($K$10=0,SUMIFS(INDIRECT(ADDRESS(12,3+18*1+(1),,,"J1 B - Butcher Terrace")&amp;":"&amp;ADDRESS(130,3+18*1+(1))),'J1 B - Butcher Terrace'!$A$12:$A$130,"&gt;="&amp;Diagram!$O91,'J1 B - Butcher Terrace'!$A$12:$A$130,"&lt;"&amp;Diagram!$P91),SUMIFS(INDIRECT(ADDRESS(12,3+18*1+(9),,,"J1 B - Butcher Terrace")&amp;":"&amp;ADDRESS(130,3+18*1+(9))),'J1 B - Butcher Terrace'!$A$12:$A$130,"&gt;="&amp;Diagram!$O91,'J1 B - Butcher Terrace'!$A$12:$A$130,"&lt;"&amp;Diagram!$P91)))</f>
        <v>0</v>
      </c>
      <c r="AR91" s="42">
        <f ca="1">IF(OR($I$10="",$O91="",$P91="",$J$36&lt;&gt;"Yes"),0,IF($K$10=0,SUMIFS(INDIRECT(ADDRESS(12,3+18*1+(1),,,"J1 C - (South) Bishopthorpe Roa")&amp;":"&amp;ADDRESS(130,3+18*1+(1))),'J1 C - (South) Bishopthorpe Roa'!$A$12:$A$130,"&gt;="&amp;Diagram!$O91,'J1 C - (South) Bishopthorpe Roa'!$A$12:$A$130,"&lt;"&amp;Diagram!$P91),SUMIFS(INDIRECT(ADDRESS(12,3+18*1+(9),,,"J1 C - (South) Bishopthorpe Roa")&amp;":"&amp;ADDRESS(130,3+18*1+(9))),'J1 C - (South) Bishopthorpe Roa'!$A$12:$A$130,"&gt;="&amp;Diagram!$O91,'J1 C - (South) Bishopthorpe Roa'!$A$12:$A$130,"&lt;"&amp;Diagram!$P91)))</f>
        <v>2</v>
      </c>
      <c r="AS91" s="42">
        <f ca="1">IF(OR($I$10="",$O91="",$P91="",$J$36&lt;&gt;"Yes"),0,IF($K$10=0,SUMIFS(INDIRECT(ADDRESS(12,3+18*2+(1),,,"J1 C - (South) Bishopthorpe Roa")&amp;":"&amp;ADDRESS(130,3+18*2+(1))),'J1 C - (South) Bishopthorpe Roa'!$A$12:$A$130,"&gt;="&amp;Diagram!$O91,'J1 C - (South) Bishopthorpe Roa'!$A$12:$A$130,"&lt;"&amp;Diagram!$P91),SUMIFS(INDIRECT(ADDRESS(12,3+18*2+(9),,,"J1 C - (South) Bishopthorpe Roa")&amp;":"&amp;ADDRESS(130,3+18*2+(9))),'J1 C - (South) Bishopthorpe Roa'!$A$12:$A$130,"&gt;="&amp;Diagram!$O91,'J1 C - (South) Bishopthorpe Roa'!$A$12:$A$130,"&lt;"&amp;Diagram!$P91)))</f>
        <v>0</v>
      </c>
      <c r="AT91" s="42">
        <f ca="1">IF(OR($I$10="",$O91="",$P91="",$J$36&lt;&gt;"Yes"),0,IF($K$10=0,SUMIFS(INDIRECT(ADDRESS(12,3+18*3+(1),,,"J1 C - (South) Bishopthorpe Roa")&amp;":"&amp;ADDRESS(130,3+18*3+(1))),'J1 C - (South) Bishopthorpe Roa'!$A$12:$A$130,"&gt;="&amp;Diagram!$O91,'J1 C - (South) Bishopthorpe Roa'!$A$12:$A$130,"&lt;"&amp;Diagram!$P91),SUMIFS(INDIRECT(ADDRESS(12,3+18*3+(9),,,"J1 C - (South) Bishopthorpe Roa")&amp;":"&amp;ADDRESS(130,3+18*3+(9))),'J1 C - (South) Bishopthorpe Roa'!$A$12:$A$130,"&gt;="&amp;Diagram!$O91,'J1 C - (South) Bishopthorpe Roa'!$A$12:$A$130,"&lt;"&amp;Diagram!$P91)))</f>
        <v>0</v>
      </c>
      <c r="AU91" s="42">
        <f ca="1">IF(OR($I$10="",$O91="",$P91="",$J$36&lt;&gt;"Yes"),0,IF($K$10=0,SUMIFS(INDIRECT(ADDRESS(12,3+18*0+(1),,,"J1 C - (South) Bishopthorpe Roa")&amp;":"&amp;ADDRESS(130,3+18*0+(1))),'J1 C - (South) Bishopthorpe Roa'!$A$12:$A$130,"&gt;="&amp;Diagram!$O91,'J1 C - (South) Bishopthorpe Roa'!$A$12:$A$130,"&lt;"&amp;Diagram!$P91),SUMIFS(INDIRECT(ADDRESS(12,3+18*0+(9),,,"J1 C - (South) Bishopthorpe Roa")&amp;":"&amp;ADDRESS(130,3+18*0+(9))),'J1 C - (South) Bishopthorpe Roa'!$A$12:$A$130,"&gt;="&amp;Diagram!$O91,'J1 C - (South) Bishopthorpe Roa'!$A$12:$A$130,"&lt;"&amp;Diagram!$P91)))</f>
        <v>0</v>
      </c>
      <c r="AV91" s="42">
        <f ca="1">IF(OR($I$10="",$O91="",$P91="",$J$36&lt;&gt;"Yes"),0,IF($K$10=0,SUMIFS(INDIRECT(ADDRESS(12,3+18*0+(1),,,"J1 D - South Bank Avenue")&amp;":"&amp;ADDRESS(130,3+18*0+(1))),'J1 D - South Bank Avenue'!$A$12:$A$130,"&gt;="&amp;Diagram!$O91,'J1 D - South Bank Avenue'!$A$12:$A$130,"&lt;"&amp;Diagram!$P91),SUMIFS(INDIRECT(ADDRESS(12,3+18*0+(9),,,"J1 D - South Bank Avenue")&amp;":"&amp;ADDRESS(130,3+18*0+(9))),'J1 D - South Bank Avenue'!$A$12:$A$130,"&gt;="&amp;Diagram!$O91,'J1 D - South Bank Avenue'!$A$12:$A$130,"&lt;"&amp;Diagram!$P91)))</f>
        <v>0</v>
      </c>
      <c r="AW91" s="42">
        <f ca="1">IF(OR($I$10="",$O91="",$P91="",$J$36&lt;&gt;"Yes"),0,IF($K$10=0,SUMIFS(INDIRECT(ADDRESS(12,3+18*1+(1),,,"J1 D - South Bank Avenue")&amp;":"&amp;ADDRESS(130,3+18*1+(1))),'J1 D - South Bank Avenue'!$A$12:$A$130,"&gt;="&amp;Diagram!$O91,'J1 D - South Bank Avenue'!$A$12:$A$130,"&lt;"&amp;Diagram!$P91),SUMIFS(INDIRECT(ADDRESS(12,3+18*1+(9),,,"J1 D - South Bank Avenue")&amp;":"&amp;ADDRESS(130,3+18*1+(9))),'J1 D - South Bank Avenue'!$A$12:$A$130,"&gt;="&amp;Diagram!$O91,'J1 D - South Bank Avenue'!$A$12:$A$130,"&lt;"&amp;Diagram!$P91)))</f>
        <v>0</v>
      </c>
      <c r="AX91" s="42">
        <f ca="1">IF(OR($I$10="",$O91="",$P91="",$J$36&lt;&gt;"Yes"),0,IF($K$10=0,SUMIFS(INDIRECT(ADDRESS(12,3+18*2+(1),,,"J1 D - South Bank Avenue")&amp;":"&amp;ADDRESS(130,3+18*2+(1))),'J1 D - South Bank Avenue'!$A$12:$A$130,"&gt;="&amp;Diagram!$O91,'J1 D - South Bank Avenue'!$A$12:$A$130,"&lt;"&amp;Diagram!$P91),SUMIFS(INDIRECT(ADDRESS(12,3+18*2+(9),,,"J1 D - South Bank Avenue")&amp;":"&amp;ADDRESS(130,3+18*2+(9))),'J1 D - South Bank Avenue'!$A$12:$A$130,"&gt;="&amp;Diagram!$O91,'J1 D - South Bank Avenue'!$A$12:$A$130,"&lt;"&amp;Diagram!$P91)))</f>
        <v>0</v>
      </c>
      <c r="AY91" s="42">
        <f ca="1">IF(OR($I$10="",$O91="",$P91="",$J$36&lt;&gt;"Yes"),0,IF($K$10=0,SUMIFS(INDIRECT(ADDRESS(12,3+18*3+(1),,,"J1 D - South Bank Avenue")&amp;":"&amp;ADDRESS(130,3+18*3+(1))),'J1 D - South Bank Avenue'!$A$12:$A$130,"&gt;="&amp;Diagram!$O91,'J1 D - South Bank Avenue'!$A$12:$A$130,"&lt;"&amp;Diagram!$P91),SUMIFS(INDIRECT(ADDRESS(12,3+18*3+(9),,,"J1 D - South Bank Avenue")&amp;":"&amp;ADDRESS(130,3+18*3+(9))),'J1 D - South Bank Avenue'!$A$12:$A$130,"&gt;="&amp;Diagram!$O91,'J1 D - South Bank Avenue'!$A$12:$A$130,"&lt;"&amp;Diagram!$P91)))</f>
        <v>0</v>
      </c>
      <c r="AZ91" s="42">
        <f t="shared" ca="1" si="13"/>
        <v>0</v>
      </c>
      <c r="BA91" s="42">
        <f ca="1">IF(OR($I$10="",$O91="",$P91="",$J$37&lt;&gt;"Yes"),0,IF($K$10=0,SUMIFS(INDIRECT(ADDRESS(12,3+18*3+(2),,,"J1 A - (North) Bishopthorpe Roa")&amp;":"&amp;ADDRESS(130,3+18*3+(2))),'J1 A - (North) Bishopthorpe Roa'!$A$12:$A$130,"&gt;="&amp;Diagram!$O91,'J1 A - (North) Bishopthorpe Roa'!$A$12:$A$130,"&lt;"&amp;Diagram!$P91),SUMIFS(INDIRECT(ADDRESS(12,3+18*3+(10),,,"J1 A - (North) Bishopthorpe Roa")&amp;":"&amp;ADDRESS(130,3+18*3+(10))),'J1 A - (North) Bishopthorpe Roa'!$A$12:$A$130,"&gt;="&amp;Diagram!$O91,'J1 A - (North) Bishopthorpe Roa'!$A$12:$A$130,"&lt;"&amp;Diagram!$P91)))</f>
        <v>0</v>
      </c>
      <c r="BB91" s="42">
        <f ca="1">IF(OR($I$10="",$O91="",$P91="",$J$37&lt;&gt;"Yes"),0,IF($K$10=0,SUMIFS(INDIRECT(ADDRESS(12,3+18*0+(2),,,"J1 A - (North) Bishopthorpe Roa")&amp;":"&amp;ADDRESS(130,3+18*0+(2))),'J1 A - (North) Bishopthorpe Roa'!$A$12:$A$130,"&gt;="&amp;Diagram!$O91,'J1 A - (North) Bishopthorpe Roa'!$A$12:$A$130,"&lt;"&amp;Diagram!$P91),SUMIFS(INDIRECT(ADDRESS(12,3+18*0+(10),,,"J1 A - (North) Bishopthorpe Roa")&amp;":"&amp;ADDRESS(130,3+18*0+(10))),'J1 A - (North) Bishopthorpe Roa'!$A$12:$A$130,"&gt;="&amp;Diagram!$O91,'J1 A - (North) Bishopthorpe Roa'!$A$12:$A$130,"&lt;"&amp;Diagram!$P91)))</f>
        <v>0</v>
      </c>
      <c r="BC91" s="42">
        <f ca="1">IF(OR($I$10="",$O91="",$P91="",$J$37&lt;&gt;"Yes"),0,IF($K$10=0,SUMIFS(INDIRECT(ADDRESS(12,3+18*1+(2),,,"J1 A - (North) Bishopthorpe Roa")&amp;":"&amp;ADDRESS(130,3+18*1+(2))),'J1 A - (North) Bishopthorpe Roa'!$A$12:$A$130,"&gt;="&amp;Diagram!$O91,'J1 A - (North) Bishopthorpe Roa'!$A$12:$A$130,"&lt;"&amp;Diagram!$P91),SUMIFS(INDIRECT(ADDRESS(12,3+18*1+(10),,,"J1 A - (North) Bishopthorpe Roa")&amp;":"&amp;ADDRESS(130,3+18*1+(10))),'J1 A - (North) Bishopthorpe Roa'!$A$12:$A$130,"&gt;="&amp;Diagram!$O91,'J1 A - (North) Bishopthorpe Roa'!$A$12:$A$130,"&lt;"&amp;Diagram!$P91)))</f>
        <v>0</v>
      </c>
      <c r="BD91" s="42">
        <f ca="1">IF(OR($I$10="",$O91="",$P91="",$J$37&lt;&gt;"Yes"),0,IF($K$10=0,SUMIFS(INDIRECT(ADDRESS(12,3+18*2+(2),,,"J1 A - (North) Bishopthorpe Roa")&amp;":"&amp;ADDRESS(130,3+18*2+(2))),'J1 A - (North) Bishopthorpe Roa'!$A$12:$A$130,"&gt;="&amp;Diagram!$O91,'J1 A - (North) Bishopthorpe Roa'!$A$12:$A$130,"&lt;"&amp;Diagram!$P91),SUMIFS(INDIRECT(ADDRESS(12,3+18*2+(10),,,"J1 A - (North) Bishopthorpe Roa")&amp;":"&amp;ADDRESS(130,3+18*2+(10))),'J1 A - (North) Bishopthorpe Roa'!$A$12:$A$130,"&gt;="&amp;Diagram!$O91,'J1 A - (North) Bishopthorpe Roa'!$A$12:$A$130,"&lt;"&amp;Diagram!$P91)))</f>
        <v>0</v>
      </c>
      <c r="BE91" s="42">
        <f ca="1">IF(OR($I$10="",$O91="",$P91="",$J$37&lt;&gt;"Yes"),0,IF($K$10=0,SUMIFS(INDIRECT(ADDRESS(12,3+18*2+(2),,,"J1 B - Butcher Terrace")&amp;":"&amp;ADDRESS(130,3+18*2+(2))),'J1 B - Butcher Terrace'!$A$12:$A$130,"&gt;="&amp;Diagram!$O91,'J1 B - Butcher Terrace'!$A$12:$A$130,"&lt;"&amp;Diagram!$P91),SUMIFS(INDIRECT(ADDRESS(12,3+18*2+(10),,,"J1 B - Butcher Terrace")&amp;":"&amp;ADDRESS(130,3+18*2+(10))),'J1 B - Butcher Terrace'!$A$12:$A$130,"&gt;="&amp;Diagram!$O91,'J1 B - Butcher Terrace'!$A$12:$A$130,"&lt;"&amp;Diagram!$P91)))</f>
        <v>0</v>
      </c>
      <c r="BF91" s="42">
        <f ca="1">IF(OR($I$10="",$O91="",$P91="",$J$37&lt;&gt;"Yes"),0,IF($K$10=0,SUMIFS(INDIRECT(ADDRESS(12,3+18*3+(2),,,"J1 B - Butcher Terrace")&amp;":"&amp;ADDRESS(130,3+18*3+(2))),'J1 B - Butcher Terrace'!$A$12:$A$130,"&gt;="&amp;Diagram!$O91,'J1 B - Butcher Terrace'!$A$12:$A$130,"&lt;"&amp;Diagram!$P91),SUMIFS(INDIRECT(ADDRESS(12,3+18*3+(10),,,"J1 B - Butcher Terrace")&amp;":"&amp;ADDRESS(130,3+18*3+(10))),'J1 B - Butcher Terrace'!$A$12:$A$130,"&gt;="&amp;Diagram!$O91,'J1 B - Butcher Terrace'!$A$12:$A$130,"&lt;"&amp;Diagram!$P91)))</f>
        <v>0</v>
      </c>
      <c r="BG91" s="42">
        <f ca="1">IF(OR($I$10="",$O91="",$P91="",$J$37&lt;&gt;"Yes"),0,IF($K$10=0,SUMIFS(INDIRECT(ADDRESS(12,3+18*0+(2),,,"J1 B - Butcher Terrace")&amp;":"&amp;ADDRESS(130,3+18*0+(2))),'J1 B - Butcher Terrace'!$A$12:$A$130,"&gt;="&amp;Diagram!$O91,'J1 B - Butcher Terrace'!$A$12:$A$130,"&lt;"&amp;Diagram!$P91),SUMIFS(INDIRECT(ADDRESS(12,3+18*0+(10),,,"J1 B - Butcher Terrace")&amp;":"&amp;ADDRESS(130,3+18*0+(10))),'J1 B - Butcher Terrace'!$A$12:$A$130,"&gt;="&amp;Diagram!$O91,'J1 B - Butcher Terrace'!$A$12:$A$130,"&lt;"&amp;Diagram!$P91)))</f>
        <v>0</v>
      </c>
      <c r="BH91" s="42">
        <f ca="1">IF(OR($I$10="",$O91="",$P91="",$J$37&lt;&gt;"Yes"),0,IF($K$10=0,SUMIFS(INDIRECT(ADDRESS(12,3+18*1+(2),,,"J1 B - Butcher Terrace")&amp;":"&amp;ADDRESS(130,3+18*1+(2))),'J1 B - Butcher Terrace'!$A$12:$A$130,"&gt;="&amp;Diagram!$O91,'J1 B - Butcher Terrace'!$A$12:$A$130,"&lt;"&amp;Diagram!$P91),SUMIFS(INDIRECT(ADDRESS(12,3+18*1+(10),,,"J1 B - Butcher Terrace")&amp;":"&amp;ADDRESS(130,3+18*1+(10))),'J1 B - Butcher Terrace'!$A$12:$A$130,"&gt;="&amp;Diagram!$O91,'J1 B - Butcher Terrace'!$A$12:$A$130,"&lt;"&amp;Diagram!$P91)))</f>
        <v>0</v>
      </c>
      <c r="BI91" s="42">
        <f ca="1">IF(OR($I$10="",$O91="",$P91="",$J$37&lt;&gt;"Yes"),0,IF($K$10=0,SUMIFS(INDIRECT(ADDRESS(12,3+18*1+(2),,,"J1 C - (South) Bishopthorpe Roa")&amp;":"&amp;ADDRESS(130,3+18*1+(2))),'J1 C - (South) Bishopthorpe Roa'!$A$12:$A$130,"&gt;="&amp;Diagram!$O91,'J1 C - (South) Bishopthorpe Roa'!$A$12:$A$130,"&lt;"&amp;Diagram!$P91),SUMIFS(INDIRECT(ADDRESS(12,3+18*1+(10),,,"J1 C - (South) Bishopthorpe Roa")&amp;":"&amp;ADDRESS(130,3+18*1+(10))),'J1 C - (South) Bishopthorpe Roa'!$A$12:$A$130,"&gt;="&amp;Diagram!$O91,'J1 C - (South) Bishopthorpe Roa'!$A$12:$A$130,"&lt;"&amp;Diagram!$P91)))</f>
        <v>0</v>
      </c>
      <c r="BJ91" s="42">
        <f ca="1">IF(OR($I$10="",$O91="",$P91="",$J$37&lt;&gt;"Yes"),0,IF($K$10=0,SUMIFS(INDIRECT(ADDRESS(12,3+18*2+(2),,,"J1 C - (South) Bishopthorpe Roa")&amp;":"&amp;ADDRESS(130,3+18*2+(2))),'J1 C - (South) Bishopthorpe Roa'!$A$12:$A$130,"&gt;="&amp;Diagram!$O91,'J1 C - (South) Bishopthorpe Roa'!$A$12:$A$130,"&lt;"&amp;Diagram!$P91),SUMIFS(INDIRECT(ADDRESS(12,3+18*2+(10),,,"J1 C - (South) Bishopthorpe Roa")&amp;":"&amp;ADDRESS(130,3+18*2+(10))),'J1 C - (South) Bishopthorpe Roa'!$A$12:$A$130,"&gt;="&amp;Diagram!$O91,'J1 C - (South) Bishopthorpe Roa'!$A$12:$A$130,"&lt;"&amp;Diagram!$P91)))</f>
        <v>0</v>
      </c>
      <c r="BK91" s="42">
        <f ca="1">IF(OR($I$10="",$O91="",$P91="",$J$37&lt;&gt;"Yes"),0,IF($K$10=0,SUMIFS(INDIRECT(ADDRESS(12,3+18*3+(2),,,"J1 C - (South) Bishopthorpe Roa")&amp;":"&amp;ADDRESS(130,3+18*3+(2))),'J1 C - (South) Bishopthorpe Roa'!$A$12:$A$130,"&gt;="&amp;Diagram!$O91,'J1 C - (South) Bishopthorpe Roa'!$A$12:$A$130,"&lt;"&amp;Diagram!$P91),SUMIFS(INDIRECT(ADDRESS(12,3+18*3+(10),,,"J1 C - (South) Bishopthorpe Roa")&amp;":"&amp;ADDRESS(130,3+18*3+(10))),'J1 C - (South) Bishopthorpe Roa'!$A$12:$A$130,"&gt;="&amp;Diagram!$O91,'J1 C - (South) Bishopthorpe Roa'!$A$12:$A$130,"&lt;"&amp;Diagram!$P91)))</f>
        <v>0</v>
      </c>
      <c r="BL91" s="42">
        <f ca="1">IF(OR($I$10="",$O91="",$P91="",$J$37&lt;&gt;"Yes"),0,IF($K$10=0,SUMIFS(INDIRECT(ADDRESS(12,3+18*0+(2),,,"J1 C - (South) Bishopthorpe Roa")&amp;":"&amp;ADDRESS(130,3+18*0+(2))),'J1 C - (South) Bishopthorpe Roa'!$A$12:$A$130,"&gt;="&amp;Diagram!$O91,'J1 C - (South) Bishopthorpe Roa'!$A$12:$A$130,"&lt;"&amp;Diagram!$P91),SUMIFS(INDIRECT(ADDRESS(12,3+18*0+(10),,,"J1 C - (South) Bishopthorpe Roa")&amp;":"&amp;ADDRESS(130,3+18*0+(10))),'J1 C - (South) Bishopthorpe Roa'!$A$12:$A$130,"&gt;="&amp;Diagram!$O91,'J1 C - (South) Bishopthorpe Roa'!$A$12:$A$130,"&lt;"&amp;Diagram!$P91)))</f>
        <v>0</v>
      </c>
      <c r="BM91" s="42">
        <f ca="1">IF(OR($I$10="",$O91="",$P91="",$J$37&lt;&gt;"Yes"),0,IF($K$10=0,SUMIFS(INDIRECT(ADDRESS(12,3+18*0+(2),,,"J1 D - South Bank Avenue")&amp;":"&amp;ADDRESS(130,3+18*0+(2))),'J1 D - South Bank Avenue'!$A$12:$A$130,"&gt;="&amp;Diagram!$O91,'J1 D - South Bank Avenue'!$A$12:$A$130,"&lt;"&amp;Diagram!$P91),SUMIFS(INDIRECT(ADDRESS(12,3+18*0+(10),,,"J1 D - South Bank Avenue")&amp;":"&amp;ADDRESS(130,3+18*0+(10))),'J1 D - South Bank Avenue'!$A$12:$A$130,"&gt;="&amp;Diagram!$O91,'J1 D - South Bank Avenue'!$A$12:$A$130,"&lt;"&amp;Diagram!$P91)))</f>
        <v>0</v>
      </c>
      <c r="BN91" s="42">
        <f ca="1">IF(OR($I$10="",$O91="",$P91="",$J$37&lt;&gt;"Yes"),0,IF($K$10=0,SUMIFS(INDIRECT(ADDRESS(12,3+18*1+(2),,,"J1 D - South Bank Avenue")&amp;":"&amp;ADDRESS(130,3+18*1+(2))),'J1 D - South Bank Avenue'!$A$12:$A$130,"&gt;="&amp;Diagram!$O91,'J1 D - South Bank Avenue'!$A$12:$A$130,"&lt;"&amp;Diagram!$P91),SUMIFS(INDIRECT(ADDRESS(12,3+18*1+(10),,,"J1 D - South Bank Avenue")&amp;":"&amp;ADDRESS(130,3+18*1+(10))),'J1 D - South Bank Avenue'!$A$12:$A$130,"&gt;="&amp;Diagram!$O91,'J1 D - South Bank Avenue'!$A$12:$A$130,"&lt;"&amp;Diagram!$P91)))</f>
        <v>0</v>
      </c>
      <c r="BO91" s="42">
        <f ca="1">IF(OR($I$10="",$O91="",$P91="",$J$37&lt;&gt;"Yes"),0,IF($K$10=0,SUMIFS(INDIRECT(ADDRESS(12,3+18*2+(2),,,"J1 D - South Bank Avenue")&amp;":"&amp;ADDRESS(130,3+18*2+(2))),'J1 D - South Bank Avenue'!$A$12:$A$130,"&gt;="&amp;Diagram!$O91,'J1 D - South Bank Avenue'!$A$12:$A$130,"&lt;"&amp;Diagram!$P91),SUMIFS(INDIRECT(ADDRESS(12,3+18*2+(10),,,"J1 D - South Bank Avenue")&amp;":"&amp;ADDRESS(130,3+18*2+(10))),'J1 D - South Bank Avenue'!$A$12:$A$130,"&gt;="&amp;Diagram!$O91,'J1 D - South Bank Avenue'!$A$12:$A$130,"&lt;"&amp;Diagram!$P91)))</f>
        <v>0</v>
      </c>
      <c r="BP91" s="42">
        <f ca="1">IF(OR($I$10="",$O91="",$P91="",$J$37&lt;&gt;"Yes"),0,IF($K$10=0,SUMIFS(INDIRECT(ADDRESS(12,3+18*3+(2),,,"J1 D - South Bank Avenue")&amp;":"&amp;ADDRESS(130,3+18*3+(2))),'J1 D - South Bank Avenue'!$A$12:$A$130,"&gt;="&amp;Diagram!$O91,'J1 D - South Bank Avenue'!$A$12:$A$130,"&lt;"&amp;Diagram!$P91),SUMIFS(INDIRECT(ADDRESS(12,3+18*3+(10),,,"J1 D - South Bank Avenue")&amp;":"&amp;ADDRESS(130,3+18*3+(10))),'J1 D - South Bank Avenue'!$A$12:$A$130,"&gt;="&amp;Diagram!$O91,'J1 D - South Bank Avenue'!$A$12:$A$130,"&lt;"&amp;Diagram!$P91)))</f>
        <v>0</v>
      </c>
      <c r="BQ91" s="42">
        <f t="shared" ca="1" si="14"/>
        <v>0</v>
      </c>
      <c r="BR91" s="42">
        <f ca="1">IF(OR($I$10="",$O91="",$P91="",$J$38&lt;&gt;"Yes"),0,IF($K$10=0,SUMIFS(INDIRECT(ADDRESS(12,3+18*3+(3),,,"J1 A - (North) Bishopthorpe Roa")&amp;":"&amp;ADDRESS(130,3+18*3+(3))),'J1 A - (North) Bishopthorpe Roa'!$A$12:$A$130,"&gt;="&amp;Diagram!$O91,'J1 A - (North) Bishopthorpe Roa'!$A$12:$A$130,"&lt;"&amp;Diagram!$P91),SUMIFS(INDIRECT(ADDRESS(12,3+18*3+(11),,,"J1 A - (North) Bishopthorpe Roa")&amp;":"&amp;ADDRESS(130,3+18*3+(11))),'J1 A - (North) Bishopthorpe Roa'!$A$12:$A$130,"&gt;="&amp;Diagram!$O91,'J1 A - (North) Bishopthorpe Roa'!$A$12:$A$130,"&lt;"&amp;Diagram!$P91)))</f>
        <v>0</v>
      </c>
      <c r="BS91" s="42">
        <f ca="1">IF(OR($I$10="",$O91="",$P91="",$J$38&lt;&gt;"Yes"),0,IF($K$10=0,SUMIFS(INDIRECT(ADDRESS(12,3+18*0+(3),,,"J1 A - (North) Bishopthorpe Roa")&amp;":"&amp;ADDRESS(130,3+18*0+(3))),'J1 A - (North) Bishopthorpe Roa'!$A$12:$A$130,"&gt;="&amp;Diagram!$O91,'J1 A - (North) Bishopthorpe Roa'!$A$12:$A$130,"&lt;"&amp;Diagram!$P91),SUMIFS(INDIRECT(ADDRESS(12,3+18*0+(11),,,"J1 A - (North) Bishopthorpe Roa")&amp;":"&amp;ADDRESS(130,3+18*0+(11))),'J1 A - (North) Bishopthorpe Roa'!$A$12:$A$130,"&gt;="&amp;Diagram!$O91,'J1 A - (North) Bishopthorpe Roa'!$A$12:$A$130,"&lt;"&amp;Diagram!$P91)))</f>
        <v>0</v>
      </c>
      <c r="BT91" s="42">
        <f ca="1">IF(OR($I$10="",$O91="",$P91="",$J$38&lt;&gt;"Yes"),0,IF($K$10=0,SUMIFS(INDIRECT(ADDRESS(12,3+18*1+(3),,,"J1 A - (North) Bishopthorpe Roa")&amp;":"&amp;ADDRESS(130,3+18*1+(3))),'J1 A - (North) Bishopthorpe Roa'!$A$12:$A$130,"&gt;="&amp;Diagram!$O91,'J1 A - (North) Bishopthorpe Roa'!$A$12:$A$130,"&lt;"&amp;Diagram!$P91),SUMIFS(INDIRECT(ADDRESS(12,3+18*1+(11),,,"J1 A - (North) Bishopthorpe Roa")&amp;":"&amp;ADDRESS(130,3+18*1+(11))),'J1 A - (North) Bishopthorpe Roa'!$A$12:$A$130,"&gt;="&amp;Diagram!$O91,'J1 A - (North) Bishopthorpe Roa'!$A$12:$A$130,"&lt;"&amp;Diagram!$P91)))</f>
        <v>0</v>
      </c>
      <c r="BU91" s="42">
        <f ca="1">IF(OR($I$10="",$O91="",$P91="",$J$38&lt;&gt;"Yes"),0,IF($K$10=0,SUMIFS(INDIRECT(ADDRESS(12,3+18*2+(3),,,"J1 A - (North) Bishopthorpe Roa")&amp;":"&amp;ADDRESS(130,3+18*2+(3))),'J1 A - (North) Bishopthorpe Roa'!$A$12:$A$130,"&gt;="&amp;Diagram!$O91,'J1 A - (North) Bishopthorpe Roa'!$A$12:$A$130,"&lt;"&amp;Diagram!$P91),SUMIFS(INDIRECT(ADDRESS(12,3+18*2+(11),,,"J1 A - (North) Bishopthorpe Roa")&amp;":"&amp;ADDRESS(130,3+18*2+(11))),'J1 A - (North) Bishopthorpe Roa'!$A$12:$A$130,"&gt;="&amp;Diagram!$O91,'J1 A - (North) Bishopthorpe Roa'!$A$12:$A$130,"&lt;"&amp;Diagram!$P91)))</f>
        <v>0</v>
      </c>
      <c r="BV91" s="42">
        <f ca="1">IF(OR($I$10="",$O91="",$P91="",$J$38&lt;&gt;"Yes"),0,IF($K$10=0,SUMIFS(INDIRECT(ADDRESS(12,3+18*2+(3),,,"J1 B - Butcher Terrace")&amp;":"&amp;ADDRESS(130,3+18*2+(3))),'J1 B - Butcher Terrace'!$A$12:$A$130,"&gt;="&amp;Diagram!$O91,'J1 B - Butcher Terrace'!$A$12:$A$130,"&lt;"&amp;Diagram!$P91),SUMIFS(INDIRECT(ADDRESS(12,3+18*2+(11),,,"J1 B - Butcher Terrace")&amp;":"&amp;ADDRESS(130,3+18*2+(11))),'J1 B - Butcher Terrace'!$A$12:$A$130,"&gt;="&amp;Diagram!$O91,'J1 B - Butcher Terrace'!$A$12:$A$130,"&lt;"&amp;Diagram!$P91)))</f>
        <v>0</v>
      </c>
      <c r="BW91" s="42">
        <f ca="1">IF(OR($I$10="",$O91="",$P91="",$J$38&lt;&gt;"Yes"),0,IF($K$10=0,SUMIFS(INDIRECT(ADDRESS(12,3+18*3+(3),,,"J1 B - Butcher Terrace")&amp;":"&amp;ADDRESS(130,3+18*3+(3))),'J1 B - Butcher Terrace'!$A$12:$A$130,"&gt;="&amp;Diagram!$O91,'J1 B - Butcher Terrace'!$A$12:$A$130,"&lt;"&amp;Diagram!$P91),SUMIFS(INDIRECT(ADDRESS(12,3+18*3+(11),,,"J1 B - Butcher Terrace")&amp;":"&amp;ADDRESS(130,3+18*3+(11))),'J1 B - Butcher Terrace'!$A$12:$A$130,"&gt;="&amp;Diagram!$O91,'J1 B - Butcher Terrace'!$A$12:$A$130,"&lt;"&amp;Diagram!$P91)))</f>
        <v>0</v>
      </c>
      <c r="BX91" s="42">
        <f ca="1">IF(OR($I$10="",$O91="",$P91="",$J$38&lt;&gt;"Yes"),0,IF($K$10=0,SUMIFS(INDIRECT(ADDRESS(12,3+18*0+(3),,,"J1 B - Butcher Terrace")&amp;":"&amp;ADDRESS(130,3+18*0+(3))),'J1 B - Butcher Terrace'!$A$12:$A$130,"&gt;="&amp;Diagram!$O91,'J1 B - Butcher Terrace'!$A$12:$A$130,"&lt;"&amp;Diagram!$P91),SUMIFS(INDIRECT(ADDRESS(12,3+18*0+(11),,,"J1 B - Butcher Terrace")&amp;":"&amp;ADDRESS(130,3+18*0+(11))),'J1 B - Butcher Terrace'!$A$12:$A$130,"&gt;="&amp;Diagram!$O91,'J1 B - Butcher Terrace'!$A$12:$A$130,"&lt;"&amp;Diagram!$P91)))</f>
        <v>0</v>
      </c>
      <c r="BY91" s="42">
        <f ca="1">IF(OR($I$10="",$O91="",$P91="",$J$38&lt;&gt;"Yes"),0,IF($K$10=0,SUMIFS(INDIRECT(ADDRESS(12,3+18*1+(3),,,"J1 B - Butcher Terrace")&amp;":"&amp;ADDRESS(130,3+18*1+(3))),'J1 B - Butcher Terrace'!$A$12:$A$130,"&gt;="&amp;Diagram!$O91,'J1 B - Butcher Terrace'!$A$12:$A$130,"&lt;"&amp;Diagram!$P91),SUMIFS(INDIRECT(ADDRESS(12,3+18*1+(11),,,"J1 B - Butcher Terrace")&amp;":"&amp;ADDRESS(130,3+18*1+(11))),'J1 B - Butcher Terrace'!$A$12:$A$130,"&gt;="&amp;Diagram!$O91,'J1 B - Butcher Terrace'!$A$12:$A$130,"&lt;"&amp;Diagram!$P91)))</f>
        <v>0</v>
      </c>
      <c r="BZ91" s="42">
        <f ca="1">IF(OR($I$10="",$O91="",$P91="",$J$38&lt;&gt;"Yes"),0,IF($K$10=0,SUMIFS(INDIRECT(ADDRESS(12,3+18*1+(3),,,"J1 C - (South) Bishopthorpe Roa")&amp;":"&amp;ADDRESS(130,3+18*1+(3))),'J1 C - (South) Bishopthorpe Roa'!$A$12:$A$130,"&gt;="&amp;Diagram!$O91,'J1 C - (South) Bishopthorpe Roa'!$A$12:$A$130,"&lt;"&amp;Diagram!$P91),SUMIFS(INDIRECT(ADDRESS(12,3+18*1+(11),,,"J1 C - (South) Bishopthorpe Roa")&amp;":"&amp;ADDRESS(130,3+18*1+(11))),'J1 C - (South) Bishopthorpe Roa'!$A$12:$A$130,"&gt;="&amp;Diagram!$O91,'J1 C - (South) Bishopthorpe Roa'!$A$12:$A$130,"&lt;"&amp;Diagram!$P91)))</f>
        <v>0</v>
      </c>
      <c r="CA91" s="42">
        <f ca="1">IF(OR($I$10="",$O91="",$P91="",$J$38&lt;&gt;"Yes"),0,IF($K$10=0,SUMIFS(INDIRECT(ADDRESS(12,3+18*2+(3),,,"J1 C - (South) Bishopthorpe Roa")&amp;":"&amp;ADDRESS(130,3+18*2+(3))),'J1 C - (South) Bishopthorpe Roa'!$A$12:$A$130,"&gt;="&amp;Diagram!$O91,'J1 C - (South) Bishopthorpe Roa'!$A$12:$A$130,"&lt;"&amp;Diagram!$P91),SUMIFS(INDIRECT(ADDRESS(12,3+18*2+(11),,,"J1 C - (South) Bishopthorpe Roa")&amp;":"&amp;ADDRESS(130,3+18*2+(11))),'J1 C - (South) Bishopthorpe Roa'!$A$12:$A$130,"&gt;="&amp;Diagram!$O91,'J1 C - (South) Bishopthorpe Roa'!$A$12:$A$130,"&lt;"&amp;Diagram!$P91)))</f>
        <v>0</v>
      </c>
      <c r="CB91" s="42">
        <f ca="1">IF(OR($I$10="",$O91="",$P91="",$J$38&lt;&gt;"Yes"),0,IF($K$10=0,SUMIFS(INDIRECT(ADDRESS(12,3+18*3+(3),,,"J1 C - (South) Bishopthorpe Roa")&amp;":"&amp;ADDRESS(130,3+18*3+(3))),'J1 C - (South) Bishopthorpe Roa'!$A$12:$A$130,"&gt;="&amp;Diagram!$O91,'J1 C - (South) Bishopthorpe Roa'!$A$12:$A$130,"&lt;"&amp;Diagram!$P91),SUMIFS(INDIRECT(ADDRESS(12,3+18*3+(11),,,"J1 C - (South) Bishopthorpe Roa")&amp;":"&amp;ADDRESS(130,3+18*3+(11))),'J1 C - (South) Bishopthorpe Roa'!$A$12:$A$130,"&gt;="&amp;Diagram!$O91,'J1 C - (South) Bishopthorpe Roa'!$A$12:$A$130,"&lt;"&amp;Diagram!$P91)))</f>
        <v>0</v>
      </c>
      <c r="CC91" s="42">
        <f ca="1">IF(OR($I$10="",$O91="",$P91="",$J$38&lt;&gt;"Yes"),0,IF($K$10=0,SUMIFS(INDIRECT(ADDRESS(12,3+18*0+(3),,,"J1 C - (South) Bishopthorpe Roa")&amp;":"&amp;ADDRESS(130,3+18*0+(3))),'J1 C - (South) Bishopthorpe Roa'!$A$12:$A$130,"&gt;="&amp;Diagram!$O91,'J1 C - (South) Bishopthorpe Roa'!$A$12:$A$130,"&lt;"&amp;Diagram!$P91),SUMIFS(INDIRECT(ADDRESS(12,3+18*0+(11),,,"J1 C - (South) Bishopthorpe Roa")&amp;":"&amp;ADDRESS(130,3+18*0+(11))),'J1 C - (South) Bishopthorpe Roa'!$A$12:$A$130,"&gt;="&amp;Diagram!$O91,'J1 C - (South) Bishopthorpe Roa'!$A$12:$A$130,"&lt;"&amp;Diagram!$P91)))</f>
        <v>0</v>
      </c>
      <c r="CD91" s="42">
        <f ca="1">IF(OR($I$10="",$O91="",$P91="",$J$38&lt;&gt;"Yes"),0,IF($K$10=0,SUMIFS(INDIRECT(ADDRESS(12,3+18*0+(3),,,"J1 D - South Bank Avenue")&amp;":"&amp;ADDRESS(130,3+18*0+(3))),'J1 D - South Bank Avenue'!$A$12:$A$130,"&gt;="&amp;Diagram!$O91,'J1 D - South Bank Avenue'!$A$12:$A$130,"&lt;"&amp;Diagram!$P91),SUMIFS(INDIRECT(ADDRESS(12,3+18*0+(11),,,"J1 D - South Bank Avenue")&amp;":"&amp;ADDRESS(130,3+18*0+(11))),'J1 D - South Bank Avenue'!$A$12:$A$130,"&gt;="&amp;Diagram!$O91,'J1 D - South Bank Avenue'!$A$12:$A$130,"&lt;"&amp;Diagram!$P91)))</f>
        <v>0</v>
      </c>
      <c r="CE91" s="42">
        <f ca="1">IF(OR($I$10="",$O91="",$P91="",$J$38&lt;&gt;"Yes"),0,IF($K$10=0,SUMIFS(INDIRECT(ADDRESS(12,3+18*1+(3),,,"J1 D - South Bank Avenue")&amp;":"&amp;ADDRESS(130,3+18*1+(3))),'J1 D - South Bank Avenue'!$A$12:$A$130,"&gt;="&amp;Diagram!$O91,'J1 D - South Bank Avenue'!$A$12:$A$130,"&lt;"&amp;Diagram!$P91),SUMIFS(INDIRECT(ADDRESS(12,3+18*1+(11),,,"J1 D - South Bank Avenue")&amp;":"&amp;ADDRESS(130,3+18*1+(11))),'J1 D - South Bank Avenue'!$A$12:$A$130,"&gt;="&amp;Diagram!$O91,'J1 D - South Bank Avenue'!$A$12:$A$130,"&lt;"&amp;Diagram!$P91)))</f>
        <v>0</v>
      </c>
      <c r="CF91" s="42">
        <f ca="1">IF(OR($I$10="",$O91="",$P91="",$J$38&lt;&gt;"Yes"),0,IF($K$10=0,SUMIFS(INDIRECT(ADDRESS(12,3+18*2+(3),,,"J1 D - South Bank Avenue")&amp;":"&amp;ADDRESS(130,3+18*2+(3))),'J1 D - South Bank Avenue'!$A$12:$A$130,"&gt;="&amp;Diagram!$O91,'J1 D - South Bank Avenue'!$A$12:$A$130,"&lt;"&amp;Diagram!$P91),SUMIFS(INDIRECT(ADDRESS(12,3+18*2+(11),,,"J1 D - South Bank Avenue")&amp;":"&amp;ADDRESS(130,3+18*2+(11))),'J1 D - South Bank Avenue'!$A$12:$A$130,"&gt;="&amp;Diagram!$O91,'J1 D - South Bank Avenue'!$A$12:$A$130,"&lt;"&amp;Diagram!$P91)))</f>
        <v>0</v>
      </c>
      <c r="CG91" s="42">
        <f ca="1">IF(OR($I$10="",$O91="",$P91="",$J$38&lt;&gt;"Yes"),0,IF($K$10=0,SUMIFS(INDIRECT(ADDRESS(12,3+18*3+(3),,,"J1 D - South Bank Avenue")&amp;":"&amp;ADDRESS(130,3+18*3+(3))),'J1 D - South Bank Avenue'!$A$12:$A$130,"&gt;="&amp;Diagram!$O91,'J1 D - South Bank Avenue'!$A$12:$A$130,"&lt;"&amp;Diagram!$P91),SUMIFS(INDIRECT(ADDRESS(12,3+18*3+(11),,,"J1 D - South Bank Avenue")&amp;":"&amp;ADDRESS(130,3+18*3+(11))),'J1 D - South Bank Avenue'!$A$12:$A$130,"&gt;="&amp;Diagram!$O91,'J1 D - South Bank Avenue'!$A$12:$A$130,"&lt;"&amp;Diagram!$P91)))</f>
        <v>0</v>
      </c>
      <c r="CH91" s="42">
        <f t="shared" ca="1" si="15"/>
        <v>2</v>
      </c>
      <c r="CI91" s="42">
        <f ca="1">IF(OR($I$10="",$O91="",$P91="",$J$39&lt;&gt;"Yes"),0,IF($K$10=0,SUMIFS(INDIRECT(ADDRESS(12,3+18*3+(4),,,"J1 A - (North) Bishopthorpe Roa")&amp;":"&amp;ADDRESS(130,3+18*3+(4))),'J1 A - (North) Bishopthorpe Roa'!$A$12:$A$130,"&gt;="&amp;Diagram!$O91,'J1 A - (North) Bishopthorpe Roa'!$A$12:$A$130,"&lt;"&amp;Diagram!$P91),SUMIFS(INDIRECT(ADDRESS(12,3+18*3+(12),,,"J1 A - (North) Bishopthorpe Roa")&amp;":"&amp;ADDRESS(130,3+18*3+(12))),'J1 A - (North) Bishopthorpe Roa'!$A$12:$A$130,"&gt;="&amp;Diagram!$O91,'J1 A - (North) Bishopthorpe Roa'!$A$12:$A$130,"&lt;"&amp;Diagram!$P91)))</f>
        <v>0</v>
      </c>
      <c r="CJ91" s="42">
        <f ca="1">IF(OR($I$10="",$O91="",$P91="",$J$39&lt;&gt;"Yes"),0,IF($K$10=0,SUMIFS(INDIRECT(ADDRESS(12,3+18*0+(4),,,"J1 A - (North) Bishopthorpe Roa")&amp;":"&amp;ADDRESS(130,3+18*0+(4))),'J1 A - (North) Bishopthorpe Roa'!$A$12:$A$130,"&gt;="&amp;Diagram!$O91,'J1 A - (North) Bishopthorpe Roa'!$A$12:$A$130,"&lt;"&amp;Diagram!$P91),SUMIFS(INDIRECT(ADDRESS(12,3+18*0+(12),,,"J1 A - (North) Bishopthorpe Roa")&amp;":"&amp;ADDRESS(130,3+18*0+(12))),'J1 A - (North) Bishopthorpe Roa'!$A$12:$A$130,"&gt;="&amp;Diagram!$O91,'J1 A - (North) Bishopthorpe Roa'!$A$12:$A$130,"&lt;"&amp;Diagram!$P91)))</f>
        <v>0</v>
      </c>
      <c r="CK91" s="42">
        <f ca="1">IF(OR($I$10="",$O91="",$P91="",$J$39&lt;&gt;"Yes"),0,IF($K$10=0,SUMIFS(INDIRECT(ADDRESS(12,3+18*1+(4),,,"J1 A - (North) Bishopthorpe Roa")&amp;":"&amp;ADDRESS(130,3+18*1+(4))),'J1 A - (North) Bishopthorpe Roa'!$A$12:$A$130,"&gt;="&amp;Diagram!$O91,'J1 A - (North) Bishopthorpe Roa'!$A$12:$A$130,"&lt;"&amp;Diagram!$P91),SUMIFS(INDIRECT(ADDRESS(12,3+18*1+(12),,,"J1 A - (North) Bishopthorpe Roa")&amp;":"&amp;ADDRESS(130,3+18*1+(12))),'J1 A - (North) Bishopthorpe Roa'!$A$12:$A$130,"&gt;="&amp;Diagram!$O91,'J1 A - (North) Bishopthorpe Roa'!$A$12:$A$130,"&lt;"&amp;Diagram!$P91)))</f>
        <v>1</v>
      </c>
      <c r="CL91" s="42">
        <f ca="1">IF(OR($I$10="",$O91="",$P91="",$J$39&lt;&gt;"Yes"),0,IF($K$10=0,SUMIFS(INDIRECT(ADDRESS(12,3+18*2+(4),,,"J1 A - (North) Bishopthorpe Roa")&amp;":"&amp;ADDRESS(130,3+18*2+(4))),'J1 A - (North) Bishopthorpe Roa'!$A$12:$A$130,"&gt;="&amp;Diagram!$O91,'J1 A - (North) Bishopthorpe Roa'!$A$12:$A$130,"&lt;"&amp;Diagram!$P91),SUMIFS(INDIRECT(ADDRESS(12,3+18*2+(12),,,"J1 A - (North) Bishopthorpe Roa")&amp;":"&amp;ADDRESS(130,3+18*2+(12))),'J1 A - (North) Bishopthorpe Roa'!$A$12:$A$130,"&gt;="&amp;Diagram!$O91,'J1 A - (North) Bishopthorpe Roa'!$A$12:$A$130,"&lt;"&amp;Diagram!$P91)))</f>
        <v>0</v>
      </c>
      <c r="CM91" s="42">
        <f ca="1">IF(OR($I$10="",$O91="",$P91="",$J$39&lt;&gt;"Yes"),0,IF($K$10=0,SUMIFS(INDIRECT(ADDRESS(12,3+18*2+(4),,,"J1 B - Butcher Terrace")&amp;":"&amp;ADDRESS(130,3+18*2+(4))),'J1 B - Butcher Terrace'!$A$12:$A$130,"&gt;="&amp;Diagram!$O91,'J1 B - Butcher Terrace'!$A$12:$A$130,"&lt;"&amp;Diagram!$P91),SUMIFS(INDIRECT(ADDRESS(12,3+18*2+(12),,,"J1 B - Butcher Terrace")&amp;":"&amp;ADDRESS(130,3+18*2+(12))),'J1 B - Butcher Terrace'!$A$12:$A$130,"&gt;="&amp;Diagram!$O91,'J1 B - Butcher Terrace'!$A$12:$A$130,"&lt;"&amp;Diagram!$P91)))</f>
        <v>0</v>
      </c>
      <c r="CN91" s="42">
        <f ca="1">IF(OR($I$10="",$O91="",$P91="",$J$39&lt;&gt;"Yes"),0,IF($K$10=0,SUMIFS(INDIRECT(ADDRESS(12,3+18*3+(4),,,"J1 B - Butcher Terrace")&amp;":"&amp;ADDRESS(130,3+18*3+(4))),'J1 B - Butcher Terrace'!$A$12:$A$130,"&gt;="&amp;Diagram!$O91,'J1 B - Butcher Terrace'!$A$12:$A$130,"&lt;"&amp;Diagram!$P91),SUMIFS(INDIRECT(ADDRESS(12,3+18*3+(12),,,"J1 B - Butcher Terrace")&amp;":"&amp;ADDRESS(130,3+18*3+(12))),'J1 B - Butcher Terrace'!$A$12:$A$130,"&gt;="&amp;Diagram!$O91,'J1 B - Butcher Terrace'!$A$12:$A$130,"&lt;"&amp;Diagram!$P91)))</f>
        <v>0</v>
      </c>
      <c r="CO91" s="42">
        <f ca="1">IF(OR($I$10="",$O91="",$P91="",$J$39&lt;&gt;"Yes"),0,IF($K$10=0,SUMIFS(INDIRECT(ADDRESS(12,3+18*0+(4),,,"J1 B - Butcher Terrace")&amp;":"&amp;ADDRESS(130,3+18*0+(4))),'J1 B - Butcher Terrace'!$A$12:$A$130,"&gt;="&amp;Diagram!$O91,'J1 B - Butcher Terrace'!$A$12:$A$130,"&lt;"&amp;Diagram!$P91),SUMIFS(INDIRECT(ADDRESS(12,3+18*0+(12),,,"J1 B - Butcher Terrace")&amp;":"&amp;ADDRESS(130,3+18*0+(12))),'J1 B - Butcher Terrace'!$A$12:$A$130,"&gt;="&amp;Diagram!$O91,'J1 B - Butcher Terrace'!$A$12:$A$130,"&lt;"&amp;Diagram!$P91)))</f>
        <v>0</v>
      </c>
      <c r="CP91" s="42">
        <f ca="1">IF(OR($I$10="",$O91="",$P91="",$J$39&lt;&gt;"Yes"),0,IF($K$10=0,SUMIFS(INDIRECT(ADDRESS(12,3+18*1+(4),,,"J1 B - Butcher Terrace")&amp;":"&amp;ADDRESS(130,3+18*1+(4))),'J1 B - Butcher Terrace'!$A$12:$A$130,"&gt;="&amp;Diagram!$O91,'J1 B - Butcher Terrace'!$A$12:$A$130,"&lt;"&amp;Diagram!$P91),SUMIFS(INDIRECT(ADDRESS(12,3+18*1+(12),,,"J1 B - Butcher Terrace")&amp;":"&amp;ADDRESS(130,3+18*1+(12))),'J1 B - Butcher Terrace'!$A$12:$A$130,"&gt;="&amp;Diagram!$O91,'J1 B - Butcher Terrace'!$A$12:$A$130,"&lt;"&amp;Diagram!$P91)))</f>
        <v>0</v>
      </c>
      <c r="CQ91" s="42">
        <f ca="1">IF(OR($I$10="",$O91="",$P91="",$J$39&lt;&gt;"Yes"),0,IF($K$10=0,SUMIFS(INDIRECT(ADDRESS(12,3+18*1+(4),,,"J1 C - (South) Bishopthorpe Roa")&amp;":"&amp;ADDRESS(130,3+18*1+(4))),'J1 C - (South) Bishopthorpe Roa'!$A$12:$A$130,"&gt;="&amp;Diagram!$O91,'J1 C - (South) Bishopthorpe Roa'!$A$12:$A$130,"&lt;"&amp;Diagram!$P91),SUMIFS(INDIRECT(ADDRESS(12,3+18*1+(12),,,"J1 C - (South) Bishopthorpe Roa")&amp;":"&amp;ADDRESS(130,3+18*1+(12))),'J1 C - (South) Bishopthorpe Roa'!$A$12:$A$130,"&gt;="&amp;Diagram!$O91,'J1 C - (South) Bishopthorpe Roa'!$A$12:$A$130,"&lt;"&amp;Diagram!$P91)))</f>
        <v>1</v>
      </c>
      <c r="CR91" s="42">
        <f ca="1">IF(OR($I$10="",$O91="",$P91="",$J$39&lt;&gt;"Yes"),0,IF($K$10=0,SUMIFS(INDIRECT(ADDRESS(12,3+18*2+(4),,,"J1 C - (South) Bishopthorpe Roa")&amp;":"&amp;ADDRESS(130,3+18*2+(4))),'J1 C - (South) Bishopthorpe Roa'!$A$12:$A$130,"&gt;="&amp;Diagram!$O91,'J1 C - (South) Bishopthorpe Roa'!$A$12:$A$130,"&lt;"&amp;Diagram!$P91),SUMIFS(INDIRECT(ADDRESS(12,3+18*2+(12),,,"J1 C - (South) Bishopthorpe Roa")&amp;":"&amp;ADDRESS(130,3+18*2+(12))),'J1 C - (South) Bishopthorpe Roa'!$A$12:$A$130,"&gt;="&amp;Diagram!$O91,'J1 C - (South) Bishopthorpe Roa'!$A$12:$A$130,"&lt;"&amp;Diagram!$P91)))</f>
        <v>0</v>
      </c>
      <c r="CS91" s="42">
        <f ca="1">IF(OR($I$10="",$O91="",$P91="",$J$39&lt;&gt;"Yes"),0,IF($K$10=0,SUMIFS(INDIRECT(ADDRESS(12,3+18*3+(4),,,"J1 C - (South) Bishopthorpe Roa")&amp;":"&amp;ADDRESS(130,3+18*3+(4))),'J1 C - (South) Bishopthorpe Roa'!$A$12:$A$130,"&gt;="&amp;Diagram!$O91,'J1 C - (South) Bishopthorpe Roa'!$A$12:$A$130,"&lt;"&amp;Diagram!$P91),SUMIFS(INDIRECT(ADDRESS(12,3+18*3+(12),,,"J1 C - (South) Bishopthorpe Roa")&amp;":"&amp;ADDRESS(130,3+18*3+(12))),'J1 C - (South) Bishopthorpe Roa'!$A$12:$A$130,"&gt;="&amp;Diagram!$O91,'J1 C - (South) Bishopthorpe Roa'!$A$12:$A$130,"&lt;"&amp;Diagram!$P91)))</f>
        <v>0</v>
      </c>
      <c r="CT91" s="42">
        <f ca="1">IF(OR($I$10="",$O91="",$P91="",$J$39&lt;&gt;"Yes"),0,IF($K$10=0,SUMIFS(INDIRECT(ADDRESS(12,3+18*0+(4),,,"J1 C - (South) Bishopthorpe Roa")&amp;":"&amp;ADDRESS(130,3+18*0+(4))),'J1 C - (South) Bishopthorpe Roa'!$A$12:$A$130,"&gt;="&amp;Diagram!$O91,'J1 C - (South) Bishopthorpe Roa'!$A$12:$A$130,"&lt;"&amp;Diagram!$P91),SUMIFS(INDIRECT(ADDRESS(12,3+18*0+(12),,,"J1 C - (South) Bishopthorpe Roa")&amp;":"&amp;ADDRESS(130,3+18*0+(12))),'J1 C - (South) Bishopthorpe Roa'!$A$12:$A$130,"&gt;="&amp;Diagram!$O91,'J1 C - (South) Bishopthorpe Roa'!$A$12:$A$130,"&lt;"&amp;Diagram!$P91)))</f>
        <v>0</v>
      </c>
      <c r="CU91" s="42">
        <f ca="1">IF(OR($I$10="",$O91="",$P91="",$J$39&lt;&gt;"Yes"),0,IF($K$10=0,SUMIFS(INDIRECT(ADDRESS(12,3+18*0+(4),,,"J1 D - South Bank Avenue")&amp;":"&amp;ADDRESS(130,3+18*0+(4))),'J1 D - South Bank Avenue'!$A$12:$A$130,"&gt;="&amp;Diagram!$O91,'J1 D - South Bank Avenue'!$A$12:$A$130,"&lt;"&amp;Diagram!$P91),SUMIFS(INDIRECT(ADDRESS(12,3+18*0+(12),,,"J1 D - South Bank Avenue")&amp;":"&amp;ADDRESS(130,3+18*0+(12))),'J1 D - South Bank Avenue'!$A$12:$A$130,"&gt;="&amp;Diagram!$O91,'J1 D - South Bank Avenue'!$A$12:$A$130,"&lt;"&amp;Diagram!$P91)))</f>
        <v>0</v>
      </c>
      <c r="CV91" s="42">
        <f ca="1">IF(OR($I$10="",$O91="",$P91="",$J$39&lt;&gt;"Yes"),0,IF($K$10=0,SUMIFS(INDIRECT(ADDRESS(12,3+18*1+(4),,,"J1 D - South Bank Avenue")&amp;":"&amp;ADDRESS(130,3+18*1+(4))),'J1 D - South Bank Avenue'!$A$12:$A$130,"&gt;="&amp;Diagram!$O91,'J1 D - South Bank Avenue'!$A$12:$A$130,"&lt;"&amp;Diagram!$P91),SUMIFS(INDIRECT(ADDRESS(12,3+18*1+(12),,,"J1 D - South Bank Avenue")&amp;":"&amp;ADDRESS(130,3+18*1+(12))),'J1 D - South Bank Avenue'!$A$12:$A$130,"&gt;="&amp;Diagram!$O91,'J1 D - South Bank Avenue'!$A$12:$A$130,"&lt;"&amp;Diagram!$P91)))</f>
        <v>0</v>
      </c>
      <c r="CW91" s="42">
        <f ca="1">IF(OR($I$10="",$O91="",$P91="",$J$39&lt;&gt;"Yes"),0,IF($K$10=0,SUMIFS(INDIRECT(ADDRESS(12,3+18*2+(4),,,"J1 D - South Bank Avenue")&amp;":"&amp;ADDRESS(130,3+18*2+(4))),'J1 D - South Bank Avenue'!$A$12:$A$130,"&gt;="&amp;Diagram!$O91,'J1 D - South Bank Avenue'!$A$12:$A$130,"&lt;"&amp;Diagram!$P91),SUMIFS(INDIRECT(ADDRESS(12,3+18*2+(12),,,"J1 D - South Bank Avenue")&amp;":"&amp;ADDRESS(130,3+18*2+(12))),'J1 D - South Bank Avenue'!$A$12:$A$130,"&gt;="&amp;Diagram!$O91,'J1 D - South Bank Avenue'!$A$12:$A$130,"&lt;"&amp;Diagram!$P91)))</f>
        <v>0</v>
      </c>
      <c r="CX91" s="42">
        <f ca="1">IF(OR($I$10="",$O91="",$P91="",$J$39&lt;&gt;"Yes"),0,IF($K$10=0,SUMIFS(INDIRECT(ADDRESS(12,3+18*3+(4),,,"J1 D - South Bank Avenue")&amp;":"&amp;ADDRESS(130,3+18*3+(4))),'J1 D - South Bank Avenue'!$A$12:$A$130,"&gt;="&amp;Diagram!$O91,'J1 D - South Bank Avenue'!$A$12:$A$130,"&lt;"&amp;Diagram!$P91),SUMIFS(INDIRECT(ADDRESS(12,3+18*3+(12),,,"J1 D - South Bank Avenue")&amp;":"&amp;ADDRESS(130,3+18*3+(12))),'J1 D - South Bank Avenue'!$A$12:$A$130,"&gt;="&amp;Diagram!$O91,'J1 D - South Bank Avenue'!$A$12:$A$130,"&lt;"&amp;Diagram!$P91)))</f>
        <v>0</v>
      </c>
      <c r="CY91" s="42">
        <f t="shared" ca="1" si="16"/>
        <v>26</v>
      </c>
      <c r="CZ91" s="42">
        <f ca="1">IF(OR($I$10="",$O91="",$P91="",$J$40&lt;&gt;"Yes"),0,IF($K$10=0,SUMIFS(INDIRECT(ADDRESS(12,3+18*3+(5),,,"J1 A - (North) Bishopthorpe Roa")&amp;":"&amp;ADDRESS(130,3+18*3+(5))),'J1 A - (North) Bishopthorpe Roa'!$A$12:$A$130,"&gt;="&amp;Diagram!$O91,'J1 A - (North) Bishopthorpe Roa'!$A$12:$A$130,"&lt;"&amp;Diagram!$P91),SUMIFS(INDIRECT(ADDRESS(12,3+18*3+(13),,,"J1 A - (North) Bishopthorpe Roa")&amp;":"&amp;ADDRESS(130,3+18*3+(13))),'J1 A - (North) Bishopthorpe Roa'!$A$12:$A$130,"&gt;="&amp;Diagram!$O91,'J1 A - (North) Bishopthorpe Roa'!$A$12:$A$130,"&lt;"&amp;Diagram!$P91)))</f>
        <v>0</v>
      </c>
      <c r="DA91" s="42">
        <f ca="1">IF(OR($I$10="",$O91="",$P91="",$J$40&lt;&gt;"Yes"),0,IF($K$10=0,SUMIFS(INDIRECT(ADDRESS(12,3+18*0+(5),,,"J1 A - (North) Bishopthorpe Roa")&amp;":"&amp;ADDRESS(130,3+18*0+(5))),'J1 A - (North) Bishopthorpe Roa'!$A$12:$A$130,"&gt;="&amp;Diagram!$O91,'J1 A - (North) Bishopthorpe Roa'!$A$12:$A$130,"&lt;"&amp;Diagram!$P91),SUMIFS(INDIRECT(ADDRESS(12,3+18*0+(13),,,"J1 A - (North) Bishopthorpe Roa")&amp;":"&amp;ADDRESS(130,3+18*0+(13))),'J1 A - (North) Bishopthorpe Roa'!$A$12:$A$130,"&gt;="&amp;Diagram!$O91,'J1 A - (North) Bishopthorpe Roa'!$A$12:$A$130,"&lt;"&amp;Diagram!$P91)))</f>
        <v>0</v>
      </c>
      <c r="DB91" s="42">
        <f ca="1">IF(OR($I$10="",$O91="",$P91="",$J$40&lt;&gt;"Yes"),0,IF($K$10=0,SUMIFS(INDIRECT(ADDRESS(12,3+18*1+(5),,,"J1 A - (North) Bishopthorpe Roa")&amp;":"&amp;ADDRESS(130,3+18*1+(5))),'J1 A - (North) Bishopthorpe Roa'!$A$12:$A$130,"&gt;="&amp;Diagram!$O91,'J1 A - (North) Bishopthorpe Roa'!$A$12:$A$130,"&lt;"&amp;Diagram!$P91),SUMIFS(INDIRECT(ADDRESS(12,3+18*1+(13),,,"J1 A - (North) Bishopthorpe Roa")&amp;":"&amp;ADDRESS(130,3+18*1+(13))),'J1 A - (North) Bishopthorpe Roa'!$A$12:$A$130,"&gt;="&amp;Diagram!$O91,'J1 A - (North) Bishopthorpe Roa'!$A$12:$A$130,"&lt;"&amp;Diagram!$P91)))</f>
        <v>2</v>
      </c>
      <c r="DC91" s="42">
        <f ca="1">IF(OR($I$10="",$O91="",$P91="",$J$40&lt;&gt;"Yes"),0,IF($K$10=0,SUMIFS(INDIRECT(ADDRESS(12,3+18*2+(5),,,"J1 A - (North) Bishopthorpe Roa")&amp;":"&amp;ADDRESS(130,3+18*2+(5))),'J1 A - (North) Bishopthorpe Roa'!$A$12:$A$130,"&gt;="&amp;Diagram!$O91,'J1 A - (North) Bishopthorpe Roa'!$A$12:$A$130,"&lt;"&amp;Diagram!$P91),SUMIFS(INDIRECT(ADDRESS(12,3+18*2+(13),,,"J1 A - (North) Bishopthorpe Roa")&amp;":"&amp;ADDRESS(130,3+18*2+(13))),'J1 A - (North) Bishopthorpe Roa'!$A$12:$A$130,"&gt;="&amp;Diagram!$O91,'J1 A - (North) Bishopthorpe Roa'!$A$12:$A$130,"&lt;"&amp;Diagram!$P91)))</f>
        <v>2</v>
      </c>
      <c r="DD91" s="42">
        <f ca="1">IF(OR($I$10="",$O91="",$P91="",$J$40&lt;&gt;"Yes"),0,IF($K$10=0,SUMIFS(INDIRECT(ADDRESS(12,3+18*2+(5),,,"J1 B - Butcher Terrace")&amp;":"&amp;ADDRESS(130,3+18*2+(5))),'J1 B - Butcher Terrace'!$A$12:$A$130,"&gt;="&amp;Diagram!$O91,'J1 B - Butcher Terrace'!$A$12:$A$130,"&lt;"&amp;Diagram!$P91),SUMIFS(INDIRECT(ADDRESS(12,3+18*2+(13),,,"J1 B - Butcher Terrace")&amp;":"&amp;ADDRESS(130,3+18*2+(13))),'J1 B - Butcher Terrace'!$A$12:$A$130,"&gt;="&amp;Diagram!$O91,'J1 B - Butcher Terrace'!$A$12:$A$130,"&lt;"&amp;Diagram!$P91)))</f>
        <v>5</v>
      </c>
      <c r="DE91" s="42">
        <f ca="1">IF(OR($I$10="",$O91="",$P91="",$J$40&lt;&gt;"Yes"),0,IF($K$10=0,SUMIFS(INDIRECT(ADDRESS(12,3+18*3+(5),,,"J1 B - Butcher Terrace")&amp;":"&amp;ADDRESS(130,3+18*3+(5))),'J1 B - Butcher Terrace'!$A$12:$A$130,"&gt;="&amp;Diagram!$O91,'J1 B - Butcher Terrace'!$A$12:$A$130,"&lt;"&amp;Diagram!$P91),SUMIFS(INDIRECT(ADDRESS(12,3+18*3+(13),,,"J1 B - Butcher Terrace")&amp;":"&amp;ADDRESS(130,3+18*3+(13))),'J1 B - Butcher Terrace'!$A$12:$A$130,"&gt;="&amp;Diagram!$O91,'J1 B - Butcher Terrace'!$A$12:$A$130,"&lt;"&amp;Diagram!$P91)))</f>
        <v>0</v>
      </c>
      <c r="DF91" s="42">
        <f ca="1">IF(OR($I$10="",$O91="",$P91="",$J$40&lt;&gt;"Yes"),0,IF($K$10=0,SUMIFS(INDIRECT(ADDRESS(12,3+18*0+(5),,,"J1 B - Butcher Terrace")&amp;":"&amp;ADDRESS(130,3+18*0+(5))),'J1 B - Butcher Terrace'!$A$12:$A$130,"&gt;="&amp;Diagram!$O91,'J1 B - Butcher Terrace'!$A$12:$A$130,"&lt;"&amp;Diagram!$P91),SUMIFS(INDIRECT(ADDRESS(12,3+18*0+(13),,,"J1 B - Butcher Terrace")&amp;":"&amp;ADDRESS(130,3+18*0+(13))),'J1 B - Butcher Terrace'!$A$12:$A$130,"&gt;="&amp;Diagram!$O91,'J1 B - Butcher Terrace'!$A$12:$A$130,"&lt;"&amp;Diagram!$P91)))</f>
        <v>1</v>
      </c>
      <c r="DG91" s="42">
        <f ca="1">IF(OR($I$10="",$O91="",$P91="",$J$40&lt;&gt;"Yes"),0,IF($K$10=0,SUMIFS(INDIRECT(ADDRESS(12,3+18*1+(5),,,"J1 B - Butcher Terrace")&amp;":"&amp;ADDRESS(130,3+18*1+(5))),'J1 B - Butcher Terrace'!$A$12:$A$130,"&gt;="&amp;Diagram!$O91,'J1 B - Butcher Terrace'!$A$12:$A$130,"&lt;"&amp;Diagram!$P91),SUMIFS(INDIRECT(ADDRESS(12,3+18*1+(13),,,"J1 B - Butcher Terrace")&amp;":"&amp;ADDRESS(130,3+18*1+(13))),'J1 B - Butcher Terrace'!$A$12:$A$130,"&gt;="&amp;Diagram!$O91,'J1 B - Butcher Terrace'!$A$12:$A$130,"&lt;"&amp;Diagram!$P91)))</f>
        <v>9</v>
      </c>
      <c r="DH91" s="42">
        <f ca="1">IF(OR($I$10="",$O91="",$P91="",$J$40&lt;&gt;"Yes"),0,IF($K$10=0,SUMIFS(INDIRECT(ADDRESS(12,3+18*1+(5),,,"J1 C - (South) Bishopthorpe Roa")&amp;":"&amp;ADDRESS(130,3+18*1+(5))),'J1 C - (South) Bishopthorpe Roa'!$A$12:$A$130,"&gt;="&amp;Diagram!$O91,'J1 C - (South) Bishopthorpe Roa'!$A$12:$A$130,"&lt;"&amp;Diagram!$P91),SUMIFS(INDIRECT(ADDRESS(12,3+18*1+(13),,,"J1 C - (South) Bishopthorpe Roa")&amp;":"&amp;ADDRESS(130,3+18*1+(13))),'J1 C - (South) Bishopthorpe Roa'!$A$12:$A$130,"&gt;="&amp;Diagram!$O91,'J1 C - (South) Bishopthorpe Roa'!$A$12:$A$130,"&lt;"&amp;Diagram!$P91)))</f>
        <v>1</v>
      </c>
      <c r="DI91" s="42">
        <f ca="1">IF(OR($I$10="",$O91="",$P91="",$J$40&lt;&gt;"Yes"),0,IF($K$10=0,SUMIFS(INDIRECT(ADDRESS(12,3+18*2+(5),,,"J1 C - (South) Bishopthorpe Roa")&amp;":"&amp;ADDRESS(130,3+18*2+(5))),'J1 C - (South) Bishopthorpe Roa'!$A$12:$A$130,"&gt;="&amp;Diagram!$O91,'J1 C - (South) Bishopthorpe Roa'!$A$12:$A$130,"&lt;"&amp;Diagram!$P91),SUMIFS(INDIRECT(ADDRESS(12,3+18*2+(13),,,"J1 C - (South) Bishopthorpe Roa")&amp;":"&amp;ADDRESS(130,3+18*2+(13))),'J1 C - (South) Bishopthorpe Roa'!$A$12:$A$130,"&gt;="&amp;Diagram!$O91,'J1 C - (South) Bishopthorpe Roa'!$A$12:$A$130,"&lt;"&amp;Diagram!$P91)))</f>
        <v>0</v>
      </c>
      <c r="DJ91" s="42">
        <f ca="1">IF(OR($I$10="",$O91="",$P91="",$J$40&lt;&gt;"Yes"),0,IF($K$10=0,SUMIFS(INDIRECT(ADDRESS(12,3+18*3+(5),,,"J1 C - (South) Bishopthorpe Roa")&amp;":"&amp;ADDRESS(130,3+18*3+(5))),'J1 C - (South) Bishopthorpe Roa'!$A$12:$A$130,"&gt;="&amp;Diagram!$O91,'J1 C - (South) Bishopthorpe Roa'!$A$12:$A$130,"&lt;"&amp;Diagram!$P91),SUMIFS(INDIRECT(ADDRESS(12,3+18*3+(13),,,"J1 C - (South) Bishopthorpe Roa")&amp;":"&amp;ADDRESS(130,3+18*3+(13))),'J1 C - (South) Bishopthorpe Roa'!$A$12:$A$130,"&gt;="&amp;Diagram!$O91,'J1 C - (South) Bishopthorpe Roa'!$A$12:$A$130,"&lt;"&amp;Diagram!$P91)))</f>
        <v>0</v>
      </c>
      <c r="DK91" s="42">
        <f ca="1">IF(OR($I$10="",$O91="",$P91="",$J$40&lt;&gt;"Yes"),0,IF($K$10=0,SUMIFS(INDIRECT(ADDRESS(12,3+18*0+(5),,,"J1 C - (South) Bishopthorpe Roa")&amp;":"&amp;ADDRESS(130,3+18*0+(5))),'J1 C - (South) Bishopthorpe Roa'!$A$12:$A$130,"&gt;="&amp;Diagram!$O91,'J1 C - (South) Bishopthorpe Roa'!$A$12:$A$130,"&lt;"&amp;Diagram!$P91),SUMIFS(INDIRECT(ADDRESS(12,3+18*0+(13),,,"J1 C - (South) Bishopthorpe Roa")&amp;":"&amp;ADDRESS(130,3+18*0+(13))),'J1 C - (South) Bishopthorpe Roa'!$A$12:$A$130,"&gt;="&amp;Diagram!$O91,'J1 C - (South) Bishopthorpe Roa'!$A$12:$A$130,"&lt;"&amp;Diagram!$P91)))</f>
        <v>0</v>
      </c>
      <c r="DL91" s="42">
        <f ca="1">IF(OR($I$10="",$O91="",$P91="",$J$40&lt;&gt;"Yes"),0,IF($K$10=0,SUMIFS(INDIRECT(ADDRESS(12,3+18*0+(5),,,"J1 D - South Bank Avenue")&amp;":"&amp;ADDRESS(130,3+18*0+(5))),'J1 D - South Bank Avenue'!$A$12:$A$130,"&gt;="&amp;Diagram!$O91,'J1 D - South Bank Avenue'!$A$12:$A$130,"&lt;"&amp;Diagram!$P91),SUMIFS(INDIRECT(ADDRESS(12,3+18*0+(13),,,"J1 D - South Bank Avenue")&amp;":"&amp;ADDRESS(130,3+18*0+(13))),'J1 D - South Bank Avenue'!$A$12:$A$130,"&gt;="&amp;Diagram!$O91,'J1 D - South Bank Avenue'!$A$12:$A$130,"&lt;"&amp;Diagram!$P91)))</f>
        <v>3</v>
      </c>
      <c r="DM91" s="42">
        <f ca="1">IF(OR($I$10="",$O91="",$P91="",$J$40&lt;&gt;"Yes"),0,IF($K$10=0,SUMIFS(INDIRECT(ADDRESS(12,3+18*1+(5),,,"J1 D - South Bank Avenue")&amp;":"&amp;ADDRESS(130,3+18*1+(5))),'J1 D - South Bank Avenue'!$A$12:$A$130,"&gt;="&amp;Diagram!$O91,'J1 D - South Bank Avenue'!$A$12:$A$130,"&lt;"&amp;Diagram!$P91),SUMIFS(INDIRECT(ADDRESS(12,3+18*1+(13),,,"J1 D - South Bank Avenue")&amp;":"&amp;ADDRESS(130,3+18*1+(13))),'J1 D - South Bank Avenue'!$A$12:$A$130,"&gt;="&amp;Diagram!$O91,'J1 D - South Bank Avenue'!$A$12:$A$130,"&lt;"&amp;Diagram!$P91)))</f>
        <v>3</v>
      </c>
      <c r="DN91" s="42">
        <f ca="1">IF(OR($I$10="",$O91="",$P91="",$J$40&lt;&gt;"Yes"),0,IF($K$10=0,SUMIFS(INDIRECT(ADDRESS(12,3+18*2+(5),,,"J1 D - South Bank Avenue")&amp;":"&amp;ADDRESS(130,3+18*2+(5))),'J1 D - South Bank Avenue'!$A$12:$A$130,"&gt;="&amp;Diagram!$O91,'J1 D - South Bank Avenue'!$A$12:$A$130,"&lt;"&amp;Diagram!$P91),SUMIFS(INDIRECT(ADDRESS(12,3+18*2+(13),,,"J1 D - South Bank Avenue")&amp;":"&amp;ADDRESS(130,3+18*2+(13))),'J1 D - South Bank Avenue'!$A$12:$A$130,"&gt;="&amp;Diagram!$O91,'J1 D - South Bank Avenue'!$A$12:$A$130,"&lt;"&amp;Diagram!$P91)))</f>
        <v>0</v>
      </c>
      <c r="DO91" s="42">
        <f ca="1">IF(OR($I$10="",$O91="",$P91="",$J$40&lt;&gt;"Yes"),0,IF($K$10=0,SUMIFS(INDIRECT(ADDRESS(12,3+18*3+(5),,,"J1 D - South Bank Avenue")&amp;":"&amp;ADDRESS(130,3+18*3+(5))),'J1 D - South Bank Avenue'!$A$12:$A$130,"&gt;="&amp;Diagram!$O91,'J1 D - South Bank Avenue'!$A$12:$A$130,"&lt;"&amp;Diagram!$P91),SUMIFS(INDIRECT(ADDRESS(12,3+18*3+(13),,,"J1 D - South Bank Avenue")&amp;":"&amp;ADDRESS(130,3+18*3+(13))),'J1 D - South Bank Avenue'!$A$12:$A$130,"&gt;="&amp;Diagram!$O91,'J1 D - South Bank Avenue'!$A$12:$A$130,"&lt;"&amp;Diagram!$P91)))</f>
        <v>0</v>
      </c>
      <c r="DP91" s="42">
        <f t="shared" ca="1" si="17"/>
        <v>6</v>
      </c>
      <c r="DQ91" s="42">
        <f ca="1">IF(OR($I$10="",$O91="",$P91="",$J$41&lt;&gt;"Yes"),0,IF($K$10=0,SUMIFS(INDIRECT(ADDRESS(12,3+18*3+(6),,,"J1 A - (North) Bishopthorpe Roa")&amp;":"&amp;ADDRESS(130,3+18*3+(6))),'J1 A - (North) Bishopthorpe Roa'!$A$12:$A$130,"&gt;="&amp;Diagram!$O91,'J1 A - (North) Bishopthorpe Roa'!$A$12:$A$130,"&lt;"&amp;Diagram!$P91),SUMIFS(INDIRECT(ADDRESS(12,3+18*3+(14),,,"J1 A - (North) Bishopthorpe Roa")&amp;":"&amp;ADDRESS(130,3+18*3+(14))),'J1 A - (North) Bishopthorpe Roa'!$A$12:$A$130,"&gt;="&amp;Diagram!$O91,'J1 A - (North) Bishopthorpe Roa'!$A$12:$A$130,"&lt;"&amp;Diagram!$P91)))</f>
        <v>0</v>
      </c>
      <c r="DR91" s="42">
        <f ca="1">IF(OR($I$10="",$O91="",$P91="",$J$41&lt;&gt;"Yes"),0,IF($K$10=0,SUMIFS(INDIRECT(ADDRESS(12,3+18*0+(6),,,"J1 A - (North) Bishopthorpe Roa")&amp;":"&amp;ADDRESS(130,3+18*0+(6))),'J1 A - (North) Bishopthorpe Roa'!$A$12:$A$130,"&gt;="&amp;Diagram!$O91,'J1 A - (North) Bishopthorpe Roa'!$A$12:$A$130,"&lt;"&amp;Diagram!$P91),SUMIFS(INDIRECT(ADDRESS(12,3+18*0+(14),,,"J1 A - (North) Bishopthorpe Roa")&amp;":"&amp;ADDRESS(130,3+18*0+(14))),'J1 A - (North) Bishopthorpe Roa'!$A$12:$A$130,"&gt;="&amp;Diagram!$O91,'J1 A - (North) Bishopthorpe Roa'!$A$12:$A$130,"&lt;"&amp;Diagram!$P91)))</f>
        <v>1</v>
      </c>
      <c r="DS91" s="42">
        <f ca="1">IF(OR($I$10="",$O91="",$P91="",$J$41&lt;&gt;"Yes"),0,IF($K$10=0,SUMIFS(INDIRECT(ADDRESS(12,3+18*1+(6),,,"J1 A - (North) Bishopthorpe Roa")&amp;":"&amp;ADDRESS(130,3+18*1+(6))),'J1 A - (North) Bishopthorpe Roa'!$A$12:$A$130,"&gt;="&amp;Diagram!$O91,'J1 A - (North) Bishopthorpe Roa'!$A$12:$A$130,"&lt;"&amp;Diagram!$P91),SUMIFS(INDIRECT(ADDRESS(12,3+18*1+(14),,,"J1 A - (North) Bishopthorpe Roa")&amp;":"&amp;ADDRESS(130,3+18*1+(14))),'J1 A - (North) Bishopthorpe Roa'!$A$12:$A$130,"&gt;="&amp;Diagram!$O91,'J1 A - (North) Bishopthorpe Roa'!$A$12:$A$130,"&lt;"&amp;Diagram!$P91)))</f>
        <v>0</v>
      </c>
      <c r="DT91" s="42">
        <f ca="1">IF(OR($I$10="",$O91="",$P91="",$J$41&lt;&gt;"Yes"),0,IF($K$10=0,SUMIFS(INDIRECT(ADDRESS(12,3+18*2+(6),,,"J1 A - (North) Bishopthorpe Roa")&amp;":"&amp;ADDRESS(130,3+18*2+(6))),'J1 A - (North) Bishopthorpe Roa'!$A$12:$A$130,"&gt;="&amp;Diagram!$O91,'J1 A - (North) Bishopthorpe Roa'!$A$12:$A$130,"&lt;"&amp;Diagram!$P91),SUMIFS(INDIRECT(ADDRESS(12,3+18*2+(14),,,"J1 A - (North) Bishopthorpe Roa")&amp;":"&amp;ADDRESS(130,3+18*2+(14))),'J1 A - (North) Bishopthorpe Roa'!$A$12:$A$130,"&gt;="&amp;Diagram!$O91,'J1 A - (North) Bishopthorpe Roa'!$A$12:$A$130,"&lt;"&amp;Diagram!$P91)))</f>
        <v>1</v>
      </c>
      <c r="DU91" s="42">
        <f ca="1">IF(OR($I$10="",$O91="",$P91="",$J$41&lt;&gt;"Yes"),0,IF($K$10=0,SUMIFS(INDIRECT(ADDRESS(12,3+18*2+(6),,,"J1 B - Butcher Terrace")&amp;":"&amp;ADDRESS(130,3+18*2+(6))),'J1 B - Butcher Terrace'!$A$12:$A$130,"&gt;="&amp;Diagram!$O91,'J1 B - Butcher Terrace'!$A$12:$A$130,"&lt;"&amp;Diagram!$P91),SUMIFS(INDIRECT(ADDRESS(12,3+18*2+(14),,,"J1 B - Butcher Terrace")&amp;":"&amp;ADDRESS(130,3+18*2+(14))),'J1 B - Butcher Terrace'!$A$12:$A$130,"&gt;="&amp;Diagram!$O91,'J1 B - Butcher Terrace'!$A$12:$A$130,"&lt;"&amp;Diagram!$P91)))</f>
        <v>1</v>
      </c>
      <c r="DV91" s="42">
        <f ca="1">IF(OR($I$10="",$O91="",$P91="",$J$41&lt;&gt;"Yes"),0,IF($K$10=0,SUMIFS(INDIRECT(ADDRESS(12,3+18*3+(6),,,"J1 B - Butcher Terrace")&amp;":"&amp;ADDRESS(130,3+18*3+(6))),'J1 B - Butcher Terrace'!$A$12:$A$130,"&gt;="&amp;Diagram!$O91,'J1 B - Butcher Terrace'!$A$12:$A$130,"&lt;"&amp;Diagram!$P91),SUMIFS(INDIRECT(ADDRESS(12,3+18*3+(14),,,"J1 B - Butcher Terrace")&amp;":"&amp;ADDRESS(130,3+18*3+(14))),'J1 B - Butcher Terrace'!$A$12:$A$130,"&gt;="&amp;Diagram!$O91,'J1 B - Butcher Terrace'!$A$12:$A$130,"&lt;"&amp;Diagram!$P91)))</f>
        <v>0</v>
      </c>
      <c r="DW91" s="42">
        <f ca="1">IF(OR($I$10="",$O91="",$P91="",$J$41&lt;&gt;"Yes"),0,IF($K$10=0,SUMIFS(INDIRECT(ADDRESS(12,3+18*0+(6),,,"J1 B - Butcher Terrace")&amp;":"&amp;ADDRESS(130,3+18*0+(6))),'J1 B - Butcher Terrace'!$A$12:$A$130,"&gt;="&amp;Diagram!$O91,'J1 B - Butcher Terrace'!$A$12:$A$130,"&lt;"&amp;Diagram!$P91),SUMIFS(INDIRECT(ADDRESS(12,3+18*0+(14),,,"J1 B - Butcher Terrace")&amp;":"&amp;ADDRESS(130,3+18*0+(14))),'J1 B - Butcher Terrace'!$A$12:$A$130,"&gt;="&amp;Diagram!$O91,'J1 B - Butcher Terrace'!$A$12:$A$130,"&lt;"&amp;Diagram!$P91)))</f>
        <v>0</v>
      </c>
      <c r="DX91" s="42">
        <f ca="1">IF(OR($I$10="",$O91="",$P91="",$J$41&lt;&gt;"Yes"),0,IF($K$10=0,SUMIFS(INDIRECT(ADDRESS(12,3+18*1+(6),,,"J1 B - Butcher Terrace")&amp;":"&amp;ADDRESS(130,3+18*1+(6))),'J1 B - Butcher Terrace'!$A$12:$A$130,"&gt;="&amp;Diagram!$O91,'J1 B - Butcher Terrace'!$A$12:$A$130,"&lt;"&amp;Diagram!$P91),SUMIFS(INDIRECT(ADDRESS(12,3+18*1+(14),,,"J1 B - Butcher Terrace")&amp;":"&amp;ADDRESS(130,3+18*1+(14))),'J1 B - Butcher Terrace'!$A$12:$A$130,"&gt;="&amp;Diagram!$O91,'J1 B - Butcher Terrace'!$A$12:$A$130,"&lt;"&amp;Diagram!$P91)))</f>
        <v>0</v>
      </c>
      <c r="DY91" s="42">
        <f ca="1">IF(OR($I$10="",$O91="",$P91="",$J$41&lt;&gt;"Yes"),0,IF($K$10=0,SUMIFS(INDIRECT(ADDRESS(12,3+18*1+(6),,,"J1 C - (South) Bishopthorpe Roa")&amp;":"&amp;ADDRESS(130,3+18*1+(6))),'J1 C - (South) Bishopthorpe Roa'!$A$12:$A$130,"&gt;="&amp;Diagram!$O91,'J1 C - (South) Bishopthorpe Roa'!$A$12:$A$130,"&lt;"&amp;Diagram!$P91),SUMIFS(INDIRECT(ADDRESS(12,3+18*1+(14),,,"J1 C - (South) Bishopthorpe Roa")&amp;":"&amp;ADDRESS(130,3+18*1+(14))),'J1 C - (South) Bishopthorpe Roa'!$A$12:$A$130,"&gt;="&amp;Diagram!$O91,'J1 C - (South) Bishopthorpe Roa'!$A$12:$A$130,"&lt;"&amp;Diagram!$P91)))</f>
        <v>2</v>
      </c>
      <c r="DZ91" s="42">
        <f ca="1">IF(OR($I$10="",$O91="",$P91="",$J$41&lt;&gt;"Yes"),0,IF($K$10=0,SUMIFS(INDIRECT(ADDRESS(12,3+18*2+(6),,,"J1 C - (South) Bishopthorpe Roa")&amp;":"&amp;ADDRESS(130,3+18*2+(6))),'J1 C - (South) Bishopthorpe Roa'!$A$12:$A$130,"&gt;="&amp;Diagram!$O91,'J1 C - (South) Bishopthorpe Roa'!$A$12:$A$130,"&lt;"&amp;Diagram!$P91),SUMIFS(INDIRECT(ADDRESS(12,3+18*2+(14),,,"J1 C - (South) Bishopthorpe Roa")&amp;":"&amp;ADDRESS(130,3+18*2+(14))),'J1 C - (South) Bishopthorpe Roa'!$A$12:$A$130,"&gt;="&amp;Diagram!$O91,'J1 C - (South) Bishopthorpe Roa'!$A$12:$A$130,"&lt;"&amp;Diagram!$P91)))</f>
        <v>0</v>
      </c>
      <c r="EA91" s="42">
        <f ca="1">IF(OR($I$10="",$O91="",$P91="",$J$41&lt;&gt;"Yes"),0,IF($K$10=0,SUMIFS(INDIRECT(ADDRESS(12,3+18*3+(6),,,"J1 C - (South) Bishopthorpe Roa")&amp;":"&amp;ADDRESS(130,3+18*3+(6))),'J1 C - (South) Bishopthorpe Roa'!$A$12:$A$130,"&gt;="&amp;Diagram!$O91,'J1 C - (South) Bishopthorpe Roa'!$A$12:$A$130,"&lt;"&amp;Diagram!$P91),SUMIFS(INDIRECT(ADDRESS(12,3+18*3+(14),,,"J1 C - (South) Bishopthorpe Roa")&amp;":"&amp;ADDRESS(130,3+18*3+(14))),'J1 C - (South) Bishopthorpe Roa'!$A$12:$A$130,"&gt;="&amp;Diagram!$O91,'J1 C - (South) Bishopthorpe Roa'!$A$12:$A$130,"&lt;"&amp;Diagram!$P91)))</f>
        <v>0</v>
      </c>
      <c r="EB91" s="42">
        <f ca="1">IF(OR($I$10="",$O91="",$P91="",$J$41&lt;&gt;"Yes"),0,IF($K$10=0,SUMIFS(INDIRECT(ADDRESS(12,3+18*0+(6),,,"J1 C - (South) Bishopthorpe Roa")&amp;":"&amp;ADDRESS(130,3+18*0+(6))),'J1 C - (South) Bishopthorpe Roa'!$A$12:$A$130,"&gt;="&amp;Diagram!$O91,'J1 C - (South) Bishopthorpe Roa'!$A$12:$A$130,"&lt;"&amp;Diagram!$P91),SUMIFS(INDIRECT(ADDRESS(12,3+18*0+(14),,,"J1 C - (South) Bishopthorpe Roa")&amp;":"&amp;ADDRESS(130,3+18*0+(14))),'J1 C - (South) Bishopthorpe Roa'!$A$12:$A$130,"&gt;="&amp;Diagram!$O91,'J1 C - (South) Bishopthorpe Roa'!$A$12:$A$130,"&lt;"&amp;Diagram!$P91)))</f>
        <v>0</v>
      </c>
      <c r="EC91" s="42">
        <f ca="1">IF(OR($I$10="",$O91="",$P91="",$J$41&lt;&gt;"Yes"),0,IF($K$10=0,SUMIFS(INDIRECT(ADDRESS(12,3+18*0+(6),,,"J1 D - South Bank Avenue")&amp;":"&amp;ADDRESS(130,3+18*0+(6))),'J1 D - South Bank Avenue'!$A$12:$A$130,"&gt;="&amp;Diagram!$O91,'J1 D - South Bank Avenue'!$A$12:$A$130,"&lt;"&amp;Diagram!$P91),SUMIFS(INDIRECT(ADDRESS(12,3+18*0+(14),,,"J1 D - South Bank Avenue")&amp;":"&amp;ADDRESS(130,3+18*0+(14))),'J1 D - South Bank Avenue'!$A$12:$A$130,"&gt;="&amp;Diagram!$O91,'J1 D - South Bank Avenue'!$A$12:$A$130,"&lt;"&amp;Diagram!$P91)))</f>
        <v>1</v>
      </c>
      <c r="ED91" s="42">
        <f ca="1">IF(OR($I$10="",$O91="",$P91="",$J$41&lt;&gt;"Yes"),0,IF($K$10=0,SUMIFS(INDIRECT(ADDRESS(12,3+18*1+(6),,,"J1 D - South Bank Avenue")&amp;":"&amp;ADDRESS(130,3+18*1+(6))),'J1 D - South Bank Avenue'!$A$12:$A$130,"&gt;="&amp;Diagram!$O91,'J1 D - South Bank Avenue'!$A$12:$A$130,"&lt;"&amp;Diagram!$P91),SUMIFS(INDIRECT(ADDRESS(12,3+18*1+(14),,,"J1 D - South Bank Avenue")&amp;":"&amp;ADDRESS(130,3+18*1+(14))),'J1 D - South Bank Avenue'!$A$12:$A$130,"&gt;="&amp;Diagram!$O91,'J1 D - South Bank Avenue'!$A$12:$A$130,"&lt;"&amp;Diagram!$P91)))</f>
        <v>0</v>
      </c>
      <c r="EE91" s="42">
        <f ca="1">IF(OR($I$10="",$O91="",$P91="",$J$41&lt;&gt;"Yes"),0,IF($K$10=0,SUMIFS(INDIRECT(ADDRESS(12,3+18*2+(6),,,"J1 D - South Bank Avenue")&amp;":"&amp;ADDRESS(130,3+18*2+(6))),'J1 D - South Bank Avenue'!$A$12:$A$130,"&gt;="&amp;Diagram!$O91,'J1 D - South Bank Avenue'!$A$12:$A$130,"&lt;"&amp;Diagram!$P91),SUMIFS(INDIRECT(ADDRESS(12,3+18*2+(14),,,"J1 D - South Bank Avenue")&amp;":"&amp;ADDRESS(130,3+18*2+(14))),'J1 D - South Bank Avenue'!$A$12:$A$130,"&gt;="&amp;Diagram!$O91,'J1 D - South Bank Avenue'!$A$12:$A$130,"&lt;"&amp;Diagram!$P91)))</f>
        <v>0</v>
      </c>
      <c r="EF91" s="42">
        <f ca="1">IF(OR($I$10="",$O91="",$P91="",$J$41&lt;&gt;"Yes"),0,IF($K$10=0,SUMIFS(INDIRECT(ADDRESS(12,3+18*3+(6),,,"J1 D - South Bank Avenue")&amp;":"&amp;ADDRESS(130,3+18*3+(6))),'J1 D - South Bank Avenue'!$A$12:$A$130,"&gt;="&amp;Diagram!$O91,'J1 D - South Bank Avenue'!$A$12:$A$130,"&lt;"&amp;Diagram!$P91),SUMIFS(INDIRECT(ADDRESS(12,3+18*3+(14),,,"J1 D - South Bank Avenue")&amp;":"&amp;ADDRESS(130,3+18*3+(14))),'J1 D - South Bank Avenue'!$A$12:$A$130,"&gt;="&amp;Diagram!$O91,'J1 D - South Bank Avenue'!$A$12:$A$130,"&lt;"&amp;Diagram!$P91)))</f>
        <v>0</v>
      </c>
      <c r="EG91" s="42">
        <f t="shared" ca="1" si="18"/>
        <v>0</v>
      </c>
      <c r="EH91" s="42">
        <f ca="1">IF(OR($I$10="",$O91="",$P91="",$J$42&lt;&gt;"Yes"),0,IF($K$10=0,SUMIFS(INDIRECT(ADDRESS(12,3+18*3+(7),,,"J1 A - (North) Bishopthorpe Roa")&amp;":"&amp;ADDRESS(130,3+18*3+(7))),'J1 A - (North) Bishopthorpe Roa'!$A$12:$A$130,"&gt;="&amp;Diagram!$O91,'J1 A - (North) Bishopthorpe Roa'!$A$12:$A$130,"&lt;"&amp;Diagram!$P91),SUMIFS(INDIRECT(ADDRESS(12,3+18*3+(15),,,"J1 A - (North) Bishopthorpe Roa")&amp;":"&amp;ADDRESS(130,3+18*3+(15))),'J1 A - (North) Bishopthorpe Roa'!$A$12:$A$130,"&gt;="&amp;Diagram!$O91,'J1 A - (North) Bishopthorpe Roa'!$A$12:$A$130,"&lt;"&amp;Diagram!$P91)))</f>
        <v>0</v>
      </c>
      <c r="EI91" s="42">
        <f ca="1">IF(OR($I$10="",$O91="",$P91="",$J$42&lt;&gt;"Yes"),0,IF($K$10=0,SUMIFS(INDIRECT(ADDRESS(12,3+18*0+(7),,,"J1 A - (North) Bishopthorpe Roa")&amp;":"&amp;ADDRESS(130,3+18*0+(7))),'J1 A - (North) Bishopthorpe Roa'!$A$12:$A$130,"&gt;="&amp;Diagram!$O91,'J1 A - (North) Bishopthorpe Roa'!$A$12:$A$130,"&lt;"&amp;Diagram!$P91),SUMIFS(INDIRECT(ADDRESS(12,3+18*0+(15),,,"J1 A - (North) Bishopthorpe Roa")&amp;":"&amp;ADDRESS(130,3+18*0+(15))),'J1 A - (North) Bishopthorpe Roa'!$A$12:$A$130,"&gt;="&amp;Diagram!$O91,'J1 A - (North) Bishopthorpe Roa'!$A$12:$A$130,"&lt;"&amp;Diagram!$P91)))</f>
        <v>0</v>
      </c>
      <c r="EJ91" s="42">
        <f ca="1">IF(OR($I$10="",$O91="",$P91="",$J$42&lt;&gt;"Yes"),0,IF($K$10=0,SUMIFS(INDIRECT(ADDRESS(12,3+18*1+(7),,,"J1 A - (North) Bishopthorpe Roa")&amp;":"&amp;ADDRESS(130,3+18*1+(7))),'J1 A - (North) Bishopthorpe Roa'!$A$12:$A$130,"&gt;="&amp;Diagram!$O91,'J1 A - (North) Bishopthorpe Roa'!$A$12:$A$130,"&lt;"&amp;Diagram!$P91),SUMIFS(INDIRECT(ADDRESS(12,3+18*1+(15),,,"J1 A - (North) Bishopthorpe Roa")&amp;":"&amp;ADDRESS(130,3+18*1+(15))),'J1 A - (North) Bishopthorpe Roa'!$A$12:$A$130,"&gt;="&amp;Diagram!$O91,'J1 A - (North) Bishopthorpe Roa'!$A$12:$A$130,"&lt;"&amp;Diagram!$P91)))</f>
        <v>0</v>
      </c>
      <c r="EK91" s="42">
        <f ca="1">IF(OR($I$10="",$O91="",$P91="",$J$42&lt;&gt;"Yes"),0,IF($K$10=0,SUMIFS(INDIRECT(ADDRESS(12,3+18*2+(7),,,"J1 A - (North) Bishopthorpe Roa")&amp;":"&amp;ADDRESS(130,3+18*2+(7))),'J1 A - (North) Bishopthorpe Roa'!$A$12:$A$130,"&gt;="&amp;Diagram!$O91,'J1 A - (North) Bishopthorpe Roa'!$A$12:$A$130,"&lt;"&amp;Diagram!$P91),SUMIFS(INDIRECT(ADDRESS(12,3+18*2+(15),,,"J1 A - (North) Bishopthorpe Roa")&amp;":"&amp;ADDRESS(130,3+18*2+(15))),'J1 A - (North) Bishopthorpe Roa'!$A$12:$A$130,"&gt;="&amp;Diagram!$O91,'J1 A - (North) Bishopthorpe Roa'!$A$12:$A$130,"&lt;"&amp;Diagram!$P91)))</f>
        <v>0</v>
      </c>
      <c r="EL91" s="42">
        <f ca="1">IF(OR($I$10="",$O91="",$P91="",$J$42&lt;&gt;"Yes"),0,IF($K$10=0,SUMIFS(INDIRECT(ADDRESS(12,3+18*2+(7),,,"J1 B - Butcher Terrace")&amp;":"&amp;ADDRESS(130,3+18*2+(7))),'J1 B - Butcher Terrace'!$A$12:$A$130,"&gt;="&amp;Diagram!$O91,'J1 B - Butcher Terrace'!$A$12:$A$130,"&lt;"&amp;Diagram!$P91),SUMIFS(INDIRECT(ADDRESS(12,3+18*2+(15),,,"J1 B - Butcher Terrace")&amp;":"&amp;ADDRESS(130,3+18*2+(15))),'J1 B - Butcher Terrace'!$A$12:$A$130,"&gt;="&amp;Diagram!$O91,'J1 B - Butcher Terrace'!$A$12:$A$130,"&lt;"&amp;Diagram!$P91)))</f>
        <v>0</v>
      </c>
      <c r="EM91" s="42">
        <f ca="1">IF(OR($I$10="",$O91="",$P91="",$J$42&lt;&gt;"Yes"),0,IF($K$10=0,SUMIFS(INDIRECT(ADDRESS(12,3+18*3+(7),,,"J1 B - Butcher Terrace")&amp;":"&amp;ADDRESS(130,3+18*3+(7))),'J1 B - Butcher Terrace'!$A$12:$A$130,"&gt;="&amp;Diagram!$O91,'J1 B - Butcher Terrace'!$A$12:$A$130,"&lt;"&amp;Diagram!$P91),SUMIFS(INDIRECT(ADDRESS(12,3+18*3+(15),,,"J1 B - Butcher Terrace")&amp;":"&amp;ADDRESS(130,3+18*3+(15))),'J1 B - Butcher Terrace'!$A$12:$A$130,"&gt;="&amp;Diagram!$O91,'J1 B - Butcher Terrace'!$A$12:$A$130,"&lt;"&amp;Diagram!$P91)))</f>
        <v>0</v>
      </c>
      <c r="EN91" s="42">
        <f ca="1">IF(OR($I$10="",$O91="",$P91="",$J$42&lt;&gt;"Yes"),0,IF($K$10=0,SUMIFS(INDIRECT(ADDRESS(12,3+18*0+(7),,,"J1 B - Butcher Terrace")&amp;":"&amp;ADDRESS(130,3+18*0+(7))),'J1 B - Butcher Terrace'!$A$12:$A$130,"&gt;="&amp;Diagram!$O91,'J1 B - Butcher Terrace'!$A$12:$A$130,"&lt;"&amp;Diagram!$P91),SUMIFS(INDIRECT(ADDRESS(12,3+18*0+(15),,,"J1 B - Butcher Terrace")&amp;":"&amp;ADDRESS(130,3+18*0+(15))),'J1 B - Butcher Terrace'!$A$12:$A$130,"&gt;="&amp;Diagram!$O91,'J1 B - Butcher Terrace'!$A$12:$A$130,"&lt;"&amp;Diagram!$P91)))</f>
        <v>0</v>
      </c>
      <c r="EO91" s="42">
        <f ca="1">IF(OR($I$10="",$O91="",$P91="",$J$42&lt;&gt;"Yes"),0,IF($K$10=0,SUMIFS(INDIRECT(ADDRESS(12,3+18*1+(7),,,"J1 B - Butcher Terrace")&amp;":"&amp;ADDRESS(130,3+18*1+(7))),'J1 B - Butcher Terrace'!$A$12:$A$130,"&gt;="&amp;Diagram!$O91,'J1 B - Butcher Terrace'!$A$12:$A$130,"&lt;"&amp;Diagram!$P91),SUMIFS(INDIRECT(ADDRESS(12,3+18*1+(15),,,"J1 B - Butcher Terrace")&amp;":"&amp;ADDRESS(130,3+18*1+(15))),'J1 B - Butcher Terrace'!$A$12:$A$130,"&gt;="&amp;Diagram!$O91,'J1 B - Butcher Terrace'!$A$12:$A$130,"&lt;"&amp;Diagram!$P91)))</f>
        <v>0</v>
      </c>
      <c r="EP91" s="42">
        <f ca="1">IF(OR($I$10="",$O91="",$P91="",$J$42&lt;&gt;"Yes"),0,IF($K$10=0,SUMIFS(INDIRECT(ADDRESS(12,3+18*1+(7),,,"J1 C - (South) Bishopthorpe Roa")&amp;":"&amp;ADDRESS(130,3+18*1+(7))),'J1 C - (South) Bishopthorpe Roa'!$A$12:$A$130,"&gt;="&amp;Diagram!$O91,'J1 C - (South) Bishopthorpe Roa'!$A$12:$A$130,"&lt;"&amp;Diagram!$P91),SUMIFS(INDIRECT(ADDRESS(12,3+18*1+(15),,,"J1 C - (South) Bishopthorpe Roa")&amp;":"&amp;ADDRESS(130,3+18*1+(15))),'J1 C - (South) Bishopthorpe Roa'!$A$12:$A$130,"&gt;="&amp;Diagram!$O91,'J1 C - (South) Bishopthorpe Roa'!$A$12:$A$130,"&lt;"&amp;Diagram!$P91)))</f>
        <v>0</v>
      </c>
      <c r="EQ91" s="42">
        <f ca="1">IF(OR($I$10="",$O91="",$P91="",$J$42&lt;&gt;"Yes"),0,IF($K$10=0,SUMIFS(INDIRECT(ADDRESS(12,3+18*2+(7),,,"J1 C - (South) Bishopthorpe Roa")&amp;":"&amp;ADDRESS(130,3+18*2+(7))),'J1 C - (South) Bishopthorpe Roa'!$A$12:$A$130,"&gt;="&amp;Diagram!$O91,'J1 C - (South) Bishopthorpe Roa'!$A$12:$A$130,"&lt;"&amp;Diagram!$P91),SUMIFS(INDIRECT(ADDRESS(12,3+18*2+(15),,,"J1 C - (South) Bishopthorpe Roa")&amp;":"&amp;ADDRESS(130,3+18*2+(15))),'J1 C - (South) Bishopthorpe Roa'!$A$12:$A$130,"&gt;="&amp;Diagram!$O91,'J1 C - (South) Bishopthorpe Roa'!$A$12:$A$130,"&lt;"&amp;Diagram!$P91)))</f>
        <v>0</v>
      </c>
      <c r="ER91" s="42">
        <f ca="1">IF(OR($I$10="",$O91="",$P91="",$J$42&lt;&gt;"Yes"),0,IF($K$10=0,SUMIFS(INDIRECT(ADDRESS(12,3+18*3+(7),,,"J1 C - (South) Bishopthorpe Roa")&amp;":"&amp;ADDRESS(130,3+18*3+(7))),'J1 C - (South) Bishopthorpe Roa'!$A$12:$A$130,"&gt;="&amp;Diagram!$O91,'J1 C - (South) Bishopthorpe Roa'!$A$12:$A$130,"&lt;"&amp;Diagram!$P91),SUMIFS(INDIRECT(ADDRESS(12,3+18*3+(15),,,"J1 C - (South) Bishopthorpe Roa")&amp;":"&amp;ADDRESS(130,3+18*3+(15))),'J1 C - (South) Bishopthorpe Roa'!$A$12:$A$130,"&gt;="&amp;Diagram!$O91,'J1 C - (South) Bishopthorpe Roa'!$A$12:$A$130,"&lt;"&amp;Diagram!$P91)))</f>
        <v>0</v>
      </c>
      <c r="ES91" s="42">
        <f ca="1">IF(OR($I$10="",$O91="",$P91="",$J$42&lt;&gt;"Yes"),0,IF($K$10=0,SUMIFS(INDIRECT(ADDRESS(12,3+18*0+(7),,,"J1 C - (South) Bishopthorpe Roa")&amp;":"&amp;ADDRESS(130,3+18*0+(7))),'J1 C - (South) Bishopthorpe Roa'!$A$12:$A$130,"&gt;="&amp;Diagram!$O91,'J1 C - (South) Bishopthorpe Roa'!$A$12:$A$130,"&lt;"&amp;Diagram!$P91),SUMIFS(INDIRECT(ADDRESS(12,3+18*0+(15),,,"J1 C - (South) Bishopthorpe Roa")&amp;":"&amp;ADDRESS(130,3+18*0+(15))),'J1 C - (South) Bishopthorpe Roa'!$A$12:$A$130,"&gt;="&amp;Diagram!$O91,'J1 C - (South) Bishopthorpe Roa'!$A$12:$A$130,"&lt;"&amp;Diagram!$P91)))</f>
        <v>0</v>
      </c>
      <c r="ET91" s="42">
        <f ca="1">IF(OR($I$10="",$O91="",$P91="",$J$42&lt;&gt;"Yes"),0,IF($K$10=0,SUMIFS(INDIRECT(ADDRESS(12,3+18*0+(7),,,"J1 D - South Bank Avenue")&amp;":"&amp;ADDRESS(130,3+18*0+(7))),'J1 D - South Bank Avenue'!$A$12:$A$130,"&gt;="&amp;Diagram!$O91,'J1 D - South Bank Avenue'!$A$12:$A$130,"&lt;"&amp;Diagram!$P91),SUMIFS(INDIRECT(ADDRESS(12,3+18*0+(15),,,"J1 D - South Bank Avenue")&amp;":"&amp;ADDRESS(130,3+18*0+(15))),'J1 D - South Bank Avenue'!$A$12:$A$130,"&gt;="&amp;Diagram!$O91,'J1 D - South Bank Avenue'!$A$12:$A$130,"&lt;"&amp;Diagram!$P91)))</f>
        <v>0</v>
      </c>
      <c r="EU91" s="42">
        <f ca="1">IF(OR($I$10="",$O91="",$P91="",$J$42&lt;&gt;"Yes"),0,IF($K$10=0,SUMIFS(INDIRECT(ADDRESS(12,3+18*1+(7),,,"J1 D - South Bank Avenue")&amp;":"&amp;ADDRESS(130,3+18*1+(7))),'J1 D - South Bank Avenue'!$A$12:$A$130,"&gt;="&amp;Diagram!$O91,'J1 D - South Bank Avenue'!$A$12:$A$130,"&lt;"&amp;Diagram!$P91),SUMIFS(INDIRECT(ADDRESS(12,3+18*1+(15),,,"J1 D - South Bank Avenue")&amp;":"&amp;ADDRESS(130,3+18*1+(15))),'J1 D - South Bank Avenue'!$A$12:$A$130,"&gt;="&amp;Diagram!$O91,'J1 D - South Bank Avenue'!$A$12:$A$130,"&lt;"&amp;Diagram!$P91)))</f>
        <v>0</v>
      </c>
      <c r="EV91" s="42">
        <f ca="1">IF(OR($I$10="",$O91="",$P91="",$J$42&lt;&gt;"Yes"),0,IF($K$10=0,SUMIFS(INDIRECT(ADDRESS(12,3+18*2+(7),,,"J1 D - South Bank Avenue")&amp;":"&amp;ADDRESS(130,3+18*2+(7))),'J1 D - South Bank Avenue'!$A$12:$A$130,"&gt;="&amp;Diagram!$O91,'J1 D - South Bank Avenue'!$A$12:$A$130,"&lt;"&amp;Diagram!$P91),SUMIFS(INDIRECT(ADDRESS(12,3+18*2+(15),,,"J1 D - South Bank Avenue")&amp;":"&amp;ADDRESS(130,3+18*2+(15))),'J1 D - South Bank Avenue'!$A$12:$A$130,"&gt;="&amp;Diagram!$O91,'J1 D - South Bank Avenue'!$A$12:$A$130,"&lt;"&amp;Diagram!$P91)))</f>
        <v>0</v>
      </c>
      <c r="EW91" s="42">
        <f ca="1">IF(OR($I$10="",$O91="",$P91="",$J$42&lt;&gt;"Yes"),0,IF($K$10=0,SUMIFS(INDIRECT(ADDRESS(12,3+18*3+(7),,,"J1 D - South Bank Avenue")&amp;":"&amp;ADDRESS(130,3+18*3+(7))),'J1 D - South Bank Avenue'!$A$12:$A$130,"&gt;="&amp;Diagram!$O91,'J1 D - South Bank Avenue'!$A$12:$A$130,"&lt;"&amp;Diagram!$P91),SUMIFS(INDIRECT(ADDRESS(12,3+18*3+(15),,,"J1 D - South Bank Avenue")&amp;":"&amp;ADDRESS(130,3+18*3+(15))),'J1 D - South Bank Avenue'!$A$12:$A$130,"&gt;="&amp;Diagram!$O91,'J1 D - South Bank Avenue'!$A$12:$A$130,"&lt;"&amp;Diagram!$P91)))</f>
        <v>0</v>
      </c>
    </row>
    <row r="92" spans="1:153">
      <c r="A92" s="1">
        <v>44395.947916666701</v>
      </c>
      <c r="B92" s="1">
        <v>44395.958333333299</v>
      </c>
      <c r="O92" s="3">
        <v>44395.947916666701</v>
      </c>
      <c r="P92" s="3">
        <v>44395.989583333299</v>
      </c>
      <c r="Q92" s="42">
        <f t="shared" ca="1" si="10"/>
        <v>182</v>
      </c>
      <c r="R92" s="42">
        <f t="shared" ca="1" si="11"/>
        <v>148</v>
      </c>
      <c r="S92" s="42">
        <f ca="1">IF(OR($I$10="",$O92="",$P92="",$J$35&lt;&gt;"Yes"),0,IF($K$10=0,SUMIFS(INDIRECT(ADDRESS(12,3+18*3+(0),,,"J1 A - (North) Bishopthorpe Roa")&amp;":"&amp;ADDRESS(130,3+18*3+(0))),'J1 A - (North) Bishopthorpe Roa'!$A$12:$A$130,"&gt;="&amp;Diagram!$O92,'J1 A - (North) Bishopthorpe Roa'!$A$12:$A$130,"&lt;"&amp;Diagram!$P92),SUMIFS(INDIRECT(ADDRESS(12,3+18*3+(8),,,"J1 A - (North) Bishopthorpe Roa")&amp;":"&amp;ADDRESS(130,3+18*3+(8))),'J1 A - (North) Bishopthorpe Roa'!$A$12:$A$130,"&gt;="&amp;Diagram!$O92,'J1 A - (North) Bishopthorpe Roa'!$A$12:$A$130,"&lt;"&amp;Diagram!$P92)))</f>
        <v>1</v>
      </c>
      <c r="T92" s="42">
        <f ca="1">IF(OR($I$10="",$O92="",$P92="",$J$35&lt;&gt;"Yes"),0,IF($K$10=0,SUMIFS(INDIRECT(ADDRESS(12,3+18*0+(0),,,"J1 A - (North) Bishopthorpe Roa")&amp;":"&amp;ADDRESS(130,3+18*0+(0))),'J1 A - (North) Bishopthorpe Roa'!$A$12:$A$130,"&gt;="&amp;Diagram!$O92,'J1 A - (North) Bishopthorpe Roa'!$A$12:$A$130,"&lt;"&amp;Diagram!$P92),SUMIFS(INDIRECT(ADDRESS(12,3+18*0+(8),,,"J1 A - (North) Bishopthorpe Roa")&amp;":"&amp;ADDRESS(130,3+18*0+(8))),'J1 A - (North) Bishopthorpe Roa'!$A$12:$A$130,"&gt;="&amp;Diagram!$O92,'J1 A - (North) Bishopthorpe Roa'!$A$12:$A$130,"&lt;"&amp;Diagram!$P92)))</f>
        <v>8</v>
      </c>
      <c r="U92" s="42">
        <f ca="1">IF(OR($I$10="",$O92="",$P92="",$J$35&lt;&gt;"Yes"),0,IF($K$10=0,SUMIFS(INDIRECT(ADDRESS(12,3+18*1+(0),,,"J1 A - (North) Bishopthorpe Roa")&amp;":"&amp;ADDRESS(130,3+18*1+(0))),'J1 A - (North) Bishopthorpe Roa'!$A$12:$A$130,"&gt;="&amp;Diagram!$O92,'J1 A - (North) Bishopthorpe Roa'!$A$12:$A$130,"&lt;"&amp;Diagram!$P92),SUMIFS(INDIRECT(ADDRESS(12,3+18*1+(8),,,"J1 A - (North) Bishopthorpe Roa")&amp;":"&amp;ADDRESS(130,3+18*1+(8))),'J1 A - (North) Bishopthorpe Roa'!$A$12:$A$130,"&gt;="&amp;Diagram!$O92,'J1 A - (North) Bishopthorpe Roa'!$A$12:$A$130,"&lt;"&amp;Diagram!$P92)))</f>
        <v>54</v>
      </c>
      <c r="V92" s="42">
        <f ca="1">IF(OR($I$10="",$O92="",$P92="",$J$35&lt;&gt;"Yes"),0,IF($K$10=0,SUMIFS(INDIRECT(ADDRESS(12,3+18*2+(0),,,"J1 A - (North) Bishopthorpe Roa")&amp;":"&amp;ADDRESS(130,3+18*2+(0))),'J1 A - (North) Bishopthorpe Roa'!$A$12:$A$130,"&gt;="&amp;Diagram!$O92,'J1 A - (North) Bishopthorpe Roa'!$A$12:$A$130,"&lt;"&amp;Diagram!$P92),SUMIFS(INDIRECT(ADDRESS(12,3+18*2+(8),,,"J1 A - (North) Bishopthorpe Roa")&amp;":"&amp;ADDRESS(130,3+18*2+(8))),'J1 A - (North) Bishopthorpe Roa'!$A$12:$A$130,"&gt;="&amp;Diagram!$O92,'J1 A - (North) Bishopthorpe Roa'!$A$12:$A$130,"&lt;"&amp;Diagram!$P92)))</f>
        <v>10</v>
      </c>
      <c r="W92" s="42">
        <f ca="1">IF(OR($I$10="",$O92="",$P92="",$J$35&lt;&gt;"Yes"),0,IF($K$10=0,SUMIFS(INDIRECT(ADDRESS(12,3+18*2+(0),,,"J1 B - Butcher Terrace")&amp;":"&amp;ADDRESS(130,3+18*2+(0))),'J1 B - Butcher Terrace'!$A$12:$A$130,"&gt;="&amp;Diagram!$O92,'J1 B - Butcher Terrace'!$A$12:$A$130,"&lt;"&amp;Diagram!$P92),SUMIFS(INDIRECT(ADDRESS(12,3+18*2+(8),,,"J1 B - Butcher Terrace")&amp;":"&amp;ADDRESS(130,3+18*2+(8))),'J1 B - Butcher Terrace'!$A$12:$A$130,"&gt;="&amp;Diagram!$O92,'J1 B - Butcher Terrace'!$A$12:$A$130,"&lt;"&amp;Diagram!$P92)))</f>
        <v>8</v>
      </c>
      <c r="X92" s="42">
        <f ca="1">IF(OR($I$10="",$O92="",$P92="",$J$35&lt;&gt;"Yes"),0,IF($K$10=0,SUMIFS(INDIRECT(ADDRESS(12,3+18*3+(0),,,"J1 B - Butcher Terrace")&amp;":"&amp;ADDRESS(130,3+18*3+(0))),'J1 B - Butcher Terrace'!$A$12:$A$130,"&gt;="&amp;Diagram!$O92,'J1 B - Butcher Terrace'!$A$12:$A$130,"&lt;"&amp;Diagram!$P92),SUMIFS(INDIRECT(ADDRESS(12,3+18*3+(8),,,"J1 B - Butcher Terrace")&amp;":"&amp;ADDRESS(130,3+18*3+(8))),'J1 B - Butcher Terrace'!$A$12:$A$130,"&gt;="&amp;Diagram!$O92,'J1 B - Butcher Terrace'!$A$12:$A$130,"&lt;"&amp;Diagram!$P92)))</f>
        <v>0</v>
      </c>
      <c r="Y92" s="42">
        <f ca="1">IF(OR($I$10="",$O92="",$P92="",$J$35&lt;&gt;"Yes"),0,IF($K$10=0,SUMIFS(INDIRECT(ADDRESS(12,3+18*0+(0),,,"J1 B - Butcher Terrace")&amp;":"&amp;ADDRESS(130,3+18*0+(0))),'J1 B - Butcher Terrace'!$A$12:$A$130,"&gt;="&amp;Diagram!$O92,'J1 B - Butcher Terrace'!$A$12:$A$130,"&lt;"&amp;Diagram!$P92),SUMIFS(INDIRECT(ADDRESS(12,3+18*0+(8),,,"J1 B - Butcher Terrace")&amp;":"&amp;ADDRESS(130,3+18*0+(8))),'J1 B - Butcher Terrace'!$A$12:$A$130,"&gt;="&amp;Diagram!$O92,'J1 B - Butcher Terrace'!$A$12:$A$130,"&lt;"&amp;Diagram!$P92)))</f>
        <v>1</v>
      </c>
      <c r="Z92" s="42">
        <f ca="1">IF(OR($I$10="",$O92="",$P92="",$J$35&lt;&gt;"Yes"),0,IF($K$10=0,SUMIFS(INDIRECT(ADDRESS(12,3+18*1+(0),,,"J1 B - Butcher Terrace")&amp;":"&amp;ADDRESS(130,3+18*1+(0))),'J1 B - Butcher Terrace'!$A$12:$A$130,"&gt;="&amp;Diagram!$O92,'J1 B - Butcher Terrace'!$A$12:$A$130,"&lt;"&amp;Diagram!$P92),SUMIFS(INDIRECT(ADDRESS(12,3+18*1+(8),,,"J1 B - Butcher Terrace")&amp;":"&amp;ADDRESS(130,3+18*1+(8))),'J1 B - Butcher Terrace'!$A$12:$A$130,"&gt;="&amp;Diagram!$O92,'J1 B - Butcher Terrace'!$A$12:$A$130,"&lt;"&amp;Diagram!$P92)))</f>
        <v>0</v>
      </c>
      <c r="AA92" s="42">
        <f ca="1">IF(OR($I$10="",$O92="",$P92="",$J$35&lt;&gt;"Yes"),0,IF($K$10=0,SUMIFS(INDIRECT(ADDRESS(12,3+18*1+(0),,,"J1 C - (South) Bishopthorpe Roa")&amp;":"&amp;ADDRESS(130,3+18*1+(0))),'J1 C - (South) Bishopthorpe Roa'!$A$12:$A$130,"&gt;="&amp;Diagram!$O92,'J1 C - (South) Bishopthorpe Roa'!$A$12:$A$130,"&lt;"&amp;Diagram!$P92),SUMIFS(INDIRECT(ADDRESS(12,3+18*1+(8),,,"J1 C - (South) Bishopthorpe Roa")&amp;":"&amp;ADDRESS(130,3+18*1+(8))),'J1 C - (South) Bishopthorpe Roa'!$A$12:$A$130,"&gt;="&amp;Diagram!$O92,'J1 C - (South) Bishopthorpe Roa'!$A$12:$A$130,"&lt;"&amp;Diagram!$P92)))</f>
        <v>59</v>
      </c>
      <c r="AB92" s="42">
        <f ca="1">IF(OR($I$10="",$O92="",$P92="",$J$35&lt;&gt;"Yes"),0,IF($K$10=0,SUMIFS(INDIRECT(ADDRESS(12,3+18*2+(0),,,"J1 C - (South) Bishopthorpe Roa")&amp;":"&amp;ADDRESS(130,3+18*2+(0))),'J1 C - (South) Bishopthorpe Roa'!$A$12:$A$130,"&gt;="&amp;Diagram!$O92,'J1 C - (South) Bishopthorpe Roa'!$A$12:$A$130,"&lt;"&amp;Diagram!$P92),SUMIFS(INDIRECT(ADDRESS(12,3+18*2+(8),,,"J1 C - (South) Bishopthorpe Roa")&amp;":"&amp;ADDRESS(130,3+18*2+(8))),'J1 C - (South) Bishopthorpe Roa'!$A$12:$A$130,"&gt;="&amp;Diagram!$O92,'J1 C - (South) Bishopthorpe Roa'!$A$12:$A$130,"&lt;"&amp;Diagram!$P92)))</f>
        <v>1</v>
      </c>
      <c r="AC92" s="42">
        <f ca="1">IF(OR($I$10="",$O92="",$P92="",$J$35&lt;&gt;"Yes"),0,IF($K$10=0,SUMIFS(INDIRECT(ADDRESS(12,3+18*3+(0),,,"J1 C - (South) Bishopthorpe Roa")&amp;":"&amp;ADDRESS(130,3+18*3+(0))),'J1 C - (South) Bishopthorpe Roa'!$A$12:$A$130,"&gt;="&amp;Diagram!$O92,'J1 C - (South) Bishopthorpe Roa'!$A$12:$A$130,"&lt;"&amp;Diagram!$P92),SUMIFS(INDIRECT(ADDRESS(12,3+18*3+(8),,,"J1 C - (South) Bishopthorpe Roa")&amp;":"&amp;ADDRESS(130,3+18*3+(8))),'J1 C - (South) Bishopthorpe Roa'!$A$12:$A$130,"&gt;="&amp;Diagram!$O92,'J1 C - (South) Bishopthorpe Roa'!$A$12:$A$130,"&lt;"&amp;Diagram!$P92)))</f>
        <v>0</v>
      </c>
      <c r="AD92" s="42">
        <f ca="1">IF(OR($I$10="",$O92="",$P92="",$J$35&lt;&gt;"Yes"),0,IF($K$10=0,SUMIFS(INDIRECT(ADDRESS(12,3+18*0+(0),,,"J1 C - (South) Bishopthorpe Roa")&amp;":"&amp;ADDRESS(130,3+18*0+(0))),'J1 C - (South) Bishopthorpe Roa'!$A$12:$A$130,"&gt;="&amp;Diagram!$O92,'J1 C - (South) Bishopthorpe Roa'!$A$12:$A$130,"&lt;"&amp;Diagram!$P92),SUMIFS(INDIRECT(ADDRESS(12,3+18*0+(8),,,"J1 C - (South) Bishopthorpe Roa")&amp;":"&amp;ADDRESS(130,3+18*0+(8))),'J1 C - (South) Bishopthorpe Roa'!$A$12:$A$130,"&gt;="&amp;Diagram!$O92,'J1 C - (South) Bishopthorpe Roa'!$A$12:$A$130,"&lt;"&amp;Diagram!$P92)))</f>
        <v>0</v>
      </c>
      <c r="AE92" s="42">
        <f ca="1">IF(OR($I$10="",$O92="",$P92="",$J$35&lt;&gt;"Yes"),0,IF($K$10=0,SUMIFS(INDIRECT(ADDRESS(12,3+18*0+(0),,,"J1 D - South Bank Avenue")&amp;":"&amp;ADDRESS(130,3+18*0+(0))),'J1 D - South Bank Avenue'!$A$12:$A$130,"&gt;="&amp;Diagram!$O92,'J1 D - South Bank Avenue'!$A$12:$A$130,"&lt;"&amp;Diagram!$P92),SUMIFS(INDIRECT(ADDRESS(12,3+18*0+(8),,,"J1 D - South Bank Avenue")&amp;":"&amp;ADDRESS(130,3+18*0+(8))),'J1 D - South Bank Avenue'!$A$12:$A$130,"&gt;="&amp;Diagram!$O92,'J1 D - South Bank Avenue'!$A$12:$A$130,"&lt;"&amp;Diagram!$P92)))</f>
        <v>4</v>
      </c>
      <c r="AF92" s="42">
        <f ca="1">IF(OR($I$10="",$O92="",$P92="",$J$35&lt;&gt;"Yes"),0,IF($K$10=0,SUMIFS(INDIRECT(ADDRESS(12,3+18*1+(0),,,"J1 D - South Bank Avenue")&amp;":"&amp;ADDRESS(130,3+18*1+(0))),'J1 D - South Bank Avenue'!$A$12:$A$130,"&gt;="&amp;Diagram!$O92,'J1 D - South Bank Avenue'!$A$12:$A$130,"&lt;"&amp;Diagram!$P92),SUMIFS(INDIRECT(ADDRESS(12,3+18*1+(8),,,"J1 D - South Bank Avenue")&amp;":"&amp;ADDRESS(130,3+18*1+(8))),'J1 D - South Bank Avenue'!$A$12:$A$130,"&gt;="&amp;Diagram!$O92,'J1 D - South Bank Avenue'!$A$12:$A$130,"&lt;"&amp;Diagram!$P92)))</f>
        <v>0</v>
      </c>
      <c r="AG92" s="42">
        <f ca="1">IF(OR($I$10="",$O92="",$P92="",$J$35&lt;&gt;"Yes"),0,IF($K$10=0,SUMIFS(INDIRECT(ADDRESS(12,3+18*2+(0),,,"J1 D - South Bank Avenue")&amp;":"&amp;ADDRESS(130,3+18*2+(0))),'J1 D - South Bank Avenue'!$A$12:$A$130,"&gt;="&amp;Diagram!$O92,'J1 D - South Bank Avenue'!$A$12:$A$130,"&lt;"&amp;Diagram!$P92),SUMIFS(INDIRECT(ADDRESS(12,3+18*2+(8),,,"J1 D - South Bank Avenue")&amp;":"&amp;ADDRESS(130,3+18*2+(8))),'J1 D - South Bank Avenue'!$A$12:$A$130,"&gt;="&amp;Diagram!$O92,'J1 D - South Bank Avenue'!$A$12:$A$130,"&lt;"&amp;Diagram!$P92)))</f>
        <v>2</v>
      </c>
      <c r="AH92" s="42">
        <f ca="1">IF(OR($I$10="",$O92="",$P92="",$J$35&lt;&gt;"Yes"),0,IF($K$10=0,SUMIFS(INDIRECT(ADDRESS(12,3+18*3+(0),,,"J1 D - South Bank Avenue")&amp;":"&amp;ADDRESS(130,3+18*3+(0))),'J1 D - South Bank Avenue'!$A$12:$A$130,"&gt;="&amp;Diagram!$O92,'J1 D - South Bank Avenue'!$A$12:$A$130,"&lt;"&amp;Diagram!$P92),SUMIFS(INDIRECT(ADDRESS(12,3+18*3+(8),,,"J1 D - South Bank Avenue")&amp;":"&amp;ADDRESS(130,3+18*3+(8))),'J1 D - South Bank Avenue'!$A$12:$A$130,"&gt;="&amp;Diagram!$O92,'J1 D - South Bank Avenue'!$A$12:$A$130,"&lt;"&amp;Diagram!$P92)))</f>
        <v>0</v>
      </c>
      <c r="AI92" s="42">
        <f t="shared" ca="1" si="12"/>
        <v>3</v>
      </c>
      <c r="AJ92" s="42">
        <f ca="1">IF(OR($I$10="",$O92="",$P92="",$J$36&lt;&gt;"Yes"),0,IF($K$10=0,SUMIFS(INDIRECT(ADDRESS(12,3+18*3+(1),,,"J1 A - (North) Bishopthorpe Roa")&amp;":"&amp;ADDRESS(130,3+18*3+(1))),'J1 A - (North) Bishopthorpe Roa'!$A$12:$A$130,"&gt;="&amp;Diagram!$O92,'J1 A - (North) Bishopthorpe Roa'!$A$12:$A$130,"&lt;"&amp;Diagram!$P92),SUMIFS(INDIRECT(ADDRESS(12,3+18*3+(9),,,"J1 A - (North) Bishopthorpe Roa")&amp;":"&amp;ADDRESS(130,3+18*3+(9))),'J1 A - (North) Bishopthorpe Roa'!$A$12:$A$130,"&gt;="&amp;Diagram!$O92,'J1 A - (North) Bishopthorpe Roa'!$A$12:$A$130,"&lt;"&amp;Diagram!$P92)))</f>
        <v>0</v>
      </c>
      <c r="AK92" s="42">
        <f ca="1">IF(OR($I$10="",$O92="",$P92="",$J$36&lt;&gt;"Yes"),0,IF($K$10=0,SUMIFS(INDIRECT(ADDRESS(12,3+18*0+(1),,,"J1 A - (North) Bishopthorpe Roa")&amp;":"&amp;ADDRESS(130,3+18*0+(1))),'J1 A - (North) Bishopthorpe Roa'!$A$12:$A$130,"&gt;="&amp;Diagram!$O92,'J1 A - (North) Bishopthorpe Roa'!$A$12:$A$130,"&lt;"&amp;Diagram!$P92),SUMIFS(INDIRECT(ADDRESS(12,3+18*0+(9),,,"J1 A - (North) Bishopthorpe Roa")&amp;":"&amp;ADDRESS(130,3+18*0+(9))),'J1 A - (North) Bishopthorpe Roa'!$A$12:$A$130,"&gt;="&amp;Diagram!$O92,'J1 A - (North) Bishopthorpe Roa'!$A$12:$A$130,"&lt;"&amp;Diagram!$P92)))</f>
        <v>0</v>
      </c>
      <c r="AL92" s="42">
        <f ca="1">IF(OR($I$10="",$O92="",$P92="",$J$36&lt;&gt;"Yes"),0,IF($K$10=0,SUMIFS(INDIRECT(ADDRESS(12,3+18*1+(1),,,"J1 A - (North) Bishopthorpe Roa")&amp;":"&amp;ADDRESS(130,3+18*1+(1))),'J1 A - (North) Bishopthorpe Roa'!$A$12:$A$130,"&gt;="&amp;Diagram!$O92,'J1 A - (North) Bishopthorpe Roa'!$A$12:$A$130,"&lt;"&amp;Diagram!$P92),SUMIFS(INDIRECT(ADDRESS(12,3+18*1+(9),,,"J1 A - (North) Bishopthorpe Roa")&amp;":"&amp;ADDRESS(130,3+18*1+(9))),'J1 A - (North) Bishopthorpe Roa'!$A$12:$A$130,"&gt;="&amp;Diagram!$O92,'J1 A - (North) Bishopthorpe Roa'!$A$12:$A$130,"&lt;"&amp;Diagram!$P92)))</f>
        <v>2</v>
      </c>
      <c r="AM92" s="42">
        <f ca="1">IF(OR($I$10="",$O92="",$P92="",$J$36&lt;&gt;"Yes"),0,IF($K$10=0,SUMIFS(INDIRECT(ADDRESS(12,3+18*2+(1),,,"J1 A - (North) Bishopthorpe Roa")&amp;":"&amp;ADDRESS(130,3+18*2+(1))),'J1 A - (North) Bishopthorpe Roa'!$A$12:$A$130,"&gt;="&amp;Diagram!$O92,'J1 A - (North) Bishopthorpe Roa'!$A$12:$A$130,"&lt;"&amp;Diagram!$P92),SUMIFS(INDIRECT(ADDRESS(12,3+18*2+(9),,,"J1 A - (North) Bishopthorpe Roa")&amp;":"&amp;ADDRESS(130,3+18*2+(9))),'J1 A - (North) Bishopthorpe Roa'!$A$12:$A$130,"&gt;="&amp;Diagram!$O92,'J1 A - (North) Bishopthorpe Roa'!$A$12:$A$130,"&lt;"&amp;Diagram!$P92)))</f>
        <v>0</v>
      </c>
      <c r="AN92" s="42">
        <f ca="1">IF(OR($I$10="",$O92="",$P92="",$J$36&lt;&gt;"Yes"),0,IF($K$10=0,SUMIFS(INDIRECT(ADDRESS(12,3+18*2+(1),,,"J1 B - Butcher Terrace")&amp;":"&amp;ADDRESS(130,3+18*2+(1))),'J1 B - Butcher Terrace'!$A$12:$A$130,"&gt;="&amp;Diagram!$O92,'J1 B - Butcher Terrace'!$A$12:$A$130,"&lt;"&amp;Diagram!$P92),SUMIFS(INDIRECT(ADDRESS(12,3+18*2+(9),,,"J1 B - Butcher Terrace")&amp;":"&amp;ADDRESS(130,3+18*2+(9))),'J1 B - Butcher Terrace'!$A$12:$A$130,"&gt;="&amp;Diagram!$O92,'J1 B - Butcher Terrace'!$A$12:$A$130,"&lt;"&amp;Diagram!$P92)))</f>
        <v>0</v>
      </c>
      <c r="AO92" s="42">
        <f ca="1">IF(OR($I$10="",$O92="",$P92="",$J$36&lt;&gt;"Yes"),0,IF($K$10=0,SUMIFS(INDIRECT(ADDRESS(12,3+18*3+(1),,,"J1 B - Butcher Terrace")&amp;":"&amp;ADDRESS(130,3+18*3+(1))),'J1 B - Butcher Terrace'!$A$12:$A$130,"&gt;="&amp;Diagram!$O92,'J1 B - Butcher Terrace'!$A$12:$A$130,"&lt;"&amp;Diagram!$P92),SUMIFS(INDIRECT(ADDRESS(12,3+18*3+(9),,,"J1 B - Butcher Terrace")&amp;":"&amp;ADDRESS(130,3+18*3+(9))),'J1 B - Butcher Terrace'!$A$12:$A$130,"&gt;="&amp;Diagram!$O92,'J1 B - Butcher Terrace'!$A$12:$A$130,"&lt;"&amp;Diagram!$P92)))</f>
        <v>0</v>
      </c>
      <c r="AP92" s="42">
        <f ca="1">IF(OR($I$10="",$O92="",$P92="",$J$36&lt;&gt;"Yes"),0,IF($K$10=0,SUMIFS(INDIRECT(ADDRESS(12,3+18*0+(1),,,"J1 B - Butcher Terrace")&amp;":"&amp;ADDRESS(130,3+18*0+(1))),'J1 B - Butcher Terrace'!$A$12:$A$130,"&gt;="&amp;Diagram!$O92,'J1 B - Butcher Terrace'!$A$12:$A$130,"&lt;"&amp;Diagram!$P92),SUMIFS(INDIRECT(ADDRESS(12,3+18*0+(9),,,"J1 B - Butcher Terrace")&amp;":"&amp;ADDRESS(130,3+18*0+(9))),'J1 B - Butcher Terrace'!$A$12:$A$130,"&gt;="&amp;Diagram!$O92,'J1 B - Butcher Terrace'!$A$12:$A$130,"&lt;"&amp;Diagram!$P92)))</f>
        <v>0</v>
      </c>
      <c r="AQ92" s="42">
        <f ca="1">IF(OR($I$10="",$O92="",$P92="",$J$36&lt;&gt;"Yes"),0,IF($K$10=0,SUMIFS(INDIRECT(ADDRESS(12,3+18*1+(1),,,"J1 B - Butcher Terrace")&amp;":"&amp;ADDRESS(130,3+18*1+(1))),'J1 B - Butcher Terrace'!$A$12:$A$130,"&gt;="&amp;Diagram!$O92,'J1 B - Butcher Terrace'!$A$12:$A$130,"&lt;"&amp;Diagram!$P92),SUMIFS(INDIRECT(ADDRESS(12,3+18*1+(9),,,"J1 B - Butcher Terrace")&amp;":"&amp;ADDRESS(130,3+18*1+(9))),'J1 B - Butcher Terrace'!$A$12:$A$130,"&gt;="&amp;Diagram!$O92,'J1 B - Butcher Terrace'!$A$12:$A$130,"&lt;"&amp;Diagram!$P92)))</f>
        <v>0</v>
      </c>
      <c r="AR92" s="42">
        <f ca="1">IF(OR($I$10="",$O92="",$P92="",$J$36&lt;&gt;"Yes"),0,IF($K$10=0,SUMIFS(INDIRECT(ADDRESS(12,3+18*1+(1),,,"J1 C - (South) Bishopthorpe Roa")&amp;":"&amp;ADDRESS(130,3+18*1+(1))),'J1 C - (South) Bishopthorpe Roa'!$A$12:$A$130,"&gt;="&amp;Diagram!$O92,'J1 C - (South) Bishopthorpe Roa'!$A$12:$A$130,"&lt;"&amp;Diagram!$P92),SUMIFS(INDIRECT(ADDRESS(12,3+18*1+(9),,,"J1 C - (South) Bishopthorpe Roa")&amp;":"&amp;ADDRESS(130,3+18*1+(9))),'J1 C - (South) Bishopthorpe Roa'!$A$12:$A$130,"&gt;="&amp;Diagram!$O92,'J1 C - (South) Bishopthorpe Roa'!$A$12:$A$130,"&lt;"&amp;Diagram!$P92)))</f>
        <v>1</v>
      </c>
      <c r="AS92" s="42">
        <f ca="1">IF(OR($I$10="",$O92="",$P92="",$J$36&lt;&gt;"Yes"),0,IF($K$10=0,SUMIFS(INDIRECT(ADDRESS(12,3+18*2+(1),,,"J1 C - (South) Bishopthorpe Roa")&amp;":"&amp;ADDRESS(130,3+18*2+(1))),'J1 C - (South) Bishopthorpe Roa'!$A$12:$A$130,"&gt;="&amp;Diagram!$O92,'J1 C - (South) Bishopthorpe Roa'!$A$12:$A$130,"&lt;"&amp;Diagram!$P92),SUMIFS(INDIRECT(ADDRESS(12,3+18*2+(9),,,"J1 C - (South) Bishopthorpe Roa")&amp;":"&amp;ADDRESS(130,3+18*2+(9))),'J1 C - (South) Bishopthorpe Roa'!$A$12:$A$130,"&gt;="&amp;Diagram!$O92,'J1 C - (South) Bishopthorpe Roa'!$A$12:$A$130,"&lt;"&amp;Diagram!$P92)))</f>
        <v>0</v>
      </c>
      <c r="AT92" s="42">
        <f ca="1">IF(OR($I$10="",$O92="",$P92="",$J$36&lt;&gt;"Yes"),0,IF($K$10=0,SUMIFS(INDIRECT(ADDRESS(12,3+18*3+(1),,,"J1 C - (South) Bishopthorpe Roa")&amp;":"&amp;ADDRESS(130,3+18*3+(1))),'J1 C - (South) Bishopthorpe Roa'!$A$12:$A$130,"&gt;="&amp;Diagram!$O92,'J1 C - (South) Bishopthorpe Roa'!$A$12:$A$130,"&lt;"&amp;Diagram!$P92),SUMIFS(INDIRECT(ADDRESS(12,3+18*3+(9),,,"J1 C - (South) Bishopthorpe Roa")&amp;":"&amp;ADDRESS(130,3+18*3+(9))),'J1 C - (South) Bishopthorpe Roa'!$A$12:$A$130,"&gt;="&amp;Diagram!$O92,'J1 C - (South) Bishopthorpe Roa'!$A$12:$A$130,"&lt;"&amp;Diagram!$P92)))</f>
        <v>0</v>
      </c>
      <c r="AU92" s="42">
        <f ca="1">IF(OR($I$10="",$O92="",$P92="",$J$36&lt;&gt;"Yes"),0,IF($K$10=0,SUMIFS(INDIRECT(ADDRESS(12,3+18*0+(1),,,"J1 C - (South) Bishopthorpe Roa")&amp;":"&amp;ADDRESS(130,3+18*0+(1))),'J1 C - (South) Bishopthorpe Roa'!$A$12:$A$130,"&gt;="&amp;Diagram!$O92,'J1 C - (South) Bishopthorpe Roa'!$A$12:$A$130,"&lt;"&amp;Diagram!$P92),SUMIFS(INDIRECT(ADDRESS(12,3+18*0+(9),,,"J1 C - (South) Bishopthorpe Roa")&amp;":"&amp;ADDRESS(130,3+18*0+(9))),'J1 C - (South) Bishopthorpe Roa'!$A$12:$A$130,"&gt;="&amp;Diagram!$O92,'J1 C - (South) Bishopthorpe Roa'!$A$12:$A$130,"&lt;"&amp;Diagram!$P92)))</f>
        <v>0</v>
      </c>
      <c r="AV92" s="42">
        <f ca="1">IF(OR($I$10="",$O92="",$P92="",$J$36&lt;&gt;"Yes"),0,IF($K$10=0,SUMIFS(INDIRECT(ADDRESS(12,3+18*0+(1),,,"J1 D - South Bank Avenue")&amp;":"&amp;ADDRESS(130,3+18*0+(1))),'J1 D - South Bank Avenue'!$A$12:$A$130,"&gt;="&amp;Diagram!$O92,'J1 D - South Bank Avenue'!$A$12:$A$130,"&lt;"&amp;Diagram!$P92),SUMIFS(INDIRECT(ADDRESS(12,3+18*0+(9),,,"J1 D - South Bank Avenue")&amp;":"&amp;ADDRESS(130,3+18*0+(9))),'J1 D - South Bank Avenue'!$A$12:$A$130,"&gt;="&amp;Diagram!$O92,'J1 D - South Bank Avenue'!$A$12:$A$130,"&lt;"&amp;Diagram!$P92)))</f>
        <v>0</v>
      </c>
      <c r="AW92" s="42">
        <f ca="1">IF(OR($I$10="",$O92="",$P92="",$J$36&lt;&gt;"Yes"),0,IF($K$10=0,SUMIFS(INDIRECT(ADDRESS(12,3+18*1+(1),,,"J1 D - South Bank Avenue")&amp;":"&amp;ADDRESS(130,3+18*1+(1))),'J1 D - South Bank Avenue'!$A$12:$A$130,"&gt;="&amp;Diagram!$O92,'J1 D - South Bank Avenue'!$A$12:$A$130,"&lt;"&amp;Diagram!$P92),SUMIFS(INDIRECT(ADDRESS(12,3+18*1+(9),,,"J1 D - South Bank Avenue")&amp;":"&amp;ADDRESS(130,3+18*1+(9))),'J1 D - South Bank Avenue'!$A$12:$A$130,"&gt;="&amp;Diagram!$O92,'J1 D - South Bank Avenue'!$A$12:$A$130,"&lt;"&amp;Diagram!$P92)))</f>
        <v>0</v>
      </c>
      <c r="AX92" s="42">
        <f ca="1">IF(OR($I$10="",$O92="",$P92="",$J$36&lt;&gt;"Yes"),0,IF($K$10=0,SUMIFS(INDIRECT(ADDRESS(12,3+18*2+(1),,,"J1 D - South Bank Avenue")&amp;":"&amp;ADDRESS(130,3+18*2+(1))),'J1 D - South Bank Avenue'!$A$12:$A$130,"&gt;="&amp;Diagram!$O92,'J1 D - South Bank Avenue'!$A$12:$A$130,"&lt;"&amp;Diagram!$P92),SUMIFS(INDIRECT(ADDRESS(12,3+18*2+(9),,,"J1 D - South Bank Avenue")&amp;":"&amp;ADDRESS(130,3+18*2+(9))),'J1 D - South Bank Avenue'!$A$12:$A$130,"&gt;="&amp;Diagram!$O92,'J1 D - South Bank Avenue'!$A$12:$A$130,"&lt;"&amp;Diagram!$P92)))</f>
        <v>0</v>
      </c>
      <c r="AY92" s="42">
        <f ca="1">IF(OR($I$10="",$O92="",$P92="",$J$36&lt;&gt;"Yes"),0,IF($K$10=0,SUMIFS(INDIRECT(ADDRESS(12,3+18*3+(1),,,"J1 D - South Bank Avenue")&amp;":"&amp;ADDRESS(130,3+18*3+(1))),'J1 D - South Bank Avenue'!$A$12:$A$130,"&gt;="&amp;Diagram!$O92,'J1 D - South Bank Avenue'!$A$12:$A$130,"&lt;"&amp;Diagram!$P92),SUMIFS(INDIRECT(ADDRESS(12,3+18*3+(9),,,"J1 D - South Bank Avenue")&amp;":"&amp;ADDRESS(130,3+18*3+(9))),'J1 D - South Bank Avenue'!$A$12:$A$130,"&gt;="&amp;Diagram!$O92,'J1 D - South Bank Avenue'!$A$12:$A$130,"&lt;"&amp;Diagram!$P92)))</f>
        <v>0</v>
      </c>
      <c r="AZ92" s="42">
        <f t="shared" ca="1" si="13"/>
        <v>0</v>
      </c>
      <c r="BA92" s="42">
        <f ca="1">IF(OR($I$10="",$O92="",$P92="",$J$37&lt;&gt;"Yes"),0,IF($K$10=0,SUMIFS(INDIRECT(ADDRESS(12,3+18*3+(2),,,"J1 A - (North) Bishopthorpe Roa")&amp;":"&amp;ADDRESS(130,3+18*3+(2))),'J1 A - (North) Bishopthorpe Roa'!$A$12:$A$130,"&gt;="&amp;Diagram!$O92,'J1 A - (North) Bishopthorpe Roa'!$A$12:$A$130,"&lt;"&amp;Diagram!$P92),SUMIFS(INDIRECT(ADDRESS(12,3+18*3+(10),,,"J1 A - (North) Bishopthorpe Roa")&amp;":"&amp;ADDRESS(130,3+18*3+(10))),'J1 A - (North) Bishopthorpe Roa'!$A$12:$A$130,"&gt;="&amp;Diagram!$O92,'J1 A - (North) Bishopthorpe Roa'!$A$12:$A$130,"&lt;"&amp;Diagram!$P92)))</f>
        <v>0</v>
      </c>
      <c r="BB92" s="42">
        <f ca="1">IF(OR($I$10="",$O92="",$P92="",$J$37&lt;&gt;"Yes"),0,IF($K$10=0,SUMIFS(INDIRECT(ADDRESS(12,3+18*0+(2),,,"J1 A - (North) Bishopthorpe Roa")&amp;":"&amp;ADDRESS(130,3+18*0+(2))),'J1 A - (North) Bishopthorpe Roa'!$A$12:$A$130,"&gt;="&amp;Diagram!$O92,'J1 A - (North) Bishopthorpe Roa'!$A$12:$A$130,"&lt;"&amp;Diagram!$P92),SUMIFS(INDIRECT(ADDRESS(12,3+18*0+(10),,,"J1 A - (North) Bishopthorpe Roa")&amp;":"&amp;ADDRESS(130,3+18*0+(10))),'J1 A - (North) Bishopthorpe Roa'!$A$12:$A$130,"&gt;="&amp;Diagram!$O92,'J1 A - (North) Bishopthorpe Roa'!$A$12:$A$130,"&lt;"&amp;Diagram!$P92)))</f>
        <v>0</v>
      </c>
      <c r="BC92" s="42">
        <f ca="1">IF(OR($I$10="",$O92="",$P92="",$J$37&lt;&gt;"Yes"),0,IF($K$10=0,SUMIFS(INDIRECT(ADDRESS(12,3+18*1+(2),,,"J1 A - (North) Bishopthorpe Roa")&amp;":"&amp;ADDRESS(130,3+18*1+(2))),'J1 A - (North) Bishopthorpe Roa'!$A$12:$A$130,"&gt;="&amp;Diagram!$O92,'J1 A - (North) Bishopthorpe Roa'!$A$12:$A$130,"&lt;"&amp;Diagram!$P92),SUMIFS(INDIRECT(ADDRESS(12,3+18*1+(10),,,"J1 A - (North) Bishopthorpe Roa")&amp;":"&amp;ADDRESS(130,3+18*1+(10))),'J1 A - (North) Bishopthorpe Roa'!$A$12:$A$130,"&gt;="&amp;Diagram!$O92,'J1 A - (North) Bishopthorpe Roa'!$A$12:$A$130,"&lt;"&amp;Diagram!$P92)))</f>
        <v>0</v>
      </c>
      <c r="BD92" s="42">
        <f ca="1">IF(OR($I$10="",$O92="",$P92="",$J$37&lt;&gt;"Yes"),0,IF($K$10=0,SUMIFS(INDIRECT(ADDRESS(12,3+18*2+(2),,,"J1 A - (North) Bishopthorpe Roa")&amp;":"&amp;ADDRESS(130,3+18*2+(2))),'J1 A - (North) Bishopthorpe Roa'!$A$12:$A$130,"&gt;="&amp;Diagram!$O92,'J1 A - (North) Bishopthorpe Roa'!$A$12:$A$130,"&lt;"&amp;Diagram!$P92),SUMIFS(INDIRECT(ADDRESS(12,3+18*2+(10),,,"J1 A - (North) Bishopthorpe Roa")&amp;":"&amp;ADDRESS(130,3+18*2+(10))),'J1 A - (North) Bishopthorpe Roa'!$A$12:$A$130,"&gt;="&amp;Diagram!$O92,'J1 A - (North) Bishopthorpe Roa'!$A$12:$A$130,"&lt;"&amp;Diagram!$P92)))</f>
        <v>0</v>
      </c>
      <c r="BE92" s="42">
        <f ca="1">IF(OR($I$10="",$O92="",$P92="",$J$37&lt;&gt;"Yes"),0,IF($K$10=0,SUMIFS(INDIRECT(ADDRESS(12,3+18*2+(2),,,"J1 B - Butcher Terrace")&amp;":"&amp;ADDRESS(130,3+18*2+(2))),'J1 B - Butcher Terrace'!$A$12:$A$130,"&gt;="&amp;Diagram!$O92,'J1 B - Butcher Terrace'!$A$12:$A$130,"&lt;"&amp;Diagram!$P92),SUMIFS(INDIRECT(ADDRESS(12,3+18*2+(10),,,"J1 B - Butcher Terrace")&amp;":"&amp;ADDRESS(130,3+18*2+(10))),'J1 B - Butcher Terrace'!$A$12:$A$130,"&gt;="&amp;Diagram!$O92,'J1 B - Butcher Terrace'!$A$12:$A$130,"&lt;"&amp;Diagram!$P92)))</f>
        <v>0</v>
      </c>
      <c r="BF92" s="42">
        <f ca="1">IF(OR($I$10="",$O92="",$P92="",$J$37&lt;&gt;"Yes"),0,IF($K$10=0,SUMIFS(INDIRECT(ADDRESS(12,3+18*3+(2),,,"J1 B - Butcher Terrace")&amp;":"&amp;ADDRESS(130,3+18*3+(2))),'J1 B - Butcher Terrace'!$A$12:$A$130,"&gt;="&amp;Diagram!$O92,'J1 B - Butcher Terrace'!$A$12:$A$130,"&lt;"&amp;Diagram!$P92),SUMIFS(INDIRECT(ADDRESS(12,3+18*3+(10),,,"J1 B - Butcher Terrace")&amp;":"&amp;ADDRESS(130,3+18*3+(10))),'J1 B - Butcher Terrace'!$A$12:$A$130,"&gt;="&amp;Diagram!$O92,'J1 B - Butcher Terrace'!$A$12:$A$130,"&lt;"&amp;Diagram!$P92)))</f>
        <v>0</v>
      </c>
      <c r="BG92" s="42">
        <f ca="1">IF(OR($I$10="",$O92="",$P92="",$J$37&lt;&gt;"Yes"),0,IF($K$10=0,SUMIFS(INDIRECT(ADDRESS(12,3+18*0+(2),,,"J1 B - Butcher Terrace")&amp;":"&amp;ADDRESS(130,3+18*0+(2))),'J1 B - Butcher Terrace'!$A$12:$A$130,"&gt;="&amp;Diagram!$O92,'J1 B - Butcher Terrace'!$A$12:$A$130,"&lt;"&amp;Diagram!$P92),SUMIFS(INDIRECT(ADDRESS(12,3+18*0+(10),,,"J1 B - Butcher Terrace")&amp;":"&amp;ADDRESS(130,3+18*0+(10))),'J1 B - Butcher Terrace'!$A$12:$A$130,"&gt;="&amp;Diagram!$O92,'J1 B - Butcher Terrace'!$A$12:$A$130,"&lt;"&amp;Diagram!$P92)))</f>
        <v>0</v>
      </c>
      <c r="BH92" s="42">
        <f ca="1">IF(OR($I$10="",$O92="",$P92="",$J$37&lt;&gt;"Yes"),0,IF($K$10=0,SUMIFS(INDIRECT(ADDRESS(12,3+18*1+(2),,,"J1 B - Butcher Terrace")&amp;":"&amp;ADDRESS(130,3+18*1+(2))),'J1 B - Butcher Terrace'!$A$12:$A$130,"&gt;="&amp;Diagram!$O92,'J1 B - Butcher Terrace'!$A$12:$A$130,"&lt;"&amp;Diagram!$P92),SUMIFS(INDIRECT(ADDRESS(12,3+18*1+(10),,,"J1 B - Butcher Terrace")&amp;":"&amp;ADDRESS(130,3+18*1+(10))),'J1 B - Butcher Terrace'!$A$12:$A$130,"&gt;="&amp;Diagram!$O92,'J1 B - Butcher Terrace'!$A$12:$A$130,"&lt;"&amp;Diagram!$P92)))</f>
        <v>0</v>
      </c>
      <c r="BI92" s="42">
        <f ca="1">IF(OR($I$10="",$O92="",$P92="",$J$37&lt;&gt;"Yes"),0,IF($K$10=0,SUMIFS(INDIRECT(ADDRESS(12,3+18*1+(2),,,"J1 C - (South) Bishopthorpe Roa")&amp;":"&amp;ADDRESS(130,3+18*1+(2))),'J1 C - (South) Bishopthorpe Roa'!$A$12:$A$130,"&gt;="&amp;Diagram!$O92,'J1 C - (South) Bishopthorpe Roa'!$A$12:$A$130,"&lt;"&amp;Diagram!$P92),SUMIFS(INDIRECT(ADDRESS(12,3+18*1+(10),,,"J1 C - (South) Bishopthorpe Roa")&amp;":"&amp;ADDRESS(130,3+18*1+(10))),'J1 C - (South) Bishopthorpe Roa'!$A$12:$A$130,"&gt;="&amp;Diagram!$O92,'J1 C - (South) Bishopthorpe Roa'!$A$12:$A$130,"&lt;"&amp;Diagram!$P92)))</f>
        <v>0</v>
      </c>
      <c r="BJ92" s="42">
        <f ca="1">IF(OR($I$10="",$O92="",$P92="",$J$37&lt;&gt;"Yes"),0,IF($K$10=0,SUMIFS(INDIRECT(ADDRESS(12,3+18*2+(2),,,"J1 C - (South) Bishopthorpe Roa")&amp;":"&amp;ADDRESS(130,3+18*2+(2))),'J1 C - (South) Bishopthorpe Roa'!$A$12:$A$130,"&gt;="&amp;Diagram!$O92,'J1 C - (South) Bishopthorpe Roa'!$A$12:$A$130,"&lt;"&amp;Diagram!$P92),SUMIFS(INDIRECT(ADDRESS(12,3+18*2+(10),,,"J1 C - (South) Bishopthorpe Roa")&amp;":"&amp;ADDRESS(130,3+18*2+(10))),'J1 C - (South) Bishopthorpe Roa'!$A$12:$A$130,"&gt;="&amp;Diagram!$O92,'J1 C - (South) Bishopthorpe Roa'!$A$12:$A$130,"&lt;"&amp;Diagram!$P92)))</f>
        <v>0</v>
      </c>
      <c r="BK92" s="42">
        <f ca="1">IF(OR($I$10="",$O92="",$P92="",$J$37&lt;&gt;"Yes"),0,IF($K$10=0,SUMIFS(INDIRECT(ADDRESS(12,3+18*3+(2),,,"J1 C - (South) Bishopthorpe Roa")&amp;":"&amp;ADDRESS(130,3+18*3+(2))),'J1 C - (South) Bishopthorpe Roa'!$A$12:$A$130,"&gt;="&amp;Diagram!$O92,'J1 C - (South) Bishopthorpe Roa'!$A$12:$A$130,"&lt;"&amp;Diagram!$P92),SUMIFS(INDIRECT(ADDRESS(12,3+18*3+(10),,,"J1 C - (South) Bishopthorpe Roa")&amp;":"&amp;ADDRESS(130,3+18*3+(10))),'J1 C - (South) Bishopthorpe Roa'!$A$12:$A$130,"&gt;="&amp;Diagram!$O92,'J1 C - (South) Bishopthorpe Roa'!$A$12:$A$130,"&lt;"&amp;Diagram!$P92)))</f>
        <v>0</v>
      </c>
      <c r="BL92" s="42">
        <f ca="1">IF(OR($I$10="",$O92="",$P92="",$J$37&lt;&gt;"Yes"),0,IF($K$10=0,SUMIFS(INDIRECT(ADDRESS(12,3+18*0+(2),,,"J1 C - (South) Bishopthorpe Roa")&amp;":"&amp;ADDRESS(130,3+18*0+(2))),'J1 C - (South) Bishopthorpe Roa'!$A$12:$A$130,"&gt;="&amp;Diagram!$O92,'J1 C - (South) Bishopthorpe Roa'!$A$12:$A$130,"&lt;"&amp;Diagram!$P92),SUMIFS(INDIRECT(ADDRESS(12,3+18*0+(10),,,"J1 C - (South) Bishopthorpe Roa")&amp;":"&amp;ADDRESS(130,3+18*0+(10))),'J1 C - (South) Bishopthorpe Roa'!$A$12:$A$130,"&gt;="&amp;Diagram!$O92,'J1 C - (South) Bishopthorpe Roa'!$A$12:$A$130,"&lt;"&amp;Diagram!$P92)))</f>
        <v>0</v>
      </c>
      <c r="BM92" s="42">
        <f ca="1">IF(OR($I$10="",$O92="",$P92="",$J$37&lt;&gt;"Yes"),0,IF($K$10=0,SUMIFS(INDIRECT(ADDRESS(12,3+18*0+(2),,,"J1 D - South Bank Avenue")&amp;":"&amp;ADDRESS(130,3+18*0+(2))),'J1 D - South Bank Avenue'!$A$12:$A$130,"&gt;="&amp;Diagram!$O92,'J1 D - South Bank Avenue'!$A$12:$A$130,"&lt;"&amp;Diagram!$P92),SUMIFS(INDIRECT(ADDRESS(12,3+18*0+(10),,,"J1 D - South Bank Avenue")&amp;":"&amp;ADDRESS(130,3+18*0+(10))),'J1 D - South Bank Avenue'!$A$12:$A$130,"&gt;="&amp;Diagram!$O92,'J1 D - South Bank Avenue'!$A$12:$A$130,"&lt;"&amp;Diagram!$P92)))</f>
        <v>0</v>
      </c>
      <c r="BN92" s="42">
        <f ca="1">IF(OR($I$10="",$O92="",$P92="",$J$37&lt;&gt;"Yes"),0,IF($K$10=0,SUMIFS(INDIRECT(ADDRESS(12,3+18*1+(2),,,"J1 D - South Bank Avenue")&amp;":"&amp;ADDRESS(130,3+18*1+(2))),'J1 D - South Bank Avenue'!$A$12:$A$130,"&gt;="&amp;Diagram!$O92,'J1 D - South Bank Avenue'!$A$12:$A$130,"&lt;"&amp;Diagram!$P92),SUMIFS(INDIRECT(ADDRESS(12,3+18*1+(10),,,"J1 D - South Bank Avenue")&amp;":"&amp;ADDRESS(130,3+18*1+(10))),'J1 D - South Bank Avenue'!$A$12:$A$130,"&gt;="&amp;Diagram!$O92,'J1 D - South Bank Avenue'!$A$12:$A$130,"&lt;"&amp;Diagram!$P92)))</f>
        <v>0</v>
      </c>
      <c r="BO92" s="42">
        <f ca="1">IF(OR($I$10="",$O92="",$P92="",$J$37&lt;&gt;"Yes"),0,IF($K$10=0,SUMIFS(INDIRECT(ADDRESS(12,3+18*2+(2),,,"J1 D - South Bank Avenue")&amp;":"&amp;ADDRESS(130,3+18*2+(2))),'J1 D - South Bank Avenue'!$A$12:$A$130,"&gt;="&amp;Diagram!$O92,'J1 D - South Bank Avenue'!$A$12:$A$130,"&lt;"&amp;Diagram!$P92),SUMIFS(INDIRECT(ADDRESS(12,3+18*2+(10),,,"J1 D - South Bank Avenue")&amp;":"&amp;ADDRESS(130,3+18*2+(10))),'J1 D - South Bank Avenue'!$A$12:$A$130,"&gt;="&amp;Diagram!$O92,'J1 D - South Bank Avenue'!$A$12:$A$130,"&lt;"&amp;Diagram!$P92)))</f>
        <v>0</v>
      </c>
      <c r="BP92" s="42">
        <f ca="1">IF(OR($I$10="",$O92="",$P92="",$J$37&lt;&gt;"Yes"),0,IF($K$10=0,SUMIFS(INDIRECT(ADDRESS(12,3+18*3+(2),,,"J1 D - South Bank Avenue")&amp;":"&amp;ADDRESS(130,3+18*3+(2))),'J1 D - South Bank Avenue'!$A$12:$A$130,"&gt;="&amp;Diagram!$O92,'J1 D - South Bank Avenue'!$A$12:$A$130,"&lt;"&amp;Diagram!$P92),SUMIFS(INDIRECT(ADDRESS(12,3+18*3+(10),,,"J1 D - South Bank Avenue")&amp;":"&amp;ADDRESS(130,3+18*3+(10))),'J1 D - South Bank Avenue'!$A$12:$A$130,"&gt;="&amp;Diagram!$O92,'J1 D - South Bank Avenue'!$A$12:$A$130,"&lt;"&amp;Diagram!$P92)))</f>
        <v>0</v>
      </c>
      <c r="BQ92" s="42">
        <f t="shared" ca="1" si="14"/>
        <v>0</v>
      </c>
      <c r="BR92" s="42">
        <f ca="1">IF(OR($I$10="",$O92="",$P92="",$J$38&lt;&gt;"Yes"),0,IF($K$10=0,SUMIFS(INDIRECT(ADDRESS(12,3+18*3+(3),,,"J1 A - (North) Bishopthorpe Roa")&amp;":"&amp;ADDRESS(130,3+18*3+(3))),'J1 A - (North) Bishopthorpe Roa'!$A$12:$A$130,"&gt;="&amp;Diagram!$O92,'J1 A - (North) Bishopthorpe Roa'!$A$12:$A$130,"&lt;"&amp;Diagram!$P92),SUMIFS(INDIRECT(ADDRESS(12,3+18*3+(11),,,"J1 A - (North) Bishopthorpe Roa")&amp;":"&amp;ADDRESS(130,3+18*3+(11))),'J1 A - (North) Bishopthorpe Roa'!$A$12:$A$130,"&gt;="&amp;Diagram!$O92,'J1 A - (North) Bishopthorpe Roa'!$A$12:$A$130,"&lt;"&amp;Diagram!$P92)))</f>
        <v>0</v>
      </c>
      <c r="BS92" s="42">
        <f ca="1">IF(OR($I$10="",$O92="",$P92="",$J$38&lt;&gt;"Yes"),0,IF($K$10=0,SUMIFS(INDIRECT(ADDRESS(12,3+18*0+(3),,,"J1 A - (North) Bishopthorpe Roa")&amp;":"&amp;ADDRESS(130,3+18*0+(3))),'J1 A - (North) Bishopthorpe Roa'!$A$12:$A$130,"&gt;="&amp;Diagram!$O92,'J1 A - (North) Bishopthorpe Roa'!$A$12:$A$130,"&lt;"&amp;Diagram!$P92),SUMIFS(INDIRECT(ADDRESS(12,3+18*0+(11),,,"J1 A - (North) Bishopthorpe Roa")&amp;":"&amp;ADDRESS(130,3+18*0+(11))),'J1 A - (North) Bishopthorpe Roa'!$A$12:$A$130,"&gt;="&amp;Diagram!$O92,'J1 A - (North) Bishopthorpe Roa'!$A$12:$A$130,"&lt;"&amp;Diagram!$P92)))</f>
        <v>0</v>
      </c>
      <c r="BT92" s="42">
        <f ca="1">IF(OR($I$10="",$O92="",$P92="",$J$38&lt;&gt;"Yes"),0,IF($K$10=0,SUMIFS(INDIRECT(ADDRESS(12,3+18*1+(3),,,"J1 A - (North) Bishopthorpe Roa")&amp;":"&amp;ADDRESS(130,3+18*1+(3))),'J1 A - (North) Bishopthorpe Roa'!$A$12:$A$130,"&gt;="&amp;Diagram!$O92,'J1 A - (North) Bishopthorpe Roa'!$A$12:$A$130,"&lt;"&amp;Diagram!$P92),SUMIFS(INDIRECT(ADDRESS(12,3+18*1+(11),,,"J1 A - (North) Bishopthorpe Roa")&amp;":"&amp;ADDRESS(130,3+18*1+(11))),'J1 A - (North) Bishopthorpe Roa'!$A$12:$A$130,"&gt;="&amp;Diagram!$O92,'J1 A - (North) Bishopthorpe Roa'!$A$12:$A$130,"&lt;"&amp;Diagram!$P92)))</f>
        <v>0</v>
      </c>
      <c r="BU92" s="42">
        <f ca="1">IF(OR($I$10="",$O92="",$P92="",$J$38&lt;&gt;"Yes"),0,IF($K$10=0,SUMIFS(INDIRECT(ADDRESS(12,3+18*2+(3),,,"J1 A - (North) Bishopthorpe Roa")&amp;":"&amp;ADDRESS(130,3+18*2+(3))),'J1 A - (North) Bishopthorpe Roa'!$A$12:$A$130,"&gt;="&amp;Diagram!$O92,'J1 A - (North) Bishopthorpe Roa'!$A$12:$A$130,"&lt;"&amp;Diagram!$P92),SUMIFS(INDIRECT(ADDRESS(12,3+18*2+(11),,,"J1 A - (North) Bishopthorpe Roa")&amp;":"&amp;ADDRESS(130,3+18*2+(11))),'J1 A - (North) Bishopthorpe Roa'!$A$12:$A$130,"&gt;="&amp;Diagram!$O92,'J1 A - (North) Bishopthorpe Roa'!$A$12:$A$130,"&lt;"&amp;Diagram!$P92)))</f>
        <v>0</v>
      </c>
      <c r="BV92" s="42">
        <f ca="1">IF(OR($I$10="",$O92="",$P92="",$J$38&lt;&gt;"Yes"),0,IF($K$10=0,SUMIFS(INDIRECT(ADDRESS(12,3+18*2+(3),,,"J1 B - Butcher Terrace")&amp;":"&amp;ADDRESS(130,3+18*2+(3))),'J1 B - Butcher Terrace'!$A$12:$A$130,"&gt;="&amp;Diagram!$O92,'J1 B - Butcher Terrace'!$A$12:$A$130,"&lt;"&amp;Diagram!$P92),SUMIFS(INDIRECT(ADDRESS(12,3+18*2+(11),,,"J1 B - Butcher Terrace")&amp;":"&amp;ADDRESS(130,3+18*2+(11))),'J1 B - Butcher Terrace'!$A$12:$A$130,"&gt;="&amp;Diagram!$O92,'J1 B - Butcher Terrace'!$A$12:$A$130,"&lt;"&amp;Diagram!$P92)))</f>
        <v>0</v>
      </c>
      <c r="BW92" s="42">
        <f ca="1">IF(OR($I$10="",$O92="",$P92="",$J$38&lt;&gt;"Yes"),0,IF($K$10=0,SUMIFS(INDIRECT(ADDRESS(12,3+18*3+(3),,,"J1 B - Butcher Terrace")&amp;":"&amp;ADDRESS(130,3+18*3+(3))),'J1 B - Butcher Terrace'!$A$12:$A$130,"&gt;="&amp;Diagram!$O92,'J1 B - Butcher Terrace'!$A$12:$A$130,"&lt;"&amp;Diagram!$P92),SUMIFS(INDIRECT(ADDRESS(12,3+18*3+(11),,,"J1 B - Butcher Terrace")&amp;":"&amp;ADDRESS(130,3+18*3+(11))),'J1 B - Butcher Terrace'!$A$12:$A$130,"&gt;="&amp;Diagram!$O92,'J1 B - Butcher Terrace'!$A$12:$A$130,"&lt;"&amp;Diagram!$P92)))</f>
        <v>0</v>
      </c>
      <c r="BX92" s="42">
        <f ca="1">IF(OR($I$10="",$O92="",$P92="",$J$38&lt;&gt;"Yes"),0,IF($K$10=0,SUMIFS(INDIRECT(ADDRESS(12,3+18*0+(3),,,"J1 B - Butcher Terrace")&amp;":"&amp;ADDRESS(130,3+18*0+(3))),'J1 B - Butcher Terrace'!$A$12:$A$130,"&gt;="&amp;Diagram!$O92,'J1 B - Butcher Terrace'!$A$12:$A$130,"&lt;"&amp;Diagram!$P92),SUMIFS(INDIRECT(ADDRESS(12,3+18*0+(11),,,"J1 B - Butcher Terrace")&amp;":"&amp;ADDRESS(130,3+18*0+(11))),'J1 B - Butcher Terrace'!$A$12:$A$130,"&gt;="&amp;Diagram!$O92,'J1 B - Butcher Terrace'!$A$12:$A$130,"&lt;"&amp;Diagram!$P92)))</f>
        <v>0</v>
      </c>
      <c r="BY92" s="42">
        <f ca="1">IF(OR($I$10="",$O92="",$P92="",$J$38&lt;&gt;"Yes"),0,IF($K$10=0,SUMIFS(INDIRECT(ADDRESS(12,3+18*1+(3),,,"J1 B - Butcher Terrace")&amp;":"&amp;ADDRESS(130,3+18*1+(3))),'J1 B - Butcher Terrace'!$A$12:$A$130,"&gt;="&amp;Diagram!$O92,'J1 B - Butcher Terrace'!$A$12:$A$130,"&lt;"&amp;Diagram!$P92),SUMIFS(INDIRECT(ADDRESS(12,3+18*1+(11),,,"J1 B - Butcher Terrace")&amp;":"&amp;ADDRESS(130,3+18*1+(11))),'J1 B - Butcher Terrace'!$A$12:$A$130,"&gt;="&amp;Diagram!$O92,'J1 B - Butcher Terrace'!$A$12:$A$130,"&lt;"&amp;Diagram!$P92)))</f>
        <v>0</v>
      </c>
      <c r="BZ92" s="42">
        <f ca="1">IF(OR($I$10="",$O92="",$P92="",$J$38&lt;&gt;"Yes"),0,IF($K$10=0,SUMIFS(INDIRECT(ADDRESS(12,3+18*1+(3),,,"J1 C - (South) Bishopthorpe Roa")&amp;":"&amp;ADDRESS(130,3+18*1+(3))),'J1 C - (South) Bishopthorpe Roa'!$A$12:$A$130,"&gt;="&amp;Diagram!$O92,'J1 C - (South) Bishopthorpe Roa'!$A$12:$A$130,"&lt;"&amp;Diagram!$P92),SUMIFS(INDIRECT(ADDRESS(12,3+18*1+(11),,,"J1 C - (South) Bishopthorpe Roa")&amp;":"&amp;ADDRESS(130,3+18*1+(11))),'J1 C - (South) Bishopthorpe Roa'!$A$12:$A$130,"&gt;="&amp;Diagram!$O92,'J1 C - (South) Bishopthorpe Roa'!$A$12:$A$130,"&lt;"&amp;Diagram!$P92)))</f>
        <v>0</v>
      </c>
      <c r="CA92" s="42">
        <f ca="1">IF(OR($I$10="",$O92="",$P92="",$J$38&lt;&gt;"Yes"),0,IF($K$10=0,SUMIFS(INDIRECT(ADDRESS(12,3+18*2+(3),,,"J1 C - (South) Bishopthorpe Roa")&amp;":"&amp;ADDRESS(130,3+18*2+(3))),'J1 C - (South) Bishopthorpe Roa'!$A$12:$A$130,"&gt;="&amp;Diagram!$O92,'J1 C - (South) Bishopthorpe Roa'!$A$12:$A$130,"&lt;"&amp;Diagram!$P92),SUMIFS(INDIRECT(ADDRESS(12,3+18*2+(11),,,"J1 C - (South) Bishopthorpe Roa")&amp;":"&amp;ADDRESS(130,3+18*2+(11))),'J1 C - (South) Bishopthorpe Roa'!$A$12:$A$130,"&gt;="&amp;Diagram!$O92,'J1 C - (South) Bishopthorpe Roa'!$A$12:$A$130,"&lt;"&amp;Diagram!$P92)))</f>
        <v>0</v>
      </c>
      <c r="CB92" s="42">
        <f ca="1">IF(OR($I$10="",$O92="",$P92="",$J$38&lt;&gt;"Yes"),0,IF($K$10=0,SUMIFS(INDIRECT(ADDRESS(12,3+18*3+(3),,,"J1 C - (South) Bishopthorpe Roa")&amp;":"&amp;ADDRESS(130,3+18*3+(3))),'J1 C - (South) Bishopthorpe Roa'!$A$12:$A$130,"&gt;="&amp;Diagram!$O92,'J1 C - (South) Bishopthorpe Roa'!$A$12:$A$130,"&lt;"&amp;Diagram!$P92),SUMIFS(INDIRECT(ADDRESS(12,3+18*3+(11),,,"J1 C - (South) Bishopthorpe Roa")&amp;":"&amp;ADDRESS(130,3+18*3+(11))),'J1 C - (South) Bishopthorpe Roa'!$A$12:$A$130,"&gt;="&amp;Diagram!$O92,'J1 C - (South) Bishopthorpe Roa'!$A$12:$A$130,"&lt;"&amp;Diagram!$P92)))</f>
        <v>0</v>
      </c>
      <c r="CC92" s="42">
        <f ca="1">IF(OR($I$10="",$O92="",$P92="",$J$38&lt;&gt;"Yes"),0,IF($K$10=0,SUMIFS(INDIRECT(ADDRESS(12,3+18*0+(3),,,"J1 C - (South) Bishopthorpe Roa")&amp;":"&amp;ADDRESS(130,3+18*0+(3))),'J1 C - (South) Bishopthorpe Roa'!$A$12:$A$130,"&gt;="&amp;Diagram!$O92,'J1 C - (South) Bishopthorpe Roa'!$A$12:$A$130,"&lt;"&amp;Diagram!$P92),SUMIFS(INDIRECT(ADDRESS(12,3+18*0+(11),,,"J1 C - (South) Bishopthorpe Roa")&amp;":"&amp;ADDRESS(130,3+18*0+(11))),'J1 C - (South) Bishopthorpe Roa'!$A$12:$A$130,"&gt;="&amp;Diagram!$O92,'J1 C - (South) Bishopthorpe Roa'!$A$12:$A$130,"&lt;"&amp;Diagram!$P92)))</f>
        <v>0</v>
      </c>
      <c r="CD92" s="42">
        <f ca="1">IF(OR($I$10="",$O92="",$P92="",$J$38&lt;&gt;"Yes"),0,IF($K$10=0,SUMIFS(INDIRECT(ADDRESS(12,3+18*0+(3),,,"J1 D - South Bank Avenue")&amp;":"&amp;ADDRESS(130,3+18*0+(3))),'J1 D - South Bank Avenue'!$A$12:$A$130,"&gt;="&amp;Diagram!$O92,'J1 D - South Bank Avenue'!$A$12:$A$130,"&lt;"&amp;Diagram!$P92),SUMIFS(INDIRECT(ADDRESS(12,3+18*0+(11),,,"J1 D - South Bank Avenue")&amp;":"&amp;ADDRESS(130,3+18*0+(11))),'J1 D - South Bank Avenue'!$A$12:$A$130,"&gt;="&amp;Diagram!$O92,'J1 D - South Bank Avenue'!$A$12:$A$130,"&lt;"&amp;Diagram!$P92)))</f>
        <v>0</v>
      </c>
      <c r="CE92" s="42">
        <f ca="1">IF(OR($I$10="",$O92="",$P92="",$J$38&lt;&gt;"Yes"),0,IF($K$10=0,SUMIFS(INDIRECT(ADDRESS(12,3+18*1+(3),,,"J1 D - South Bank Avenue")&amp;":"&amp;ADDRESS(130,3+18*1+(3))),'J1 D - South Bank Avenue'!$A$12:$A$130,"&gt;="&amp;Diagram!$O92,'J1 D - South Bank Avenue'!$A$12:$A$130,"&lt;"&amp;Diagram!$P92),SUMIFS(INDIRECT(ADDRESS(12,3+18*1+(11),,,"J1 D - South Bank Avenue")&amp;":"&amp;ADDRESS(130,3+18*1+(11))),'J1 D - South Bank Avenue'!$A$12:$A$130,"&gt;="&amp;Diagram!$O92,'J1 D - South Bank Avenue'!$A$12:$A$130,"&lt;"&amp;Diagram!$P92)))</f>
        <v>0</v>
      </c>
      <c r="CF92" s="42">
        <f ca="1">IF(OR($I$10="",$O92="",$P92="",$J$38&lt;&gt;"Yes"),0,IF($K$10=0,SUMIFS(INDIRECT(ADDRESS(12,3+18*2+(3),,,"J1 D - South Bank Avenue")&amp;":"&amp;ADDRESS(130,3+18*2+(3))),'J1 D - South Bank Avenue'!$A$12:$A$130,"&gt;="&amp;Diagram!$O92,'J1 D - South Bank Avenue'!$A$12:$A$130,"&lt;"&amp;Diagram!$P92),SUMIFS(INDIRECT(ADDRESS(12,3+18*2+(11),,,"J1 D - South Bank Avenue")&amp;":"&amp;ADDRESS(130,3+18*2+(11))),'J1 D - South Bank Avenue'!$A$12:$A$130,"&gt;="&amp;Diagram!$O92,'J1 D - South Bank Avenue'!$A$12:$A$130,"&lt;"&amp;Diagram!$P92)))</f>
        <v>0</v>
      </c>
      <c r="CG92" s="42">
        <f ca="1">IF(OR($I$10="",$O92="",$P92="",$J$38&lt;&gt;"Yes"),0,IF($K$10=0,SUMIFS(INDIRECT(ADDRESS(12,3+18*3+(3),,,"J1 D - South Bank Avenue")&amp;":"&amp;ADDRESS(130,3+18*3+(3))),'J1 D - South Bank Avenue'!$A$12:$A$130,"&gt;="&amp;Diagram!$O92,'J1 D - South Bank Avenue'!$A$12:$A$130,"&lt;"&amp;Diagram!$P92),SUMIFS(INDIRECT(ADDRESS(12,3+18*3+(11),,,"J1 D - South Bank Avenue")&amp;":"&amp;ADDRESS(130,3+18*3+(11))),'J1 D - South Bank Avenue'!$A$12:$A$130,"&gt;="&amp;Diagram!$O92,'J1 D - South Bank Avenue'!$A$12:$A$130,"&lt;"&amp;Diagram!$P92)))</f>
        <v>0</v>
      </c>
      <c r="CH92" s="42">
        <f t="shared" ca="1" si="15"/>
        <v>2</v>
      </c>
      <c r="CI92" s="42">
        <f ca="1">IF(OR($I$10="",$O92="",$P92="",$J$39&lt;&gt;"Yes"),0,IF($K$10=0,SUMIFS(INDIRECT(ADDRESS(12,3+18*3+(4),,,"J1 A - (North) Bishopthorpe Roa")&amp;":"&amp;ADDRESS(130,3+18*3+(4))),'J1 A - (North) Bishopthorpe Roa'!$A$12:$A$130,"&gt;="&amp;Diagram!$O92,'J1 A - (North) Bishopthorpe Roa'!$A$12:$A$130,"&lt;"&amp;Diagram!$P92),SUMIFS(INDIRECT(ADDRESS(12,3+18*3+(12),,,"J1 A - (North) Bishopthorpe Roa")&amp;":"&amp;ADDRESS(130,3+18*3+(12))),'J1 A - (North) Bishopthorpe Roa'!$A$12:$A$130,"&gt;="&amp;Diagram!$O92,'J1 A - (North) Bishopthorpe Roa'!$A$12:$A$130,"&lt;"&amp;Diagram!$P92)))</f>
        <v>0</v>
      </c>
      <c r="CJ92" s="42">
        <f ca="1">IF(OR($I$10="",$O92="",$P92="",$J$39&lt;&gt;"Yes"),0,IF($K$10=0,SUMIFS(INDIRECT(ADDRESS(12,3+18*0+(4),,,"J1 A - (North) Bishopthorpe Roa")&amp;":"&amp;ADDRESS(130,3+18*0+(4))),'J1 A - (North) Bishopthorpe Roa'!$A$12:$A$130,"&gt;="&amp;Diagram!$O92,'J1 A - (North) Bishopthorpe Roa'!$A$12:$A$130,"&lt;"&amp;Diagram!$P92),SUMIFS(INDIRECT(ADDRESS(12,3+18*0+(12),,,"J1 A - (North) Bishopthorpe Roa")&amp;":"&amp;ADDRESS(130,3+18*0+(12))),'J1 A - (North) Bishopthorpe Roa'!$A$12:$A$130,"&gt;="&amp;Diagram!$O92,'J1 A - (North) Bishopthorpe Roa'!$A$12:$A$130,"&lt;"&amp;Diagram!$P92)))</f>
        <v>0</v>
      </c>
      <c r="CK92" s="42">
        <f ca="1">IF(OR($I$10="",$O92="",$P92="",$J$39&lt;&gt;"Yes"),0,IF($K$10=0,SUMIFS(INDIRECT(ADDRESS(12,3+18*1+(4),,,"J1 A - (North) Bishopthorpe Roa")&amp;":"&amp;ADDRESS(130,3+18*1+(4))),'J1 A - (North) Bishopthorpe Roa'!$A$12:$A$130,"&gt;="&amp;Diagram!$O92,'J1 A - (North) Bishopthorpe Roa'!$A$12:$A$130,"&lt;"&amp;Diagram!$P92),SUMIFS(INDIRECT(ADDRESS(12,3+18*1+(12),,,"J1 A - (North) Bishopthorpe Roa")&amp;":"&amp;ADDRESS(130,3+18*1+(12))),'J1 A - (North) Bishopthorpe Roa'!$A$12:$A$130,"&gt;="&amp;Diagram!$O92,'J1 A - (North) Bishopthorpe Roa'!$A$12:$A$130,"&lt;"&amp;Diagram!$P92)))</f>
        <v>1</v>
      </c>
      <c r="CL92" s="42">
        <f ca="1">IF(OR($I$10="",$O92="",$P92="",$J$39&lt;&gt;"Yes"),0,IF($K$10=0,SUMIFS(INDIRECT(ADDRESS(12,3+18*2+(4),,,"J1 A - (North) Bishopthorpe Roa")&amp;":"&amp;ADDRESS(130,3+18*2+(4))),'J1 A - (North) Bishopthorpe Roa'!$A$12:$A$130,"&gt;="&amp;Diagram!$O92,'J1 A - (North) Bishopthorpe Roa'!$A$12:$A$130,"&lt;"&amp;Diagram!$P92),SUMIFS(INDIRECT(ADDRESS(12,3+18*2+(12),,,"J1 A - (North) Bishopthorpe Roa")&amp;":"&amp;ADDRESS(130,3+18*2+(12))),'J1 A - (North) Bishopthorpe Roa'!$A$12:$A$130,"&gt;="&amp;Diagram!$O92,'J1 A - (North) Bishopthorpe Roa'!$A$12:$A$130,"&lt;"&amp;Diagram!$P92)))</f>
        <v>0</v>
      </c>
      <c r="CM92" s="42">
        <f ca="1">IF(OR($I$10="",$O92="",$P92="",$J$39&lt;&gt;"Yes"),0,IF($K$10=0,SUMIFS(INDIRECT(ADDRESS(12,3+18*2+(4),,,"J1 B - Butcher Terrace")&amp;":"&amp;ADDRESS(130,3+18*2+(4))),'J1 B - Butcher Terrace'!$A$12:$A$130,"&gt;="&amp;Diagram!$O92,'J1 B - Butcher Terrace'!$A$12:$A$130,"&lt;"&amp;Diagram!$P92),SUMIFS(INDIRECT(ADDRESS(12,3+18*2+(12),,,"J1 B - Butcher Terrace")&amp;":"&amp;ADDRESS(130,3+18*2+(12))),'J1 B - Butcher Terrace'!$A$12:$A$130,"&gt;="&amp;Diagram!$O92,'J1 B - Butcher Terrace'!$A$12:$A$130,"&lt;"&amp;Diagram!$P92)))</f>
        <v>0</v>
      </c>
      <c r="CN92" s="42">
        <f ca="1">IF(OR($I$10="",$O92="",$P92="",$J$39&lt;&gt;"Yes"),0,IF($K$10=0,SUMIFS(INDIRECT(ADDRESS(12,3+18*3+(4),,,"J1 B - Butcher Terrace")&amp;":"&amp;ADDRESS(130,3+18*3+(4))),'J1 B - Butcher Terrace'!$A$12:$A$130,"&gt;="&amp;Diagram!$O92,'J1 B - Butcher Terrace'!$A$12:$A$130,"&lt;"&amp;Diagram!$P92),SUMIFS(INDIRECT(ADDRESS(12,3+18*3+(12),,,"J1 B - Butcher Terrace")&amp;":"&amp;ADDRESS(130,3+18*3+(12))),'J1 B - Butcher Terrace'!$A$12:$A$130,"&gt;="&amp;Diagram!$O92,'J1 B - Butcher Terrace'!$A$12:$A$130,"&lt;"&amp;Diagram!$P92)))</f>
        <v>0</v>
      </c>
      <c r="CO92" s="42">
        <f ca="1">IF(OR($I$10="",$O92="",$P92="",$J$39&lt;&gt;"Yes"),0,IF($K$10=0,SUMIFS(INDIRECT(ADDRESS(12,3+18*0+(4),,,"J1 B - Butcher Terrace")&amp;":"&amp;ADDRESS(130,3+18*0+(4))),'J1 B - Butcher Terrace'!$A$12:$A$130,"&gt;="&amp;Diagram!$O92,'J1 B - Butcher Terrace'!$A$12:$A$130,"&lt;"&amp;Diagram!$P92),SUMIFS(INDIRECT(ADDRESS(12,3+18*0+(12),,,"J1 B - Butcher Terrace")&amp;":"&amp;ADDRESS(130,3+18*0+(12))),'J1 B - Butcher Terrace'!$A$12:$A$130,"&gt;="&amp;Diagram!$O92,'J1 B - Butcher Terrace'!$A$12:$A$130,"&lt;"&amp;Diagram!$P92)))</f>
        <v>0</v>
      </c>
      <c r="CP92" s="42">
        <f ca="1">IF(OR($I$10="",$O92="",$P92="",$J$39&lt;&gt;"Yes"),0,IF($K$10=0,SUMIFS(INDIRECT(ADDRESS(12,3+18*1+(4),,,"J1 B - Butcher Terrace")&amp;":"&amp;ADDRESS(130,3+18*1+(4))),'J1 B - Butcher Terrace'!$A$12:$A$130,"&gt;="&amp;Diagram!$O92,'J1 B - Butcher Terrace'!$A$12:$A$130,"&lt;"&amp;Diagram!$P92),SUMIFS(INDIRECT(ADDRESS(12,3+18*1+(12),,,"J1 B - Butcher Terrace")&amp;":"&amp;ADDRESS(130,3+18*1+(12))),'J1 B - Butcher Terrace'!$A$12:$A$130,"&gt;="&amp;Diagram!$O92,'J1 B - Butcher Terrace'!$A$12:$A$130,"&lt;"&amp;Diagram!$P92)))</f>
        <v>0</v>
      </c>
      <c r="CQ92" s="42">
        <f ca="1">IF(OR($I$10="",$O92="",$P92="",$J$39&lt;&gt;"Yes"),0,IF($K$10=0,SUMIFS(INDIRECT(ADDRESS(12,3+18*1+(4),,,"J1 C - (South) Bishopthorpe Roa")&amp;":"&amp;ADDRESS(130,3+18*1+(4))),'J1 C - (South) Bishopthorpe Roa'!$A$12:$A$130,"&gt;="&amp;Diagram!$O92,'J1 C - (South) Bishopthorpe Roa'!$A$12:$A$130,"&lt;"&amp;Diagram!$P92),SUMIFS(INDIRECT(ADDRESS(12,3+18*1+(12),,,"J1 C - (South) Bishopthorpe Roa")&amp;":"&amp;ADDRESS(130,3+18*1+(12))),'J1 C - (South) Bishopthorpe Roa'!$A$12:$A$130,"&gt;="&amp;Diagram!$O92,'J1 C - (South) Bishopthorpe Roa'!$A$12:$A$130,"&lt;"&amp;Diagram!$P92)))</f>
        <v>1</v>
      </c>
      <c r="CR92" s="42">
        <f ca="1">IF(OR($I$10="",$O92="",$P92="",$J$39&lt;&gt;"Yes"),0,IF($K$10=0,SUMIFS(INDIRECT(ADDRESS(12,3+18*2+(4),,,"J1 C - (South) Bishopthorpe Roa")&amp;":"&amp;ADDRESS(130,3+18*2+(4))),'J1 C - (South) Bishopthorpe Roa'!$A$12:$A$130,"&gt;="&amp;Diagram!$O92,'J1 C - (South) Bishopthorpe Roa'!$A$12:$A$130,"&lt;"&amp;Diagram!$P92),SUMIFS(INDIRECT(ADDRESS(12,3+18*2+(12),,,"J1 C - (South) Bishopthorpe Roa")&amp;":"&amp;ADDRESS(130,3+18*2+(12))),'J1 C - (South) Bishopthorpe Roa'!$A$12:$A$130,"&gt;="&amp;Diagram!$O92,'J1 C - (South) Bishopthorpe Roa'!$A$12:$A$130,"&lt;"&amp;Diagram!$P92)))</f>
        <v>0</v>
      </c>
      <c r="CS92" s="42">
        <f ca="1">IF(OR($I$10="",$O92="",$P92="",$J$39&lt;&gt;"Yes"),0,IF($K$10=0,SUMIFS(INDIRECT(ADDRESS(12,3+18*3+(4),,,"J1 C - (South) Bishopthorpe Roa")&amp;":"&amp;ADDRESS(130,3+18*3+(4))),'J1 C - (South) Bishopthorpe Roa'!$A$12:$A$130,"&gt;="&amp;Diagram!$O92,'J1 C - (South) Bishopthorpe Roa'!$A$12:$A$130,"&lt;"&amp;Diagram!$P92),SUMIFS(INDIRECT(ADDRESS(12,3+18*3+(12),,,"J1 C - (South) Bishopthorpe Roa")&amp;":"&amp;ADDRESS(130,3+18*3+(12))),'J1 C - (South) Bishopthorpe Roa'!$A$12:$A$130,"&gt;="&amp;Diagram!$O92,'J1 C - (South) Bishopthorpe Roa'!$A$12:$A$130,"&lt;"&amp;Diagram!$P92)))</f>
        <v>0</v>
      </c>
      <c r="CT92" s="42">
        <f ca="1">IF(OR($I$10="",$O92="",$P92="",$J$39&lt;&gt;"Yes"),0,IF($K$10=0,SUMIFS(INDIRECT(ADDRESS(12,3+18*0+(4),,,"J1 C - (South) Bishopthorpe Roa")&amp;":"&amp;ADDRESS(130,3+18*0+(4))),'J1 C - (South) Bishopthorpe Roa'!$A$12:$A$130,"&gt;="&amp;Diagram!$O92,'J1 C - (South) Bishopthorpe Roa'!$A$12:$A$130,"&lt;"&amp;Diagram!$P92),SUMIFS(INDIRECT(ADDRESS(12,3+18*0+(12),,,"J1 C - (South) Bishopthorpe Roa")&amp;":"&amp;ADDRESS(130,3+18*0+(12))),'J1 C - (South) Bishopthorpe Roa'!$A$12:$A$130,"&gt;="&amp;Diagram!$O92,'J1 C - (South) Bishopthorpe Roa'!$A$12:$A$130,"&lt;"&amp;Diagram!$P92)))</f>
        <v>0</v>
      </c>
      <c r="CU92" s="42">
        <f ca="1">IF(OR($I$10="",$O92="",$P92="",$J$39&lt;&gt;"Yes"),0,IF($K$10=0,SUMIFS(INDIRECT(ADDRESS(12,3+18*0+(4),,,"J1 D - South Bank Avenue")&amp;":"&amp;ADDRESS(130,3+18*0+(4))),'J1 D - South Bank Avenue'!$A$12:$A$130,"&gt;="&amp;Diagram!$O92,'J1 D - South Bank Avenue'!$A$12:$A$130,"&lt;"&amp;Diagram!$P92),SUMIFS(INDIRECT(ADDRESS(12,3+18*0+(12),,,"J1 D - South Bank Avenue")&amp;":"&amp;ADDRESS(130,3+18*0+(12))),'J1 D - South Bank Avenue'!$A$12:$A$130,"&gt;="&amp;Diagram!$O92,'J1 D - South Bank Avenue'!$A$12:$A$130,"&lt;"&amp;Diagram!$P92)))</f>
        <v>0</v>
      </c>
      <c r="CV92" s="42">
        <f ca="1">IF(OR($I$10="",$O92="",$P92="",$J$39&lt;&gt;"Yes"),0,IF($K$10=0,SUMIFS(INDIRECT(ADDRESS(12,3+18*1+(4),,,"J1 D - South Bank Avenue")&amp;":"&amp;ADDRESS(130,3+18*1+(4))),'J1 D - South Bank Avenue'!$A$12:$A$130,"&gt;="&amp;Diagram!$O92,'J1 D - South Bank Avenue'!$A$12:$A$130,"&lt;"&amp;Diagram!$P92),SUMIFS(INDIRECT(ADDRESS(12,3+18*1+(12),,,"J1 D - South Bank Avenue")&amp;":"&amp;ADDRESS(130,3+18*1+(12))),'J1 D - South Bank Avenue'!$A$12:$A$130,"&gt;="&amp;Diagram!$O92,'J1 D - South Bank Avenue'!$A$12:$A$130,"&lt;"&amp;Diagram!$P92)))</f>
        <v>0</v>
      </c>
      <c r="CW92" s="42">
        <f ca="1">IF(OR($I$10="",$O92="",$P92="",$J$39&lt;&gt;"Yes"),0,IF($K$10=0,SUMIFS(INDIRECT(ADDRESS(12,3+18*2+(4),,,"J1 D - South Bank Avenue")&amp;":"&amp;ADDRESS(130,3+18*2+(4))),'J1 D - South Bank Avenue'!$A$12:$A$130,"&gt;="&amp;Diagram!$O92,'J1 D - South Bank Avenue'!$A$12:$A$130,"&lt;"&amp;Diagram!$P92),SUMIFS(INDIRECT(ADDRESS(12,3+18*2+(12),,,"J1 D - South Bank Avenue")&amp;":"&amp;ADDRESS(130,3+18*2+(12))),'J1 D - South Bank Avenue'!$A$12:$A$130,"&gt;="&amp;Diagram!$O92,'J1 D - South Bank Avenue'!$A$12:$A$130,"&lt;"&amp;Diagram!$P92)))</f>
        <v>0</v>
      </c>
      <c r="CX92" s="42">
        <f ca="1">IF(OR($I$10="",$O92="",$P92="",$J$39&lt;&gt;"Yes"),0,IF($K$10=0,SUMIFS(INDIRECT(ADDRESS(12,3+18*3+(4),,,"J1 D - South Bank Avenue")&amp;":"&amp;ADDRESS(130,3+18*3+(4))),'J1 D - South Bank Avenue'!$A$12:$A$130,"&gt;="&amp;Diagram!$O92,'J1 D - South Bank Avenue'!$A$12:$A$130,"&lt;"&amp;Diagram!$P92),SUMIFS(INDIRECT(ADDRESS(12,3+18*3+(12),,,"J1 D - South Bank Avenue")&amp;":"&amp;ADDRESS(130,3+18*3+(12))),'J1 D - South Bank Avenue'!$A$12:$A$130,"&gt;="&amp;Diagram!$O92,'J1 D - South Bank Avenue'!$A$12:$A$130,"&lt;"&amp;Diagram!$P92)))</f>
        <v>0</v>
      </c>
      <c r="CY92" s="42">
        <f t="shared" ca="1" si="16"/>
        <v>27</v>
      </c>
      <c r="CZ92" s="42">
        <f ca="1">IF(OR($I$10="",$O92="",$P92="",$J$40&lt;&gt;"Yes"),0,IF($K$10=0,SUMIFS(INDIRECT(ADDRESS(12,3+18*3+(5),,,"J1 A - (North) Bishopthorpe Roa")&amp;":"&amp;ADDRESS(130,3+18*3+(5))),'J1 A - (North) Bishopthorpe Roa'!$A$12:$A$130,"&gt;="&amp;Diagram!$O92,'J1 A - (North) Bishopthorpe Roa'!$A$12:$A$130,"&lt;"&amp;Diagram!$P92),SUMIFS(INDIRECT(ADDRESS(12,3+18*3+(13),,,"J1 A - (North) Bishopthorpe Roa")&amp;":"&amp;ADDRESS(130,3+18*3+(13))),'J1 A - (North) Bishopthorpe Roa'!$A$12:$A$130,"&gt;="&amp;Diagram!$O92,'J1 A - (North) Bishopthorpe Roa'!$A$12:$A$130,"&lt;"&amp;Diagram!$P92)))</f>
        <v>0</v>
      </c>
      <c r="DA92" s="42">
        <f ca="1">IF(OR($I$10="",$O92="",$P92="",$J$40&lt;&gt;"Yes"),0,IF($K$10=0,SUMIFS(INDIRECT(ADDRESS(12,3+18*0+(5),,,"J1 A - (North) Bishopthorpe Roa")&amp;":"&amp;ADDRESS(130,3+18*0+(5))),'J1 A - (North) Bishopthorpe Roa'!$A$12:$A$130,"&gt;="&amp;Diagram!$O92,'J1 A - (North) Bishopthorpe Roa'!$A$12:$A$130,"&lt;"&amp;Diagram!$P92),SUMIFS(INDIRECT(ADDRESS(12,3+18*0+(13),,,"J1 A - (North) Bishopthorpe Roa")&amp;":"&amp;ADDRESS(130,3+18*0+(13))),'J1 A - (North) Bishopthorpe Roa'!$A$12:$A$130,"&gt;="&amp;Diagram!$O92,'J1 A - (North) Bishopthorpe Roa'!$A$12:$A$130,"&lt;"&amp;Diagram!$P92)))</f>
        <v>0</v>
      </c>
      <c r="DB92" s="42">
        <f ca="1">IF(OR($I$10="",$O92="",$P92="",$J$40&lt;&gt;"Yes"),0,IF($K$10=0,SUMIFS(INDIRECT(ADDRESS(12,3+18*1+(5),,,"J1 A - (North) Bishopthorpe Roa")&amp;":"&amp;ADDRESS(130,3+18*1+(5))),'J1 A - (North) Bishopthorpe Roa'!$A$12:$A$130,"&gt;="&amp;Diagram!$O92,'J1 A - (North) Bishopthorpe Roa'!$A$12:$A$130,"&lt;"&amp;Diagram!$P92),SUMIFS(INDIRECT(ADDRESS(12,3+18*1+(13),,,"J1 A - (North) Bishopthorpe Roa")&amp;":"&amp;ADDRESS(130,3+18*1+(13))),'J1 A - (North) Bishopthorpe Roa'!$A$12:$A$130,"&gt;="&amp;Diagram!$O92,'J1 A - (North) Bishopthorpe Roa'!$A$12:$A$130,"&lt;"&amp;Diagram!$P92)))</f>
        <v>3</v>
      </c>
      <c r="DC92" s="42">
        <f ca="1">IF(OR($I$10="",$O92="",$P92="",$J$40&lt;&gt;"Yes"),0,IF($K$10=0,SUMIFS(INDIRECT(ADDRESS(12,3+18*2+(5),,,"J1 A - (North) Bishopthorpe Roa")&amp;":"&amp;ADDRESS(130,3+18*2+(5))),'J1 A - (North) Bishopthorpe Roa'!$A$12:$A$130,"&gt;="&amp;Diagram!$O92,'J1 A - (North) Bishopthorpe Roa'!$A$12:$A$130,"&lt;"&amp;Diagram!$P92),SUMIFS(INDIRECT(ADDRESS(12,3+18*2+(13),,,"J1 A - (North) Bishopthorpe Roa")&amp;":"&amp;ADDRESS(130,3+18*2+(13))),'J1 A - (North) Bishopthorpe Roa'!$A$12:$A$130,"&gt;="&amp;Diagram!$O92,'J1 A - (North) Bishopthorpe Roa'!$A$12:$A$130,"&lt;"&amp;Diagram!$P92)))</f>
        <v>3</v>
      </c>
      <c r="DD92" s="42">
        <f ca="1">IF(OR($I$10="",$O92="",$P92="",$J$40&lt;&gt;"Yes"),0,IF($K$10=0,SUMIFS(INDIRECT(ADDRESS(12,3+18*2+(5),,,"J1 B - Butcher Terrace")&amp;":"&amp;ADDRESS(130,3+18*2+(5))),'J1 B - Butcher Terrace'!$A$12:$A$130,"&gt;="&amp;Diagram!$O92,'J1 B - Butcher Terrace'!$A$12:$A$130,"&lt;"&amp;Diagram!$P92),SUMIFS(INDIRECT(ADDRESS(12,3+18*2+(13),,,"J1 B - Butcher Terrace")&amp;":"&amp;ADDRESS(130,3+18*2+(13))),'J1 B - Butcher Terrace'!$A$12:$A$130,"&gt;="&amp;Diagram!$O92,'J1 B - Butcher Terrace'!$A$12:$A$130,"&lt;"&amp;Diagram!$P92)))</f>
        <v>3</v>
      </c>
      <c r="DE92" s="42">
        <f ca="1">IF(OR($I$10="",$O92="",$P92="",$J$40&lt;&gt;"Yes"),0,IF($K$10=0,SUMIFS(INDIRECT(ADDRESS(12,3+18*3+(5),,,"J1 B - Butcher Terrace")&amp;":"&amp;ADDRESS(130,3+18*3+(5))),'J1 B - Butcher Terrace'!$A$12:$A$130,"&gt;="&amp;Diagram!$O92,'J1 B - Butcher Terrace'!$A$12:$A$130,"&lt;"&amp;Diagram!$P92),SUMIFS(INDIRECT(ADDRESS(12,3+18*3+(13),,,"J1 B - Butcher Terrace")&amp;":"&amp;ADDRESS(130,3+18*3+(13))),'J1 B - Butcher Terrace'!$A$12:$A$130,"&gt;="&amp;Diagram!$O92,'J1 B - Butcher Terrace'!$A$12:$A$130,"&lt;"&amp;Diagram!$P92)))</f>
        <v>0</v>
      </c>
      <c r="DF92" s="42">
        <f ca="1">IF(OR($I$10="",$O92="",$P92="",$J$40&lt;&gt;"Yes"),0,IF($K$10=0,SUMIFS(INDIRECT(ADDRESS(12,3+18*0+(5),,,"J1 B - Butcher Terrace")&amp;":"&amp;ADDRESS(130,3+18*0+(5))),'J1 B - Butcher Terrace'!$A$12:$A$130,"&gt;="&amp;Diagram!$O92,'J1 B - Butcher Terrace'!$A$12:$A$130,"&lt;"&amp;Diagram!$P92),SUMIFS(INDIRECT(ADDRESS(12,3+18*0+(13),,,"J1 B - Butcher Terrace")&amp;":"&amp;ADDRESS(130,3+18*0+(13))),'J1 B - Butcher Terrace'!$A$12:$A$130,"&gt;="&amp;Diagram!$O92,'J1 B - Butcher Terrace'!$A$12:$A$130,"&lt;"&amp;Diagram!$P92)))</f>
        <v>1</v>
      </c>
      <c r="DG92" s="42">
        <f ca="1">IF(OR($I$10="",$O92="",$P92="",$J$40&lt;&gt;"Yes"),0,IF($K$10=0,SUMIFS(INDIRECT(ADDRESS(12,3+18*1+(5),,,"J1 B - Butcher Terrace")&amp;":"&amp;ADDRESS(130,3+18*1+(5))),'J1 B - Butcher Terrace'!$A$12:$A$130,"&gt;="&amp;Diagram!$O92,'J1 B - Butcher Terrace'!$A$12:$A$130,"&lt;"&amp;Diagram!$P92),SUMIFS(INDIRECT(ADDRESS(12,3+18*1+(13),,,"J1 B - Butcher Terrace")&amp;":"&amp;ADDRESS(130,3+18*1+(13))),'J1 B - Butcher Terrace'!$A$12:$A$130,"&gt;="&amp;Diagram!$O92,'J1 B - Butcher Terrace'!$A$12:$A$130,"&lt;"&amp;Diagram!$P92)))</f>
        <v>12</v>
      </c>
      <c r="DH92" s="42">
        <f ca="1">IF(OR($I$10="",$O92="",$P92="",$J$40&lt;&gt;"Yes"),0,IF($K$10=0,SUMIFS(INDIRECT(ADDRESS(12,3+18*1+(5),,,"J1 C - (South) Bishopthorpe Roa")&amp;":"&amp;ADDRESS(130,3+18*1+(5))),'J1 C - (South) Bishopthorpe Roa'!$A$12:$A$130,"&gt;="&amp;Diagram!$O92,'J1 C - (South) Bishopthorpe Roa'!$A$12:$A$130,"&lt;"&amp;Diagram!$P92),SUMIFS(INDIRECT(ADDRESS(12,3+18*1+(13),,,"J1 C - (South) Bishopthorpe Roa")&amp;":"&amp;ADDRESS(130,3+18*1+(13))),'J1 C - (South) Bishopthorpe Roa'!$A$12:$A$130,"&gt;="&amp;Diagram!$O92,'J1 C - (South) Bishopthorpe Roa'!$A$12:$A$130,"&lt;"&amp;Diagram!$P92)))</f>
        <v>2</v>
      </c>
      <c r="DI92" s="42">
        <f ca="1">IF(OR($I$10="",$O92="",$P92="",$J$40&lt;&gt;"Yes"),0,IF($K$10=0,SUMIFS(INDIRECT(ADDRESS(12,3+18*2+(5),,,"J1 C - (South) Bishopthorpe Roa")&amp;":"&amp;ADDRESS(130,3+18*2+(5))),'J1 C - (South) Bishopthorpe Roa'!$A$12:$A$130,"&gt;="&amp;Diagram!$O92,'J1 C - (South) Bishopthorpe Roa'!$A$12:$A$130,"&lt;"&amp;Diagram!$P92),SUMIFS(INDIRECT(ADDRESS(12,3+18*2+(13),,,"J1 C - (South) Bishopthorpe Roa")&amp;":"&amp;ADDRESS(130,3+18*2+(13))),'J1 C - (South) Bishopthorpe Roa'!$A$12:$A$130,"&gt;="&amp;Diagram!$O92,'J1 C - (South) Bishopthorpe Roa'!$A$12:$A$130,"&lt;"&amp;Diagram!$P92)))</f>
        <v>0</v>
      </c>
      <c r="DJ92" s="42">
        <f ca="1">IF(OR($I$10="",$O92="",$P92="",$J$40&lt;&gt;"Yes"),0,IF($K$10=0,SUMIFS(INDIRECT(ADDRESS(12,3+18*3+(5),,,"J1 C - (South) Bishopthorpe Roa")&amp;":"&amp;ADDRESS(130,3+18*3+(5))),'J1 C - (South) Bishopthorpe Roa'!$A$12:$A$130,"&gt;="&amp;Diagram!$O92,'J1 C - (South) Bishopthorpe Roa'!$A$12:$A$130,"&lt;"&amp;Diagram!$P92),SUMIFS(INDIRECT(ADDRESS(12,3+18*3+(13),,,"J1 C - (South) Bishopthorpe Roa")&amp;":"&amp;ADDRESS(130,3+18*3+(13))),'J1 C - (South) Bishopthorpe Roa'!$A$12:$A$130,"&gt;="&amp;Diagram!$O92,'J1 C - (South) Bishopthorpe Roa'!$A$12:$A$130,"&lt;"&amp;Diagram!$P92)))</f>
        <v>0</v>
      </c>
      <c r="DK92" s="42">
        <f ca="1">IF(OR($I$10="",$O92="",$P92="",$J$40&lt;&gt;"Yes"),0,IF($K$10=0,SUMIFS(INDIRECT(ADDRESS(12,3+18*0+(5),,,"J1 C - (South) Bishopthorpe Roa")&amp;":"&amp;ADDRESS(130,3+18*0+(5))),'J1 C - (South) Bishopthorpe Roa'!$A$12:$A$130,"&gt;="&amp;Diagram!$O92,'J1 C - (South) Bishopthorpe Roa'!$A$12:$A$130,"&lt;"&amp;Diagram!$P92),SUMIFS(INDIRECT(ADDRESS(12,3+18*0+(13),,,"J1 C - (South) Bishopthorpe Roa")&amp;":"&amp;ADDRESS(130,3+18*0+(13))),'J1 C - (South) Bishopthorpe Roa'!$A$12:$A$130,"&gt;="&amp;Diagram!$O92,'J1 C - (South) Bishopthorpe Roa'!$A$12:$A$130,"&lt;"&amp;Diagram!$P92)))</f>
        <v>0</v>
      </c>
      <c r="DL92" s="42">
        <f ca="1">IF(OR($I$10="",$O92="",$P92="",$J$40&lt;&gt;"Yes"),0,IF($K$10=0,SUMIFS(INDIRECT(ADDRESS(12,3+18*0+(5),,,"J1 D - South Bank Avenue")&amp;":"&amp;ADDRESS(130,3+18*0+(5))),'J1 D - South Bank Avenue'!$A$12:$A$130,"&gt;="&amp;Diagram!$O92,'J1 D - South Bank Avenue'!$A$12:$A$130,"&lt;"&amp;Diagram!$P92),SUMIFS(INDIRECT(ADDRESS(12,3+18*0+(13),,,"J1 D - South Bank Avenue")&amp;":"&amp;ADDRESS(130,3+18*0+(13))),'J1 D - South Bank Avenue'!$A$12:$A$130,"&gt;="&amp;Diagram!$O92,'J1 D - South Bank Avenue'!$A$12:$A$130,"&lt;"&amp;Diagram!$P92)))</f>
        <v>1</v>
      </c>
      <c r="DM92" s="42">
        <f ca="1">IF(OR($I$10="",$O92="",$P92="",$J$40&lt;&gt;"Yes"),0,IF($K$10=0,SUMIFS(INDIRECT(ADDRESS(12,3+18*1+(5),,,"J1 D - South Bank Avenue")&amp;":"&amp;ADDRESS(130,3+18*1+(5))),'J1 D - South Bank Avenue'!$A$12:$A$130,"&gt;="&amp;Diagram!$O92,'J1 D - South Bank Avenue'!$A$12:$A$130,"&lt;"&amp;Diagram!$P92),SUMIFS(INDIRECT(ADDRESS(12,3+18*1+(13),,,"J1 D - South Bank Avenue")&amp;":"&amp;ADDRESS(130,3+18*1+(13))),'J1 D - South Bank Avenue'!$A$12:$A$130,"&gt;="&amp;Diagram!$O92,'J1 D - South Bank Avenue'!$A$12:$A$130,"&lt;"&amp;Diagram!$P92)))</f>
        <v>2</v>
      </c>
      <c r="DN92" s="42">
        <f ca="1">IF(OR($I$10="",$O92="",$P92="",$J$40&lt;&gt;"Yes"),0,IF($K$10=0,SUMIFS(INDIRECT(ADDRESS(12,3+18*2+(5),,,"J1 D - South Bank Avenue")&amp;":"&amp;ADDRESS(130,3+18*2+(5))),'J1 D - South Bank Avenue'!$A$12:$A$130,"&gt;="&amp;Diagram!$O92,'J1 D - South Bank Avenue'!$A$12:$A$130,"&lt;"&amp;Diagram!$P92),SUMIFS(INDIRECT(ADDRESS(12,3+18*2+(13),,,"J1 D - South Bank Avenue")&amp;":"&amp;ADDRESS(130,3+18*2+(13))),'J1 D - South Bank Avenue'!$A$12:$A$130,"&gt;="&amp;Diagram!$O92,'J1 D - South Bank Avenue'!$A$12:$A$130,"&lt;"&amp;Diagram!$P92)))</f>
        <v>0</v>
      </c>
      <c r="DO92" s="42">
        <f ca="1">IF(OR($I$10="",$O92="",$P92="",$J$40&lt;&gt;"Yes"),0,IF($K$10=0,SUMIFS(INDIRECT(ADDRESS(12,3+18*3+(5),,,"J1 D - South Bank Avenue")&amp;":"&amp;ADDRESS(130,3+18*3+(5))),'J1 D - South Bank Avenue'!$A$12:$A$130,"&gt;="&amp;Diagram!$O92,'J1 D - South Bank Avenue'!$A$12:$A$130,"&lt;"&amp;Diagram!$P92),SUMIFS(INDIRECT(ADDRESS(12,3+18*3+(13),,,"J1 D - South Bank Avenue")&amp;":"&amp;ADDRESS(130,3+18*3+(13))),'J1 D - South Bank Avenue'!$A$12:$A$130,"&gt;="&amp;Diagram!$O92,'J1 D - South Bank Avenue'!$A$12:$A$130,"&lt;"&amp;Diagram!$P92)))</f>
        <v>0</v>
      </c>
      <c r="DP92" s="42">
        <f t="shared" ca="1" si="17"/>
        <v>2</v>
      </c>
      <c r="DQ92" s="42">
        <f ca="1">IF(OR($I$10="",$O92="",$P92="",$J$41&lt;&gt;"Yes"),0,IF($K$10=0,SUMIFS(INDIRECT(ADDRESS(12,3+18*3+(6),,,"J1 A - (North) Bishopthorpe Roa")&amp;":"&amp;ADDRESS(130,3+18*3+(6))),'J1 A - (North) Bishopthorpe Roa'!$A$12:$A$130,"&gt;="&amp;Diagram!$O92,'J1 A - (North) Bishopthorpe Roa'!$A$12:$A$130,"&lt;"&amp;Diagram!$P92),SUMIFS(INDIRECT(ADDRESS(12,3+18*3+(14),,,"J1 A - (North) Bishopthorpe Roa")&amp;":"&amp;ADDRESS(130,3+18*3+(14))),'J1 A - (North) Bishopthorpe Roa'!$A$12:$A$130,"&gt;="&amp;Diagram!$O92,'J1 A - (North) Bishopthorpe Roa'!$A$12:$A$130,"&lt;"&amp;Diagram!$P92)))</f>
        <v>0</v>
      </c>
      <c r="DR92" s="42">
        <f ca="1">IF(OR($I$10="",$O92="",$P92="",$J$41&lt;&gt;"Yes"),0,IF($K$10=0,SUMIFS(INDIRECT(ADDRESS(12,3+18*0+(6),,,"J1 A - (North) Bishopthorpe Roa")&amp;":"&amp;ADDRESS(130,3+18*0+(6))),'J1 A - (North) Bishopthorpe Roa'!$A$12:$A$130,"&gt;="&amp;Diagram!$O92,'J1 A - (North) Bishopthorpe Roa'!$A$12:$A$130,"&lt;"&amp;Diagram!$P92),SUMIFS(INDIRECT(ADDRESS(12,3+18*0+(14),,,"J1 A - (North) Bishopthorpe Roa")&amp;":"&amp;ADDRESS(130,3+18*0+(14))),'J1 A - (North) Bishopthorpe Roa'!$A$12:$A$130,"&gt;="&amp;Diagram!$O92,'J1 A - (North) Bishopthorpe Roa'!$A$12:$A$130,"&lt;"&amp;Diagram!$P92)))</f>
        <v>0</v>
      </c>
      <c r="DS92" s="42">
        <f ca="1">IF(OR($I$10="",$O92="",$P92="",$J$41&lt;&gt;"Yes"),0,IF($K$10=0,SUMIFS(INDIRECT(ADDRESS(12,3+18*1+(6),,,"J1 A - (North) Bishopthorpe Roa")&amp;":"&amp;ADDRESS(130,3+18*1+(6))),'J1 A - (North) Bishopthorpe Roa'!$A$12:$A$130,"&gt;="&amp;Diagram!$O92,'J1 A - (North) Bishopthorpe Roa'!$A$12:$A$130,"&lt;"&amp;Diagram!$P92),SUMIFS(INDIRECT(ADDRESS(12,3+18*1+(14),,,"J1 A - (North) Bishopthorpe Roa")&amp;":"&amp;ADDRESS(130,3+18*1+(14))),'J1 A - (North) Bishopthorpe Roa'!$A$12:$A$130,"&gt;="&amp;Diagram!$O92,'J1 A - (North) Bishopthorpe Roa'!$A$12:$A$130,"&lt;"&amp;Diagram!$P92)))</f>
        <v>0</v>
      </c>
      <c r="DT92" s="42">
        <f ca="1">IF(OR($I$10="",$O92="",$P92="",$J$41&lt;&gt;"Yes"),0,IF($K$10=0,SUMIFS(INDIRECT(ADDRESS(12,3+18*2+(6),,,"J1 A - (North) Bishopthorpe Roa")&amp;":"&amp;ADDRESS(130,3+18*2+(6))),'J1 A - (North) Bishopthorpe Roa'!$A$12:$A$130,"&gt;="&amp;Diagram!$O92,'J1 A - (North) Bishopthorpe Roa'!$A$12:$A$130,"&lt;"&amp;Diagram!$P92),SUMIFS(INDIRECT(ADDRESS(12,3+18*2+(14),,,"J1 A - (North) Bishopthorpe Roa")&amp;":"&amp;ADDRESS(130,3+18*2+(14))),'J1 A - (North) Bishopthorpe Roa'!$A$12:$A$130,"&gt;="&amp;Diagram!$O92,'J1 A - (North) Bishopthorpe Roa'!$A$12:$A$130,"&lt;"&amp;Diagram!$P92)))</f>
        <v>0</v>
      </c>
      <c r="DU92" s="42">
        <f ca="1">IF(OR($I$10="",$O92="",$P92="",$J$41&lt;&gt;"Yes"),0,IF($K$10=0,SUMIFS(INDIRECT(ADDRESS(12,3+18*2+(6),,,"J1 B - Butcher Terrace")&amp;":"&amp;ADDRESS(130,3+18*2+(6))),'J1 B - Butcher Terrace'!$A$12:$A$130,"&gt;="&amp;Diagram!$O92,'J1 B - Butcher Terrace'!$A$12:$A$130,"&lt;"&amp;Diagram!$P92),SUMIFS(INDIRECT(ADDRESS(12,3+18*2+(14),,,"J1 B - Butcher Terrace")&amp;":"&amp;ADDRESS(130,3+18*2+(14))),'J1 B - Butcher Terrace'!$A$12:$A$130,"&gt;="&amp;Diagram!$O92,'J1 B - Butcher Terrace'!$A$12:$A$130,"&lt;"&amp;Diagram!$P92)))</f>
        <v>1</v>
      </c>
      <c r="DV92" s="42">
        <f ca="1">IF(OR($I$10="",$O92="",$P92="",$J$41&lt;&gt;"Yes"),0,IF($K$10=0,SUMIFS(INDIRECT(ADDRESS(12,3+18*3+(6),,,"J1 B - Butcher Terrace")&amp;":"&amp;ADDRESS(130,3+18*3+(6))),'J1 B - Butcher Terrace'!$A$12:$A$130,"&gt;="&amp;Diagram!$O92,'J1 B - Butcher Terrace'!$A$12:$A$130,"&lt;"&amp;Diagram!$P92),SUMIFS(INDIRECT(ADDRESS(12,3+18*3+(14),,,"J1 B - Butcher Terrace")&amp;":"&amp;ADDRESS(130,3+18*3+(14))),'J1 B - Butcher Terrace'!$A$12:$A$130,"&gt;="&amp;Diagram!$O92,'J1 B - Butcher Terrace'!$A$12:$A$130,"&lt;"&amp;Diagram!$P92)))</f>
        <v>0</v>
      </c>
      <c r="DW92" s="42">
        <f ca="1">IF(OR($I$10="",$O92="",$P92="",$J$41&lt;&gt;"Yes"),0,IF($K$10=0,SUMIFS(INDIRECT(ADDRESS(12,3+18*0+(6),,,"J1 B - Butcher Terrace")&amp;":"&amp;ADDRESS(130,3+18*0+(6))),'J1 B - Butcher Terrace'!$A$12:$A$130,"&gt;="&amp;Diagram!$O92,'J1 B - Butcher Terrace'!$A$12:$A$130,"&lt;"&amp;Diagram!$P92),SUMIFS(INDIRECT(ADDRESS(12,3+18*0+(14),,,"J1 B - Butcher Terrace")&amp;":"&amp;ADDRESS(130,3+18*0+(14))),'J1 B - Butcher Terrace'!$A$12:$A$130,"&gt;="&amp;Diagram!$O92,'J1 B - Butcher Terrace'!$A$12:$A$130,"&lt;"&amp;Diagram!$P92)))</f>
        <v>0</v>
      </c>
      <c r="DX92" s="42">
        <f ca="1">IF(OR($I$10="",$O92="",$P92="",$J$41&lt;&gt;"Yes"),0,IF($K$10=0,SUMIFS(INDIRECT(ADDRESS(12,3+18*1+(6),,,"J1 B - Butcher Terrace")&amp;":"&amp;ADDRESS(130,3+18*1+(6))),'J1 B - Butcher Terrace'!$A$12:$A$130,"&gt;="&amp;Diagram!$O92,'J1 B - Butcher Terrace'!$A$12:$A$130,"&lt;"&amp;Diagram!$P92),SUMIFS(INDIRECT(ADDRESS(12,3+18*1+(14),,,"J1 B - Butcher Terrace")&amp;":"&amp;ADDRESS(130,3+18*1+(14))),'J1 B - Butcher Terrace'!$A$12:$A$130,"&gt;="&amp;Diagram!$O92,'J1 B - Butcher Terrace'!$A$12:$A$130,"&lt;"&amp;Diagram!$P92)))</f>
        <v>0</v>
      </c>
      <c r="DY92" s="42">
        <f ca="1">IF(OR($I$10="",$O92="",$P92="",$J$41&lt;&gt;"Yes"),0,IF($K$10=0,SUMIFS(INDIRECT(ADDRESS(12,3+18*1+(6),,,"J1 C - (South) Bishopthorpe Roa")&amp;":"&amp;ADDRESS(130,3+18*1+(6))),'J1 C - (South) Bishopthorpe Roa'!$A$12:$A$130,"&gt;="&amp;Diagram!$O92,'J1 C - (South) Bishopthorpe Roa'!$A$12:$A$130,"&lt;"&amp;Diagram!$P92),SUMIFS(INDIRECT(ADDRESS(12,3+18*1+(14),,,"J1 C - (South) Bishopthorpe Roa")&amp;":"&amp;ADDRESS(130,3+18*1+(14))),'J1 C - (South) Bishopthorpe Roa'!$A$12:$A$130,"&gt;="&amp;Diagram!$O92,'J1 C - (South) Bishopthorpe Roa'!$A$12:$A$130,"&lt;"&amp;Diagram!$P92)))</f>
        <v>1</v>
      </c>
      <c r="DZ92" s="42">
        <f ca="1">IF(OR($I$10="",$O92="",$P92="",$J$41&lt;&gt;"Yes"),0,IF($K$10=0,SUMIFS(INDIRECT(ADDRESS(12,3+18*2+(6),,,"J1 C - (South) Bishopthorpe Roa")&amp;":"&amp;ADDRESS(130,3+18*2+(6))),'J1 C - (South) Bishopthorpe Roa'!$A$12:$A$130,"&gt;="&amp;Diagram!$O92,'J1 C - (South) Bishopthorpe Roa'!$A$12:$A$130,"&lt;"&amp;Diagram!$P92),SUMIFS(INDIRECT(ADDRESS(12,3+18*2+(14),,,"J1 C - (South) Bishopthorpe Roa")&amp;":"&amp;ADDRESS(130,3+18*2+(14))),'J1 C - (South) Bishopthorpe Roa'!$A$12:$A$130,"&gt;="&amp;Diagram!$O92,'J1 C - (South) Bishopthorpe Roa'!$A$12:$A$130,"&lt;"&amp;Diagram!$P92)))</f>
        <v>0</v>
      </c>
      <c r="EA92" s="42">
        <f ca="1">IF(OR($I$10="",$O92="",$P92="",$J$41&lt;&gt;"Yes"),0,IF($K$10=0,SUMIFS(INDIRECT(ADDRESS(12,3+18*3+(6),,,"J1 C - (South) Bishopthorpe Roa")&amp;":"&amp;ADDRESS(130,3+18*3+(6))),'J1 C - (South) Bishopthorpe Roa'!$A$12:$A$130,"&gt;="&amp;Diagram!$O92,'J1 C - (South) Bishopthorpe Roa'!$A$12:$A$130,"&lt;"&amp;Diagram!$P92),SUMIFS(INDIRECT(ADDRESS(12,3+18*3+(14),,,"J1 C - (South) Bishopthorpe Roa")&amp;":"&amp;ADDRESS(130,3+18*3+(14))),'J1 C - (South) Bishopthorpe Roa'!$A$12:$A$130,"&gt;="&amp;Diagram!$O92,'J1 C - (South) Bishopthorpe Roa'!$A$12:$A$130,"&lt;"&amp;Diagram!$P92)))</f>
        <v>0</v>
      </c>
      <c r="EB92" s="42">
        <f ca="1">IF(OR($I$10="",$O92="",$P92="",$J$41&lt;&gt;"Yes"),0,IF($K$10=0,SUMIFS(INDIRECT(ADDRESS(12,3+18*0+(6),,,"J1 C - (South) Bishopthorpe Roa")&amp;":"&amp;ADDRESS(130,3+18*0+(6))),'J1 C - (South) Bishopthorpe Roa'!$A$12:$A$130,"&gt;="&amp;Diagram!$O92,'J1 C - (South) Bishopthorpe Roa'!$A$12:$A$130,"&lt;"&amp;Diagram!$P92),SUMIFS(INDIRECT(ADDRESS(12,3+18*0+(14),,,"J1 C - (South) Bishopthorpe Roa")&amp;":"&amp;ADDRESS(130,3+18*0+(14))),'J1 C - (South) Bishopthorpe Roa'!$A$12:$A$130,"&gt;="&amp;Diagram!$O92,'J1 C - (South) Bishopthorpe Roa'!$A$12:$A$130,"&lt;"&amp;Diagram!$P92)))</f>
        <v>0</v>
      </c>
      <c r="EC92" s="42">
        <f ca="1">IF(OR($I$10="",$O92="",$P92="",$J$41&lt;&gt;"Yes"),0,IF($K$10=0,SUMIFS(INDIRECT(ADDRESS(12,3+18*0+(6),,,"J1 D - South Bank Avenue")&amp;":"&amp;ADDRESS(130,3+18*0+(6))),'J1 D - South Bank Avenue'!$A$12:$A$130,"&gt;="&amp;Diagram!$O92,'J1 D - South Bank Avenue'!$A$12:$A$130,"&lt;"&amp;Diagram!$P92),SUMIFS(INDIRECT(ADDRESS(12,3+18*0+(14),,,"J1 D - South Bank Avenue")&amp;":"&amp;ADDRESS(130,3+18*0+(14))),'J1 D - South Bank Avenue'!$A$12:$A$130,"&gt;="&amp;Diagram!$O92,'J1 D - South Bank Avenue'!$A$12:$A$130,"&lt;"&amp;Diagram!$P92)))</f>
        <v>0</v>
      </c>
      <c r="ED92" s="42">
        <f ca="1">IF(OR($I$10="",$O92="",$P92="",$J$41&lt;&gt;"Yes"),0,IF($K$10=0,SUMIFS(INDIRECT(ADDRESS(12,3+18*1+(6),,,"J1 D - South Bank Avenue")&amp;":"&amp;ADDRESS(130,3+18*1+(6))),'J1 D - South Bank Avenue'!$A$12:$A$130,"&gt;="&amp;Diagram!$O92,'J1 D - South Bank Avenue'!$A$12:$A$130,"&lt;"&amp;Diagram!$P92),SUMIFS(INDIRECT(ADDRESS(12,3+18*1+(14),,,"J1 D - South Bank Avenue")&amp;":"&amp;ADDRESS(130,3+18*1+(14))),'J1 D - South Bank Avenue'!$A$12:$A$130,"&gt;="&amp;Diagram!$O92,'J1 D - South Bank Avenue'!$A$12:$A$130,"&lt;"&amp;Diagram!$P92)))</f>
        <v>0</v>
      </c>
      <c r="EE92" s="42">
        <f ca="1">IF(OR($I$10="",$O92="",$P92="",$J$41&lt;&gt;"Yes"),0,IF($K$10=0,SUMIFS(INDIRECT(ADDRESS(12,3+18*2+(6),,,"J1 D - South Bank Avenue")&amp;":"&amp;ADDRESS(130,3+18*2+(6))),'J1 D - South Bank Avenue'!$A$12:$A$130,"&gt;="&amp;Diagram!$O92,'J1 D - South Bank Avenue'!$A$12:$A$130,"&lt;"&amp;Diagram!$P92),SUMIFS(INDIRECT(ADDRESS(12,3+18*2+(14),,,"J1 D - South Bank Avenue")&amp;":"&amp;ADDRESS(130,3+18*2+(14))),'J1 D - South Bank Avenue'!$A$12:$A$130,"&gt;="&amp;Diagram!$O92,'J1 D - South Bank Avenue'!$A$12:$A$130,"&lt;"&amp;Diagram!$P92)))</f>
        <v>0</v>
      </c>
      <c r="EF92" s="42">
        <f ca="1">IF(OR($I$10="",$O92="",$P92="",$J$41&lt;&gt;"Yes"),0,IF($K$10=0,SUMIFS(INDIRECT(ADDRESS(12,3+18*3+(6),,,"J1 D - South Bank Avenue")&amp;":"&amp;ADDRESS(130,3+18*3+(6))),'J1 D - South Bank Avenue'!$A$12:$A$130,"&gt;="&amp;Diagram!$O92,'J1 D - South Bank Avenue'!$A$12:$A$130,"&lt;"&amp;Diagram!$P92),SUMIFS(INDIRECT(ADDRESS(12,3+18*3+(14),,,"J1 D - South Bank Avenue")&amp;":"&amp;ADDRESS(130,3+18*3+(14))),'J1 D - South Bank Avenue'!$A$12:$A$130,"&gt;="&amp;Diagram!$O92,'J1 D - South Bank Avenue'!$A$12:$A$130,"&lt;"&amp;Diagram!$P92)))</f>
        <v>0</v>
      </c>
      <c r="EG92" s="42">
        <f t="shared" ca="1" si="18"/>
        <v>0</v>
      </c>
      <c r="EH92" s="42">
        <f ca="1">IF(OR($I$10="",$O92="",$P92="",$J$42&lt;&gt;"Yes"),0,IF($K$10=0,SUMIFS(INDIRECT(ADDRESS(12,3+18*3+(7),,,"J1 A - (North) Bishopthorpe Roa")&amp;":"&amp;ADDRESS(130,3+18*3+(7))),'J1 A - (North) Bishopthorpe Roa'!$A$12:$A$130,"&gt;="&amp;Diagram!$O92,'J1 A - (North) Bishopthorpe Roa'!$A$12:$A$130,"&lt;"&amp;Diagram!$P92),SUMIFS(INDIRECT(ADDRESS(12,3+18*3+(15),,,"J1 A - (North) Bishopthorpe Roa")&amp;":"&amp;ADDRESS(130,3+18*3+(15))),'J1 A - (North) Bishopthorpe Roa'!$A$12:$A$130,"&gt;="&amp;Diagram!$O92,'J1 A - (North) Bishopthorpe Roa'!$A$12:$A$130,"&lt;"&amp;Diagram!$P92)))</f>
        <v>0</v>
      </c>
      <c r="EI92" s="42">
        <f ca="1">IF(OR($I$10="",$O92="",$P92="",$J$42&lt;&gt;"Yes"),0,IF($K$10=0,SUMIFS(INDIRECT(ADDRESS(12,3+18*0+(7),,,"J1 A - (North) Bishopthorpe Roa")&amp;":"&amp;ADDRESS(130,3+18*0+(7))),'J1 A - (North) Bishopthorpe Roa'!$A$12:$A$130,"&gt;="&amp;Diagram!$O92,'J1 A - (North) Bishopthorpe Roa'!$A$12:$A$130,"&lt;"&amp;Diagram!$P92),SUMIFS(INDIRECT(ADDRESS(12,3+18*0+(15),,,"J1 A - (North) Bishopthorpe Roa")&amp;":"&amp;ADDRESS(130,3+18*0+(15))),'J1 A - (North) Bishopthorpe Roa'!$A$12:$A$130,"&gt;="&amp;Diagram!$O92,'J1 A - (North) Bishopthorpe Roa'!$A$12:$A$130,"&lt;"&amp;Diagram!$P92)))</f>
        <v>0</v>
      </c>
      <c r="EJ92" s="42">
        <f ca="1">IF(OR($I$10="",$O92="",$P92="",$J$42&lt;&gt;"Yes"),0,IF($K$10=0,SUMIFS(INDIRECT(ADDRESS(12,3+18*1+(7),,,"J1 A - (North) Bishopthorpe Roa")&amp;":"&amp;ADDRESS(130,3+18*1+(7))),'J1 A - (North) Bishopthorpe Roa'!$A$12:$A$130,"&gt;="&amp;Diagram!$O92,'J1 A - (North) Bishopthorpe Roa'!$A$12:$A$130,"&lt;"&amp;Diagram!$P92),SUMIFS(INDIRECT(ADDRESS(12,3+18*1+(15),,,"J1 A - (North) Bishopthorpe Roa")&amp;":"&amp;ADDRESS(130,3+18*1+(15))),'J1 A - (North) Bishopthorpe Roa'!$A$12:$A$130,"&gt;="&amp;Diagram!$O92,'J1 A - (North) Bishopthorpe Roa'!$A$12:$A$130,"&lt;"&amp;Diagram!$P92)))</f>
        <v>0</v>
      </c>
      <c r="EK92" s="42">
        <f ca="1">IF(OR($I$10="",$O92="",$P92="",$J$42&lt;&gt;"Yes"),0,IF($K$10=0,SUMIFS(INDIRECT(ADDRESS(12,3+18*2+(7),,,"J1 A - (North) Bishopthorpe Roa")&amp;":"&amp;ADDRESS(130,3+18*2+(7))),'J1 A - (North) Bishopthorpe Roa'!$A$12:$A$130,"&gt;="&amp;Diagram!$O92,'J1 A - (North) Bishopthorpe Roa'!$A$12:$A$130,"&lt;"&amp;Diagram!$P92),SUMIFS(INDIRECT(ADDRESS(12,3+18*2+(15),,,"J1 A - (North) Bishopthorpe Roa")&amp;":"&amp;ADDRESS(130,3+18*2+(15))),'J1 A - (North) Bishopthorpe Roa'!$A$12:$A$130,"&gt;="&amp;Diagram!$O92,'J1 A - (North) Bishopthorpe Roa'!$A$12:$A$130,"&lt;"&amp;Diagram!$P92)))</f>
        <v>0</v>
      </c>
      <c r="EL92" s="42">
        <f ca="1">IF(OR($I$10="",$O92="",$P92="",$J$42&lt;&gt;"Yes"),0,IF($K$10=0,SUMIFS(INDIRECT(ADDRESS(12,3+18*2+(7),,,"J1 B - Butcher Terrace")&amp;":"&amp;ADDRESS(130,3+18*2+(7))),'J1 B - Butcher Terrace'!$A$12:$A$130,"&gt;="&amp;Diagram!$O92,'J1 B - Butcher Terrace'!$A$12:$A$130,"&lt;"&amp;Diagram!$P92),SUMIFS(INDIRECT(ADDRESS(12,3+18*2+(15),,,"J1 B - Butcher Terrace")&amp;":"&amp;ADDRESS(130,3+18*2+(15))),'J1 B - Butcher Terrace'!$A$12:$A$130,"&gt;="&amp;Diagram!$O92,'J1 B - Butcher Terrace'!$A$12:$A$130,"&lt;"&amp;Diagram!$P92)))</f>
        <v>0</v>
      </c>
      <c r="EM92" s="42">
        <f ca="1">IF(OR($I$10="",$O92="",$P92="",$J$42&lt;&gt;"Yes"),0,IF($K$10=0,SUMIFS(INDIRECT(ADDRESS(12,3+18*3+(7),,,"J1 B - Butcher Terrace")&amp;":"&amp;ADDRESS(130,3+18*3+(7))),'J1 B - Butcher Terrace'!$A$12:$A$130,"&gt;="&amp;Diagram!$O92,'J1 B - Butcher Terrace'!$A$12:$A$130,"&lt;"&amp;Diagram!$P92),SUMIFS(INDIRECT(ADDRESS(12,3+18*3+(15),,,"J1 B - Butcher Terrace")&amp;":"&amp;ADDRESS(130,3+18*3+(15))),'J1 B - Butcher Terrace'!$A$12:$A$130,"&gt;="&amp;Diagram!$O92,'J1 B - Butcher Terrace'!$A$12:$A$130,"&lt;"&amp;Diagram!$P92)))</f>
        <v>0</v>
      </c>
      <c r="EN92" s="42">
        <f ca="1">IF(OR($I$10="",$O92="",$P92="",$J$42&lt;&gt;"Yes"),0,IF($K$10=0,SUMIFS(INDIRECT(ADDRESS(12,3+18*0+(7),,,"J1 B - Butcher Terrace")&amp;":"&amp;ADDRESS(130,3+18*0+(7))),'J1 B - Butcher Terrace'!$A$12:$A$130,"&gt;="&amp;Diagram!$O92,'J1 B - Butcher Terrace'!$A$12:$A$130,"&lt;"&amp;Diagram!$P92),SUMIFS(INDIRECT(ADDRESS(12,3+18*0+(15),,,"J1 B - Butcher Terrace")&amp;":"&amp;ADDRESS(130,3+18*0+(15))),'J1 B - Butcher Terrace'!$A$12:$A$130,"&gt;="&amp;Diagram!$O92,'J1 B - Butcher Terrace'!$A$12:$A$130,"&lt;"&amp;Diagram!$P92)))</f>
        <v>0</v>
      </c>
      <c r="EO92" s="42">
        <f ca="1">IF(OR($I$10="",$O92="",$P92="",$J$42&lt;&gt;"Yes"),0,IF($K$10=0,SUMIFS(INDIRECT(ADDRESS(12,3+18*1+(7),,,"J1 B - Butcher Terrace")&amp;":"&amp;ADDRESS(130,3+18*1+(7))),'J1 B - Butcher Terrace'!$A$12:$A$130,"&gt;="&amp;Diagram!$O92,'J1 B - Butcher Terrace'!$A$12:$A$130,"&lt;"&amp;Diagram!$P92),SUMIFS(INDIRECT(ADDRESS(12,3+18*1+(15),,,"J1 B - Butcher Terrace")&amp;":"&amp;ADDRESS(130,3+18*1+(15))),'J1 B - Butcher Terrace'!$A$12:$A$130,"&gt;="&amp;Diagram!$O92,'J1 B - Butcher Terrace'!$A$12:$A$130,"&lt;"&amp;Diagram!$P92)))</f>
        <v>0</v>
      </c>
      <c r="EP92" s="42">
        <f ca="1">IF(OR($I$10="",$O92="",$P92="",$J$42&lt;&gt;"Yes"),0,IF($K$10=0,SUMIFS(INDIRECT(ADDRESS(12,3+18*1+(7),,,"J1 C - (South) Bishopthorpe Roa")&amp;":"&amp;ADDRESS(130,3+18*1+(7))),'J1 C - (South) Bishopthorpe Roa'!$A$12:$A$130,"&gt;="&amp;Diagram!$O92,'J1 C - (South) Bishopthorpe Roa'!$A$12:$A$130,"&lt;"&amp;Diagram!$P92),SUMIFS(INDIRECT(ADDRESS(12,3+18*1+(15),,,"J1 C - (South) Bishopthorpe Roa")&amp;":"&amp;ADDRESS(130,3+18*1+(15))),'J1 C - (South) Bishopthorpe Roa'!$A$12:$A$130,"&gt;="&amp;Diagram!$O92,'J1 C - (South) Bishopthorpe Roa'!$A$12:$A$130,"&lt;"&amp;Diagram!$P92)))</f>
        <v>0</v>
      </c>
      <c r="EQ92" s="42">
        <f ca="1">IF(OR($I$10="",$O92="",$P92="",$J$42&lt;&gt;"Yes"),0,IF($K$10=0,SUMIFS(INDIRECT(ADDRESS(12,3+18*2+(7),,,"J1 C - (South) Bishopthorpe Roa")&amp;":"&amp;ADDRESS(130,3+18*2+(7))),'J1 C - (South) Bishopthorpe Roa'!$A$12:$A$130,"&gt;="&amp;Diagram!$O92,'J1 C - (South) Bishopthorpe Roa'!$A$12:$A$130,"&lt;"&amp;Diagram!$P92),SUMIFS(INDIRECT(ADDRESS(12,3+18*2+(15),,,"J1 C - (South) Bishopthorpe Roa")&amp;":"&amp;ADDRESS(130,3+18*2+(15))),'J1 C - (South) Bishopthorpe Roa'!$A$12:$A$130,"&gt;="&amp;Diagram!$O92,'J1 C - (South) Bishopthorpe Roa'!$A$12:$A$130,"&lt;"&amp;Diagram!$P92)))</f>
        <v>0</v>
      </c>
      <c r="ER92" s="42">
        <f ca="1">IF(OR($I$10="",$O92="",$P92="",$J$42&lt;&gt;"Yes"),0,IF($K$10=0,SUMIFS(INDIRECT(ADDRESS(12,3+18*3+(7),,,"J1 C - (South) Bishopthorpe Roa")&amp;":"&amp;ADDRESS(130,3+18*3+(7))),'J1 C - (South) Bishopthorpe Roa'!$A$12:$A$130,"&gt;="&amp;Diagram!$O92,'J1 C - (South) Bishopthorpe Roa'!$A$12:$A$130,"&lt;"&amp;Diagram!$P92),SUMIFS(INDIRECT(ADDRESS(12,3+18*3+(15),,,"J1 C - (South) Bishopthorpe Roa")&amp;":"&amp;ADDRESS(130,3+18*3+(15))),'J1 C - (South) Bishopthorpe Roa'!$A$12:$A$130,"&gt;="&amp;Diagram!$O92,'J1 C - (South) Bishopthorpe Roa'!$A$12:$A$130,"&lt;"&amp;Diagram!$P92)))</f>
        <v>0</v>
      </c>
      <c r="ES92" s="42">
        <f ca="1">IF(OR($I$10="",$O92="",$P92="",$J$42&lt;&gt;"Yes"),0,IF($K$10=0,SUMIFS(INDIRECT(ADDRESS(12,3+18*0+(7),,,"J1 C - (South) Bishopthorpe Roa")&amp;":"&amp;ADDRESS(130,3+18*0+(7))),'J1 C - (South) Bishopthorpe Roa'!$A$12:$A$130,"&gt;="&amp;Diagram!$O92,'J1 C - (South) Bishopthorpe Roa'!$A$12:$A$130,"&lt;"&amp;Diagram!$P92),SUMIFS(INDIRECT(ADDRESS(12,3+18*0+(15),,,"J1 C - (South) Bishopthorpe Roa")&amp;":"&amp;ADDRESS(130,3+18*0+(15))),'J1 C - (South) Bishopthorpe Roa'!$A$12:$A$130,"&gt;="&amp;Diagram!$O92,'J1 C - (South) Bishopthorpe Roa'!$A$12:$A$130,"&lt;"&amp;Diagram!$P92)))</f>
        <v>0</v>
      </c>
      <c r="ET92" s="42">
        <f ca="1">IF(OR($I$10="",$O92="",$P92="",$J$42&lt;&gt;"Yes"),0,IF($K$10=0,SUMIFS(INDIRECT(ADDRESS(12,3+18*0+(7),,,"J1 D - South Bank Avenue")&amp;":"&amp;ADDRESS(130,3+18*0+(7))),'J1 D - South Bank Avenue'!$A$12:$A$130,"&gt;="&amp;Diagram!$O92,'J1 D - South Bank Avenue'!$A$12:$A$130,"&lt;"&amp;Diagram!$P92),SUMIFS(INDIRECT(ADDRESS(12,3+18*0+(15),,,"J1 D - South Bank Avenue")&amp;":"&amp;ADDRESS(130,3+18*0+(15))),'J1 D - South Bank Avenue'!$A$12:$A$130,"&gt;="&amp;Diagram!$O92,'J1 D - South Bank Avenue'!$A$12:$A$130,"&lt;"&amp;Diagram!$P92)))</f>
        <v>0</v>
      </c>
      <c r="EU92" s="42">
        <f ca="1">IF(OR($I$10="",$O92="",$P92="",$J$42&lt;&gt;"Yes"),0,IF($K$10=0,SUMIFS(INDIRECT(ADDRESS(12,3+18*1+(7),,,"J1 D - South Bank Avenue")&amp;":"&amp;ADDRESS(130,3+18*1+(7))),'J1 D - South Bank Avenue'!$A$12:$A$130,"&gt;="&amp;Diagram!$O92,'J1 D - South Bank Avenue'!$A$12:$A$130,"&lt;"&amp;Diagram!$P92),SUMIFS(INDIRECT(ADDRESS(12,3+18*1+(15),,,"J1 D - South Bank Avenue")&amp;":"&amp;ADDRESS(130,3+18*1+(15))),'J1 D - South Bank Avenue'!$A$12:$A$130,"&gt;="&amp;Diagram!$O92,'J1 D - South Bank Avenue'!$A$12:$A$130,"&lt;"&amp;Diagram!$P92)))</f>
        <v>0</v>
      </c>
      <c r="EV92" s="42">
        <f ca="1">IF(OR($I$10="",$O92="",$P92="",$J$42&lt;&gt;"Yes"),0,IF($K$10=0,SUMIFS(INDIRECT(ADDRESS(12,3+18*2+(7),,,"J1 D - South Bank Avenue")&amp;":"&amp;ADDRESS(130,3+18*2+(7))),'J1 D - South Bank Avenue'!$A$12:$A$130,"&gt;="&amp;Diagram!$O92,'J1 D - South Bank Avenue'!$A$12:$A$130,"&lt;"&amp;Diagram!$P92),SUMIFS(INDIRECT(ADDRESS(12,3+18*2+(15),,,"J1 D - South Bank Avenue")&amp;":"&amp;ADDRESS(130,3+18*2+(15))),'J1 D - South Bank Avenue'!$A$12:$A$130,"&gt;="&amp;Diagram!$O92,'J1 D - South Bank Avenue'!$A$12:$A$130,"&lt;"&amp;Diagram!$P92)))</f>
        <v>0</v>
      </c>
      <c r="EW92" s="42">
        <f ca="1">IF(OR($I$10="",$O92="",$P92="",$J$42&lt;&gt;"Yes"),0,IF($K$10=0,SUMIFS(INDIRECT(ADDRESS(12,3+18*3+(7),,,"J1 D - South Bank Avenue")&amp;":"&amp;ADDRESS(130,3+18*3+(7))),'J1 D - South Bank Avenue'!$A$12:$A$130,"&gt;="&amp;Diagram!$O92,'J1 D - South Bank Avenue'!$A$12:$A$130,"&lt;"&amp;Diagram!$P92),SUMIFS(INDIRECT(ADDRESS(12,3+18*3+(15),,,"J1 D - South Bank Avenue")&amp;":"&amp;ADDRESS(130,3+18*3+(15))),'J1 D - South Bank Avenue'!$A$12:$A$130,"&gt;="&amp;Diagram!$O92,'J1 D - South Bank Avenue'!$A$12:$A$130,"&lt;"&amp;Diagram!$P92)))</f>
        <v>0</v>
      </c>
    </row>
    <row r="93" spans="1:153">
      <c r="A93" s="1">
        <v>44395.958333333299</v>
      </c>
      <c r="B93" s="1">
        <v>44395.96875</v>
      </c>
      <c r="O93" s="3">
        <v>44395.958333333299</v>
      </c>
      <c r="P93" s="2">
        <v>44396</v>
      </c>
      <c r="Q93" s="42">
        <f t="shared" ca="1" si="10"/>
        <v>173</v>
      </c>
      <c r="R93" s="42">
        <f t="shared" ca="1" si="11"/>
        <v>137</v>
      </c>
      <c r="S93" s="42">
        <f ca="1">IF(OR($I$10="",$O93="",$P93="",$J$35&lt;&gt;"Yes"),0,IF($K$10=0,SUMIFS(INDIRECT(ADDRESS(12,3+18*3+(0),,,"J1 A - (North) Bishopthorpe Roa")&amp;":"&amp;ADDRESS(130,3+18*3+(0))),'J1 A - (North) Bishopthorpe Roa'!$A$12:$A$130,"&gt;="&amp;Diagram!$O93,'J1 A - (North) Bishopthorpe Roa'!$A$12:$A$130,"&lt;"&amp;Diagram!$P93),SUMIFS(INDIRECT(ADDRESS(12,3+18*3+(8),,,"J1 A - (North) Bishopthorpe Roa")&amp;":"&amp;ADDRESS(130,3+18*3+(8))),'J1 A - (North) Bishopthorpe Roa'!$A$12:$A$130,"&gt;="&amp;Diagram!$O93,'J1 A - (North) Bishopthorpe Roa'!$A$12:$A$130,"&lt;"&amp;Diagram!$P93)))</f>
        <v>0</v>
      </c>
      <c r="T93" s="42">
        <f ca="1">IF(OR($I$10="",$O93="",$P93="",$J$35&lt;&gt;"Yes"),0,IF($K$10=0,SUMIFS(INDIRECT(ADDRESS(12,3+18*0+(0),,,"J1 A - (North) Bishopthorpe Roa")&amp;":"&amp;ADDRESS(130,3+18*0+(0))),'J1 A - (North) Bishopthorpe Roa'!$A$12:$A$130,"&gt;="&amp;Diagram!$O93,'J1 A - (North) Bishopthorpe Roa'!$A$12:$A$130,"&lt;"&amp;Diagram!$P93),SUMIFS(INDIRECT(ADDRESS(12,3+18*0+(8),,,"J1 A - (North) Bishopthorpe Roa")&amp;":"&amp;ADDRESS(130,3+18*0+(8))),'J1 A - (North) Bishopthorpe Roa'!$A$12:$A$130,"&gt;="&amp;Diagram!$O93,'J1 A - (North) Bishopthorpe Roa'!$A$12:$A$130,"&lt;"&amp;Diagram!$P93)))</f>
        <v>8</v>
      </c>
      <c r="U93" s="42">
        <f ca="1">IF(OR($I$10="",$O93="",$P93="",$J$35&lt;&gt;"Yes"),0,IF($K$10=0,SUMIFS(INDIRECT(ADDRESS(12,3+18*1+(0),,,"J1 A - (North) Bishopthorpe Roa")&amp;":"&amp;ADDRESS(130,3+18*1+(0))),'J1 A - (North) Bishopthorpe Roa'!$A$12:$A$130,"&gt;="&amp;Diagram!$O93,'J1 A - (North) Bishopthorpe Roa'!$A$12:$A$130,"&lt;"&amp;Diagram!$P93),SUMIFS(INDIRECT(ADDRESS(12,3+18*1+(8),,,"J1 A - (North) Bishopthorpe Roa")&amp;":"&amp;ADDRESS(130,3+18*1+(8))),'J1 A - (North) Bishopthorpe Roa'!$A$12:$A$130,"&gt;="&amp;Diagram!$O93,'J1 A - (North) Bishopthorpe Roa'!$A$12:$A$130,"&lt;"&amp;Diagram!$P93)))</f>
        <v>53</v>
      </c>
      <c r="V93" s="42">
        <f ca="1">IF(OR($I$10="",$O93="",$P93="",$J$35&lt;&gt;"Yes"),0,IF($K$10=0,SUMIFS(INDIRECT(ADDRESS(12,3+18*2+(0),,,"J1 A - (North) Bishopthorpe Roa")&amp;":"&amp;ADDRESS(130,3+18*2+(0))),'J1 A - (North) Bishopthorpe Roa'!$A$12:$A$130,"&gt;="&amp;Diagram!$O93,'J1 A - (North) Bishopthorpe Roa'!$A$12:$A$130,"&lt;"&amp;Diagram!$P93),SUMIFS(INDIRECT(ADDRESS(12,3+18*2+(8),,,"J1 A - (North) Bishopthorpe Roa")&amp;":"&amp;ADDRESS(130,3+18*2+(8))),'J1 A - (North) Bishopthorpe Roa'!$A$12:$A$130,"&gt;="&amp;Diagram!$O93,'J1 A - (North) Bishopthorpe Roa'!$A$12:$A$130,"&lt;"&amp;Diagram!$P93)))</f>
        <v>9</v>
      </c>
      <c r="W93" s="42">
        <f ca="1">IF(OR($I$10="",$O93="",$P93="",$J$35&lt;&gt;"Yes"),0,IF($K$10=0,SUMIFS(INDIRECT(ADDRESS(12,3+18*2+(0),,,"J1 B - Butcher Terrace")&amp;":"&amp;ADDRESS(130,3+18*2+(0))),'J1 B - Butcher Terrace'!$A$12:$A$130,"&gt;="&amp;Diagram!$O93,'J1 B - Butcher Terrace'!$A$12:$A$130,"&lt;"&amp;Diagram!$P93),SUMIFS(INDIRECT(ADDRESS(12,3+18*2+(8),,,"J1 B - Butcher Terrace")&amp;":"&amp;ADDRESS(130,3+18*2+(8))),'J1 B - Butcher Terrace'!$A$12:$A$130,"&gt;="&amp;Diagram!$O93,'J1 B - Butcher Terrace'!$A$12:$A$130,"&lt;"&amp;Diagram!$P93)))</f>
        <v>8</v>
      </c>
      <c r="X93" s="42">
        <f ca="1">IF(OR($I$10="",$O93="",$P93="",$J$35&lt;&gt;"Yes"),0,IF($K$10=0,SUMIFS(INDIRECT(ADDRESS(12,3+18*3+(0),,,"J1 B - Butcher Terrace")&amp;":"&amp;ADDRESS(130,3+18*3+(0))),'J1 B - Butcher Terrace'!$A$12:$A$130,"&gt;="&amp;Diagram!$O93,'J1 B - Butcher Terrace'!$A$12:$A$130,"&lt;"&amp;Diagram!$P93),SUMIFS(INDIRECT(ADDRESS(12,3+18*3+(8),,,"J1 B - Butcher Terrace")&amp;":"&amp;ADDRESS(130,3+18*3+(8))),'J1 B - Butcher Terrace'!$A$12:$A$130,"&gt;="&amp;Diagram!$O93,'J1 B - Butcher Terrace'!$A$12:$A$130,"&lt;"&amp;Diagram!$P93)))</f>
        <v>0</v>
      </c>
      <c r="Y93" s="42">
        <f ca="1">IF(OR($I$10="",$O93="",$P93="",$J$35&lt;&gt;"Yes"),0,IF($K$10=0,SUMIFS(INDIRECT(ADDRESS(12,3+18*0+(0),,,"J1 B - Butcher Terrace")&amp;":"&amp;ADDRESS(130,3+18*0+(0))),'J1 B - Butcher Terrace'!$A$12:$A$130,"&gt;="&amp;Diagram!$O93,'J1 B - Butcher Terrace'!$A$12:$A$130,"&lt;"&amp;Diagram!$P93),SUMIFS(INDIRECT(ADDRESS(12,3+18*0+(8),,,"J1 B - Butcher Terrace")&amp;":"&amp;ADDRESS(130,3+18*0+(8))),'J1 B - Butcher Terrace'!$A$12:$A$130,"&gt;="&amp;Diagram!$O93,'J1 B - Butcher Terrace'!$A$12:$A$130,"&lt;"&amp;Diagram!$P93)))</f>
        <v>1</v>
      </c>
      <c r="Z93" s="42">
        <f ca="1">IF(OR($I$10="",$O93="",$P93="",$J$35&lt;&gt;"Yes"),0,IF($K$10=0,SUMIFS(INDIRECT(ADDRESS(12,3+18*1+(0),,,"J1 B - Butcher Terrace")&amp;":"&amp;ADDRESS(130,3+18*1+(0))),'J1 B - Butcher Terrace'!$A$12:$A$130,"&gt;="&amp;Diagram!$O93,'J1 B - Butcher Terrace'!$A$12:$A$130,"&lt;"&amp;Diagram!$P93),SUMIFS(INDIRECT(ADDRESS(12,3+18*1+(8),,,"J1 B - Butcher Terrace")&amp;":"&amp;ADDRESS(130,3+18*1+(8))),'J1 B - Butcher Terrace'!$A$12:$A$130,"&gt;="&amp;Diagram!$O93,'J1 B - Butcher Terrace'!$A$12:$A$130,"&lt;"&amp;Diagram!$P93)))</f>
        <v>0</v>
      </c>
      <c r="AA93" s="42">
        <f ca="1">IF(OR($I$10="",$O93="",$P93="",$J$35&lt;&gt;"Yes"),0,IF($K$10=0,SUMIFS(INDIRECT(ADDRESS(12,3+18*1+(0),,,"J1 C - (South) Bishopthorpe Roa")&amp;":"&amp;ADDRESS(130,3+18*1+(0))),'J1 C - (South) Bishopthorpe Roa'!$A$12:$A$130,"&gt;="&amp;Diagram!$O93,'J1 C - (South) Bishopthorpe Roa'!$A$12:$A$130,"&lt;"&amp;Diagram!$P93),SUMIFS(INDIRECT(ADDRESS(12,3+18*1+(8),,,"J1 C - (South) Bishopthorpe Roa")&amp;":"&amp;ADDRESS(130,3+18*1+(8))),'J1 C - (South) Bishopthorpe Roa'!$A$12:$A$130,"&gt;="&amp;Diagram!$O93,'J1 C - (South) Bishopthorpe Roa'!$A$12:$A$130,"&lt;"&amp;Diagram!$P93)))</f>
        <v>51</v>
      </c>
      <c r="AB93" s="42">
        <f ca="1">IF(OR($I$10="",$O93="",$P93="",$J$35&lt;&gt;"Yes"),0,IF($K$10=0,SUMIFS(INDIRECT(ADDRESS(12,3+18*2+(0),,,"J1 C - (South) Bishopthorpe Roa")&amp;":"&amp;ADDRESS(130,3+18*2+(0))),'J1 C - (South) Bishopthorpe Roa'!$A$12:$A$130,"&gt;="&amp;Diagram!$O93,'J1 C - (South) Bishopthorpe Roa'!$A$12:$A$130,"&lt;"&amp;Diagram!$P93),SUMIFS(INDIRECT(ADDRESS(12,3+18*2+(8),,,"J1 C - (South) Bishopthorpe Roa")&amp;":"&amp;ADDRESS(130,3+18*2+(8))),'J1 C - (South) Bishopthorpe Roa'!$A$12:$A$130,"&gt;="&amp;Diagram!$O93,'J1 C - (South) Bishopthorpe Roa'!$A$12:$A$130,"&lt;"&amp;Diagram!$P93)))</f>
        <v>1</v>
      </c>
      <c r="AC93" s="42">
        <f ca="1">IF(OR($I$10="",$O93="",$P93="",$J$35&lt;&gt;"Yes"),0,IF($K$10=0,SUMIFS(INDIRECT(ADDRESS(12,3+18*3+(0),,,"J1 C - (South) Bishopthorpe Roa")&amp;":"&amp;ADDRESS(130,3+18*3+(0))),'J1 C - (South) Bishopthorpe Roa'!$A$12:$A$130,"&gt;="&amp;Diagram!$O93,'J1 C - (South) Bishopthorpe Roa'!$A$12:$A$130,"&lt;"&amp;Diagram!$P93),SUMIFS(INDIRECT(ADDRESS(12,3+18*3+(8),,,"J1 C - (South) Bishopthorpe Roa")&amp;":"&amp;ADDRESS(130,3+18*3+(8))),'J1 C - (South) Bishopthorpe Roa'!$A$12:$A$130,"&gt;="&amp;Diagram!$O93,'J1 C - (South) Bishopthorpe Roa'!$A$12:$A$130,"&lt;"&amp;Diagram!$P93)))</f>
        <v>0</v>
      </c>
      <c r="AD93" s="42">
        <f ca="1">IF(OR($I$10="",$O93="",$P93="",$J$35&lt;&gt;"Yes"),0,IF($K$10=0,SUMIFS(INDIRECT(ADDRESS(12,3+18*0+(0),,,"J1 C - (South) Bishopthorpe Roa")&amp;":"&amp;ADDRESS(130,3+18*0+(0))),'J1 C - (South) Bishopthorpe Roa'!$A$12:$A$130,"&gt;="&amp;Diagram!$O93,'J1 C - (South) Bishopthorpe Roa'!$A$12:$A$130,"&lt;"&amp;Diagram!$P93),SUMIFS(INDIRECT(ADDRESS(12,3+18*0+(8),,,"J1 C - (South) Bishopthorpe Roa")&amp;":"&amp;ADDRESS(130,3+18*0+(8))),'J1 C - (South) Bishopthorpe Roa'!$A$12:$A$130,"&gt;="&amp;Diagram!$O93,'J1 C - (South) Bishopthorpe Roa'!$A$12:$A$130,"&lt;"&amp;Diagram!$P93)))</f>
        <v>0</v>
      </c>
      <c r="AE93" s="42">
        <f ca="1">IF(OR($I$10="",$O93="",$P93="",$J$35&lt;&gt;"Yes"),0,IF($K$10=0,SUMIFS(INDIRECT(ADDRESS(12,3+18*0+(0),,,"J1 D - South Bank Avenue")&amp;":"&amp;ADDRESS(130,3+18*0+(0))),'J1 D - South Bank Avenue'!$A$12:$A$130,"&gt;="&amp;Diagram!$O93,'J1 D - South Bank Avenue'!$A$12:$A$130,"&lt;"&amp;Diagram!$P93),SUMIFS(INDIRECT(ADDRESS(12,3+18*0+(8),,,"J1 D - South Bank Avenue")&amp;":"&amp;ADDRESS(130,3+18*0+(8))),'J1 D - South Bank Avenue'!$A$12:$A$130,"&gt;="&amp;Diagram!$O93,'J1 D - South Bank Avenue'!$A$12:$A$130,"&lt;"&amp;Diagram!$P93)))</f>
        <v>5</v>
      </c>
      <c r="AF93" s="42">
        <f ca="1">IF(OR($I$10="",$O93="",$P93="",$J$35&lt;&gt;"Yes"),0,IF($K$10=0,SUMIFS(INDIRECT(ADDRESS(12,3+18*1+(0),,,"J1 D - South Bank Avenue")&amp;":"&amp;ADDRESS(130,3+18*1+(0))),'J1 D - South Bank Avenue'!$A$12:$A$130,"&gt;="&amp;Diagram!$O93,'J1 D - South Bank Avenue'!$A$12:$A$130,"&lt;"&amp;Diagram!$P93),SUMIFS(INDIRECT(ADDRESS(12,3+18*1+(8),,,"J1 D - South Bank Avenue")&amp;":"&amp;ADDRESS(130,3+18*1+(8))),'J1 D - South Bank Avenue'!$A$12:$A$130,"&gt;="&amp;Diagram!$O93,'J1 D - South Bank Avenue'!$A$12:$A$130,"&lt;"&amp;Diagram!$P93)))</f>
        <v>0</v>
      </c>
      <c r="AG93" s="42">
        <f ca="1">IF(OR($I$10="",$O93="",$P93="",$J$35&lt;&gt;"Yes"),0,IF($K$10=0,SUMIFS(INDIRECT(ADDRESS(12,3+18*2+(0),,,"J1 D - South Bank Avenue")&amp;":"&amp;ADDRESS(130,3+18*2+(0))),'J1 D - South Bank Avenue'!$A$12:$A$130,"&gt;="&amp;Diagram!$O93,'J1 D - South Bank Avenue'!$A$12:$A$130,"&lt;"&amp;Diagram!$P93),SUMIFS(INDIRECT(ADDRESS(12,3+18*2+(8),,,"J1 D - South Bank Avenue")&amp;":"&amp;ADDRESS(130,3+18*2+(8))),'J1 D - South Bank Avenue'!$A$12:$A$130,"&gt;="&amp;Diagram!$O93,'J1 D - South Bank Avenue'!$A$12:$A$130,"&lt;"&amp;Diagram!$P93)))</f>
        <v>1</v>
      </c>
      <c r="AH93" s="42">
        <f ca="1">IF(OR($I$10="",$O93="",$P93="",$J$35&lt;&gt;"Yes"),0,IF($K$10=0,SUMIFS(INDIRECT(ADDRESS(12,3+18*3+(0),,,"J1 D - South Bank Avenue")&amp;":"&amp;ADDRESS(130,3+18*3+(0))),'J1 D - South Bank Avenue'!$A$12:$A$130,"&gt;="&amp;Diagram!$O93,'J1 D - South Bank Avenue'!$A$12:$A$130,"&lt;"&amp;Diagram!$P93),SUMIFS(INDIRECT(ADDRESS(12,3+18*3+(8),,,"J1 D - South Bank Avenue")&amp;":"&amp;ADDRESS(130,3+18*3+(8))),'J1 D - South Bank Avenue'!$A$12:$A$130,"&gt;="&amp;Diagram!$O93,'J1 D - South Bank Avenue'!$A$12:$A$130,"&lt;"&amp;Diagram!$P93)))</f>
        <v>0</v>
      </c>
      <c r="AI93" s="42">
        <f t="shared" ca="1" si="12"/>
        <v>3</v>
      </c>
      <c r="AJ93" s="42">
        <f ca="1">IF(OR($I$10="",$O93="",$P93="",$J$36&lt;&gt;"Yes"),0,IF($K$10=0,SUMIFS(INDIRECT(ADDRESS(12,3+18*3+(1),,,"J1 A - (North) Bishopthorpe Roa")&amp;":"&amp;ADDRESS(130,3+18*3+(1))),'J1 A - (North) Bishopthorpe Roa'!$A$12:$A$130,"&gt;="&amp;Diagram!$O93,'J1 A - (North) Bishopthorpe Roa'!$A$12:$A$130,"&lt;"&amp;Diagram!$P93),SUMIFS(INDIRECT(ADDRESS(12,3+18*3+(9),,,"J1 A - (North) Bishopthorpe Roa")&amp;":"&amp;ADDRESS(130,3+18*3+(9))),'J1 A - (North) Bishopthorpe Roa'!$A$12:$A$130,"&gt;="&amp;Diagram!$O93,'J1 A - (North) Bishopthorpe Roa'!$A$12:$A$130,"&lt;"&amp;Diagram!$P93)))</f>
        <v>0</v>
      </c>
      <c r="AK93" s="42">
        <f ca="1">IF(OR($I$10="",$O93="",$P93="",$J$36&lt;&gt;"Yes"),0,IF($K$10=0,SUMIFS(INDIRECT(ADDRESS(12,3+18*0+(1),,,"J1 A - (North) Bishopthorpe Roa")&amp;":"&amp;ADDRESS(130,3+18*0+(1))),'J1 A - (North) Bishopthorpe Roa'!$A$12:$A$130,"&gt;="&amp;Diagram!$O93,'J1 A - (North) Bishopthorpe Roa'!$A$12:$A$130,"&lt;"&amp;Diagram!$P93),SUMIFS(INDIRECT(ADDRESS(12,3+18*0+(9),,,"J1 A - (North) Bishopthorpe Roa")&amp;":"&amp;ADDRESS(130,3+18*0+(9))),'J1 A - (North) Bishopthorpe Roa'!$A$12:$A$130,"&gt;="&amp;Diagram!$O93,'J1 A - (North) Bishopthorpe Roa'!$A$12:$A$130,"&lt;"&amp;Diagram!$P93)))</f>
        <v>0</v>
      </c>
      <c r="AL93" s="42">
        <f ca="1">IF(OR($I$10="",$O93="",$P93="",$J$36&lt;&gt;"Yes"),0,IF($K$10=0,SUMIFS(INDIRECT(ADDRESS(12,3+18*1+(1),,,"J1 A - (North) Bishopthorpe Roa")&amp;":"&amp;ADDRESS(130,3+18*1+(1))),'J1 A - (North) Bishopthorpe Roa'!$A$12:$A$130,"&gt;="&amp;Diagram!$O93,'J1 A - (North) Bishopthorpe Roa'!$A$12:$A$130,"&lt;"&amp;Diagram!$P93),SUMIFS(INDIRECT(ADDRESS(12,3+18*1+(9),,,"J1 A - (North) Bishopthorpe Roa")&amp;":"&amp;ADDRESS(130,3+18*1+(9))),'J1 A - (North) Bishopthorpe Roa'!$A$12:$A$130,"&gt;="&amp;Diagram!$O93,'J1 A - (North) Bishopthorpe Roa'!$A$12:$A$130,"&lt;"&amp;Diagram!$P93)))</f>
        <v>2</v>
      </c>
      <c r="AM93" s="42">
        <f ca="1">IF(OR($I$10="",$O93="",$P93="",$J$36&lt;&gt;"Yes"),0,IF($K$10=0,SUMIFS(INDIRECT(ADDRESS(12,3+18*2+(1),,,"J1 A - (North) Bishopthorpe Roa")&amp;":"&amp;ADDRESS(130,3+18*2+(1))),'J1 A - (North) Bishopthorpe Roa'!$A$12:$A$130,"&gt;="&amp;Diagram!$O93,'J1 A - (North) Bishopthorpe Roa'!$A$12:$A$130,"&lt;"&amp;Diagram!$P93),SUMIFS(INDIRECT(ADDRESS(12,3+18*2+(9),,,"J1 A - (North) Bishopthorpe Roa")&amp;":"&amp;ADDRESS(130,3+18*2+(9))),'J1 A - (North) Bishopthorpe Roa'!$A$12:$A$130,"&gt;="&amp;Diagram!$O93,'J1 A - (North) Bishopthorpe Roa'!$A$12:$A$130,"&lt;"&amp;Diagram!$P93)))</f>
        <v>0</v>
      </c>
      <c r="AN93" s="42">
        <f ca="1">IF(OR($I$10="",$O93="",$P93="",$J$36&lt;&gt;"Yes"),0,IF($K$10=0,SUMIFS(INDIRECT(ADDRESS(12,3+18*2+(1),,,"J1 B - Butcher Terrace")&amp;":"&amp;ADDRESS(130,3+18*2+(1))),'J1 B - Butcher Terrace'!$A$12:$A$130,"&gt;="&amp;Diagram!$O93,'J1 B - Butcher Terrace'!$A$12:$A$130,"&lt;"&amp;Diagram!$P93),SUMIFS(INDIRECT(ADDRESS(12,3+18*2+(9),,,"J1 B - Butcher Terrace")&amp;":"&amp;ADDRESS(130,3+18*2+(9))),'J1 B - Butcher Terrace'!$A$12:$A$130,"&gt;="&amp;Diagram!$O93,'J1 B - Butcher Terrace'!$A$12:$A$130,"&lt;"&amp;Diagram!$P93)))</f>
        <v>0</v>
      </c>
      <c r="AO93" s="42">
        <f ca="1">IF(OR($I$10="",$O93="",$P93="",$J$36&lt;&gt;"Yes"),0,IF($K$10=0,SUMIFS(INDIRECT(ADDRESS(12,3+18*3+(1),,,"J1 B - Butcher Terrace")&amp;":"&amp;ADDRESS(130,3+18*3+(1))),'J1 B - Butcher Terrace'!$A$12:$A$130,"&gt;="&amp;Diagram!$O93,'J1 B - Butcher Terrace'!$A$12:$A$130,"&lt;"&amp;Diagram!$P93),SUMIFS(INDIRECT(ADDRESS(12,3+18*3+(9),,,"J1 B - Butcher Terrace")&amp;":"&amp;ADDRESS(130,3+18*3+(9))),'J1 B - Butcher Terrace'!$A$12:$A$130,"&gt;="&amp;Diagram!$O93,'J1 B - Butcher Terrace'!$A$12:$A$130,"&lt;"&amp;Diagram!$P93)))</f>
        <v>0</v>
      </c>
      <c r="AP93" s="42">
        <f ca="1">IF(OR($I$10="",$O93="",$P93="",$J$36&lt;&gt;"Yes"),0,IF($K$10=0,SUMIFS(INDIRECT(ADDRESS(12,3+18*0+(1),,,"J1 B - Butcher Terrace")&amp;":"&amp;ADDRESS(130,3+18*0+(1))),'J1 B - Butcher Terrace'!$A$12:$A$130,"&gt;="&amp;Diagram!$O93,'J1 B - Butcher Terrace'!$A$12:$A$130,"&lt;"&amp;Diagram!$P93),SUMIFS(INDIRECT(ADDRESS(12,3+18*0+(9),,,"J1 B - Butcher Terrace")&amp;":"&amp;ADDRESS(130,3+18*0+(9))),'J1 B - Butcher Terrace'!$A$12:$A$130,"&gt;="&amp;Diagram!$O93,'J1 B - Butcher Terrace'!$A$12:$A$130,"&lt;"&amp;Diagram!$P93)))</f>
        <v>0</v>
      </c>
      <c r="AQ93" s="42">
        <f ca="1">IF(OR($I$10="",$O93="",$P93="",$J$36&lt;&gt;"Yes"),0,IF($K$10=0,SUMIFS(INDIRECT(ADDRESS(12,3+18*1+(1),,,"J1 B - Butcher Terrace")&amp;":"&amp;ADDRESS(130,3+18*1+(1))),'J1 B - Butcher Terrace'!$A$12:$A$130,"&gt;="&amp;Diagram!$O93,'J1 B - Butcher Terrace'!$A$12:$A$130,"&lt;"&amp;Diagram!$P93),SUMIFS(INDIRECT(ADDRESS(12,3+18*1+(9),,,"J1 B - Butcher Terrace")&amp;":"&amp;ADDRESS(130,3+18*1+(9))),'J1 B - Butcher Terrace'!$A$12:$A$130,"&gt;="&amp;Diagram!$O93,'J1 B - Butcher Terrace'!$A$12:$A$130,"&lt;"&amp;Diagram!$P93)))</f>
        <v>0</v>
      </c>
      <c r="AR93" s="42">
        <f ca="1">IF(OR($I$10="",$O93="",$P93="",$J$36&lt;&gt;"Yes"),0,IF($K$10=0,SUMIFS(INDIRECT(ADDRESS(12,3+18*1+(1),,,"J1 C - (South) Bishopthorpe Roa")&amp;":"&amp;ADDRESS(130,3+18*1+(1))),'J1 C - (South) Bishopthorpe Roa'!$A$12:$A$130,"&gt;="&amp;Diagram!$O93,'J1 C - (South) Bishopthorpe Roa'!$A$12:$A$130,"&lt;"&amp;Diagram!$P93),SUMIFS(INDIRECT(ADDRESS(12,3+18*1+(9),,,"J1 C - (South) Bishopthorpe Roa")&amp;":"&amp;ADDRESS(130,3+18*1+(9))),'J1 C - (South) Bishopthorpe Roa'!$A$12:$A$130,"&gt;="&amp;Diagram!$O93,'J1 C - (South) Bishopthorpe Roa'!$A$12:$A$130,"&lt;"&amp;Diagram!$P93)))</f>
        <v>1</v>
      </c>
      <c r="AS93" s="42">
        <f ca="1">IF(OR($I$10="",$O93="",$P93="",$J$36&lt;&gt;"Yes"),0,IF($K$10=0,SUMIFS(INDIRECT(ADDRESS(12,3+18*2+(1),,,"J1 C - (South) Bishopthorpe Roa")&amp;":"&amp;ADDRESS(130,3+18*2+(1))),'J1 C - (South) Bishopthorpe Roa'!$A$12:$A$130,"&gt;="&amp;Diagram!$O93,'J1 C - (South) Bishopthorpe Roa'!$A$12:$A$130,"&lt;"&amp;Diagram!$P93),SUMIFS(INDIRECT(ADDRESS(12,3+18*2+(9),,,"J1 C - (South) Bishopthorpe Roa")&amp;":"&amp;ADDRESS(130,3+18*2+(9))),'J1 C - (South) Bishopthorpe Roa'!$A$12:$A$130,"&gt;="&amp;Diagram!$O93,'J1 C - (South) Bishopthorpe Roa'!$A$12:$A$130,"&lt;"&amp;Diagram!$P93)))</f>
        <v>0</v>
      </c>
      <c r="AT93" s="42">
        <f ca="1">IF(OR($I$10="",$O93="",$P93="",$J$36&lt;&gt;"Yes"),0,IF($K$10=0,SUMIFS(INDIRECT(ADDRESS(12,3+18*3+(1),,,"J1 C - (South) Bishopthorpe Roa")&amp;":"&amp;ADDRESS(130,3+18*3+(1))),'J1 C - (South) Bishopthorpe Roa'!$A$12:$A$130,"&gt;="&amp;Diagram!$O93,'J1 C - (South) Bishopthorpe Roa'!$A$12:$A$130,"&lt;"&amp;Diagram!$P93),SUMIFS(INDIRECT(ADDRESS(12,3+18*3+(9),,,"J1 C - (South) Bishopthorpe Roa")&amp;":"&amp;ADDRESS(130,3+18*3+(9))),'J1 C - (South) Bishopthorpe Roa'!$A$12:$A$130,"&gt;="&amp;Diagram!$O93,'J1 C - (South) Bishopthorpe Roa'!$A$12:$A$130,"&lt;"&amp;Diagram!$P93)))</f>
        <v>0</v>
      </c>
      <c r="AU93" s="42">
        <f ca="1">IF(OR($I$10="",$O93="",$P93="",$J$36&lt;&gt;"Yes"),0,IF($K$10=0,SUMIFS(INDIRECT(ADDRESS(12,3+18*0+(1),,,"J1 C - (South) Bishopthorpe Roa")&amp;":"&amp;ADDRESS(130,3+18*0+(1))),'J1 C - (South) Bishopthorpe Roa'!$A$12:$A$130,"&gt;="&amp;Diagram!$O93,'J1 C - (South) Bishopthorpe Roa'!$A$12:$A$130,"&lt;"&amp;Diagram!$P93),SUMIFS(INDIRECT(ADDRESS(12,3+18*0+(9),,,"J1 C - (South) Bishopthorpe Roa")&amp;":"&amp;ADDRESS(130,3+18*0+(9))),'J1 C - (South) Bishopthorpe Roa'!$A$12:$A$130,"&gt;="&amp;Diagram!$O93,'J1 C - (South) Bishopthorpe Roa'!$A$12:$A$130,"&lt;"&amp;Diagram!$P93)))</f>
        <v>0</v>
      </c>
      <c r="AV93" s="42">
        <f ca="1">IF(OR($I$10="",$O93="",$P93="",$J$36&lt;&gt;"Yes"),0,IF($K$10=0,SUMIFS(INDIRECT(ADDRESS(12,3+18*0+(1),,,"J1 D - South Bank Avenue")&amp;":"&amp;ADDRESS(130,3+18*0+(1))),'J1 D - South Bank Avenue'!$A$12:$A$130,"&gt;="&amp;Diagram!$O93,'J1 D - South Bank Avenue'!$A$12:$A$130,"&lt;"&amp;Diagram!$P93),SUMIFS(INDIRECT(ADDRESS(12,3+18*0+(9),,,"J1 D - South Bank Avenue")&amp;":"&amp;ADDRESS(130,3+18*0+(9))),'J1 D - South Bank Avenue'!$A$12:$A$130,"&gt;="&amp;Diagram!$O93,'J1 D - South Bank Avenue'!$A$12:$A$130,"&lt;"&amp;Diagram!$P93)))</f>
        <v>0</v>
      </c>
      <c r="AW93" s="42">
        <f ca="1">IF(OR($I$10="",$O93="",$P93="",$J$36&lt;&gt;"Yes"),0,IF($K$10=0,SUMIFS(INDIRECT(ADDRESS(12,3+18*1+(1),,,"J1 D - South Bank Avenue")&amp;":"&amp;ADDRESS(130,3+18*1+(1))),'J1 D - South Bank Avenue'!$A$12:$A$130,"&gt;="&amp;Diagram!$O93,'J1 D - South Bank Avenue'!$A$12:$A$130,"&lt;"&amp;Diagram!$P93),SUMIFS(INDIRECT(ADDRESS(12,3+18*1+(9),,,"J1 D - South Bank Avenue")&amp;":"&amp;ADDRESS(130,3+18*1+(9))),'J1 D - South Bank Avenue'!$A$12:$A$130,"&gt;="&amp;Diagram!$O93,'J1 D - South Bank Avenue'!$A$12:$A$130,"&lt;"&amp;Diagram!$P93)))</f>
        <v>0</v>
      </c>
      <c r="AX93" s="42">
        <f ca="1">IF(OR($I$10="",$O93="",$P93="",$J$36&lt;&gt;"Yes"),0,IF($K$10=0,SUMIFS(INDIRECT(ADDRESS(12,3+18*2+(1),,,"J1 D - South Bank Avenue")&amp;":"&amp;ADDRESS(130,3+18*2+(1))),'J1 D - South Bank Avenue'!$A$12:$A$130,"&gt;="&amp;Diagram!$O93,'J1 D - South Bank Avenue'!$A$12:$A$130,"&lt;"&amp;Diagram!$P93),SUMIFS(INDIRECT(ADDRESS(12,3+18*2+(9),,,"J1 D - South Bank Avenue")&amp;":"&amp;ADDRESS(130,3+18*2+(9))),'J1 D - South Bank Avenue'!$A$12:$A$130,"&gt;="&amp;Diagram!$O93,'J1 D - South Bank Avenue'!$A$12:$A$130,"&lt;"&amp;Diagram!$P93)))</f>
        <v>0</v>
      </c>
      <c r="AY93" s="42">
        <f ca="1">IF(OR($I$10="",$O93="",$P93="",$J$36&lt;&gt;"Yes"),0,IF($K$10=0,SUMIFS(INDIRECT(ADDRESS(12,3+18*3+(1),,,"J1 D - South Bank Avenue")&amp;":"&amp;ADDRESS(130,3+18*3+(1))),'J1 D - South Bank Avenue'!$A$12:$A$130,"&gt;="&amp;Diagram!$O93,'J1 D - South Bank Avenue'!$A$12:$A$130,"&lt;"&amp;Diagram!$P93),SUMIFS(INDIRECT(ADDRESS(12,3+18*3+(9),,,"J1 D - South Bank Avenue")&amp;":"&amp;ADDRESS(130,3+18*3+(9))),'J1 D - South Bank Avenue'!$A$12:$A$130,"&gt;="&amp;Diagram!$O93,'J1 D - South Bank Avenue'!$A$12:$A$130,"&lt;"&amp;Diagram!$P93)))</f>
        <v>0</v>
      </c>
      <c r="AZ93" s="42">
        <f t="shared" ca="1" si="13"/>
        <v>0</v>
      </c>
      <c r="BA93" s="42">
        <f ca="1">IF(OR($I$10="",$O93="",$P93="",$J$37&lt;&gt;"Yes"),0,IF($K$10=0,SUMIFS(INDIRECT(ADDRESS(12,3+18*3+(2),,,"J1 A - (North) Bishopthorpe Roa")&amp;":"&amp;ADDRESS(130,3+18*3+(2))),'J1 A - (North) Bishopthorpe Roa'!$A$12:$A$130,"&gt;="&amp;Diagram!$O93,'J1 A - (North) Bishopthorpe Roa'!$A$12:$A$130,"&lt;"&amp;Diagram!$P93),SUMIFS(INDIRECT(ADDRESS(12,3+18*3+(10),,,"J1 A - (North) Bishopthorpe Roa")&amp;":"&amp;ADDRESS(130,3+18*3+(10))),'J1 A - (North) Bishopthorpe Roa'!$A$12:$A$130,"&gt;="&amp;Diagram!$O93,'J1 A - (North) Bishopthorpe Roa'!$A$12:$A$130,"&lt;"&amp;Diagram!$P93)))</f>
        <v>0</v>
      </c>
      <c r="BB93" s="42">
        <f ca="1">IF(OR($I$10="",$O93="",$P93="",$J$37&lt;&gt;"Yes"),0,IF($K$10=0,SUMIFS(INDIRECT(ADDRESS(12,3+18*0+(2),,,"J1 A - (North) Bishopthorpe Roa")&amp;":"&amp;ADDRESS(130,3+18*0+(2))),'J1 A - (North) Bishopthorpe Roa'!$A$12:$A$130,"&gt;="&amp;Diagram!$O93,'J1 A - (North) Bishopthorpe Roa'!$A$12:$A$130,"&lt;"&amp;Diagram!$P93),SUMIFS(INDIRECT(ADDRESS(12,3+18*0+(10),,,"J1 A - (North) Bishopthorpe Roa")&amp;":"&amp;ADDRESS(130,3+18*0+(10))),'J1 A - (North) Bishopthorpe Roa'!$A$12:$A$130,"&gt;="&amp;Diagram!$O93,'J1 A - (North) Bishopthorpe Roa'!$A$12:$A$130,"&lt;"&amp;Diagram!$P93)))</f>
        <v>0</v>
      </c>
      <c r="BC93" s="42">
        <f ca="1">IF(OR($I$10="",$O93="",$P93="",$J$37&lt;&gt;"Yes"),0,IF($K$10=0,SUMIFS(INDIRECT(ADDRESS(12,3+18*1+(2),,,"J1 A - (North) Bishopthorpe Roa")&amp;":"&amp;ADDRESS(130,3+18*1+(2))),'J1 A - (North) Bishopthorpe Roa'!$A$12:$A$130,"&gt;="&amp;Diagram!$O93,'J1 A - (North) Bishopthorpe Roa'!$A$12:$A$130,"&lt;"&amp;Diagram!$P93),SUMIFS(INDIRECT(ADDRESS(12,3+18*1+(10),,,"J1 A - (North) Bishopthorpe Roa")&amp;":"&amp;ADDRESS(130,3+18*1+(10))),'J1 A - (North) Bishopthorpe Roa'!$A$12:$A$130,"&gt;="&amp;Diagram!$O93,'J1 A - (North) Bishopthorpe Roa'!$A$12:$A$130,"&lt;"&amp;Diagram!$P93)))</f>
        <v>0</v>
      </c>
      <c r="BD93" s="42">
        <f ca="1">IF(OR($I$10="",$O93="",$P93="",$J$37&lt;&gt;"Yes"),0,IF($K$10=0,SUMIFS(INDIRECT(ADDRESS(12,3+18*2+(2),,,"J1 A - (North) Bishopthorpe Roa")&amp;":"&amp;ADDRESS(130,3+18*2+(2))),'J1 A - (North) Bishopthorpe Roa'!$A$12:$A$130,"&gt;="&amp;Diagram!$O93,'J1 A - (North) Bishopthorpe Roa'!$A$12:$A$130,"&lt;"&amp;Diagram!$P93),SUMIFS(INDIRECT(ADDRESS(12,3+18*2+(10),,,"J1 A - (North) Bishopthorpe Roa")&amp;":"&amp;ADDRESS(130,3+18*2+(10))),'J1 A - (North) Bishopthorpe Roa'!$A$12:$A$130,"&gt;="&amp;Diagram!$O93,'J1 A - (North) Bishopthorpe Roa'!$A$12:$A$130,"&lt;"&amp;Diagram!$P93)))</f>
        <v>0</v>
      </c>
      <c r="BE93" s="42">
        <f ca="1">IF(OR($I$10="",$O93="",$P93="",$J$37&lt;&gt;"Yes"),0,IF($K$10=0,SUMIFS(INDIRECT(ADDRESS(12,3+18*2+(2),,,"J1 B - Butcher Terrace")&amp;":"&amp;ADDRESS(130,3+18*2+(2))),'J1 B - Butcher Terrace'!$A$12:$A$130,"&gt;="&amp;Diagram!$O93,'J1 B - Butcher Terrace'!$A$12:$A$130,"&lt;"&amp;Diagram!$P93),SUMIFS(INDIRECT(ADDRESS(12,3+18*2+(10),,,"J1 B - Butcher Terrace")&amp;":"&amp;ADDRESS(130,3+18*2+(10))),'J1 B - Butcher Terrace'!$A$12:$A$130,"&gt;="&amp;Diagram!$O93,'J1 B - Butcher Terrace'!$A$12:$A$130,"&lt;"&amp;Diagram!$P93)))</f>
        <v>0</v>
      </c>
      <c r="BF93" s="42">
        <f ca="1">IF(OR($I$10="",$O93="",$P93="",$J$37&lt;&gt;"Yes"),0,IF($K$10=0,SUMIFS(INDIRECT(ADDRESS(12,3+18*3+(2),,,"J1 B - Butcher Terrace")&amp;":"&amp;ADDRESS(130,3+18*3+(2))),'J1 B - Butcher Terrace'!$A$12:$A$130,"&gt;="&amp;Diagram!$O93,'J1 B - Butcher Terrace'!$A$12:$A$130,"&lt;"&amp;Diagram!$P93),SUMIFS(INDIRECT(ADDRESS(12,3+18*3+(10),,,"J1 B - Butcher Terrace")&amp;":"&amp;ADDRESS(130,3+18*3+(10))),'J1 B - Butcher Terrace'!$A$12:$A$130,"&gt;="&amp;Diagram!$O93,'J1 B - Butcher Terrace'!$A$12:$A$130,"&lt;"&amp;Diagram!$P93)))</f>
        <v>0</v>
      </c>
      <c r="BG93" s="42">
        <f ca="1">IF(OR($I$10="",$O93="",$P93="",$J$37&lt;&gt;"Yes"),0,IF($K$10=0,SUMIFS(INDIRECT(ADDRESS(12,3+18*0+(2),,,"J1 B - Butcher Terrace")&amp;":"&amp;ADDRESS(130,3+18*0+(2))),'J1 B - Butcher Terrace'!$A$12:$A$130,"&gt;="&amp;Diagram!$O93,'J1 B - Butcher Terrace'!$A$12:$A$130,"&lt;"&amp;Diagram!$P93),SUMIFS(INDIRECT(ADDRESS(12,3+18*0+(10),,,"J1 B - Butcher Terrace")&amp;":"&amp;ADDRESS(130,3+18*0+(10))),'J1 B - Butcher Terrace'!$A$12:$A$130,"&gt;="&amp;Diagram!$O93,'J1 B - Butcher Terrace'!$A$12:$A$130,"&lt;"&amp;Diagram!$P93)))</f>
        <v>0</v>
      </c>
      <c r="BH93" s="42">
        <f ca="1">IF(OR($I$10="",$O93="",$P93="",$J$37&lt;&gt;"Yes"),0,IF($K$10=0,SUMIFS(INDIRECT(ADDRESS(12,3+18*1+(2),,,"J1 B - Butcher Terrace")&amp;":"&amp;ADDRESS(130,3+18*1+(2))),'J1 B - Butcher Terrace'!$A$12:$A$130,"&gt;="&amp;Diagram!$O93,'J1 B - Butcher Terrace'!$A$12:$A$130,"&lt;"&amp;Diagram!$P93),SUMIFS(INDIRECT(ADDRESS(12,3+18*1+(10),,,"J1 B - Butcher Terrace")&amp;":"&amp;ADDRESS(130,3+18*1+(10))),'J1 B - Butcher Terrace'!$A$12:$A$130,"&gt;="&amp;Diagram!$O93,'J1 B - Butcher Terrace'!$A$12:$A$130,"&lt;"&amp;Diagram!$P93)))</f>
        <v>0</v>
      </c>
      <c r="BI93" s="42">
        <f ca="1">IF(OR($I$10="",$O93="",$P93="",$J$37&lt;&gt;"Yes"),0,IF($K$10=0,SUMIFS(INDIRECT(ADDRESS(12,3+18*1+(2),,,"J1 C - (South) Bishopthorpe Roa")&amp;":"&amp;ADDRESS(130,3+18*1+(2))),'J1 C - (South) Bishopthorpe Roa'!$A$12:$A$130,"&gt;="&amp;Diagram!$O93,'J1 C - (South) Bishopthorpe Roa'!$A$12:$A$130,"&lt;"&amp;Diagram!$P93),SUMIFS(INDIRECT(ADDRESS(12,3+18*1+(10),,,"J1 C - (South) Bishopthorpe Roa")&amp;":"&amp;ADDRESS(130,3+18*1+(10))),'J1 C - (South) Bishopthorpe Roa'!$A$12:$A$130,"&gt;="&amp;Diagram!$O93,'J1 C - (South) Bishopthorpe Roa'!$A$12:$A$130,"&lt;"&amp;Diagram!$P93)))</f>
        <v>0</v>
      </c>
      <c r="BJ93" s="42">
        <f ca="1">IF(OR($I$10="",$O93="",$P93="",$J$37&lt;&gt;"Yes"),0,IF($K$10=0,SUMIFS(INDIRECT(ADDRESS(12,3+18*2+(2),,,"J1 C - (South) Bishopthorpe Roa")&amp;":"&amp;ADDRESS(130,3+18*2+(2))),'J1 C - (South) Bishopthorpe Roa'!$A$12:$A$130,"&gt;="&amp;Diagram!$O93,'J1 C - (South) Bishopthorpe Roa'!$A$12:$A$130,"&lt;"&amp;Diagram!$P93),SUMIFS(INDIRECT(ADDRESS(12,3+18*2+(10),,,"J1 C - (South) Bishopthorpe Roa")&amp;":"&amp;ADDRESS(130,3+18*2+(10))),'J1 C - (South) Bishopthorpe Roa'!$A$12:$A$130,"&gt;="&amp;Diagram!$O93,'J1 C - (South) Bishopthorpe Roa'!$A$12:$A$130,"&lt;"&amp;Diagram!$P93)))</f>
        <v>0</v>
      </c>
      <c r="BK93" s="42">
        <f ca="1">IF(OR($I$10="",$O93="",$P93="",$J$37&lt;&gt;"Yes"),0,IF($K$10=0,SUMIFS(INDIRECT(ADDRESS(12,3+18*3+(2),,,"J1 C - (South) Bishopthorpe Roa")&amp;":"&amp;ADDRESS(130,3+18*3+(2))),'J1 C - (South) Bishopthorpe Roa'!$A$12:$A$130,"&gt;="&amp;Diagram!$O93,'J1 C - (South) Bishopthorpe Roa'!$A$12:$A$130,"&lt;"&amp;Diagram!$P93),SUMIFS(INDIRECT(ADDRESS(12,3+18*3+(10),,,"J1 C - (South) Bishopthorpe Roa")&amp;":"&amp;ADDRESS(130,3+18*3+(10))),'J1 C - (South) Bishopthorpe Roa'!$A$12:$A$130,"&gt;="&amp;Diagram!$O93,'J1 C - (South) Bishopthorpe Roa'!$A$12:$A$130,"&lt;"&amp;Diagram!$P93)))</f>
        <v>0</v>
      </c>
      <c r="BL93" s="42">
        <f ca="1">IF(OR($I$10="",$O93="",$P93="",$J$37&lt;&gt;"Yes"),0,IF($K$10=0,SUMIFS(INDIRECT(ADDRESS(12,3+18*0+(2),,,"J1 C - (South) Bishopthorpe Roa")&amp;":"&amp;ADDRESS(130,3+18*0+(2))),'J1 C - (South) Bishopthorpe Roa'!$A$12:$A$130,"&gt;="&amp;Diagram!$O93,'J1 C - (South) Bishopthorpe Roa'!$A$12:$A$130,"&lt;"&amp;Diagram!$P93),SUMIFS(INDIRECT(ADDRESS(12,3+18*0+(10),,,"J1 C - (South) Bishopthorpe Roa")&amp;":"&amp;ADDRESS(130,3+18*0+(10))),'J1 C - (South) Bishopthorpe Roa'!$A$12:$A$130,"&gt;="&amp;Diagram!$O93,'J1 C - (South) Bishopthorpe Roa'!$A$12:$A$130,"&lt;"&amp;Diagram!$P93)))</f>
        <v>0</v>
      </c>
      <c r="BM93" s="42">
        <f ca="1">IF(OR($I$10="",$O93="",$P93="",$J$37&lt;&gt;"Yes"),0,IF($K$10=0,SUMIFS(INDIRECT(ADDRESS(12,3+18*0+(2),,,"J1 D - South Bank Avenue")&amp;":"&amp;ADDRESS(130,3+18*0+(2))),'J1 D - South Bank Avenue'!$A$12:$A$130,"&gt;="&amp;Diagram!$O93,'J1 D - South Bank Avenue'!$A$12:$A$130,"&lt;"&amp;Diagram!$P93),SUMIFS(INDIRECT(ADDRESS(12,3+18*0+(10),,,"J1 D - South Bank Avenue")&amp;":"&amp;ADDRESS(130,3+18*0+(10))),'J1 D - South Bank Avenue'!$A$12:$A$130,"&gt;="&amp;Diagram!$O93,'J1 D - South Bank Avenue'!$A$12:$A$130,"&lt;"&amp;Diagram!$P93)))</f>
        <v>0</v>
      </c>
      <c r="BN93" s="42">
        <f ca="1">IF(OR($I$10="",$O93="",$P93="",$J$37&lt;&gt;"Yes"),0,IF($K$10=0,SUMIFS(INDIRECT(ADDRESS(12,3+18*1+(2),,,"J1 D - South Bank Avenue")&amp;":"&amp;ADDRESS(130,3+18*1+(2))),'J1 D - South Bank Avenue'!$A$12:$A$130,"&gt;="&amp;Diagram!$O93,'J1 D - South Bank Avenue'!$A$12:$A$130,"&lt;"&amp;Diagram!$P93),SUMIFS(INDIRECT(ADDRESS(12,3+18*1+(10),,,"J1 D - South Bank Avenue")&amp;":"&amp;ADDRESS(130,3+18*1+(10))),'J1 D - South Bank Avenue'!$A$12:$A$130,"&gt;="&amp;Diagram!$O93,'J1 D - South Bank Avenue'!$A$12:$A$130,"&lt;"&amp;Diagram!$P93)))</f>
        <v>0</v>
      </c>
      <c r="BO93" s="42">
        <f ca="1">IF(OR($I$10="",$O93="",$P93="",$J$37&lt;&gt;"Yes"),0,IF($K$10=0,SUMIFS(INDIRECT(ADDRESS(12,3+18*2+(2),,,"J1 D - South Bank Avenue")&amp;":"&amp;ADDRESS(130,3+18*2+(2))),'J1 D - South Bank Avenue'!$A$12:$A$130,"&gt;="&amp;Diagram!$O93,'J1 D - South Bank Avenue'!$A$12:$A$130,"&lt;"&amp;Diagram!$P93),SUMIFS(INDIRECT(ADDRESS(12,3+18*2+(10),,,"J1 D - South Bank Avenue")&amp;":"&amp;ADDRESS(130,3+18*2+(10))),'J1 D - South Bank Avenue'!$A$12:$A$130,"&gt;="&amp;Diagram!$O93,'J1 D - South Bank Avenue'!$A$12:$A$130,"&lt;"&amp;Diagram!$P93)))</f>
        <v>0</v>
      </c>
      <c r="BP93" s="42">
        <f ca="1">IF(OR($I$10="",$O93="",$P93="",$J$37&lt;&gt;"Yes"),0,IF($K$10=0,SUMIFS(INDIRECT(ADDRESS(12,3+18*3+(2),,,"J1 D - South Bank Avenue")&amp;":"&amp;ADDRESS(130,3+18*3+(2))),'J1 D - South Bank Avenue'!$A$12:$A$130,"&gt;="&amp;Diagram!$O93,'J1 D - South Bank Avenue'!$A$12:$A$130,"&lt;"&amp;Diagram!$P93),SUMIFS(INDIRECT(ADDRESS(12,3+18*3+(10),,,"J1 D - South Bank Avenue")&amp;":"&amp;ADDRESS(130,3+18*3+(10))),'J1 D - South Bank Avenue'!$A$12:$A$130,"&gt;="&amp;Diagram!$O93,'J1 D - South Bank Avenue'!$A$12:$A$130,"&lt;"&amp;Diagram!$P93)))</f>
        <v>0</v>
      </c>
      <c r="BQ93" s="42">
        <f t="shared" ca="1" si="14"/>
        <v>0</v>
      </c>
      <c r="BR93" s="42">
        <f ca="1">IF(OR($I$10="",$O93="",$P93="",$J$38&lt;&gt;"Yes"),0,IF($K$10=0,SUMIFS(INDIRECT(ADDRESS(12,3+18*3+(3),,,"J1 A - (North) Bishopthorpe Roa")&amp;":"&amp;ADDRESS(130,3+18*3+(3))),'J1 A - (North) Bishopthorpe Roa'!$A$12:$A$130,"&gt;="&amp;Diagram!$O93,'J1 A - (North) Bishopthorpe Roa'!$A$12:$A$130,"&lt;"&amp;Diagram!$P93),SUMIFS(INDIRECT(ADDRESS(12,3+18*3+(11),,,"J1 A - (North) Bishopthorpe Roa")&amp;":"&amp;ADDRESS(130,3+18*3+(11))),'J1 A - (North) Bishopthorpe Roa'!$A$12:$A$130,"&gt;="&amp;Diagram!$O93,'J1 A - (North) Bishopthorpe Roa'!$A$12:$A$130,"&lt;"&amp;Diagram!$P93)))</f>
        <v>0</v>
      </c>
      <c r="BS93" s="42">
        <f ca="1">IF(OR($I$10="",$O93="",$P93="",$J$38&lt;&gt;"Yes"),0,IF($K$10=0,SUMIFS(INDIRECT(ADDRESS(12,3+18*0+(3),,,"J1 A - (North) Bishopthorpe Roa")&amp;":"&amp;ADDRESS(130,3+18*0+(3))),'J1 A - (North) Bishopthorpe Roa'!$A$12:$A$130,"&gt;="&amp;Diagram!$O93,'J1 A - (North) Bishopthorpe Roa'!$A$12:$A$130,"&lt;"&amp;Diagram!$P93),SUMIFS(INDIRECT(ADDRESS(12,3+18*0+(11),,,"J1 A - (North) Bishopthorpe Roa")&amp;":"&amp;ADDRESS(130,3+18*0+(11))),'J1 A - (North) Bishopthorpe Roa'!$A$12:$A$130,"&gt;="&amp;Diagram!$O93,'J1 A - (North) Bishopthorpe Roa'!$A$12:$A$130,"&lt;"&amp;Diagram!$P93)))</f>
        <v>0</v>
      </c>
      <c r="BT93" s="42">
        <f ca="1">IF(OR($I$10="",$O93="",$P93="",$J$38&lt;&gt;"Yes"),0,IF($K$10=0,SUMIFS(INDIRECT(ADDRESS(12,3+18*1+(3),,,"J1 A - (North) Bishopthorpe Roa")&amp;":"&amp;ADDRESS(130,3+18*1+(3))),'J1 A - (North) Bishopthorpe Roa'!$A$12:$A$130,"&gt;="&amp;Diagram!$O93,'J1 A - (North) Bishopthorpe Roa'!$A$12:$A$130,"&lt;"&amp;Diagram!$P93),SUMIFS(INDIRECT(ADDRESS(12,3+18*1+(11),,,"J1 A - (North) Bishopthorpe Roa")&amp;":"&amp;ADDRESS(130,3+18*1+(11))),'J1 A - (North) Bishopthorpe Roa'!$A$12:$A$130,"&gt;="&amp;Diagram!$O93,'J1 A - (North) Bishopthorpe Roa'!$A$12:$A$130,"&lt;"&amp;Diagram!$P93)))</f>
        <v>0</v>
      </c>
      <c r="BU93" s="42">
        <f ca="1">IF(OR($I$10="",$O93="",$P93="",$J$38&lt;&gt;"Yes"),0,IF($K$10=0,SUMIFS(INDIRECT(ADDRESS(12,3+18*2+(3),,,"J1 A - (North) Bishopthorpe Roa")&amp;":"&amp;ADDRESS(130,3+18*2+(3))),'J1 A - (North) Bishopthorpe Roa'!$A$12:$A$130,"&gt;="&amp;Diagram!$O93,'J1 A - (North) Bishopthorpe Roa'!$A$12:$A$130,"&lt;"&amp;Diagram!$P93),SUMIFS(INDIRECT(ADDRESS(12,3+18*2+(11),,,"J1 A - (North) Bishopthorpe Roa")&amp;":"&amp;ADDRESS(130,3+18*2+(11))),'J1 A - (North) Bishopthorpe Roa'!$A$12:$A$130,"&gt;="&amp;Diagram!$O93,'J1 A - (North) Bishopthorpe Roa'!$A$12:$A$130,"&lt;"&amp;Diagram!$P93)))</f>
        <v>0</v>
      </c>
      <c r="BV93" s="42">
        <f ca="1">IF(OR($I$10="",$O93="",$P93="",$J$38&lt;&gt;"Yes"),0,IF($K$10=0,SUMIFS(INDIRECT(ADDRESS(12,3+18*2+(3),,,"J1 B - Butcher Terrace")&amp;":"&amp;ADDRESS(130,3+18*2+(3))),'J1 B - Butcher Terrace'!$A$12:$A$130,"&gt;="&amp;Diagram!$O93,'J1 B - Butcher Terrace'!$A$12:$A$130,"&lt;"&amp;Diagram!$P93),SUMIFS(INDIRECT(ADDRESS(12,3+18*2+(11),,,"J1 B - Butcher Terrace")&amp;":"&amp;ADDRESS(130,3+18*2+(11))),'J1 B - Butcher Terrace'!$A$12:$A$130,"&gt;="&amp;Diagram!$O93,'J1 B - Butcher Terrace'!$A$12:$A$130,"&lt;"&amp;Diagram!$P93)))</f>
        <v>0</v>
      </c>
      <c r="BW93" s="42">
        <f ca="1">IF(OR($I$10="",$O93="",$P93="",$J$38&lt;&gt;"Yes"),0,IF($K$10=0,SUMIFS(INDIRECT(ADDRESS(12,3+18*3+(3),,,"J1 B - Butcher Terrace")&amp;":"&amp;ADDRESS(130,3+18*3+(3))),'J1 B - Butcher Terrace'!$A$12:$A$130,"&gt;="&amp;Diagram!$O93,'J1 B - Butcher Terrace'!$A$12:$A$130,"&lt;"&amp;Diagram!$P93),SUMIFS(INDIRECT(ADDRESS(12,3+18*3+(11),,,"J1 B - Butcher Terrace")&amp;":"&amp;ADDRESS(130,3+18*3+(11))),'J1 B - Butcher Terrace'!$A$12:$A$130,"&gt;="&amp;Diagram!$O93,'J1 B - Butcher Terrace'!$A$12:$A$130,"&lt;"&amp;Diagram!$P93)))</f>
        <v>0</v>
      </c>
      <c r="BX93" s="42">
        <f ca="1">IF(OR($I$10="",$O93="",$P93="",$J$38&lt;&gt;"Yes"),0,IF($K$10=0,SUMIFS(INDIRECT(ADDRESS(12,3+18*0+(3),,,"J1 B - Butcher Terrace")&amp;":"&amp;ADDRESS(130,3+18*0+(3))),'J1 B - Butcher Terrace'!$A$12:$A$130,"&gt;="&amp;Diagram!$O93,'J1 B - Butcher Terrace'!$A$12:$A$130,"&lt;"&amp;Diagram!$P93),SUMIFS(INDIRECT(ADDRESS(12,3+18*0+(11),,,"J1 B - Butcher Terrace")&amp;":"&amp;ADDRESS(130,3+18*0+(11))),'J1 B - Butcher Terrace'!$A$12:$A$130,"&gt;="&amp;Diagram!$O93,'J1 B - Butcher Terrace'!$A$12:$A$130,"&lt;"&amp;Diagram!$P93)))</f>
        <v>0</v>
      </c>
      <c r="BY93" s="42">
        <f ca="1">IF(OR($I$10="",$O93="",$P93="",$J$38&lt;&gt;"Yes"),0,IF($K$10=0,SUMIFS(INDIRECT(ADDRESS(12,3+18*1+(3),,,"J1 B - Butcher Terrace")&amp;":"&amp;ADDRESS(130,3+18*1+(3))),'J1 B - Butcher Terrace'!$A$12:$A$130,"&gt;="&amp;Diagram!$O93,'J1 B - Butcher Terrace'!$A$12:$A$130,"&lt;"&amp;Diagram!$P93),SUMIFS(INDIRECT(ADDRESS(12,3+18*1+(11),,,"J1 B - Butcher Terrace")&amp;":"&amp;ADDRESS(130,3+18*1+(11))),'J1 B - Butcher Terrace'!$A$12:$A$130,"&gt;="&amp;Diagram!$O93,'J1 B - Butcher Terrace'!$A$12:$A$130,"&lt;"&amp;Diagram!$P93)))</f>
        <v>0</v>
      </c>
      <c r="BZ93" s="42">
        <f ca="1">IF(OR($I$10="",$O93="",$P93="",$J$38&lt;&gt;"Yes"),0,IF($K$10=0,SUMIFS(INDIRECT(ADDRESS(12,3+18*1+(3),,,"J1 C - (South) Bishopthorpe Roa")&amp;":"&amp;ADDRESS(130,3+18*1+(3))),'J1 C - (South) Bishopthorpe Roa'!$A$12:$A$130,"&gt;="&amp;Diagram!$O93,'J1 C - (South) Bishopthorpe Roa'!$A$12:$A$130,"&lt;"&amp;Diagram!$P93),SUMIFS(INDIRECT(ADDRESS(12,3+18*1+(11),,,"J1 C - (South) Bishopthorpe Roa")&amp;":"&amp;ADDRESS(130,3+18*1+(11))),'J1 C - (South) Bishopthorpe Roa'!$A$12:$A$130,"&gt;="&amp;Diagram!$O93,'J1 C - (South) Bishopthorpe Roa'!$A$12:$A$130,"&lt;"&amp;Diagram!$P93)))</f>
        <v>0</v>
      </c>
      <c r="CA93" s="42">
        <f ca="1">IF(OR($I$10="",$O93="",$P93="",$J$38&lt;&gt;"Yes"),0,IF($K$10=0,SUMIFS(INDIRECT(ADDRESS(12,3+18*2+(3),,,"J1 C - (South) Bishopthorpe Roa")&amp;":"&amp;ADDRESS(130,3+18*2+(3))),'J1 C - (South) Bishopthorpe Roa'!$A$12:$A$130,"&gt;="&amp;Diagram!$O93,'J1 C - (South) Bishopthorpe Roa'!$A$12:$A$130,"&lt;"&amp;Diagram!$P93),SUMIFS(INDIRECT(ADDRESS(12,3+18*2+(11),,,"J1 C - (South) Bishopthorpe Roa")&amp;":"&amp;ADDRESS(130,3+18*2+(11))),'J1 C - (South) Bishopthorpe Roa'!$A$12:$A$130,"&gt;="&amp;Diagram!$O93,'J1 C - (South) Bishopthorpe Roa'!$A$12:$A$130,"&lt;"&amp;Diagram!$P93)))</f>
        <v>0</v>
      </c>
      <c r="CB93" s="42">
        <f ca="1">IF(OR($I$10="",$O93="",$P93="",$J$38&lt;&gt;"Yes"),0,IF($K$10=0,SUMIFS(INDIRECT(ADDRESS(12,3+18*3+(3),,,"J1 C - (South) Bishopthorpe Roa")&amp;":"&amp;ADDRESS(130,3+18*3+(3))),'J1 C - (South) Bishopthorpe Roa'!$A$12:$A$130,"&gt;="&amp;Diagram!$O93,'J1 C - (South) Bishopthorpe Roa'!$A$12:$A$130,"&lt;"&amp;Diagram!$P93),SUMIFS(INDIRECT(ADDRESS(12,3+18*3+(11),,,"J1 C - (South) Bishopthorpe Roa")&amp;":"&amp;ADDRESS(130,3+18*3+(11))),'J1 C - (South) Bishopthorpe Roa'!$A$12:$A$130,"&gt;="&amp;Diagram!$O93,'J1 C - (South) Bishopthorpe Roa'!$A$12:$A$130,"&lt;"&amp;Diagram!$P93)))</f>
        <v>0</v>
      </c>
      <c r="CC93" s="42">
        <f ca="1">IF(OR($I$10="",$O93="",$P93="",$J$38&lt;&gt;"Yes"),0,IF($K$10=0,SUMIFS(INDIRECT(ADDRESS(12,3+18*0+(3),,,"J1 C - (South) Bishopthorpe Roa")&amp;":"&amp;ADDRESS(130,3+18*0+(3))),'J1 C - (South) Bishopthorpe Roa'!$A$12:$A$130,"&gt;="&amp;Diagram!$O93,'J1 C - (South) Bishopthorpe Roa'!$A$12:$A$130,"&lt;"&amp;Diagram!$P93),SUMIFS(INDIRECT(ADDRESS(12,3+18*0+(11),,,"J1 C - (South) Bishopthorpe Roa")&amp;":"&amp;ADDRESS(130,3+18*0+(11))),'J1 C - (South) Bishopthorpe Roa'!$A$12:$A$130,"&gt;="&amp;Diagram!$O93,'J1 C - (South) Bishopthorpe Roa'!$A$12:$A$130,"&lt;"&amp;Diagram!$P93)))</f>
        <v>0</v>
      </c>
      <c r="CD93" s="42">
        <f ca="1">IF(OR($I$10="",$O93="",$P93="",$J$38&lt;&gt;"Yes"),0,IF($K$10=0,SUMIFS(INDIRECT(ADDRESS(12,3+18*0+(3),,,"J1 D - South Bank Avenue")&amp;":"&amp;ADDRESS(130,3+18*0+(3))),'J1 D - South Bank Avenue'!$A$12:$A$130,"&gt;="&amp;Diagram!$O93,'J1 D - South Bank Avenue'!$A$12:$A$130,"&lt;"&amp;Diagram!$P93),SUMIFS(INDIRECT(ADDRESS(12,3+18*0+(11),,,"J1 D - South Bank Avenue")&amp;":"&amp;ADDRESS(130,3+18*0+(11))),'J1 D - South Bank Avenue'!$A$12:$A$130,"&gt;="&amp;Diagram!$O93,'J1 D - South Bank Avenue'!$A$12:$A$130,"&lt;"&amp;Diagram!$P93)))</f>
        <v>0</v>
      </c>
      <c r="CE93" s="42">
        <f ca="1">IF(OR($I$10="",$O93="",$P93="",$J$38&lt;&gt;"Yes"),0,IF($K$10=0,SUMIFS(INDIRECT(ADDRESS(12,3+18*1+(3),,,"J1 D - South Bank Avenue")&amp;":"&amp;ADDRESS(130,3+18*1+(3))),'J1 D - South Bank Avenue'!$A$12:$A$130,"&gt;="&amp;Diagram!$O93,'J1 D - South Bank Avenue'!$A$12:$A$130,"&lt;"&amp;Diagram!$P93),SUMIFS(INDIRECT(ADDRESS(12,3+18*1+(11),,,"J1 D - South Bank Avenue")&amp;":"&amp;ADDRESS(130,3+18*1+(11))),'J1 D - South Bank Avenue'!$A$12:$A$130,"&gt;="&amp;Diagram!$O93,'J1 D - South Bank Avenue'!$A$12:$A$130,"&lt;"&amp;Diagram!$P93)))</f>
        <v>0</v>
      </c>
      <c r="CF93" s="42">
        <f ca="1">IF(OR($I$10="",$O93="",$P93="",$J$38&lt;&gt;"Yes"),0,IF($K$10=0,SUMIFS(INDIRECT(ADDRESS(12,3+18*2+(3),,,"J1 D - South Bank Avenue")&amp;":"&amp;ADDRESS(130,3+18*2+(3))),'J1 D - South Bank Avenue'!$A$12:$A$130,"&gt;="&amp;Diagram!$O93,'J1 D - South Bank Avenue'!$A$12:$A$130,"&lt;"&amp;Diagram!$P93),SUMIFS(INDIRECT(ADDRESS(12,3+18*2+(11),,,"J1 D - South Bank Avenue")&amp;":"&amp;ADDRESS(130,3+18*2+(11))),'J1 D - South Bank Avenue'!$A$12:$A$130,"&gt;="&amp;Diagram!$O93,'J1 D - South Bank Avenue'!$A$12:$A$130,"&lt;"&amp;Diagram!$P93)))</f>
        <v>0</v>
      </c>
      <c r="CG93" s="42">
        <f ca="1">IF(OR($I$10="",$O93="",$P93="",$J$38&lt;&gt;"Yes"),0,IF($K$10=0,SUMIFS(INDIRECT(ADDRESS(12,3+18*3+(3),,,"J1 D - South Bank Avenue")&amp;":"&amp;ADDRESS(130,3+18*3+(3))),'J1 D - South Bank Avenue'!$A$12:$A$130,"&gt;="&amp;Diagram!$O93,'J1 D - South Bank Avenue'!$A$12:$A$130,"&lt;"&amp;Diagram!$P93),SUMIFS(INDIRECT(ADDRESS(12,3+18*3+(11),,,"J1 D - South Bank Avenue")&amp;":"&amp;ADDRESS(130,3+18*3+(11))),'J1 D - South Bank Avenue'!$A$12:$A$130,"&gt;="&amp;Diagram!$O93,'J1 D - South Bank Avenue'!$A$12:$A$130,"&lt;"&amp;Diagram!$P93)))</f>
        <v>0</v>
      </c>
      <c r="CH93" s="42">
        <f t="shared" ca="1" si="15"/>
        <v>2</v>
      </c>
      <c r="CI93" s="42">
        <f ca="1">IF(OR($I$10="",$O93="",$P93="",$J$39&lt;&gt;"Yes"),0,IF($K$10=0,SUMIFS(INDIRECT(ADDRESS(12,3+18*3+(4),,,"J1 A - (North) Bishopthorpe Roa")&amp;":"&amp;ADDRESS(130,3+18*3+(4))),'J1 A - (North) Bishopthorpe Roa'!$A$12:$A$130,"&gt;="&amp;Diagram!$O93,'J1 A - (North) Bishopthorpe Roa'!$A$12:$A$130,"&lt;"&amp;Diagram!$P93),SUMIFS(INDIRECT(ADDRESS(12,3+18*3+(12),,,"J1 A - (North) Bishopthorpe Roa")&amp;":"&amp;ADDRESS(130,3+18*3+(12))),'J1 A - (North) Bishopthorpe Roa'!$A$12:$A$130,"&gt;="&amp;Diagram!$O93,'J1 A - (North) Bishopthorpe Roa'!$A$12:$A$130,"&lt;"&amp;Diagram!$P93)))</f>
        <v>0</v>
      </c>
      <c r="CJ93" s="42">
        <f ca="1">IF(OR($I$10="",$O93="",$P93="",$J$39&lt;&gt;"Yes"),0,IF($K$10=0,SUMIFS(INDIRECT(ADDRESS(12,3+18*0+(4),,,"J1 A - (North) Bishopthorpe Roa")&amp;":"&amp;ADDRESS(130,3+18*0+(4))),'J1 A - (North) Bishopthorpe Roa'!$A$12:$A$130,"&gt;="&amp;Diagram!$O93,'J1 A - (North) Bishopthorpe Roa'!$A$12:$A$130,"&lt;"&amp;Diagram!$P93),SUMIFS(INDIRECT(ADDRESS(12,3+18*0+(12),,,"J1 A - (North) Bishopthorpe Roa")&amp;":"&amp;ADDRESS(130,3+18*0+(12))),'J1 A - (North) Bishopthorpe Roa'!$A$12:$A$130,"&gt;="&amp;Diagram!$O93,'J1 A - (North) Bishopthorpe Roa'!$A$12:$A$130,"&lt;"&amp;Diagram!$P93)))</f>
        <v>0</v>
      </c>
      <c r="CK93" s="42">
        <f ca="1">IF(OR($I$10="",$O93="",$P93="",$J$39&lt;&gt;"Yes"),0,IF($K$10=0,SUMIFS(INDIRECT(ADDRESS(12,3+18*1+(4),,,"J1 A - (North) Bishopthorpe Roa")&amp;":"&amp;ADDRESS(130,3+18*1+(4))),'J1 A - (North) Bishopthorpe Roa'!$A$12:$A$130,"&gt;="&amp;Diagram!$O93,'J1 A - (North) Bishopthorpe Roa'!$A$12:$A$130,"&lt;"&amp;Diagram!$P93),SUMIFS(INDIRECT(ADDRESS(12,3+18*1+(12),,,"J1 A - (North) Bishopthorpe Roa")&amp;":"&amp;ADDRESS(130,3+18*1+(12))),'J1 A - (North) Bishopthorpe Roa'!$A$12:$A$130,"&gt;="&amp;Diagram!$O93,'J1 A - (North) Bishopthorpe Roa'!$A$12:$A$130,"&lt;"&amp;Diagram!$P93)))</f>
        <v>1</v>
      </c>
      <c r="CL93" s="42">
        <f ca="1">IF(OR($I$10="",$O93="",$P93="",$J$39&lt;&gt;"Yes"),0,IF($K$10=0,SUMIFS(INDIRECT(ADDRESS(12,3+18*2+(4),,,"J1 A - (North) Bishopthorpe Roa")&amp;":"&amp;ADDRESS(130,3+18*2+(4))),'J1 A - (North) Bishopthorpe Roa'!$A$12:$A$130,"&gt;="&amp;Diagram!$O93,'J1 A - (North) Bishopthorpe Roa'!$A$12:$A$130,"&lt;"&amp;Diagram!$P93),SUMIFS(INDIRECT(ADDRESS(12,3+18*2+(12),,,"J1 A - (North) Bishopthorpe Roa")&amp;":"&amp;ADDRESS(130,3+18*2+(12))),'J1 A - (North) Bishopthorpe Roa'!$A$12:$A$130,"&gt;="&amp;Diagram!$O93,'J1 A - (North) Bishopthorpe Roa'!$A$12:$A$130,"&lt;"&amp;Diagram!$P93)))</f>
        <v>0</v>
      </c>
      <c r="CM93" s="42">
        <f ca="1">IF(OR($I$10="",$O93="",$P93="",$J$39&lt;&gt;"Yes"),0,IF($K$10=0,SUMIFS(INDIRECT(ADDRESS(12,3+18*2+(4),,,"J1 B - Butcher Terrace")&amp;":"&amp;ADDRESS(130,3+18*2+(4))),'J1 B - Butcher Terrace'!$A$12:$A$130,"&gt;="&amp;Diagram!$O93,'J1 B - Butcher Terrace'!$A$12:$A$130,"&lt;"&amp;Diagram!$P93),SUMIFS(INDIRECT(ADDRESS(12,3+18*2+(12),,,"J1 B - Butcher Terrace")&amp;":"&amp;ADDRESS(130,3+18*2+(12))),'J1 B - Butcher Terrace'!$A$12:$A$130,"&gt;="&amp;Diagram!$O93,'J1 B - Butcher Terrace'!$A$12:$A$130,"&lt;"&amp;Diagram!$P93)))</f>
        <v>0</v>
      </c>
      <c r="CN93" s="42">
        <f ca="1">IF(OR($I$10="",$O93="",$P93="",$J$39&lt;&gt;"Yes"),0,IF($K$10=0,SUMIFS(INDIRECT(ADDRESS(12,3+18*3+(4),,,"J1 B - Butcher Terrace")&amp;":"&amp;ADDRESS(130,3+18*3+(4))),'J1 B - Butcher Terrace'!$A$12:$A$130,"&gt;="&amp;Diagram!$O93,'J1 B - Butcher Terrace'!$A$12:$A$130,"&lt;"&amp;Diagram!$P93),SUMIFS(INDIRECT(ADDRESS(12,3+18*3+(12),,,"J1 B - Butcher Terrace")&amp;":"&amp;ADDRESS(130,3+18*3+(12))),'J1 B - Butcher Terrace'!$A$12:$A$130,"&gt;="&amp;Diagram!$O93,'J1 B - Butcher Terrace'!$A$12:$A$130,"&lt;"&amp;Diagram!$P93)))</f>
        <v>0</v>
      </c>
      <c r="CO93" s="42">
        <f ca="1">IF(OR($I$10="",$O93="",$P93="",$J$39&lt;&gt;"Yes"),0,IF($K$10=0,SUMIFS(INDIRECT(ADDRESS(12,3+18*0+(4),,,"J1 B - Butcher Terrace")&amp;":"&amp;ADDRESS(130,3+18*0+(4))),'J1 B - Butcher Terrace'!$A$12:$A$130,"&gt;="&amp;Diagram!$O93,'J1 B - Butcher Terrace'!$A$12:$A$130,"&lt;"&amp;Diagram!$P93),SUMIFS(INDIRECT(ADDRESS(12,3+18*0+(12),,,"J1 B - Butcher Terrace")&amp;":"&amp;ADDRESS(130,3+18*0+(12))),'J1 B - Butcher Terrace'!$A$12:$A$130,"&gt;="&amp;Diagram!$O93,'J1 B - Butcher Terrace'!$A$12:$A$130,"&lt;"&amp;Diagram!$P93)))</f>
        <v>0</v>
      </c>
      <c r="CP93" s="42">
        <f ca="1">IF(OR($I$10="",$O93="",$P93="",$J$39&lt;&gt;"Yes"),0,IF($K$10=0,SUMIFS(INDIRECT(ADDRESS(12,3+18*1+(4),,,"J1 B - Butcher Terrace")&amp;":"&amp;ADDRESS(130,3+18*1+(4))),'J1 B - Butcher Terrace'!$A$12:$A$130,"&gt;="&amp;Diagram!$O93,'J1 B - Butcher Terrace'!$A$12:$A$130,"&lt;"&amp;Diagram!$P93),SUMIFS(INDIRECT(ADDRESS(12,3+18*1+(12),,,"J1 B - Butcher Terrace")&amp;":"&amp;ADDRESS(130,3+18*1+(12))),'J1 B - Butcher Terrace'!$A$12:$A$130,"&gt;="&amp;Diagram!$O93,'J1 B - Butcher Terrace'!$A$12:$A$130,"&lt;"&amp;Diagram!$P93)))</f>
        <v>0</v>
      </c>
      <c r="CQ93" s="42">
        <f ca="1">IF(OR($I$10="",$O93="",$P93="",$J$39&lt;&gt;"Yes"),0,IF($K$10=0,SUMIFS(INDIRECT(ADDRESS(12,3+18*1+(4),,,"J1 C - (South) Bishopthorpe Roa")&amp;":"&amp;ADDRESS(130,3+18*1+(4))),'J1 C - (South) Bishopthorpe Roa'!$A$12:$A$130,"&gt;="&amp;Diagram!$O93,'J1 C - (South) Bishopthorpe Roa'!$A$12:$A$130,"&lt;"&amp;Diagram!$P93),SUMIFS(INDIRECT(ADDRESS(12,3+18*1+(12),,,"J1 C - (South) Bishopthorpe Roa")&amp;":"&amp;ADDRESS(130,3+18*1+(12))),'J1 C - (South) Bishopthorpe Roa'!$A$12:$A$130,"&gt;="&amp;Diagram!$O93,'J1 C - (South) Bishopthorpe Roa'!$A$12:$A$130,"&lt;"&amp;Diagram!$P93)))</f>
        <v>1</v>
      </c>
      <c r="CR93" s="42">
        <f ca="1">IF(OR($I$10="",$O93="",$P93="",$J$39&lt;&gt;"Yes"),0,IF($K$10=0,SUMIFS(INDIRECT(ADDRESS(12,3+18*2+(4),,,"J1 C - (South) Bishopthorpe Roa")&amp;":"&amp;ADDRESS(130,3+18*2+(4))),'J1 C - (South) Bishopthorpe Roa'!$A$12:$A$130,"&gt;="&amp;Diagram!$O93,'J1 C - (South) Bishopthorpe Roa'!$A$12:$A$130,"&lt;"&amp;Diagram!$P93),SUMIFS(INDIRECT(ADDRESS(12,3+18*2+(12),,,"J1 C - (South) Bishopthorpe Roa")&amp;":"&amp;ADDRESS(130,3+18*2+(12))),'J1 C - (South) Bishopthorpe Roa'!$A$12:$A$130,"&gt;="&amp;Diagram!$O93,'J1 C - (South) Bishopthorpe Roa'!$A$12:$A$130,"&lt;"&amp;Diagram!$P93)))</f>
        <v>0</v>
      </c>
      <c r="CS93" s="42">
        <f ca="1">IF(OR($I$10="",$O93="",$P93="",$J$39&lt;&gt;"Yes"),0,IF($K$10=0,SUMIFS(INDIRECT(ADDRESS(12,3+18*3+(4),,,"J1 C - (South) Bishopthorpe Roa")&amp;":"&amp;ADDRESS(130,3+18*3+(4))),'J1 C - (South) Bishopthorpe Roa'!$A$12:$A$130,"&gt;="&amp;Diagram!$O93,'J1 C - (South) Bishopthorpe Roa'!$A$12:$A$130,"&lt;"&amp;Diagram!$P93),SUMIFS(INDIRECT(ADDRESS(12,3+18*3+(12),,,"J1 C - (South) Bishopthorpe Roa")&amp;":"&amp;ADDRESS(130,3+18*3+(12))),'J1 C - (South) Bishopthorpe Roa'!$A$12:$A$130,"&gt;="&amp;Diagram!$O93,'J1 C - (South) Bishopthorpe Roa'!$A$12:$A$130,"&lt;"&amp;Diagram!$P93)))</f>
        <v>0</v>
      </c>
      <c r="CT93" s="42">
        <f ca="1">IF(OR($I$10="",$O93="",$P93="",$J$39&lt;&gt;"Yes"),0,IF($K$10=0,SUMIFS(INDIRECT(ADDRESS(12,3+18*0+(4),,,"J1 C - (South) Bishopthorpe Roa")&amp;":"&amp;ADDRESS(130,3+18*0+(4))),'J1 C - (South) Bishopthorpe Roa'!$A$12:$A$130,"&gt;="&amp;Diagram!$O93,'J1 C - (South) Bishopthorpe Roa'!$A$12:$A$130,"&lt;"&amp;Diagram!$P93),SUMIFS(INDIRECT(ADDRESS(12,3+18*0+(12),,,"J1 C - (South) Bishopthorpe Roa")&amp;":"&amp;ADDRESS(130,3+18*0+(12))),'J1 C - (South) Bishopthorpe Roa'!$A$12:$A$130,"&gt;="&amp;Diagram!$O93,'J1 C - (South) Bishopthorpe Roa'!$A$12:$A$130,"&lt;"&amp;Diagram!$P93)))</f>
        <v>0</v>
      </c>
      <c r="CU93" s="42">
        <f ca="1">IF(OR($I$10="",$O93="",$P93="",$J$39&lt;&gt;"Yes"),0,IF($K$10=0,SUMIFS(INDIRECT(ADDRESS(12,3+18*0+(4),,,"J1 D - South Bank Avenue")&amp;":"&amp;ADDRESS(130,3+18*0+(4))),'J1 D - South Bank Avenue'!$A$12:$A$130,"&gt;="&amp;Diagram!$O93,'J1 D - South Bank Avenue'!$A$12:$A$130,"&lt;"&amp;Diagram!$P93),SUMIFS(INDIRECT(ADDRESS(12,3+18*0+(12),,,"J1 D - South Bank Avenue")&amp;":"&amp;ADDRESS(130,3+18*0+(12))),'J1 D - South Bank Avenue'!$A$12:$A$130,"&gt;="&amp;Diagram!$O93,'J1 D - South Bank Avenue'!$A$12:$A$130,"&lt;"&amp;Diagram!$P93)))</f>
        <v>0</v>
      </c>
      <c r="CV93" s="42">
        <f ca="1">IF(OR($I$10="",$O93="",$P93="",$J$39&lt;&gt;"Yes"),0,IF($K$10=0,SUMIFS(INDIRECT(ADDRESS(12,3+18*1+(4),,,"J1 D - South Bank Avenue")&amp;":"&amp;ADDRESS(130,3+18*1+(4))),'J1 D - South Bank Avenue'!$A$12:$A$130,"&gt;="&amp;Diagram!$O93,'J1 D - South Bank Avenue'!$A$12:$A$130,"&lt;"&amp;Diagram!$P93),SUMIFS(INDIRECT(ADDRESS(12,3+18*1+(12),,,"J1 D - South Bank Avenue")&amp;":"&amp;ADDRESS(130,3+18*1+(12))),'J1 D - South Bank Avenue'!$A$12:$A$130,"&gt;="&amp;Diagram!$O93,'J1 D - South Bank Avenue'!$A$12:$A$130,"&lt;"&amp;Diagram!$P93)))</f>
        <v>0</v>
      </c>
      <c r="CW93" s="42">
        <f ca="1">IF(OR($I$10="",$O93="",$P93="",$J$39&lt;&gt;"Yes"),0,IF($K$10=0,SUMIFS(INDIRECT(ADDRESS(12,3+18*2+(4),,,"J1 D - South Bank Avenue")&amp;":"&amp;ADDRESS(130,3+18*2+(4))),'J1 D - South Bank Avenue'!$A$12:$A$130,"&gt;="&amp;Diagram!$O93,'J1 D - South Bank Avenue'!$A$12:$A$130,"&lt;"&amp;Diagram!$P93),SUMIFS(INDIRECT(ADDRESS(12,3+18*2+(12),,,"J1 D - South Bank Avenue")&amp;":"&amp;ADDRESS(130,3+18*2+(12))),'J1 D - South Bank Avenue'!$A$12:$A$130,"&gt;="&amp;Diagram!$O93,'J1 D - South Bank Avenue'!$A$12:$A$130,"&lt;"&amp;Diagram!$P93)))</f>
        <v>0</v>
      </c>
      <c r="CX93" s="42">
        <f ca="1">IF(OR($I$10="",$O93="",$P93="",$J$39&lt;&gt;"Yes"),0,IF($K$10=0,SUMIFS(INDIRECT(ADDRESS(12,3+18*3+(4),,,"J1 D - South Bank Avenue")&amp;":"&amp;ADDRESS(130,3+18*3+(4))),'J1 D - South Bank Avenue'!$A$12:$A$130,"&gt;="&amp;Diagram!$O93,'J1 D - South Bank Avenue'!$A$12:$A$130,"&lt;"&amp;Diagram!$P93),SUMIFS(INDIRECT(ADDRESS(12,3+18*3+(12),,,"J1 D - South Bank Avenue")&amp;":"&amp;ADDRESS(130,3+18*3+(12))),'J1 D - South Bank Avenue'!$A$12:$A$130,"&gt;="&amp;Diagram!$O93,'J1 D - South Bank Avenue'!$A$12:$A$130,"&lt;"&amp;Diagram!$P93)))</f>
        <v>0</v>
      </c>
      <c r="CY93" s="42">
        <f t="shared" ca="1" si="16"/>
        <v>30</v>
      </c>
      <c r="CZ93" s="42">
        <f ca="1">IF(OR($I$10="",$O93="",$P93="",$J$40&lt;&gt;"Yes"),0,IF($K$10=0,SUMIFS(INDIRECT(ADDRESS(12,3+18*3+(5),,,"J1 A - (North) Bishopthorpe Roa")&amp;":"&amp;ADDRESS(130,3+18*3+(5))),'J1 A - (North) Bishopthorpe Roa'!$A$12:$A$130,"&gt;="&amp;Diagram!$O93,'J1 A - (North) Bishopthorpe Roa'!$A$12:$A$130,"&lt;"&amp;Diagram!$P93),SUMIFS(INDIRECT(ADDRESS(12,3+18*3+(13),,,"J1 A - (North) Bishopthorpe Roa")&amp;":"&amp;ADDRESS(130,3+18*3+(13))),'J1 A - (North) Bishopthorpe Roa'!$A$12:$A$130,"&gt;="&amp;Diagram!$O93,'J1 A - (North) Bishopthorpe Roa'!$A$12:$A$130,"&lt;"&amp;Diagram!$P93)))</f>
        <v>0</v>
      </c>
      <c r="DA93" s="42">
        <f ca="1">IF(OR($I$10="",$O93="",$P93="",$J$40&lt;&gt;"Yes"),0,IF($K$10=0,SUMIFS(INDIRECT(ADDRESS(12,3+18*0+(5),,,"J1 A - (North) Bishopthorpe Roa")&amp;":"&amp;ADDRESS(130,3+18*0+(5))),'J1 A - (North) Bishopthorpe Roa'!$A$12:$A$130,"&gt;="&amp;Diagram!$O93,'J1 A - (North) Bishopthorpe Roa'!$A$12:$A$130,"&lt;"&amp;Diagram!$P93),SUMIFS(INDIRECT(ADDRESS(12,3+18*0+(13),,,"J1 A - (North) Bishopthorpe Roa")&amp;":"&amp;ADDRESS(130,3+18*0+(13))),'J1 A - (North) Bishopthorpe Roa'!$A$12:$A$130,"&gt;="&amp;Diagram!$O93,'J1 A - (North) Bishopthorpe Roa'!$A$12:$A$130,"&lt;"&amp;Diagram!$P93)))</f>
        <v>1</v>
      </c>
      <c r="DB93" s="42">
        <f ca="1">IF(OR($I$10="",$O93="",$P93="",$J$40&lt;&gt;"Yes"),0,IF($K$10=0,SUMIFS(INDIRECT(ADDRESS(12,3+18*1+(5),,,"J1 A - (North) Bishopthorpe Roa")&amp;":"&amp;ADDRESS(130,3+18*1+(5))),'J1 A - (North) Bishopthorpe Roa'!$A$12:$A$130,"&gt;="&amp;Diagram!$O93,'J1 A - (North) Bishopthorpe Roa'!$A$12:$A$130,"&lt;"&amp;Diagram!$P93),SUMIFS(INDIRECT(ADDRESS(12,3+18*1+(13),,,"J1 A - (North) Bishopthorpe Roa")&amp;":"&amp;ADDRESS(130,3+18*1+(13))),'J1 A - (North) Bishopthorpe Roa'!$A$12:$A$130,"&gt;="&amp;Diagram!$O93,'J1 A - (North) Bishopthorpe Roa'!$A$12:$A$130,"&lt;"&amp;Diagram!$P93)))</f>
        <v>5</v>
      </c>
      <c r="DC93" s="42">
        <f ca="1">IF(OR($I$10="",$O93="",$P93="",$J$40&lt;&gt;"Yes"),0,IF($K$10=0,SUMIFS(INDIRECT(ADDRESS(12,3+18*2+(5),,,"J1 A - (North) Bishopthorpe Roa")&amp;":"&amp;ADDRESS(130,3+18*2+(5))),'J1 A - (North) Bishopthorpe Roa'!$A$12:$A$130,"&gt;="&amp;Diagram!$O93,'J1 A - (North) Bishopthorpe Roa'!$A$12:$A$130,"&lt;"&amp;Diagram!$P93),SUMIFS(INDIRECT(ADDRESS(12,3+18*2+(13),,,"J1 A - (North) Bishopthorpe Roa")&amp;":"&amp;ADDRESS(130,3+18*2+(13))),'J1 A - (North) Bishopthorpe Roa'!$A$12:$A$130,"&gt;="&amp;Diagram!$O93,'J1 A - (North) Bishopthorpe Roa'!$A$12:$A$130,"&lt;"&amp;Diagram!$P93)))</f>
        <v>2</v>
      </c>
      <c r="DD93" s="42">
        <f ca="1">IF(OR($I$10="",$O93="",$P93="",$J$40&lt;&gt;"Yes"),0,IF($K$10=0,SUMIFS(INDIRECT(ADDRESS(12,3+18*2+(5),,,"J1 B - Butcher Terrace")&amp;":"&amp;ADDRESS(130,3+18*2+(5))),'J1 B - Butcher Terrace'!$A$12:$A$130,"&gt;="&amp;Diagram!$O93,'J1 B - Butcher Terrace'!$A$12:$A$130,"&lt;"&amp;Diagram!$P93),SUMIFS(INDIRECT(ADDRESS(12,3+18*2+(13),,,"J1 B - Butcher Terrace")&amp;":"&amp;ADDRESS(130,3+18*2+(13))),'J1 B - Butcher Terrace'!$A$12:$A$130,"&gt;="&amp;Diagram!$O93,'J1 B - Butcher Terrace'!$A$12:$A$130,"&lt;"&amp;Diagram!$P93)))</f>
        <v>1</v>
      </c>
      <c r="DE93" s="42">
        <f ca="1">IF(OR($I$10="",$O93="",$P93="",$J$40&lt;&gt;"Yes"),0,IF($K$10=0,SUMIFS(INDIRECT(ADDRESS(12,3+18*3+(5),,,"J1 B - Butcher Terrace")&amp;":"&amp;ADDRESS(130,3+18*3+(5))),'J1 B - Butcher Terrace'!$A$12:$A$130,"&gt;="&amp;Diagram!$O93,'J1 B - Butcher Terrace'!$A$12:$A$130,"&lt;"&amp;Diagram!$P93),SUMIFS(INDIRECT(ADDRESS(12,3+18*3+(13),,,"J1 B - Butcher Terrace")&amp;":"&amp;ADDRESS(130,3+18*3+(13))),'J1 B - Butcher Terrace'!$A$12:$A$130,"&gt;="&amp;Diagram!$O93,'J1 B - Butcher Terrace'!$A$12:$A$130,"&lt;"&amp;Diagram!$P93)))</f>
        <v>0</v>
      </c>
      <c r="DF93" s="42">
        <f ca="1">IF(OR($I$10="",$O93="",$P93="",$J$40&lt;&gt;"Yes"),0,IF($K$10=0,SUMIFS(INDIRECT(ADDRESS(12,3+18*0+(5),,,"J1 B - Butcher Terrace")&amp;":"&amp;ADDRESS(130,3+18*0+(5))),'J1 B - Butcher Terrace'!$A$12:$A$130,"&gt;="&amp;Diagram!$O93,'J1 B - Butcher Terrace'!$A$12:$A$130,"&lt;"&amp;Diagram!$P93),SUMIFS(INDIRECT(ADDRESS(12,3+18*0+(13),,,"J1 B - Butcher Terrace")&amp;":"&amp;ADDRESS(130,3+18*0+(13))),'J1 B - Butcher Terrace'!$A$12:$A$130,"&gt;="&amp;Diagram!$O93,'J1 B - Butcher Terrace'!$A$12:$A$130,"&lt;"&amp;Diagram!$P93)))</f>
        <v>1</v>
      </c>
      <c r="DG93" s="42">
        <f ca="1">IF(OR($I$10="",$O93="",$P93="",$J$40&lt;&gt;"Yes"),0,IF($K$10=0,SUMIFS(INDIRECT(ADDRESS(12,3+18*1+(5),,,"J1 B - Butcher Terrace")&amp;":"&amp;ADDRESS(130,3+18*1+(5))),'J1 B - Butcher Terrace'!$A$12:$A$130,"&gt;="&amp;Diagram!$O93,'J1 B - Butcher Terrace'!$A$12:$A$130,"&lt;"&amp;Diagram!$P93),SUMIFS(INDIRECT(ADDRESS(12,3+18*1+(13),,,"J1 B - Butcher Terrace")&amp;":"&amp;ADDRESS(130,3+18*1+(13))),'J1 B - Butcher Terrace'!$A$12:$A$130,"&gt;="&amp;Diagram!$O93,'J1 B - Butcher Terrace'!$A$12:$A$130,"&lt;"&amp;Diagram!$P93)))</f>
        <v>13</v>
      </c>
      <c r="DH93" s="42">
        <f ca="1">IF(OR($I$10="",$O93="",$P93="",$J$40&lt;&gt;"Yes"),0,IF($K$10=0,SUMIFS(INDIRECT(ADDRESS(12,3+18*1+(5),,,"J1 C - (South) Bishopthorpe Roa")&amp;":"&amp;ADDRESS(130,3+18*1+(5))),'J1 C - (South) Bishopthorpe Roa'!$A$12:$A$130,"&gt;="&amp;Diagram!$O93,'J1 C - (South) Bishopthorpe Roa'!$A$12:$A$130,"&lt;"&amp;Diagram!$P93),SUMIFS(INDIRECT(ADDRESS(12,3+18*1+(13),,,"J1 C - (South) Bishopthorpe Roa")&amp;":"&amp;ADDRESS(130,3+18*1+(13))),'J1 C - (South) Bishopthorpe Roa'!$A$12:$A$130,"&gt;="&amp;Diagram!$O93,'J1 C - (South) Bishopthorpe Roa'!$A$12:$A$130,"&lt;"&amp;Diagram!$P93)))</f>
        <v>2</v>
      </c>
      <c r="DI93" s="42">
        <f ca="1">IF(OR($I$10="",$O93="",$P93="",$J$40&lt;&gt;"Yes"),0,IF($K$10=0,SUMIFS(INDIRECT(ADDRESS(12,3+18*2+(5),,,"J1 C - (South) Bishopthorpe Roa")&amp;":"&amp;ADDRESS(130,3+18*2+(5))),'J1 C - (South) Bishopthorpe Roa'!$A$12:$A$130,"&gt;="&amp;Diagram!$O93,'J1 C - (South) Bishopthorpe Roa'!$A$12:$A$130,"&lt;"&amp;Diagram!$P93),SUMIFS(INDIRECT(ADDRESS(12,3+18*2+(13),,,"J1 C - (South) Bishopthorpe Roa")&amp;":"&amp;ADDRESS(130,3+18*2+(13))),'J1 C - (South) Bishopthorpe Roa'!$A$12:$A$130,"&gt;="&amp;Diagram!$O93,'J1 C - (South) Bishopthorpe Roa'!$A$12:$A$130,"&lt;"&amp;Diagram!$P93)))</f>
        <v>0</v>
      </c>
      <c r="DJ93" s="42">
        <f ca="1">IF(OR($I$10="",$O93="",$P93="",$J$40&lt;&gt;"Yes"),0,IF($K$10=0,SUMIFS(INDIRECT(ADDRESS(12,3+18*3+(5),,,"J1 C - (South) Bishopthorpe Roa")&amp;":"&amp;ADDRESS(130,3+18*3+(5))),'J1 C - (South) Bishopthorpe Roa'!$A$12:$A$130,"&gt;="&amp;Diagram!$O93,'J1 C - (South) Bishopthorpe Roa'!$A$12:$A$130,"&lt;"&amp;Diagram!$P93),SUMIFS(INDIRECT(ADDRESS(12,3+18*3+(13),,,"J1 C - (South) Bishopthorpe Roa")&amp;":"&amp;ADDRESS(130,3+18*3+(13))),'J1 C - (South) Bishopthorpe Roa'!$A$12:$A$130,"&gt;="&amp;Diagram!$O93,'J1 C - (South) Bishopthorpe Roa'!$A$12:$A$130,"&lt;"&amp;Diagram!$P93)))</f>
        <v>0</v>
      </c>
      <c r="DK93" s="42">
        <f ca="1">IF(OR($I$10="",$O93="",$P93="",$J$40&lt;&gt;"Yes"),0,IF($K$10=0,SUMIFS(INDIRECT(ADDRESS(12,3+18*0+(5),,,"J1 C - (South) Bishopthorpe Roa")&amp;":"&amp;ADDRESS(130,3+18*0+(5))),'J1 C - (South) Bishopthorpe Roa'!$A$12:$A$130,"&gt;="&amp;Diagram!$O93,'J1 C - (South) Bishopthorpe Roa'!$A$12:$A$130,"&lt;"&amp;Diagram!$P93),SUMIFS(INDIRECT(ADDRESS(12,3+18*0+(13),,,"J1 C - (South) Bishopthorpe Roa")&amp;":"&amp;ADDRESS(130,3+18*0+(13))),'J1 C - (South) Bishopthorpe Roa'!$A$12:$A$130,"&gt;="&amp;Diagram!$O93,'J1 C - (South) Bishopthorpe Roa'!$A$12:$A$130,"&lt;"&amp;Diagram!$P93)))</f>
        <v>0</v>
      </c>
      <c r="DL93" s="42">
        <f ca="1">IF(OR($I$10="",$O93="",$P93="",$J$40&lt;&gt;"Yes"),0,IF($K$10=0,SUMIFS(INDIRECT(ADDRESS(12,3+18*0+(5),,,"J1 D - South Bank Avenue")&amp;":"&amp;ADDRESS(130,3+18*0+(5))),'J1 D - South Bank Avenue'!$A$12:$A$130,"&gt;="&amp;Diagram!$O93,'J1 D - South Bank Avenue'!$A$12:$A$130,"&lt;"&amp;Diagram!$P93),SUMIFS(INDIRECT(ADDRESS(12,3+18*0+(13),,,"J1 D - South Bank Avenue")&amp;":"&amp;ADDRESS(130,3+18*0+(13))),'J1 D - South Bank Avenue'!$A$12:$A$130,"&gt;="&amp;Diagram!$O93,'J1 D - South Bank Avenue'!$A$12:$A$130,"&lt;"&amp;Diagram!$P93)))</f>
        <v>1</v>
      </c>
      <c r="DM93" s="42">
        <f ca="1">IF(OR($I$10="",$O93="",$P93="",$J$40&lt;&gt;"Yes"),0,IF($K$10=0,SUMIFS(INDIRECT(ADDRESS(12,3+18*1+(5),,,"J1 D - South Bank Avenue")&amp;":"&amp;ADDRESS(130,3+18*1+(5))),'J1 D - South Bank Avenue'!$A$12:$A$130,"&gt;="&amp;Diagram!$O93,'J1 D - South Bank Avenue'!$A$12:$A$130,"&lt;"&amp;Diagram!$P93),SUMIFS(INDIRECT(ADDRESS(12,3+18*1+(13),,,"J1 D - South Bank Avenue")&amp;":"&amp;ADDRESS(130,3+18*1+(13))),'J1 D - South Bank Avenue'!$A$12:$A$130,"&gt;="&amp;Diagram!$O93,'J1 D - South Bank Avenue'!$A$12:$A$130,"&lt;"&amp;Diagram!$P93)))</f>
        <v>4</v>
      </c>
      <c r="DN93" s="42">
        <f ca="1">IF(OR($I$10="",$O93="",$P93="",$J$40&lt;&gt;"Yes"),0,IF($K$10=0,SUMIFS(INDIRECT(ADDRESS(12,3+18*2+(5),,,"J1 D - South Bank Avenue")&amp;":"&amp;ADDRESS(130,3+18*2+(5))),'J1 D - South Bank Avenue'!$A$12:$A$130,"&gt;="&amp;Diagram!$O93,'J1 D - South Bank Avenue'!$A$12:$A$130,"&lt;"&amp;Diagram!$P93),SUMIFS(INDIRECT(ADDRESS(12,3+18*2+(13),,,"J1 D - South Bank Avenue")&amp;":"&amp;ADDRESS(130,3+18*2+(13))),'J1 D - South Bank Avenue'!$A$12:$A$130,"&gt;="&amp;Diagram!$O93,'J1 D - South Bank Avenue'!$A$12:$A$130,"&lt;"&amp;Diagram!$P93)))</f>
        <v>0</v>
      </c>
      <c r="DO93" s="42">
        <f ca="1">IF(OR($I$10="",$O93="",$P93="",$J$40&lt;&gt;"Yes"),0,IF($K$10=0,SUMIFS(INDIRECT(ADDRESS(12,3+18*3+(5),,,"J1 D - South Bank Avenue")&amp;":"&amp;ADDRESS(130,3+18*3+(5))),'J1 D - South Bank Avenue'!$A$12:$A$130,"&gt;="&amp;Diagram!$O93,'J1 D - South Bank Avenue'!$A$12:$A$130,"&lt;"&amp;Diagram!$P93),SUMIFS(INDIRECT(ADDRESS(12,3+18*3+(13),,,"J1 D - South Bank Avenue")&amp;":"&amp;ADDRESS(130,3+18*3+(13))),'J1 D - South Bank Avenue'!$A$12:$A$130,"&gt;="&amp;Diagram!$O93,'J1 D - South Bank Avenue'!$A$12:$A$130,"&lt;"&amp;Diagram!$P93)))</f>
        <v>0</v>
      </c>
      <c r="DP93" s="42">
        <f t="shared" ca="1" si="17"/>
        <v>1</v>
      </c>
      <c r="DQ93" s="42">
        <f ca="1">IF(OR($I$10="",$O93="",$P93="",$J$41&lt;&gt;"Yes"),0,IF($K$10=0,SUMIFS(INDIRECT(ADDRESS(12,3+18*3+(6),,,"J1 A - (North) Bishopthorpe Roa")&amp;":"&amp;ADDRESS(130,3+18*3+(6))),'J1 A - (North) Bishopthorpe Roa'!$A$12:$A$130,"&gt;="&amp;Diagram!$O93,'J1 A - (North) Bishopthorpe Roa'!$A$12:$A$130,"&lt;"&amp;Diagram!$P93),SUMIFS(INDIRECT(ADDRESS(12,3+18*3+(14),,,"J1 A - (North) Bishopthorpe Roa")&amp;":"&amp;ADDRESS(130,3+18*3+(14))),'J1 A - (North) Bishopthorpe Roa'!$A$12:$A$130,"&gt;="&amp;Diagram!$O93,'J1 A - (North) Bishopthorpe Roa'!$A$12:$A$130,"&lt;"&amp;Diagram!$P93)))</f>
        <v>0</v>
      </c>
      <c r="DR93" s="42">
        <f ca="1">IF(OR($I$10="",$O93="",$P93="",$J$41&lt;&gt;"Yes"),0,IF($K$10=0,SUMIFS(INDIRECT(ADDRESS(12,3+18*0+(6),,,"J1 A - (North) Bishopthorpe Roa")&amp;":"&amp;ADDRESS(130,3+18*0+(6))),'J1 A - (North) Bishopthorpe Roa'!$A$12:$A$130,"&gt;="&amp;Diagram!$O93,'J1 A - (North) Bishopthorpe Roa'!$A$12:$A$130,"&lt;"&amp;Diagram!$P93),SUMIFS(INDIRECT(ADDRESS(12,3+18*0+(14),,,"J1 A - (North) Bishopthorpe Roa")&amp;":"&amp;ADDRESS(130,3+18*0+(14))),'J1 A - (North) Bishopthorpe Roa'!$A$12:$A$130,"&gt;="&amp;Diagram!$O93,'J1 A - (North) Bishopthorpe Roa'!$A$12:$A$130,"&lt;"&amp;Diagram!$P93)))</f>
        <v>0</v>
      </c>
      <c r="DS93" s="42">
        <f ca="1">IF(OR($I$10="",$O93="",$P93="",$J$41&lt;&gt;"Yes"),0,IF($K$10=0,SUMIFS(INDIRECT(ADDRESS(12,3+18*1+(6),,,"J1 A - (North) Bishopthorpe Roa")&amp;":"&amp;ADDRESS(130,3+18*1+(6))),'J1 A - (North) Bishopthorpe Roa'!$A$12:$A$130,"&gt;="&amp;Diagram!$O93,'J1 A - (North) Bishopthorpe Roa'!$A$12:$A$130,"&lt;"&amp;Diagram!$P93),SUMIFS(INDIRECT(ADDRESS(12,3+18*1+(14),,,"J1 A - (North) Bishopthorpe Roa")&amp;":"&amp;ADDRESS(130,3+18*1+(14))),'J1 A - (North) Bishopthorpe Roa'!$A$12:$A$130,"&gt;="&amp;Diagram!$O93,'J1 A - (North) Bishopthorpe Roa'!$A$12:$A$130,"&lt;"&amp;Diagram!$P93)))</f>
        <v>0</v>
      </c>
      <c r="DT93" s="42">
        <f ca="1">IF(OR($I$10="",$O93="",$P93="",$J$41&lt;&gt;"Yes"),0,IF($K$10=0,SUMIFS(INDIRECT(ADDRESS(12,3+18*2+(6),,,"J1 A - (North) Bishopthorpe Roa")&amp;":"&amp;ADDRESS(130,3+18*2+(6))),'J1 A - (North) Bishopthorpe Roa'!$A$12:$A$130,"&gt;="&amp;Diagram!$O93,'J1 A - (North) Bishopthorpe Roa'!$A$12:$A$130,"&lt;"&amp;Diagram!$P93),SUMIFS(INDIRECT(ADDRESS(12,3+18*2+(14),,,"J1 A - (North) Bishopthorpe Roa")&amp;":"&amp;ADDRESS(130,3+18*2+(14))),'J1 A - (North) Bishopthorpe Roa'!$A$12:$A$130,"&gt;="&amp;Diagram!$O93,'J1 A - (North) Bishopthorpe Roa'!$A$12:$A$130,"&lt;"&amp;Diagram!$P93)))</f>
        <v>0</v>
      </c>
      <c r="DU93" s="42">
        <f ca="1">IF(OR($I$10="",$O93="",$P93="",$J$41&lt;&gt;"Yes"),0,IF($K$10=0,SUMIFS(INDIRECT(ADDRESS(12,3+18*2+(6),,,"J1 B - Butcher Terrace")&amp;":"&amp;ADDRESS(130,3+18*2+(6))),'J1 B - Butcher Terrace'!$A$12:$A$130,"&gt;="&amp;Diagram!$O93,'J1 B - Butcher Terrace'!$A$12:$A$130,"&lt;"&amp;Diagram!$P93),SUMIFS(INDIRECT(ADDRESS(12,3+18*2+(14),,,"J1 B - Butcher Terrace")&amp;":"&amp;ADDRESS(130,3+18*2+(14))),'J1 B - Butcher Terrace'!$A$12:$A$130,"&gt;="&amp;Diagram!$O93,'J1 B - Butcher Terrace'!$A$12:$A$130,"&lt;"&amp;Diagram!$P93)))</f>
        <v>0</v>
      </c>
      <c r="DV93" s="42">
        <f ca="1">IF(OR($I$10="",$O93="",$P93="",$J$41&lt;&gt;"Yes"),0,IF($K$10=0,SUMIFS(INDIRECT(ADDRESS(12,3+18*3+(6),,,"J1 B - Butcher Terrace")&amp;":"&amp;ADDRESS(130,3+18*3+(6))),'J1 B - Butcher Terrace'!$A$12:$A$130,"&gt;="&amp;Diagram!$O93,'J1 B - Butcher Terrace'!$A$12:$A$130,"&lt;"&amp;Diagram!$P93),SUMIFS(INDIRECT(ADDRESS(12,3+18*3+(14),,,"J1 B - Butcher Terrace")&amp;":"&amp;ADDRESS(130,3+18*3+(14))),'J1 B - Butcher Terrace'!$A$12:$A$130,"&gt;="&amp;Diagram!$O93,'J1 B - Butcher Terrace'!$A$12:$A$130,"&lt;"&amp;Diagram!$P93)))</f>
        <v>0</v>
      </c>
      <c r="DW93" s="42">
        <f ca="1">IF(OR($I$10="",$O93="",$P93="",$J$41&lt;&gt;"Yes"),0,IF($K$10=0,SUMIFS(INDIRECT(ADDRESS(12,3+18*0+(6),,,"J1 B - Butcher Terrace")&amp;":"&amp;ADDRESS(130,3+18*0+(6))),'J1 B - Butcher Terrace'!$A$12:$A$130,"&gt;="&amp;Diagram!$O93,'J1 B - Butcher Terrace'!$A$12:$A$130,"&lt;"&amp;Diagram!$P93),SUMIFS(INDIRECT(ADDRESS(12,3+18*0+(14),,,"J1 B - Butcher Terrace")&amp;":"&amp;ADDRESS(130,3+18*0+(14))),'J1 B - Butcher Terrace'!$A$12:$A$130,"&gt;="&amp;Diagram!$O93,'J1 B - Butcher Terrace'!$A$12:$A$130,"&lt;"&amp;Diagram!$P93)))</f>
        <v>0</v>
      </c>
      <c r="DX93" s="42">
        <f ca="1">IF(OR($I$10="",$O93="",$P93="",$J$41&lt;&gt;"Yes"),0,IF($K$10=0,SUMIFS(INDIRECT(ADDRESS(12,3+18*1+(6),,,"J1 B - Butcher Terrace")&amp;":"&amp;ADDRESS(130,3+18*1+(6))),'J1 B - Butcher Terrace'!$A$12:$A$130,"&gt;="&amp;Diagram!$O93,'J1 B - Butcher Terrace'!$A$12:$A$130,"&lt;"&amp;Diagram!$P93),SUMIFS(INDIRECT(ADDRESS(12,3+18*1+(14),,,"J1 B - Butcher Terrace")&amp;":"&amp;ADDRESS(130,3+18*1+(14))),'J1 B - Butcher Terrace'!$A$12:$A$130,"&gt;="&amp;Diagram!$O93,'J1 B - Butcher Terrace'!$A$12:$A$130,"&lt;"&amp;Diagram!$P93)))</f>
        <v>0</v>
      </c>
      <c r="DY93" s="42">
        <f ca="1">IF(OR($I$10="",$O93="",$P93="",$J$41&lt;&gt;"Yes"),0,IF($K$10=0,SUMIFS(INDIRECT(ADDRESS(12,3+18*1+(6),,,"J1 C - (South) Bishopthorpe Roa")&amp;":"&amp;ADDRESS(130,3+18*1+(6))),'J1 C - (South) Bishopthorpe Roa'!$A$12:$A$130,"&gt;="&amp;Diagram!$O93,'J1 C - (South) Bishopthorpe Roa'!$A$12:$A$130,"&lt;"&amp;Diagram!$P93),SUMIFS(INDIRECT(ADDRESS(12,3+18*1+(14),,,"J1 C - (South) Bishopthorpe Roa")&amp;":"&amp;ADDRESS(130,3+18*1+(14))),'J1 C - (South) Bishopthorpe Roa'!$A$12:$A$130,"&gt;="&amp;Diagram!$O93,'J1 C - (South) Bishopthorpe Roa'!$A$12:$A$130,"&lt;"&amp;Diagram!$P93)))</f>
        <v>1</v>
      </c>
      <c r="DZ93" s="42">
        <f ca="1">IF(OR($I$10="",$O93="",$P93="",$J$41&lt;&gt;"Yes"),0,IF($K$10=0,SUMIFS(INDIRECT(ADDRESS(12,3+18*2+(6),,,"J1 C - (South) Bishopthorpe Roa")&amp;":"&amp;ADDRESS(130,3+18*2+(6))),'J1 C - (South) Bishopthorpe Roa'!$A$12:$A$130,"&gt;="&amp;Diagram!$O93,'J1 C - (South) Bishopthorpe Roa'!$A$12:$A$130,"&lt;"&amp;Diagram!$P93),SUMIFS(INDIRECT(ADDRESS(12,3+18*2+(14),,,"J1 C - (South) Bishopthorpe Roa")&amp;":"&amp;ADDRESS(130,3+18*2+(14))),'J1 C - (South) Bishopthorpe Roa'!$A$12:$A$130,"&gt;="&amp;Diagram!$O93,'J1 C - (South) Bishopthorpe Roa'!$A$12:$A$130,"&lt;"&amp;Diagram!$P93)))</f>
        <v>0</v>
      </c>
      <c r="EA93" s="42">
        <f ca="1">IF(OR($I$10="",$O93="",$P93="",$J$41&lt;&gt;"Yes"),0,IF($K$10=0,SUMIFS(INDIRECT(ADDRESS(12,3+18*3+(6),,,"J1 C - (South) Bishopthorpe Roa")&amp;":"&amp;ADDRESS(130,3+18*3+(6))),'J1 C - (South) Bishopthorpe Roa'!$A$12:$A$130,"&gt;="&amp;Diagram!$O93,'J1 C - (South) Bishopthorpe Roa'!$A$12:$A$130,"&lt;"&amp;Diagram!$P93),SUMIFS(INDIRECT(ADDRESS(12,3+18*3+(14),,,"J1 C - (South) Bishopthorpe Roa")&amp;":"&amp;ADDRESS(130,3+18*3+(14))),'J1 C - (South) Bishopthorpe Roa'!$A$12:$A$130,"&gt;="&amp;Diagram!$O93,'J1 C - (South) Bishopthorpe Roa'!$A$12:$A$130,"&lt;"&amp;Diagram!$P93)))</f>
        <v>0</v>
      </c>
      <c r="EB93" s="42">
        <f ca="1">IF(OR($I$10="",$O93="",$P93="",$J$41&lt;&gt;"Yes"),0,IF($K$10=0,SUMIFS(INDIRECT(ADDRESS(12,3+18*0+(6),,,"J1 C - (South) Bishopthorpe Roa")&amp;":"&amp;ADDRESS(130,3+18*0+(6))),'J1 C - (South) Bishopthorpe Roa'!$A$12:$A$130,"&gt;="&amp;Diagram!$O93,'J1 C - (South) Bishopthorpe Roa'!$A$12:$A$130,"&lt;"&amp;Diagram!$P93),SUMIFS(INDIRECT(ADDRESS(12,3+18*0+(14),,,"J1 C - (South) Bishopthorpe Roa")&amp;":"&amp;ADDRESS(130,3+18*0+(14))),'J1 C - (South) Bishopthorpe Roa'!$A$12:$A$130,"&gt;="&amp;Diagram!$O93,'J1 C - (South) Bishopthorpe Roa'!$A$12:$A$130,"&lt;"&amp;Diagram!$P93)))</f>
        <v>0</v>
      </c>
      <c r="EC93" s="42">
        <f ca="1">IF(OR($I$10="",$O93="",$P93="",$J$41&lt;&gt;"Yes"),0,IF($K$10=0,SUMIFS(INDIRECT(ADDRESS(12,3+18*0+(6),,,"J1 D - South Bank Avenue")&amp;":"&amp;ADDRESS(130,3+18*0+(6))),'J1 D - South Bank Avenue'!$A$12:$A$130,"&gt;="&amp;Diagram!$O93,'J1 D - South Bank Avenue'!$A$12:$A$130,"&lt;"&amp;Diagram!$P93),SUMIFS(INDIRECT(ADDRESS(12,3+18*0+(14),,,"J1 D - South Bank Avenue")&amp;":"&amp;ADDRESS(130,3+18*0+(14))),'J1 D - South Bank Avenue'!$A$12:$A$130,"&gt;="&amp;Diagram!$O93,'J1 D - South Bank Avenue'!$A$12:$A$130,"&lt;"&amp;Diagram!$P93)))</f>
        <v>0</v>
      </c>
      <c r="ED93" s="42">
        <f ca="1">IF(OR($I$10="",$O93="",$P93="",$J$41&lt;&gt;"Yes"),0,IF($K$10=0,SUMIFS(INDIRECT(ADDRESS(12,3+18*1+(6),,,"J1 D - South Bank Avenue")&amp;":"&amp;ADDRESS(130,3+18*1+(6))),'J1 D - South Bank Avenue'!$A$12:$A$130,"&gt;="&amp;Diagram!$O93,'J1 D - South Bank Avenue'!$A$12:$A$130,"&lt;"&amp;Diagram!$P93),SUMIFS(INDIRECT(ADDRESS(12,3+18*1+(14),,,"J1 D - South Bank Avenue")&amp;":"&amp;ADDRESS(130,3+18*1+(14))),'J1 D - South Bank Avenue'!$A$12:$A$130,"&gt;="&amp;Diagram!$O93,'J1 D - South Bank Avenue'!$A$12:$A$130,"&lt;"&amp;Diagram!$P93)))</f>
        <v>0</v>
      </c>
      <c r="EE93" s="42">
        <f ca="1">IF(OR($I$10="",$O93="",$P93="",$J$41&lt;&gt;"Yes"),0,IF($K$10=0,SUMIFS(INDIRECT(ADDRESS(12,3+18*2+(6),,,"J1 D - South Bank Avenue")&amp;":"&amp;ADDRESS(130,3+18*2+(6))),'J1 D - South Bank Avenue'!$A$12:$A$130,"&gt;="&amp;Diagram!$O93,'J1 D - South Bank Avenue'!$A$12:$A$130,"&lt;"&amp;Diagram!$P93),SUMIFS(INDIRECT(ADDRESS(12,3+18*2+(14),,,"J1 D - South Bank Avenue")&amp;":"&amp;ADDRESS(130,3+18*2+(14))),'J1 D - South Bank Avenue'!$A$12:$A$130,"&gt;="&amp;Diagram!$O93,'J1 D - South Bank Avenue'!$A$12:$A$130,"&lt;"&amp;Diagram!$P93)))</f>
        <v>0</v>
      </c>
      <c r="EF93" s="42">
        <f ca="1">IF(OR($I$10="",$O93="",$P93="",$J$41&lt;&gt;"Yes"),0,IF($K$10=0,SUMIFS(INDIRECT(ADDRESS(12,3+18*3+(6),,,"J1 D - South Bank Avenue")&amp;":"&amp;ADDRESS(130,3+18*3+(6))),'J1 D - South Bank Avenue'!$A$12:$A$130,"&gt;="&amp;Diagram!$O93,'J1 D - South Bank Avenue'!$A$12:$A$130,"&lt;"&amp;Diagram!$P93),SUMIFS(INDIRECT(ADDRESS(12,3+18*3+(14),,,"J1 D - South Bank Avenue")&amp;":"&amp;ADDRESS(130,3+18*3+(14))),'J1 D - South Bank Avenue'!$A$12:$A$130,"&gt;="&amp;Diagram!$O93,'J1 D - South Bank Avenue'!$A$12:$A$130,"&lt;"&amp;Diagram!$P93)))</f>
        <v>0</v>
      </c>
      <c r="EG93" s="42">
        <f t="shared" ca="1" si="18"/>
        <v>0</v>
      </c>
      <c r="EH93" s="42">
        <f ca="1">IF(OR($I$10="",$O93="",$P93="",$J$42&lt;&gt;"Yes"),0,IF($K$10=0,SUMIFS(INDIRECT(ADDRESS(12,3+18*3+(7),,,"J1 A - (North) Bishopthorpe Roa")&amp;":"&amp;ADDRESS(130,3+18*3+(7))),'J1 A - (North) Bishopthorpe Roa'!$A$12:$A$130,"&gt;="&amp;Diagram!$O93,'J1 A - (North) Bishopthorpe Roa'!$A$12:$A$130,"&lt;"&amp;Diagram!$P93),SUMIFS(INDIRECT(ADDRESS(12,3+18*3+(15),,,"J1 A - (North) Bishopthorpe Roa")&amp;":"&amp;ADDRESS(130,3+18*3+(15))),'J1 A - (North) Bishopthorpe Roa'!$A$12:$A$130,"&gt;="&amp;Diagram!$O93,'J1 A - (North) Bishopthorpe Roa'!$A$12:$A$130,"&lt;"&amp;Diagram!$P93)))</f>
        <v>0</v>
      </c>
      <c r="EI93" s="42">
        <f ca="1">IF(OR($I$10="",$O93="",$P93="",$J$42&lt;&gt;"Yes"),0,IF($K$10=0,SUMIFS(INDIRECT(ADDRESS(12,3+18*0+(7),,,"J1 A - (North) Bishopthorpe Roa")&amp;":"&amp;ADDRESS(130,3+18*0+(7))),'J1 A - (North) Bishopthorpe Roa'!$A$12:$A$130,"&gt;="&amp;Diagram!$O93,'J1 A - (North) Bishopthorpe Roa'!$A$12:$A$130,"&lt;"&amp;Diagram!$P93),SUMIFS(INDIRECT(ADDRESS(12,3+18*0+(15),,,"J1 A - (North) Bishopthorpe Roa")&amp;":"&amp;ADDRESS(130,3+18*0+(15))),'J1 A - (North) Bishopthorpe Roa'!$A$12:$A$130,"&gt;="&amp;Diagram!$O93,'J1 A - (North) Bishopthorpe Roa'!$A$12:$A$130,"&lt;"&amp;Diagram!$P93)))</f>
        <v>0</v>
      </c>
      <c r="EJ93" s="42">
        <f ca="1">IF(OR($I$10="",$O93="",$P93="",$J$42&lt;&gt;"Yes"),0,IF($K$10=0,SUMIFS(INDIRECT(ADDRESS(12,3+18*1+(7),,,"J1 A - (North) Bishopthorpe Roa")&amp;":"&amp;ADDRESS(130,3+18*1+(7))),'J1 A - (North) Bishopthorpe Roa'!$A$12:$A$130,"&gt;="&amp;Diagram!$O93,'J1 A - (North) Bishopthorpe Roa'!$A$12:$A$130,"&lt;"&amp;Diagram!$P93),SUMIFS(INDIRECT(ADDRESS(12,3+18*1+(15),,,"J1 A - (North) Bishopthorpe Roa")&amp;":"&amp;ADDRESS(130,3+18*1+(15))),'J1 A - (North) Bishopthorpe Roa'!$A$12:$A$130,"&gt;="&amp;Diagram!$O93,'J1 A - (North) Bishopthorpe Roa'!$A$12:$A$130,"&lt;"&amp;Diagram!$P93)))</f>
        <v>0</v>
      </c>
      <c r="EK93" s="42">
        <f ca="1">IF(OR($I$10="",$O93="",$P93="",$J$42&lt;&gt;"Yes"),0,IF($K$10=0,SUMIFS(INDIRECT(ADDRESS(12,3+18*2+(7),,,"J1 A - (North) Bishopthorpe Roa")&amp;":"&amp;ADDRESS(130,3+18*2+(7))),'J1 A - (North) Bishopthorpe Roa'!$A$12:$A$130,"&gt;="&amp;Diagram!$O93,'J1 A - (North) Bishopthorpe Roa'!$A$12:$A$130,"&lt;"&amp;Diagram!$P93),SUMIFS(INDIRECT(ADDRESS(12,3+18*2+(15),,,"J1 A - (North) Bishopthorpe Roa")&amp;":"&amp;ADDRESS(130,3+18*2+(15))),'J1 A - (North) Bishopthorpe Roa'!$A$12:$A$130,"&gt;="&amp;Diagram!$O93,'J1 A - (North) Bishopthorpe Roa'!$A$12:$A$130,"&lt;"&amp;Diagram!$P93)))</f>
        <v>0</v>
      </c>
      <c r="EL93" s="42">
        <f ca="1">IF(OR($I$10="",$O93="",$P93="",$J$42&lt;&gt;"Yes"),0,IF($K$10=0,SUMIFS(INDIRECT(ADDRESS(12,3+18*2+(7),,,"J1 B - Butcher Terrace")&amp;":"&amp;ADDRESS(130,3+18*2+(7))),'J1 B - Butcher Terrace'!$A$12:$A$130,"&gt;="&amp;Diagram!$O93,'J1 B - Butcher Terrace'!$A$12:$A$130,"&lt;"&amp;Diagram!$P93),SUMIFS(INDIRECT(ADDRESS(12,3+18*2+(15),,,"J1 B - Butcher Terrace")&amp;":"&amp;ADDRESS(130,3+18*2+(15))),'J1 B - Butcher Terrace'!$A$12:$A$130,"&gt;="&amp;Diagram!$O93,'J1 B - Butcher Terrace'!$A$12:$A$130,"&lt;"&amp;Diagram!$P93)))</f>
        <v>0</v>
      </c>
      <c r="EM93" s="42">
        <f ca="1">IF(OR($I$10="",$O93="",$P93="",$J$42&lt;&gt;"Yes"),0,IF($K$10=0,SUMIFS(INDIRECT(ADDRESS(12,3+18*3+(7),,,"J1 B - Butcher Terrace")&amp;":"&amp;ADDRESS(130,3+18*3+(7))),'J1 B - Butcher Terrace'!$A$12:$A$130,"&gt;="&amp;Diagram!$O93,'J1 B - Butcher Terrace'!$A$12:$A$130,"&lt;"&amp;Diagram!$P93),SUMIFS(INDIRECT(ADDRESS(12,3+18*3+(15),,,"J1 B - Butcher Terrace")&amp;":"&amp;ADDRESS(130,3+18*3+(15))),'J1 B - Butcher Terrace'!$A$12:$A$130,"&gt;="&amp;Diagram!$O93,'J1 B - Butcher Terrace'!$A$12:$A$130,"&lt;"&amp;Diagram!$P93)))</f>
        <v>0</v>
      </c>
      <c r="EN93" s="42">
        <f ca="1">IF(OR($I$10="",$O93="",$P93="",$J$42&lt;&gt;"Yes"),0,IF($K$10=0,SUMIFS(INDIRECT(ADDRESS(12,3+18*0+(7),,,"J1 B - Butcher Terrace")&amp;":"&amp;ADDRESS(130,3+18*0+(7))),'J1 B - Butcher Terrace'!$A$12:$A$130,"&gt;="&amp;Diagram!$O93,'J1 B - Butcher Terrace'!$A$12:$A$130,"&lt;"&amp;Diagram!$P93),SUMIFS(INDIRECT(ADDRESS(12,3+18*0+(15),,,"J1 B - Butcher Terrace")&amp;":"&amp;ADDRESS(130,3+18*0+(15))),'J1 B - Butcher Terrace'!$A$12:$A$130,"&gt;="&amp;Diagram!$O93,'J1 B - Butcher Terrace'!$A$12:$A$130,"&lt;"&amp;Diagram!$P93)))</f>
        <v>0</v>
      </c>
      <c r="EO93" s="42">
        <f ca="1">IF(OR($I$10="",$O93="",$P93="",$J$42&lt;&gt;"Yes"),0,IF($K$10=0,SUMIFS(INDIRECT(ADDRESS(12,3+18*1+(7),,,"J1 B - Butcher Terrace")&amp;":"&amp;ADDRESS(130,3+18*1+(7))),'J1 B - Butcher Terrace'!$A$12:$A$130,"&gt;="&amp;Diagram!$O93,'J1 B - Butcher Terrace'!$A$12:$A$130,"&lt;"&amp;Diagram!$P93),SUMIFS(INDIRECT(ADDRESS(12,3+18*1+(15),,,"J1 B - Butcher Terrace")&amp;":"&amp;ADDRESS(130,3+18*1+(15))),'J1 B - Butcher Terrace'!$A$12:$A$130,"&gt;="&amp;Diagram!$O93,'J1 B - Butcher Terrace'!$A$12:$A$130,"&lt;"&amp;Diagram!$P93)))</f>
        <v>0</v>
      </c>
      <c r="EP93" s="42">
        <f ca="1">IF(OR($I$10="",$O93="",$P93="",$J$42&lt;&gt;"Yes"),0,IF($K$10=0,SUMIFS(INDIRECT(ADDRESS(12,3+18*1+(7),,,"J1 C - (South) Bishopthorpe Roa")&amp;":"&amp;ADDRESS(130,3+18*1+(7))),'J1 C - (South) Bishopthorpe Roa'!$A$12:$A$130,"&gt;="&amp;Diagram!$O93,'J1 C - (South) Bishopthorpe Roa'!$A$12:$A$130,"&lt;"&amp;Diagram!$P93),SUMIFS(INDIRECT(ADDRESS(12,3+18*1+(15),,,"J1 C - (South) Bishopthorpe Roa")&amp;":"&amp;ADDRESS(130,3+18*1+(15))),'J1 C - (South) Bishopthorpe Roa'!$A$12:$A$130,"&gt;="&amp;Diagram!$O93,'J1 C - (South) Bishopthorpe Roa'!$A$12:$A$130,"&lt;"&amp;Diagram!$P93)))</f>
        <v>0</v>
      </c>
      <c r="EQ93" s="42">
        <f ca="1">IF(OR($I$10="",$O93="",$P93="",$J$42&lt;&gt;"Yes"),0,IF($K$10=0,SUMIFS(INDIRECT(ADDRESS(12,3+18*2+(7),,,"J1 C - (South) Bishopthorpe Roa")&amp;":"&amp;ADDRESS(130,3+18*2+(7))),'J1 C - (South) Bishopthorpe Roa'!$A$12:$A$130,"&gt;="&amp;Diagram!$O93,'J1 C - (South) Bishopthorpe Roa'!$A$12:$A$130,"&lt;"&amp;Diagram!$P93),SUMIFS(INDIRECT(ADDRESS(12,3+18*2+(15),,,"J1 C - (South) Bishopthorpe Roa")&amp;":"&amp;ADDRESS(130,3+18*2+(15))),'J1 C - (South) Bishopthorpe Roa'!$A$12:$A$130,"&gt;="&amp;Diagram!$O93,'J1 C - (South) Bishopthorpe Roa'!$A$12:$A$130,"&lt;"&amp;Diagram!$P93)))</f>
        <v>0</v>
      </c>
      <c r="ER93" s="42">
        <f ca="1">IF(OR($I$10="",$O93="",$P93="",$J$42&lt;&gt;"Yes"),0,IF($K$10=0,SUMIFS(INDIRECT(ADDRESS(12,3+18*3+(7),,,"J1 C - (South) Bishopthorpe Roa")&amp;":"&amp;ADDRESS(130,3+18*3+(7))),'J1 C - (South) Bishopthorpe Roa'!$A$12:$A$130,"&gt;="&amp;Diagram!$O93,'J1 C - (South) Bishopthorpe Roa'!$A$12:$A$130,"&lt;"&amp;Diagram!$P93),SUMIFS(INDIRECT(ADDRESS(12,3+18*3+(15),,,"J1 C - (South) Bishopthorpe Roa")&amp;":"&amp;ADDRESS(130,3+18*3+(15))),'J1 C - (South) Bishopthorpe Roa'!$A$12:$A$130,"&gt;="&amp;Diagram!$O93,'J1 C - (South) Bishopthorpe Roa'!$A$12:$A$130,"&lt;"&amp;Diagram!$P93)))</f>
        <v>0</v>
      </c>
      <c r="ES93" s="42">
        <f ca="1">IF(OR($I$10="",$O93="",$P93="",$J$42&lt;&gt;"Yes"),0,IF($K$10=0,SUMIFS(INDIRECT(ADDRESS(12,3+18*0+(7),,,"J1 C - (South) Bishopthorpe Roa")&amp;":"&amp;ADDRESS(130,3+18*0+(7))),'J1 C - (South) Bishopthorpe Roa'!$A$12:$A$130,"&gt;="&amp;Diagram!$O93,'J1 C - (South) Bishopthorpe Roa'!$A$12:$A$130,"&lt;"&amp;Diagram!$P93),SUMIFS(INDIRECT(ADDRESS(12,3+18*0+(15),,,"J1 C - (South) Bishopthorpe Roa")&amp;":"&amp;ADDRESS(130,3+18*0+(15))),'J1 C - (South) Bishopthorpe Roa'!$A$12:$A$130,"&gt;="&amp;Diagram!$O93,'J1 C - (South) Bishopthorpe Roa'!$A$12:$A$130,"&lt;"&amp;Diagram!$P93)))</f>
        <v>0</v>
      </c>
      <c r="ET93" s="42">
        <f ca="1">IF(OR($I$10="",$O93="",$P93="",$J$42&lt;&gt;"Yes"),0,IF($K$10=0,SUMIFS(INDIRECT(ADDRESS(12,3+18*0+(7),,,"J1 D - South Bank Avenue")&amp;":"&amp;ADDRESS(130,3+18*0+(7))),'J1 D - South Bank Avenue'!$A$12:$A$130,"&gt;="&amp;Diagram!$O93,'J1 D - South Bank Avenue'!$A$12:$A$130,"&lt;"&amp;Diagram!$P93),SUMIFS(INDIRECT(ADDRESS(12,3+18*0+(15),,,"J1 D - South Bank Avenue")&amp;":"&amp;ADDRESS(130,3+18*0+(15))),'J1 D - South Bank Avenue'!$A$12:$A$130,"&gt;="&amp;Diagram!$O93,'J1 D - South Bank Avenue'!$A$12:$A$130,"&lt;"&amp;Diagram!$P93)))</f>
        <v>0</v>
      </c>
      <c r="EU93" s="42">
        <f ca="1">IF(OR($I$10="",$O93="",$P93="",$J$42&lt;&gt;"Yes"),0,IF($K$10=0,SUMIFS(INDIRECT(ADDRESS(12,3+18*1+(7),,,"J1 D - South Bank Avenue")&amp;":"&amp;ADDRESS(130,3+18*1+(7))),'J1 D - South Bank Avenue'!$A$12:$A$130,"&gt;="&amp;Diagram!$O93,'J1 D - South Bank Avenue'!$A$12:$A$130,"&lt;"&amp;Diagram!$P93),SUMIFS(INDIRECT(ADDRESS(12,3+18*1+(15),,,"J1 D - South Bank Avenue")&amp;":"&amp;ADDRESS(130,3+18*1+(15))),'J1 D - South Bank Avenue'!$A$12:$A$130,"&gt;="&amp;Diagram!$O93,'J1 D - South Bank Avenue'!$A$12:$A$130,"&lt;"&amp;Diagram!$P93)))</f>
        <v>0</v>
      </c>
      <c r="EV93" s="42">
        <f ca="1">IF(OR($I$10="",$O93="",$P93="",$J$42&lt;&gt;"Yes"),0,IF($K$10=0,SUMIFS(INDIRECT(ADDRESS(12,3+18*2+(7),,,"J1 D - South Bank Avenue")&amp;":"&amp;ADDRESS(130,3+18*2+(7))),'J1 D - South Bank Avenue'!$A$12:$A$130,"&gt;="&amp;Diagram!$O93,'J1 D - South Bank Avenue'!$A$12:$A$130,"&lt;"&amp;Diagram!$P93),SUMIFS(INDIRECT(ADDRESS(12,3+18*2+(15),,,"J1 D - South Bank Avenue")&amp;":"&amp;ADDRESS(130,3+18*2+(15))),'J1 D - South Bank Avenue'!$A$12:$A$130,"&gt;="&amp;Diagram!$O93,'J1 D - South Bank Avenue'!$A$12:$A$130,"&lt;"&amp;Diagram!$P93)))</f>
        <v>0</v>
      </c>
      <c r="EW93" s="42">
        <f ca="1">IF(OR($I$10="",$O93="",$P93="",$J$42&lt;&gt;"Yes"),0,IF($K$10=0,SUMIFS(INDIRECT(ADDRESS(12,3+18*3+(7),,,"J1 D - South Bank Avenue")&amp;":"&amp;ADDRESS(130,3+18*3+(7))),'J1 D - South Bank Avenue'!$A$12:$A$130,"&gt;="&amp;Diagram!$O93,'J1 D - South Bank Avenue'!$A$12:$A$130,"&lt;"&amp;Diagram!$P93),SUMIFS(INDIRECT(ADDRESS(12,3+18*3+(15),,,"J1 D - South Bank Avenue")&amp;":"&amp;ADDRESS(130,3+18*3+(15))),'J1 D - South Bank Avenue'!$A$12:$A$130,"&gt;="&amp;Diagram!$O93,'J1 D - South Bank Avenue'!$A$12:$A$130,"&lt;"&amp;Diagram!$P93)))</f>
        <v>0</v>
      </c>
    </row>
    <row r="94" spans="1:153">
      <c r="A94" s="1">
        <v>44395.96875</v>
      </c>
      <c r="B94" s="1">
        <v>44395.979166666701</v>
      </c>
      <c r="O94" s="3">
        <v>44395.96875</v>
      </c>
      <c r="P94" s="3">
        <v>44396.010416666701</v>
      </c>
      <c r="Q94" s="42">
        <f t="shared" ca="1" si="10"/>
        <v>126</v>
      </c>
      <c r="R94" s="42">
        <f t="shared" ca="1" si="11"/>
        <v>98</v>
      </c>
      <c r="S94" s="42">
        <f ca="1">IF(OR($I$10="",$O94="",$P94="",$J$35&lt;&gt;"Yes"),0,IF($K$10=0,SUMIFS(INDIRECT(ADDRESS(12,3+18*3+(0),,,"J1 A - (North) Bishopthorpe Roa")&amp;":"&amp;ADDRESS(130,3+18*3+(0))),'J1 A - (North) Bishopthorpe Roa'!$A$12:$A$130,"&gt;="&amp;Diagram!$O94,'J1 A - (North) Bishopthorpe Roa'!$A$12:$A$130,"&lt;"&amp;Diagram!$P94),SUMIFS(INDIRECT(ADDRESS(12,3+18*3+(8),,,"J1 A - (North) Bishopthorpe Roa")&amp;":"&amp;ADDRESS(130,3+18*3+(8))),'J1 A - (North) Bishopthorpe Roa'!$A$12:$A$130,"&gt;="&amp;Diagram!$O94,'J1 A - (North) Bishopthorpe Roa'!$A$12:$A$130,"&lt;"&amp;Diagram!$P94)))</f>
        <v>0</v>
      </c>
      <c r="T94" s="42">
        <f ca="1">IF(OR($I$10="",$O94="",$P94="",$J$35&lt;&gt;"Yes"),0,IF($K$10=0,SUMIFS(INDIRECT(ADDRESS(12,3+18*0+(0),,,"J1 A - (North) Bishopthorpe Roa")&amp;":"&amp;ADDRESS(130,3+18*0+(0))),'J1 A - (North) Bishopthorpe Roa'!$A$12:$A$130,"&gt;="&amp;Diagram!$O94,'J1 A - (North) Bishopthorpe Roa'!$A$12:$A$130,"&lt;"&amp;Diagram!$P94),SUMIFS(INDIRECT(ADDRESS(12,3+18*0+(8),,,"J1 A - (North) Bishopthorpe Roa")&amp;":"&amp;ADDRESS(130,3+18*0+(8))),'J1 A - (North) Bishopthorpe Roa'!$A$12:$A$130,"&gt;="&amp;Diagram!$O94,'J1 A - (North) Bishopthorpe Roa'!$A$12:$A$130,"&lt;"&amp;Diagram!$P94)))</f>
        <v>7</v>
      </c>
      <c r="U94" s="42">
        <f ca="1">IF(OR($I$10="",$O94="",$P94="",$J$35&lt;&gt;"Yes"),0,IF($K$10=0,SUMIFS(INDIRECT(ADDRESS(12,3+18*1+(0),,,"J1 A - (North) Bishopthorpe Roa")&amp;":"&amp;ADDRESS(130,3+18*1+(0))),'J1 A - (North) Bishopthorpe Roa'!$A$12:$A$130,"&gt;="&amp;Diagram!$O94,'J1 A - (North) Bishopthorpe Roa'!$A$12:$A$130,"&lt;"&amp;Diagram!$P94),SUMIFS(INDIRECT(ADDRESS(12,3+18*1+(8),,,"J1 A - (North) Bishopthorpe Roa")&amp;":"&amp;ADDRESS(130,3+18*1+(8))),'J1 A - (North) Bishopthorpe Roa'!$A$12:$A$130,"&gt;="&amp;Diagram!$O94,'J1 A - (North) Bishopthorpe Roa'!$A$12:$A$130,"&lt;"&amp;Diagram!$P94)))</f>
        <v>41</v>
      </c>
      <c r="V94" s="42">
        <f ca="1">IF(OR($I$10="",$O94="",$P94="",$J$35&lt;&gt;"Yes"),0,IF($K$10=0,SUMIFS(INDIRECT(ADDRESS(12,3+18*2+(0),,,"J1 A - (North) Bishopthorpe Roa")&amp;":"&amp;ADDRESS(130,3+18*2+(0))),'J1 A - (North) Bishopthorpe Roa'!$A$12:$A$130,"&gt;="&amp;Diagram!$O94,'J1 A - (North) Bishopthorpe Roa'!$A$12:$A$130,"&lt;"&amp;Diagram!$P94),SUMIFS(INDIRECT(ADDRESS(12,3+18*2+(8),,,"J1 A - (North) Bishopthorpe Roa")&amp;":"&amp;ADDRESS(130,3+18*2+(8))),'J1 A - (North) Bishopthorpe Roa'!$A$12:$A$130,"&gt;="&amp;Diagram!$O94,'J1 A - (North) Bishopthorpe Roa'!$A$12:$A$130,"&lt;"&amp;Diagram!$P94)))</f>
        <v>6</v>
      </c>
      <c r="W94" s="42">
        <f ca="1">IF(OR($I$10="",$O94="",$P94="",$J$35&lt;&gt;"Yes"),0,IF($K$10=0,SUMIFS(INDIRECT(ADDRESS(12,3+18*2+(0),,,"J1 B - Butcher Terrace")&amp;":"&amp;ADDRESS(130,3+18*2+(0))),'J1 B - Butcher Terrace'!$A$12:$A$130,"&gt;="&amp;Diagram!$O94,'J1 B - Butcher Terrace'!$A$12:$A$130,"&lt;"&amp;Diagram!$P94),SUMIFS(INDIRECT(ADDRESS(12,3+18*2+(8),,,"J1 B - Butcher Terrace")&amp;":"&amp;ADDRESS(130,3+18*2+(8))),'J1 B - Butcher Terrace'!$A$12:$A$130,"&gt;="&amp;Diagram!$O94,'J1 B - Butcher Terrace'!$A$12:$A$130,"&lt;"&amp;Diagram!$P94)))</f>
        <v>7</v>
      </c>
      <c r="X94" s="42">
        <f ca="1">IF(OR($I$10="",$O94="",$P94="",$J$35&lt;&gt;"Yes"),0,IF($K$10=0,SUMIFS(INDIRECT(ADDRESS(12,3+18*3+(0),,,"J1 B - Butcher Terrace")&amp;":"&amp;ADDRESS(130,3+18*3+(0))),'J1 B - Butcher Terrace'!$A$12:$A$130,"&gt;="&amp;Diagram!$O94,'J1 B - Butcher Terrace'!$A$12:$A$130,"&lt;"&amp;Diagram!$P94),SUMIFS(INDIRECT(ADDRESS(12,3+18*3+(8),,,"J1 B - Butcher Terrace")&amp;":"&amp;ADDRESS(130,3+18*3+(8))),'J1 B - Butcher Terrace'!$A$12:$A$130,"&gt;="&amp;Diagram!$O94,'J1 B - Butcher Terrace'!$A$12:$A$130,"&lt;"&amp;Diagram!$P94)))</f>
        <v>0</v>
      </c>
      <c r="Y94" s="42">
        <f ca="1">IF(OR($I$10="",$O94="",$P94="",$J$35&lt;&gt;"Yes"),0,IF($K$10=0,SUMIFS(INDIRECT(ADDRESS(12,3+18*0+(0),,,"J1 B - Butcher Terrace")&amp;":"&amp;ADDRESS(130,3+18*0+(0))),'J1 B - Butcher Terrace'!$A$12:$A$130,"&gt;="&amp;Diagram!$O94,'J1 B - Butcher Terrace'!$A$12:$A$130,"&lt;"&amp;Diagram!$P94),SUMIFS(INDIRECT(ADDRESS(12,3+18*0+(8),,,"J1 B - Butcher Terrace")&amp;":"&amp;ADDRESS(130,3+18*0+(8))),'J1 B - Butcher Terrace'!$A$12:$A$130,"&gt;="&amp;Diagram!$O94,'J1 B - Butcher Terrace'!$A$12:$A$130,"&lt;"&amp;Diagram!$P94)))</f>
        <v>1</v>
      </c>
      <c r="Z94" s="42">
        <f ca="1">IF(OR($I$10="",$O94="",$P94="",$J$35&lt;&gt;"Yes"),0,IF($K$10=0,SUMIFS(INDIRECT(ADDRESS(12,3+18*1+(0),,,"J1 B - Butcher Terrace")&amp;":"&amp;ADDRESS(130,3+18*1+(0))),'J1 B - Butcher Terrace'!$A$12:$A$130,"&gt;="&amp;Diagram!$O94,'J1 B - Butcher Terrace'!$A$12:$A$130,"&lt;"&amp;Diagram!$P94),SUMIFS(INDIRECT(ADDRESS(12,3+18*1+(8),,,"J1 B - Butcher Terrace")&amp;":"&amp;ADDRESS(130,3+18*1+(8))),'J1 B - Butcher Terrace'!$A$12:$A$130,"&gt;="&amp;Diagram!$O94,'J1 B - Butcher Terrace'!$A$12:$A$130,"&lt;"&amp;Diagram!$P94)))</f>
        <v>0</v>
      </c>
      <c r="AA94" s="42">
        <f ca="1">IF(OR($I$10="",$O94="",$P94="",$J$35&lt;&gt;"Yes"),0,IF($K$10=0,SUMIFS(INDIRECT(ADDRESS(12,3+18*1+(0),,,"J1 C - (South) Bishopthorpe Roa")&amp;":"&amp;ADDRESS(130,3+18*1+(0))),'J1 C - (South) Bishopthorpe Roa'!$A$12:$A$130,"&gt;="&amp;Diagram!$O94,'J1 C - (South) Bishopthorpe Roa'!$A$12:$A$130,"&lt;"&amp;Diagram!$P94),SUMIFS(INDIRECT(ADDRESS(12,3+18*1+(8),,,"J1 C - (South) Bishopthorpe Roa")&amp;":"&amp;ADDRESS(130,3+18*1+(8))),'J1 C - (South) Bishopthorpe Roa'!$A$12:$A$130,"&gt;="&amp;Diagram!$O94,'J1 C - (South) Bishopthorpe Roa'!$A$12:$A$130,"&lt;"&amp;Diagram!$P94)))</f>
        <v>30</v>
      </c>
      <c r="AB94" s="42">
        <f ca="1">IF(OR($I$10="",$O94="",$P94="",$J$35&lt;&gt;"Yes"),0,IF($K$10=0,SUMIFS(INDIRECT(ADDRESS(12,3+18*2+(0),,,"J1 C - (South) Bishopthorpe Roa")&amp;":"&amp;ADDRESS(130,3+18*2+(0))),'J1 C - (South) Bishopthorpe Roa'!$A$12:$A$130,"&gt;="&amp;Diagram!$O94,'J1 C - (South) Bishopthorpe Roa'!$A$12:$A$130,"&lt;"&amp;Diagram!$P94),SUMIFS(INDIRECT(ADDRESS(12,3+18*2+(8),,,"J1 C - (South) Bishopthorpe Roa")&amp;":"&amp;ADDRESS(130,3+18*2+(8))),'J1 C - (South) Bishopthorpe Roa'!$A$12:$A$130,"&gt;="&amp;Diagram!$O94,'J1 C - (South) Bishopthorpe Roa'!$A$12:$A$130,"&lt;"&amp;Diagram!$P94)))</f>
        <v>1</v>
      </c>
      <c r="AC94" s="42">
        <f ca="1">IF(OR($I$10="",$O94="",$P94="",$J$35&lt;&gt;"Yes"),0,IF($K$10=0,SUMIFS(INDIRECT(ADDRESS(12,3+18*3+(0),,,"J1 C - (South) Bishopthorpe Roa")&amp;":"&amp;ADDRESS(130,3+18*3+(0))),'J1 C - (South) Bishopthorpe Roa'!$A$12:$A$130,"&gt;="&amp;Diagram!$O94,'J1 C - (South) Bishopthorpe Roa'!$A$12:$A$130,"&lt;"&amp;Diagram!$P94),SUMIFS(INDIRECT(ADDRESS(12,3+18*3+(8),,,"J1 C - (South) Bishopthorpe Roa")&amp;":"&amp;ADDRESS(130,3+18*3+(8))),'J1 C - (South) Bishopthorpe Roa'!$A$12:$A$130,"&gt;="&amp;Diagram!$O94,'J1 C - (South) Bishopthorpe Roa'!$A$12:$A$130,"&lt;"&amp;Diagram!$P94)))</f>
        <v>0</v>
      </c>
      <c r="AD94" s="42">
        <f ca="1">IF(OR($I$10="",$O94="",$P94="",$J$35&lt;&gt;"Yes"),0,IF($K$10=0,SUMIFS(INDIRECT(ADDRESS(12,3+18*0+(0),,,"J1 C - (South) Bishopthorpe Roa")&amp;":"&amp;ADDRESS(130,3+18*0+(0))),'J1 C - (South) Bishopthorpe Roa'!$A$12:$A$130,"&gt;="&amp;Diagram!$O94,'J1 C - (South) Bishopthorpe Roa'!$A$12:$A$130,"&lt;"&amp;Diagram!$P94),SUMIFS(INDIRECT(ADDRESS(12,3+18*0+(8),,,"J1 C - (South) Bishopthorpe Roa")&amp;":"&amp;ADDRESS(130,3+18*0+(8))),'J1 C - (South) Bishopthorpe Roa'!$A$12:$A$130,"&gt;="&amp;Diagram!$O94,'J1 C - (South) Bishopthorpe Roa'!$A$12:$A$130,"&lt;"&amp;Diagram!$P94)))</f>
        <v>0</v>
      </c>
      <c r="AE94" s="42">
        <f ca="1">IF(OR($I$10="",$O94="",$P94="",$J$35&lt;&gt;"Yes"),0,IF($K$10=0,SUMIFS(INDIRECT(ADDRESS(12,3+18*0+(0),,,"J1 D - South Bank Avenue")&amp;":"&amp;ADDRESS(130,3+18*0+(0))),'J1 D - South Bank Avenue'!$A$12:$A$130,"&gt;="&amp;Diagram!$O94,'J1 D - South Bank Avenue'!$A$12:$A$130,"&lt;"&amp;Diagram!$P94),SUMIFS(INDIRECT(ADDRESS(12,3+18*0+(8),,,"J1 D - South Bank Avenue")&amp;":"&amp;ADDRESS(130,3+18*0+(8))),'J1 D - South Bank Avenue'!$A$12:$A$130,"&gt;="&amp;Diagram!$O94,'J1 D - South Bank Avenue'!$A$12:$A$130,"&lt;"&amp;Diagram!$P94)))</f>
        <v>5</v>
      </c>
      <c r="AF94" s="42">
        <f ca="1">IF(OR($I$10="",$O94="",$P94="",$J$35&lt;&gt;"Yes"),0,IF($K$10=0,SUMIFS(INDIRECT(ADDRESS(12,3+18*1+(0),,,"J1 D - South Bank Avenue")&amp;":"&amp;ADDRESS(130,3+18*1+(0))),'J1 D - South Bank Avenue'!$A$12:$A$130,"&gt;="&amp;Diagram!$O94,'J1 D - South Bank Avenue'!$A$12:$A$130,"&lt;"&amp;Diagram!$P94),SUMIFS(INDIRECT(ADDRESS(12,3+18*1+(8),,,"J1 D - South Bank Avenue")&amp;":"&amp;ADDRESS(130,3+18*1+(8))),'J1 D - South Bank Avenue'!$A$12:$A$130,"&gt;="&amp;Diagram!$O94,'J1 D - South Bank Avenue'!$A$12:$A$130,"&lt;"&amp;Diagram!$P94)))</f>
        <v>0</v>
      </c>
      <c r="AG94" s="42">
        <f ca="1">IF(OR($I$10="",$O94="",$P94="",$J$35&lt;&gt;"Yes"),0,IF($K$10=0,SUMIFS(INDIRECT(ADDRESS(12,3+18*2+(0),,,"J1 D - South Bank Avenue")&amp;":"&amp;ADDRESS(130,3+18*2+(0))),'J1 D - South Bank Avenue'!$A$12:$A$130,"&gt;="&amp;Diagram!$O94,'J1 D - South Bank Avenue'!$A$12:$A$130,"&lt;"&amp;Diagram!$P94),SUMIFS(INDIRECT(ADDRESS(12,3+18*2+(8),,,"J1 D - South Bank Avenue")&amp;":"&amp;ADDRESS(130,3+18*2+(8))),'J1 D - South Bank Avenue'!$A$12:$A$130,"&gt;="&amp;Diagram!$O94,'J1 D - South Bank Avenue'!$A$12:$A$130,"&lt;"&amp;Diagram!$P94)))</f>
        <v>0</v>
      </c>
      <c r="AH94" s="42">
        <f ca="1">IF(OR($I$10="",$O94="",$P94="",$J$35&lt;&gt;"Yes"),0,IF($K$10=0,SUMIFS(INDIRECT(ADDRESS(12,3+18*3+(0),,,"J1 D - South Bank Avenue")&amp;":"&amp;ADDRESS(130,3+18*3+(0))),'J1 D - South Bank Avenue'!$A$12:$A$130,"&gt;="&amp;Diagram!$O94,'J1 D - South Bank Avenue'!$A$12:$A$130,"&lt;"&amp;Diagram!$P94),SUMIFS(INDIRECT(ADDRESS(12,3+18*3+(8),,,"J1 D - South Bank Avenue")&amp;":"&amp;ADDRESS(130,3+18*3+(8))),'J1 D - South Bank Avenue'!$A$12:$A$130,"&gt;="&amp;Diagram!$O94,'J1 D - South Bank Avenue'!$A$12:$A$130,"&lt;"&amp;Diagram!$P94)))</f>
        <v>0</v>
      </c>
      <c r="AI94" s="42">
        <f t="shared" ca="1" si="12"/>
        <v>3</v>
      </c>
      <c r="AJ94" s="42">
        <f ca="1">IF(OR($I$10="",$O94="",$P94="",$J$36&lt;&gt;"Yes"),0,IF($K$10=0,SUMIFS(INDIRECT(ADDRESS(12,3+18*3+(1),,,"J1 A - (North) Bishopthorpe Roa")&amp;":"&amp;ADDRESS(130,3+18*3+(1))),'J1 A - (North) Bishopthorpe Roa'!$A$12:$A$130,"&gt;="&amp;Diagram!$O94,'J1 A - (North) Bishopthorpe Roa'!$A$12:$A$130,"&lt;"&amp;Diagram!$P94),SUMIFS(INDIRECT(ADDRESS(12,3+18*3+(9),,,"J1 A - (North) Bishopthorpe Roa")&amp;":"&amp;ADDRESS(130,3+18*3+(9))),'J1 A - (North) Bishopthorpe Roa'!$A$12:$A$130,"&gt;="&amp;Diagram!$O94,'J1 A - (North) Bishopthorpe Roa'!$A$12:$A$130,"&lt;"&amp;Diagram!$P94)))</f>
        <v>0</v>
      </c>
      <c r="AK94" s="42">
        <f ca="1">IF(OR($I$10="",$O94="",$P94="",$J$36&lt;&gt;"Yes"),0,IF($K$10=0,SUMIFS(INDIRECT(ADDRESS(12,3+18*0+(1),,,"J1 A - (North) Bishopthorpe Roa")&amp;":"&amp;ADDRESS(130,3+18*0+(1))),'J1 A - (North) Bishopthorpe Roa'!$A$12:$A$130,"&gt;="&amp;Diagram!$O94,'J1 A - (North) Bishopthorpe Roa'!$A$12:$A$130,"&lt;"&amp;Diagram!$P94),SUMIFS(INDIRECT(ADDRESS(12,3+18*0+(9),,,"J1 A - (North) Bishopthorpe Roa")&amp;":"&amp;ADDRESS(130,3+18*0+(9))),'J1 A - (North) Bishopthorpe Roa'!$A$12:$A$130,"&gt;="&amp;Diagram!$O94,'J1 A - (North) Bishopthorpe Roa'!$A$12:$A$130,"&lt;"&amp;Diagram!$P94)))</f>
        <v>0</v>
      </c>
      <c r="AL94" s="42">
        <f ca="1">IF(OR($I$10="",$O94="",$P94="",$J$36&lt;&gt;"Yes"),0,IF($K$10=0,SUMIFS(INDIRECT(ADDRESS(12,3+18*1+(1),,,"J1 A - (North) Bishopthorpe Roa")&amp;":"&amp;ADDRESS(130,3+18*1+(1))),'J1 A - (North) Bishopthorpe Roa'!$A$12:$A$130,"&gt;="&amp;Diagram!$O94,'J1 A - (North) Bishopthorpe Roa'!$A$12:$A$130,"&lt;"&amp;Diagram!$P94),SUMIFS(INDIRECT(ADDRESS(12,3+18*1+(9),,,"J1 A - (North) Bishopthorpe Roa")&amp;":"&amp;ADDRESS(130,3+18*1+(9))),'J1 A - (North) Bishopthorpe Roa'!$A$12:$A$130,"&gt;="&amp;Diagram!$O94,'J1 A - (North) Bishopthorpe Roa'!$A$12:$A$130,"&lt;"&amp;Diagram!$P94)))</f>
        <v>2</v>
      </c>
      <c r="AM94" s="42">
        <f ca="1">IF(OR($I$10="",$O94="",$P94="",$J$36&lt;&gt;"Yes"),0,IF($K$10=0,SUMIFS(INDIRECT(ADDRESS(12,3+18*2+(1),,,"J1 A - (North) Bishopthorpe Roa")&amp;":"&amp;ADDRESS(130,3+18*2+(1))),'J1 A - (North) Bishopthorpe Roa'!$A$12:$A$130,"&gt;="&amp;Diagram!$O94,'J1 A - (North) Bishopthorpe Roa'!$A$12:$A$130,"&lt;"&amp;Diagram!$P94),SUMIFS(INDIRECT(ADDRESS(12,3+18*2+(9),,,"J1 A - (North) Bishopthorpe Roa")&amp;":"&amp;ADDRESS(130,3+18*2+(9))),'J1 A - (North) Bishopthorpe Roa'!$A$12:$A$130,"&gt;="&amp;Diagram!$O94,'J1 A - (North) Bishopthorpe Roa'!$A$12:$A$130,"&lt;"&amp;Diagram!$P94)))</f>
        <v>0</v>
      </c>
      <c r="AN94" s="42">
        <f ca="1">IF(OR($I$10="",$O94="",$P94="",$J$36&lt;&gt;"Yes"),0,IF($K$10=0,SUMIFS(INDIRECT(ADDRESS(12,3+18*2+(1),,,"J1 B - Butcher Terrace")&amp;":"&amp;ADDRESS(130,3+18*2+(1))),'J1 B - Butcher Terrace'!$A$12:$A$130,"&gt;="&amp;Diagram!$O94,'J1 B - Butcher Terrace'!$A$12:$A$130,"&lt;"&amp;Diagram!$P94),SUMIFS(INDIRECT(ADDRESS(12,3+18*2+(9),,,"J1 B - Butcher Terrace")&amp;":"&amp;ADDRESS(130,3+18*2+(9))),'J1 B - Butcher Terrace'!$A$12:$A$130,"&gt;="&amp;Diagram!$O94,'J1 B - Butcher Terrace'!$A$12:$A$130,"&lt;"&amp;Diagram!$P94)))</f>
        <v>0</v>
      </c>
      <c r="AO94" s="42">
        <f ca="1">IF(OR($I$10="",$O94="",$P94="",$J$36&lt;&gt;"Yes"),0,IF($K$10=0,SUMIFS(INDIRECT(ADDRESS(12,3+18*3+(1),,,"J1 B - Butcher Terrace")&amp;":"&amp;ADDRESS(130,3+18*3+(1))),'J1 B - Butcher Terrace'!$A$12:$A$130,"&gt;="&amp;Diagram!$O94,'J1 B - Butcher Terrace'!$A$12:$A$130,"&lt;"&amp;Diagram!$P94),SUMIFS(INDIRECT(ADDRESS(12,3+18*3+(9),,,"J1 B - Butcher Terrace")&amp;":"&amp;ADDRESS(130,3+18*3+(9))),'J1 B - Butcher Terrace'!$A$12:$A$130,"&gt;="&amp;Diagram!$O94,'J1 B - Butcher Terrace'!$A$12:$A$130,"&lt;"&amp;Diagram!$P94)))</f>
        <v>0</v>
      </c>
      <c r="AP94" s="42">
        <f ca="1">IF(OR($I$10="",$O94="",$P94="",$J$36&lt;&gt;"Yes"),0,IF($K$10=0,SUMIFS(INDIRECT(ADDRESS(12,3+18*0+(1),,,"J1 B - Butcher Terrace")&amp;":"&amp;ADDRESS(130,3+18*0+(1))),'J1 B - Butcher Terrace'!$A$12:$A$130,"&gt;="&amp;Diagram!$O94,'J1 B - Butcher Terrace'!$A$12:$A$130,"&lt;"&amp;Diagram!$P94),SUMIFS(INDIRECT(ADDRESS(12,3+18*0+(9),,,"J1 B - Butcher Terrace")&amp;":"&amp;ADDRESS(130,3+18*0+(9))),'J1 B - Butcher Terrace'!$A$12:$A$130,"&gt;="&amp;Diagram!$O94,'J1 B - Butcher Terrace'!$A$12:$A$130,"&lt;"&amp;Diagram!$P94)))</f>
        <v>0</v>
      </c>
      <c r="AQ94" s="42">
        <f ca="1">IF(OR($I$10="",$O94="",$P94="",$J$36&lt;&gt;"Yes"),0,IF($K$10=0,SUMIFS(INDIRECT(ADDRESS(12,3+18*1+(1),,,"J1 B - Butcher Terrace")&amp;":"&amp;ADDRESS(130,3+18*1+(1))),'J1 B - Butcher Terrace'!$A$12:$A$130,"&gt;="&amp;Diagram!$O94,'J1 B - Butcher Terrace'!$A$12:$A$130,"&lt;"&amp;Diagram!$P94),SUMIFS(INDIRECT(ADDRESS(12,3+18*1+(9),,,"J1 B - Butcher Terrace")&amp;":"&amp;ADDRESS(130,3+18*1+(9))),'J1 B - Butcher Terrace'!$A$12:$A$130,"&gt;="&amp;Diagram!$O94,'J1 B - Butcher Terrace'!$A$12:$A$130,"&lt;"&amp;Diagram!$P94)))</f>
        <v>0</v>
      </c>
      <c r="AR94" s="42">
        <f ca="1">IF(OR($I$10="",$O94="",$P94="",$J$36&lt;&gt;"Yes"),0,IF($K$10=0,SUMIFS(INDIRECT(ADDRESS(12,3+18*1+(1),,,"J1 C - (South) Bishopthorpe Roa")&amp;":"&amp;ADDRESS(130,3+18*1+(1))),'J1 C - (South) Bishopthorpe Roa'!$A$12:$A$130,"&gt;="&amp;Diagram!$O94,'J1 C - (South) Bishopthorpe Roa'!$A$12:$A$130,"&lt;"&amp;Diagram!$P94),SUMIFS(INDIRECT(ADDRESS(12,3+18*1+(9),,,"J1 C - (South) Bishopthorpe Roa")&amp;":"&amp;ADDRESS(130,3+18*1+(9))),'J1 C - (South) Bishopthorpe Roa'!$A$12:$A$130,"&gt;="&amp;Diagram!$O94,'J1 C - (South) Bishopthorpe Roa'!$A$12:$A$130,"&lt;"&amp;Diagram!$P94)))</f>
        <v>1</v>
      </c>
      <c r="AS94" s="42">
        <f ca="1">IF(OR($I$10="",$O94="",$P94="",$J$36&lt;&gt;"Yes"),0,IF($K$10=0,SUMIFS(INDIRECT(ADDRESS(12,3+18*2+(1),,,"J1 C - (South) Bishopthorpe Roa")&amp;":"&amp;ADDRESS(130,3+18*2+(1))),'J1 C - (South) Bishopthorpe Roa'!$A$12:$A$130,"&gt;="&amp;Diagram!$O94,'J1 C - (South) Bishopthorpe Roa'!$A$12:$A$130,"&lt;"&amp;Diagram!$P94),SUMIFS(INDIRECT(ADDRESS(12,3+18*2+(9),,,"J1 C - (South) Bishopthorpe Roa")&amp;":"&amp;ADDRESS(130,3+18*2+(9))),'J1 C - (South) Bishopthorpe Roa'!$A$12:$A$130,"&gt;="&amp;Diagram!$O94,'J1 C - (South) Bishopthorpe Roa'!$A$12:$A$130,"&lt;"&amp;Diagram!$P94)))</f>
        <v>0</v>
      </c>
      <c r="AT94" s="42">
        <f ca="1">IF(OR($I$10="",$O94="",$P94="",$J$36&lt;&gt;"Yes"),0,IF($K$10=0,SUMIFS(INDIRECT(ADDRESS(12,3+18*3+(1),,,"J1 C - (South) Bishopthorpe Roa")&amp;":"&amp;ADDRESS(130,3+18*3+(1))),'J1 C - (South) Bishopthorpe Roa'!$A$12:$A$130,"&gt;="&amp;Diagram!$O94,'J1 C - (South) Bishopthorpe Roa'!$A$12:$A$130,"&lt;"&amp;Diagram!$P94),SUMIFS(INDIRECT(ADDRESS(12,3+18*3+(9),,,"J1 C - (South) Bishopthorpe Roa")&amp;":"&amp;ADDRESS(130,3+18*3+(9))),'J1 C - (South) Bishopthorpe Roa'!$A$12:$A$130,"&gt;="&amp;Diagram!$O94,'J1 C - (South) Bishopthorpe Roa'!$A$12:$A$130,"&lt;"&amp;Diagram!$P94)))</f>
        <v>0</v>
      </c>
      <c r="AU94" s="42">
        <f ca="1">IF(OR($I$10="",$O94="",$P94="",$J$36&lt;&gt;"Yes"),0,IF($K$10=0,SUMIFS(INDIRECT(ADDRESS(12,3+18*0+(1),,,"J1 C - (South) Bishopthorpe Roa")&amp;":"&amp;ADDRESS(130,3+18*0+(1))),'J1 C - (South) Bishopthorpe Roa'!$A$12:$A$130,"&gt;="&amp;Diagram!$O94,'J1 C - (South) Bishopthorpe Roa'!$A$12:$A$130,"&lt;"&amp;Diagram!$P94),SUMIFS(INDIRECT(ADDRESS(12,3+18*0+(9),,,"J1 C - (South) Bishopthorpe Roa")&amp;":"&amp;ADDRESS(130,3+18*0+(9))),'J1 C - (South) Bishopthorpe Roa'!$A$12:$A$130,"&gt;="&amp;Diagram!$O94,'J1 C - (South) Bishopthorpe Roa'!$A$12:$A$130,"&lt;"&amp;Diagram!$P94)))</f>
        <v>0</v>
      </c>
      <c r="AV94" s="42">
        <f ca="1">IF(OR($I$10="",$O94="",$P94="",$J$36&lt;&gt;"Yes"),0,IF($K$10=0,SUMIFS(INDIRECT(ADDRESS(12,3+18*0+(1),,,"J1 D - South Bank Avenue")&amp;":"&amp;ADDRESS(130,3+18*0+(1))),'J1 D - South Bank Avenue'!$A$12:$A$130,"&gt;="&amp;Diagram!$O94,'J1 D - South Bank Avenue'!$A$12:$A$130,"&lt;"&amp;Diagram!$P94),SUMIFS(INDIRECT(ADDRESS(12,3+18*0+(9),,,"J1 D - South Bank Avenue")&amp;":"&amp;ADDRESS(130,3+18*0+(9))),'J1 D - South Bank Avenue'!$A$12:$A$130,"&gt;="&amp;Diagram!$O94,'J1 D - South Bank Avenue'!$A$12:$A$130,"&lt;"&amp;Diagram!$P94)))</f>
        <v>0</v>
      </c>
      <c r="AW94" s="42">
        <f ca="1">IF(OR($I$10="",$O94="",$P94="",$J$36&lt;&gt;"Yes"),0,IF($K$10=0,SUMIFS(INDIRECT(ADDRESS(12,3+18*1+(1),,,"J1 D - South Bank Avenue")&amp;":"&amp;ADDRESS(130,3+18*1+(1))),'J1 D - South Bank Avenue'!$A$12:$A$130,"&gt;="&amp;Diagram!$O94,'J1 D - South Bank Avenue'!$A$12:$A$130,"&lt;"&amp;Diagram!$P94),SUMIFS(INDIRECT(ADDRESS(12,3+18*1+(9),,,"J1 D - South Bank Avenue")&amp;":"&amp;ADDRESS(130,3+18*1+(9))),'J1 D - South Bank Avenue'!$A$12:$A$130,"&gt;="&amp;Diagram!$O94,'J1 D - South Bank Avenue'!$A$12:$A$130,"&lt;"&amp;Diagram!$P94)))</f>
        <v>0</v>
      </c>
      <c r="AX94" s="42">
        <f ca="1">IF(OR($I$10="",$O94="",$P94="",$J$36&lt;&gt;"Yes"),0,IF($K$10=0,SUMIFS(INDIRECT(ADDRESS(12,3+18*2+(1),,,"J1 D - South Bank Avenue")&amp;":"&amp;ADDRESS(130,3+18*2+(1))),'J1 D - South Bank Avenue'!$A$12:$A$130,"&gt;="&amp;Diagram!$O94,'J1 D - South Bank Avenue'!$A$12:$A$130,"&lt;"&amp;Diagram!$P94),SUMIFS(INDIRECT(ADDRESS(12,3+18*2+(9),,,"J1 D - South Bank Avenue")&amp;":"&amp;ADDRESS(130,3+18*2+(9))),'J1 D - South Bank Avenue'!$A$12:$A$130,"&gt;="&amp;Diagram!$O94,'J1 D - South Bank Avenue'!$A$12:$A$130,"&lt;"&amp;Diagram!$P94)))</f>
        <v>0</v>
      </c>
      <c r="AY94" s="42">
        <f ca="1">IF(OR($I$10="",$O94="",$P94="",$J$36&lt;&gt;"Yes"),0,IF($K$10=0,SUMIFS(INDIRECT(ADDRESS(12,3+18*3+(1),,,"J1 D - South Bank Avenue")&amp;":"&amp;ADDRESS(130,3+18*3+(1))),'J1 D - South Bank Avenue'!$A$12:$A$130,"&gt;="&amp;Diagram!$O94,'J1 D - South Bank Avenue'!$A$12:$A$130,"&lt;"&amp;Diagram!$P94),SUMIFS(INDIRECT(ADDRESS(12,3+18*3+(9),,,"J1 D - South Bank Avenue")&amp;":"&amp;ADDRESS(130,3+18*3+(9))),'J1 D - South Bank Avenue'!$A$12:$A$130,"&gt;="&amp;Diagram!$O94,'J1 D - South Bank Avenue'!$A$12:$A$130,"&lt;"&amp;Diagram!$P94)))</f>
        <v>0</v>
      </c>
      <c r="AZ94" s="42">
        <f t="shared" ca="1" si="13"/>
        <v>0</v>
      </c>
      <c r="BA94" s="42">
        <f ca="1">IF(OR($I$10="",$O94="",$P94="",$J$37&lt;&gt;"Yes"),0,IF($K$10=0,SUMIFS(INDIRECT(ADDRESS(12,3+18*3+(2),,,"J1 A - (North) Bishopthorpe Roa")&amp;":"&amp;ADDRESS(130,3+18*3+(2))),'J1 A - (North) Bishopthorpe Roa'!$A$12:$A$130,"&gt;="&amp;Diagram!$O94,'J1 A - (North) Bishopthorpe Roa'!$A$12:$A$130,"&lt;"&amp;Diagram!$P94),SUMIFS(INDIRECT(ADDRESS(12,3+18*3+(10),,,"J1 A - (North) Bishopthorpe Roa")&amp;":"&amp;ADDRESS(130,3+18*3+(10))),'J1 A - (North) Bishopthorpe Roa'!$A$12:$A$130,"&gt;="&amp;Diagram!$O94,'J1 A - (North) Bishopthorpe Roa'!$A$12:$A$130,"&lt;"&amp;Diagram!$P94)))</f>
        <v>0</v>
      </c>
      <c r="BB94" s="42">
        <f ca="1">IF(OR($I$10="",$O94="",$P94="",$J$37&lt;&gt;"Yes"),0,IF($K$10=0,SUMIFS(INDIRECT(ADDRESS(12,3+18*0+(2),,,"J1 A - (North) Bishopthorpe Roa")&amp;":"&amp;ADDRESS(130,3+18*0+(2))),'J1 A - (North) Bishopthorpe Roa'!$A$12:$A$130,"&gt;="&amp;Diagram!$O94,'J1 A - (North) Bishopthorpe Roa'!$A$12:$A$130,"&lt;"&amp;Diagram!$P94),SUMIFS(INDIRECT(ADDRESS(12,3+18*0+(10),,,"J1 A - (North) Bishopthorpe Roa")&amp;":"&amp;ADDRESS(130,3+18*0+(10))),'J1 A - (North) Bishopthorpe Roa'!$A$12:$A$130,"&gt;="&amp;Diagram!$O94,'J1 A - (North) Bishopthorpe Roa'!$A$12:$A$130,"&lt;"&amp;Diagram!$P94)))</f>
        <v>0</v>
      </c>
      <c r="BC94" s="42">
        <f ca="1">IF(OR($I$10="",$O94="",$P94="",$J$37&lt;&gt;"Yes"),0,IF($K$10=0,SUMIFS(INDIRECT(ADDRESS(12,3+18*1+(2),,,"J1 A - (North) Bishopthorpe Roa")&amp;":"&amp;ADDRESS(130,3+18*1+(2))),'J1 A - (North) Bishopthorpe Roa'!$A$12:$A$130,"&gt;="&amp;Diagram!$O94,'J1 A - (North) Bishopthorpe Roa'!$A$12:$A$130,"&lt;"&amp;Diagram!$P94),SUMIFS(INDIRECT(ADDRESS(12,3+18*1+(10),,,"J1 A - (North) Bishopthorpe Roa")&amp;":"&amp;ADDRESS(130,3+18*1+(10))),'J1 A - (North) Bishopthorpe Roa'!$A$12:$A$130,"&gt;="&amp;Diagram!$O94,'J1 A - (North) Bishopthorpe Roa'!$A$12:$A$130,"&lt;"&amp;Diagram!$P94)))</f>
        <v>0</v>
      </c>
      <c r="BD94" s="42">
        <f ca="1">IF(OR($I$10="",$O94="",$P94="",$J$37&lt;&gt;"Yes"),0,IF($K$10=0,SUMIFS(INDIRECT(ADDRESS(12,3+18*2+(2),,,"J1 A - (North) Bishopthorpe Roa")&amp;":"&amp;ADDRESS(130,3+18*2+(2))),'J1 A - (North) Bishopthorpe Roa'!$A$12:$A$130,"&gt;="&amp;Diagram!$O94,'J1 A - (North) Bishopthorpe Roa'!$A$12:$A$130,"&lt;"&amp;Diagram!$P94),SUMIFS(INDIRECT(ADDRESS(12,3+18*2+(10),,,"J1 A - (North) Bishopthorpe Roa")&amp;":"&amp;ADDRESS(130,3+18*2+(10))),'J1 A - (North) Bishopthorpe Roa'!$A$12:$A$130,"&gt;="&amp;Diagram!$O94,'J1 A - (North) Bishopthorpe Roa'!$A$12:$A$130,"&lt;"&amp;Diagram!$P94)))</f>
        <v>0</v>
      </c>
      <c r="BE94" s="42">
        <f ca="1">IF(OR($I$10="",$O94="",$P94="",$J$37&lt;&gt;"Yes"),0,IF($K$10=0,SUMIFS(INDIRECT(ADDRESS(12,3+18*2+(2),,,"J1 B - Butcher Terrace")&amp;":"&amp;ADDRESS(130,3+18*2+(2))),'J1 B - Butcher Terrace'!$A$12:$A$130,"&gt;="&amp;Diagram!$O94,'J1 B - Butcher Terrace'!$A$12:$A$130,"&lt;"&amp;Diagram!$P94),SUMIFS(INDIRECT(ADDRESS(12,3+18*2+(10),,,"J1 B - Butcher Terrace")&amp;":"&amp;ADDRESS(130,3+18*2+(10))),'J1 B - Butcher Terrace'!$A$12:$A$130,"&gt;="&amp;Diagram!$O94,'J1 B - Butcher Terrace'!$A$12:$A$130,"&lt;"&amp;Diagram!$P94)))</f>
        <v>0</v>
      </c>
      <c r="BF94" s="42">
        <f ca="1">IF(OR($I$10="",$O94="",$P94="",$J$37&lt;&gt;"Yes"),0,IF($K$10=0,SUMIFS(INDIRECT(ADDRESS(12,3+18*3+(2),,,"J1 B - Butcher Terrace")&amp;":"&amp;ADDRESS(130,3+18*3+(2))),'J1 B - Butcher Terrace'!$A$12:$A$130,"&gt;="&amp;Diagram!$O94,'J1 B - Butcher Terrace'!$A$12:$A$130,"&lt;"&amp;Diagram!$P94),SUMIFS(INDIRECT(ADDRESS(12,3+18*3+(10),,,"J1 B - Butcher Terrace")&amp;":"&amp;ADDRESS(130,3+18*3+(10))),'J1 B - Butcher Terrace'!$A$12:$A$130,"&gt;="&amp;Diagram!$O94,'J1 B - Butcher Terrace'!$A$12:$A$130,"&lt;"&amp;Diagram!$P94)))</f>
        <v>0</v>
      </c>
      <c r="BG94" s="42">
        <f ca="1">IF(OR($I$10="",$O94="",$P94="",$J$37&lt;&gt;"Yes"),0,IF($K$10=0,SUMIFS(INDIRECT(ADDRESS(12,3+18*0+(2),,,"J1 B - Butcher Terrace")&amp;":"&amp;ADDRESS(130,3+18*0+(2))),'J1 B - Butcher Terrace'!$A$12:$A$130,"&gt;="&amp;Diagram!$O94,'J1 B - Butcher Terrace'!$A$12:$A$130,"&lt;"&amp;Diagram!$P94),SUMIFS(INDIRECT(ADDRESS(12,3+18*0+(10),,,"J1 B - Butcher Terrace")&amp;":"&amp;ADDRESS(130,3+18*0+(10))),'J1 B - Butcher Terrace'!$A$12:$A$130,"&gt;="&amp;Diagram!$O94,'J1 B - Butcher Terrace'!$A$12:$A$130,"&lt;"&amp;Diagram!$P94)))</f>
        <v>0</v>
      </c>
      <c r="BH94" s="42">
        <f ca="1">IF(OR($I$10="",$O94="",$P94="",$J$37&lt;&gt;"Yes"),0,IF($K$10=0,SUMIFS(INDIRECT(ADDRESS(12,3+18*1+(2),,,"J1 B - Butcher Terrace")&amp;":"&amp;ADDRESS(130,3+18*1+(2))),'J1 B - Butcher Terrace'!$A$12:$A$130,"&gt;="&amp;Diagram!$O94,'J1 B - Butcher Terrace'!$A$12:$A$130,"&lt;"&amp;Diagram!$P94),SUMIFS(INDIRECT(ADDRESS(12,3+18*1+(10),,,"J1 B - Butcher Terrace")&amp;":"&amp;ADDRESS(130,3+18*1+(10))),'J1 B - Butcher Terrace'!$A$12:$A$130,"&gt;="&amp;Diagram!$O94,'J1 B - Butcher Terrace'!$A$12:$A$130,"&lt;"&amp;Diagram!$P94)))</f>
        <v>0</v>
      </c>
      <c r="BI94" s="42">
        <f ca="1">IF(OR($I$10="",$O94="",$P94="",$J$37&lt;&gt;"Yes"),0,IF($K$10=0,SUMIFS(INDIRECT(ADDRESS(12,3+18*1+(2),,,"J1 C - (South) Bishopthorpe Roa")&amp;":"&amp;ADDRESS(130,3+18*1+(2))),'J1 C - (South) Bishopthorpe Roa'!$A$12:$A$130,"&gt;="&amp;Diagram!$O94,'J1 C - (South) Bishopthorpe Roa'!$A$12:$A$130,"&lt;"&amp;Diagram!$P94),SUMIFS(INDIRECT(ADDRESS(12,3+18*1+(10),,,"J1 C - (South) Bishopthorpe Roa")&amp;":"&amp;ADDRESS(130,3+18*1+(10))),'J1 C - (South) Bishopthorpe Roa'!$A$12:$A$130,"&gt;="&amp;Diagram!$O94,'J1 C - (South) Bishopthorpe Roa'!$A$12:$A$130,"&lt;"&amp;Diagram!$P94)))</f>
        <v>0</v>
      </c>
      <c r="BJ94" s="42">
        <f ca="1">IF(OR($I$10="",$O94="",$P94="",$J$37&lt;&gt;"Yes"),0,IF($K$10=0,SUMIFS(INDIRECT(ADDRESS(12,3+18*2+(2),,,"J1 C - (South) Bishopthorpe Roa")&amp;":"&amp;ADDRESS(130,3+18*2+(2))),'J1 C - (South) Bishopthorpe Roa'!$A$12:$A$130,"&gt;="&amp;Diagram!$O94,'J1 C - (South) Bishopthorpe Roa'!$A$12:$A$130,"&lt;"&amp;Diagram!$P94),SUMIFS(INDIRECT(ADDRESS(12,3+18*2+(10),,,"J1 C - (South) Bishopthorpe Roa")&amp;":"&amp;ADDRESS(130,3+18*2+(10))),'J1 C - (South) Bishopthorpe Roa'!$A$12:$A$130,"&gt;="&amp;Diagram!$O94,'J1 C - (South) Bishopthorpe Roa'!$A$12:$A$130,"&lt;"&amp;Diagram!$P94)))</f>
        <v>0</v>
      </c>
      <c r="BK94" s="42">
        <f ca="1">IF(OR($I$10="",$O94="",$P94="",$J$37&lt;&gt;"Yes"),0,IF($K$10=0,SUMIFS(INDIRECT(ADDRESS(12,3+18*3+(2),,,"J1 C - (South) Bishopthorpe Roa")&amp;":"&amp;ADDRESS(130,3+18*3+(2))),'J1 C - (South) Bishopthorpe Roa'!$A$12:$A$130,"&gt;="&amp;Diagram!$O94,'J1 C - (South) Bishopthorpe Roa'!$A$12:$A$130,"&lt;"&amp;Diagram!$P94),SUMIFS(INDIRECT(ADDRESS(12,3+18*3+(10),,,"J1 C - (South) Bishopthorpe Roa")&amp;":"&amp;ADDRESS(130,3+18*3+(10))),'J1 C - (South) Bishopthorpe Roa'!$A$12:$A$130,"&gt;="&amp;Diagram!$O94,'J1 C - (South) Bishopthorpe Roa'!$A$12:$A$130,"&lt;"&amp;Diagram!$P94)))</f>
        <v>0</v>
      </c>
      <c r="BL94" s="42">
        <f ca="1">IF(OR($I$10="",$O94="",$P94="",$J$37&lt;&gt;"Yes"),0,IF($K$10=0,SUMIFS(INDIRECT(ADDRESS(12,3+18*0+(2),,,"J1 C - (South) Bishopthorpe Roa")&amp;":"&amp;ADDRESS(130,3+18*0+(2))),'J1 C - (South) Bishopthorpe Roa'!$A$12:$A$130,"&gt;="&amp;Diagram!$O94,'J1 C - (South) Bishopthorpe Roa'!$A$12:$A$130,"&lt;"&amp;Diagram!$P94),SUMIFS(INDIRECT(ADDRESS(12,3+18*0+(10),,,"J1 C - (South) Bishopthorpe Roa")&amp;":"&amp;ADDRESS(130,3+18*0+(10))),'J1 C - (South) Bishopthorpe Roa'!$A$12:$A$130,"&gt;="&amp;Diagram!$O94,'J1 C - (South) Bishopthorpe Roa'!$A$12:$A$130,"&lt;"&amp;Diagram!$P94)))</f>
        <v>0</v>
      </c>
      <c r="BM94" s="42">
        <f ca="1">IF(OR($I$10="",$O94="",$P94="",$J$37&lt;&gt;"Yes"),0,IF($K$10=0,SUMIFS(INDIRECT(ADDRESS(12,3+18*0+(2),,,"J1 D - South Bank Avenue")&amp;":"&amp;ADDRESS(130,3+18*0+(2))),'J1 D - South Bank Avenue'!$A$12:$A$130,"&gt;="&amp;Diagram!$O94,'J1 D - South Bank Avenue'!$A$12:$A$130,"&lt;"&amp;Diagram!$P94),SUMIFS(INDIRECT(ADDRESS(12,3+18*0+(10),,,"J1 D - South Bank Avenue")&amp;":"&amp;ADDRESS(130,3+18*0+(10))),'J1 D - South Bank Avenue'!$A$12:$A$130,"&gt;="&amp;Diagram!$O94,'J1 D - South Bank Avenue'!$A$12:$A$130,"&lt;"&amp;Diagram!$P94)))</f>
        <v>0</v>
      </c>
      <c r="BN94" s="42">
        <f ca="1">IF(OR($I$10="",$O94="",$P94="",$J$37&lt;&gt;"Yes"),0,IF($K$10=0,SUMIFS(INDIRECT(ADDRESS(12,3+18*1+(2),,,"J1 D - South Bank Avenue")&amp;":"&amp;ADDRESS(130,3+18*1+(2))),'J1 D - South Bank Avenue'!$A$12:$A$130,"&gt;="&amp;Diagram!$O94,'J1 D - South Bank Avenue'!$A$12:$A$130,"&lt;"&amp;Diagram!$P94),SUMIFS(INDIRECT(ADDRESS(12,3+18*1+(10),,,"J1 D - South Bank Avenue")&amp;":"&amp;ADDRESS(130,3+18*1+(10))),'J1 D - South Bank Avenue'!$A$12:$A$130,"&gt;="&amp;Diagram!$O94,'J1 D - South Bank Avenue'!$A$12:$A$130,"&lt;"&amp;Diagram!$P94)))</f>
        <v>0</v>
      </c>
      <c r="BO94" s="42">
        <f ca="1">IF(OR($I$10="",$O94="",$P94="",$J$37&lt;&gt;"Yes"),0,IF($K$10=0,SUMIFS(INDIRECT(ADDRESS(12,3+18*2+(2),,,"J1 D - South Bank Avenue")&amp;":"&amp;ADDRESS(130,3+18*2+(2))),'J1 D - South Bank Avenue'!$A$12:$A$130,"&gt;="&amp;Diagram!$O94,'J1 D - South Bank Avenue'!$A$12:$A$130,"&lt;"&amp;Diagram!$P94),SUMIFS(INDIRECT(ADDRESS(12,3+18*2+(10),,,"J1 D - South Bank Avenue")&amp;":"&amp;ADDRESS(130,3+18*2+(10))),'J1 D - South Bank Avenue'!$A$12:$A$130,"&gt;="&amp;Diagram!$O94,'J1 D - South Bank Avenue'!$A$12:$A$130,"&lt;"&amp;Diagram!$P94)))</f>
        <v>0</v>
      </c>
      <c r="BP94" s="42">
        <f ca="1">IF(OR($I$10="",$O94="",$P94="",$J$37&lt;&gt;"Yes"),0,IF($K$10=0,SUMIFS(INDIRECT(ADDRESS(12,3+18*3+(2),,,"J1 D - South Bank Avenue")&amp;":"&amp;ADDRESS(130,3+18*3+(2))),'J1 D - South Bank Avenue'!$A$12:$A$130,"&gt;="&amp;Diagram!$O94,'J1 D - South Bank Avenue'!$A$12:$A$130,"&lt;"&amp;Diagram!$P94),SUMIFS(INDIRECT(ADDRESS(12,3+18*3+(10),,,"J1 D - South Bank Avenue")&amp;":"&amp;ADDRESS(130,3+18*3+(10))),'J1 D - South Bank Avenue'!$A$12:$A$130,"&gt;="&amp;Diagram!$O94,'J1 D - South Bank Avenue'!$A$12:$A$130,"&lt;"&amp;Diagram!$P94)))</f>
        <v>0</v>
      </c>
      <c r="BQ94" s="42">
        <f t="shared" ca="1" si="14"/>
        <v>0</v>
      </c>
      <c r="BR94" s="42">
        <f ca="1">IF(OR($I$10="",$O94="",$P94="",$J$38&lt;&gt;"Yes"),0,IF($K$10=0,SUMIFS(INDIRECT(ADDRESS(12,3+18*3+(3),,,"J1 A - (North) Bishopthorpe Roa")&amp;":"&amp;ADDRESS(130,3+18*3+(3))),'J1 A - (North) Bishopthorpe Roa'!$A$12:$A$130,"&gt;="&amp;Diagram!$O94,'J1 A - (North) Bishopthorpe Roa'!$A$12:$A$130,"&lt;"&amp;Diagram!$P94),SUMIFS(INDIRECT(ADDRESS(12,3+18*3+(11),,,"J1 A - (North) Bishopthorpe Roa")&amp;":"&amp;ADDRESS(130,3+18*3+(11))),'J1 A - (North) Bishopthorpe Roa'!$A$12:$A$130,"&gt;="&amp;Diagram!$O94,'J1 A - (North) Bishopthorpe Roa'!$A$12:$A$130,"&lt;"&amp;Diagram!$P94)))</f>
        <v>0</v>
      </c>
      <c r="BS94" s="42">
        <f ca="1">IF(OR($I$10="",$O94="",$P94="",$J$38&lt;&gt;"Yes"),0,IF($K$10=0,SUMIFS(INDIRECT(ADDRESS(12,3+18*0+(3),,,"J1 A - (North) Bishopthorpe Roa")&amp;":"&amp;ADDRESS(130,3+18*0+(3))),'J1 A - (North) Bishopthorpe Roa'!$A$12:$A$130,"&gt;="&amp;Diagram!$O94,'J1 A - (North) Bishopthorpe Roa'!$A$12:$A$130,"&lt;"&amp;Diagram!$P94),SUMIFS(INDIRECT(ADDRESS(12,3+18*0+(11),,,"J1 A - (North) Bishopthorpe Roa")&amp;":"&amp;ADDRESS(130,3+18*0+(11))),'J1 A - (North) Bishopthorpe Roa'!$A$12:$A$130,"&gt;="&amp;Diagram!$O94,'J1 A - (North) Bishopthorpe Roa'!$A$12:$A$130,"&lt;"&amp;Diagram!$P94)))</f>
        <v>0</v>
      </c>
      <c r="BT94" s="42">
        <f ca="1">IF(OR($I$10="",$O94="",$P94="",$J$38&lt;&gt;"Yes"),0,IF($K$10=0,SUMIFS(INDIRECT(ADDRESS(12,3+18*1+(3),,,"J1 A - (North) Bishopthorpe Roa")&amp;":"&amp;ADDRESS(130,3+18*1+(3))),'J1 A - (North) Bishopthorpe Roa'!$A$12:$A$130,"&gt;="&amp;Diagram!$O94,'J1 A - (North) Bishopthorpe Roa'!$A$12:$A$130,"&lt;"&amp;Diagram!$P94),SUMIFS(INDIRECT(ADDRESS(12,3+18*1+(11),,,"J1 A - (North) Bishopthorpe Roa")&amp;":"&amp;ADDRESS(130,3+18*1+(11))),'J1 A - (North) Bishopthorpe Roa'!$A$12:$A$130,"&gt;="&amp;Diagram!$O94,'J1 A - (North) Bishopthorpe Roa'!$A$12:$A$130,"&lt;"&amp;Diagram!$P94)))</f>
        <v>0</v>
      </c>
      <c r="BU94" s="42">
        <f ca="1">IF(OR($I$10="",$O94="",$P94="",$J$38&lt;&gt;"Yes"),0,IF($K$10=0,SUMIFS(INDIRECT(ADDRESS(12,3+18*2+(3),,,"J1 A - (North) Bishopthorpe Roa")&amp;":"&amp;ADDRESS(130,3+18*2+(3))),'J1 A - (North) Bishopthorpe Roa'!$A$12:$A$130,"&gt;="&amp;Diagram!$O94,'J1 A - (North) Bishopthorpe Roa'!$A$12:$A$130,"&lt;"&amp;Diagram!$P94),SUMIFS(INDIRECT(ADDRESS(12,3+18*2+(11),,,"J1 A - (North) Bishopthorpe Roa")&amp;":"&amp;ADDRESS(130,3+18*2+(11))),'J1 A - (North) Bishopthorpe Roa'!$A$12:$A$130,"&gt;="&amp;Diagram!$O94,'J1 A - (North) Bishopthorpe Roa'!$A$12:$A$130,"&lt;"&amp;Diagram!$P94)))</f>
        <v>0</v>
      </c>
      <c r="BV94" s="42">
        <f ca="1">IF(OR($I$10="",$O94="",$P94="",$J$38&lt;&gt;"Yes"),0,IF($K$10=0,SUMIFS(INDIRECT(ADDRESS(12,3+18*2+(3),,,"J1 B - Butcher Terrace")&amp;":"&amp;ADDRESS(130,3+18*2+(3))),'J1 B - Butcher Terrace'!$A$12:$A$130,"&gt;="&amp;Diagram!$O94,'J1 B - Butcher Terrace'!$A$12:$A$130,"&lt;"&amp;Diagram!$P94),SUMIFS(INDIRECT(ADDRESS(12,3+18*2+(11),,,"J1 B - Butcher Terrace")&amp;":"&amp;ADDRESS(130,3+18*2+(11))),'J1 B - Butcher Terrace'!$A$12:$A$130,"&gt;="&amp;Diagram!$O94,'J1 B - Butcher Terrace'!$A$12:$A$130,"&lt;"&amp;Diagram!$P94)))</f>
        <v>0</v>
      </c>
      <c r="BW94" s="42">
        <f ca="1">IF(OR($I$10="",$O94="",$P94="",$J$38&lt;&gt;"Yes"),0,IF($K$10=0,SUMIFS(INDIRECT(ADDRESS(12,3+18*3+(3),,,"J1 B - Butcher Terrace")&amp;":"&amp;ADDRESS(130,3+18*3+(3))),'J1 B - Butcher Terrace'!$A$12:$A$130,"&gt;="&amp;Diagram!$O94,'J1 B - Butcher Terrace'!$A$12:$A$130,"&lt;"&amp;Diagram!$P94),SUMIFS(INDIRECT(ADDRESS(12,3+18*3+(11),,,"J1 B - Butcher Terrace")&amp;":"&amp;ADDRESS(130,3+18*3+(11))),'J1 B - Butcher Terrace'!$A$12:$A$130,"&gt;="&amp;Diagram!$O94,'J1 B - Butcher Terrace'!$A$12:$A$130,"&lt;"&amp;Diagram!$P94)))</f>
        <v>0</v>
      </c>
      <c r="BX94" s="42">
        <f ca="1">IF(OR($I$10="",$O94="",$P94="",$J$38&lt;&gt;"Yes"),0,IF($K$10=0,SUMIFS(INDIRECT(ADDRESS(12,3+18*0+(3),,,"J1 B - Butcher Terrace")&amp;":"&amp;ADDRESS(130,3+18*0+(3))),'J1 B - Butcher Terrace'!$A$12:$A$130,"&gt;="&amp;Diagram!$O94,'J1 B - Butcher Terrace'!$A$12:$A$130,"&lt;"&amp;Diagram!$P94),SUMIFS(INDIRECT(ADDRESS(12,3+18*0+(11),,,"J1 B - Butcher Terrace")&amp;":"&amp;ADDRESS(130,3+18*0+(11))),'J1 B - Butcher Terrace'!$A$12:$A$130,"&gt;="&amp;Diagram!$O94,'J1 B - Butcher Terrace'!$A$12:$A$130,"&lt;"&amp;Diagram!$P94)))</f>
        <v>0</v>
      </c>
      <c r="BY94" s="42">
        <f ca="1">IF(OR($I$10="",$O94="",$P94="",$J$38&lt;&gt;"Yes"),0,IF($K$10=0,SUMIFS(INDIRECT(ADDRESS(12,3+18*1+(3),,,"J1 B - Butcher Terrace")&amp;":"&amp;ADDRESS(130,3+18*1+(3))),'J1 B - Butcher Terrace'!$A$12:$A$130,"&gt;="&amp;Diagram!$O94,'J1 B - Butcher Terrace'!$A$12:$A$130,"&lt;"&amp;Diagram!$P94),SUMIFS(INDIRECT(ADDRESS(12,3+18*1+(11),,,"J1 B - Butcher Terrace")&amp;":"&amp;ADDRESS(130,3+18*1+(11))),'J1 B - Butcher Terrace'!$A$12:$A$130,"&gt;="&amp;Diagram!$O94,'J1 B - Butcher Terrace'!$A$12:$A$130,"&lt;"&amp;Diagram!$P94)))</f>
        <v>0</v>
      </c>
      <c r="BZ94" s="42">
        <f ca="1">IF(OR($I$10="",$O94="",$P94="",$J$38&lt;&gt;"Yes"),0,IF($K$10=0,SUMIFS(INDIRECT(ADDRESS(12,3+18*1+(3),,,"J1 C - (South) Bishopthorpe Roa")&amp;":"&amp;ADDRESS(130,3+18*1+(3))),'J1 C - (South) Bishopthorpe Roa'!$A$12:$A$130,"&gt;="&amp;Diagram!$O94,'J1 C - (South) Bishopthorpe Roa'!$A$12:$A$130,"&lt;"&amp;Diagram!$P94),SUMIFS(INDIRECT(ADDRESS(12,3+18*1+(11),,,"J1 C - (South) Bishopthorpe Roa")&amp;":"&amp;ADDRESS(130,3+18*1+(11))),'J1 C - (South) Bishopthorpe Roa'!$A$12:$A$130,"&gt;="&amp;Diagram!$O94,'J1 C - (South) Bishopthorpe Roa'!$A$12:$A$130,"&lt;"&amp;Diagram!$P94)))</f>
        <v>0</v>
      </c>
      <c r="CA94" s="42">
        <f ca="1">IF(OR($I$10="",$O94="",$P94="",$J$38&lt;&gt;"Yes"),0,IF($K$10=0,SUMIFS(INDIRECT(ADDRESS(12,3+18*2+(3),,,"J1 C - (South) Bishopthorpe Roa")&amp;":"&amp;ADDRESS(130,3+18*2+(3))),'J1 C - (South) Bishopthorpe Roa'!$A$12:$A$130,"&gt;="&amp;Diagram!$O94,'J1 C - (South) Bishopthorpe Roa'!$A$12:$A$130,"&lt;"&amp;Diagram!$P94),SUMIFS(INDIRECT(ADDRESS(12,3+18*2+(11),,,"J1 C - (South) Bishopthorpe Roa")&amp;":"&amp;ADDRESS(130,3+18*2+(11))),'J1 C - (South) Bishopthorpe Roa'!$A$12:$A$130,"&gt;="&amp;Diagram!$O94,'J1 C - (South) Bishopthorpe Roa'!$A$12:$A$130,"&lt;"&amp;Diagram!$P94)))</f>
        <v>0</v>
      </c>
      <c r="CB94" s="42">
        <f ca="1">IF(OR($I$10="",$O94="",$P94="",$J$38&lt;&gt;"Yes"),0,IF($K$10=0,SUMIFS(INDIRECT(ADDRESS(12,3+18*3+(3),,,"J1 C - (South) Bishopthorpe Roa")&amp;":"&amp;ADDRESS(130,3+18*3+(3))),'J1 C - (South) Bishopthorpe Roa'!$A$12:$A$130,"&gt;="&amp;Diagram!$O94,'J1 C - (South) Bishopthorpe Roa'!$A$12:$A$130,"&lt;"&amp;Diagram!$P94),SUMIFS(INDIRECT(ADDRESS(12,3+18*3+(11),,,"J1 C - (South) Bishopthorpe Roa")&amp;":"&amp;ADDRESS(130,3+18*3+(11))),'J1 C - (South) Bishopthorpe Roa'!$A$12:$A$130,"&gt;="&amp;Diagram!$O94,'J1 C - (South) Bishopthorpe Roa'!$A$12:$A$130,"&lt;"&amp;Diagram!$P94)))</f>
        <v>0</v>
      </c>
      <c r="CC94" s="42">
        <f ca="1">IF(OR($I$10="",$O94="",$P94="",$J$38&lt;&gt;"Yes"),0,IF($K$10=0,SUMIFS(INDIRECT(ADDRESS(12,3+18*0+(3),,,"J1 C - (South) Bishopthorpe Roa")&amp;":"&amp;ADDRESS(130,3+18*0+(3))),'J1 C - (South) Bishopthorpe Roa'!$A$12:$A$130,"&gt;="&amp;Diagram!$O94,'J1 C - (South) Bishopthorpe Roa'!$A$12:$A$130,"&lt;"&amp;Diagram!$P94),SUMIFS(INDIRECT(ADDRESS(12,3+18*0+(11),,,"J1 C - (South) Bishopthorpe Roa")&amp;":"&amp;ADDRESS(130,3+18*0+(11))),'J1 C - (South) Bishopthorpe Roa'!$A$12:$A$130,"&gt;="&amp;Diagram!$O94,'J1 C - (South) Bishopthorpe Roa'!$A$12:$A$130,"&lt;"&amp;Diagram!$P94)))</f>
        <v>0</v>
      </c>
      <c r="CD94" s="42">
        <f ca="1">IF(OR($I$10="",$O94="",$P94="",$J$38&lt;&gt;"Yes"),0,IF($K$10=0,SUMIFS(INDIRECT(ADDRESS(12,3+18*0+(3),,,"J1 D - South Bank Avenue")&amp;":"&amp;ADDRESS(130,3+18*0+(3))),'J1 D - South Bank Avenue'!$A$12:$A$130,"&gt;="&amp;Diagram!$O94,'J1 D - South Bank Avenue'!$A$12:$A$130,"&lt;"&amp;Diagram!$P94),SUMIFS(INDIRECT(ADDRESS(12,3+18*0+(11),,,"J1 D - South Bank Avenue")&amp;":"&amp;ADDRESS(130,3+18*0+(11))),'J1 D - South Bank Avenue'!$A$12:$A$130,"&gt;="&amp;Diagram!$O94,'J1 D - South Bank Avenue'!$A$12:$A$130,"&lt;"&amp;Diagram!$P94)))</f>
        <v>0</v>
      </c>
      <c r="CE94" s="42">
        <f ca="1">IF(OR($I$10="",$O94="",$P94="",$J$38&lt;&gt;"Yes"),0,IF($K$10=0,SUMIFS(INDIRECT(ADDRESS(12,3+18*1+(3),,,"J1 D - South Bank Avenue")&amp;":"&amp;ADDRESS(130,3+18*1+(3))),'J1 D - South Bank Avenue'!$A$12:$A$130,"&gt;="&amp;Diagram!$O94,'J1 D - South Bank Avenue'!$A$12:$A$130,"&lt;"&amp;Diagram!$P94),SUMIFS(INDIRECT(ADDRESS(12,3+18*1+(11),,,"J1 D - South Bank Avenue")&amp;":"&amp;ADDRESS(130,3+18*1+(11))),'J1 D - South Bank Avenue'!$A$12:$A$130,"&gt;="&amp;Diagram!$O94,'J1 D - South Bank Avenue'!$A$12:$A$130,"&lt;"&amp;Diagram!$P94)))</f>
        <v>0</v>
      </c>
      <c r="CF94" s="42">
        <f ca="1">IF(OR($I$10="",$O94="",$P94="",$J$38&lt;&gt;"Yes"),0,IF($K$10=0,SUMIFS(INDIRECT(ADDRESS(12,3+18*2+(3),,,"J1 D - South Bank Avenue")&amp;":"&amp;ADDRESS(130,3+18*2+(3))),'J1 D - South Bank Avenue'!$A$12:$A$130,"&gt;="&amp;Diagram!$O94,'J1 D - South Bank Avenue'!$A$12:$A$130,"&lt;"&amp;Diagram!$P94),SUMIFS(INDIRECT(ADDRESS(12,3+18*2+(11),,,"J1 D - South Bank Avenue")&amp;":"&amp;ADDRESS(130,3+18*2+(11))),'J1 D - South Bank Avenue'!$A$12:$A$130,"&gt;="&amp;Diagram!$O94,'J1 D - South Bank Avenue'!$A$12:$A$130,"&lt;"&amp;Diagram!$P94)))</f>
        <v>0</v>
      </c>
      <c r="CG94" s="42">
        <f ca="1">IF(OR($I$10="",$O94="",$P94="",$J$38&lt;&gt;"Yes"),0,IF($K$10=0,SUMIFS(INDIRECT(ADDRESS(12,3+18*3+(3),,,"J1 D - South Bank Avenue")&amp;":"&amp;ADDRESS(130,3+18*3+(3))),'J1 D - South Bank Avenue'!$A$12:$A$130,"&gt;="&amp;Diagram!$O94,'J1 D - South Bank Avenue'!$A$12:$A$130,"&lt;"&amp;Diagram!$P94),SUMIFS(INDIRECT(ADDRESS(12,3+18*3+(11),,,"J1 D - South Bank Avenue")&amp;":"&amp;ADDRESS(130,3+18*3+(11))),'J1 D - South Bank Avenue'!$A$12:$A$130,"&gt;="&amp;Diagram!$O94,'J1 D - South Bank Avenue'!$A$12:$A$130,"&lt;"&amp;Diagram!$P94)))</f>
        <v>0</v>
      </c>
      <c r="CH94" s="42">
        <f t="shared" ca="1" si="15"/>
        <v>2</v>
      </c>
      <c r="CI94" s="42">
        <f ca="1">IF(OR($I$10="",$O94="",$P94="",$J$39&lt;&gt;"Yes"),0,IF($K$10=0,SUMIFS(INDIRECT(ADDRESS(12,3+18*3+(4),,,"J1 A - (North) Bishopthorpe Roa")&amp;":"&amp;ADDRESS(130,3+18*3+(4))),'J1 A - (North) Bishopthorpe Roa'!$A$12:$A$130,"&gt;="&amp;Diagram!$O94,'J1 A - (North) Bishopthorpe Roa'!$A$12:$A$130,"&lt;"&amp;Diagram!$P94),SUMIFS(INDIRECT(ADDRESS(12,3+18*3+(12),,,"J1 A - (North) Bishopthorpe Roa")&amp;":"&amp;ADDRESS(130,3+18*3+(12))),'J1 A - (North) Bishopthorpe Roa'!$A$12:$A$130,"&gt;="&amp;Diagram!$O94,'J1 A - (North) Bishopthorpe Roa'!$A$12:$A$130,"&lt;"&amp;Diagram!$P94)))</f>
        <v>0</v>
      </c>
      <c r="CJ94" s="42">
        <f ca="1">IF(OR($I$10="",$O94="",$P94="",$J$39&lt;&gt;"Yes"),0,IF($K$10=0,SUMIFS(INDIRECT(ADDRESS(12,3+18*0+(4),,,"J1 A - (North) Bishopthorpe Roa")&amp;":"&amp;ADDRESS(130,3+18*0+(4))),'J1 A - (North) Bishopthorpe Roa'!$A$12:$A$130,"&gt;="&amp;Diagram!$O94,'J1 A - (North) Bishopthorpe Roa'!$A$12:$A$130,"&lt;"&amp;Diagram!$P94),SUMIFS(INDIRECT(ADDRESS(12,3+18*0+(12),,,"J1 A - (North) Bishopthorpe Roa")&amp;":"&amp;ADDRESS(130,3+18*0+(12))),'J1 A - (North) Bishopthorpe Roa'!$A$12:$A$130,"&gt;="&amp;Diagram!$O94,'J1 A - (North) Bishopthorpe Roa'!$A$12:$A$130,"&lt;"&amp;Diagram!$P94)))</f>
        <v>0</v>
      </c>
      <c r="CK94" s="42">
        <f ca="1">IF(OR($I$10="",$O94="",$P94="",$J$39&lt;&gt;"Yes"),0,IF($K$10=0,SUMIFS(INDIRECT(ADDRESS(12,3+18*1+(4),,,"J1 A - (North) Bishopthorpe Roa")&amp;":"&amp;ADDRESS(130,3+18*1+(4))),'J1 A - (North) Bishopthorpe Roa'!$A$12:$A$130,"&gt;="&amp;Diagram!$O94,'J1 A - (North) Bishopthorpe Roa'!$A$12:$A$130,"&lt;"&amp;Diagram!$P94),SUMIFS(INDIRECT(ADDRESS(12,3+18*1+(12),,,"J1 A - (North) Bishopthorpe Roa")&amp;":"&amp;ADDRESS(130,3+18*1+(12))),'J1 A - (North) Bishopthorpe Roa'!$A$12:$A$130,"&gt;="&amp;Diagram!$O94,'J1 A - (North) Bishopthorpe Roa'!$A$12:$A$130,"&lt;"&amp;Diagram!$P94)))</f>
        <v>1</v>
      </c>
      <c r="CL94" s="42">
        <f ca="1">IF(OR($I$10="",$O94="",$P94="",$J$39&lt;&gt;"Yes"),0,IF($K$10=0,SUMIFS(INDIRECT(ADDRESS(12,3+18*2+(4),,,"J1 A - (North) Bishopthorpe Roa")&amp;":"&amp;ADDRESS(130,3+18*2+(4))),'J1 A - (North) Bishopthorpe Roa'!$A$12:$A$130,"&gt;="&amp;Diagram!$O94,'J1 A - (North) Bishopthorpe Roa'!$A$12:$A$130,"&lt;"&amp;Diagram!$P94),SUMIFS(INDIRECT(ADDRESS(12,3+18*2+(12),,,"J1 A - (North) Bishopthorpe Roa")&amp;":"&amp;ADDRESS(130,3+18*2+(12))),'J1 A - (North) Bishopthorpe Roa'!$A$12:$A$130,"&gt;="&amp;Diagram!$O94,'J1 A - (North) Bishopthorpe Roa'!$A$12:$A$130,"&lt;"&amp;Diagram!$P94)))</f>
        <v>0</v>
      </c>
      <c r="CM94" s="42">
        <f ca="1">IF(OR($I$10="",$O94="",$P94="",$J$39&lt;&gt;"Yes"),0,IF($K$10=0,SUMIFS(INDIRECT(ADDRESS(12,3+18*2+(4),,,"J1 B - Butcher Terrace")&amp;":"&amp;ADDRESS(130,3+18*2+(4))),'J1 B - Butcher Terrace'!$A$12:$A$130,"&gt;="&amp;Diagram!$O94,'J1 B - Butcher Terrace'!$A$12:$A$130,"&lt;"&amp;Diagram!$P94),SUMIFS(INDIRECT(ADDRESS(12,3+18*2+(12),,,"J1 B - Butcher Terrace")&amp;":"&amp;ADDRESS(130,3+18*2+(12))),'J1 B - Butcher Terrace'!$A$12:$A$130,"&gt;="&amp;Diagram!$O94,'J1 B - Butcher Terrace'!$A$12:$A$130,"&lt;"&amp;Diagram!$P94)))</f>
        <v>0</v>
      </c>
      <c r="CN94" s="42">
        <f ca="1">IF(OR($I$10="",$O94="",$P94="",$J$39&lt;&gt;"Yes"),0,IF($K$10=0,SUMIFS(INDIRECT(ADDRESS(12,3+18*3+(4),,,"J1 B - Butcher Terrace")&amp;":"&amp;ADDRESS(130,3+18*3+(4))),'J1 B - Butcher Terrace'!$A$12:$A$130,"&gt;="&amp;Diagram!$O94,'J1 B - Butcher Terrace'!$A$12:$A$130,"&lt;"&amp;Diagram!$P94),SUMIFS(INDIRECT(ADDRESS(12,3+18*3+(12),,,"J1 B - Butcher Terrace")&amp;":"&amp;ADDRESS(130,3+18*3+(12))),'J1 B - Butcher Terrace'!$A$12:$A$130,"&gt;="&amp;Diagram!$O94,'J1 B - Butcher Terrace'!$A$12:$A$130,"&lt;"&amp;Diagram!$P94)))</f>
        <v>0</v>
      </c>
      <c r="CO94" s="42">
        <f ca="1">IF(OR($I$10="",$O94="",$P94="",$J$39&lt;&gt;"Yes"),0,IF($K$10=0,SUMIFS(INDIRECT(ADDRESS(12,3+18*0+(4),,,"J1 B - Butcher Terrace")&amp;":"&amp;ADDRESS(130,3+18*0+(4))),'J1 B - Butcher Terrace'!$A$12:$A$130,"&gt;="&amp;Diagram!$O94,'J1 B - Butcher Terrace'!$A$12:$A$130,"&lt;"&amp;Diagram!$P94),SUMIFS(INDIRECT(ADDRESS(12,3+18*0+(12),,,"J1 B - Butcher Terrace")&amp;":"&amp;ADDRESS(130,3+18*0+(12))),'J1 B - Butcher Terrace'!$A$12:$A$130,"&gt;="&amp;Diagram!$O94,'J1 B - Butcher Terrace'!$A$12:$A$130,"&lt;"&amp;Diagram!$P94)))</f>
        <v>0</v>
      </c>
      <c r="CP94" s="42">
        <f ca="1">IF(OR($I$10="",$O94="",$P94="",$J$39&lt;&gt;"Yes"),0,IF($K$10=0,SUMIFS(INDIRECT(ADDRESS(12,3+18*1+(4),,,"J1 B - Butcher Terrace")&amp;":"&amp;ADDRESS(130,3+18*1+(4))),'J1 B - Butcher Terrace'!$A$12:$A$130,"&gt;="&amp;Diagram!$O94,'J1 B - Butcher Terrace'!$A$12:$A$130,"&lt;"&amp;Diagram!$P94),SUMIFS(INDIRECT(ADDRESS(12,3+18*1+(12),,,"J1 B - Butcher Terrace")&amp;":"&amp;ADDRESS(130,3+18*1+(12))),'J1 B - Butcher Terrace'!$A$12:$A$130,"&gt;="&amp;Diagram!$O94,'J1 B - Butcher Terrace'!$A$12:$A$130,"&lt;"&amp;Diagram!$P94)))</f>
        <v>0</v>
      </c>
      <c r="CQ94" s="42">
        <f ca="1">IF(OR($I$10="",$O94="",$P94="",$J$39&lt;&gt;"Yes"),0,IF($K$10=0,SUMIFS(INDIRECT(ADDRESS(12,3+18*1+(4),,,"J1 C - (South) Bishopthorpe Roa")&amp;":"&amp;ADDRESS(130,3+18*1+(4))),'J1 C - (South) Bishopthorpe Roa'!$A$12:$A$130,"&gt;="&amp;Diagram!$O94,'J1 C - (South) Bishopthorpe Roa'!$A$12:$A$130,"&lt;"&amp;Diagram!$P94),SUMIFS(INDIRECT(ADDRESS(12,3+18*1+(12),,,"J1 C - (South) Bishopthorpe Roa")&amp;":"&amp;ADDRESS(130,3+18*1+(12))),'J1 C - (South) Bishopthorpe Roa'!$A$12:$A$130,"&gt;="&amp;Diagram!$O94,'J1 C - (South) Bishopthorpe Roa'!$A$12:$A$130,"&lt;"&amp;Diagram!$P94)))</f>
        <v>1</v>
      </c>
      <c r="CR94" s="42">
        <f ca="1">IF(OR($I$10="",$O94="",$P94="",$J$39&lt;&gt;"Yes"),0,IF($K$10=0,SUMIFS(INDIRECT(ADDRESS(12,3+18*2+(4),,,"J1 C - (South) Bishopthorpe Roa")&amp;":"&amp;ADDRESS(130,3+18*2+(4))),'J1 C - (South) Bishopthorpe Roa'!$A$12:$A$130,"&gt;="&amp;Diagram!$O94,'J1 C - (South) Bishopthorpe Roa'!$A$12:$A$130,"&lt;"&amp;Diagram!$P94),SUMIFS(INDIRECT(ADDRESS(12,3+18*2+(12),,,"J1 C - (South) Bishopthorpe Roa")&amp;":"&amp;ADDRESS(130,3+18*2+(12))),'J1 C - (South) Bishopthorpe Roa'!$A$12:$A$130,"&gt;="&amp;Diagram!$O94,'J1 C - (South) Bishopthorpe Roa'!$A$12:$A$130,"&lt;"&amp;Diagram!$P94)))</f>
        <v>0</v>
      </c>
      <c r="CS94" s="42">
        <f ca="1">IF(OR($I$10="",$O94="",$P94="",$J$39&lt;&gt;"Yes"),0,IF($K$10=0,SUMIFS(INDIRECT(ADDRESS(12,3+18*3+(4),,,"J1 C - (South) Bishopthorpe Roa")&amp;":"&amp;ADDRESS(130,3+18*3+(4))),'J1 C - (South) Bishopthorpe Roa'!$A$12:$A$130,"&gt;="&amp;Diagram!$O94,'J1 C - (South) Bishopthorpe Roa'!$A$12:$A$130,"&lt;"&amp;Diagram!$P94),SUMIFS(INDIRECT(ADDRESS(12,3+18*3+(12),,,"J1 C - (South) Bishopthorpe Roa")&amp;":"&amp;ADDRESS(130,3+18*3+(12))),'J1 C - (South) Bishopthorpe Roa'!$A$12:$A$130,"&gt;="&amp;Diagram!$O94,'J1 C - (South) Bishopthorpe Roa'!$A$12:$A$130,"&lt;"&amp;Diagram!$P94)))</f>
        <v>0</v>
      </c>
      <c r="CT94" s="42">
        <f ca="1">IF(OR($I$10="",$O94="",$P94="",$J$39&lt;&gt;"Yes"),0,IF($K$10=0,SUMIFS(INDIRECT(ADDRESS(12,3+18*0+(4),,,"J1 C - (South) Bishopthorpe Roa")&amp;":"&amp;ADDRESS(130,3+18*0+(4))),'J1 C - (South) Bishopthorpe Roa'!$A$12:$A$130,"&gt;="&amp;Diagram!$O94,'J1 C - (South) Bishopthorpe Roa'!$A$12:$A$130,"&lt;"&amp;Diagram!$P94),SUMIFS(INDIRECT(ADDRESS(12,3+18*0+(12),,,"J1 C - (South) Bishopthorpe Roa")&amp;":"&amp;ADDRESS(130,3+18*0+(12))),'J1 C - (South) Bishopthorpe Roa'!$A$12:$A$130,"&gt;="&amp;Diagram!$O94,'J1 C - (South) Bishopthorpe Roa'!$A$12:$A$130,"&lt;"&amp;Diagram!$P94)))</f>
        <v>0</v>
      </c>
      <c r="CU94" s="42">
        <f ca="1">IF(OR($I$10="",$O94="",$P94="",$J$39&lt;&gt;"Yes"),0,IF($K$10=0,SUMIFS(INDIRECT(ADDRESS(12,3+18*0+(4),,,"J1 D - South Bank Avenue")&amp;":"&amp;ADDRESS(130,3+18*0+(4))),'J1 D - South Bank Avenue'!$A$12:$A$130,"&gt;="&amp;Diagram!$O94,'J1 D - South Bank Avenue'!$A$12:$A$130,"&lt;"&amp;Diagram!$P94),SUMIFS(INDIRECT(ADDRESS(12,3+18*0+(12),,,"J1 D - South Bank Avenue")&amp;":"&amp;ADDRESS(130,3+18*0+(12))),'J1 D - South Bank Avenue'!$A$12:$A$130,"&gt;="&amp;Diagram!$O94,'J1 D - South Bank Avenue'!$A$12:$A$130,"&lt;"&amp;Diagram!$P94)))</f>
        <v>0</v>
      </c>
      <c r="CV94" s="42">
        <f ca="1">IF(OR($I$10="",$O94="",$P94="",$J$39&lt;&gt;"Yes"),0,IF($K$10=0,SUMIFS(INDIRECT(ADDRESS(12,3+18*1+(4),,,"J1 D - South Bank Avenue")&amp;":"&amp;ADDRESS(130,3+18*1+(4))),'J1 D - South Bank Avenue'!$A$12:$A$130,"&gt;="&amp;Diagram!$O94,'J1 D - South Bank Avenue'!$A$12:$A$130,"&lt;"&amp;Diagram!$P94),SUMIFS(INDIRECT(ADDRESS(12,3+18*1+(12),,,"J1 D - South Bank Avenue")&amp;":"&amp;ADDRESS(130,3+18*1+(12))),'J1 D - South Bank Avenue'!$A$12:$A$130,"&gt;="&amp;Diagram!$O94,'J1 D - South Bank Avenue'!$A$12:$A$130,"&lt;"&amp;Diagram!$P94)))</f>
        <v>0</v>
      </c>
      <c r="CW94" s="42">
        <f ca="1">IF(OR($I$10="",$O94="",$P94="",$J$39&lt;&gt;"Yes"),0,IF($K$10=0,SUMIFS(INDIRECT(ADDRESS(12,3+18*2+(4),,,"J1 D - South Bank Avenue")&amp;":"&amp;ADDRESS(130,3+18*2+(4))),'J1 D - South Bank Avenue'!$A$12:$A$130,"&gt;="&amp;Diagram!$O94,'J1 D - South Bank Avenue'!$A$12:$A$130,"&lt;"&amp;Diagram!$P94),SUMIFS(INDIRECT(ADDRESS(12,3+18*2+(12),,,"J1 D - South Bank Avenue")&amp;":"&amp;ADDRESS(130,3+18*2+(12))),'J1 D - South Bank Avenue'!$A$12:$A$130,"&gt;="&amp;Diagram!$O94,'J1 D - South Bank Avenue'!$A$12:$A$130,"&lt;"&amp;Diagram!$P94)))</f>
        <v>0</v>
      </c>
      <c r="CX94" s="42">
        <f ca="1">IF(OR($I$10="",$O94="",$P94="",$J$39&lt;&gt;"Yes"),0,IF($K$10=0,SUMIFS(INDIRECT(ADDRESS(12,3+18*3+(4),,,"J1 D - South Bank Avenue")&amp;":"&amp;ADDRESS(130,3+18*3+(4))),'J1 D - South Bank Avenue'!$A$12:$A$130,"&gt;="&amp;Diagram!$O94,'J1 D - South Bank Avenue'!$A$12:$A$130,"&lt;"&amp;Diagram!$P94),SUMIFS(INDIRECT(ADDRESS(12,3+18*3+(12),,,"J1 D - South Bank Avenue")&amp;":"&amp;ADDRESS(130,3+18*3+(12))),'J1 D - South Bank Avenue'!$A$12:$A$130,"&gt;="&amp;Diagram!$O94,'J1 D - South Bank Avenue'!$A$12:$A$130,"&lt;"&amp;Diagram!$P94)))</f>
        <v>0</v>
      </c>
      <c r="CY94" s="42">
        <f t="shared" ca="1" si="16"/>
        <v>23</v>
      </c>
      <c r="CZ94" s="42">
        <f ca="1">IF(OR($I$10="",$O94="",$P94="",$J$40&lt;&gt;"Yes"),0,IF($K$10=0,SUMIFS(INDIRECT(ADDRESS(12,3+18*3+(5),,,"J1 A - (North) Bishopthorpe Roa")&amp;":"&amp;ADDRESS(130,3+18*3+(5))),'J1 A - (North) Bishopthorpe Roa'!$A$12:$A$130,"&gt;="&amp;Diagram!$O94,'J1 A - (North) Bishopthorpe Roa'!$A$12:$A$130,"&lt;"&amp;Diagram!$P94),SUMIFS(INDIRECT(ADDRESS(12,3+18*3+(13),,,"J1 A - (North) Bishopthorpe Roa")&amp;":"&amp;ADDRESS(130,3+18*3+(13))),'J1 A - (North) Bishopthorpe Roa'!$A$12:$A$130,"&gt;="&amp;Diagram!$O94,'J1 A - (North) Bishopthorpe Roa'!$A$12:$A$130,"&lt;"&amp;Diagram!$P94)))</f>
        <v>0</v>
      </c>
      <c r="DA94" s="42">
        <f ca="1">IF(OR($I$10="",$O94="",$P94="",$J$40&lt;&gt;"Yes"),0,IF($K$10=0,SUMIFS(INDIRECT(ADDRESS(12,3+18*0+(5),,,"J1 A - (North) Bishopthorpe Roa")&amp;":"&amp;ADDRESS(130,3+18*0+(5))),'J1 A - (North) Bishopthorpe Roa'!$A$12:$A$130,"&gt;="&amp;Diagram!$O94,'J1 A - (North) Bishopthorpe Roa'!$A$12:$A$130,"&lt;"&amp;Diagram!$P94),SUMIFS(INDIRECT(ADDRESS(12,3+18*0+(13),,,"J1 A - (North) Bishopthorpe Roa")&amp;":"&amp;ADDRESS(130,3+18*0+(13))),'J1 A - (North) Bishopthorpe Roa'!$A$12:$A$130,"&gt;="&amp;Diagram!$O94,'J1 A - (North) Bishopthorpe Roa'!$A$12:$A$130,"&lt;"&amp;Diagram!$P94)))</f>
        <v>1</v>
      </c>
      <c r="DB94" s="42">
        <f ca="1">IF(OR($I$10="",$O94="",$P94="",$J$40&lt;&gt;"Yes"),0,IF($K$10=0,SUMIFS(INDIRECT(ADDRESS(12,3+18*1+(5),,,"J1 A - (North) Bishopthorpe Roa")&amp;":"&amp;ADDRESS(130,3+18*1+(5))),'J1 A - (North) Bishopthorpe Roa'!$A$12:$A$130,"&gt;="&amp;Diagram!$O94,'J1 A - (North) Bishopthorpe Roa'!$A$12:$A$130,"&lt;"&amp;Diagram!$P94),SUMIFS(INDIRECT(ADDRESS(12,3+18*1+(13),,,"J1 A - (North) Bishopthorpe Roa")&amp;":"&amp;ADDRESS(130,3+18*1+(13))),'J1 A - (North) Bishopthorpe Roa'!$A$12:$A$130,"&gt;="&amp;Diagram!$O94,'J1 A - (North) Bishopthorpe Roa'!$A$12:$A$130,"&lt;"&amp;Diagram!$P94)))</f>
        <v>4</v>
      </c>
      <c r="DC94" s="42">
        <f ca="1">IF(OR($I$10="",$O94="",$P94="",$J$40&lt;&gt;"Yes"),0,IF($K$10=0,SUMIFS(INDIRECT(ADDRESS(12,3+18*2+(5),,,"J1 A - (North) Bishopthorpe Roa")&amp;":"&amp;ADDRESS(130,3+18*2+(5))),'J1 A - (North) Bishopthorpe Roa'!$A$12:$A$130,"&gt;="&amp;Diagram!$O94,'J1 A - (North) Bishopthorpe Roa'!$A$12:$A$130,"&lt;"&amp;Diagram!$P94),SUMIFS(INDIRECT(ADDRESS(12,3+18*2+(13),,,"J1 A - (North) Bishopthorpe Roa")&amp;":"&amp;ADDRESS(130,3+18*2+(13))),'J1 A - (North) Bishopthorpe Roa'!$A$12:$A$130,"&gt;="&amp;Diagram!$O94,'J1 A - (North) Bishopthorpe Roa'!$A$12:$A$130,"&lt;"&amp;Diagram!$P94)))</f>
        <v>1</v>
      </c>
      <c r="DD94" s="42">
        <f ca="1">IF(OR($I$10="",$O94="",$P94="",$J$40&lt;&gt;"Yes"),0,IF($K$10=0,SUMIFS(INDIRECT(ADDRESS(12,3+18*2+(5),,,"J1 B - Butcher Terrace")&amp;":"&amp;ADDRESS(130,3+18*2+(5))),'J1 B - Butcher Terrace'!$A$12:$A$130,"&gt;="&amp;Diagram!$O94,'J1 B - Butcher Terrace'!$A$12:$A$130,"&lt;"&amp;Diagram!$P94),SUMIFS(INDIRECT(ADDRESS(12,3+18*2+(13),,,"J1 B - Butcher Terrace")&amp;":"&amp;ADDRESS(130,3+18*2+(13))),'J1 B - Butcher Terrace'!$A$12:$A$130,"&gt;="&amp;Diagram!$O94,'J1 B - Butcher Terrace'!$A$12:$A$130,"&lt;"&amp;Diagram!$P94)))</f>
        <v>1</v>
      </c>
      <c r="DE94" s="42">
        <f ca="1">IF(OR($I$10="",$O94="",$P94="",$J$40&lt;&gt;"Yes"),0,IF($K$10=0,SUMIFS(INDIRECT(ADDRESS(12,3+18*3+(5),,,"J1 B - Butcher Terrace")&amp;":"&amp;ADDRESS(130,3+18*3+(5))),'J1 B - Butcher Terrace'!$A$12:$A$130,"&gt;="&amp;Diagram!$O94,'J1 B - Butcher Terrace'!$A$12:$A$130,"&lt;"&amp;Diagram!$P94),SUMIFS(INDIRECT(ADDRESS(12,3+18*3+(13),,,"J1 B - Butcher Terrace")&amp;":"&amp;ADDRESS(130,3+18*3+(13))),'J1 B - Butcher Terrace'!$A$12:$A$130,"&gt;="&amp;Diagram!$O94,'J1 B - Butcher Terrace'!$A$12:$A$130,"&lt;"&amp;Diagram!$P94)))</f>
        <v>0</v>
      </c>
      <c r="DF94" s="42">
        <f ca="1">IF(OR($I$10="",$O94="",$P94="",$J$40&lt;&gt;"Yes"),0,IF($K$10=0,SUMIFS(INDIRECT(ADDRESS(12,3+18*0+(5),,,"J1 B - Butcher Terrace")&amp;":"&amp;ADDRESS(130,3+18*0+(5))),'J1 B - Butcher Terrace'!$A$12:$A$130,"&gt;="&amp;Diagram!$O94,'J1 B - Butcher Terrace'!$A$12:$A$130,"&lt;"&amp;Diagram!$P94),SUMIFS(INDIRECT(ADDRESS(12,3+18*0+(13),,,"J1 B - Butcher Terrace")&amp;":"&amp;ADDRESS(130,3+18*0+(13))),'J1 B - Butcher Terrace'!$A$12:$A$130,"&gt;="&amp;Diagram!$O94,'J1 B - Butcher Terrace'!$A$12:$A$130,"&lt;"&amp;Diagram!$P94)))</f>
        <v>0</v>
      </c>
      <c r="DG94" s="42">
        <f ca="1">IF(OR($I$10="",$O94="",$P94="",$J$40&lt;&gt;"Yes"),0,IF($K$10=0,SUMIFS(INDIRECT(ADDRESS(12,3+18*1+(5),,,"J1 B - Butcher Terrace")&amp;":"&amp;ADDRESS(130,3+18*1+(5))),'J1 B - Butcher Terrace'!$A$12:$A$130,"&gt;="&amp;Diagram!$O94,'J1 B - Butcher Terrace'!$A$12:$A$130,"&lt;"&amp;Diagram!$P94),SUMIFS(INDIRECT(ADDRESS(12,3+18*1+(13),,,"J1 B - Butcher Terrace")&amp;":"&amp;ADDRESS(130,3+18*1+(13))),'J1 B - Butcher Terrace'!$A$12:$A$130,"&gt;="&amp;Diagram!$O94,'J1 B - Butcher Terrace'!$A$12:$A$130,"&lt;"&amp;Diagram!$P94)))</f>
        <v>11</v>
      </c>
      <c r="DH94" s="42">
        <f ca="1">IF(OR($I$10="",$O94="",$P94="",$J$40&lt;&gt;"Yes"),0,IF($K$10=0,SUMIFS(INDIRECT(ADDRESS(12,3+18*1+(5),,,"J1 C - (South) Bishopthorpe Roa")&amp;":"&amp;ADDRESS(130,3+18*1+(5))),'J1 C - (South) Bishopthorpe Roa'!$A$12:$A$130,"&gt;="&amp;Diagram!$O94,'J1 C - (South) Bishopthorpe Roa'!$A$12:$A$130,"&lt;"&amp;Diagram!$P94),SUMIFS(INDIRECT(ADDRESS(12,3+18*1+(13),,,"J1 C - (South) Bishopthorpe Roa")&amp;":"&amp;ADDRESS(130,3+18*1+(13))),'J1 C - (South) Bishopthorpe Roa'!$A$12:$A$130,"&gt;="&amp;Diagram!$O94,'J1 C - (South) Bishopthorpe Roa'!$A$12:$A$130,"&lt;"&amp;Diagram!$P94)))</f>
        <v>2</v>
      </c>
      <c r="DI94" s="42">
        <f ca="1">IF(OR($I$10="",$O94="",$P94="",$J$40&lt;&gt;"Yes"),0,IF($K$10=0,SUMIFS(INDIRECT(ADDRESS(12,3+18*2+(5),,,"J1 C - (South) Bishopthorpe Roa")&amp;":"&amp;ADDRESS(130,3+18*2+(5))),'J1 C - (South) Bishopthorpe Roa'!$A$12:$A$130,"&gt;="&amp;Diagram!$O94,'J1 C - (South) Bishopthorpe Roa'!$A$12:$A$130,"&lt;"&amp;Diagram!$P94),SUMIFS(INDIRECT(ADDRESS(12,3+18*2+(13),,,"J1 C - (South) Bishopthorpe Roa")&amp;":"&amp;ADDRESS(130,3+18*2+(13))),'J1 C - (South) Bishopthorpe Roa'!$A$12:$A$130,"&gt;="&amp;Diagram!$O94,'J1 C - (South) Bishopthorpe Roa'!$A$12:$A$130,"&lt;"&amp;Diagram!$P94)))</f>
        <v>0</v>
      </c>
      <c r="DJ94" s="42">
        <f ca="1">IF(OR($I$10="",$O94="",$P94="",$J$40&lt;&gt;"Yes"),0,IF($K$10=0,SUMIFS(INDIRECT(ADDRESS(12,3+18*3+(5),,,"J1 C - (South) Bishopthorpe Roa")&amp;":"&amp;ADDRESS(130,3+18*3+(5))),'J1 C - (South) Bishopthorpe Roa'!$A$12:$A$130,"&gt;="&amp;Diagram!$O94,'J1 C - (South) Bishopthorpe Roa'!$A$12:$A$130,"&lt;"&amp;Diagram!$P94),SUMIFS(INDIRECT(ADDRESS(12,3+18*3+(13),,,"J1 C - (South) Bishopthorpe Roa")&amp;":"&amp;ADDRESS(130,3+18*3+(13))),'J1 C - (South) Bishopthorpe Roa'!$A$12:$A$130,"&gt;="&amp;Diagram!$O94,'J1 C - (South) Bishopthorpe Roa'!$A$12:$A$130,"&lt;"&amp;Diagram!$P94)))</f>
        <v>0</v>
      </c>
      <c r="DK94" s="42">
        <f ca="1">IF(OR($I$10="",$O94="",$P94="",$J$40&lt;&gt;"Yes"),0,IF($K$10=0,SUMIFS(INDIRECT(ADDRESS(12,3+18*0+(5),,,"J1 C - (South) Bishopthorpe Roa")&amp;":"&amp;ADDRESS(130,3+18*0+(5))),'J1 C - (South) Bishopthorpe Roa'!$A$12:$A$130,"&gt;="&amp;Diagram!$O94,'J1 C - (South) Bishopthorpe Roa'!$A$12:$A$130,"&lt;"&amp;Diagram!$P94),SUMIFS(INDIRECT(ADDRESS(12,3+18*0+(13),,,"J1 C - (South) Bishopthorpe Roa")&amp;":"&amp;ADDRESS(130,3+18*0+(13))),'J1 C - (South) Bishopthorpe Roa'!$A$12:$A$130,"&gt;="&amp;Diagram!$O94,'J1 C - (South) Bishopthorpe Roa'!$A$12:$A$130,"&lt;"&amp;Diagram!$P94)))</f>
        <v>0</v>
      </c>
      <c r="DL94" s="42">
        <f ca="1">IF(OR($I$10="",$O94="",$P94="",$J$40&lt;&gt;"Yes"),0,IF($K$10=0,SUMIFS(INDIRECT(ADDRESS(12,3+18*0+(5),,,"J1 D - South Bank Avenue")&amp;":"&amp;ADDRESS(130,3+18*0+(5))),'J1 D - South Bank Avenue'!$A$12:$A$130,"&gt;="&amp;Diagram!$O94,'J1 D - South Bank Avenue'!$A$12:$A$130,"&lt;"&amp;Diagram!$P94),SUMIFS(INDIRECT(ADDRESS(12,3+18*0+(13),,,"J1 D - South Bank Avenue")&amp;":"&amp;ADDRESS(130,3+18*0+(13))),'J1 D - South Bank Avenue'!$A$12:$A$130,"&gt;="&amp;Diagram!$O94,'J1 D - South Bank Avenue'!$A$12:$A$130,"&lt;"&amp;Diagram!$P94)))</f>
        <v>0</v>
      </c>
      <c r="DM94" s="42">
        <f ca="1">IF(OR($I$10="",$O94="",$P94="",$J$40&lt;&gt;"Yes"),0,IF($K$10=0,SUMIFS(INDIRECT(ADDRESS(12,3+18*1+(5),,,"J1 D - South Bank Avenue")&amp;":"&amp;ADDRESS(130,3+18*1+(5))),'J1 D - South Bank Avenue'!$A$12:$A$130,"&gt;="&amp;Diagram!$O94,'J1 D - South Bank Avenue'!$A$12:$A$130,"&lt;"&amp;Diagram!$P94),SUMIFS(INDIRECT(ADDRESS(12,3+18*1+(13),,,"J1 D - South Bank Avenue")&amp;":"&amp;ADDRESS(130,3+18*1+(13))),'J1 D - South Bank Avenue'!$A$12:$A$130,"&gt;="&amp;Diagram!$O94,'J1 D - South Bank Avenue'!$A$12:$A$130,"&lt;"&amp;Diagram!$P94)))</f>
        <v>3</v>
      </c>
      <c r="DN94" s="42">
        <f ca="1">IF(OR($I$10="",$O94="",$P94="",$J$40&lt;&gt;"Yes"),0,IF($K$10=0,SUMIFS(INDIRECT(ADDRESS(12,3+18*2+(5),,,"J1 D - South Bank Avenue")&amp;":"&amp;ADDRESS(130,3+18*2+(5))),'J1 D - South Bank Avenue'!$A$12:$A$130,"&gt;="&amp;Diagram!$O94,'J1 D - South Bank Avenue'!$A$12:$A$130,"&lt;"&amp;Diagram!$P94),SUMIFS(INDIRECT(ADDRESS(12,3+18*2+(13),,,"J1 D - South Bank Avenue")&amp;":"&amp;ADDRESS(130,3+18*2+(13))),'J1 D - South Bank Avenue'!$A$12:$A$130,"&gt;="&amp;Diagram!$O94,'J1 D - South Bank Avenue'!$A$12:$A$130,"&lt;"&amp;Diagram!$P94)))</f>
        <v>0</v>
      </c>
      <c r="DO94" s="42">
        <f ca="1">IF(OR($I$10="",$O94="",$P94="",$J$40&lt;&gt;"Yes"),0,IF($K$10=0,SUMIFS(INDIRECT(ADDRESS(12,3+18*3+(5),,,"J1 D - South Bank Avenue")&amp;":"&amp;ADDRESS(130,3+18*3+(5))),'J1 D - South Bank Avenue'!$A$12:$A$130,"&gt;="&amp;Diagram!$O94,'J1 D - South Bank Avenue'!$A$12:$A$130,"&lt;"&amp;Diagram!$P94),SUMIFS(INDIRECT(ADDRESS(12,3+18*3+(13),,,"J1 D - South Bank Avenue")&amp;":"&amp;ADDRESS(130,3+18*3+(13))),'J1 D - South Bank Avenue'!$A$12:$A$130,"&gt;="&amp;Diagram!$O94,'J1 D - South Bank Avenue'!$A$12:$A$130,"&lt;"&amp;Diagram!$P94)))</f>
        <v>0</v>
      </c>
      <c r="DP94" s="42">
        <f t="shared" ca="1" si="17"/>
        <v>0</v>
      </c>
      <c r="DQ94" s="42">
        <f ca="1">IF(OR($I$10="",$O94="",$P94="",$J$41&lt;&gt;"Yes"),0,IF($K$10=0,SUMIFS(INDIRECT(ADDRESS(12,3+18*3+(6),,,"J1 A - (North) Bishopthorpe Roa")&amp;":"&amp;ADDRESS(130,3+18*3+(6))),'J1 A - (North) Bishopthorpe Roa'!$A$12:$A$130,"&gt;="&amp;Diagram!$O94,'J1 A - (North) Bishopthorpe Roa'!$A$12:$A$130,"&lt;"&amp;Diagram!$P94),SUMIFS(INDIRECT(ADDRESS(12,3+18*3+(14),,,"J1 A - (North) Bishopthorpe Roa")&amp;":"&amp;ADDRESS(130,3+18*3+(14))),'J1 A - (North) Bishopthorpe Roa'!$A$12:$A$130,"&gt;="&amp;Diagram!$O94,'J1 A - (North) Bishopthorpe Roa'!$A$12:$A$130,"&lt;"&amp;Diagram!$P94)))</f>
        <v>0</v>
      </c>
      <c r="DR94" s="42">
        <f ca="1">IF(OR($I$10="",$O94="",$P94="",$J$41&lt;&gt;"Yes"),0,IF($K$10=0,SUMIFS(INDIRECT(ADDRESS(12,3+18*0+(6),,,"J1 A - (North) Bishopthorpe Roa")&amp;":"&amp;ADDRESS(130,3+18*0+(6))),'J1 A - (North) Bishopthorpe Roa'!$A$12:$A$130,"&gt;="&amp;Diagram!$O94,'J1 A - (North) Bishopthorpe Roa'!$A$12:$A$130,"&lt;"&amp;Diagram!$P94),SUMIFS(INDIRECT(ADDRESS(12,3+18*0+(14),,,"J1 A - (North) Bishopthorpe Roa")&amp;":"&amp;ADDRESS(130,3+18*0+(14))),'J1 A - (North) Bishopthorpe Roa'!$A$12:$A$130,"&gt;="&amp;Diagram!$O94,'J1 A - (North) Bishopthorpe Roa'!$A$12:$A$130,"&lt;"&amp;Diagram!$P94)))</f>
        <v>0</v>
      </c>
      <c r="DS94" s="42">
        <f ca="1">IF(OR($I$10="",$O94="",$P94="",$J$41&lt;&gt;"Yes"),0,IF($K$10=0,SUMIFS(INDIRECT(ADDRESS(12,3+18*1+(6),,,"J1 A - (North) Bishopthorpe Roa")&amp;":"&amp;ADDRESS(130,3+18*1+(6))),'J1 A - (North) Bishopthorpe Roa'!$A$12:$A$130,"&gt;="&amp;Diagram!$O94,'J1 A - (North) Bishopthorpe Roa'!$A$12:$A$130,"&lt;"&amp;Diagram!$P94),SUMIFS(INDIRECT(ADDRESS(12,3+18*1+(14),,,"J1 A - (North) Bishopthorpe Roa")&amp;":"&amp;ADDRESS(130,3+18*1+(14))),'J1 A - (North) Bishopthorpe Roa'!$A$12:$A$130,"&gt;="&amp;Diagram!$O94,'J1 A - (North) Bishopthorpe Roa'!$A$12:$A$130,"&lt;"&amp;Diagram!$P94)))</f>
        <v>0</v>
      </c>
      <c r="DT94" s="42">
        <f ca="1">IF(OR($I$10="",$O94="",$P94="",$J$41&lt;&gt;"Yes"),0,IF($K$10=0,SUMIFS(INDIRECT(ADDRESS(12,3+18*2+(6),,,"J1 A - (North) Bishopthorpe Roa")&amp;":"&amp;ADDRESS(130,3+18*2+(6))),'J1 A - (North) Bishopthorpe Roa'!$A$12:$A$130,"&gt;="&amp;Diagram!$O94,'J1 A - (North) Bishopthorpe Roa'!$A$12:$A$130,"&lt;"&amp;Diagram!$P94),SUMIFS(INDIRECT(ADDRESS(12,3+18*2+(14),,,"J1 A - (North) Bishopthorpe Roa")&amp;":"&amp;ADDRESS(130,3+18*2+(14))),'J1 A - (North) Bishopthorpe Roa'!$A$12:$A$130,"&gt;="&amp;Diagram!$O94,'J1 A - (North) Bishopthorpe Roa'!$A$12:$A$130,"&lt;"&amp;Diagram!$P94)))</f>
        <v>0</v>
      </c>
      <c r="DU94" s="42">
        <f ca="1">IF(OR($I$10="",$O94="",$P94="",$J$41&lt;&gt;"Yes"),0,IF($K$10=0,SUMIFS(INDIRECT(ADDRESS(12,3+18*2+(6),,,"J1 B - Butcher Terrace")&amp;":"&amp;ADDRESS(130,3+18*2+(6))),'J1 B - Butcher Terrace'!$A$12:$A$130,"&gt;="&amp;Diagram!$O94,'J1 B - Butcher Terrace'!$A$12:$A$130,"&lt;"&amp;Diagram!$P94),SUMIFS(INDIRECT(ADDRESS(12,3+18*2+(14),,,"J1 B - Butcher Terrace")&amp;":"&amp;ADDRESS(130,3+18*2+(14))),'J1 B - Butcher Terrace'!$A$12:$A$130,"&gt;="&amp;Diagram!$O94,'J1 B - Butcher Terrace'!$A$12:$A$130,"&lt;"&amp;Diagram!$P94)))</f>
        <v>0</v>
      </c>
      <c r="DV94" s="42">
        <f ca="1">IF(OR($I$10="",$O94="",$P94="",$J$41&lt;&gt;"Yes"),0,IF($K$10=0,SUMIFS(INDIRECT(ADDRESS(12,3+18*3+(6),,,"J1 B - Butcher Terrace")&amp;":"&amp;ADDRESS(130,3+18*3+(6))),'J1 B - Butcher Terrace'!$A$12:$A$130,"&gt;="&amp;Diagram!$O94,'J1 B - Butcher Terrace'!$A$12:$A$130,"&lt;"&amp;Diagram!$P94),SUMIFS(INDIRECT(ADDRESS(12,3+18*3+(14),,,"J1 B - Butcher Terrace")&amp;":"&amp;ADDRESS(130,3+18*3+(14))),'J1 B - Butcher Terrace'!$A$12:$A$130,"&gt;="&amp;Diagram!$O94,'J1 B - Butcher Terrace'!$A$12:$A$130,"&lt;"&amp;Diagram!$P94)))</f>
        <v>0</v>
      </c>
      <c r="DW94" s="42">
        <f ca="1">IF(OR($I$10="",$O94="",$P94="",$J$41&lt;&gt;"Yes"),0,IF($K$10=0,SUMIFS(INDIRECT(ADDRESS(12,3+18*0+(6),,,"J1 B - Butcher Terrace")&amp;":"&amp;ADDRESS(130,3+18*0+(6))),'J1 B - Butcher Terrace'!$A$12:$A$130,"&gt;="&amp;Diagram!$O94,'J1 B - Butcher Terrace'!$A$12:$A$130,"&lt;"&amp;Diagram!$P94),SUMIFS(INDIRECT(ADDRESS(12,3+18*0+(14),,,"J1 B - Butcher Terrace")&amp;":"&amp;ADDRESS(130,3+18*0+(14))),'J1 B - Butcher Terrace'!$A$12:$A$130,"&gt;="&amp;Diagram!$O94,'J1 B - Butcher Terrace'!$A$12:$A$130,"&lt;"&amp;Diagram!$P94)))</f>
        <v>0</v>
      </c>
      <c r="DX94" s="42">
        <f ca="1">IF(OR($I$10="",$O94="",$P94="",$J$41&lt;&gt;"Yes"),0,IF($K$10=0,SUMIFS(INDIRECT(ADDRESS(12,3+18*1+(6),,,"J1 B - Butcher Terrace")&amp;":"&amp;ADDRESS(130,3+18*1+(6))),'J1 B - Butcher Terrace'!$A$12:$A$130,"&gt;="&amp;Diagram!$O94,'J1 B - Butcher Terrace'!$A$12:$A$130,"&lt;"&amp;Diagram!$P94),SUMIFS(INDIRECT(ADDRESS(12,3+18*1+(14),,,"J1 B - Butcher Terrace")&amp;":"&amp;ADDRESS(130,3+18*1+(14))),'J1 B - Butcher Terrace'!$A$12:$A$130,"&gt;="&amp;Diagram!$O94,'J1 B - Butcher Terrace'!$A$12:$A$130,"&lt;"&amp;Diagram!$P94)))</f>
        <v>0</v>
      </c>
      <c r="DY94" s="42">
        <f ca="1">IF(OR($I$10="",$O94="",$P94="",$J$41&lt;&gt;"Yes"),0,IF($K$10=0,SUMIFS(INDIRECT(ADDRESS(12,3+18*1+(6),,,"J1 C - (South) Bishopthorpe Roa")&amp;":"&amp;ADDRESS(130,3+18*1+(6))),'J1 C - (South) Bishopthorpe Roa'!$A$12:$A$130,"&gt;="&amp;Diagram!$O94,'J1 C - (South) Bishopthorpe Roa'!$A$12:$A$130,"&lt;"&amp;Diagram!$P94),SUMIFS(INDIRECT(ADDRESS(12,3+18*1+(14),,,"J1 C - (South) Bishopthorpe Roa")&amp;":"&amp;ADDRESS(130,3+18*1+(14))),'J1 C - (South) Bishopthorpe Roa'!$A$12:$A$130,"&gt;="&amp;Diagram!$O94,'J1 C - (South) Bishopthorpe Roa'!$A$12:$A$130,"&lt;"&amp;Diagram!$P94)))</f>
        <v>0</v>
      </c>
      <c r="DZ94" s="42">
        <f ca="1">IF(OR($I$10="",$O94="",$P94="",$J$41&lt;&gt;"Yes"),0,IF($K$10=0,SUMIFS(INDIRECT(ADDRESS(12,3+18*2+(6),,,"J1 C - (South) Bishopthorpe Roa")&amp;":"&amp;ADDRESS(130,3+18*2+(6))),'J1 C - (South) Bishopthorpe Roa'!$A$12:$A$130,"&gt;="&amp;Diagram!$O94,'J1 C - (South) Bishopthorpe Roa'!$A$12:$A$130,"&lt;"&amp;Diagram!$P94),SUMIFS(INDIRECT(ADDRESS(12,3+18*2+(14),,,"J1 C - (South) Bishopthorpe Roa")&amp;":"&amp;ADDRESS(130,3+18*2+(14))),'J1 C - (South) Bishopthorpe Roa'!$A$12:$A$130,"&gt;="&amp;Diagram!$O94,'J1 C - (South) Bishopthorpe Roa'!$A$12:$A$130,"&lt;"&amp;Diagram!$P94)))</f>
        <v>0</v>
      </c>
      <c r="EA94" s="42">
        <f ca="1">IF(OR($I$10="",$O94="",$P94="",$J$41&lt;&gt;"Yes"),0,IF($K$10=0,SUMIFS(INDIRECT(ADDRESS(12,3+18*3+(6),,,"J1 C - (South) Bishopthorpe Roa")&amp;":"&amp;ADDRESS(130,3+18*3+(6))),'J1 C - (South) Bishopthorpe Roa'!$A$12:$A$130,"&gt;="&amp;Diagram!$O94,'J1 C - (South) Bishopthorpe Roa'!$A$12:$A$130,"&lt;"&amp;Diagram!$P94),SUMIFS(INDIRECT(ADDRESS(12,3+18*3+(14),,,"J1 C - (South) Bishopthorpe Roa")&amp;":"&amp;ADDRESS(130,3+18*3+(14))),'J1 C - (South) Bishopthorpe Roa'!$A$12:$A$130,"&gt;="&amp;Diagram!$O94,'J1 C - (South) Bishopthorpe Roa'!$A$12:$A$130,"&lt;"&amp;Diagram!$P94)))</f>
        <v>0</v>
      </c>
      <c r="EB94" s="42">
        <f ca="1">IF(OR($I$10="",$O94="",$P94="",$J$41&lt;&gt;"Yes"),0,IF($K$10=0,SUMIFS(INDIRECT(ADDRESS(12,3+18*0+(6),,,"J1 C - (South) Bishopthorpe Roa")&amp;":"&amp;ADDRESS(130,3+18*0+(6))),'J1 C - (South) Bishopthorpe Roa'!$A$12:$A$130,"&gt;="&amp;Diagram!$O94,'J1 C - (South) Bishopthorpe Roa'!$A$12:$A$130,"&lt;"&amp;Diagram!$P94),SUMIFS(INDIRECT(ADDRESS(12,3+18*0+(14),,,"J1 C - (South) Bishopthorpe Roa")&amp;":"&amp;ADDRESS(130,3+18*0+(14))),'J1 C - (South) Bishopthorpe Roa'!$A$12:$A$130,"&gt;="&amp;Diagram!$O94,'J1 C - (South) Bishopthorpe Roa'!$A$12:$A$130,"&lt;"&amp;Diagram!$P94)))</f>
        <v>0</v>
      </c>
      <c r="EC94" s="42">
        <f ca="1">IF(OR($I$10="",$O94="",$P94="",$J$41&lt;&gt;"Yes"),0,IF($K$10=0,SUMIFS(INDIRECT(ADDRESS(12,3+18*0+(6),,,"J1 D - South Bank Avenue")&amp;":"&amp;ADDRESS(130,3+18*0+(6))),'J1 D - South Bank Avenue'!$A$12:$A$130,"&gt;="&amp;Diagram!$O94,'J1 D - South Bank Avenue'!$A$12:$A$130,"&lt;"&amp;Diagram!$P94),SUMIFS(INDIRECT(ADDRESS(12,3+18*0+(14),,,"J1 D - South Bank Avenue")&amp;":"&amp;ADDRESS(130,3+18*0+(14))),'J1 D - South Bank Avenue'!$A$12:$A$130,"&gt;="&amp;Diagram!$O94,'J1 D - South Bank Avenue'!$A$12:$A$130,"&lt;"&amp;Diagram!$P94)))</f>
        <v>0</v>
      </c>
      <c r="ED94" s="42">
        <f ca="1">IF(OR($I$10="",$O94="",$P94="",$J$41&lt;&gt;"Yes"),0,IF($K$10=0,SUMIFS(INDIRECT(ADDRESS(12,3+18*1+(6),,,"J1 D - South Bank Avenue")&amp;":"&amp;ADDRESS(130,3+18*1+(6))),'J1 D - South Bank Avenue'!$A$12:$A$130,"&gt;="&amp;Diagram!$O94,'J1 D - South Bank Avenue'!$A$12:$A$130,"&lt;"&amp;Diagram!$P94),SUMIFS(INDIRECT(ADDRESS(12,3+18*1+(14),,,"J1 D - South Bank Avenue")&amp;":"&amp;ADDRESS(130,3+18*1+(14))),'J1 D - South Bank Avenue'!$A$12:$A$130,"&gt;="&amp;Diagram!$O94,'J1 D - South Bank Avenue'!$A$12:$A$130,"&lt;"&amp;Diagram!$P94)))</f>
        <v>0</v>
      </c>
      <c r="EE94" s="42">
        <f ca="1">IF(OR($I$10="",$O94="",$P94="",$J$41&lt;&gt;"Yes"),0,IF($K$10=0,SUMIFS(INDIRECT(ADDRESS(12,3+18*2+(6),,,"J1 D - South Bank Avenue")&amp;":"&amp;ADDRESS(130,3+18*2+(6))),'J1 D - South Bank Avenue'!$A$12:$A$130,"&gt;="&amp;Diagram!$O94,'J1 D - South Bank Avenue'!$A$12:$A$130,"&lt;"&amp;Diagram!$P94),SUMIFS(INDIRECT(ADDRESS(12,3+18*2+(14),,,"J1 D - South Bank Avenue")&amp;":"&amp;ADDRESS(130,3+18*2+(14))),'J1 D - South Bank Avenue'!$A$12:$A$130,"&gt;="&amp;Diagram!$O94,'J1 D - South Bank Avenue'!$A$12:$A$130,"&lt;"&amp;Diagram!$P94)))</f>
        <v>0</v>
      </c>
      <c r="EF94" s="42">
        <f ca="1">IF(OR($I$10="",$O94="",$P94="",$J$41&lt;&gt;"Yes"),0,IF($K$10=0,SUMIFS(INDIRECT(ADDRESS(12,3+18*3+(6),,,"J1 D - South Bank Avenue")&amp;":"&amp;ADDRESS(130,3+18*3+(6))),'J1 D - South Bank Avenue'!$A$12:$A$130,"&gt;="&amp;Diagram!$O94,'J1 D - South Bank Avenue'!$A$12:$A$130,"&lt;"&amp;Diagram!$P94),SUMIFS(INDIRECT(ADDRESS(12,3+18*3+(14),,,"J1 D - South Bank Avenue")&amp;":"&amp;ADDRESS(130,3+18*3+(14))),'J1 D - South Bank Avenue'!$A$12:$A$130,"&gt;="&amp;Diagram!$O94,'J1 D - South Bank Avenue'!$A$12:$A$130,"&lt;"&amp;Diagram!$P94)))</f>
        <v>0</v>
      </c>
      <c r="EG94" s="42">
        <f t="shared" ca="1" si="18"/>
        <v>0</v>
      </c>
      <c r="EH94" s="42">
        <f ca="1">IF(OR($I$10="",$O94="",$P94="",$J$42&lt;&gt;"Yes"),0,IF($K$10=0,SUMIFS(INDIRECT(ADDRESS(12,3+18*3+(7),,,"J1 A - (North) Bishopthorpe Roa")&amp;":"&amp;ADDRESS(130,3+18*3+(7))),'J1 A - (North) Bishopthorpe Roa'!$A$12:$A$130,"&gt;="&amp;Diagram!$O94,'J1 A - (North) Bishopthorpe Roa'!$A$12:$A$130,"&lt;"&amp;Diagram!$P94),SUMIFS(INDIRECT(ADDRESS(12,3+18*3+(15),,,"J1 A - (North) Bishopthorpe Roa")&amp;":"&amp;ADDRESS(130,3+18*3+(15))),'J1 A - (North) Bishopthorpe Roa'!$A$12:$A$130,"&gt;="&amp;Diagram!$O94,'J1 A - (North) Bishopthorpe Roa'!$A$12:$A$130,"&lt;"&amp;Diagram!$P94)))</f>
        <v>0</v>
      </c>
      <c r="EI94" s="42">
        <f ca="1">IF(OR($I$10="",$O94="",$P94="",$J$42&lt;&gt;"Yes"),0,IF($K$10=0,SUMIFS(INDIRECT(ADDRESS(12,3+18*0+(7),,,"J1 A - (North) Bishopthorpe Roa")&amp;":"&amp;ADDRESS(130,3+18*0+(7))),'J1 A - (North) Bishopthorpe Roa'!$A$12:$A$130,"&gt;="&amp;Diagram!$O94,'J1 A - (North) Bishopthorpe Roa'!$A$12:$A$130,"&lt;"&amp;Diagram!$P94),SUMIFS(INDIRECT(ADDRESS(12,3+18*0+(15),,,"J1 A - (North) Bishopthorpe Roa")&amp;":"&amp;ADDRESS(130,3+18*0+(15))),'J1 A - (North) Bishopthorpe Roa'!$A$12:$A$130,"&gt;="&amp;Diagram!$O94,'J1 A - (North) Bishopthorpe Roa'!$A$12:$A$130,"&lt;"&amp;Diagram!$P94)))</f>
        <v>0</v>
      </c>
      <c r="EJ94" s="42">
        <f ca="1">IF(OR($I$10="",$O94="",$P94="",$J$42&lt;&gt;"Yes"),0,IF($K$10=0,SUMIFS(INDIRECT(ADDRESS(12,3+18*1+(7),,,"J1 A - (North) Bishopthorpe Roa")&amp;":"&amp;ADDRESS(130,3+18*1+(7))),'J1 A - (North) Bishopthorpe Roa'!$A$12:$A$130,"&gt;="&amp;Diagram!$O94,'J1 A - (North) Bishopthorpe Roa'!$A$12:$A$130,"&lt;"&amp;Diagram!$P94),SUMIFS(INDIRECT(ADDRESS(12,3+18*1+(15),,,"J1 A - (North) Bishopthorpe Roa")&amp;":"&amp;ADDRESS(130,3+18*1+(15))),'J1 A - (North) Bishopthorpe Roa'!$A$12:$A$130,"&gt;="&amp;Diagram!$O94,'J1 A - (North) Bishopthorpe Roa'!$A$12:$A$130,"&lt;"&amp;Diagram!$P94)))</f>
        <v>0</v>
      </c>
      <c r="EK94" s="42">
        <f ca="1">IF(OR($I$10="",$O94="",$P94="",$J$42&lt;&gt;"Yes"),0,IF($K$10=0,SUMIFS(INDIRECT(ADDRESS(12,3+18*2+(7),,,"J1 A - (North) Bishopthorpe Roa")&amp;":"&amp;ADDRESS(130,3+18*2+(7))),'J1 A - (North) Bishopthorpe Roa'!$A$12:$A$130,"&gt;="&amp;Diagram!$O94,'J1 A - (North) Bishopthorpe Roa'!$A$12:$A$130,"&lt;"&amp;Diagram!$P94),SUMIFS(INDIRECT(ADDRESS(12,3+18*2+(15),,,"J1 A - (North) Bishopthorpe Roa")&amp;":"&amp;ADDRESS(130,3+18*2+(15))),'J1 A - (North) Bishopthorpe Roa'!$A$12:$A$130,"&gt;="&amp;Diagram!$O94,'J1 A - (North) Bishopthorpe Roa'!$A$12:$A$130,"&lt;"&amp;Diagram!$P94)))</f>
        <v>0</v>
      </c>
      <c r="EL94" s="42">
        <f ca="1">IF(OR($I$10="",$O94="",$P94="",$J$42&lt;&gt;"Yes"),0,IF($K$10=0,SUMIFS(INDIRECT(ADDRESS(12,3+18*2+(7),,,"J1 B - Butcher Terrace")&amp;":"&amp;ADDRESS(130,3+18*2+(7))),'J1 B - Butcher Terrace'!$A$12:$A$130,"&gt;="&amp;Diagram!$O94,'J1 B - Butcher Terrace'!$A$12:$A$130,"&lt;"&amp;Diagram!$P94),SUMIFS(INDIRECT(ADDRESS(12,3+18*2+(15),,,"J1 B - Butcher Terrace")&amp;":"&amp;ADDRESS(130,3+18*2+(15))),'J1 B - Butcher Terrace'!$A$12:$A$130,"&gt;="&amp;Diagram!$O94,'J1 B - Butcher Terrace'!$A$12:$A$130,"&lt;"&amp;Diagram!$P94)))</f>
        <v>0</v>
      </c>
      <c r="EM94" s="42">
        <f ca="1">IF(OR($I$10="",$O94="",$P94="",$J$42&lt;&gt;"Yes"),0,IF($K$10=0,SUMIFS(INDIRECT(ADDRESS(12,3+18*3+(7),,,"J1 B - Butcher Terrace")&amp;":"&amp;ADDRESS(130,3+18*3+(7))),'J1 B - Butcher Terrace'!$A$12:$A$130,"&gt;="&amp;Diagram!$O94,'J1 B - Butcher Terrace'!$A$12:$A$130,"&lt;"&amp;Diagram!$P94),SUMIFS(INDIRECT(ADDRESS(12,3+18*3+(15),,,"J1 B - Butcher Terrace")&amp;":"&amp;ADDRESS(130,3+18*3+(15))),'J1 B - Butcher Terrace'!$A$12:$A$130,"&gt;="&amp;Diagram!$O94,'J1 B - Butcher Terrace'!$A$12:$A$130,"&lt;"&amp;Diagram!$P94)))</f>
        <v>0</v>
      </c>
      <c r="EN94" s="42">
        <f ca="1">IF(OR($I$10="",$O94="",$P94="",$J$42&lt;&gt;"Yes"),0,IF($K$10=0,SUMIFS(INDIRECT(ADDRESS(12,3+18*0+(7),,,"J1 B - Butcher Terrace")&amp;":"&amp;ADDRESS(130,3+18*0+(7))),'J1 B - Butcher Terrace'!$A$12:$A$130,"&gt;="&amp;Diagram!$O94,'J1 B - Butcher Terrace'!$A$12:$A$130,"&lt;"&amp;Diagram!$P94),SUMIFS(INDIRECT(ADDRESS(12,3+18*0+(15),,,"J1 B - Butcher Terrace")&amp;":"&amp;ADDRESS(130,3+18*0+(15))),'J1 B - Butcher Terrace'!$A$12:$A$130,"&gt;="&amp;Diagram!$O94,'J1 B - Butcher Terrace'!$A$12:$A$130,"&lt;"&amp;Diagram!$P94)))</f>
        <v>0</v>
      </c>
      <c r="EO94" s="42">
        <f ca="1">IF(OR($I$10="",$O94="",$P94="",$J$42&lt;&gt;"Yes"),0,IF($K$10=0,SUMIFS(INDIRECT(ADDRESS(12,3+18*1+(7),,,"J1 B - Butcher Terrace")&amp;":"&amp;ADDRESS(130,3+18*1+(7))),'J1 B - Butcher Terrace'!$A$12:$A$130,"&gt;="&amp;Diagram!$O94,'J1 B - Butcher Terrace'!$A$12:$A$130,"&lt;"&amp;Diagram!$P94),SUMIFS(INDIRECT(ADDRESS(12,3+18*1+(15),,,"J1 B - Butcher Terrace")&amp;":"&amp;ADDRESS(130,3+18*1+(15))),'J1 B - Butcher Terrace'!$A$12:$A$130,"&gt;="&amp;Diagram!$O94,'J1 B - Butcher Terrace'!$A$12:$A$130,"&lt;"&amp;Diagram!$P94)))</f>
        <v>0</v>
      </c>
      <c r="EP94" s="42">
        <f ca="1">IF(OR($I$10="",$O94="",$P94="",$J$42&lt;&gt;"Yes"),0,IF($K$10=0,SUMIFS(INDIRECT(ADDRESS(12,3+18*1+(7),,,"J1 C - (South) Bishopthorpe Roa")&amp;":"&amp;ADDRESS(130,3+18*1+(7))),'J1 C - (South) Bishopthorpe Roa'!$A$12:$A$130,"&gt;="&amp;Diagram!$O94,'J1 C - (South) Bishopthorpe Roa'!$A$12:$A$130,"&lt;"&amp;Diagram!$P94),SUMIFS(INDIRECT(ADDRESS(12,3+18*1+(15),,,"J1 C - (South) Bishopthorpe Roa")&amp;":"&amp;ADDRESS(130,3+18*1+(15))),'J1 C - (South) Bishopthorpe Roa'!$A$12:$A$130,"&gt;="&amp;Diagram!$O94,'J1 C - (South) Bishopthorpe Roa'!$A$12:$A$130,"&lt;"&amp;Diagram!$P94)))</f>
        <v>0</v>
      </c>
      <c r="EQ94" s="42">
        <f ca="1">IF(OR($I$10="",$O94="",$P94="",$J$42&lt;&gt;"Yes"),0,IF($K$10=0,SUMIFS(INDIRECT(ADDRESS(12,3+18*2+(7),,,"J1 C - (South) Bishopthorpe Roa")&amp;":"&amp;ADDRESS(130,3+18*2+(7))),'J1 C - (South) Bishopthorpe Roa'!$A$12:$A$130,"&gt;="&amp;Diagram!$O94,'J1 C - (South) Bishopthorpe Roa'!$A$12:$A$130,"&lt;"&amp;Diagram!$P94),SUMIFS(INDIRECT(ADDRESS(12,3+18*2+(15),,,"J1 C - (South) Bishopthorpe Roa")&amp;":"&amp;ADDRESS(130,3+18*2+(15))),'J1 C - (South) Bishopthorpe Roa'!$A$12:$A$130,"&gt;="&amp;Diagram!$O94,'J1 C - (South) Bishopthorpe Roa'!$A$12:$A$130,"&lt;"&amp;Diagram!$P94)))</f>
        <v>0</v>
      </c>
      <c r="ER94" s="42">
        <f ca="1">IF(OR($I$10="",$O94="",$P94="",$J$42&lt;&gt;"Yes"),0,IF($K$10=0,SUMIFS(INDIRECT(ADDRESS(12,3+18*3+(7),,,"J1 C - (South) Bishopthorpe Roa")&amp;":"&amp;ADDRESS(130,3+18*3+(7))),'J1 C - (South) Bishopthorpe Roa'!$A$12:$A$130,"&gt;="&amp;Diagram!$O94,'J1 C - (South) Bishopthorpe Roa'!$A$12:$A$130,"&lt;"&amp;Diagram!$P94),SUMIFS(INDIRECT(ADDRESS(12,3+18*3+(15),,,"J1 C - (South) Bishopthorpe Roa")&amp;":"&amp;ADDRESS(130,3+18*3+(15))),'J1 C - (South) Bishopthorpe Roa'!$A$12:$A$130,"&gt;="&amp;Diagram!$O94,'J1 C - (South) Bishopthorpe Roa'!$A$12:$A$130,"&lt;"&amp;Diagram!$P94)))</f>
        <v>0</v>
      </c>
      <c r="ES94" s="42">
        <f ca="1">IF(OR($I$10="",$O94="",$P94="",$J$42&lt;&gt;"Yes"),0,IF($K$10=0,SUMIFS(INDIRECT(ADDRESS(12,3+18*0+(7),,,"J1 C - (South) Bishopthorpe Roa")&amp;":"&amp;ADDRESS(130,3+18*0+(7))),'J1 C - (South) Bishopthorpe Roa'!$A$12:$A$130,"&gt;="&amp;Diagram!$O94,'J1 C - (South) Bishopthorpe Roa'!$A$12:$A$130,"&lt;"&amp;Diagram!$P94),SUMIFS(INDIRECT(ADDRESS(12,3+18*0+(15),,,"J1 C - (South) Bishopthorpe Roa")&amp;":"&amp;ADDRESS(130,3+18*0+(15))),'J1 C - (South) Bishopthorpe Roa'!$A$12:$A$130,"&gt;="&amp;Diagram!$O94,'J1 C - (South) Bishopthorpe Roa'!$A$12:$A$130,"&lt;"&amp;Diagram!$P94)))</f>
        <v>0</v>
      </c>
      <c r="ET94" s="42">
        <f ca="1">IF(OR($I$10="",$O94="",$P94="",$J$42&lt;&gt;"Yes"),0,IF($K$10=0,SUMIFS(INDIRECT(ADDRESS(12,3+18*0+(7),,,"J1 D - South Bank Avenue")&amp;":"&amp;ADDRESS(130,3+18*0+(7))),'J1 D - South Bank Avenue'!$A$12:$A$130,"&gt;="&amp;Diagram!$O94,'J1 D - South Bank Avenue'!$A$12:$A$130,"&lt;"&amp;Diagram!$P94),SUMIFS(INDIRECT(ADDRESS(12,3+18*0+(15),,,"J1 D - South Bank Avenue")&amp;":"&amp;ADDRESS(130,3+18*0+(15))),'J1 D - South Bank Avenue'!$A$12:$A$130,"&gt;="&amp;Diagram!$O94,'J1 D - South Bank Avenue'!$A$12:$A$130,"&lt;"&amp;Diagram!$P94)))</f>
        <v>0</v>
      </c>
      <c r="EU94" s="42">
        <f ca="1">IF(OR($I$10="",$O94="",$P94="",$J$42&lt;&gt;"Yes"),0,IF($K$10=0,SUMIFS(INDIRECT(ADDRESS(12,3+18*1+(7),,,"J1 D - South Bank Avenue")&amp;":"&amp;ADDRESS(130,3+18*1+(7))),'J1 D - South Bank Avenue'!$A$12:$A$130,"&gt;="&amp;Diagram!$O94,'J1 D - South Bank Avenue'!$A$12:$A$130,"&lt;"&amp;Diagram!$P94),SUMIFS(INDIRECT(ADDRESS(12,3+18*1+(15),,,"J1 D - South Bank Avenue")&amp;":"&amp;ADDRESS(130,3+18*1+(15))),'J1 D - South Bank Avenue'!$A$12:$A$130,"&gt;="&amp;Diagram!$O94,'J1 D - South Bank Avenue'!$A$12:$A$130,"&lt;"&amp;Diagram!$P94)))</f>
        <v>0</v>
      </c>
      <c r="EV94" s="42">
        <f ca="1">IF(OR($I$10="",$O94="",$P94="",$J$42&lt;&gt;"Yes"),0,IF($K$10=0,SUMIFS(INDIRECT(ADDRESS(12,3+18*2+(7),,,"J1 D - South Bank Avenue")&amp;":"&amp;ADDRESS(130,3+18*2+(7))),'J1 D - South Bank Avenue'!$A$12:$A$130,"&gt;="&amp;Diagram!$O94,'J1 D - South Bank Avenue'!$A$12:$A$130,"&lt;"&amp;Diagram!$P94),SUMIFS(INDIRECT(ADDRESS(12,3+18*2+(15),,,"J1 D - South Bank Avenue")&amp;":"&amp;ADDRESS(130,3+18*2+(15))),'J1 D - South Bank Avenue'!$A$12:$A$130,"&gt;="&amp;Diagram!$O94,'J1 D - South Bank Avenue'!$A$12:$A$130,"&lt;"&amp;Diagram!$P94)))</f>
        <v>0</v>
      </c>
      <c r="EW94" s="42">
        <f ca="1">IF(OR($I$10="",$O94="",$P94="",$J$42&lt;&gt;"Yes"),0,IF($K$10=0,SUMIFS(INDIRECT(ADDRESS(12,3+18*3+(7),,,"J1 D - South Bank Avenue")&amp;":"&amp;ADDRESS(130,3+18*3+(7))),'J1 D - South Bank Avenue'!$A$12:$A$130,"&gt;="&amp;Diagram!$O94,'J1 D - South Bank Avenue'!$A$12:$A$130,"&lt;"&amp;Diagram!$P94),SUMIFS(INDIRECT(ADDRESS(12,3+18*3+(15),,,"J1 D - South Bank Avenue")&amp;":"&amp;ADDRESS(130,3+18*3+(15))),'J1 D - South Bank Avenue'!$A$12:$A$130,"&gt;="&amp;Diagram!$O94,'J1 D - South Bank Avenue'!$A$12:$A$130,"&lt;"&amp;Diagram!$P94)))</f>
        <v>0</v>
      </c>
    </row>
    <row r="95" spans="1:153">
      <c r="A95" s="1">
        <v>44395.979166666701</v>
      </c>
      <c r="B95" s="1">
        <v>44395.989583333299</v>
      </c>
      <c r="O95" s="3">
        <v>44395.979166666701</v>
      </c>
      <c r="P95" s="3">
        <v>44396.020833333299</v>
      </c>
      <c r="Q95" s="42">
        <f t="shared" ca="1" si="10"/>
        <v>80</v>
      </c>
      <c r="R95" s="42">
        <f t="shared" ca="1" si="11"/>
        <v>63</v>
      </c>
      <c r="S95" s="42">
        <f ca="1">IF(OR($I$10="",$O95="",$P95="",$J$35&lt;&gt;"Yes"),0,IF($K$10=0,SUMIFS(INDIRECT(ADDRESS(12,3+18*3+(0),,,"J1 A - (North) Bishopthorpe Roa")&amp;":"&amp;ADDRESS(130,3+18*3+(0))),'J1 A - (North) Bishopthorpe Roa'!$A$12:$A$130,"&gt;="&amp;Diagram!$O95,'J1 A - (North) Bishopthorpe Roa'!$A$12:$A$130,"&lt;"&amp;Diagram!$P95),SUMIFS(INDIRECT(ADDRESS(12,3+18*3+(8),,,"J1 A - (North) Bishopthorpe Roa")&amp;":"&amp;ADDRESS(130,3+18*3+(8))),'J1 A - (North) Bishopthorpe Roa'!$A$12:$A$130,"&gt;="&amp;Diagram!$O95,'J1 A - (North) Bishopthorpe Roa'!$A$12:$A$130,"&lt;"&amp;Diagram!$P95)))</f>
        <v>0</v>
      </c>
      <c r="T95" s="42">
        <f ca="1">IF(OR($I$10="",$O95="",$P95="",$J$35&lt;&gt;"Yes"),0,IF($K$10=0,SUMIFS(INDIRECT(ADDRESS(12,3+18*0+(0),,,"J1 A - (North) Bishopthorpe Roa")&amp;":"&amp;ADDRESS(130,3+18*0+(0))),'J1 A - (North) Bishopthorpe Roa'!$A$12:$A$130,"&gt;="&amp;Diagram!$O95,'J1 A - (North) Bishopthorpe Roa'!$A$12:$A$130,"&lt;"&amp;Diagram!$P95),SUMIFS(INDIRECT(ADDRESS(12,3+18*0+(8),,,"J1 A - (North) Bishopthorpe Roa")&amp;":"&amp;ADDRESS(130,3+18*0+(8))),'J1 A - (North) Bishopthorpe Roa'!$A$12:$A$130,"&gt;="&amp;Diagram!$O95,'J1 A - (North) Bishopthorpe Roa'!$A$12:$A$130,"&lt;"&amp;Diagram!$P95)))</f>
        <v>4</v>
      </c>
      <c r="U95" s="42">
        <f ca="1">IF(OR($I$10="",$O95="",$P95="",$J$35&lt;&gt;"Yes"),0,IF($K$10=0,SUMIFS(INDIRECT(ADDRESS(12,3+18*1+(0),,,"J1 A - (North) Bishopthorpe Roa")&amp;":"&amp;ADDRESS(130,3+18*1+(0))),'J1 A - (North) Bishopthorpe Roa'!$A$12:$A$130,"&gt;="&amp;Diagram!$O95,'J1 A - (North) Bishopthorpe Roa'!$A$12:$A$130,"&lt;"&amp;Diagram!$P95),SUMIFS(INDIRECT(ADDRESS(12,3+18*1+(8),,,"J1 A - (North) Bishopthorpe Roa")&amp;":"&amp;ADDRESS(130,3+18*1+(8))),'J1 A - (North) Bishopthorpe Roa'!$A$12:$A$130,"&gt;="&amp;Diagram!$O95,'J1 A - (North) Bishopthorpe Roa'!$A$12:$A$130,"&lt;"&amp;Diagram!$P95)))</f>
        <v>27</v>
      </c>
      <c r="V95" s="42">
        <f ca="1">IF(OR($I$10="",$O95="",$P95="",$J$35&lt;&gt;"Yes"),0,IF($K$10=0,SUMIFS(INDIRECT(ADDRESS(12,3+18*2+(0),,,"J1 A - (North) Bishopthorpe Roa")&amp;":"&amp;ADDRESS(130,3+18*2+(0))),'J1 A - (North) Bishopthorpe Roa'!$A$12:$A$130,"&gt;="&amp;Diagram!$O95,'J1 A - (North) Bishopthorpe Roa'!$A$12:$A$130,"&lt;"&amp;Diagram!$P95),SUMIFS(INDIRECT(ADDRESS(12,3+18*2+(8),,,"J1 A - (North) Bishopthorpe Roa")&amp;":"&amp;ADDRESS(130,3+18*2+(8))),'J1 A - (North) Bishopthorpe Roa'!$A$12:$A$130,"&gt;="&amp;Diagram!$O95,'J1 A - (North) Bishopthorpe Roa'!$A$12:$A$130,"&lt;"&amp;Diagram!$P95)))</f>
        <v>3</v>
      </c>
      <c r="W95" s="42">
        <f ca="1">IF(OR($I$10="",$O95="",$P95="",$J$35&lt;&gt;"Yes"),0,IF($K$10=0,SUMIFS(INDIRECT(ADDRESS(12,3+18*2+(0),,,"J1 B - Butcher Terrace")&amp;":"&amp;ADDRESS(130,3+18*2+(0))),'J1 B - Butcher Terrace'!$A$12:$A$130,"&gt;="&amp;Diagram!$O95,'J1 B - Butcher Terrace'!$A$12:$A$130,"&lt;"&amp;Diagram!$P95),SUMIFS(INDIRECT(ADDRESS(12,3+18*2+(8),,,"J1 B - Butcher Terrace")&amp;":"&amp;ADDRESS(130,3+18*2+(8))),'J1 B - Butcher Terrace'!$A$12:$A$130,"&gt;="&amp;Diagram!$O95,'J1 B - Butcher Terrace'!$A$12:$A$130,"&lt;"&amp;Diagram!$P95)))</f>
        <v>3</v>
      </c>
      <c r="X95" s="42">
        <f ca="1">IF(OR($I$10="",$O95="",$P95="",$J$35&lt;&gt;"Yes"),0,IF($K$10=0,SUMIFS(INDIRECT(ADDRESS(12,3+18*3+(0),,,"J1 B - Butcher Terrace")&amp;":"&amp;ADDRESS(130,3+18*3+(0))),'J1 B - Butcher Terrace'!$A$12:$A$130,"&gt;="&amp;Diagram!$O95,'J1 B - Butcher Terrace'!$A$12:$A$130,"&lt;"&amp;Diagram!$P95),SUMIFS(INDIRECT(ADDRESS(12,3+18*3+(8),,,"J1 B - Butcher Terrace")&amp;":"&amp;ADDRESS(130,3+18*3+(8))),'J1 B - Butcher Terrace'!$A$12:$A$130,"&gt;="&amp;Diagram!$O95,'J1 B - Butcher Terrace'!$A$12:$A$130,"&lt;"&amp;Diagram!$P95)))</f>
        <v>0</v>
      </c>
      <c r="Y95" s="42">
        <f ca="1">IF(OR($I$10="",$O95="",$P95="",$J$35&lt;&gt;"Yes"),0,IF($K$10=0,SUMIFS(INDIRECT(ADDRESS(12,3+18*0+(0),,,"J1 B - Butcher Terrace")&amp;":"&amp;ADDRESS(130,3+18*0+(0))),'J1 B - Butcher Terrace'!$A$12:$A$130,"&gt;="&amp;Diagram!$O95,'J1 B - Butcher Terrace'!$A$12:$A$130,"&lt;"&amp;Diagram!$P95),SUMIFS(INDIRECT(ADDRESS(12,3+18*0+(8),,,"J1 B - Butcher Terrace")&amp;":"&amp;ADDRESS(130,3+18*0+(8))),'J1 B - Butcher Terrace'!$A$12:$A$130,"&gt;="&amp;Diagram!$O95,'J1 B - Butcher Terrace'!$A$12:$A$130,"&lt;"&amp;Diagram!$P95)))</f>
        <v>1</v>
      </c>
      <c r="Z95" s="42">
        <f ca="1">IF(OR($I$10="",$O95="",$P95="",$J$35&lt;&gt;"Yes"),0,IF($K$10=0,SUMIFS(INDIRECT(ADDRESS(12,3+18*1+(0),,,"J1 B - Butcher Terrace")&amp;":"&amp;ADDRESS(130,3+18*1+(0))),'J1 B - Butcher Terrace'!$A$12:$A$130,"&gt;="&amp;Diagram!$O95,'J1 B - Butcher Terrace'!$A$12:$A$130,"&lt;"&amp;Diagram!$P95),SUMIFS(INDIRECT(ADDRESS(12,3+18*1+(8),,,"J1 B - Butcher Terrace")&amp;":"&amp;ADDRESS(130,3+18*1+(8))),'J1 B - Butcher Terrace'!$A$12:$A$130,"&gt;="&amp;Diagram!$O95,'J1 B - Butcher Terrace'!$A$12:$A$130,"&lt;"&amp;Diagram!$P95)))</f>
        <v>0</v>
      </c>
      <c r="AA95" s="42">
        <f ca="1">IF(OR($I$10="",$O95="",$P95="",$J$35&lt;&gt;"Yes"),0,IF($K$10=0,SUMIFS(INDIRECT(ADDRESS(12,3+18*1+(0),,,"J1 C - (South) Bishopthorpe Roa")&amp;":"&amp;ADDRESS(130,3+18*1+(0))),'J1 C - (South) Bishopthorpe Roa'!$A$12:$A$130,"&gt;="&amp;Diagram!$O95,'J1 C - (South) Bishopthorpe Roa'!$A$12:$A$130,"&lt;"&amp;Diagram!$P95),SUMIFS(INDIRECT(ADDRESS(12,3+18*1+(8),,,"J1 C - (South) Bishopthorpe Roa")&amp;":"&amp;ADDRESS(130,3+18*1+(8))),'J1 C - (South) Bishopthorpe Roa'!$A$12:$A$130,"&gt;="&amp;Diagram!$O95,'J1 C - (South) Bishopthorpe Roa'!$A$12:$A$130,"&lt;"&amp;Diagram!$P95)))</f>
        <v>22</v>
      </c>
      <c r="AB95" s="42">
        <f ca="1">IF(OR($I$10="",$O95="",$P95="",$J$35&lt;&gt;"Yes"),0,IF($K$10=0,SUMIFS(INDIRECT(ADDRESS(12,3+18*2+(0),,,"J1 C - (South) Bishopthorpe Roa")&amp;":"&amp;ADDRESS(130,3+18*2+(0))),'J1 C - (South) Bishopthorpe Roa'!$A$12:$A$130,"&gt;="&amp;Diagram!$O95,'J1 C - (South) Bishopthorpe Roa'!$A$12:$A$130,"&lt;"&amp;Diagram!$P95),SUMIFS(INDIRECT(ADDRESS(12,3+18*2+(8),,,"J1 C - (South) Bishopthorpe Roa")&amp;":"&amp;ADDRESS(130,3+18*2+(8))),'J1 C - (South) Bishopthorpe Roa'!$A$12:$A$130,"&gt;="&amp;Diagram!$O95,'J1 C - (South) Bishopthorpe Roa'!$A$12:$A$130,"&lt;"&amp;Diagram!$P95)))</f>
        <v>0</v>
      </c>
      <c r="AC95" s="42">
        <f ca="1">IF(OR($I$10="",$O95="",$P95="",$J$35&lt;&gt;"Yes"),0,IF($K$10=0,SUMIFS(INDIRECT(ADDRESS(12,3+18*3+(0),,,"J1 C - (South) Bishopthorpe Roa")&amp;":"&amp;ADDRESS(130,3+18*3+(0))),'J1 C - (South) Bishopthorpe Roa'!$A$12:$A$130,"&gt;="&amp;Diagram!$O95,'J1 C - (South) Bishopthorpe Roa'!$A$12:$A$130,"&lt;"&amp;Diagram!$P95),SUMIFS(INDIRECT(ADDRESS(12,3+18*3+(8),,,"J1 C - (South) Bishopthorpe Roa")&amp;":"&amp;ADDRESS(130,3+18*3+(8))),'J1 C - (South) Bishopthorpe Roa'!$A$12:$A$130,"&gt;="&amp;Diagram!$O95,'J1 C - (South) Bishopthorpe Roa'!$A$12:$A$130,"&lt;"&amp;Diagram!$P95)))</f>
        <v>0</v>
      </c>
      <c r="AD95" s="42">
        <f ca="1">IF(OR($I$10="",$O95="",$P95="",$J$35&lt;&gt;"Yes"),0,IF($K$10=0,SUMIFS(INDIRECT(ADDRESS(12,3+18*0+(0),,,"J1 C - (South) Bishopthorpe Roa")&amp;":"&amp;ADDRESS(130,3+18*0+(0))),'J1 C - (South) Bishopthorpe Roa'!$A$12:$A$130,"&gt;="&amp;Diagram!$O95,'J1 C - (South) Bishopthorpe Roa'!$A$12:$A$130,"&lt;"&amp;Diagram!$P95),SUMIFS(INDIRECT(ADDRESS(12,3+18*0+(8),,,"J1 C - (South) Bishopthorpe Roa")&amp;":"&amp;ADDRESS(130,3+18*0+(8))),'J1 C - (South) Bishopthorpe Roa'!$A$12:$A$130,"&gt;="&amp;Diagram!$O95,'J1 C - (South) Bishopthorpe Roa'!$A$12:$A$130,"&lt;"&amp;Diagram!$P95)))</f>
        <v>0</v>
      </c>
      <c r="AE95" s="42">
        <f ca="1">IF(OR($I$10="",$O95="",$P95="",$J$35&lt;&gt;"Yes"),0,IF($K$10=0,SUMIFS(INDIRECT(ADDRESS(12,3+18*0+(0),,,"J1 D - South Bank Avenue")&amp;":"&amp;ADDRESS(130,3+18*0+(0))),'J1 D - South Bank Avenue'!$A$12:$A$130,"&gt;="&amp;Diagram!$O95,'J1 D - South Bank Avenue'!$A$12:$A$130,"&lt;"&amp;Diagram!$P95),SUMIFS(INDIRECT(ADDRESS(12,3+18*0+(8),,,"J1 D - South Bank Avenue")&amp;":"&amp;ADDRESS(130,3+18*0+(8))),'J1 D - South Bank Avenue'!$A$12:$A$130,"&gt;="&amp;Diagram!$O95,'J1 D - South Bank Avenue'!$A$12:$A$130,"&lt;"&amp;Diagram!$P95)))</f>
        <v>3</v>
      </c>
      <c r="AF95" s="42">
        <f ca="1">IF(OR($I$10="",$O95="",$P95="",$J$35&lt;&gt;"Yes"),0,IF($K$10=0,SUMIFS(INDIRECT(ADDRESS(12,3+18*1+(0),,,"J1 D - South Bank Avenue")&amp;":"&amp;ADDRESS(130,3+18*1+(0))),'J1 D - South Bank Avenue'!$A$12:$A$130,"&gt;="&amp;Diagram!$O95,'J1 D - South Bank Avenue'!$A$12:$A$130,"&lt;"&amp;Diagram!$P95),SUMIFS(INDIRECT(ADDRESS(12,3+18*1+(8),,,"J1 D - South Bank Avenue")&amp;":"&amp;ADDRESS(130,3+18*1+(8))),'J1 D - South Bank Avenue'!$A$12:$A$130,"&gt;="&amp;Diagram!$O95,'J1 D - South Bank Avenue'!$A$12:$A$130,"&lt;"&amp;Diagram!$P95)))</f>
        <v>0</v>
      </c>
      <c r="AG95" s="42">
        <f ca="1">IF(OR($I$10="",$O95="",$P95="",$J$35&lt;&gt;"Yes"),0,IF($K$10=0,SUMIFS(INDIRECT(ADDRESS(12,3+18*2+(0),,,"J1 D - South Bank Avenue")&amp;":"&amp;ADDRESS(130,3+18*2+(0))),'J1 D - South Bank Avenue'!$A$12:$A$130,"&gt;="&amp;Diagram!$O95,'J1 D - South Bank Avenue'!$A$12:$A$130,"&lt;"&amp;Diagram!$P95),SUMIFS(INDIRECT(ADDRESS(12,3+18*2+(8),,,"J1 D - South Bank Avenue")&amp;":"&amp;ADDRESS(130,3+18*2+(8))),'J1 D - South Bank Avenue'!$A$12:$A$130,"&gt;="&amp;Diagram!$O95,'J1 D - South Bank Avenue'!$A$12:$A$130,"&lt;"&amp;Diagram!$P95)))</f>
        <v>0</v>
      </c>
      <c r="AH95" s="42">
        <f ca="1">IF(OR($I$10="",$O95="",$P95="",$J$35&lt;&gt;"Yes"),0,IF($K$10=0,SUMIFS(INDIRECT(ADDRESS(12,3+18*3+(0),,,"J1 D - South Bank Avenue")&amp;":"&amp;ADDRESS(130,3+18*3+(0))),'J1 D - South Bank Avenue'!$A$12:$A$130,"&gt;="&amp;Diagram!$O95,'J1 D - South Bank Avenue'!$A$12:$A$130,"&lt;"&amp;Diagram!$P95),SUMIFS(INDIRECT(ADDRESS(12,3+18*3+(8),,,"J1 D - South Bank Avenue")&amp;":"&amp;ADDRESS(130,3+18*3+(8))),'J1 D - South Bank Avenue'!$A$12:$A$130,"&gt;="&amp;Diagram!$O95,'J1 D - South Bank Avenue'!$A$12:$A$130,"&lt;"&amp;Diagram!$P95)))</f>
        <v>0</v>
      </c>
      <c r="AI95" s="42">
        <f t="shared" ca="1" si="12"/>
        <v>0</v>
      </c>
      <c r="AJ95" s="42">
        <f ca="1">IF(OR($I$10="",$O95="",$P95="",$J$36&lt;&gt;"Yes"),0,IF($K$10=0,SUMIFS(INDIRECT(ADDRESS(12,3+18*3+(1),,,"J1 A - (North) Bishopthorpe Roa")&amp;":"&amp;ADDRESS(130,3+18*3+(1))),'J1 A - (North) Bishopthorpe Roa'!$A$12:$A$130,"&gt;="&amp;Diagram!$O95,'J1 A - (North) Bishopthorpe Roa'!$A$12:$A$130,"&lt;"&amp;Diagram!$P95),SUMIFS(INDIRECT(ADDRESS(12,3+18*3+(9),,,"J1 A - (North) Bishopthorpe Roa")&amp;":"&amp;ADDRESS(130,3+18*3+(9))),'J1 A - (North) Bishopthorpe Roa'!$A$12:$A$130,"&gt;="&amp;Diagram!$O95,'J1 A - (North) Bishopthorpe Roa'!$A$12:$A$130,"&lt;"&amp;Diagram!$P95)))</f>
        <v>0</v>
      </c>
      <c r="AK95" s="42">
        <f ca="1">IF(OR($I$10="",$O95="",$P95="",$J$36&lt;&gt;"Yes"),0,IF($K$10=0,SUMIFS(INDIRECT(ADDRESS(12,3+18*0+(1),,,"J1 A - (North) Bishopthorpe Roa")&amp;":"&amp;ADDRESS(130,3+18*0+(1))),'J1 A - (North) Bishopthorpe Roa'!$A$12:$A$130,"&gt;="&amp;Diagram!$O95,'J1 A - (North) Bishopthorpe Roa'!$A$12:$A$130,"&lt;"&amp;Diagram!$P95),SUMIFS(INDIRECT(ADDRESS(12,3+18*0+(9),,,"J1 A - (North) Bishopthorpe Roa")&amp;":"&amp;ADDRESS(130,3+18*0+(9))),'J1 A - (North) Bishopthorpe Roa'!$A$12:$A$130,"&gt;="&amp;Diagram!$O95,'J1 A - (North) Bishopthorpe Roa'!$A$12:$A$130,"&lt;"&amp;Diagram!$P95)))</f>
        <v>0</v>
      </c>
      <c r="AL95" s="42">
        <f ca="1">IF(OR($I$10="",$O95="",$P95="",$J$36&lt;&gt;"Yes"),0,IF($K$10=0,SUMIFS(INDIRECT(ADDRESS(12,3+18*1+(1),,,"J1 A - (North) Bishopthorpe Roa")&amp;":"&amp;ADDRESS(130,3+18*1+(1))),'J1 A - (North) Bishopthorpe Roa'!$A$12:$A$130,"&gt;="&amp;Diagram!$O95,'J1 A - (North) Bishopthorpe Roa'!$A$12:$A$130,"&lt;"&amp;Diagram!$P95),SUMIFS(INDIRECT(ADDRESS(12,3+18*1+(9),,,"J1 A - (North) Bishopthorpe Roa")&amp;":"&amp;ADDRESS(130,3+18*1+(9))),'J1 A - (North) Bishopthorpe Roa'!$A$12:$A$130,"&gt;="&amp;Diagram!$O95,'J1 A - (North) Bishopthorpe Roa'!$A$12:$A$130,"&lt;"&amp;Diagram!$P95)))</f>
        <v>0</v>
      </c>
      <c r="AM95" s="42">
        <f ca="1">IF(OR($I$10="",$O95="",$P95="",$J$36&lt;&gt;"Yes"),0,IF($K$10=0,SUMIFS(INDIRECT(ADDRESS(12,3+18*2+(1),,,"J1 A - (North) Bishopthorpe Roa")&amp;":"&amp;ADDRESS(130,3+18*2+(1))),'J1 A - (North) Bishopthorpe Roa'!$A$12:$A$130,"&gt;="&amp;Diagram!$O95,'J1 A - (North) Bishopthorpe Roa'!$A$12:$A$130,"&lt;"&amp;Diagram!$P95),SUMIFS(INDIRECT(ADDRESS(12,3+18*2+(9),,,"J1 A - (North) Bishopthorpe Roa")&amp;":"&amp;ADDRESS(130,3+18*2+(9))),'J1 A - (North) Bishopthorpe Roa'!$A$12:$A$130,"&gt;="&amp;Diagram!$O95,'J1 A - (North) Bishopthorpe Roa'!$A$12:$A$130,"&lt;"&amp;Diagram!$P95)))</f>
        <v>0</v>
      </c>
      <c r="AN95" s="42">
        <f ca="1">IF(OR($I$10="",$O95="",$P95="",$J$36&lt;&gt;"Yes"),0,IF($K$10=0,SUMIFS(INDIRECT(ADDRESS(12,3+18*2+(1),,,"J1 B - Butcher Terrace")&amp;":"&amp;ADDRESS(130,3+18*2+(1))),'J1 B - Butcher Terrace'!$A$12:$A$130,"&gt;="&amp;Diagram!$O95,'J1 B - Butcher Terrace'!$A$12:$A$130,"&lt;"&amp;Diagram!$P95),SUMIFS(INDIRECT(ADDRESS(12,3+18*2+(9),,,"J1 B - Butcher Terrace")&amp;":"&amp;ADDRESS(130,3+18*2+(9))),'J1 B - Butcher Terrace'!$A$12:$A$130,"&gt;="&amp;Diagram!$O95,'J1 B - Butcher Terrace'!$A$12:$A$130,"&lt;"&amp;Diagram!$P95)))</f>
        <v>0</v>
      </c>
      <c r="AO95" s="42">
        <f ca="1">IF(OR($I$10="",$O95="",$P95="",$J$36&lt;&gt;"Yes"),0,IF($K$10=0,SUMIFS(INDIRECT(ADDRESS(12,3+18*3+(1),,,"J1 B - Butcher Terrace")&amp;":"&amp;ADDRESS(130,3+18*3+(1))),'J1 B - Butcher Terrace'!$A$12:$A$130,"&gt;="&amp;Diagram!$O95,'J1 B - Butcher Terrace'!$A$12:$A$130,"&lt;"&amp;Diagram!$P95),SUMIFS(INDIRECT(ADDRESS(12,3+18*3+(9),,,"J1 B - Butcher Terrace")&amp;":"&amp;ADDRESS(130,3+18*3+(9))),'J1 B - Butcher Terrace'!$A$12:$A$130,"&gt;="&amp;Diagram!$O95,'J1 B - Butcher Terrace'!$A$12:$A$130,"&lt;"&amp;Diagram!$P95)))</f>
        <v>0</v>
      </c>
      <c r="AP95" s="42">
        <f ca="1">IF(OR($I$10="",$O95="",$P95="",$J$36&lt;&gt;"Yes"),0,IF($K$10=0,SUMIFS(INDIRECT(ADDRESS(12,3+18*0+(1),,,"J1 B - Butcher Terrace")&amp;":"&amp;ADDRESS(130,3+18*0+(1))),'J1 B - Butcher Terrace'!$A$12:$A$130,"&gt;="&amp;Diagram!$O95,'J1 B - Butcher Terrace'!$A$12:$A$130,"&lt;"&amp;Diagram!$P95),SUMIFS(INDIRECT(ADDRESS(12,3+18*0+(9),,,"J1 B - Butcher Terrace")&amp;":"&amp;ADDRESS(130,3+18*0+(9))),'J1 B - Butcher Terrace'!$A$12:$A$130,"&gt;="&amp;Diagram!$O95,'J1 B - Butcher Terrace'!$A$12:$A$130,"&lt;"&amp;Diagram!$P95)))</f>
        <v>0</v>
      </c>
      <c r="AQ95" s="42">
        <f ca="1">IF(OR($I$10="",$O95="",$P95="",$J$36&lt;&gt;"Yes"),0,IF($K$10=0,SUMIFS(INDIRECT(ADDRESS(12,3+18*1+(1),,,"J1 B - Butcher Terrace")&amp;":"&amp;ADDRESS(130,3+18*1+(1))),'J1 B - Butcher Terrace'!$A$12:$A$130,"&gt;="&amp;Diagram!$O95,'J1 B - Butcher Terrace'!$A$12:$A$130,"&lt;"&amp;Diagram!$P95),SUMIFS(INDIRECT(ADDRESS(12,3+18*1+(9),,,"J1 B - Butcher Terrace")&amp;":"&amp;ADDRESS(130,3+18*1+(9))),'J1 B - Butcher Terrace'!$A$12:$A$130,"&gt;="&amp;Diagram!$O95,'J1 B - Butcher Terrace'!$A$12:$A$130,"&lt;"&amp;Diagram!$P95)))</f>
        <v>0</v>
      </c>
      <c r="AR95" s="42">
        <f ca="1">IF(OR($I$10="",$O95="",$P95="",$J$36&lt;&gt;"Yes"),0,IF($K$10=0,SUMIFS(INDIRECT(ADDRESS(12,3+18*1+(1),,,"J1 C - (South) Bishopthorpe Roa")&amp;":"&amp;ADDRESS(130,3+18*1+(1))),'J1 C - (South) Bishopthorpe Roa'!$A$12:$A$130,"&gt;="&amp;Diagram!$O95,'J1 C - (South) Bishopthorpe Roa'!$A$12:$A$130,"&lt;"&amp;Diagram!$P95),SUMIFS(INDIRECT(ADDRESS(12,3+18*1+(9),,,"J1 C - (South) Bishopthorpe Roa")&amp;":"&amp;ADDRESS(130,3+18*1+(9))),'J1 C - (South) Bishopthorpe Roa'!$A$12:$A$130,"&gt;="&amp;Diagram!$O95,'J1 C - (South) Bishopthorpe Roa'!$A$12:$A$130,"&lt;"&amp;Diagram!$P95)))</f>
        <v>0</v>
      </c>
      <c r="AS95" s="42">
        <f ca="1">IF(OR($I$10="",$O95="",$P95="",$J$36&lt;&gt;"Yes"),0,IF($K$10=0,SUMIFS(INDIRECT(ADDRESS(12,3+18*2+(1),,,"J1 C - (South) Bishopthorpe Roa")&amp;":"&amp;ADDRESS(130,3+18*2+(1))),'J1 C - (South) Bishopthorpe Roa'!$A$12:$A$130,"&gt;="&amp;Diagram!$O95,'J1 C - (South) Bishopthorpe Roa'!$A$12:$A$130,"&lt;"&amp;Diagram!$P95),SUMIFS(INDIRECT(ADDRESS(12,3+18*2+(9),,,"J1 C - (South) Bishopthorpe Roa")&amp;":"&amp;ADDRESS(130,3+18*2+(9))),'J1 C - (South) Bishopthorpe Roa'!$A$12:$A$130,"&gt;="&amp;Diagram!$O95,'J1 C - (South) Bishopthorpe Roa'!$A$12:$A$130,"&lt;"&amp;Diagram!$P95)))</f>
        <v>0</v>
      </c>
      <c r="AT95" s="42">
        <f ca="1">IF(OR($I$10="",$O95="",$P95="",$J$36&lt;&gt;"Yes"),0,IF($K$10=0,SUMIFS(INDIRECT(ADDRESS(12,3+18*3+(1),,,"J1 C - (South) Bishopthorpe Roa")&amp;":"&amp;ADDRESS(130,3+18*3+(1))),'J1 C - (South) Bishopthorpe Roa'!$A$12:$A$130,"&gt;="&amp;Diagram!$O95,'J1 C - (South) Bishopthorpe Roa'!$A$12:$A$130,"&lt;"&amp;Diagram!$P95),SUMIFS(INDIRECT(ADDRESS(12,3+18*3+(9),,,"J1 C - (South) Bishopthorpe Roa")&amp;":"&amp;ADDRESS(130,3+18*3+(9))),'J1 C - (South) Bishopthorpe Roa'!$A$12:$A$130,"&gt;="&amp;Diagram!$O95,'J1 C - (South) Bishopthorpe Roa'!$A$12:$A$130,"&lt;"&amp;Diagram!$P95)))</f>
        <v>0</v>
      </c>
      <c r="AU95" s="42">
        <f ca="1">IF(OR($I$10="",$O95="",$P95="",$J$36&lt;&gt;"Yes"),0,IF($K$10=0,SUMIFS(INDIRECT(ADDRESS(12,3+18*0+(1),,,"J1 C - (South) Bishopthorpe Roa")&amp;":"&amp;ADDRESS(130,3+18*0+(1))),'J1 C - (South) Bishopthorpe Roa'!$A$12:$A$130,"&gt;="&amp;Diagram!$O95,'J1 C - (South) Bishopthorpe Roa'!$A$12:$A$130,"&lt;"&amp;Diagram!$P95),SUMIFS(INDIRECT(ADDRESS(12,3+18*0+(9),,,"J1 C - (South) Bishopthorpe Roa")&amp;":"&amp;ADDRESS(130,3+18*0+(9))),'J1 C - (South) Bishopthorpe Roa'!$A$12:$A$130,"&gt;="&amp;Diagram!$O95,'J1 C - (South) Bishopthorpe Roa'!$A$12:$A$130,"&lt;"&amp;Diagram!$P95)))</f>
        <v>0</v>
      </c>
      <c r="AV95" s="42">
        <f ca="1">IF(OR($I$10="",$O95="",$P95="",$J$36&lt;&gt;"Yes"),0,IF($K$10=0,SUMIFS(INDIRECT(ADDRESS(12,3+18*0+(1),,,"J1 D - South Bank Avenue")&amp;":"&amp;ADDRESS(130,3+18*0+(1))),'J1 D - South Bank Avenue'!$A$12:$A$130,"&gt;="&amp;Diagram!$O95,'J1 D - South Bank Avenue'!$A$12:$A$130,"&lt;"&amp;Diagram!$P95),SUMIFS(INDIRECT(ADDRESS(12,3+18*0+(9),,,"J1 D - South Bank Avenue")&amp;":"&amp;ADDRESS(130,3+18*0+(9))),'J1 D - South Bank Avenue'!$A$12:$A$130,"&gt;="&amp;Diagram!$O95,'J1 D - South Bank Avenue'!$A$12:$A$130,"&lt;"&amp;Diagram!$P95)))</f>
        <v>0</v>
      </c>
      <c r="AW95" s="42">
        <f ca="1">IF(OR($I$10="",$O95="",$P95="",$J$36&lt;&gt;"Yes"),0,IF($K$10=0,SUMIFS(INDIRECT(ADDRESS(12,3+18*1+(1),,,"J1 D - South Bank Avenue")&amp;":"&amp;ADDRESS(130,3+18*1+(1))),'J1 D - South Bank Avenue'!$A$12:$A$130,"&gt;="&amp;Diagram!$O95,'J1 D - South Bank Avenue'!$A$12:$A$130,"&lt;"&amp;Diagram!$P95),SUMIFS(INDIRECT(ADDRESS(12,3+18*1+(9),,,"J1 D - South Bank Avenue")&amp;":"&amp;ADDRESS(130,3+18*1+(9))),'J1 D - South Bank Avenue'!$A$12:$A$130,"&gt;="&amp;Diagram!$O95,'J1 D - South Bank Avenue'!$A$12:$A$130,"&lt;"&amp;Diagram!$P95)))</f>
        <v>0</v>
      </c>
      <c r="AX95" s="42">
        <f ca="1">IF(OR($I$10="",$O95="",$P95="",$J$36&lt;&gt;"Yes"),0,IF($K$10=0,SUMIFS(INDIRECT(ADDRESS(12,3+18*2+(1),,,"J1 D - South Bank Avenue")&amp;":"&amp;ADDRESS(130,3+18*2+(1))),'J1 D - South Bank Avenue'!$A$12:$A$130,"&gt;="&amp;Diagram!$O95,'J1 D - South Bank Avenue'!$A$12:$A$130,"&lt;"&amp;Diagram!$P95),SUMIFS(INDIRECT(ADDRESS(12,3+18*2+(9),,,"J1 D - South Bank Avenue")&amp;":"&amp;ADDRESS(130,3+18*2+(9))),'J1 D - South Bank Avenue'!$A$12:$A$130,"&gt;="&amp;Diagram!$O95,'J1 D - South Bank Avenue'!$A$12:$A$130,"&lt;"&amp;Diagram!$P95)))</f>
        <v>0</v>
      </c>
      <c r="AY95" s="42">
        <f ca="1">IF(OR($I$10="",$O95="",$P95="",$J$36&lt;&gt;"Yes"),0,IF($K$10=0,SUMIFS(INDIRECT(ADDRESS(12,3+18*3+(1),,,"J1 D - South Bank Avenue")&amp;":"&amp;ADDRESS(130,3+18*3+(1))),'J1 D - South Bank Avenue'!$A$12:$A$130,"&gt;="&amp;Diagram!$O95,'J1 D - South Bank Avenue'!$A$12:$A$130,"&lt;"&amp;Diagram!$P95),SUMIFS(INDIRECT(ADDRESS(12,3+18*3+(9),,,"J1 D - South Bank Avenue")&amp;":"&amp;ADDRESS(130,3+18*3+(9))),'J1 D - South Bank Avenue'!$A$12:$A$130,"&gt;="&amp;Diagram!$O95,'J1 D - South Bank Avenue'!$A$12:$A$130,"&lt;"&amp;Diagram!$P95)))</f>
        <v>0</v>
      </c>
      <c r="AZ95" s="42">
        <f t="shared" ca="1" si="13"/>
        <v>0</v>
      </c>
      <c r="BA95" s="42">
        <f ca="1">IF(OR($I$10="",$O95="",$P95="",$J$37&lt;&gt;"Yes"),0,IF($K$10=0,SUMIFS(INDIRECT(ADDRESS(12,3+18*3+(2),,,"J1 A - (North) Bishopthorpe Roa")&amp;":"&amp;ADDRESS(130,3+18*3+(2))),'J1 A - (North) Bishopthorpe Roa'!$A$12:$A$130,"&gt;="&amp;Diagram!$O95,'J1 A - (North) Bishopthorpe Roa'!$A$12:$A$130,"&lt;"&amp;Diagram!$P95),SUMIFS(INDIRECT(ADDRESS(12,3+18*3+(10),,,"J1 A - (North) Bishopthorpe Roa")&amp;":"&amp;ADDRESS(130,3+18*3+(10))),'J1 A - (North) Bishopthorpe Roa'!$A$12:$A$130,"&gt;="&amp;Diagram!$O95,'J1 A - (North) Bishopthorpe Roa'!$A$12:$A$130,"&lt;"&amp;Diagram!$P95)))</f>
        <v>0</v>
      </c>
      <c r="BB95" s="42">
        <f ca="1">IF(OR($I$10="",$O95="",$P95="",$J$37&lt;&gt;"Yes"),0,IF($K$10=0,SUMIFS(INDIRECT(ADDRESS(12,3+18*0+(2),,,"J1 A - (North) Bishopthorpe Roa")&amp;":"&amp;ADDRESS(130,3+18*0+(2))),'J1 A - (North) Bishopthorpe Roa'!$A$12:$A$130,"&gt;="&amp;Diagram!$O95,'J1 A - (North) Bishopthorpe Roa'!$A$12:$A$130,"&lt;"&amp;Diagram!$P95),SUMIFS(INDIRECT(ADDRESS(12,3+18*0+(10),,,"J1 A - (North) Bishopthorpe Roa")&amp;":"&amp;ADDRESS(130,3+18*0+(10))),'J1 A - (North) Bishopthorpe Roa'!$A$12:$A$130,"&gt;="&amp;Diagram!$O95,'J1 A - (North) Bishopthorpe Roa'!$A$12:$A$130,"&lt;"&amp;Diagram!$P95)))</f>
        <v>0</v>
      </c>
      <c r="BC95" s="42">
        <f ca="1">IF(OR($I$10="",$O95="",$P95="",$J$37&lt;&gt;"Yes"),0,IF($K$10=0,SUMIFS(INDIRECT(ADDRESS(12,3+18*1+(2),,,"J1 A - (North) Bishopthorpe Roa")&amp;":"&amp;ADDRESS(130,3+18*1+(2))),'J1 A - (North) Bishopthorpe Roa'!$A$12:$A$130,"&gt;="&amp;Diagram!$O95,'J1 A - (North) Bishopthorpe Roa'!$A$12:$A$130,"&lt;"&amp;Diagram!$P95),SUMIFS(INDIRECT(ADDRESS(12,3+18*1+(10),,,"J1 A - (North) Bishopthorpe Roa")&amp;":"&amp;ADDRESS(130,3+18*1+(10))),'J1 A - (North) Bishopthorpe Roa'!$A$12:$A$130,"&gt;="&amp;Diagram!$O95,'J1 A - (North) Bishopthorpe Roa'!$A$12:$A$130,"&lt;"&amp;Diagram!$P95)))</f>
        <v>0</v>
      </c>
      <c r="BD95" s="42">
        <f ca="1">IF(OR($I$10="",$O95="",$P95="",$J$37&lt;&gt;"Yes"),0,IF($K$10=0,SUMIFS(INDIRECT(ADDRESS(12,3+18*2+(2),,,"J1 A - (North) Bishopthorpe Roa")&amp;":"&amp;ADDRESS(130,3+18*2+(2))),'J1 A - (North) Bishopthorpe Roa'!$A$12:$A$130,"&gt;="&amp;Diagram!$O95,'J1 A - (North) Bishopthorpe Roa'!$A$12:$A$130,"&lt;"&amp;Diagram!$P95),SUMIFS(INDIRECT(ADDRESS(12,3+18*2+(10),,,"J1 A - (North) Bishopthorpe Roa")&amp;":"&amp;ADDRESS(130,3+18*2+(10))),'J1 A - (North) Bishopthorpe Roa'!$A$12:$A$130,"&gt;="&amp;Diagram!$O95,'J1 A - (North) Bishopthorpe Roa'!$A$12:$A$130,"&lt;"&amp;Diagram!$P95)))</f>
        <v>0</v>
      </c>
      <c r="BE95" s="42">
        <f ca="1">IF(OR($I$10="",$O95="",$P95="",$J$37&lt;&gt;"Yes"),0,IF($K$10=0,SUMIFS(INDIRECT(ADDRESS(12,3+18*2+(2),,,"J1 B - Butcher Terrace")&amp;":"&amp;ADDRESS(130,3+18*2+(2))),'J1 B - Butcher Terrace'!$A$12:$A$130,"&gt;="&amp;Diagram!$O95,'J1 B - Butcher Terrace'!$A$12:$A$130,"&lt;"&amp;Diagram!$P95),SUMIFS(INDIRECT(ADDRESS(12,3+18*2+(10),,,"J1 B - Butcher Terrace")&amp;":"&amp;ADDRESS(130,3+18*2+(10))),'J1 B - Butcher Terrace'!$A$12:$A$130,"&gt;="&amp;Diagram!$O95,'J1 B - Butcher Terrace'!$A$12:$A$130,"&lt;"&amp;Diagram!$P95)))</f>
        <v>0</v>
      </c>
      <c r="BF95" s="42">
        <f ca="1">IF(OR($I$10="",$O95="",$P95="",$J$37&lt;&gt;"Yes"),0,IF($K$10=0,SUMIFS(INDIRECT(ADDRESS(12,3+18*3+(2),,,"J1 B - Butcher Terrace")&amp;":"&amp;ADDRESS(130,3+18*3+(2))),'J1 B - Butcher Terrace'!$A$12:$A$130,"&gt;="&amp;Diagram!$O95,'J1 B - Butcher Terrace'!$A$12:$A$130,"&lt;"&amp;Diagram!$P95),SUMIFS(INDIRECT(ADDRESS(12,3+18*3+(10),,,"J1 B - Butcher Terrace")&amp;":"&amp;ADDRESS(130,3+18*3+(10))),'J1 B - Butcher Terrace'!$A$12:$A$130,"&gt;="&amp;Diagram!$O95,'J1 B - Butcher Terrace'!$A$12:$A$130,"&lt;"&amp;Diagram!$P95)))</f>
        <v>0</v>
      </c>
      <c r="BG95" s="42">
        <f ca="1">IF(OR($I$10="",$O95="",$P95="",$J$37&lt;&gt;"Yes"),0,IF($K$10=0,SUMIFS(INDIRECT(ADDRESS(12,3+18*0+(2),,,"J1 B - Butcher Terrace")&amp;":"&amp;ADDRESS(130,3+18*0+(2))),'J1 B - Butcher Terrace'!$A$12:$A$130,"&gt;="&amp;Diagram!$O95,'J1 B - Butcher Terrace'!$A$12:$A$130,"&lt;"&amp;Diagram!$P95),SUMIFS(INDIRECT(ADDRESS(12,3+18*0+(10),,,"J1 B - Butcher Terrace")&amp;":"&amp;ADDRESS(130,3+18*0+(10))),'J1 B - Butcher Terrace'!$A$12:$A$130,"&gt;="&amp;Diagram!$O95,'J1 B - Butcher Terrace'!$A$12:$A$130,"&lt;"&amp;Diagram!$P95)))</f>
        <v>0</v>
      </c>
      <c r="BH95" s="42">
        <f ca="1">IF(OR($I$10="",$O95="",$P95="",$J$37&lt;&gt;"Yes"),0,IF($K$10=0,SUMIFS(INDIRECT(ADDRESS(12,3+18*1+(2),,,"J1 B - Butcher Terrace")&amp;":"&amp;ADDRESS(130,3+18*1+(2))),'J1 B - Butcher Terrace'!$A$12:$A$130,"&gt;="&amp;Diagram!$O95,'J1 B - Butcher Terrace'!$A$12:$A$130,"&lt;"&amp;Diagram!$P95),SUMIFS(INDIRECT(ADDRESS(12,3+18*1+(10),,,"J1 B - Butcher Terrace")&amp;":"&amp;ADDRESS(130,3+18*1+(10))),'J1 B - Butcher Terrace'!$A$12:$A$130,"&gt;="&amp;Diagram!$O95,'J1 B - Butcher Terrace'!$A$12:$A$130,"&lt;"&amp;Diagram!$P95)))</f>
        <v>0</v>
      </c>
      <c r="BI95" s="42">
        <f ca="1">IF(OR($I$10="",$O95="",$P95="",$J$37&lt;&gt;"Yes"),0,IF($K$10=0,SUMIFS(INDIRECT(ADDRESS(12,3+18*1+(2),,,"J1 C - (South) Bishopthorpe Roa")&amp;":"&amp;ADDRESS(130,3+18*1+(2))),'J1 C - (South) Bishopthorpe Roa'!$A$12:$A$130,"&gt;="&amp;Diagram!$O95,'J1 C - (South) Bishopthorpe Roa'!$A$12:$A$130,"&lt;"&amp;Diagram!$P95),SUMIFS(INDIRECT(ADDRESS(12,3+18*1+(10),,,"J1 C - (South) Bishopthorpe Roa")&amp;":"&amp;ADDRESS(130,3+18*1+(10))),'J1 C - (South) Bishopthorpe Roa'!$A$12:$A$130,"&gt;="&amp;Diagram!$O95,'J1 C - (South) Bishopthorpe Roa'!$A$12:$A$130,"&lt;"&amp;Diagram!$P95)))</f>
        <v>0</v>
      </c>
      <c r="BJ95" s="42">
        <f ca="1">IF(OR($I$10="",$O95="",$P95="",$J$37&lt;&gt;"Yes"),0,IF($K$10=0,SUMIFS(INDIRECT(ADDRESS(12,3+18*2+(2),,,"J1 C - (South) Bishopthorpe Roa")&amp;":"&amp;ADDRESS(130,3+18*2+(2))),'J1 C - (South) Bishopthorpe Roa'!$A$12:$A$130,"&gt;="&amp;Diagram!$O95,'J1 C - (South) Bishopthorpe Roa'!$A$12:$A$130,"&lt;"&amp;Diagram!$P95),SUMIFS(INDIRECT(ADDRESS(12,3+18*2+(10),,,"J1 C - (South) Bishopthorpe Roa")&amp;":"&amp;ADDRESS(130,3+18*2+(10))),'J1 C - (South) Bishopthorpe Roa'!$A$12:$A$130,"&gt;="&amp;Diagram!$O95,'J1 C - (South) Bishopthorpe Roa'!$A$12:$A$130,"&lt;"&amp;Diagram!$P95)))</f>
        <v>0</v>
      </c>
      <c r="BK95" s="42">
        <f ca="1">IF(OR($I$10="",$O95="",$P95="",$J$37&lt;&gt;"Yes"),0,IF($K$10=0,SUMIFS(INDIRECT(ADDRESS(12,3+18*3+(2),,,"J1 C - (South) Bishopthorpe Roa")&amp;":"&amp;ADDRESS(130,3+18*3+(2))),'J1 C - (South) Bishopthorpe Roa'!$A$12:$A$130,"&gt;="&amp;Diagram!$O95,'J1 C - (South) Bishopthorpe Roa'!$A$12:$A$130,"&lt;"&amp;Diagram!$P95),SUMIFS(INDIRECT(ADDRESS(12,3+18*3+(10),,,"J1 C - (South) Bishopthorpe Roa")&amp;":"&amp;ADDRESS(130,3+18*3+(10))),'J1 C - (South) Bishopthorpe Roa'!$A$12:$A$130,"&gt;="&amp;Diagram!$O95,'J1 C - (South) Bishopthorpe Roa'!$A$12:$A$130,"&lt;"&amp;Diagram!$P95)))</f>
        <v>0</v>
      </c>
      <c r="BL95" s="42">
        <f ca="1">IF(OR($I$10="",$O95="",$P95="",$J$37&lt;&gt;"Yes"),0,IF($K$10=0,SUMIFS(INDIRECT(ADDRESS(12,3+18*0+(2),,,"J1 C - (South) Bishopthorpe Roa")&amp;":"&amp;ADDRESS(130,3+18*0+(2))),'J1 C - (South) Bishopthorpe Roa'!$A$12:$A$130,"&gt;="&amp;Diagram!$O95,'J1 C - (South) Bishopthorpe Roa'!$A$12:$A$130,"&lt;"&amp;Diagram!$P95),SUMIFS(INDIRECT(ADDRESS(12,3+18*0+(10),,,"J1 C - (South) Bishopthorpe Roa")&amp;":"&amp;ADDRESS(130,3+18*0+(10))),'J1 C - (South) Bishopthorpe Roa'!$A$12:$A$130,"&gt;="&amp;Diagram!$O95,'J1 C - (South) Bishopthorpe Roa'!$A$12:$A$130,"&lt;"&amp;Diagram!$P95)))</f>
        <v>0</v>
      </c>
      <c r="BM95" s="42">
        <f ca="1">IF(OR($I$10="",$O95="",$P95="",$J$37&lt;&gt;"Yes"),0,IF($K$10=0,SUMIFS(INDIRECT(ADDRESS(12,3+18*0+(2),,,"J1 D - South Bank Avenue")&amp;":"&amp;ADDRESS(130,3+18*0+(2))),'J1 D - South Bank Avenue'!$A$12:$A$130,"&gt;="&amp;Diagram!$O95,'J1 D - South Bank Avenue'!$A$12:$A$130,"&lt;"&amp;Diagram!$P95),SUMIFS(INDIRECT(ADDRESS(12,3+18*0+(10),,,"J1 D - South Bank Avenue")&amp;":"&amp;ADDRESS(130,3+18*0+(10))),'J1 D - South Bank Avenue'!$A$12:$A$130,"&gt;="&amp;Diagram!$O95,'J1 D - South Bank Avenue'!$A$12:$A$130,"&lt;"&amp;Diagram!$P95)))</f>
        <v>0</v>
      </c>
      <c r="BN95" s="42">
        <f ca="1">IF(OR($I$10="",$O95="",$P95="",$J$37&lt;&gt;"Yes"),0,IF($K$10=0,SUMIFS(INDIRECT(ADDRESS(12,3+18*1+(2),,,"J1 D - South Bank Avenue")&amp;":"&amp;ADDRESS(130,3+18*1+(2))),'J1 D - South Bank Avenue'!$A$12:$A$130,"&gt;="&amp;Diagram!$O95,'J1 D - South Bank Avenue'!$A$12:$A$130,"&lt;"&amp;Diagram!$P95),SUMIFS(INDIRECT(ADDRESS(12,3+18*1+(10),,,"J1 D - South Bank Avenue")&amp;":"&amp;ADDRESS(130,3+18*1+(10))),'J1 D - South Bank Avenue'!$A$12:$A$130,"&gt;="&amp;Diagram!$O95,'J1 D - South Bank Avenue'!$A$12:$A$130,"&lt;"&amp;Diagram!$P95)))</f>
        <v>0</v>
      </c>
      <c r="BO95" s="42">
        <f ca="1">IF(OR($I$10="",$O95="",$P95="",$J$37&lt;&gt;"Yes"),0,IF($K$10=0,SUMIFS(INDIRECT(ADDRESS(12,3+18*2+(2),,,"J1 D - South Bank Avenue")&amp;":"&amp;ADDRESS(130,3+18*2+(2))),'J1 D - South Bank Avenue'!$A$12:$A$130,"&gt;="&amp;Diagram!$O95,'J1 D - South Bank Avenue'!$A$12:$A$130,"&lt;"&amp;Diagram!$P95),SUMIFS(INDIRECT(ADDRESS(12,3+18*2+(10),,,"J1 D - South Bank Avenue")&amp;":"&amp;ADDRESS(130,3+18*2+(10))),'J1 D - South Bank Avenue'!$A$12:$A$130,"&gt;="&amp;Diagram!$O95,'J1 D - South Bank Avenue'!$A$12:$A$130,"&lt;"&amp;Diagram!$P95)))</f>
        <v>0</v>
      </c>
      <c r="BP95" s="42">
        <f ca="1">IF(OR($I$10="",$O95="",$P95="",$J$37&lt;&gt;"Yes"),0,IF($K$10=0,SUMIFS(INDIRECT(ADDRESS(12,3+18*3+(2),,,"J1 D - South Bank Avenue")&amp;":"&amp;ADDRESS(130,3+18*3+(2))),'J1 D - South Bank Avenue'!$A$12:$A$130,"&gt;="&amp;Diagram!$O95,'J1 D - South Bank Avenue'!$A$12:$A$130,"&lt;"&amp;Diagram!$P95),SUMIFS(INDIRECT(ADDRESS(12,3+18*3+(10),,,"J1 D - South Bank Avenue")&amp;":"&amp;ADDRESS(130,3+18*3+(10))),'J1 D - South Bank Avenue'!$A$12:$A$130,"&gt;="&amp;Diagram!$O95,'J1 D - South Bank Avenue'!$A$12:$A$130,"&lt;"&amp;Diagram!$P95)))</f>
        <v>0</v>
      </c>
      <c r="BQ95" s="42">
        <f t="shared" ca="1" si="14"/>
        <v>0</v>
      </c>
      <c r="BR95" s="42">
        <f ca="1">IF(OR($I$10="",$O95="",$P95="",$J$38&lt;&gt;"Yes"),0,IF($K$10=0,SUMIFS(INDIRECT(ADDRESS(12,3+18*3+(3),,,"J1 A - (North) Bishopthorpe Roa")&amp;":"&amp;ADDRESS(130,3+18*3+(3))),'J1 A - (North) Bishopthorpe Roa'!$A$12:$A$130,"&gt;="&amp;Diagram!$O95,'J1 A - (North) Bishopthorpe Roa'!$A$12:$A$130,"&lt;"&amp;Diagram!$P95),SUMIFS(INDIRECT(ADDRESS(12,3+18*3+(11),,,"J1 A - (North) Bishopthorpe Roa")&amp;":"&amp;ADDRESS(130,3+18*3+(11))),'J1 A - (North) Bishopthorpe Roa'!$A$12:$A$130,"&gt;="&amp;Diagram!$O95,'J1 A - (North) Bishopthorpe Roa'!$A$12:$A$130,"&lt;"&amp;Diagram!$P95)))</f>
        <v>0</v>
      </c>
      <c r="BS95" s="42">
        <f ca="1">IF(OR($I$10="",$O95="",$P95="",$J$38&lt;&gt;"Yes"),0,IF($K$10=0,SUMIFS(INDIRECT(ADDRESS(12,3+18*0+(3),,,"J1 A - (North) Bishopthorpe Roa")&amp;":"&amp;ADDRESS(130,3+18*0+(3))),'J1 A - (North) Bishopthorpe Roa'!$A$12:$A$130,"&gt;="&amp;Diagram!$O95,'J1 A - (North) Bishopthorpe Roa'!$A$12:$A$130,"&lt;"&amp;Diagram!$P95),SUMIFS(INDIRECT(ADDRESS(12,3+18*0+(11),,,"J1 A - (North) Bishopthorpe Roa")&amp;":"&amp;ADDRESS(130,3+18*0+(11))),'J1 A - (North) Bishopthorpe Roa'!$A$12:$A$130,"&gt;="&amp;Diagram!$O95,'J1 A - (North) Bishopthorpe Roa'!$A$12:$A$130,"&lt;"&amp;Diagram!$P95)))</f>
        <v>0</v>
      </c>
      <c r="BT95" s="42">
        <f ca="1">IF(OR($I$10="",$O95="",$P95="",$J$38&lt;&gt;"Yes"),0,IF($K$10=0,SUMIFS(INDIRECT(ADDRESS(12,3+18*1+(3),,,"J1 A - (North) Bishopthorpe Roa")&amp;":"&amp;ADDRESS(130,3+18*1+(3))),'J1 A - (North) Bishopthorpe Roa'!$A$12:$A$130,"&gt;="&amp;Diagram!$O95,'J1 A - (North) Bishopthorpe Roa'!$A$12:$A$130,"&lt;"&amp;Diagram!$P95),SUMIFS(INDIRECT(ADDRESS(12,3+18*1+(11),,,"J1 A - (North) Bishopthorpe Roa")&amp;":"&amp;ADDRESS(130,3+18*1+(11))),'J1 A - (North) Bishopthorpe Roa'!$A$12:$A$130,"&gt;="&amp;Diagram!$O95,'J1 A - (North) Bishopthorpe Roa'!$A$12:$A$130,"&lt;"&amp;Diagram!$P95)))</f>
        <v>0</v>
      </c>
      <c r="BU95" s="42">
        <f ca="1">IF(OR($I$10="",$O95="",$P95="",$J$38&lt;&gt;"Yes"),0,IF($K$10=0,SUMIFS(INDIRECT(ADDRESS(12,3+18*2+(3),,,"J1 A - (North) Bishopthorpe Roa")&amp;":"&amp;ADDRESS(130,3+18*2+(3))),'J1 A - (North) Bishopthorpe Roa'!$A$12:$A$130,"&gt;="&amp;Diagram!$O95,'J1 A - (North) Bishopthorpe Roa'!$A$12:$A$130,"&lt;"&amp;Diagram!$P95),SUMIFS(INDIRECT(ADDRESS(12,3+18*2+(11),,,"J1 A - (North) Bishopthorpe Roa")&amp;":"&amp;ADDRESS(130,3+18*2+(11))),'J1 A - (North) Bishopthorpe Roa'!$A$12:$A$130,"&gt;="&amp;Diagram!$O95,'J1 A - (North) Bishopthorpe Roa'!$A$12:$A$130,"&lt;"&amp;Diagram!$P95)))</f>
        <v>0</v>
      </c>
      <c r="BV95" s="42">
        <f ca="1">IF(OR($I$10="",$O95="",$P95="",$J$38&lt;&gt;"Yes"),0,IF($K$10=0,SUMIFS(INDIRECT(ADDRESS(12,3+18*2+(3),,,"J1 B - Butcher Terrace")&amp;":"&amp;ADDRESS(130,3+18*2+(3))),'J1 B - Butcher Terrace'!$A$12:$A$130,"&gt;="&amp;Diagram!$O95,'J1 B - Butcher Terrace'!$A$12:$A$130,"&lt;"&amp;Diagram!$P95),SUMIFS(INDIRECT(ADDRESS(12,3+18*2+(11),,,"J1 B - Butcher Terrace")&amp;":"&amp;ADDRESS(130,3+18*2+(11))),'J1 B - Butcher Terrace'!$A$12:$A$130,"&gt;="&amp;Diagram!$O95,'J1 B - Butcher Terrace'!$A$12:$A$130,"&lt;"&amp;Diagram!$P95)))</f>
        <v>0</v>
      </c>
      <c r="BW95" s="42">
        <f ca="1">IF(OR($I$10="",$O95="",$P95="",$J$38&lt;&gt;"Yes"),0,IF($K$10=0,SUMIFS(INDIRECT(ADDRESS(12,3+18*3+(3),,,"J1 B - Butcher Terrace")&amp;":"&amp;ADDRESS(130,3+18*3+(3))),'J1 B - Butcher Terrace'!$A$12:$A$130,"&gt;="&amp;Diagram!$O95,'J1 B - Butcher Terrace'!$A$12:$A$130,"&lt;"&amp;Diagram!$P95),SUMIFS(INDIRECT(ADDRESS(12,3+18*3+(11),,,"J1 B - Butcher Terrace")&amp;":"&amp;ADDRESS(130,3+18*3+(11))),'J1 B - Butcher Terrace'!$A$12:$A$130,"&gt;="&amp;Diagram!$O95,'J1 B - Butcher Terrace'!$A$12:$A$130,"&lt;"&amp;Diagram!$P95)))</f>
        <v>0</v>
      </c>
      <c r="BX95" s="42">
        <f ca="1">IF(OR($I$10="",$O95="",$P95="",$J$38&lt;&gt;"Yes"),0,IF($K$10=0,SUMIFS(INDIRECT(ADDRESS(12,3+18*0+(3),,,"J1 B - Butcher Terrace")&amp;":"&amp;ADDRESS(130,3+18*0+(3))),'J1 B - Butcher Terrace'!$A$12:$A$130,"&gt;="&amp;Diagram!$O95,'J1 B - Butcher Terrace'!$A$12:$A$130,"&lt;"&amp;Diagram!$P95),SUMIFS(INDIRECT(ADDRESS(12,3+18*0+(11),,,"J1 B - Butcher Terrace")&amp;":"&amp;ADDRESS(130,3+18*0+(11))),'J1 B - Butcher Terrace'!$A$12:$A$130,"&gt;="&amp;Diagram!$O95,'J1 B - Butcher Terrace'!$A$12:$A$130,"&lt;"&amp;Diagram!$P95)))</f>
        <v>0</v>
      </c>
      <c r="BY95" s="42">
        <f ca="1">IF(OR($I$10="",$O95="",$P95="",$J$38&lt;&gt;"Yes"),0,IF($K$10=0,SUMIFS(INDIRECT(ADDRESS(12,3+18*1+(3),,,"J1 B - Butcher Terrace")&amp;":"&amp;ADDRESS(130,3+18*1+(3))),'J1 B - Butcher Terrace'!$A$12:$A$130,"&gt;="&amp;Diagram!$O95,'J1 B - Butcher Terrace'!$A$12:$A$130,"&lt;"&amp;Diagram!$P95),SUMIFS(INDIRECT(ADDRESS(12,3+18*1+(11),,,"J1 B - Butcher Terrace")&amp;":"&amp;ADDRESS(130,3+18*1+(11))),'J1 B - Butcher Terrace'!$A$12:$A$130,"&gt;="&amp;Diagram!$O95,'J1 B - Butcher Terrace'!$A$12:$A$130,"&lt;"&amp;Diagram!$P95)))</f>
        <v>0</v>
      </c>
      <c r="BZ95" s="42">
        <f ca="1">IF(OR($I$10="",$O95="",$P95="",$J$38&lt;&gt;"Yes"),0,IF($K$10=0,SUMIFS(INDIRECT(ADDRESS(12,3+18*1+(3),,,"J1 C - (South) Bishopthorpe Roa")&amp;":"&amp;ADDRESS(130,3+18*1+(3))),'J1 C - (South) Bishopthorpe Roa'!$A$12:$A$130,"&gt;="&amp;Diagram!$O95,'J1 C - (South) Bishopthorpe Roa'!$A$12:$A$130,"&lt;"&amp;Diagram!$P95),SUMIFS(INDIRECT(ADDRESS(12,3+18*1+(11),,,"J1 C - (South) Bishopthorpe Roa")&amp;":"&amp;ADDRESS(130,3+18*1+(11))),'J1 C - (South) Bishopthorpe Roa'!$A$12:$A$130,"&gt;="&amp;Diagram!$O95,'J1 C - (South) Bishopthorpe Roa'!$A$12:$A$130,"&lt;"&amp;Diagram!$P95)))</f>
        <v>0</v>
      </c>
      <c r="CA95" s="42">
        <f ca="1">IF(OR($I$10="",$O95="",$P95="",$J$38&lt;&gt;"Yes"),0,IF($K$10=0,SUMIFS(INDIRECT(ADDRESS(12,3+18*2+(3),,,"J1 C - (South) Bishopthorpe Roa")&amp;":"&amp;ADDRESS(130,3+18*2+(3))),'J1 C - (South) Bishopthorpe Roa'!$A$12:$A$130,"&gt;="&amp;Diagram!$O95,'J1 C - (South) Bishopthorpe Roa'!$A$12:$A$130,"&lt;"&amp;Diagram!$P95),SUMIFS(INDIRECT(ADDRESS(12,3+18*2+(11),,,"J1 C - (South) Bishopthorpe Roa")&amp;":"&amp;ADDRESS(130,3+18*2+(11))),'J1 C - (South) Bishopthorpe Roa'!$A$12:$A$130,"&gt;="&amp;Diagram!$O95,'J1 C - (South) Bishopthorpe Roa'!$A$12:$A$130,"&lt;"&amp;Diagram!$P95)))</f>
        <v>0</v>
      </c>
      <c r="CB95" s="42">
        <f ca="1">IF(OR($I$10="",$O95="",$P95="",$J$38&lt;&gt;"Yes"),0,IF($K$10=0,SUMIFS(INDIRECT(ADDRESS(12,3+18*3+(3),,,"J1 C - (South) Bishopthorpe Roa")&amp;":"&amp;ADDRESS(130,3+18*3+(3))),'J1 C - (South) Bishopthorpe Roa'!$A$12:$A$130,"&gt;="&amp;Diagram!$O95,'J1 C - (South) Bishopthorpe Roa'!$A$12:$A$130,"&lt;"&amp;Diagram!$P95),SUMIFS(INDIRECT(ADDRESS(12,3+18*3+(11),,,"J1 C - (South) Bishopthorpe Roa")&amp;":"&amp;ADDRESS(130,3+18*3+(11))),'J1 C - (South) Bishopthorpe Roa'!$A$12:$A$130,"&gt;="&amp;Diagram!$O95,'J1 C - (South) Bishopthorpe Roa'!$A$12:$A$130,"&lt;"&amp;Diagram!$P95)))</f>
        <v>0</v>
      </c>
      <c r="CC95" s="42">
        <f ca="1">IF(OR($I$10="",$O95="",$P95="",$J$38&lt;&gt;"Yes"),0,IF($K$10=0,SUMIFS(INDIRECT(ADDRESS(12,3+18*0+(3),,,"J1 C - (South) Bishopthorpe Roa")&amp;":"&amp;ADDRESS(130,3+18*0+(3))),'J1 C - (South) Bishopthorpe Roa'!$A$12:$A$130,"&gt;="&amp;Diagram!$O95,'J1 C - (South) Bishopthorpe Roa'!$A$12:$A$130,"&lt;"&amp;Diagram!$P95),SUMIFS(INDIRECT(ADDRESS(12,3+18*0+(11),,,"J1 C - (South) Bishopthorpe Roa")&amp;":"&amp;ADDRESS(130,3+18*0+(11))),'J1 C - (South) Bishopthorpe Roa'!$A$12:$A$130,"&gt;="&amp;Diagram!$O95,'J1 C - (South) Bishopthorpe Roa'!$A$12:$A$130,"&lt;"&amp;Diagram!$P95)))</f>
        <v>0</v>
      </c>
      <c r="CD95" s="42">
        <f ca="1">IF(OR($I$10="",$O95="",$P95="",$J$38&lt;&gt;"Yes"),0,IF($K$10=0,SUMIFS(INDIRECT(ADDRESS(12,3+18*0+(3),,,"J1 D - South Bank Avenue")&amp;":"&amp;ADDRESS(130,3+18*0+(3))),'J1 D - South Bank Avenue'!$A$12:$A$130,"&gt;="&amp;Diagram!$O95,'J1 D - South Bank Avenue'!$A$12:$A$130,"&lt;"&amp;Diagram!$P95),SUMIFS(INDIRECT(ADDRESS(12,3+18*0+(11),,,"J1 D - South Bank Avenue")&amp;":"&amp;ADDRESS(130,3+18*0+(11))),'J1 D - South Bank Avenue'!$A$12:$A$130,"&gt;="&amp;Diagram!$O95,'J1 D - South Bank Avenue'!$A$12:$A$130,"&lt;"&amp;Diagram!$P95)))</f>
        <v>0</v>
      </c>
      <c r="CE95" s="42">
        <f ca="1">IF(OR($I$10="",$O95="",$P95="",$J$38&lt;&gt;"Yes"),0,IF($K$10=0,SUMIFS(INDIRECT(ADDRESS(12,3+18*1+(3),,,"J1 D - South Bank Avenue")&amp;":"&amp;ADDRESS(130,3+18*1+(3))),'J1 D - South Bank Avenue'!$A$12:$A$130,"&gt;="&amp;Diagram!$O95,'J1 D - South Bank Avenue'!$A$12:$A$130,"&lt;"&amp;Diagram!$P95),SUMIFS(INDIRECT(ADDRESS(12,3+18*1+(11),,,"J1 D - South Bank Avenue")&amp;":"&amp;ADDRESS(130,3+18*1+(11))),'J1 D - South Bank Avenue'!$A$12:$A$130,"&gt;="&amp;Diagram!$O95,'J1 D - South Bank Avenue'!$A$12:$A$130,"&lt;"&amp;Diagram!$P95)))</f>
        <v>0</v>
      </c>
      <c r="CF95" s="42">
        <f ca="1">IF(OR($I$10="",$O95="",$P95="",$J$38&lt;&gt;"Yes"),0,IF($K$10=0,SUMIFS(INDIRECT(ADDRESS(12,3+18*2+(3),,,"J1 D - South Bank Avenue")&amp;":"&amp;ADDRESS(130,3+18*2+(3))),'J1 D - South Bank Avenue'!$A$12:$A$130,"&gt;="&amp;Diagram!$O95,'J1 D - South Bank Avenue'!$A$12:$A$130,"&lt;"&amp;Diagram!$P95),SUMIFS(INDIRECT(ADDRESS(12,3+18*2+(11),,,"J1 D - South Bank Avenue")&amp;":"&amp;ADDRESS(130,3+18*2+(11))),'J1 D - South Bank Avenue'!$A$12:$A$130,"&gt;="&amp;Diagram!$O95,'J1 D - South Bank Avenue'!$A$12:$A$130,"&lt;"&amp;Diagram!$P95)))</f>
        <v>0</v>
      </c>
      <c r="CG95" s="42">
        <f ca="1">IF(OR($I$10="",$O95="",$P95="",$J$38&lt;&gt;"Yes"),0,IF($K$10=0,SUMIFS(INDIRECT(ADDRESS(12,3+18*3+(3),,,"J1 D - South Bank Avenue")&amp;":"&amp;ADDRESS(130,3+18*3+(3))),'J1 D - South Bank Avenue'!$A$12:$A$130,"&gt;="&amp;Diagram!$O95,'J1 D - South Bank Avenue'!$A$12:$A$130,"&lt;"&amp;Diagram!$P95),SUMIFS(INDIRECT(ADDRESS(12,3+18*3+(11),,,"J1 D - South Bank Avenue")&amp;":"&amp;ADDRESS(130,3+18*3+(11))),'J1 D - South Bank Avenue'!$A$12:$A$130,"&gt;="&amp;Diagram!$O95,'J1 D - South Bank Avenue'!$A$12:$A$130,"&lt;"&amp;Diagram!$P95)))</f>
        <v>0</v>
      </c>
      <c r="CH95" s="42">
        <f t="shared" ca="1" si="15"/>
        <v>1</v>
      </c>
      <c r="CI95" s="42">
        <f ca="1">IF(OR($I$10="",$O95="",$P95="",$J$39&lt;&gt;"Yes"),0,IF($K$10=0,SUMIFS(INDIRECT(ADDRESS(12,3+18*3+(4),,,"J1 A - (North) Bishopthorpe Roa")&amp;":"&amp;ADDRESS(130,3+18*3+(4))),'J1 A - (North) Bishopthorpe Roa'!$A$12:$A$130,"&gt;="&amp;Diagram!$O95,'J1 A - (North) Bishopthorpe Roa'!$A$12:$A$130,"&lt;"&amp;Diagram!$P95),SUMIFS(INDIRECT(ADDRESS(12,3+18*3+(12),,,"J1 A - (North) Bishopthorpe Roa")&amp;":"&amp;ADDRESS(130,3+18*3+(12))),'J1 A - (North) Bishopthorpe Roa'!$A$12:$A$130,"&gt;="&amp;Diagram!$O95,'J1 A - (North) Bishopthorpe Roa'!$A$12:$A$130,"&lt;"&amp;Diagram!$P95)))</f>
        <v>0</v>
      </c>
      <c r="CJ95" s="42">
        <f ca="1">IF(OR($I$10="",$O95="",$P95="",$J$39&lt;&gt;"Yes"),0,IF($K$10=0,SUMIFS(INDIRECT(ADDRESS(12,3+18*0+(4),,,"J1 A - (North) Bishopthorpe Roa")&amp;":"&amp;ADDRESS(130,3+18*0+(4))),'J1 A - (North) Bishopthorpe Roa'!$A$12:$A$130,"&gt;="&amp;Diagram!$O95,'J1 A - (North) Bishopthorpe Roa'!$A$12:$A$130,"&lt;"&amp;Diagram!$P95),SUMIFS(INDIRECT(ADDRESS(12,3+18*0+(12),,,"J1 A - (North) Bishopthorpe Roa")&amp;":"&amp;ADDRESS(130,3+18*0+(12))),'J1 A - (North) Bishopthorpe Roa'!$A$12:$A$130,"&gt;="&amp;Diagram!$O95,'J1 A - (North) Bishopthorpe Roa'!$A$12:$A$130,"&lt;"&amp;Diagram!$P95)))</f>
        <v>0</v>
      </c>
      <c r="CK95" s="42">
        <f ca="1">IF(OR($I$10="",$O95="",$P95="",$J$39&lt;&gt;"Yes"),0,IF($K$10=0,SUMIFS(INDIRECT(ADDRESS(12,3+18*1+(4),,,"J1 A - (North) Bishopthorpe Roa")&amp;":"&amp;ADDRESS(130,3+18*1+(4))),'J1 A - (North) Bishopthorpe Roa'!$A$12:$A$130,"&gt;="&amp;Diagram!$O95,'J1 A - (North) Bishopthorpe Roa'!$A$12:$A$130,"&lt;"&amp;Diagram!$P95),SUMIFS(INDIRECT(ADDRESS(12,3+18*1+(12),,,"J1 A - (North) Bishopthorpe Roa")&amp;":"&amp;ADDRESS(130,3+18*1+(12))),'J1 A - (North) Bishopthorpe Roa'!$A$12:$A$130,"&gt;="&amp;Diagram!$O95,'J1 A - (North) Bishopthorpe Roa'!$A$12:$A$130,"&lt;"&amp;Diagram!$P95)))</f>
        <v>0</v>
      </c>
      <c r="CL95" s="42">
        <f ca="1">IF(OR($I$10="",$O95="",$P95="",$J$39&lt;&gt;"Yes"),0,IF($K$10=0,SUMIFS(INDIRECT(ADDRESS(12,3+18*2+(4),,,"J1 A - (North) Bishopthorpe Roa")&amp;":"&amp;ADDRESS(130,3+18*2+(4))),'J1 A - (North) Bishopthorpe Roa'!$A$12:$A$130,"&gt;="&amp;Diagram!$O95,'J1 A - (North) Bishopthorpe Roa'!$A$12:$A$130,"&lt;"&amp;Diagram!$P95),SUMIFS(INDIRECT(ADDRESS(12,3+18*2+(12),,,"J1 A - (North) Bishopthorpe Roa")&amp;":"&amp;ADDRESS(130,3+18*2+(12))),'J1 A - (North) Bishopthorpe Roa'!$A$12:$A$130,"&gt;="&amp;Diagram!$O95,'J1 A - (North) Bishopthorpe Roa'!$A$12:$A$130,"&lt;"&amp;Diagram!$P95)))</f>
        <v>0</v>
      </c>
      <c r="CM95" s="42">
        <f ca="1">IF(OR($I$10="",$O95="",$P95="",$J$39&lt;&gt;"Yes"),0,IF($K$10=0,SUMIFS(INDIRECT(ADDRESS(12,3+18*2+(4),,,"J1 B - Butcher Terrace")&amp;":"&amp;ADDRESS(130,3+18*2+(4))),'J1 B - Butcher Terrace'!$A$12:$A$130,"&gt;="&amp;Diagram!$O95,'J1 B - Butcher Terrace'!$A$12:$A$130,"&lt;"&amp;Diagram!$P95),SUMIFS(INDIRECT(ADDRESS(12,3+18*2+(12),,,"J1 B - Butcher Terrace")&amp;":"&amp;ADDRESS(130,3+18*2+(12))),'J1 B - Butcher Terrace'!$A$12:$A$130,"&gt;="&amp;Diagram!$O95,'J1 B - Butcher Terrace'!$A$12:$A$130,"&lt;"&amp;Diagram!$P95)))</f>
        <v>0</v>
      </c>
      <c r="CN95" s="42">
        <f ca="1">IF(OR($I$10="",$O95="",$P95="",$J$39&lt;&gt;"Yes"),0,IF($K$10=0,SUMIFS(INDIRECT(ADDRESS(12,3+18*3+(4),,,"J1 B - Butcher Terrace")&amp;":"&amp;ADDRESS(130,3+18*3+(4))),'J1 B - Butcher Terrace'!$A$12:$A$130,"&gt;="&amp;Diagram!$O95,'J1 B - Butcher Terrace'!$A$12:$A$130,"&lt;"&amp;Diagram!$P95),SUMIFS(INDIRECT(ADDRESS(12,3+18*3+(12),,,"J1 B - Butcher Terrace")&amp;":"&amp;ADDRESS(130,3+18*3+(12))),'J1 B - Butcher Terrace'!$A$12:$A$130,"&gt;="&amp;Diagram!$O95,'J1 B - Butcher Terrace'!$A$12:$A$130,"&lt;"&amp;Diagram!$P95)))</f>
        <v>0</v>
      </c>
      <c r="CO95" s="42">
        <f ca="1">IF(OR($I$10="",$O95="",$P95="",$J$39&lt;&gt;"Yes"),0,IF($K$10=0,SUMIFS(INDIRECT(ADDRESS(12,3+18*0+(4),,,"J1 B - Butcher Terrace")&amp;":"&amp;ADDRESS(130,3+18*0+(4))),'J1 B - Butcher Terrace'!$A$12:$A$130,"&gt;="&amp;Diagram!$O95,'J1 B - Butcher Terrace'!$A$12:$A$130,"&lt;"&amp;Diagram!$P95),SUMIFS(INDIRECT(ADDRESS(12,3+18*0+(12),,,"J1 B - Butcher Terrace")&amp;":"&amp;ADDRESS(130,3+18*0+(12))),'J1 B - Butcher Terrace'!$A$12:$A$130,"&gt;="&amp;Diagram!$O95,'J1 B - Butcher Terrace'!$A$12:$A$130,"&lt;"&amp;Diagram!$P95)))</f>
        <v>0</v>
      </c>
      <c r="CP95" s="42">
        <f ca="1">IF(OR($I$10="",$O95="",$P95="",$J$39&lt;&gt;"Yes"),0,IF($K$10=0,SUMIFS(INDIRECT(ADDRESS(12,3+18*1+(4),,,"J1 B - Butcher Terrace")&amp;":"&amp;ADDRESS(130,3+18*1+(4))),'J1 B - Butcher Terrace'!$A$12:$A$130,"&gt;="&amp;Diagram!$O95,'J1 B - Butcher Terrace'!$A$12:$A$130,"&lt;"&amp;Diagram!$P95),SUMIFS(INDIRECT(ADDRESS(12,3+18*1+(12),,,"J1 B - Butcher Terrace")&amp;":"&amp;ADDRESS(130,3+18*1+(12))),'J1 B - Butcher Terrace'!$A$12:$A$130,"&gt;="&amp;Diagram!$O95,'J1 B - Butcher Terrace'!$A$12:$A$130,"&lt;"&amp;Diagram!$P95)))</f>
        <v>0</v>
      </c>
      <c r="CQ95" s="42">
        <f ca="1">IF(OR($I$10="",$O95="",$P95="",$J$39&lt;&gt;"Yes"),0,IF($K$10=0,SUMIFS(INDIRECT(ADDRESS(12,3+18*1+(4),,,"J1 C - (South) Bishopthorpe Roa")&amp;":"&amp;ADDRESS(130,3+18*1+(4))),'J1 C - (South) Bishopthorpe Roa'!$A$12:$A$130,"&gt;="&amp;Diagram!$O95,'J1 C - (South) Bishopthorpe Roa'!$A$12:$A$130,"&lt;"&amp;Diagram!$P95),SUMIFS(INDIRECT(ADDRESS(12,3+18*1+(12),,,"J1 C - (South) Bishopthorpe Roa")&amp;":"&amp;ADDRESS(130,3+18*1+(12))),'J1 C - (South) Bishopthorpe Roa'!$A$12:$A$130,"&gt;="&amp;Diagram!$O95,'J1 C - (South) Bishopthorpe Roa'!$A$12:$A$130,"&lt;"&amp;Diagram!$P95)))</f>
        <v>1</v>
      </c>
      <c r="CR95" s="42">
        <f ca="1">IF(OR($I$10="",$O95="",$P95="",$J$39&lt;&gt;"Yes"),0,IF($K$10=0,SUMIFS(INDIRECT(ADDRESS(12,3+18*2+(4),,,"J1 C - (South) Bishopthorpe Roa")&amp;":"&amp;ADDRESS(130,3+18*2+(4))),'J1 C - (South) Bishopthorpe Roa'!$A$12:$A$130,"&gt;="&amp;Diagram!$O95,'J1 C - (South) Bishopthorpe Roa'!$A$12:$A$130,"&lt;"&amp;Diagram!$P95),SUMIFS(INDIRECT(ADDRESS(12,3+18*2+(12),,,"J1 C - (South) Bishopthorpe Roa")&amp;":"&amp;ADDRESS(130,3+18*2+(12))),'J1 C - (South) Bishopthorpe Roa'!$A$12:$A$130,"&gt;="&amp;Diagram!$O95,'J1 C - (South) Bishopthorpe Roa'!$A$12:$A$130,"&lt;"&amp;Diagram!$P95)))</f>
        <v>0</v>
      </c>
      <c r="CS95" s="42">
        <f ca="1">IF(OR($I$10="",$O95="",$P95="",$J$39&lt;&gt;"Yes"),0,IF($K$10=0,SUMIFS(INDIRECT(ADDRESS(12,3+18*3+(4),,,"J1 C - (South) Bishopthorpe Roa")&amp;":"&amp;ADDRESS(130,3+18*3+(4))),'J1 C - (South) Bishopthorpe Roa'!$A$12:$A$130,"&gt;="&amp;Diagram!$O95,'J1 C - (South) Bishopthorpe Roa'!$A$12:$A$130,"&lt;"&amp;Diagram!$P95),SUMIFS(INDIRECT(ADDRESS(12,3+18*3+(12),,,"J1 C - (South) Bishopthorpe Roa")&amp;":"&amp;ADDRESS(130,3+18*3+(12))),'J1 C - (South) Bishopthorpe Roa'!$A$12:$A$130,"&gt;="&amp;Diagram!$O95,'J1 C - (South) Bishopthorpe Roa'!$A$12:$A$130,"&lt;"&amp;Diagram!$P95)))</f>
        <v>0</v>
      </c>
      <c r="CT95" s="42">
        <f ca="1">IF(OR($I$10="",$O95="",$P95="",$J$39&lt;&gt;"Yes"),0,IF($K$10=0,SUMIFS(INDIRECT(ADDRESS(12,3+18*0+(4),,,"J1 C - (South) Bishopthorpe Roa")&amp;":"&amp;ADDRESS(130,3+18*0+(4))),'J1 C - (South) Bishopthorpe Roa'!$A$12:$A$130,"&gt;="&amp;Diagram!$O95,'J1 C - (South) Bishopthorpe Roa'!$A$12:$A$130,"&lt;"&amp;Diagram!$P95),SUMIFS(INDIRECT(ADDRESS(12,3+18*0+(12),,,"J1 C - (South) Bishopthorpe Roa")&amp;":"&amp;ADDRESS(130,3+18*0+(12))),'J1 C - (South) Bishopthorpe Roa'!$A$12:$A$130,"&gt;="&amp;Diagram!$O95,'J1 C - (South) Bishopthorpe Roa'!$A$12:$A$130,"&lt;"&amp;Diagram!$P95)))</f>
        <v>0</v>
      </c>
      <c r="CU95" s="42">
        <f ca="1">IF(OR($I$10="",$O95="",$P95="",$J$39&lt;&gt;"Yes"),0,IF($K$10=0,SUMIFS(INDIRECT(ADDRESS(12,3+18*0+(4),,,"J1 D - South Bank Avenue")&amp;":"&amp;ADDRESS(130,3+18*0+(4))),'J1 D - South Bank Avenue'!$A$12:$A$130,"&gt;="&amp;Diagram!$O95,'J1 D - South Bank Avenue'!$A$12:$A$130,"&lt;"&amp;Diagram!$P95),SUMIFS(INDIRECT(ADDRESS(12,3+18*0+(12),,,"J1 D - South Bank Avenue")&amp;":"&amp;ADDRESS(130,3+18*0+(12))),'J1 D - South Bank Avenue'!$A$12:$A$130,"&gt;="&amp;Diagram!$O95,'J1 D - South Bank Avenue'!$A$12:$A$130,"&lt;"&amp;Diagram!$P95)))</f>
        <v>0</v>
      </c>
      <c r="CV95" s="42">
        <f ca="1">IF(OR($I$10="",$O95="",$P95="",$J$39&lt;&gt;"Yes"),0,IF($K$10=0,SUMIFS(INDIRECT(ADDRESS(12,3+18*1+(4),,,"J1 D - South Bank Avenue")&amp;":"&amp;ADDRESS(130,3+18*1+(4))),'J1 D - South Bank Avenue'!$A$12:$A$130,"&gt;="&amp;Diagram!$O95,'J1 D - South Bank Avenue'!$A$12:$A$130,"&lt;"&amp;Diagram!$P95),SUMIFS(INDIRECT(ADDRESS(12,3+18*1+(12),,,"J1 D - South Bank Avenue")&amp;":"&amp;ADDRESS(130,3+18*1+(12))),'J1 D - South Bank Avenue'!$A$12:$A$130,"&gt;="&amp;Diagram!$O95,'J1 D - South Bank Avenue'!$A$12:$A$130,"&lt;"&amp;Diagram!$P95)))</f>
        <v>0</v>
      </c>
      <c r="CW95" s="42">
        <f ca="1">IF(OR($I$10="",$O95="",$P95="",$J$39&lt;&gt;"Yes"),0,IF($K$10=0,SUMIFS(INDIRECT(ADDRESS(12,3+18*2+(4),,,"J1 D - South Bank Avenue")&amp;":"&amp;ADDRESS(130,3+18*2+(4))),'J1 D - South Bank Avenue'!$A$12:$A$130,"&gt;="&amp;Diagram!$O95,'J1 D - South Bank Avenue'!$A$12:$A$130,"&lt;"&amp;Diagram!$P95),SUMIFS(INDIRECT(ADDRESS(12,3+18*2+(12),,,"J1 D - South Bank Avenue")&amp;":"&amp;ADDRESS(130,3+18*2+(12))),'J1 D - South Bank Avenue'!$A$12:$A$130,"&gt;="&amp;Diagram!$O95,'J1 D - South Bank Avenue'!$A$12:$A$130,"&lt;"&amp;Diagram!$P95)))</f>
        <v>0</v>
      </c>
      <c r="CX95" s="42">
        <f ca="1">IF(OR($I$10="",$O95="",$P95="",$J$39&lt;&gt;"Yes"),0,IF($K$10=0,SUMIFS(INDIRECT(ADDRESS(12,3+18*3+(4),,,"J1 D - South Bank Avenue")&amp;":"&amp;ADDRESS(130,3+18*3+(4))),'J1 D - South Bank Avenue'!$A$12:$A$130,"&gt;="&amp;Diagram!$O95,'J1 D - South Bank Avenue'!$A$12:$A$130,"&lt;"&amp;Diagram!$P95),SUMIFS(INDIRECT(ADDRESS(12,3+18*3+(12),,,"J1 D - South Bank Avenue")&amp;":"&amp;ADDRESS(130,3+18*3+(12))),'J1 D - South Bank Avenue'!$A$12:$A$130,"&gt;="&amp;Diagram!$O95,'J1 D - South Bank Avenue'!$A$12:$A$130,"&lt;"&amp;Diagram!$P95)))</f>
        <v>0</v>
      </c>
      <c r="CY95" s="42">
        <f t="shared" ca="1" si="16"/>
        <v>16</v>
      </c>
      <c r="CZ95" s="42">
        <f ca="1">IF(OR($I$10="",$O95="",$P95="",$J$40&lt;&gt;"Yes"),0,IF($K$10=0,SUMIFS(INDIRECT(ADDRESS(12,3+18*3+(5),,,"J1 A - (North) Bishopthorpe Roa")&amp;":"&amp;ADDRESS(130,3+18*3+(5))),'J1 A - (North) Bishopthorpe Roa'!$A$12:$A$130,"&gt;="&amp;Diagram!$O95,'J1 A - (North) Bishopthorpe Roa'!$A$12:$A$130,"&lt;"&amp;Diagram!$P95),SUMIFS(INDIRECT(ADDRESS(12,3+18*3+(13),,,"J1 A - (North) Bishopthorpe Roa")&amp;":"&amp;ADDRESS(130,3+18*3+(13))),'J1 A - (North) Bishopthorpe Roa'!$A$12:$A$130,"&gt;="&amp;Diagram!$O95,'J1 A - (North) Bishopthorpe Roa'!$A$12:$A$130,"&lt;"&amp;Diagram!$P95)))</f>
        <v>0</v>
      </c>
      <c r="DA95" s="42">
        <f ca="1">IF(OR($I$10="",$O95="",$P95="",$J$40&lt;&gt;"Yes"),0,IF($K$10=0,SUMIFS(INDIRECT(ADDRESS(12,3+18*0+(5),,,"J1 A - (North) Bishopthorpe Roa")&amp;":"&amp;ADDRESS(130,3+18*0+(5))),'J1 A - (North) Bishopthorpe Roa'!$A$12:$A$130,"&gt;="&amp;Diagram!$O95,'J1 A - (North) Bishopthorpe Roa'!$A$12:$A$130,"&lt;"&amp;Diagram!$P95),SUMIFS(INDIRECT(ADDRESS(12,3+18*0+(13),,,"J1 A - (North) Bishopthorpe Roa")&amp;":"&amp;ADDRESS(130,3+18*0+(13))),'J1 A - (North) Bishopthorpe Roa'!$A$12:$A$130,"&gt;="&amp;Diagram!$O95,'J1 A - (North) Bishopthorpe Roa'!$A$12:$A$130,"&lt;"&amp;Diagram!$P95)))</f>
        <v>1</v>
      </c>
      <c r="DB95" s="42">
        <f ca="1">IF(OR($I$10="",$O95="",$P95="",$J$40&lt;&gt;"Yes"),0,IF($K$10=0,SUMIFS(INDIRECT(ADDRESS(12,3+18*1+(5),,,"J1 A - (North) Bishopthorpe Roa")&amp;":"&amp;ADDRESS(130,3+18*1+(5))),'J1 A - (North) Bishopthorpe Roa'!$A$12:$A$130,"&gt;="&amp;Diagram!$O95,'J1 A - (North) Bishopthorpe Roa'!$A$12:$A$130,"&lt;"&amp;Diagram!$P95),SUMIFS(INDIRECT(ADDRESS(12,3+18*1+(13),,,"J1 A - (North) Bishopthorpe Roa")&amp;":"&amp;ADDRESS(130,3+18*1+(13))),'J1 A - (North) Bishopthorpe Roa'!$A$12:$A$130,"&gt;="&amp;Diagram!$O95,'J1 A - (North) Bishopthorpe Roa'!$A$12:$A$130,"&lt;"&amp;Diagram!$P95)))</f>
        <v>4</v>
      </c>
      <c r="DC95" s="42">
        <f ca="1">IF(OR($I$10="",$O95="",$P95="",$J$40&lt;&gt;"Yes"),0,IF($K$10=0,SUMIFS(INDIRECT(ADDRESS(12,3+18*2+(5),,,"J1 A - (North) Bishopthorpe Roa")&amp;":"&amp;ADDRESS(130,3+18*2+(5))),'J1 A - (North) Bishopthorpe Roa'!$A$12:$A$130,"&gt;="&amp;Diagram!$O95,'J1 A - (North) Bishopthorpe Roa'!$A$12:$A$130,"&lt;"&amp;Diagram!$P95),SUMIFS(INDIRECT(ADDRESS(12,3+18*2+(13),,,"J1 A - (North) Bishopthorpe Roa")&amp;":"&amp;ADDRESS(130,3+18*2+(13))),'J1 A - (North) Bishopthorpe Roa'!$A$12:$A$130,"&gt;="&amp;Diagram!$O95,'J1 A - (North) Bishopthorpe Roa'!$A$12:$A$130,"&lt;"&amp;Diagram!$P95)))</f>
        <v>1</v>
      </c>
      <c r="DD95" s="42">
        <f ca="1">IF(OR($I$10="",$O95="",$P95="",$J$40&lt;&gt;"Yes"),0,IF($K$10=0,SUMIFS(INDIRECT(ADDRESS(12,3+18*2+(5),,,"J1 B - Butcher Terrace")&amp;":"&amp;ADDRESS(130,3+18*2+(5))),'J1 B - Butcher Terrace'!$A$12:$A$130,"&gt;="&amp;Diagram!$O95,'J1 B - Butcher Terrace'!$A$12:$A$130,"&lt;"&amp;Diagram!$P95),SUMIFS(INDIRECT(ADDRESS(12,3+18*2+(13),,,"J1 B - Butcher Terrace")&amp;":"&amp;ADDRESS(130,3+18*2+(13))),'J1 B - Butcher Terrace'!$A$12:$A$130,"&gt;="&amp;Diagram!$O95,'J1 B - Butcher Terrace'!$A$12:$A$130,"&lt;"&amp;Diagram!$P95)))</f>
        <v>0</v>
      </c>
      <c r="DE95" s="42">
        <f ca="1">IF(OR($I$10="",$O95="",$P95="",$J$40&lt;&gt;"Yes"),0,IF($K$10=0,SUMIFS(INDIRECT(ADDRESS(12,3+18*3+(5),,,"J1 B - Butcher Terrace")&amp;":"&amp;ADDRESS(130,3+18*3+(5))),'J1 B - Butcher Terrace'!$A$12:$A$130,"&gt;="&amp;Diagram!$O95,'J1 B - Butcher Terrace'!$A$12:$A$130,"&lt;"&amp;Diagram!$P95),SUMIFS(INDIRECT(ADDRESS(12,3+18*3+(13),,,"J1 B - Butcher Terrace")&amp;":"&amp;ADDRESS(130,3+18*3+(13))),'J1 B - Butcher Terrace'!$A$12:$A$130,"&gt;="&amp;Diagram!$O95,'J1 B - Butcher Terrace'!$A$12:$A$130,"&lt;"&amp;Diagram!$P95)))</f>
        <v>0</v>
      </c>
      <c r="DF95" s="42">
        <f ca="1">IF(OR($I$10="",$O95="",$P95="",$J$40&lt;&gt;"Yes"),0,IF($K$10=0,SUMIFS(INDIRECT(ADDRESS(12,3+18*0+(5),,,"J1 B - Butcher Terrace")&amp;":"&amp;ADDRESS(130,3+18*0+(5))),'J1 B - Butcher Terrace'!$A$12:$A$130,"&gt;="&amp;Diagram!$O95,'J1 B - Butcher Terrace'!$A$12:$A$130,"&lt;"&amp;Diagram!$P95),SUMIFS(INDIRECT(ADDRESS(12,3+18*0+(13),,,"J1 B - Butcher Terrace")&amp;":"&amp;ADDRESS(130,3+18*0+(13))),'J1 B - Butcher Terrace'!$A$12:$A$130,"&gt;="&amp;Diagram!$O95,'J1 B - Butcher Terrace'!$A$12:$A$130,"&lt;"&amp;Diagram!$P95)))</f>
        <v>0</v>
      </c>
      <c r="DG95" s="42">
        <f ca="1">IF(OR($I$10="",$O95="",$P95="",$J$40&lt;&gt;"Yes"),0,IF($K$10=0,SUMIFS(INDIRECT(ADDRESS(12,3+18*1+(5),,,"J1 B - Butcher Terrace")&amp;":"&amp;ADDRESS(130,3+18*1+(5))),'J1 B - Butcher Terrace'!$A$12:$A$130,"&gt;="&amp;Diagram!$O95,'J1 B - Butcher Terrace'!$A$12:$A$130,"&lt;"&amp;Diagram!$P95),SUMIFS(INDIRECT(ADDRESS(12,3+18*1+(13),,,"J1 B - Butcher Terrace")&amp;":"&amp;ADDRESS(130,3+18*1+(13))),'J1 B - Butcher Terrace'!$A$12:$A$130,"&gt;="&amp;Diagram!$O95,'J1 B - Butcher Terrace'!$A$12:$A$130,"&lt;"&amp;Diagram!$P95)))</f>
        <v>6</v>
      </c>
      <c r="DH95" s="42">
        <f ca="1">IF(OR($I$10="",$O95="",$P95="",$J$40&lt;&gt;"Yes"),0,IF($K$10=0,SUMIFS(INDIRECT(ADDRESS(12,3+18*1+(5),,,"J1 C - (South) Bishopthorpe Roa")&amp;":"&amp;ADDRESS(130,3+18*1+(5))),'J1 C - (South) Bishopthorpe Roa'!$A$12:$A$130,"&gt;="&amp;Diagram!$O95,'J1 C - (South) Bishopthorpe Roa'!$A$12:$A$130,"&lt;"&amp;Diagram!$P95),SUMIFS(INDIRECT(ADDRESS(12,3+18*1+(13),,,"J1 C - (South) Bishopthorpe Roa")&amp;":"&amp;ADDRESS(130,3+18*1+(13))),'J1 C - (South) Bishopthorpe Roa'!$A$12:$A$130,"&gt;="&amp;Diagram!$O95,'J1 C - (South) Bishopthorpe Roa'!$A$12:$A$130,"&lt;"&amp;Diagram!$P95)))</f>
        <v>2</v>
      </c>
      <c r="DI95" s="42">
        <f ca="1">IF(OR($I$10="",$O95="",$P95="",$J$40&lt;&gt;"Yes"),0,IF($K$10=0,SUMIFS(INDIRECT(ADDRESS(12,3+18*2+(5),,,"J1 C - (South) Bishopthorpe Roa")&amp;":"&amp;ADDRESS(130,3+18*2+(5))),'J1 C - (South) Bishopthorpe Roa'!$A$12:$A$130,"&gt;="&amp;Diagram!$O95,'J1 C - (South) Bishopthorpe Roa'!$A$12:$A$130,"&lt;"&amp;Diagram!$P95),SUMIFS(INDIRECT(ADDRESS(12,3+18*2+(13),,,"J1 C - (South) Bishopthorpe Roa")&amp;":"&amp;ADDRESS(130,3+18*2+(13))),'J1 C - (South) Bishopthorpe Roa'!$A$12:$A$130,"&gt;="&amp;Diagram!$O95,'J1 C - (South) Bishopthorpe Roa'!$A$12:$A$130,"&lt;"&amp;Diagram!$P95)))</f>
        <v>0</v>
      </c>
      <c r="DJ95" s="42">
        <f ca="1">IF(OR($I$10="",$O95="",$P95="",$J$40&lt;&gt;"Yes"),0,IF($K$10=0,SUMIFS(INDIRECT(ADDRESS(12,3+18*3+(5),,,"J1 C - (South) Bishopthorpe Roa")&amp;":"&amp;ADDRESS(130,3+18*3+(5))),'J1 C - (South) Bishopthorpe Roa'!$A$12:$A$130,"&gt;="&amp;Diagram!$O95,'J1 C - (South) Bishopthorpe Roa'!$A$12:$A$130,"&lt;"&amp;Diagram!$P95),SUMIFS(INDIRECT(ADDRESS(12,3+18*3+(13),,,"J1 C - (South) Bishopthorpe Roa")&amp;":"&amp;ADDRESS(130,3+18*3+(13))),'J1 C - (South) Bishopthorpe Roa'!$A$12:$A$130,"&gt;="&amp;Diagram!$O95,'J1 C - (South) Bishopthorpe Roa'!$A$12:$A$130,"&lt;"&amp;Diagram!$P95)))</f>
        <v>0</v>
      </c>
      <c r="DK95" s="42">
        <f ca="1">IF(OR($I$10="",$O95="",$P95="",$J$40&lt;&gt;"Yes"),0,IF($K$10=0,SUMIFS(INDIRECT(ADDRESS(12,3+18*0+(5),,,"J1 C - (South) Bishopthorpe Roa")&amp;":"&amp;ADDRESS(130,3+18*0+(5))),'J1 C - (South) Bishopthorpe Roa'!$A$12:$A$130,"&gt;="&amp;Diagram!$O95,'J1 C - (South) Bishopthorpe Roa'!$A$12:$A$130,"&lt;"&amp;Diagram!$P95),SUMIFS(INDIRECT(ADDRESS(12,3+18*0+(13),,,"J1 C - (South) Bishopthorpe Roa")&amp;":"&amp;ADDRESS(130,3+18*0+(13))),'J1 C - (South) Bishopthorpe Roa'!$A$12:$A$130,"&gt;="&amp;Diagram!$O95,'J1 C - (South) Bishopthorpe Roa'!$A$12:$A$130,"&lt;"&amp;Diagram!$P95)))</f>
        <v>0</v>
      </c>
      <c r="DL95" s="42">
        <f ca="1">IF(OR($I$10="",$O95="",$P95="",$J$40&lt;&gt;"Yes"),0,IF($K$10=0,SUMIFS(INDIRECT(ADDRESS(12,3+18*0+(5),,,"J1 D - South Bank Avenue")&amp;":"&amp;ADDRESS(130,3+18*0+(5))),'J1 D - South Bank Avenue'!$A$12:$A$130,"&gt;="&amp;Diagram!$O95,'J1 D - South Bank Avenue'!$A$12:$A$130,"&lt;"&amp;Diagram!$P95),SUMIFS(INDIRECT(ADDRESS(12,3+18*0+(13),,,"J1 D - South Bank Avenue")&amp;":"&amp;ADDRESS(130,3+18*0+(13))),'J1 D - South Bank Avenue'!$A$12:$A$130,"&gt;="&amp;Diagram!$O95,'J1 D - South Bank Avenue'!$A$12:$A$130,"&lt;"&amp;Diagram!$P95)))</f>
        <v>0</v>
      </c>
      <c r="DM95" s="42">
        <f ca="1">IF(OR($I$10="",$O95="",$P95="",$J$40&lt;&gt;"Yes"),0,IF($K$10=0,SUMIFS(INDIRECT(ADDRESS(12,3+18*1+(5),,,"J1 D - South Bank Avenue")&amp;":"&amp;ADDRESS(130,3+18*1+(5))),'J1 D - South Bank Avenue'!$A$12:$A$130,"&gt;="&amp;Diagram!$O95,'J1 D - South Bank Avenue'!$A$12:$A$130,"&lt;"&amp;Diagram!$P95),SUMIFS(INDIRECT(ADDRESS(12,3+18*1+(13),,,"J1 D - South Bank Avenue")&amp;":"&amp;ADDRESS(130,3+18*1+(13))),'J1 D - South Bank Avenue'!$A$12:$A$130,"&gt;="&amp;Diagram!$O95,'J1 D - South Bank Avenue'!$A$12:$A$130,"&lt;"&amp;Diagram!$P95)))</f>
        <v>2</v>
      </c>
      <c r="DN95" s="42">
        <f ca="1">IF(OR($I$10="",$O95="",$P95="",$J$40&lt;&gt;"Yes"),0,IF($K$10=0,SUMIFS(INDIRECT(ADDRESS(12,3+18*2+(5),,,"J1 D - South Bank Avenue")&amp;":"&amp;ADDRESS(130,3+18*2+(5))),'J1 D - South Bank Avenue'!$A$12:$A$130,"&gt;="&amp;Diagram!$O95,'J1 D - South Bank Avenue'!$A$12:$A$130,"&lt;"&amp;Diagram!$P95),SUMIFS(INDIRECT(ADDRESS(12,3+18*2+(13),,,"J1 D - South Bank Avenue")&amp;":"&amp;ADDRESS(130,3+18*2+(13))),'J1 D - South Bank Avenue'!$A$12:$A$130,"&gt;="&amp;Diagram!$O95,'J1 D - South Bank Avenue'!$A$12:$A$130,"&lt;"&amp;Diagram!$P95)))</f>
        <v>0</v>
      </c>
      <c r="DO95" s="42">
        <f ca="1">IF(OR($I$10="",$O95="",$P95="",$J$40&lt;&gt;"Yes"),0,IF($K$10=0,SUMIFS(INDIRECT(ADDRESS(12,3+18*3+(5),,,"J1 D - South Bank Avenue")&amp;":"&amp;ADDRESS(130,3+18*3+(5))),'J1 D - South Bank Avenue'!$A$12:$A$130,"&gt;="&amp;Diagram!$O95,'J1 D - South Bank Avenue'!$A$12:$A$130,"&lt;"&amp;Diagram!$P95),SUMIFS(INDIRECT(ADDRESS(12,3+18*3+(13),,,"J1 D - South Bank Avenue")&amp;":"&amp;ADDRESS(130,3+18*3+(13))),'J1 D - South Bank Avenue'!$A$12:$A$130,"&gt;="&amp;Diagram!$O95,'J1 D - South Bank Avenue'!$A$12:$A$130,"&lt;"&amp;Diagram!$P95)))</f>
        <v>0</v>
      </c>
      <c r="DP95" s="42">
        <f t="shared" ca="1" si="17"/>
        <v>0</v>
      </c>
      <c r="DQ95" s="42">
        <f ca="1">IF(OR($I$10="",$O95="",$P95="",$J$41&lt;&gt;"Yes"),0,IF($K$10=0,SUMIFS(INDIRECT(ADDRESS(12,3+18*3+(6),,,"J1 A - (North) Bishopthorpe Roa")&amp;":"&amp;ADDRESS(130,3+18*3+(6))),'J1 A - (North) Bishopthorpe Roa'!$A$12:$A$130,"&gt;="&amp;Diagram!$O95,'J1 A - (North) Bishopthorpe Roa'!$A$12:$A$130,"&lt;"&amp;Diagram!$P95),SUMIFS(INDIRECT(ADDRESS(12,3+18*3+(14),,,"J1 A - (North) Bishopthorpe Roa")&amp;":"&amp;ADDRESS(130,3+18*3+(14))),'J1 A - (North) Bishopthorpe Roa'!$A$12:$A$130,"&gt;="&amp;Diagram!$O95,'J1 A - (North) Bishopthorpe Roa'!$A$12:$A$130,"&lt;"&amp;Diagram!$P95)))</f>
        <v>0</v>
      </c>
      <c r="DR95" s="42">
        <f ca="1">IF(OR($I$10="",$O95="",$P95="",$J$41&lt;&gt;"Yes"),0,IF($K$10=0,SUMIFS(INDIRECT(ADDRESS(12,3+18*0+(6),,,"J1 A - (North) Bishopthorpe Roa")&amp;":"&amp;ADDRESS(130,3+18*0+(6))),'J1 A - (North) Bishopthorpe Roa'!$A$12:$A$130,"&gt;="&amp;Diagram!$O95,'J1 A - (North) Bishopthorpe Roa'!$A$12:$A$130,"&lt;"&amp;Diagram!$P95),SUMIFS(INDIRECT(ADDRESS(12,3+18*0+(14),,,"J1 A - (North) Bishopthorpe Roa")&amp;":"&amp;ADDRESS(130,3+18*0+(14))),'J1 A - (North) Bishopthorpe Roa'!$A$12:$A$130,"&gt;="&amp;Diagram!$O95,'J1 A - (North) Bishopthorpe Roa'!$A$12:$A$130,"&lt;"&amp;Diagram!$P95)))</f>
        <v>0</v>
      </c>
      <c r="DS95" s="42">
        <f ca="1">IF(OR($I$10="",$O95="",$P95="",$J$41&lt;&gt;"Yes"),0,IF($K$10=0,SUMIFS(INDIRECT(ADDRESS(12,3+18*1+(6),,,"J1 A - (North) Bishopthorpe Roa")&amp;":"&amp;ADDRESS(130,3+18*1+(6))),'J1 A - (North) Bishopthorpe Roa'!$A$12:$A$130,"&gt;="&amp;Diagram!$O95,'J1 A - (North) Bishopthorpe Roa'!$A$12:$A$130,"&lt;"&amp;Diagram!$P95),SUMIFS(INDIRECT(ADDRESS(12,3+18*1+(14),,,"J1 A - (North) Bishopthorpe Roa")&amp;":"&amp;ADDRESS(130,3+18*1+(14))),'J1 A - (North) Bishopthorpe Roa'!$A$12:$A$130,"&gt;="&amp;Diagram!$O95,'J1 A - (North) Bishopthorpe Roa'!$A$12:$A$130,"&lt;"&amp;Diagram!$P95)))</f>
        <v>0</v>
      </c>
      <c r="DT95" s="42">
        <f ca="1">IF(OR($I$10="",$O95="",$P95="",$J$41&lt;&gt;"Yes"),0,IF($K$10=0,SUMIFS(INDIRECT(ADDRESS(12,3+18*2+(6),,,"J1 A - (North) Bishopthorpe Roa")&amp;":"&amp;ADDRESS(130,3+18*2+(6))),'J1 A - (North) Bishopthorpe Roa'!$A$12:$A$130,"&gt;="&amp;Diagram!$O95,'J1 A - (North) Bishopthorpe Roa'!$A$12:$A$130,"&lt;"&amp;Diagram!$P95),SUMIFS(INDIRECT(ADDRESS(12,3+18*2+(14),,,"J1 A - (North) Bishopthorpe Roa")&amp;":"&amp;ADDRESS(130,3+18*2+(14))),'J1 A - (North) Bishopthorpe Roa'!$A$12:$A$130,"&gt;="&amp;Diagram!$O95,'J1 A - (North) Bishopthorpe Roa'!$A$12:$A$130,"&lt;"&amp;Diagram!$P95)))</f>
        <v>0</v>
      </c>
      <c r="DU95" s="42">
        <f ca="1">IF(OR($I$10="",$O95="",$P95="",$J$41&lt;&gt;"Yes"),0,IF($K$10=0,SUMIFS(INDIRECT(ADDRESS(12,3+18*2+(6),,,"J1 B - Butcher Terrace")&amp;":"&amp;ADDRESS(130,3+18*2+(6))),'J1 B - Butcher Terrace'!$A$12:$A$130,"&gt;="&amp;Diagram!$O95,'J1 B - Butcher Terrace'!$A$12:$A$130,"&lt;"&amp;Diagram!$P95),SUMIFS(INDIRECT(ADDRESS(12,3+18*2+(14),,,"J1 B - Butcher Terrace")&amp;":"&amp;ADDRESS(130,3+18*2+(14))),'J1 B - Butcher Terrace'!$A$12:$A$130,"&gt;="&amp;Diagram!$O95,'J1 B - Butcher Terrace'!$A$12:$A$130,"&lt;"&amp;Diagram!$P95)))</f>
        <v>0</v>
      </c>
      <c r="DV95" s="42">
        <f ca="1">IF(OR($I$10="",$O95="",$P95="",$J$41&lt;&gt;"Yes"),0,IF($K$10=0,SUMIFS(INDIRECT(ADDRESS(12,3+18*3+(6),,,"J1 B - Butcher Terrace")&amp;":"&amp;ADDRESS(130,3+18*3+(6))),'J1 B - Butcher Terrace'!$A$12:$A$130,"&gt;="&amp;Diagram!$O95,'J1 B - Butcher Terrace'!$A$12:$A$130,"&lt;"&amp;Diagram!$P95),SUMIFS(INDIRECT(ADDRESS(12,3+18*3+(14),,,"J1 B - Butcher Terrace")&amp;":"&amp;ADDRESS(130,3+18*3+(14))),'J1 B - Butcher Terrace'!$A$12:$A$130,"&gt;="&amp;Diagram!$O95,'J1 B - Butcher Terrace'!$A$12:$A$130,"&lt;"&amp;Diagram!$P95)))</f>
        <v>0</v>
      </c>
      <c r="DW95" s="42">
        <f ca="1">IF(OR($I$10="",$O95="",$P95="",$J$41&lt;&gt;"Yes"),0,IF($K$10=0,SUMIFS(INDIRECT(ADDRESS(12,3+18*0+(6),,,"J1 B - Butcher Terrace")&amp;":"&amp;ADDRESS(130,3+18*0+(6))),'J1 B - Butcher Terrace'!$A$12:$A$130,"&gt;="&amp;Diagram!$O95,'J1 B - Butcher Terrace'!$A$12:$A$130,"&lt;"&amp;Diagram!$P95),SUMIFS(INDIRECT(ADDRESS(12,3+18*0+(14),,,"J1 B - Butcher Terrace")&amp;":"&amp;ADDRESS(130,3+18*0+(14))),'J1 B - Butcher Terrace'!$A$12:$A$130,"&gt;="&amp;Diagram!$O95,'J1 B - Butcher Terrace'!$A$12:$A$130,"&lt;"&amp;Diagram!$P95)))</f>
        <v>0</v>
      </c>
      <c r="DX95" s="42">
        <f ca="1">IF(OR($I$10="",$O95="",$P95="",$J$41&lt;&gt;"Yes"),0,IF($K$10=0,SUMIFS(INDIRECT(ADDRESS(12,3+18*1+(6),,,"J1 B - Butcher Terrace")&amp;":"&amp;ADDRESS(130,3+18*1+(6))),'J1 B - Butcher Terrace'!$A$12:$A$130,"&gt;="&amp;Diagram!$O95,'J1 B - Butcher Terrace'!$A$12:$A$130,"&lt;"&amp;Diagram!$P95),SUMIFS(INDIRECT(ADDRESS(12,3+18*1+(14),,,"J1 B - Butcher Terrace")&amp;":"&amp;ADDRESS(130,3+18*1+(14))),'J1 B - Butcher Terrace'!$A$12:$A$130,"&gt;="&amp;Diagram!$O95,'J1 B - Butcher Terrace'!$A$12:$A$130,"&lt;"&amp;Diagram!$P95)))</f>
        <v>0</v>
      </c>
      <c r="DY95" s="42">
        <f ca="1">IF(OR($I$10="",$O95="",$P95="",$J$41&lt;&gt;"Yes"),0,IF($K$10=0,SUMIFS(INDIRECT(ADDRESS(12,3+18*1+(6),,,"J1 C - (South) Bishopthorpe Roa")&amp;":"&amp;ADDRESS(130,3+18*1+(6))),'J1 C - (South) Bishopthorpe Roa'!$A$12:$A$130,"&gt;="&amp;Diagram!$O95,'J1 C - (South) Bishopthorpe Roa'!$A$12:$A$130,"&lt;"&amp;Diagram!$P95),SUMIFS(INDIRECT(ADDRESS(12,3+18*1+(14),,,"J1 C - (South) Bishopthorpe Roa")&amp;":"&amp;ADDRESS(130,3+18*1+(14))),'J1 C - (South) Bishopthorpe Roa'!$A$12:$A$130,"&gt;="&amp;Diagram!$O95,'J1 C - (South) Bishopthorpe Roa'!$A$12:$A$130,"&lt;"&amp;Diagram!$P95)))</f>
        <v>0</v>
      </c>
      <c r="DZ95" s="42">
        <f ca="1">IF(OR($I$10="",$O95="",$P95="",$J$41&lt;&gt;"Yes"),0,IF($K$10=0,SUMIFS(INDIRECT(ADDRESS(12,3+18*2+(6),,,"J1 C - (South) Bishopthorpe Roa")&amp;":"&amp;ADDRESS(130,3+18*2+(6))),'J1 C - (South) Bishopthorpe Roa'!$A$12:$A$130,"&gt;="&amp;Diagram!$O95,'J1 C - (South) Bishopthorpe Roa'!$A$12:$A$130,"&lt;"&amp;Diagram!$P95),SUMIFS(INDIRECT(ADDRESS(12,3+18*2+(14),,,"J1 C - (South) Bishopthorpe Roa")&amp;":"&amp;ADDRESS(130,3+18*2+(14))),'J1 C - (South) Bishopthorpe Roa'!$A$12:$A$130,"&gt;="&amp;Diagram!$O95,'J1 C - (South) Bishopthorpe Roa'!$A$12:$A$130,"&lt;"&amp;Diagram!$P95)))</f>
        <v>0</v>
      </c>
      <c r="EA95" s="42">
        <f ca="1">IF(OR($I$10="",$O95="",$P95="",$J$41&lt;&gt;"Yes"),0,IF($K$10=0,SUMIFS(INDIRECT(ADDRESS(12,3+18*3+(6),,,"J1 C - (South) Bishopthorpe Roa")&amp;":"&amp;ADDRESS(130,3+18*3+(6))),'J1 C - (South) Bishopthorpe Roa'!$A$12:$A$130,"&gt;="&amp;Diagram!$O95,'J1 C - (South) Bishopthorpe Roa'!$A$12:$A$130,"&lt;"&amp;Diagram!$P95),SUMIFS(INDIRECT(ADDRESS(12,3+18*3+(14),,,"J1 C - (South) Bishopthorpe Roa")&amp;":"&amp;ADDRESS(130,3+18*3+(14))),'J1 C - (South) Bishopthorpe Roa'!$A$12:$A$130,"&gt;="&amp;Diagram!$O95,'J1 C - (South) Bishopthorpe Roa'!$A$12:$A$130,"&lt;"&amp;Diagram!$P95)))</f>
        <v>0</v>
      </c>
      <c r="EB95" s="42">
        <f ca="1">IF(OR($I$10="",$O95="",$P95="",$J$41&lt;&gt;"Yes"),0,IF($K$10=0,SUMIFS(INDIRECT(ADDRESS(12,3+18*0+(6),,,"J1 C - (South) Bishopthorpe Roa")&amp;":"&amp;ADDRESS(130,3+18*0+(6))),'J1 C - (South) Bishopthorpe Roa'!$A$12:$A$130,"&gt;="&amp;Diagram!$O95,'J1 C - (South) Bishopthorpe Roa'!$A$12:$A$130,"&lt;"&amp;Diagram!$P95),SUMIFS(INDIRECT(ADDRESS(12,3+18*0+(14),,,"J1 C - (South) Bishopthorpe Roa")&amp;":"&amp;ADDRESS(130,3+18*0+(14))),'J1 C - (South) Bishopthorpe Roa'!$A$12:$A$130,"&gt;="&amp;Diagram!$O95,'J1 C - (South) Bishopthorpe Roa'!$A$12:$A$130,"&lt;"&amp;Diagram!$P95)))</f>
        <v>0</v>
      </c>
      <c r="EC95" s="42">
        <f ca="1">IF(OR($I$10="",$O95="",$P95="",$J$41&lt;&gt;"Yes"),0,IF($K$10=0,SUMIFS(INDIRECT(ADDRESS(12,3+18*0+(6),,,"J1 D - South Bank Avenue")&amp;":"&amp;ADDRESS(130,3+18*0+(6))),'J1 D - South Bank Avenue'!$A$12:$A$130,"&gt;="&amp;Diagram!$O95,'J1 D - South Bank Avenue'!$A$12:$A$130,"&lt;"&amp;Diagram!$P95),SUMIFS(INDIRECT(ADDRESS(12,3+18*0+(14),,,"J1 D - South Bank Avenue")&amp;":"&amp;ADDRESS(130,3+18*0+(14))),'J1 D - South Bank Avenue'!$A$12:$A$130,"&gt;="&amp;Diagram!$O95,'J1 D - South Bank Avenue'!$A$12:$A$130,"&lt;"&amp;Diagram!$P95)))</f>
        <v>0</v>
      </c>
      <c r="ED95" s="42">
        <f ca="1">IF(OR($I$10="",$O95="",$P95="",$J$41&lt;&gt;"Yes"),0,IF($K$10=0,SUMIFS(INDIRECT(ADDRESS(12,3+18*1+(6),,,"J1 D - South Bank Avenue")&amp;":"&amp;ADDRESS(130,3+18*1+(6))),'J1 D - South Bank Avenue'!$A$12:$A$130,"&gt;="&amp;Diagram!$O95,'J1 D - South Bank Avenue'!$A$12:$A$130,"&lt;"&amp;Diagram!$P95),SUMIFS(INDIRECT(ADDRESS(12,3+18*1+(14),,,"J1 D - South Bank Avenue")&amp;":"&amp;ADDRESS(130,3+18*1+(14))),'J1 D - South Bank Avenue'!$A$12:$A$130,"&gt;="&amp;Diagram!$O95,'J1 D - South Bank Avenue'!$A$12:$A$130,"&lt;"&amp;Diagram!$P95)))</f>
        <v>0</v>
      </c>
      <c r="EE95" s="42">
        <f ca="1">IF(OR($I$10="",$O95="",$P95="",$J$41&lt;&gt;"Yes"),0,IF($K$10=0,SUMIFS(INDIRECT(ADDRESS(12,3+18*2+(6),,,"J1 D - South Bank Avenue")&amp;":"&amp;ADDRESS(130,3+18*2+(6))),'J1 D - South Bank Avenue'!$A$12:$A$130,"&gt;="&amp;Diagram!$O95,'J1 D - South Bank Avenue'!$A$12:$A$130,"&lt;"&amp;Diagram!$P95),SUMIFS(INDIRECT(ADDRESS(12,3+18*2+(14),,,"J1 D - South Bank Avenue")&amp;":"&amp;ADDRESS(130,3+18*2+(14))),'J1 D - South Bank Avenue'!$A$12:$A$130,"&gt;="&amp;Diagram!$O95,'J1 D - South Bank Avenue'!$A$12:$A$130,"&lt;"&amp;Diagram!$P95)))</f>
        <v>0</v>
      </c>
      <c r="EF95" s="42">
        <f ca="1">IF(OR($I$10="",$O95="",$P95="",$J$41&lt;&gt;"Yes"),0,IF($K$10=0,SUMIFS(INDIRECT(ADDRESS(12,3+18*3+(6),,,"J1 D - South Bank Avenue")&amp;":"&amp;ADDRESS(130,3+18*3+(6))),'J1 D - South Bank Avenue'!$A$12:$A$130,"&gt;="&amp;Diagram!$O95,'J1 D - South Bank Avenue'!$A$12:$A$130,"&lt;"&amp;Diagram!$P95),SUMIFS(INDIRECT(ADDRESS(12,3+18*3+(14),,,"J1 D - South Bank Avenue")&amp;":"&amp;ADDRESS(130,3+18*3+(14))),'J1 D - South Bank Avenue'!$A$12:$A$130,"&gt;="&amp;Diagram!$O95,'J1 D - South Bank Avenue'!$A$12:$A$130,"&lt;"&amp;Diagram!$P95)))</f>
        <v>0</v>
      </c>
      <c r="EG95" s="42">
        <f t="shared" ca="1" si="18"/>
        <v>0</v>
      </c>
      <c r="EH95" s="42">
        <f ca="1">IF(OR($I$10="",$O95="",$P95="",$J$42&lt;&gt;"Yes"),0,IF($K$10=0,SUMIFS(INDIRECT(ADDRESS(12,3+18*3+(7),,,"J1 A - (North) Bishopthorpe Roa")&amp;":"&amp;ADDRESS(130,3+18*3+(7))),'J1 A - (North) Bishopthorpe Roa'!$A$12:$A$130,"&gt;="&amp;Diagram!$O95,'J1 A - (North) Bishopthorpe Roa'!$A$12:$A$130,"&lt;"&amp;Diagram!$P95),SUMIFS(INDIRECT(ADDRESS(12,3+18*3+(15),,,"J1 A - (North) Bishopthorpe Roa")&amp;":"&amp;ADDRESS(130,3+18*3+(15))),'J1 A - (North) Bishopthorpe Roa'!$A$12:$A$130,"&gt;="&amp;Diagram!$O95,'J1 A - (North) Bishopthorpe Roa'!$A$12:$A$130,"&lt;"&amp;Diagram!$P95)))</f>
        <v>0</v>
      </c>
      <c r="EI95" s="42">
        <f ca="1">IF(OR($I$10="",$O95="",$P95="",$J$42&lt;&gt;"Yes"),0,IF($K$10=0,SUMIFS(INDIRECT(ADDRESS(12,3+18*0+(7),,,"J1 A - (North) Bishopthorpe Roa")&amp;":"&amp;ADDRESS(130,3+18*0+(7))),'J1 A - (North) Bishopthorpe Roa'!$A$12:$A$130,"&gt;="&amp;Diagram!$O95,'J1 A - (North) Bishopthorpe Roa'!$A$12:$A$130,"&lt;"&amp;Diagram!$P95),SUMIFS(INDIRECT(ADDRESS(12,3+18*0+(15),,,"J1 A - (North) Bishopthorpe Roa")&amp;":"&amp;ADDRESS(130,3+18*0+(15))),'J1 A - (North) Bishopthorpe Roa'!$A$12:$A$130,"&gt;="&amp;Diagram!$O95,'J1 A - (North) Bishopthorpe Roa'!$A$12:$A$130,"&lt;"&amp;Diagram!$P95)))</f>
        <v>0</v>
      </c>
      <c r="EJ95" s="42">
        <f ca="1">IF(OR($I$10="",$O95="",$P95="",$J$42&lt;&gt;"Yes"),0,IF($K$10=0,SUMIFS(INDIRECT(ADDRESS(12,3+18*1+(7),,,"J1 A - (North) Bishopthorpe Roa")&amp;":"&amp;ADDRESS(130,3+18*1+(7))),'J1 A - (North) Bishopthorpe Roa'!$A$12:$A$130,"&gt;="&amp;Diagram!$O95,'J1 A - (North) Bishopthorpe Roa'!$A$12:$A$130,"&lt;"&amp;Diagram!$P95),SUMIFS(INDIRECT(ADDRESS(12,3+18*1+(15),,,"J1 A - (North) Bishopthorpe Roa")&amp;":"&amp;ADDRESS(130,3+18*1+(15))),'J1 A - (North) Bishopthorpe Roa'!$A$12:$A$130,"&gt;="&amp;Diagram!$O95,'J1 A - (North) Bishopthorpe Roa'!$A$12:$A$130,"&lt;"&amp;Diagram!$P95)))</f>
        <v>0</v>
      </c>
      <c r="EK95" s="42">
        <f ca="1">IF(OR($I$10="",$O95="",$P95="",$J$42&lt;&gt;"Yes"),0,IF($K$10=0,SUMIFS(INDIRECT(ADDRESS(12,3+18*2+(7),,,"J1 A - (North) Bishopthorpe Roa")&amp;":"&amp;ADDRESS(130,3+18*2+(7))),'J1 A - (North) Bishopthorpe Roa'!$A$12:$A$130,"&gt;="&amp;Diagram!$O95,'J1 A - (North) Bishopthorpe Roa'!$A$12:$A$130,"&lt;"&amp;Diagram!$P95),SUMIFS(INDIRECT(ADDRESS(12,3+18*2+(15),,,"J1 A - (North) Bishopthorpe Roa")&amp;":"&amp;ADDRESS(130,3+18*2+(15))),'J1 A - (North) Bishopthorpe Roa'!$A$12:$A$130,"&gt;="&amp;Diagram!$O95,'J1 A - (North) Bishopthorpe Roa'!$A$12:$A$130,"&lt;"&amp;Diagram!$P95)))</f>
        <v>0</v>
      </c>
      <c r="EL95" s="42">
        <f ca="1">IF(OR($I$10="",$O95="",$P95="",$J$42&lt;&gt;"Yes"),0,IF($K$10=0,SUMIFS(INDIRECT(ADDRESS(12,3+18*2+(7),,,"J1 B - Butcher Terrace")&amp;":"&amp;ADDRESS(130,3+18*2+(7))),'J1 B - Butcher Terrace'!$A$12:$A$130,"&gt;="&amp;Diagram!$O95,'J1 B - Butcher Terrace'!$A$12:$A$130,"&lt;"&amp;Diagram!$P95),SUMIFS(INDIRECT(ADDRESS(12,3+18*2+(15),,,"J1 B - Butcher Terrace")&amp;":"&amp;ADDRESS(130,3+18*2+(15))),'J1 B - Butcher Terrace'!$A$12:$A$130,"&gt;="&amp;Diagram!$O95,'J1 B - Butcher Terrace'!$A$12:$A$130,"&lt;"&amp;Diagram!$P95)))</f>
        <v>0</v>
      </c>
      <c r="EM95" s="42">
        <f ca="1">IF(OR($I$10="",$O95="",$P95="",$J$42&lt;&gt;"Yes"),0,IF($K$10=0,SUMIFS(INDIRECT(ADDRESS(12,3+18*3+(7),,,"J1 B - Butcher Terrace")&amp;":"&amp;ADDRESS(130,3+18*3+(7))),'J1 B - Butcher Terrace'!$A$12:$A$130,"&gt;="&amp;Diagram!$O95,'J1 B - Butcher Terrace'!$A$12:$A$130,"&lt;"&amp;Diagram!$P95),SUMIFS(INDIRECT(ADDRESS(12,3+18*3+(15),,,"J1 B - Butcher Terrace")&amp;":"&amp;ADDRESS(130,3+18*3+(15))),'J1 B - Butcher Terrace'!$A$12:$A$130,"&gt;="&amp;Diagram!$O95,'J1 B - Butcher Terrace'!$A$12:$A$130,"&lt;"&amp;Diagram!$P95)))</f>
        <v>0</v>
      </c>
      <c r="EN95" s="42">
        <f ca="1">IF(OR($I$10="",$O95="",$P95="",$J$42&lt;&gt;"Yes"),0,IF($K$10=0,SUMIFS(INDIRECT(ADDRESS(12,3+18*0+(7),,,"J1 B - Butcher Terrace")&amp;":"&amp;ADDRESS(130,3+18*0+(7))),'J1 B - Butcher Terrace'!$A$12:$A$130,"&gt;="&amp;Diagram!$O95,'J1 B - Butcher Terrace'!$A$12:$A$130,"&lt;"&amp;Diagram!$P95),SUMIFS(INDIRECT(ADDRESS(12,3+18*0+(15),,,"J1 B - Butcher Terrace")&amp;":"&amp;ADDRESS(130,3+18*0+(15))),'J1 B - Butcher Terrace'!$A$12:$A$130,"&gt;="&amp;Diagram!$O95,'J1 B - Butcher Terrace'!$A$12:$A$130,"&lt;"&amp;Diagram!$P95)))</f>
        <v>0</v>
      </c>
      <c r="EO95" s="42">
        <f ca="1">IF(OR($I$10="",$O95="",$P95="",$J$42&lt;&gt;"Yes"),0,IF($K$10=0,SUMIFS(INDIRECT(ADDRESS(12,3+18*1+(7),,,"J1 B - Butcher Terrace")&amp;":"&amp;ADDRESS(130,3+18*1+(7))),'J1 B - Butcher Terrace'!$A$12:$A$130,"&gt;="&amp;Diagram!$O95,'J1 B - Butcher Terrace'!$A$12:$A$130,"&lt;"&amp;Diagram!$P95),SUMIFS(INDIRECT(ADDRESS(12,3+18*1+(15),,,"J1 B - Butcher Terrace")&amp;":"&amp;ADDRESS(130,3+18*1+(15))),'J1 B - Butcher Terrace'!$A$12:$A$130,"&gt;="&amp;Diagram!$O95,'J1 B - Butcher Terrace'!$A$12:$A$130,"&lt;"&amp;Diagram!$P95)))</f>
        <v>0</v>
      </c>
      <c r="EP95" s="42">
        <f ca="1">IF(OR($I$10="",$O95="",$P95="",$J$42&lt;&gt;"Yes"),0,IF($K$10=0,SUMIFS(INDIRECT(ADDRESS(12,3+18*1+(7),,,"J1 C - (South) Bishopthorpe Roa")&amp;":"&amp;ADDRESS(130,3+18*1+(7))),'J1 C - (South) Bishopthorpe Roa'!$A$12:$A$130,"&gt;="&amp;Diagram!$O95,'J1 C - (South) Bishopthorpe Roa'!$A$12:$A$130,"&lt;"&amp;Diagram!$P95),SUMIFS(INDIRECT(ADDRESS(12,3+18*1+(15),,,"J1 C - (South) Bishopthorpe Roa")&amp;":"&amp;ADDRESS(130,3+18*1+(15))),'J1 C - (South) Bishopthorpe Roa'!$A$12:$A$130,"&gt;="&amp;Diagram!$O95,'J1 C - (South) Bishopthorpe Roa'!$A$12:$A$130,"&lt;"&amp;Diagram!$P95)))</f>
        <v>0</v>
      </c>
      <c r="EQ95" s="42">
        <f ca="1">IF(OR($I$10="",$O95="",$P95="",$J$42&lt;&gt;"Yes"),0,IF($K$10=0,SUMIFS(INDIRECT(ADDRESS(12,3+18*2+(7),,,"J1 C - (South) Bishopthorpe Roa")&amp;":"&amp;ADDRESS(130,3+18*2+(7))),'J1 C - (South) Bishopthorpe Roa'!$A$12:$A$130,"&gt;="&amp;Diagram!$O95,'J1 C - (South) Bishopthorpe Roa'!$A$12:$A$130,"&lt;"&amp;Diagram!$P95),SUMIFS(INDIRECT(ADDRESS(12,3+18*2+(15),,,"J1 C - (South) Bishopthorpe Roa")&amp;":"&amp;ADDRESS(130,3+18*2+(15))),'J1 C - (South) Bishopthorpe Roa'!$A$12:$A$130,"&gt;="&amp;Diagram!$O95,'J1 C - (South) Bishopthorpe Roa'!$A$12:$A$130,"&lt;"&amp;Diagram!$P95)))</f>
        <v>0</v>
      </c>
      <c r="ER95" s="42">
        <f ca="1">IF(OR($I$10="",$O95="",$P95="",$J$42&lt;&gt;"Yes"),0,IF($K$10=0,SUMIFS(INDIRECT(ADDRESS(12,3+18*3+(7),,,"J1 C - (South) Bishopthorpe Roa")&amp;":"&amp;ADDRESS(130,3+18*3+(7))),'J1 C - (South) Bishopthorpe Roa'!$A$12:$A$130,"&gt;="&amp;Diagram!$O95,'J1 C - (South) Bishopthorpe Roa'!$A$12:$A$130,"&lt;"&amp;Diagram!$P95),SUMIFS(INDIRECT(ADDRESS(12,3+18*3+(15),,,"J1 C - (South) Bishopthorpe Roa")&amp;":"&amp;ADDRESS(130,3+18*3+(15))),'J1 C - (South) Bishopthorpe Roa'!$A$12:$A$130,"&gt;="&amp;Diagram!$O95,'J1 C - (South) Bishopthorpe Roa'!$A$12:$A$130,"&lt;"&amp;Diagram!$P95)))</f>
        <v>0</v>
      </c>
      <c r="ES95" s="42">
        <f ca="1">IF(OR($I$10="",$O95="",$P95="",$J$42&lt;&gt;"Yes"),0,IF($K$10=0,SUMIFS(INDIRECT(ADDRESS(12,3+18*0+(7),,,"J1 C - (South) Bishopthorpe Roa")&amp;":"&amp;ADDRESS(130,3+18*0+(7))),'J1 C - (South) Bishopthorpe Roa'!$A$12:$A$130,"&gt;="&amp;Diagram!$O95,'J1 C - (South) Bishopthorpe Roa'!$A$12:$A$130,"&lt;"&amp;Diagram!$P95),SUMIFS(INDIRECT(ADDRESS(12,3+18*0+(15),,,"J1 C - (South) Bishopthorpe Roa")&amp;":"&amp;ADDRESS(130,3+18*0+(15))),'J1 C - (South) Bishopthorpe Roa'!$A$12:$A$130,"&gt;="&amp;Diagram!$O95,'J1 C - (South) Bishopthorpe Roa'!$A$12:$A$130,"&lt;"&amp;Diagram!$P95)))</f>
        <v>0</v>
      </c>
      <c r="ET95" s="42">
        <f ca="1">IF(OR($I$10="",$O95="",$P95="",$J$42&lt;&gt;"Yes"),0,IF($K$10=0,SUMIFS(INDIRECT(ADDRESS(12,3+18*0+(7),,,"J1 D - South Bank Avenue")&amp;":"&amp;ADDRESS(130,3+18*0+(7))),'J1 D - South Bank Avenue'!$A$12:$A$130,"&gt;="&amp;Diagram!$O95,'J1 D - South Bank Avenue'!$A$12:$A$130,"&lt;"&amp;Diagram!$P95),SUMIFS(INDIRECT(ADDRESS(12,3+18*0+(15),,,"J1 D - South Bank Avenue")&amp;":"&amp;ADDRESS(130,3+18*0+(15))),'J1 D - South Bank Avenue'!$A$12:$A$130,"&gt;="&amp;Diagram!$O95,'J1 D - South Bank Avenue'!$A$12:$A$130,"&lt;"&amp;Diagram!$P95)))</f>
        <v>0</v>
      </c>
      <c r="EU95" s="42">
        <f ca="1">IF(OR($I$10="",$O95="",$P95="",$J$42&lt;&gt;"Yes"),0,IF($K$10=0,SUMIFS(INDIRECT(ADDRESS(12,3+18*1+(7),,,"J1 D - South Bank Avenue")&amp;":"&amp;ADDRESS(130,3+18*1+(7))),'J1 D - South Bank Avenue'!$A$12:$A$130,"&gt;="&amp;Diagram!$O95,'J1 D - South Bank Avenue'!$A$12:$A$130,"&lt;"&amp;Diagram!$P95),SUMIFS(INDIRECT(ADDRESS(12,3+18*1+(15),,,"J1 D - South Bank Avenue")&amp;":"&amp;ADDRESS(130,3+18*1+(15))),'J1 D - South Bank Avenue'!$A$12:$A$130,"&gt;="&amp;Diagram!$O95,'J1 D - South Bank Avenue'!$A$12:$A$130,"&lt;"&amp;Diagram!$P95)))</f>
        <v>0</v>
      </c>
      <c r="EV95" s="42">
        <f ca="1">IF(OR($I$10="",$O95="",$P95="",$J$42&lt;&gt;"Yes"),0,IF($K$10=0,SUMIFS(INDIRECT(ADDRESS(12,3+18*2+(7),,,"J1 D - South Bank Avenue")&amp;":"&amp;ADDRESS(130,3+18*2+(7))),'J1 D - South Bank Avenue'!$A$12:$A$130,"&gt;="&amp;Diagram!$O95,'J1 D - South Bank Avenue'!$A$12:$A$130,"&lt;"&amp;Diagram!$P95),SUMIFS(INDIRECT(ADDRESS(12,3+18*2+(15),,,"J1 D - South Bank Avenue")&amp;":"&amp;ADDRESS(130,3+18*2+(15))),'J1 D - South Bank Avenue'!$A$12:$A$130,"&gt;="&amp;Diagram!$O95,'J1 D - South Bank Avenue'!$A$12:$A$130,"&lt;"&amp;Diagram!$P95)))</f>
        <v>0</v>
      </c>
      <c r="EW95" s="42">
        <f ca="1">IF(OR($I$10="",$O95="",$P95="",$J$42&lt;&gt;"Yes"),0,IF($K$10=0,SUMIFS(INDIRECT(ADDRESS(12,3+18*3+(7),,,"J1 D - South Bank Avenue")&amp;":"&amp;ADDRESS(130,3+18*3+(7))),'J1 D - South Bank Avenue'!$A$12:$A$130,"&gt;="&amp;Diagram!$O95,'J1 D - South Bank Avenue'!$A$12:$A$130,"&lt;"&amp;Diagram!$P95),SUMIFS(INDIRECT(ADDRESS(12,3+18*3+(15),,,"J1 D - South Bank Avenue")&amp;":"&amp;ADDRESS(130,3+18*3+(15))),'J1 D - South Bank Avenue'!$A$12:$A$130,"&gt;="&amp;Diagram!$O95,'J1 D - South Bank Avenue'!$A$12:$A$130,"&lt;"&amp;Diagram!$P95)))</f>
        <v>0</v>
      </c>
    </row>
    <row r="96" spans="1:153">
      <c r="A96" s="1">
        <v>44395.989583333299</v>
      </c>
      <c r="B96" s="1">
        <v>44396</v>
      </c>
      <c r="O96" s="3">
        <v>44395.989583333299</v>
      </c>
      <c r="P96" s="3">
        <v>44396.03125</v>
      </c>
      <c r="Q96" s="42">
        <f t="shared" ca="1" si="10"/>
        <v>36</v>
      </c>
      <c r="R96" s="42">
        <f t="shared" ca="1" si="11"/>
        <v>28</v>
      </c>
      <c r="S96" s="42">
        <f ca="1">IF(OR($I$10="",$O96="",$P96="",$J$35&lt;&gt;"Yes"),0,IF($K$10=0,SUMIFS(INDIRECT(ADDRESS(12,3+18*3+(0),,,"J1 A - (North) Bishopthorpe Roa")&amp;":"&amp;ADDRESS(130,3+18*3+(0))),'J1 A - (North) Bishopthorpe Roa'!$A$12:$A$130,"&gt;="&amp;Diagram!$O96,'J1 A - (North) Bishopthorpe Roa'!$A$12:$A$130,"&lt;"&amp;Diagram!$P96),SUMIFS(INDIRECT(ADDRESS(12,3+18*3+(8),,,"J1 A - (North) Bishopthorpe Roa")&amp;":"&amp;ADDRESS(130,3+18*3+(8))),'J1 A - (North) Bishopthorpe Roa'!$A$12:$A$130,"&gt;="&amp;Diagram!$O96,'J1 A - (North) Bishopthorpe Roa'!$A$12:$A$130,"&lt;"&amp;Diagram!$P96)))</f>
        <v>0</v>
      </c>
      <c r="T96" s="42">
        <f ca="1">IF(OR($I$10="",$O96="",$P96="",$J$35&lt;&gt;"Yes"),0,IF($K$10=0,SUMIFS(INDIRECT(ADDRESS(12,3+18*0+(0),,,"J1 A - (North) Bishopthorpe Roa")&amp;":"&amp;ADDRESS(130,3+18*0+(0))),'J1 A - (North) Bishopthorpe Roa'!$A$12:$A$130,"&gt;="&amp;Diagram!$O96,'J1 A - (North) Bishopthorpe Roa'!$A$12:$A$130,"&lt;"&amp;Diagram!$P96),SUMIFS(INDIRECT(ADDRESS(12,3+18*0+(8),,,"J1 A - (North) Bishopthorpe Roa")&amp;":"&amp;ADDRESS(130,3+18*0+(8))),'J1 A - (North) Bishopthorpe Roa'!$A$12:$A$130,"&gt;="&amp;Diagram!$O96,'J1 A - (North) Bishopthorpe Roa'!$A$12:$A$130,"&lt;"&amp;Diagram!$P96)))</f>
        <v>3</v>
      </c>
      <c r="U96" s="42">
        <f ca="1">IF(OR($I$10="",$O96="",$P96="",$J$35&lt;&gt;"Yes"),0,IF($K$10=0,SUMIFS(INDIRECT(ADDRESS(12,3+18*1+(0),,,"J1 A - (North) Bishopthorpe Roa")&amp;":"&amp;ADDRESS(130,3+18*1+(0))),'J1 A - (North) Bishopthorpe Roa'!$A$12:$A$130,"&gt;="&amp;Diagram!$O96,'J1 A - (North) Bishopthorpe Roa'!$A$12:$A$130,"&lt;"&amp;Diagram!$P96),SUMIFS(INDIRECT(ADDRESS(12,3+18*1+(8),,,"J1 A - (North) Bishopthorpe Roa")&amp;":"&amp;ADDRESS(130,3+18*1+(8))),'J1 A - (North) Bishopthorpe Roa'!$A$12:$A$130,"&gt;="&amp;Diagram!$O96,'J1 A - (North) Bishopthorpe Roa'!$A$12:$A$130,"&lt;"&amp;Diagram!$P96)))</f>
        <v>12</v>
      </c>
      <c r="V96" s="42">
        <f ca="1">IF(OR($I$10="",$O96="",$P96="",$J$35&lt;&gt;"Yes"),0,IF($K$10=0,SUMIFS(INDIRECT(ADDRESS(12,3+18*2+(0),,,"J1 A - (North) Bishopthorpe Roa")&amp;":"&amp;ADDRESS(130,3+18*2+(0))),'J1 A - (North) Bishopthorpe Roa'!$A$12:$A$130,"&gt;="&amp;Diagram!$O96,'J1 A - (North) Bishopthorpe Roa'!$A$12:$A$130,"&lt;"&amp;Diagram!$P96),SUMIFS(INDIRECT(ADDRESS(12,3+18*2+(8),,,"J1 A - (North) Bishopthorpe Roa")&amp;":"&amp;ADDRESS(130,3+18*2+(8))),'J1 A - (North) Bishopthorpe Roa'!$A$12:$A$130,"&gt;="&amp;Diagram!$O96,'J1 A - (North) Bishopthorpe Roa'!$A$12:$A$130,"&lt;"&amp;Diagram!$P96)))</f>
        <v>0</v>
      </c>
      <c r="W96" s="42">
        <f ca="1">IF(OR($I$10="",$O96="",$P96="",$J$35&lt;&gt;"Yes"),0,IF($K$10=0,SUMIFS(INDIRECT(ADDRESS(12,3+18*2+(0),,,"J1 B - Butcher Terrace")&amp;":"&amp;ADDRESS(130,3+18*2+(0))),'J1 B - Butcher Terrace'!$A$12:$A$130,"&gt;="&amp;Diagram!$O96,'J1 B - Butcher Terrace'!$A$12:$A$130,"&lt;"&amp;Diagram!$P96),SUMIFS(INDIRECT(ADDRESS(12,3+18*2+(8),,,"J1 B - Butcher Terrace")&amp;":"&amp;ADDRESS(130,3+18*2+(8))),'J1 B - Butcher Terrace'!$A$12:$A$130,"&gt;="&amp;Diagram!$O96,'J1 B - Butcher Terrace'!$A$12:$A$130,"&lt;"&amp;Diagram!$P96)))</f>
        <v>2</v>
      </c>
      <c r="X96" s="42">
        <f ca="1">IF(OR($I$10="",$O96="",$P96="",$J$35&lt;&gt;"Yes"),0,IF($K$10=0,SUMIFS(INDIRECT(ADDRESS(12,3+18*3+(0),,,"J1 B - Butcher Terrace")&amp;":"&amp;ADDRESS(130,3+18*3+(0))),'J1 B - Butcher Terrace'!$A$12:$A$130,"&gt;="&amp;Diagram!$O96,'J1 B - Butcher Terrace'!$A$12:$A$130,"&lt;"&amp;Diagram!$P96),SUMIFS(INDIRECT(ADDRESS(12,3+18*3+(8),,,"J1 B - Butcher Terrace")&amp;":"&amp;ADDRESS(130,3+18*3+(8))),'J1 B - Butcher Terrace'!$A$12:$A$130,"&gt;="&amp;Diagram!$O96,'J1 B - Butcher Terrace'!$A$12:$A$130,"&lt;"&amp;Diagram!$P96)))</f>
        <v>0</v>
      </c>
      <c r="Y96" s="42">
        <f ca="1">IF(OR($I$10="",$O96="",$P96="",$J$35&lt;&gt;"Yes"),0,IF($K$10=0,SUMIFS(INDIRECT(ADDRESS(12,3+18*0+(0),,,"J1 B - Butcher Terrace")&amp;":"&amp;ADDRESS(130,3+18*0+(0))),'J1 B - Butcher Terrace'!$A$12:$A$130,"&gt;="&amp;Diagram!$O96,'J1 B - Butcher Terrace'!$A$12:$A$130,"&lt;"&amp;Diagram!$P96),SUMIFS(INDIRECT(ADDRESS(12,3+18*0+(8),,,"J1 B - Butcher Terrace")&amp;":"&amp;ADDRESS(130,3+18*0+(8))),'J1 B - Butcher Terrace'!$A$12:$A$130,"&gt;="&amp;Diagram!$O96,'J1 B - Butcher Terrace'!$A$12:$A$130,"&lt;"&amp;Diagram!$P96)))</f>
        <v>0</v>
      </c>
      <c r="Z96" s="42">
        <f ca="1">IF(OR($I$10="",$O96="",$P96="",$J$35&lt;&gt;"Yes"),0,IF($K$10=0,SUMIFS(INDIRECT(ADDRESS(12,3+18*1+(0),,,"J1 B - Butcher Terrace")&amp;":"&amp;ADDRESS(130,3+18*1+(0))),'J1 B - Butcher Terrace'!$A$12:$A$130,"&gt;="&amp;Diagram!$O96,'J1 B - Butcher Terrace'!$A$12:$A$130,"&lt;"&amp;Diagram!$P96),SUMIFS(INDIRECT(ADDRESS(12,3+18*1+(8),,,"J1 B - Butcher Terrace")&amp;":"&amp;ADDRESS(130,3+18*1+(8))),'J1 B - Butcher Terrace'!$A$12:$A$130,"&gt;="&amp;Diagram!$O96,'J1 B - Butcher Terrace'!$A$12:$A$130,"&lt;"&amp;Diagram!$P96)))</f>
        <v>0</v>
      </c>
      <c r="AA96" s="42">
        <f ca="1">IF(OR($I$10="",$O96="",$P96="",$J$35&lt;&gt;"Yes"),0,IF($K$10=0,SUMIFS(INDIRECT(ADDRESS(12,3+18*1+(0),,,"J1 C - (South) Bishopthorpe Roa")&amp;":"&amp;ADDRESS(130,3+18*1+(0))),'J1 C - (South) Bishopthorpe Roa'!$A$12:$A$130,"&gt;="&amp;Diagram!$O96,'J1 C - (South) Bishopthorpe Roa'!$A$12:$A$130,"&lt;"&amp;Diagram!$P96),SUMIFS(INDIRECT(ADDRESS(12,3+18*1+(8),,,"J1 C - (South) Bishopthorpe Roa")&amp;":"&amp;ADDRESS(130,3+18*1+(8))),'J1 C - (South) Bishopthorpe Roa'!$A$12:$A$130,"&gt;="&amp;Diagram!$O96,'J1 C - (South) Bishopthorpe Roa'!$A$12:$A$130,"&lt;"&amp;Diagram!$P96)))</f>
        <v>8</v>
      </c>
      <c r="AB96" s="42">
        <f ca="1">IF(OR($I$10="",$O96="",$P96="",$J$35&lt;&gt;"Yes"),0,IF($K$10=0,SUMIFS(INDIRECT(ADDRESS(12,3+18*2+(0),,,"J1 C - (South) Bishopthorpe Roa")&amp;":"&amp;ADDRESS(130,3+18*2+(0))),'J1 C - (South) Bishopthorpe Roa'!$A$12:$A$130,"&gt;="&amp;Diagram!$O96,'J1 C - (South) Bishopthorpe Roa'!$A$12:$A$130,"&lt;"&amp;Diagram!$P96),SUMIFS(INDIRECT(ADDRESS(12,3+18*2+(8),,,"J1 C - (South) Bishopthorpe Roa")&amp;":"&amp;ADDRESS(130,3+18*2+(8))),'J1 C - (South) Bishopthorpe Roa'!$A$12:$A$130,"&gt;="&amp;Diagram!$O96,'J1 C - (South) Bishopthorpe Roa'!$A$12:$A$130,"&lt;"&amp;Diagram!$P96)))</f>
        <v>0</v>
      </c>
      <c r="AC96" s="42">
        <f ca="1">IF(OR($I$10="",$O96="",$P96="",$J$35&lt;&gt;"Yes"),0,IF($K$10=0,SUMIFS(INDIRECT(ADDRESS(12,3+18*3+(0),,,"J1 C - (South) Bishopthorpe Roa")&amp;":"&amp;ADDRESS(130,3+18*3+(0))),'J1 C - (South) Bishopthorpe Roa'!$A$12:$A$130,"&gt;="&amp;Diagram!$O96,'J1 C - (South) Bishopthorpe Roa'!$A$12:$A$130,"&lt;"&amp;Diagram!$P96),SUMIFS(INDIRECT(ADDRESS(12,3+18*3+(8),,,"J1 C - (South) Bishopthorpe Roa")&amp;":"&amp;ADDRESS(130,3+18*3+(8))),'J1 C - (South) Bishopthorpe Roa'!$A$12:$A$130,"&gt;="&amp;Diagram!$O96,'J1 C - (South) Bishopthorpe Roa'!$A$12:$A$130,"&lt;"&amp;Diagram!$P96)))</f>
        <v>0</v>
      </c>
      <c r="AD96" s="42">
        <f ca="1">IF(OR($I$10="",$O96="",$P96="",$J$35&lt;&gt;"Yes"),0,IF($K$10=0,SUMIFS(INDIRECT(ADDRESS(12,3+18*0+(0),,,"J1 C - (South) Bishopthorpe Roa")&amp;":"&amp;ADDRESS(130,3+18*0+(0))),'J1 C - (South) Bishopthorpe Roa'!$A$12:$A$130,"&gt;="&amp;Diagram!$O96,'J1 C - (South) Bishopthorpe Roa'!$A$12:$A$130,"&lt;"&amp;Diagram!$P96),SUMIFS(INDIRECT(ADDRESS(12,3+18*0+(8),,,"J1 C - (South) Bishopthorpe Roa")&amp;":"&amp;ADDRESS(130,3+18*0+(8))),'J1 C - (South) Bishopthorpe Roa'!$A$12:$A$130,"&gt;="&amp;Diagram!$O96,'J1 C - (South) Bishopthorpe Roa'!$A$12:$A$130,"&lt;"&amp;Diagram!$P96)))</f>
        <v>0</v>
      </c>
      <c r="AE96" s="42">
        <f ca="1">IF(OR($I$10="",$O96="",$P96="",$J$35&lt;&gt;"Yes"),0,IF($K$10=0,SUMIFS(INDIRECT(ADDRESS(12,3+18*0+(0),,,"J1 D - South Bank Avenue")&amp;":"&amp;ADDRESS(130,3+18*0+(0))),'J1 D - South Bank Avenue'!$A$12:$A$130,"&gt;="&amp;Diagram!$O96,'J1 D - South Bank Avenue'!$A$12:$A$130,"&lt;"&amp;Diagram!$P96),SUMIFS(INDIRECT(ADDRESS(12,3+18*0+(8),,,"J1 D - South Bank Avenue")&amp;":"&amp;ADDRESS(130,3+18*0+(8))),'J1 D - South Bank Avenue'!$A$12:$A$130,"&gt;="&amp;Diagram!$O96,'J1 D - South Bank Avenue'!$A$12:$A$130,"&lt;"&amp;Diagram!$P96)))</f>
        <v>3</v>
      </c>
      <c r="AF96" s="42">
        <f ca="1">IF(OR($I$10="",$O96="",$P96="",$J$35&lt;&gt;"Yes"),0,IF($K$10=0,SUMIFS(INDIRECT(ADDRESS(12,3+18*1+(0),,,"J1 D - South Bank Avenue")&amp;":"&amp;ADDRESS(130,3+18*1+(0))),'J1 D - South Bank Avenue'!$A$12:$A$130,"&gt;="&amp;Diagram!$O96,'J1 D - South Bank Avenue'!$A$12:$A$130,"&lt;"&amp;Diagram!$P96),SUMIFS(INDIRECT(ADDRESS(12,3+18*1+(8),,,"J1 D - South Bank Avenue")&amp;":"&amp;ADDRESS(130,3+18*1+(8))),'J1 D - South Bank Avenue'!$A$12:$A$130,"&gt;="&amp;Diagram!$O96,'J1 D - South Bank Avenue'!$A$12:$A$130,"&lt;"&amp;Diagram!$P96)))</f>
        <v>0</v>
      </c>
      <c r="AG96" s="42">
        <f ca="1">IF(OR($I$10="",$O96="",$P96="",$J$35&lt;&gt;"Yes"),0,IF($K$10=0,SUMIFS(INDIRECT(ADDRESS(12,3+18*2+(0),,,"J1 D - South Bank Avenue")&amp;":"&amp;ADDRESS(130,3+18*2+(0))),'J1 D - South Bank Avenue'!$A$12:$A$130,"&gt;="&amp;Diagram!$O96,'J1 D - South Bank Avenue'!$A$12:$A$130,"&lt;"&amp;Diagram!$P96),SUMIFS(INDIRECT(ADDRESS(12,3+18*2+(8),,,"J1 D - South Bank Avenue")&amp;":"&amp;ADDRESS(130,3+18*2+(8))),'J1 D - South Bank Avenue'!$A$12:$A$130,"&gt;="&amp;Diagram!$O96,'J1 D - South Bank Avenue'!$A$12:$A$130,"&lt;"&amp;Diagram!$P96)))</f>
        <v>0</v>
      </c>
      <c r="AH96" s="42">
        <f ca="1">IF(OR($I$10="",$O96="",$P96="",$J$35&lt;&gt;"Yes"),0,IF($K$10=0,SUMIFS(INDIRECT(ADDRESS(12,3+18*3+(0),,,"J1 D - South Bank Avenue")&amp;":"&amp;ADDRESS(130,3+18*3+(0))),'J1 D - South Bank Avenue'!$A$12:$A$130,"&gt;="&amp;Diagram!$O96,'J1 D - South Bank Avenue'!$A$12:$A$130,"&lt;"&amp;Diagram!$P96),SUMIFS(INDIRECT(ADDRESS(12,3+18*3+(8),,,"J1 D - South Bank Avenue")&amp;":"&amp;ADDRESS(130,3+18*3+(8))),'J1 D - South Bank Avenue'!$A$12:$A$130,"&gt;="&amp;Diagram!$O96,'J1 D - South Bank Avenue'!$A$12:$A$130,"&lt;"&amp;Diagram!$P96)))</f>
        <v>0</v>
      </c>
      <c r="AI96" s="42">
        <f t="shared" ca="1" si="12"/>
        <v>0</v>
      </c>
      <c r="AJ96" s="42">
        <f ca="1">IF(OR($I$10="",$O96="",$P96="",$J$36&lt;&gt;"Yes"),0,IF($K$10=0,SUMIFS(INDIRECT(ADDRESS(12,3+18*3+(1),,,"J1 A - (North) Bishopthorpe Roa")&amp;":"&amp;ADDRESS(130,3+18*3+(1))),'J1 A - (North) Bishopthorpe Roa'!$A$12:$A$130,"&gt;="&amp;Diagram!$O96,'J1 A - (North) Bishopthorpe Roa'!$A$12:$A$130,"&lt;"&amp;Diagram!$P96),SUMIFS(INDIRECT(ADDRESS(12,3+18*3+(9),,,"J1 A - (North) Bishopthorpe Roa")&amp;":"&amp;ADDRESS(130,3+18*3+(9))),'J1 A - (North) Bishopthorpe Roa'!$A$12:$A$130,"&gt;="&amp;Diagram!$O96,'J1 A - (North) Bishopthorpe Roa'!$A$12:$A$130,"&lt;"&amp;Diagram!$P96)))</f>
        <v>0</v>
      </c>
      <c r="AK96" s="42">
        <f ca="1">IF(OR($I$10="",$O96="",$P96="",$J$36&lt;&gt;"Yes"),0,IF($K$10=0,SUMIFS(INDIRECT(ADDRESS(12,3+18*0+(1),,,"J1 A - (North) Bishopthorpe Roa")&amp;":"&amp;ADDRESS(130,3+18*0+(1))),'J1 A - (North) Bishopthorpe Roa'!$A$12:$A$130,"&gt;="&amp;Diagram!$O96,'J1 A - (North) Bishopthorpe Roa'!$A$12:$A$130,"&lt;"&amp;Diagram!$P96),SUMIFS(INDIRECT(ADDRESS(12,3+18*0+(9),,,"J1 A - (North) Bishopthorpe Roa")&amp;":"&amp;ADDRESS(130,3+18*0+(9))),'J1 A - (North) Bishopthorpe Roa'!$A$12:$A$130,"&gt;="&amp;Diagram!$O96,'J1 A - (North) Bishopthorpe Roa'!$A$12:$A$130,"&lt;"&amp;Diagram!$P96)))</f>
        <v>0</v>
      </c>
      <c r="AL96" s="42">
        <f ca="1">IF(OR($I$10="",$O96="",$P96="",$J$36&lt;&gt;"Yes"),0,IF($K$10=0,SUMIFS(INDIRECT(ADDRESS(12,3+18*1+(1),,,"J1 A - (North) Bishopthorpe Roa")&amp;":"&amp;ADDRESS(130,3+18*1+(1))),'J1 A - (North) Bishopthorpe Roa'!$A$12:$A$130,"&gt;="&amp;Diagram!$O96,'J1 A - (North) Bishopthorpe Roa'!$A$12:$A$130,"&lt;"&amp;Diagram!$P96),SUMIFS(INDIRECT(ADDRESS(12,3+18*1+(9),,,"J1 A - (North) Bishopthorpe Roa")&amp;":"&amp;ADDRESS(130,3+18*1+(9))),'J1 A - (North) Bishopthorpe Roa'!$A$12:$A$130,"&gt;="&amp;Diagram!$O96,'J1 A - (North) Bishopthorpe Roa'!$A$12:$A$130,"&lt;"&amp;Diagram!$P96)))</f>
        <v>0</v>
      </c>
      <c r="AM96" s="42">
        <f ca="1">IF(OR($I$10="",$O96="",$P96="",$J$36&lt;&gt;"Yes"),0,IF($K$10=0,SUMIFS(INDIRECT(ADDRESS(12,3+18*2+(1),,,"J1 A - (North) Bishopthorpe Roa")&amp;":"&amp;ADDRESS(130,3+18*2+(1))),'J1 A - (North) Bishopthorpe Roa'!$A$12:$A$130,"&gt;="&amp;Diagram!$O96,'J1 A - (North) Bishopthorpe Roa'!$A$12:$A$130,"&lt;"&amp;Diagram!$P96),SUMIFS(INDIRECT(ADDRESS(12,3+18*2+(9),,,"J1 A - (North) Bishopthorpe Roa")&amp;":"&amp;ADDRESS(130,3+18*2+(9))),'J1 A - (North) Bishopthorpe Roa'!$A$12:$A$130,"&gt;="&amp;Diagram!$O96,'J1 A - (North) Bishopthorpe Roa'!$A$12:$A$130,"&lt;"&amp;Diagram!$P96)))</f>
        <v>0</v>
      </c>
      <c r="AN96" s="42">
        <f ca="1">IF(OR($I$10="",$O96="",$P96="",$J$36&lt;&gt;"Yes"),0,IF($K$10=0,SUMIFS(INDIRECT(ADDRESS(12,3+18*2+(1),,,"J1 B - Butcher Terrace")&amp;":"&amp;ADDRESS(130,3+18*2+(1))),'J1 B - Butcher Terrace'!$A$12:$A$130,"&gt;="&amp;Diagram!$O96,'J1 B - Butcher Terrace'!$A$12:$A$130,"&lt;"&amp;Diagram!$P96),SUMIFS(INDIRECT(ADDRESS(12,3+18*2+(9),,,"J1 B - Butcher Terrace")&amp;":"&amp;ADDRESS(130,3+18*2+(9))),'J1 B - Butcher Terrace'!$A$12:$A$130,"&gt;="&amp;Diagram!$O96,'J1 B - Butcher Terrace'!$A$12:$A$130,"&lt;"&amp;Diagram!$P96)))</f>
        <v>0</v>
      </c>
      <c r="AO96" s="42">
        <f ca="1">IF(OR($I$10="",$O96="",$P96="",$J$36&lt;&gt;"Yes"),0,IF($K$10=0,SUMIFS(INDIRECT(ADDRESS(12,3+18*3+(1),,,"J1 B - Butcher Terrace")&amp;":"&amp;ADDRESS(130,3+18*3+(1))),'J1 B - Butcher Terrace'!$A$12:$A$130,"&gt;="&amp;Diagram!$O96,'J1 B - Butcher Terrace'!$A$12:$A$130,"&lt;"&amp;Diagram!$P96),SUMIFS(INDIRECT(ADDRESS(12,3+18*3+(9),,,"J1 B - Butcher Terrace")&amp;":"&amp;ADDRESS(130,3+18*3+(9))),'J1 B - Butcher Terrace'!$A$12:$A$130,"&gt;="&amp;Diagram!$O96,'J1 B - Butcher Terrace'!$A$12:$A$130,"&lt;"&amp;Diagram!$P96)))</f>
        <v>0</v>
      </c>
      <c r="AP96" s="42">
        <f ca="1">IF(OR($I$10="",$O96="",$P96="",$J$36&lt;&gt;"Yes"),0,IF($K$10=0,SUMIFS(INDIRECT(ADDRESS(12,3+18*0+(1),,,"J1 B - Butcher Terrace")&amp;":"&amp;ADDRESS(130,3+18*0+(1))),'J1 B - Butcher Terrace'!$A$12:$A$130,"&gt;="&amp;Diagram!$O96,'J1 B - Butcher Terrace'!$A$12:$A$130,"&lt;"&amp;Diagram!$P96),SUMIFS(INDIRECT(ADDRESS(12,3+18*0+(9),,,"J1 B - Butcher Terrace")&amp;":"&amp;ADDRESS(130,3+18*0+(9))),'J1 B - Butcher Terrace'!$A$12:$A$130,"&gt;="&amp;Diagram!$O96,'J1 B - Butcher Terrace'!$A$12:$A$130,"&lt;"&amp;Diagram!$P96)))</f>
        <v>0</v>
      </c>
      <c r="AQ96" s="42">
        <f ca="1">IF(OR($I$10="",$O96="",$P96="",$J$36&lt;&gt;"Yes"),0,IF($K$10=0,SUMIFS(INDIRECT(ADDRESS(12,3+18*1+(1),,,"J1 B - Butcher Terrace")&amp;":"&amp;ADDRESS(130,3+18*1+(1))),'J1 B - Butcher Terrace'!$A$12:$A$130,"&gt;="&amp;Diagram!$O96,'J1 B - Butcher Terrace'!$A$12:$A$130,"&lt;"&amp;Diagram!$P96),SUMIFS(INDIRECT(ADDRESS(12,3+18*1+(9),,,"J1 B - Butcher Terrace")&amp;":"&amp;ADDRESS(130,3+18*1+(9))),'J1 B - Butcher Terrace'!$A$12:$A$130,"&gt;="&amp;Diagram!$O96,'J1 B - Butcher Terrace'!$A$12:$A$130,"&lt;"&amp;Diagram!$P96)))</f>
        <v>0</v>
      </c>
      <c r="AR96" s="42">
        <f ca="1">IF(OR($I$10="",$O96="",$P96="",$J$36&lt;&gt;"Yes"),0,IF($K$10=0,SUMIFS(INDIRECT(ADDRESS(12,3+18*1+(1),,,"J1 C - (South) Bishopthorpe Roa")&amp;":"&amp;ADDRESS(130,3+18*1+(1))),'J1 C - (South) Bishopthorpe Roa'!$A$12:$A$130,"&gt;="&amp;Diagram!$O96,'J1 C - (South) Bishopthorpe Roa'!$A$12:$A$130,"&lt;"&amp;Diagram!$P96),SUMIFS(INDIRECT(ADDRESS(12,3+18*1+(9),,,"J1 C - (South) Bishopthorpe Roa")&amp;":"&amp;ADDRESS(130,3+18*1+(9))),'J1 C - (South) Bishopthorpe Roa'!$A$12:$A$130,"&gt;="&amp;Diagram!$O96,'J1 C - (South) Bishopthorpe Roa'!$A$12:$A$130,"&lt;"&amp;Diagram!$P96)))</f>
        <v>0</v>
      </c>
      <c r="AS96" s="42">
        <f ca="1">IF(OR($I$10="",$O96="",$P96="",$J$36&lt;&gt;"Yes"),0,IF($K$10=0,SUMIFS(INDIRECT(ADDRESS(12,3+18*2+(1),,,"J1 C - (South) Bishopthorpe Roa")&amp;":"&amp;ADDRESS(130,3+18*2+(1))),'J1 C - (South) Bishopthorpe Roa'!$A$12:$A$130,"&gt;="&amp;Diagram!$O96,'J1 C - (South) Bishopthorpe Roa'!$A$12:$A$130,"&lt;"&amp;Diagram!$P96),SUMIFS(INDIRECT(ADDRESS(12,3+18*2+(9),,,"J1 C - (South) Bishopthorpe Roa")&amp;":"&amp;ADDRESS(130,3+18*2+(9))),'J1 C - (South) Bishopthorpe Roa'!$A$12:$A$130,"&gt;="&amp;Diagram!$O96,'J1 C - (South) Bishopthorpe Roa'!$A$12:$A$130,"&lt;"&amp;Diagram!$P96)))</f>
        <v>0</v>
      </c>
      <c r="AT96" s="42">
        <f ca="1">IF(OR($I$10="",$O96="",$P96="",$J$36&lt;&gt;"Yes"),0,IF($K$10=0,SUMIFS(INDIRECT(ADDRESS(12,3+18*3+(1),,,"J1 C - (South) Bishopthorpe Roa")&amp;":"&amp;ADDRESS(130,3+18*3+(1))),'J1 C - (South) Bishopthorpe Roa'!$A$12:$A$130,"&gt;="&amp;Diagram!$O96,'J1 C - (South) Bishopthorpe Roa'!$A$12:$A$130,"&lt;"&amp;Diagram!$P96),SUMIFS(INDIRECT(ADDRESS(12,3+18*3+(9),,,"J1 C - (South) Bishopthorpe Roa")&amp;":"&amp;ADDRESS(130,3+18*3+(9))),'J1 C - (South) Bishopthorpe Roa'!$A$12:$A$130,"&gt;="&amp;Diagram!$O96,'J1 C - (South) Bishopthorpe Roa'!$A$12:$A$130,"&lt;"&amp;Diagram!$P96)))</f>
        <v>0</v>
      </c>
      <c r="AU96" s="42">
        <f ca="1">IF(OR($I$10="",$O96="",$P96="",$J$36&lt;&gt;"Yes"),0,IF($K$10=0,SUMIFS(INDIRECT(ADDRESS(12,3+18*0+(1),,,"J1 C - (South) Bishopthorpe Roa")&amp;":"&amp;ADDRESS(130,3+18*0+(1))),'J1 C - (South) Bishopthorpe Roa'!$A$12:$A$130,"&gt;="&amp;Diagram!$O96,'J1 C - (South) Bishopthorpe Roa'!$A$12:$A$130,"&lt;"&amp;Diagram!$P96),SUMIFS(INDIRECT(ADDRESS(12,3+18*0+(9),,,"J1 C - (South) Bishopthorpe Roa")&amp;":"&amp;ADDRESS(130,3+18*0+(9))),'J1 C - (South) Bishopthorpe Roa'!$A$12:$A$130,"&gt;="&amp;Diagram!$O96,'J1 C - (South) Bishopthorpe Roa'!$A$12:$A$130,"&lt;"&amp;Diagram!$P96)))</f>
        <v>0</v>
      </c>
      <c r="AV96" s="42">
        <f ca="1">IF(OR($I$10="",$O96="",$P96="",$J$36&lt;&gt;"Yes"),0,IF($K$10=0,SUMIFS(INDIRECT(ADDRESS(12,3+18*0+(1),,,"J1 D - South Bank Avenue")&amp;":"&amp;ADDRESS(130,3+18*0+(1))),'J1 D - South Bank Avenue'!$A$12:$A$130,"&gt;="&amp;Diagram!$O96,'J1 D - South Bank Avenue'!$A$12:$A$130,"&lt;"&amp;Diagram!$P96),SUMIFS(INDIRECT(ADDRESS(12,3+18*0+(9),,,"J1 D - South Bank Avenue")&amp;":"&amp;ADDRESS(130,3+18*0+(9))),'J1 D - South Bank Avenue'!$A$12:$A$130,"&gt;="&amp;Diagram!$O96,'J1 D - South Bank Avenue'!$A$12:$A$130,"&lt;"&amp;Diagram!$P96)))</f>
        <v>0</v>
      </c>
      <c r="AW96" s="42">
        <f ca="1">IF(OR($I$10="",$O96="",$P96="",$J$36&lt;&gt;"Yes"),0,IF($K$10=0,SUMIFS(INDIRECT(ADDRESS(12,3+18*1+(1),,,"J1 D - South Bank Avenue")&amp;":"&amp;ADDRESS(130,3+18*1+(1))),'J1 D - South Bank Avenue'!$A$12:$A$130,"&gt;="&amp;Diagram!$O96,'J1 D - South Bank Avenue'!$A$12:$A$130,"&lt;"&amp;Diagram!$P96),SUMIFS(INDIRECT(ADDRESS(12,3+18*1+(9),,,"J1 D - South Bank Avenue")&amp;":"&amp;ADDRESS(130,3+18*1+(9))),'J1 D - South Bank Avenue'!$A$12:$A$130,"&gt;="&amp;Diagram!$O96,'J1 D - South Bank Avenue'!$A$12:$A$130,"&lt;"&amp;Diagram!$P96)))</f>
        <v>0</v>
      </c>
      <c r="AX96" s="42">
        <f ca="1">IF(OR($I$10="",$O96="",$P96="",$J$36&lt;&gt;"Yes"),0,IF($K$10=0,SUMIFS(INDIRECT(ADDRESS(12,3+18*2+(1),,,"J1 D - South Bank Avenue")&amp;":"&amp;ADDRESS(130,3+18*2+(1))),'J1 D - South Bank Avenue'!$A$12:$A$130,"&gt;="&amp;Diagram!$O96,'J1 D - South Bank Avenue'!$A$12:$A$130,"&lt;"&amp;Diagram!$P96),SUMIFS(INDIRECT(ADDRESS(12,3+18*2+(9),,,"J1 D - South Bank Avenue")&amp;":"&amp;ADDRESS(130,3+18*2+(9))),'J1 D - South Bank Avenue'!$A$12:$A$130,"&gt;="&amp;Diagram!$O96,'J1 D - South Bank Avenue'!$A$12:$A$130,"&lt;"&amp;Diagram!$P96)))</f>
        <v>0</v>
      </c>
      <c r="AY96" s="42">
        <f ca="1">IF(OR($I$10="",$O96="",$P96="",$J$36&lt;&gt;"Yes"),0,IF($K$10=0,SUMIFS(INDIRECT(ADDRESS(12,3+18*3+(1),,,"J1 D - South Bank Avenue")&amp;":"&amp;ADDRESS(130,3+18*3+(1))),'J1 D - South Bank Avenue'!$A$12:$A$130,"&gt;="&amp;Diagram!$O96,'J1 D - South Bank Avenue'!$A$12:$A$130,"&lt;"&amp;Diagram!$P96),SUMIFS(INDIRECT(ADDRESS(12,3+18*3+(9),,,"J1 D - South Bank Avenue")&amp;":"&amp;ADDRESS(130,3+18*3+(9))),'J1 D - South Bank Avenue'!$A$12:$A$130,"&gt;="&amp;Diagram!$O96,'J1 D - South Bank Avenue'!$A$12:$A$130,"&lt;"&amp;Diagram!$P96)))</f>
        <v>0</v>
      </c>
      <c r="AZ96" s="42">
        <f t="shared" ca="1" si="13"/>
        <v>0</v>
      </c>
      <c r="BA96" s="42">
        <f ca="1">IF(OR($I$10="",$O96="",$P96="",$J$37&lt;&gt;"Yes"),0,IF($K$10=0,SUMIFS(INDIRECT(ADDRESS(12,3+18*3+(2),,,"J1 A - (North) Bishopthorpe Roa")&amp;":"&amp;ADDRESS(130,3+18*3+(2))),'J1 A - (North) Bishopthorpe Roa'!$A$12:$A$130,"&gt;="&amp;Diagram!$O96,'J1 A - (North) Bishopthorpe Roa'!$A$12:$A$130,"&lt;"&amp;Diagram!$P96),SUMIFS(INDIRECT(ADDRESS(12,3+18*3+(10),,,"J1 A - (North) Bishopthorpe Roa")&amp;":"&amp;ADDRESS(130,3+18*3+(10))),'J1 A - (North) Bishopthorpe Roa'!$A$12:$A$130,"&gt;="&amp;Diagram!$O96,'J1 A - (North) Bishopthorpe Roa'!$A$12:$A$130,"&lt;"&amp;Diagram!$P96)))</f>
        <v>0</v>
      </c>
      <c r="BB96" s="42">
        <f ca="1">IF(OR($I$10="",$O96="",$P96="",$J$37&lt;&gt;"Yes"),0,IF($K$10=0,SUMIFS(INDIRECT(ADDRESS(12,3+18*0+(2),,,"J1 A - (North) Bishopthorpe Roa")&amp;":"&amp;ADDRESS(130,3+18*0+(2))),'J1 A - (North) Bishopthorpe Roa'!$A$12:$A$130,"&gt;="&amp;Diagram!$O96,'J1 A - (North) Bishopthorpe Roa'!$A$12:$A$130,"&lt;"&amp;Diagram!$P96),SUMIFS(INDIRECT(ADDRESS(12,3+18*0+(10),,,"J1 A - (North) Bishopthorpe Roa")&amp;":"&amp;ADDRESS(130,3+18*0+(10))),'J1 A - (North) Bishopthorpe Roa'!$A$12:$A$130,"&gt;="&amp;Diagram!$O96,'J1 A - (North) Bishopthorpe Roa'!$A$12:$A$130,"&lt;"&amp;Diagram!$P96)))</f>
        <v>0</v>
      </c>
      <c r="BC96" s="42">
        <f ca="1">IF(OR($I$10="",$O96="",$P96="",$J$37&lt;&gt;"Yes"),0,IF($K$10=0,SUMIFS(INDIRECT(ADDRESS(12,3+18*1+(2),,,"J1 A - (North) Bishopthorpe Roa")&amp;":"&amp;ADDRESS(130,3+18*1+(2))),'J1 A - (North) Bishopthorpe Roa'!$A$12:$A$130,"&gt;="&amp;Diagram!$O96,'J1 A - (North) Bishopthorpe Roa'!$A$12:$A$130,"&lt;"&amp;Diagram!$P96),SUMIFS(INDIRECT(ADDRESS(12,3+18*1+(10),,,"J1 A - (North) Bishopthorpe Roa")&amp;":"&amp;ADDRESS(130,3+18*1+(10))),'J1 A - (North) Bishopthorpe Roa'!$A$12:$A$130,"&gt;="&amp;Diagram!$O96,'J1 A - (North) Bishopthorpe Roa'!$A$12:$A$130,"&lt;"&amp;Diagram!$P96)))</f>
        <v>0</v>
      </c>
      <c r="BD96" s="42">
        <f ca="1">IF(OR($I$10="",$O96="",$P96="",$J$37&lt;&gt;"Yes"),0,IF($K$10=0,SUMIFS(INDIRECT(ADDRESS(12,3+18*2+(2),,,"J1 A - (North) Bishopthorpe Roa")&amp;":"&amp;ADDRESS(130,3+18*2+(2))),'J1 A - (North) Bishopthorpe Roa'!$A$12:$A$130,"&gt;="&amp;Diagram!$O96,'J1 A - (North) Bishopthorpe Roa'!$A$12:$A$130,"&lt;"&amp;Diagram!$P96),SUMIFS(INDIRECT(ADDRESS(12,3+18*2+(10),,,"J1 A - (North) Bishopthorpe Roa")&amp;":"&amp;ADDRESS(130,3+18*2+(10))),'J1 A - (North) Bishopthorpe Roa'!$A$12:$A$130,"&gt;="&amp;Diagram!$O96,'J1 A - (North) Bishopthorpe Roa'!$A$12:$A$130,"&lt;"&amp;Diagram!$P96)))</f>
        <v>0</v>
      </c>
      <c r="BE96" s="42">
        <f ca="1">IF(OR($I$10="",$O96="",$P96="",$J$37&lt;&gt;"Yes"),0,IF($K$10=0,SUMIFS(INDIRECT(ADDRESS(12,3+18*2+(2),,,"J1 B - Butcher Terrace")&amp;":"&amp;ADDRESS(130,3+18*2+(2))),'J1 B - Butcher Terrace'!$A$12:$A$130,"&gt;="&amp;Diagram!$O96,'J1 B - Butcher Terrace'!$A$12:$A$130,"&lt;"&amp;Diagram!$P96),SUMIFS(INDIRECT(ADDRESS(12,3+18*2+(10),,,"J1 B - Butcher Terrace")&amp;":"&amp;ADDRESS(130,3+18*2+(10))),'J1 B - Butcher Terrace'!$A$12:$A$130,"&gt;="&amp;Diagram!$O96,'J1 B - Butcher Terrace'!$A$12:$A$130,"&lt;"&amp;Diagram!$P96)))</f>
        <v>0</v>
      </c>
      <c r="BF96" s="42">
        <f ca="1">IF(OR($I$10="",$O96="",$P96="",$J$37&lt;&gt;"Yes"),0,IF($K$10=0,SUMIFS(INDIRECT(ADDRESS(12,3+18*3+(2),,,"J1 B - Butcher Terrace")&amp;":"&amp;ADDRESS(130,3+18*3+(2))),'J1 B - Butcher Terrace'!$A$12:$A$130,"&gt;="&amp;Diagram!$O96,'J1 B - Butcher Terrace'!$A$12:$A$130,"&lt;"&amp;Diagram!$P96),SUMIFS(INDIRECT(ADDRESS(12,3+18*3+(10),,,"J1 B - Butcher Terrace")&amp;":"&amp;ADDRESS(130,3+18*3+(10))),'J1 B - Butcher Terrace'!$A$12:$A$130,"&gt;="&amp;Diagram!$O96,'J1 B - Butcher Terrace'!$A$12:$A$130,"&lt;"&amp;Diagram!$P96)))</f>
        <v>0</v>
      </c>
      <c r="BG96" s="42">
        <f ca="1">IF(OR($I$10="",$O96="",$P96="",$J$37&lt;&gt;"Yes"),0,IF($K$10=0,SUMIFS(INDIRECT(ADDRESS(12,3+18*0+(2),,,"J1 B - Butcher Terrace")&amp;":"&amp;ADDRESS(130,3+18*0+(2))),'J1 B - Butcher Terrace'!$A$12:$A$130,"&gt;="&amp;Diagram!$O96,'J1 B - Butcher Terrace'!$A$12:$A$130,"&lt;"&amp;Diagram!$P96),SUMIFS(INDIRECT(ADDRESS(12,3+18*0+(10),,,"J1 B - Butcher Terrace")&amp;":"&amp;ADDRESS(130,3+18*0+(10))),'J1 B - Butcher Terrace'!$A$12:$A$130,"&gt;="&amp;Diagram!$O96,'J1 B - Butcher Terrace'!$A$12:$A$130,"&lt;"&amp;Diagram!$P96)))</f>
        <v>0</v>
      </c>
      <c r="BH96" s="42">
        <f ca="1">IF(OR($I$10="",$O96="",$P96="",$J$37&lt;&gt;"Yes"),0,IF($K$10=0,SUMIFS(INDIRECT(ADDRESS(12,3+18*1+(2),,,"J1 B - Butcher Terrace")&amp;":"&amp;ADDRESS(130,3+18*1+(2))),'J1 B - Butcher Terrace'!$A$12:$A$130,"&gt;="&amp;Diagram!$O96,'J1 B - Butcher Terrace'!$A$12:$A$130,"&lt;"&amp;Diagram!$P96),SUMIFS(INDIRECT(ADDRESS(12,3+18*1+(10),,,"J1 B - Butcher Terrace")&amp;":"&amp;ADDRESS(130,3+18*1+(10))),'J1 B - Butcher Terrace'!$A$12:$A$130,"&gt;="&amp;Diagram!$O96,'J1 B - Butcher Terrace'!$A$12:$A$130,"&lt;"&amp;Diagram!$P96)))</f>
        <v>0</v>
      </c>
      <c r="BI96" s="42">
        <f ca="1">IF(OR($I$10="",$O96="",$P96="",$J$37&lt;&gt;"Yes"),0,IF($K$10=0,SUMIFS(INDIRECT(ADDRESS(12,3+18*1+(2),,,"J1 C - (South) Bishopthorpe Roa")&amp;":"&amp;ADDRESS(130,3+18*1+(2))),'J1 C - (South) Bishopthorpe Roa'!$A$12:$A$130,"&gt;="&amp;Diagram!$O96,'J1 C - (South) Bishopthorpe Roa'!$A$12:$A$130,"&lt;"&amp;Diagram!$P96),SUMIFS(INDIRECT(ADDRESS(12,3+18*1+(10),,,"J1 C - (South) Bishopthorpe Roa")&amp;":"&amp;ADDRESS(130,3+18*1+(10))),'J1 C - (South) Bishopthorpe Roa'!$A$12:$A$130,"&gt;="&amp;Diagram!$O96,'J1 C - (South) Bishopthorpe Roa'!$A$12:$A$130,"&lt;"&amp;Diagram!$P96)))</f>
        <v>0</v>
      </c>
      <c r="BJ96" s="42">
        <f ca="1">IF(OR($I$10="",$O96="",$P96="",$J$37&lt;&gt;"Yes"),0,IF($K$10=0,SUMIFS(INDIRECT(ADDRESS(12,3+18*2+(2),,,"J1 C - (South) Bishopthorpe Roa")&amp;":"&amp;ADDRESS(130,3+18*2+(2))),'J1 C - (South) Bishopthorpe Roa'!$A$12:$A$130,"&gt;="&amp;Diagram!$O96,'J1 C - (South) Bishopthorpe Roa'!$A$12:$A$130,"&lt;"&amp;Diagram!$P96),SUMIFS(INDIRECT(ADDRESS(12,3+18*2+(10),,,"J1 C - (South) Bishopthorpe Roa")&amp;":"&amp;ADDRESS(130,3+18*2+(10))),'J1 C - (South) Bishopthorpe Roa'!$A$12:$A$130,"&gt;="&amp;Diagram!$O96,'J1 C - (South) Bishopthorpe Roa'!$A$12:$A$130,"&lt;"&amp;Diagram!$P96)))</f>
        <v>0</v>
      </c>
      <c r="BK96" s="42">
        <f ca="1">IF(OR($I$10="",$O96="",$P96="",$J$37&lt;&gt;"Yes"),0,IF($K$10=0,SUMIFS(INDIRECT(ADDRESS(12,3+18*3+(2),,,"J1 C - (South) Bishopthorpe Roa")&amp;":"&amp;ADDRESS(130,3+18*3+(2))),'J1 C - (South) Bishopthorpe Roa'!$A$12:$A$130,"&gt;="&amp;Diagram!$O96,'J1 C - (South) Bishopthorpe Roa'!$A$12:$A$130,"&lt;"&amp;Diagram!$P96),SUMIFS(INDIRECT(ADDRESS(12,3+18*3+(10),,,"J1 C - (South) Bishopthorpe Roa")&amp;":"&amp;ADDRESS(130,3+18*3+(10))),'J1 C - (South) Bishopthorpe Roa'!$A$12:$A$130,"&gt;="&amp;Diagram!$O96,'J1 C - (South) Bishopthorpe Roa'!$A$12:$A$130,"&lt;"&amp;Diagram!$P96)))</f>
        <v>0</v>
      </c>
      <c r="BL96" s="42">
        <f ca="1">IF(OR($I$10="",$O96="",$P96="",$J$37&lt;&gt;"Yes"),0,IF($K$10=0,SUMIFS(INDIRECT(ADDRESS(12,3+18*0+(2),,,"J1 C - (South) Bishopthorpe Roa")&amp;":"&amp;ADDRESS(130,3+18*0+(2))),'J1 C - (South) Bishopthorpe Roa'!$A$12:$A$130,"&gt;="&amp;Diagram!$O96,'J1 C - (South) Bishopthorpe Roa'!$A$12:$A$130,"&lt;"&amp;Diagram!$P96),SUMIFS(INDIRECT(ADDRESS(12,3+18*0+(10),,,"J1 C - (South) Bishopthorpe Roa")&amp;":"&amp;ADDRESS(130,3+18*0+(10))),'J1 C - (South) Bishopthorpe Roa'!$A$12:$A$130,"&gt;="&amp;Diagram!$O96,'J1 C - (South) Bishopthorpe Roa'!$A$12:$A$130,"&lt;"&amp;Diagram!$P96)))</f>
        <v>0</v>
      </c>
      <c r="BM96" s="42">
        <f ca="1">IF(OR($I$10="",$O96="",$P96="",$J$37&lt;&gt;"Yes"),0,IF($K$10=0,SUMIFS(INDIRECT(ADDRESS(12,3+18*0+(2),,,"J1 D - South Bank Avenue")&amp;":"&amp;ADDRESS(130,3+18*0+(2))),'J1 D - South Bank Avenue'!$A$12:$A$130,"&gt;="&amp;Diagram!$O96,'J1 D - South Bank Avenue'!$A$12:$A$130,"&lt;"&amp;Diagram!$P96),SUMIFS(INDIRECT(ADDRESS(12,3+18*0+(10),,,"J1 D - South Bank Avenue")&amp;":"&amp;ADDRESS(130,3+18*0+(10))),'J1 D - South Bank Avenue'!$A$12:$A$130,"&gt;="&amp;Diagram!$O96,'J1 D - South Bank Avenue'!$A$12:$A$130,"&lt;"&amp;Diagram!$P96)))</f>
        <v>0</v>
      </c>
      <c r="BN96" s="42">
        <f ca="1">IF(OR($I$10="",$O96="",$P96="",$J$37&lt;&gt;"Yes"),0,IF($K$10=0,SUMIFS(INDIRECT(ADDRESS(12,3+18*1+(2),,,"J1 D - South Bank Avenue")&amp;":"&amp;ADDRESS(130,3+18*1+(2))),'J1 D - South Bank Avenue'!$A$12:$A$130,"&gt;="&amp;Diagram!$O96,'J1 D - South Bank Avenue'!$A$12:$A$130,"&lt;"&amp;Diagram!$P96),SUMIFS(INDIRECT(ADDRESS(12,3+18*1+(10),,,"J1 D - South Bank Avenue")&amp;":"&amp;ADDRESS(130,3+18*1+(10))),'J1 D - South Bank Avenue'!$A$12:$A$130,"&gt;="&amp;Diagram!$O96,'J1 D - South Bank Avenue'!$A$12:$A$130,"&lt;"&amp;Diagram!$P96)))</f>
        <v>0</v>
      </c>
      <c r="BO96" s="42">
        <f ca="1">IF(OR($I$10="",$O96="",$P96="",$J$37&lt;&gt;"Yes"),0,IF($K$10=0,SUMIFS(INDIRECT(ADDRESS(12,3+18*2+(2),,,"J1 D - South Bank Avenue")&amp;":"&amp;ADDRESS(130,3+18*2+(2))),'J1 D - South Bank Avenue'!$A$12:$A$130,"&gt;="&amp;Diagram!$O96,'J1 D - South Bank Avenue'!$A$12:$A$130,"&lt;"&amp;Diagram!$P96),SUMIFS(INDIRECT(ADDRESS(12,3+18*2+(10),,,"J1 D - South Bank Avenue")&amp;":"&amp;ADDRESS(130,3+18*2+(10))),'J1 D - South Bank Avenue'!$A$12:$A$130,"&gt;="&amp;Diagram!$O96,'J1 D - South Bank Avenue'!$A$12:$A$130,"&lt;"&amp;Diagram!$P96)))</f>
        <v>0</v>
      </c>
      <c r="BP96" s="42">
        <f ca="1">IF(OR($I$10="",$O96="",$P96="",$J$37&lt;&gt;"Yes"),0,IF($K$10=0,SUMIFS(INDIRECT(ADDRESS(12,3+18*3+(2),,,"J1 D - South Bank Avenue")&amp;":"&amp;ADDRESS(130,3+18*3+(2))),'J1 D - South Bank Avenue'!$A$12:$A$130,"&gt;="&amp;Diagram!$O96,'J1 D - South Bank Avenue'!$A$12:$A$130,"&lt;"&amp;Diagram!$P96),SUMIFS(INDIRECT(ADDRESS(12,3+18*3+(10),,,"J1 D - South Bank Avenue")&amp;":"&amp;ADDRESS(130,3+18*3+(10))),'J1 D - South Bank Avenue'!$A$12:$A$130,"&gt;="&amp;Diagram!$O96,'J1 D - South Bank Avenue'!$A$12:$A$130,"&lt;"&amp;Diagram!$P96)))</f>
        <v>0</v>
      </c>
      <c r="BQ96" s="42">
        <f t="shared" ca="1" si="14"/>
        <v>0</v>
      </c>
      <c r="BR96" s="42">
        <f ca="1">IF(OR($I$10="",$O96="",$P96="",$J$38&lt;&gt;"Yes"),0,IF($K$10=0,SUMIFS(INDIRECT(ADDRESS(12,3+18*3+(3),,,"J1 A - (North) Bishopthorpe Roa")&amp;":"&amp;ADDRESS(130,3+18*3+(3))),'J1 A - (North) Bishopthorpe Roa'!$A$12:$A$130,"&gt;="&amp;Diagram!$O96,'J1 A - (North) Bishopthorpe Roa'!$A$12:$A$130,"&lt;"&amp;Diagram!$P96),SUMIFS(INDIRECT(ADDRESS(12,3+18*3+(11),,,"J1 A - (North) Bishopthorpe Roa")&amp;":"&amp;ADDRESS(130,3+18*3+(11))),'J1 A - (North) Bishopthorpe Roa'!$A$12:$A$130,"&gt;="&amp;Diagram!$O96,'J1 A - (North) Bishopthorpe Roa'!$A$12:$A$130,"&lt;"&amp;Diagram!$P96)))</f>
        <v>0</v>
      </c>
      <c r="BS96" s="42">
        <f ca="1">IF(OR($I$10="",$O96="",$P96="",$J$38&lt;&gt;"Yes"),0,IF($K$10=0,SUMIFS(INDIRECT(ADDRESS(12,3+18*0+(3),,,"J1 A - (North) Bishopthorpe Roa")&amp;":"&amp;ADDRESS(130,3+18*0+(3))),'J1 A - (North) Bishopthorpe Roa'!$A$12:$A$130,"&gt;="&amp;Diagram!$O96,'J1 A - (North) Bishopthorpe Roa'!$A$12:$A$130,"&lt;"&amp;Diagram!$P96),SUMIFS(INDIRECT(ADDRESS(12,3+18*0+(11),,,"J1 A - (North) Bishopthorpe Roa")&amp;":"&amp;ADDRESS(130,3+18*0+(11))),'J1 A - (North) Bishopthorpe Roa'!$A$12:$A$130,"&gt;="&amp;Diagram!$O96,'J1 A - (North) Bishopthorpe Roa'!$A$12:$A$130,"&lt;"&amp;Diagram!$P96)))</f>
        <v>0</v>
      </c>
      <c r="BT96" s="42">
        <f ca="1">IF(OR($I$10="",$O96="",$P96="",$J$38&lt;&gt;"Yes"),0,IF($K$10=0,SUMIFS(INDIRECT(ADDRESS(12,3+18*1+(3),,,"J1 A - (North) Bishopthorpe Roa")&amp;":"&amp;ADDRESS(130,3+18*1+(3))),'J1 A - (North) Bishopthorpe Roa'!$A$12:$A$130,"&gt;="&amp;Diagram!$O96,'J1 A - (North) Bishopthorpe Roa'!$A$12:$A$130,"&lt;"&amp;Diagram!$P96),SUMIFS(INDIRECT(ADDRESS(12,3+18*1+(11),,,"J1 A - (North) Bishopthorpe Roa")&amp;":"&amp;ADDRESS(130,3+18*1+(11))),'J1 A - (North) Bishopthorpe Roa'!$A$12:$A$130,"&gt;="&amp;Diagram!$O96,'J1 A - (North) Bishopthorpe Roa'!$A$12:$A$130,"&lt;"&amp;Diagram!$P96)))</f>
        <v>0</v>
      </c>
      <c r="BU96" s="42">
        <f ca="1">IF(OR($I$10="",$O96="",$P96="",$J$38&lt;&gt;"Yes"),0,IF($K$10=0,SUMIFS(INDIRECT(ADDRESS(12,3+18*2+(3),,,"J1 A - (North) Bishopthorpe Roa")&amp;":"&amp;ADDRESS(130,3+18*2+(3))),'J1 A - (North) Bishopthorpe Roa'!$A$12:$A$130,"&gt;="&amp;Diagram!$O96,'J1 A - (North) Bishopthorpe Roa'!$A$12:$A$130,"&lt;"&amp;Diagram!$P96),SUMIFS(INDIRECT(ADDRESS(12,3+18*2+(11),,,"J1 A - (North) Bishopthorpe Roa")&amp;":"&amp;ADDRESS(130,3+18*2+(11))),'J1 A - (North) Bishopthorpe Roa'!$A$12:$A$130,"&gt;="&amp;Diagram!$O96,'J1 A - (North) Bishopthorpe Roa'!$A$12:$A$130,"&lt;"&amp;Diagram!$P96)))</f>
        <v>0</v>
      </c>
      <c r="BV96" s="42">
        <f ca="1">IF(OR($I$10="",$O96="",$P96="",$J$38&lt;&gt;"Yes"),0,IF($K$10=0,SUMIFS(INDIRECT(ADDRESS(12,3+18*2+(3),,,"J1 B - Butcher Terrace")&amp;":"&amp;ADDRESS(130,3+18*2+(3))),'J1 B - Butcher Terrace'!$A$12:$A$130,"&gt;="&amp;Diagram!$O96,'J1 B - Butcher Terrace'!$A$12:$A$130,"&lt;"&amp;Diagram!$P96),SUMIFS(INDIRECT(ADDRESS(12,3+18*2+(11),,,"J1 B - Butcher Terrace")&amp;":"&amp;ADDRESS(130,3+18*2+(11))),'J1 B - Butcher Terrace'!$A$12:$A$130,"&gt;="&amp;Diagram!$O96,'J1 B - Butcher Terrace'!$A$12:$A$130,"&lt;"&amp;Diagram!$P96)))</f>
        <v>0</v>
      </c>
      <c r="BW96" s="42">
        <f ca="1">IF(OR($I$10="",$O96="",$P96="",$J$38&lt;&gt;"Yes"),0,IF($K$10=0,SUMIFS(INDIRECT(ADDRESS(12,3+18*3+(3),,,"J1 B - Butcher Terrace")&amp;":"&amp;ADDRESS(130,3+18*3+(3))),'J1 B - Butcher Terrace'!$A$12:$A$130,"&gt;="&amp;Diagram!$O96,'J1 B - Butcher Terrace'!$A$12:$A$130,"&lt;"&amp;Diagram!$P96),SUMIFS(INDIRECT(ADDRESS(12,3+18*3+(11),,,"J1 B - Butcher Terrace")&amp;":"&amp;ADDRESS(130,3+18*3+(11))),'J1 B - Butcher Terrace'!$A$12:$A$130,"&gt;="&amp;Diagram!$O96,'J1 B - Butcher Terrace'!$A$12:$A$130,"&lt;"&amp;Diagram!$P96)))</f>
        <v>0</v>
      </c>
      <c r="BX96" s="42">
        <f ca="1">IF(OR($I$10="",$O96="",$P96="",$J$38&lt;&gt;"Yes"),0,IF($K$10=0,SUMIFS(INDIRECT(ADDRESS(12,3+18*0+(3),,,"J1 B - Butcher Terrace")&amp;":"&amp;ADDRESS(130,3+18*0+(3))),'J1 B - Butcher Terrace'!$A$12:$A$130,"&gt;="&amp;Diagram!$O96,'J1 B - Butcher Terrace'!$A$12:$A$130,"&lt;"&amp;Diagram!$P96),SUMIFS(INDIRECT(ADDRESS(12,3+18*0+(11),,,"J1 B - Butcher Terrace")&amp;":"&amp;ADDRESS(130,3+18*0+(11))),'J1 B - Butcher Terrace'!$A$12:$A$130,"&gt;="&amp;Diagram!$O96,'J1 B - Butcher Terrace'!$A$12:$A$130,"&lt;"&amp;Diagram!$P96)))</f>
        <v>0</v>
      </c>
      <c r="BY96" s="42">
        <f ca="1">IF(OR($I$10="",$O96="",$P96="",$J$38&lt;&gt;"Yes"),0,IF($K$10=0,SUMIFS(INDIRECT(ADDRESS(12,3+18*1+(3),,,"J1 B - Butcher Terrace")&amp;":"&amp;ADDRESS(130,3+18*1+(3))),'J1 B - Butcher Terrace'!$A$12:$A$130,"&gt;="&amp;Diagram!$O96,'J1 B - Butcher Terrace'!$A$12:$A$130,"&lt;"&amp;Diagram!$P96),SUMIFS(INDIRECT(ADDRESS(12,3+18*1+(11),,,"J1 B - Butcher Terrace")&amp;":"&amp;ADDRESS(130,3+18*1+(11))),'J1 B - Butcher Terrace'!$A$12:$A$130,"&gt;="&amp;Diagram!$O96,'J1 B - Butcher Terrace'!$A$12:$A$130,"&lt;"&amp;Diagram!$P96)))</f>
        <v>0</v>
      </c>
      <c r="BZ96" s="42">
        <f ca="1">IF(OR($I$10="",$O96="",$P96="",$J$38&lt;&gt;"Yes"),0,IF($K$10=0,SUMIFS(INDIRECT(ADDRESS(12,3+18*1+(3),,,"J1 C - (South) Bishopthorpe Roa")&amp;":"&amp;ADDRESS(130,3+18*1+(3))),'J1 C - (South) Bishopthorpe Roa'!$A$12:$A$130,"&gt;="&amp;Diagram!$O96,'J1 C - (South) Bishopthorpe Roa'!$A$12:$A$130,"&lt;"&amp;Diagram!$P96),SUMIFS(INDIRECT(ADDRESS(12,3+18*1+(11),,,"J1 C - (South) Bishopthorpe Roa")&amp;":"&amp;ADDRESS(130,3+18*1+(11))),'J1 C - (South) Bishopthorpe Roa'!$A$12:$A$130,"&gt;="&amp;Diagram!$O96,'J1 C - (South) Bishopthorpe Roa'!$A$12:$A$130,"&lt;"&amp;Diagram!$P96)))</f>
        <v>0</v>
      </c>
      <c r="CA96" s="42">
        <f ca="1">IF(OR($I$10="",$O96="",$P96="",$J$38&lt;&gt;"Yes"),0,IF($K$10=0,SUMIFS(INDIRECT(ADDRESS(12,3+18*2+(3),,,"J1 C - (South) Bishopthorpe Roa")&amp;":"&amp;ADDRESS(130,3+18*2+(3))),'J1 C - (South) Bishopthorpe Roa'!$A$12:$A$130,"&gt;="&amp;Diagram!$O96,'J1 C - (South) Bishopthorpe Roa'!$A$12:$A$130,"&lt;"&amp;Diagram!$P96),SUMIFS(INDIRECT(ADDRESS(12,3+18*2+(11),,,"J1 C - (South) Bishopthorpe Roa")&amp;":"&amp;ADDRESS(130,3+18*2+(11))),'J1 C - (South) Bishopthorpe Roa'!$A$12:$A$130,"&gt;="&amp;Diagram!$O96,'J1 C - (South) Bishopthorpe Roa'!$A$12:$A$130,"&lt;"&amp;Diagram!$P96)))</f>
        <v>0</v>
      </c>
      <c r="CB96" s="42">
        <f ca="1">IF(OR($I$10="",$O96="",$P96="",$J$38&lt;&gt;"Yes"),0,IF($K$10=0,SUMIFS(INDIRECT(ADDRESS(12,3+18*3+(3),,,"J1 C - (South) Bishopthorpe Roa")&amp;":"&amp;ADDRESS(130,3+18*3+(3))),'J1 C - (South) Bishopthorpe Roa'!$A$12:$A$130,"&gt;="&amp;Diagram!$O96,'J1 C - (South) Bishopthorpe Roa'!$A$12:$A$130,"&lt;"&amp;Diagram!$P96),SUMIFS(INDIRECT(ADDRESS(12,3+18*3+(11),,,"J1 C - (South) Bishopthorpe Roa")&amp;":"&amp;ADDRESS(130,3+18*3+(11))),'J1 C - (South) Bishopthorpe Roa'!$A$12:$A$130,"&gt;="&amp;Diagram!$O96,'J1 C - (South) Bishopthorpe Roa'!$A$12:$A$130,"&lt;"&amp;Diagram!$P96)))</f>
        <v>0</v>
      </c>
      <c r="CC96" s="42">
        <f ca="1">IF(OR($I$10="",$O96="",$P96="",$J$38&lt;&gt;"Yes"),0,IF($K$10=0,SUMIFS(INDIRECT(ADDRESS(12,3+18*0+(3),,,"J1 C - (South) Bishopthorpe Roa")&amp;":"&amp;ADDRESS(130,3+18*0+(3))),'J1 C - (South) Bishopthorpe Roa'!$A$12:$A$130,"&gt;="&amp;Diagram!$O96,'J1 C - (South) Bishopthorpe Roa'!$A$12:$A$130,"&lt;"&amp;Diagram!$P96),SUMIFS(INDIRECT(ADDRESS(12,3+18*0+(11),,,"J1 C - (South) Bishopthorpe Roa")&amp;":"&amp;ADDRESS(130,3+18*0+(11))),'J1 C - (South) Bishopthorpe Roa'!$A$12:$A$130,"&gt;="&amp;Diagram!$O96,'J1 C - (South) Bishopthorpe Roa'!$A$12:$A$130,"&lt;"&amp;Diagram!$P96)))</f>
        <v>0</v>
      </c>
      <c r="CD96" s="42">
        <f ca="1">IF(OR($I$10="",$O96="",$P96="",$J$38&lt;&gt;"Yes"),0,IF($K$10=0,SUMIFS(INDIRECT(ADDRESS(12,3+18*0+(3),,,"J1 D - South Bank Avenue")&amp;":"&amp;ADDRESS(130,3+18*0+(3))),'J1 D - South Bank Avenue'!$A$12:$A$130,"&gt;="&amp;Diagram!$O96,'J1 D - South Bank Avenue'!$A$12:$A$130,"&lt;"&amp;Diagram!$P96),SUMIFS(INDIRECT(ADDRESS(12,3+18*0+(11),,,"J1 D - South Bank Avenue")&amp;":"&amp;ADDRESS(130,3+18*0+(11))),'J1 D - South Bank Avenue'!$A$12:$A$130,"&gt;="&amp;Diagram!$O96,'J1 D - South Bank Avenue'!$A$12:$A$130,"&lt;"&amp;Diagram!$P96)))</f>
        <v>0</v>
      </c>
      <c r="CE96" s="42">
        <f ca="1">IF(OR($I$10="",$O96="",$P96="",$J$38&lt;&gt;"Yes"),0,IF($K$10=0,SUMIFS(INDIRECT(ADDRESS(12,3+18*1+(3),,,"J1 D - South Bank Avenue")&amp;":"&amp;ADDRESS(130,3+18*1+(3))),'J1 D - South Bank Avenue'!$A$12:$A$130,"&gt;="&amp;Diagram!$O96,'J1 D - South Bank Avenue'!$A$12:$A$130,"&lt;"&amp;Diagram!$P96),SUMIFS(INDIRECT(ADDRESS(12,3+18*1+(11),,,"J1 D - South Bank Avenue")&amp;":"&amp;ADDRESS(130,3+18*1+(11))),'J1 D - South Bank Avenue'!$A$12:$A$130,"&gt;="&amp;Diagram!$O96,'J1 D - South Bank Avenue'!$A$12:$A$130,"&lt;"&amp;Diagram!$P96)))</f>
        <v>0</v>
      </c>
      <c r="CF96" s="42">
        <f ca="1">IF(OR($I$10="",$O96="",$P96="",$J$38&lt;&gt;"Yes"),0,IF($K$10=0,SUMIFS(INDIRECT(ADDRESS(12,3+18*2+(3),,,"J1 D - South Bank Avenue")&amp;":"&amp;ADDRESS(130,3+18*2+(3))),'J1 D - South Bank Avenue'!$A$12:$A$130,"&gt;="&amp;Diagram!$O96,'J1 D - South Bank Avenue'!$A$12:$A$130,"&lt;"&amp;Diagram!$P96),SUMIFS(INDIRECT(ADDRESS(12,3+18*2+(11),,,"J1 D - South Bank Avenue")&amp;":"&amp;ADDRESS(130,3+18*2+(11))),'J1 D - South Bank Avenue'!$A$12:$A$130,"&gt;="&amp;Diagram!$O96,'J1 D - South Bank Avenue'!$A$12:$A$130,"&lt;"&amp;Diagram!$P96)))</f>
        <v>0</v>
      </c>
      <c r="CG96" s="42">
        <f ca="1">IF(OR($I$10="",$O96="",$P96="",$J$38&lt;&gt;"Yes"),0,IF($K$10=0,SUMIFS(INDIRECT(ADDRESS(12,3+18*3+(3),,,"J1 D - South Bank Avenue")&amp;":"&amp;ADDRESS(130,3+18*3+(3))),'J1 D - South Bank Avenue'!$A$12:$A$130,"&gt;="&amp;Diagram!$O96,'J1 D - South Bank Avenue'!$A$12:$A$130,"&lt;"&amp;Diagram!$P96),SUMIFS(INDIRECT(ADDRESS(12,3+18*3+(11),,,"J1 D - South Bank Avenue")&amp;":"&amp;ADDRESS(130,3+18*3+(11))),'J1 D - South Bank Avenue'!$A$12:$A$130,"&gt;="&amp;Diagram!$O96,'J1 D - South Bank Avenue'!$A$12:$A$130,"&lt;"&amp;Diagram!$P96)))</f>
        <v>0</v>
      </c>
      <c r="CH96" s="42">
        <f t="shared" ca="1" si="15"/>
        <v>1</v>
      </c>
      <c r="CI96" s="42">
        <f ca="1">IF(OR($I$10="",$O96="",$P96="",$J$39&lt;&gt;"Yes"),0,IF($K$10=0,SUMIFS(INDIRECT(ADDRESS(12,3+18*3+(4),,,"J1 A - (North) Bishopthorpe Roa")&amp;":"&amp;ADDRESS(130,3+18*3+(4))),'J1 A - (North) Bishopthorpe Roa'!$A$12:$A$130,"&gt;="&amp;Diagram!$O96,'J1 A - (North) Bishopthorpe Roa'!$A$12:$A$130,"&lt;"&amp;Diagram!$P96),SUMIFS(INDIRECT(ADDRESS(12,3+18*3+(12),,,"J1 A - (North) Bishopthorpe Roa")&amp;":"&amp;ADDRESS(130,3+18*3+(12))),'J1 A - (North) Bishopthorpe Roa'!$A$12:$A$130,"&gt;="&amp;Diagram!$O96,'J1 A - (North) Bishopthorpe Roa'!$A$12:$A$130,"&lt;"&amp;Diagram!$P96)))</f>
        <v>0</v>
      </c>
      <c r="CJ96" s="42">
        <f ca="1">IF(OR($I$10="",$O96="",$P96="",$J$39&lt;&gt;"Yes"),0,IF($K$10=0,SUMIFS(INDIRECT(ADDRESS(12,3+18*0+(4),,,"J1 A - (North) Bishopthorpe Roa")&amp;":"&amp;ADDRESS(130,3+18*0+(4))),'J1 A - (North) Bishopthorpe Roa'!$A$12:$A$130,"&gt;="&amp;Diagram!$O96,'J1 A - (North) Bishopthorpe Roa'!$A$12:$A$130,"&lt;"&amp;Diagram!$P96),SUMIFS(INDIRECT(ADDRESS(12,3+18*0+(12),,,"J1 A - (North) Bishopthorpe Roa")&amp;":"&amp;ADDRESS(130,3+18*0+(12))),'J1 A - (North) Bishopthorpe Roa'!$A$12:$A$130,"&gt;="&amp;Diagram!$O96,'J1 A - (North) Bishopthorpe Roa'!$A$12:$A$130,"&lt;"&amp;Diagram!$P96)))</f>
        <v>0</v>
      </c>
      <c r="CK96" s="42">
        <f ca="1">IF(OR($I$10="",$O96="",$P96="",$J$39&lt;&gt;"Yes"),0,IF($K$10=0,SUMIFS(INDIRECT(ADDRESS(12,3+18*1+(4),,,"J1 A - (North) Bishopthorpe Roa")&amp;":"&amp;ADDRESS(130,3+18*1+(4))),'J1 A - (North) Bishopthorpe Roa'!$A$12:$A$130,"&gt;="&amp;Diagram!$O96,'J1 A - (North) Bishopthorpe Roa'!$A$12:$A$130,"&lt;"&amp;Diagram!$P96),SUMIFS(INDIRECT(ADDRESS(12,3+18*1+(12),,,"J1 A - (North) Bishopthorpe Roa")&amp;":"&amp;ADDRESS(130,3+18*1+(12))),'J1 A - (North) Bishopthorpe Roa'!$A$12:$A$130,"&gt;="&amp;Diagram!$O96,'J1 A - (North) Bishopthorpe Roa'!$A$12:$A$130,"&lt;"&amp;Diagram!$P96)))</f>
        <v>0</v>
      </c>
      <c r="CL96" s="42">
        <f ca="1">IF(OR($I$10="",$O96="",$P96="",$J$39&lt;&gt;"Yes"),0,IF($K$10=0,SUMIFS(INDIRECT(ADDRESS(12,3+18*2+(4),,,"J1 A - (North) Bishopthorpe Roa")&amp;":"&amp;ADDRESS(130,3+18*2+(4))),'J1 A - (North) Bishopthorpe Roa'!$A$12:$A$130,"&gt;="&amp;Diagram!$O96,'J1 A - (North) Bishopthorpe Roa'!$A$12:$A$130,"&lt;"&amp;Diagram!$P96),SUMIFS(INDIRECT(ADDRESS(12,3+18*2+(12),,,"J1 A - (North) Bishopthorpe Roa")&amp;":"&amp;ADDRESS(130,3+18*2+(12))),'J1 A - (North) Bishopthorpe Roa'!$A$12:$A$130,"&gt;="&amp;Diagram!$O96,'J1 A - (North) Bishopthorpe Roa'!$A$12:$A$130,"&lt;"&amp;Diagram!$P96)))</f>
        <v>0</v>
      </c>
      <c r="CM96" s="42">
        <f ca="1">IF(OR($I$10="",$O96="",$P96="",$J$39&lt;&gt;"Yes"),0,IF($K$10=0,SUMIFS(INDIRECT(ADDRESS(12,3+18*2+(4),,,"J1 B - Butcher Terrace")&amp;":"&amp;ADDRESS(130,3+18*2+(4))),'J1 B - Butcher Terrace'!$A$12:$A$130,"&gt;="&amp;Diagram!$O96,'J1 B - Butcher Terrace'!$A$12:$A$130,"&lt;"&amp;Diagram!$P96),SUMIFS(INDIRECT(ADDRESS(12,3+18*2+(12),,,"J1 B - Butcher Terrace")&amp;":"&amp;ADDRESS(130,3+18*2+(12))),'J1 B - Butcher Terrace'!$A$12:$A$130,"&gt;="&amp;Diagram!$O96,'J1 B - Butcher Terrace'!$A$12:$A$130,"&lt;"&amp;Diagram!$P96)))</f>
        <v>0</v>
      </c>
      <c r="CN96" s="42">
        <f ca="1">IF(OR($I$10="",$O96="",$P96="",$J$39&lt;&gt;"Yes"),0,IF($K$10=0,SUMIFS(INDIRECT(ADDRESS(12,3+18*3+(4),,,"J1 B - Butcher Terrace")&amp;":"&amp;ADDRESS(130,3+18*3+(4))),'J1 B - Butcher Terrace'!$A$12:$A$130,"&gt;="&amp;Diagram!$O96,'J1 B - Butcher Terrace'!$A$12:$A$130,"&lt;"&amp;Diagram!$P96),SUMIFS(INDIRECT(ADDRESS(12,3+18*3+(12),,,"J1 B - Butcher Terrace")&amp;":"&amp;ADDRESS(130,3+18*3+(12))),'J1 B - Butcher Terrace'!$A$12:$A$130,"&gt;="&amp;Diagram!$O96,'J1 B - Butcher Terrace'!$A$12:$A$130,"&lt;"&amp;Diagram!$P96)))</f>
        <v>0</v>
      </c>
      <c r="CO96" s="42">
        <f ca="1">IF(OR($I$10="",$O96="",$P96="",$J$39&lt;&gt;"Yes"),0,IF($K$10=0,SUMIFS(INDIRECT(ADDRESS(12,3+18*0+(4),,,"J1 B - Butcher Terrace")&amp;":"&amp;ADDRESS(130,3+18*0+(4))),'J1 B - Butcher Terrace'!$A$12:$A$130,"&gt;="&amp;Diagram!$O96,'J1 B - Butcher Terrace'!$A$12:$A$130,"&lt;"&amp;Diagram!$P96),SUMIFS(INDIRECT(ADDRESS(12,3+18*0+(12),,,"J1 B - Butcher Terrace")&amp;":"&amp;ADDRESS(130,3+18*0+(12))),'J1 B - Butcher Terrace'!$A$12:$A$130,"&gt;="&amp;Diagram!$O96,'J1 B - Butcher Terrace'!$A$12:$A$130,"&lt;"&amp;Diagram!$P96)))</f>
        <v>0</v>
      </c>
      <c r="CP96" s="42">
        <f ca="1">IF(OR($I$10="",$O96="",$P96="",$J$39&lt;&gt;"Yes"),0,IF($K$10=0,SUMIFS(INDIRECT(ADDRESS(12,3+18*1+(4),,,"J1 B - Butcher Terrace")&amp;":"&amp;ADDRESS(130,3+18*1+(4))),'J1 B - Butcher Terrace'!$A$12:$A$130,"&gt;="&amp;Diagram!$O96,'J1 B - Butcher Terrace'!$A$12:$A$130,"&lt;"&amp;Diagram!$P96),SUMIFS(INDIRECT(ADDRESS(12,3+18*1+(12),,,"J1 B - Butcher Terrace")&amp;":"&amp;ADDRESS(130,3+18*1+(12))),'J1 B - Butcher Terrace'!$A$12:$A$130,"&gt;="&amp;Diagram!$O96,'J1 B - Butcher Terrace'!$A$12:$A$130,"&lt;"&amp;Diagram!$P96)))</f>
        <v>0</v>
      </c>
      <c r="CQ96" s="42">
        <f ca="1">IF(OR($I$10="",$O96="",$P96="",$J$39&lt;&gt;"Yes"),0,IF($K$10=0,SUMIFS(INDIRECT(ADDRESS(12,3+18*1+(4),,,"J1 C - (South) Bishopthorpe Roa")&amp;":"&amp;ADDRESS(130,3+18*1+(4))),'J1 C - (South) Bishopthorpe Roa'!$A$12:$A$130,"&gt;="&amp;Diagram!$O96,'J1 C - (South) Bishopthorpe Roa'!$A$12:$A$130,"&lt;"&amp;Diagram!$P96),SUMIFS(INDIRECT(ADDRESS(12,3+18*1+(12),,,"J1 C - (South) Bishopthorpe Roa")&amp;":"&amp;ADDRESS(130,3+18*1+(12))),'J1 C - (South) Bishopthorpe Roa'!$A$12:$A$130,"&gt;="&amp;Diagram!$O96,'J1 C - (South) Bishopthorpe Roa'!$A$12:$A$130,"&lt;"&amp;Diagram!$P96)))</f>
        <v>1</v>
      </c>
      <c r="CR96" s="42">
        <f ca="1">IF(OR($I$10="",$O96="",$P96="",$J$39&lt;&gt;"Yes"),0,IF($K$10=0,SUMIFS(INDIRECT(ADDRESS(12,3+18*2+(4),,,"J1 C - (South) Bishopthorpe Roa")&amp;":"&amp;ADDRESS(130,3+18*2+(4))),'J1 C - (South) Bishopthorpe Roa'!$A$12:$A$130,"&gt;="&amp;Diagram!$O96,'J1 C - (South) Bishopthorpe Roa'!$A$12:$A$130,"&lt;"&amp;Diagram!$P96),SUMIFS(INDIRECT(ADDRESS(12,3+18*2+(12),,,"J1 C - (South) Bishopthorpe Roa")&amp;":"&amp;ADDRESS(130,3+18*2+(12))),'J1 C - (South) Bishopthorpe Roa'!$A$12:$A$130,"&gt;="&amp;Diagram!$O96,'J1 C - (South) Bishopthorpe Roa'!$A$12:$A$130,"&lt;"&amp;Diagram!$P96)))</f>
        <v>0</v>
      </c>
      <c r="CS96" s="42">
        <f ca="1">IF(OR($I$10="",$O96="",$P96="",$J$39&lt;&gt;"Yes"),0,IF($K$10=0,SUMIFS(INDIRECT(ADDRESS(12,3+18*3+(4),,,"J1 C - (South) Bishopthorpe Roa")&amp;":"&amp;ADDRESS(130,3+18*3+(4))),'J1 C - (South) Bishopthorpe Roa'!$A$12:$A$130,"&gt;="&amp;Diagram!$O96,'J1 C - (South) Bishopthorpe Roa'!$A$12:$A$130,"&lt;"&amp;Diagram!$P96),SUMIFS(INDIRECT(ADDRESS(12,3+18*3+(12),,,"J1 C - (South) Bishopthorpe Roa")&amp;":"&amp;ADDRESS(130,3+18*3+(12))),'J1 C - (South) Bishopthorpe Roa'!$A$12:$A$130,"&gt;="&amp;Diagram!$O96,'J1 C - (South) Bishopthorpe Roa'!$A$12:$A$130,"&lt;"&amp;Diagram!$P96)))</f>
        <v>0</v>
      </c>
      <c r="CT96" s="42">
        <f ca="1">IF(OR($I$10="",$O96="",$P96="",$J$39&lt;&gt;"Yes"),0,IF($K$10=0,SUMIFS(INDIRECT(ADDRESS(12,3+18*0+(4),,,"J1 C - (South) Bishopthorpe Roa")&amp;":"&amp;ADDRESS(130,3+18*0+(4))),'J1 C - (South) Bishopthorpe Roa'!$A$12:$A$130,"&gt;="&amp;Diagram!$O96,'J1 C - (South) Bishopthorpe Roa'!$A$12:$A$130,"&lt;"&amp;Diagram!$P96),SUMIFS(INDIRECT(ADDRESS(12,3+18*0+(12),,,"J1 C - (South) Bishopthorpe Roa")&amp;":"&amp;ADDRESS(130,3+18*0+(12))),'J1 C - (South) Bishopthorpe Roa'!$A$12:$A$130,"&gt;="&amp;Diagram!$O96,'J1 C - (South) Bishopthorpe Roa'!$A$12:$A$130,"&lt;"&amp;Diagram!$P96)))</f>
        <v>0</v>
      </c>
      <c r="CU96" s="42">
        <f ca="1">IF(OR($I$10="",$O96="",$P96="",$J$39&lt;&gt;"Yes"),0,IF($K$10=0,SUMIFS(INDIRECT(ADDRESS(12,3+18*0+(4),,,"J1 D - South Bank Avenue")&amp;":"&amp;ADDRESS(130,3+18*0+(4))),'J1 D - South Bank Avenue'!$A$12:$A$130,"&gt;="&amp;Diagram!$O96,'J1 D - South Bank Avenue'!$A$12:$A$130,"&lt;"&amp;Diagram!$P96),SUMIFS(INDIRECT(ADDRESS(12,3+18*0+(12),,,"J1 D - South Bank Avenue")&amp;":"&amp;ADDRESS(130,3+18*0+(12))),'J1 D - South Bank Avenue'!$A$12:$A$130,"&gt;="&amp;Diagram!$O96,'J1 D - South Bank Avenue'!$A$12:$A$130,"&lt;"&amp;Diagram!$P96)))</f>
        <v>0</v>
      </c>
      <c r="CV96" s="42">
        <f ca="1">IF(OR($I$10="",$O96="",$P96="",$J$39&lt;&gt;"Yes"),0,IF($K$10=0,SUMIFS(INDIRECT(ADDRESS(12,3+18*1+(4),,,"J1 D - South Bank Avenue")&amp;":"&amp;ADDRESS(130,3+18*1+(4))),'J1 D - South Bank Avenue'!$A$12:$A$130,"&gt;="&amp;Diagram!$O96,'J1 D - South Bank Avenue'!$A$12:$A$130,"&lt;"&amp;Diagram!$P96),SUMIFS(INDIRECT(ADDRESS(12,3+18*1+(12),,,"J1 D - South Bank Avenue")&amp;":"&amp;ADDRESS(130,3+18*1+(12))),'J1 D - South Bank Avenue'!$A$12:$A$130,"&gt;="&amp;Diagram!$O96,'J1 D - South Bank Avenue'!$A$12:$A$130,"&lt;"&amp;Diagram!$P96)))</f>
        <v>0</v>
      </c>
      <c r="CW96" s="42">
        <f ca="1">IF(OR($I$10="",$O96="",$P96="",$J$39&lt;&gt;"Yes"),0,IF($K$10=0,SUMIFS(INDIRECT(ADDRESS(12,3+18*2+(4),,,"J1 D - South Bank Avenue")&amp;":"&amp;ADDRESS(130,3+18*2+(4))),'J1 D - South Bank Avenue'!$A$12:$A$130,"&gt;="&amp;Diagram!$O96,'J1 D - South Bank Avenue'!$A$12:$A$130,"&lt;"&amp;Diagram!$P96),SUMIFS(INDIRECT(ADDRESS(12,3+18*2+(12),,,"J1 D - South Bank Avenue")&amp;":"&amp;ADDRESS(130,3+18*2+(12))),'J1 D - South Bank Avenue'!$A$12:$A$130,"&gt;="&amp;Diagram!$O96,'J1 D - South Bank Avenue'!$A$12:$A$130,"&lt;"&amp;Diagram!$P96)))</f>
        <v>0</v>
      </c>
      <c r="CX96" s="42">
        <f ca="1">IF(OR($I$10="",$O96="",$P96="",$J$39&lt;&gt;"Yes"),0,IF($K$10=0,SUMIFS(INDIRECT(ADDRESS(12,3+18*3+(4),,,"J1 D - South Bank Avenue")&amp;":"&amp;ADDRESS(130,3+18*3+(4))),'J1 D - South Bank Avenue'!$A$12:$A$130,"&gt;="&amp;Diagram!$O96,'J1 D - South Bank Avenue'!$A$12:$A$130,"&lt;"&amp;Diagram!$P96),SUMIFS(INDIRECT(ADDRESS(12,3+18*3+(12),,,"J1 D - South Bank Avenue")&amp;":"&amp;ADDRESS(130,3+18*3+(12))),'J1 D - South Bank Avenue'!$A$12:$A$130,"&gt;="&amp;Diagram!$O96,'J1 D - South Bank Avenue'!$A$12:$A$130,"&lt;"&amp;Diagram!$P96)))</f>
        <v>0</v>
      </c>
      <c r="CY96" s="42">
        <f t="shared" ca="1" si="16"/>
        <v>7</v>
      </c>
      <c r="CZ96" s="42">
        <f ca="1">IF(OR($I$10="",$O96="",$P96="",$J$40&lt;&gt;"Yes"),0,IF($K$10=0,SUMIFS(INDIRECT(ADDRESS(12,3+18*3+(5),,,"J1 A - (North) Bishopthorpe Roa")&amp;":"&amp;ADDRESS(130,3+18*3+(5))),'J1 A - (North) Bishopthorpe Roa'!$A$12:$A$130,"&gt;="&amp;Diagram!$O96,'J1 A - (North) Bishopthorpe Roa'!$A$12:$A$130,"&lt;"&amp;Diagram!$P96),SUMIFS(INDIRECT(ADDRESS(12,3+18*3+(13),,,"J1 A - (North) Bishopthorpe Roa")&amp;":"&amp;ADDRESS(130,3+18*3+(13))),'J1 A - (North) Bishopthorpe Roa'!$A$12:$A$130,"&gt;="&amp;Diagram!$O96,'J1 A - (North) Bishopthorpe Roa'!$A$12:$A$130,"&lt;"&amp;Diagram!$P96)))</f>
        <v>0</v>
      </c>
      <c r="DA96" s="42">
        <f ca="1">IF(OR($I$10="",$O96="",$P96="",$J$40&lt;&gt;"Yes"),0,IF($K$10=0,SUMIFS(INDIRECT(ADDRESS(12,3+18*0+(5),,,"J1 A - (North) Bishopthorpe Roa")&amp;":"&amp;ADDRESS(130,3+18*0+(5))),'J1 A - (North) Bishopthorpe Roa'!$A$12:$A$130,"&gt;="&amp;Diagram!$O96,'J1 A - (North) Bishopthorpe Roa'!$A$12:$A$130,"&lt;"&amp;Diagram!$P96),SUMIFS(INDIRECT(ADDRESS(12,3+18*0+(13),,,"J1 A - (North) Bishopthorpe Roa")&amp;":"&amp;ADDRESS(130,3+18*0+(13))),'J1 A - (North) Bishopthorpe Roa'!$A$12:$A$130,"&gt;="&amp;Diagram!$O96,'J1 A - (North) Bishopthorpe Roa'!$A$12:$A$130,"&lt;"&amp;Diagram!$P96)))</f>
        <v>1</v>
      </c>
      <c r="DB96" s="42">
        <f ca="1">IF(OR($I$10="",$O96="",$P96="",$J$40&lt;&gt;"Yes"),0,IF($K$10=0,SUMIFS(INDIRECT(ADDRESS(12,3+18*1+(5),,,"J1 A - (North) Bishopthorpe Roa")&amp;":"&amp;ADDRESS(130,3+18*1+(5))),'J1 A - (North) Bishopthorpe Roa'!$A$12:$A$130,"&gt;="&amp;Diagram!$O96,'J1 A - (North) Bishopthorpe Roa'!$A$12:$A$130,"&lt;"&amp;Diagram!$P96),SUMIFS(INDIRECT(ADDRESS(12,3+18*1+(13),,,"J1 A - (North) Bishopthorpe Roa")&amp;":"&amp;ADDRESS(130,3+18*1+(13))),'J1 A - (North) Bishopthorpe Roa'!$A$12:$A$130,"&gt;="&amp;Diagram!$O96,'J1 A - (North) Bishopthorpe Roa'!$A$12:$A$130,"&lt;"&amp;Diagram!$P96)))</f>
        <v>2</v>
      </c>
      <c r="DC96" s="42">
        <f ca="1">IF(OR($I$10="",$O96="",$P96="",$J$40&lt;&gt;"Yes"),0,IF($K$10=0,SUMIFS(INDIRECT(ADDRESS(12,3+18*2+(5),,,"J1 A - (North) Bishopthorpe Roa")&amp;":"&amp;ADDRESS(130,3+18*2+(5))),'J1 A - (North) Bishopthorpe Roa'!$A$12:$A$130,"&gt;="&amp;Diagram!$O96,'J1 A - (North) Bishopthorpe Roa'!$A$12:$A$130,"&lt;"&amp;Diagram!$P96),SUMIFS(INDIRECT(ADDRESS(12,3+18*2+(13),,,"J1 A - (North) Bishopthorpe Roa")&amp;":"&amp;ADDRESS(130,3+18*2+(13))),'J1 A - (North) Bishopthorpe Roa'!$A$12:$A$130,"&gt;="&amp;Diagram!$O96,'J1 A - (North) Bishopthorpe Roa'!$A$12:$A$130,"&lt;"&amp;Diagram!$P96)))</f>
        <v>0</v>
      </c>
      <c r="DD96" s="42">
        <f ca="1">IF(OR($I$10="",$O96="",$P96="",$J$40&lt;&gt;"Yes"),0,IF($K$10=0,SUMIFS(INDIRECT(ADDRESS(12,3+18*2+(5),,,"J1 B - Butcher Terrace")&amp;":"&amp;ADDRESS(130,3+18*2+(5))),'J1 B - Butcher Terrace'!$A$12:$A$130,"&gt;="&amp;Diagram!$O96,'J1 B - Butcher Terrace'!$A$12:$A$130,"&lt;"&amp;Diagram!$P96),SUMIFS(INDIRECT(ADDRESS(12,3+18*2+(13),,,"J1 B - Butcher Terrace")&amp;":"&amp;ADDRESS(130,3+18*2+(13))),'J1 B - Butcher Terrace'!$A$12:$A$130,"&gt;="&amp;Diagram!$O96,'J1 B - Butcher Terrace'!$A$12:$A$130,"&lt;"&amp;Diagram!$P96)))</f>
        <v>0</v>
      </c>
      <c r="DE96" s="42">
        <f ca="1">IF(OR($I$10="",$O96="",$P96="",$J$40&lt;&gt;"Yes"),0,IF($K$10=0,SUMIFS(INDIRECT(ADDRESS(12,3+18*3+(5),,,"J1 B - Butcher Terrace")&amp;":"&amp;ADDRESS(130,3+18*3+(5))),'J1 B - Butcher Terrace'!$A$12:$A$130,"&gt;="&amp;Diagram!$O96,'J1 B - Butcher Terrace'!$A$12:$A$130,"&lt;"&amp;Diagram!$P96),SUMIFS(INDIRECT(ADDRESS(12,3+18*3+(13),,,"J1 B - Butcher Terrace")&amp;":"&amp;ADDRESS(130,3+18*3+(13))),'J1 B - Butcher Terrace'!$A$12:$A$130,"&gt;="&amp;Diagram!$O96,'J1 B - Butcher Terrace'!$A$12:$A$130,"&lt;"&amp;Diagram!$P96)))</f>
        <v>0</v>
      </c>
      <c r="DF96" s="42">
        <f ca="1">IF(OR($I$10="",$O96="",$P96="",$J$40&lt;&gt;"Yes"),0,IF($K$10=0,SUMIFS(INDIRECT(ADDRESS(12,3+18*0+(5),,,"J1 B - Butcher Terrace")&amp;":"&amp;ADDRESS(130,3+18*0+(5))),'J1 B - Butcher Terrace'!$A$12:$A$130,"&gt;="&amp;Diagram!$O96,'J1 B - Butcher Terrace'!$A$12:$A$130,"&lt;"&amp;Diagram!$P96),SUMIFS(INDIRECT(ADDRESS(12,3+18*0+(13),,,"J1 B - Butcher Terrace")&amp;":"&amp;ADDRESS(130,3+18*0+(13))),'J1 B - Butcher Terrace'!$A$12:$A$130,"&gt;="&amp;Diagram!$O96,'J1 B - Butcher Terrace'!$A$12:$A$130,"&lt;"&amp;Diagram!$P96)))</f>
        <v>0</v>
      </c>
      <c r="DG96" s="42">
        <f ca="1">IF(OR($I$10="",$O96="",$P96="",$J$40&lt;&gt;"Yes"),0,IF($K$10=0,SUMIFS(INDIRECT(ADDRESS(12,3+18*1+(5),,,"J1 B - Butcher Terrace")&amp;":"&amp;ADDRESS(130,3+18*1+(5))),'J1 B - Butcher Terrace'!$A$12:$A$130,"&gt;="&amp;Diagram!$O96,'J1 B - Butcher Terrace'!$A$12:$A$130,"&lt;"&amp;Diagram!$P96),SUMIFS(INDIRECT(ADDRESS(12,3+18*1+(13),,,"J1 B - Butcher Terrace")&amp;":"&amp;ADDRESS(130,3+18*1+(13))),'J1 B - Butcher Terrace'!$A$12:$A$130,"&gt;="&amp;Diagram!$O96,'J1 B - Butcher Terrace'!$A$12:$A$130,"&lt;"&amp;Diagram!$P96)))</f>
        <v>2</v>
      </c>
      <c r="DH96" s="42">
        <f ca="1">IF(OR($I$10="",$O96="",$P96="",$J$40&lt;&gt;"Yes"),0,IF($K$10=0,SUMIFS(INDIRECT(ADDRESS(12,3+18*1+(5),,,"J1 C - (South) Bishopthorpe Roa")&amp;":"&amp;ADDRESS(130,3+18*1+(5))),'J1 C - (South) Bishopthorpe Roa'!$A$12:$A$130,"&gt;="&amp;Diagram!$O96,'J1 C - (South) Bishopthorpe Roa'!$A$12:$A$130,"&lt;"&amp;Diagram!$P96),SUMIFS(INDIRECT(ADDRESS(12,3+18*1+(13),,,"J1 C - (South) Bishopthorpe Roa")&amp;":"&amp;ADDRESS(130,3+18*1+(13))),'J1 C - (South) Bishopthorpe Roa'!$A$12:$A$130,"&gt;="&amp;Diagram!$O96,'J1 C - (South) Bishopthorpe Roa'!$A$12:$A$130,"&lt;"&amp;Diagram!$P96)))</f>
        <v>0</v>
      </c>
      <c r="DI96" s="42">
        <f ca="1">IF(OR($I$10="",$O96="",$P96="",$J$40&lt;&gt;"Yes"),0,IF($K$10=0,SUMIFS(INDIRECT(ADDRESS(12,3+18*2+(5),,,"J1 C - (South) Bishopthorpe Roa")&amp;":"&amp;ADDRESS(130,3+18*2+(5))),'J1 C - (South) Bishopthorpe Roa'!$A$12:$A$130,"&gt;="&amp;Diagram!$O96,'J1 C - (South) Bishopthorpe Roa'!$A$12:$A$130,"&lt;"&amp;Diagram!$P96),SUMIFS(INDIRECT(ADDRESS(12,3+18*2+(13),,,"J1 C - (South) Bishopthorpe Roa")&amp;":"&amp;ADDRESS(130,3+18*2+(13))),'J1 C - (South) Bishopthorpe Roa'!$A$12:$A$130,"&gt;="&amp;Diagram!$O96,'J1 C - (South) Bishopthorpe Roa'!$A$12:$A$130,"&lt;"&amp;Diagram!$P96)))</f>
        <v>0</v>
      </c>
      <c r="DJ96" s="42">
        <f ca="1">IF(OR($I$10="",$O96="",$P96="",$J$40&lt;&gt;"Yes"),0,IF($K$10=0,SUMIFS(INDIRECT(ADDRESS(12,3+18*3+(5),,,"J1 C - (South) Bishopthorpe Roa")&amp;":"&amp;ADDRESS(130,3+18*3+(5))),'J1 C - (South) Bishopthorpe Roa'!$A$12:$A$130,"&gt;="&amp;Diagram!$O96,'J1 C - (South) Bishopthorpe Roa'!$A$12:$A$130,"&lt;"&amp;Diagram!$P96),SUMIFS(INDIRECT(ADDRESS(12,3+18*3+(13),,,"J1 C - (South) Bishopthorpe Roa")&amp;":"&amp;ADDRESS(130,3+18*3+(13))),'J1 C - (South) Bishopthorpe Roa'!$A$12:$A$130,"&gt;="&amp;Diagram!$O96,'J1 C - (South) Bishopthorpe Roa'!$A$12:$A$130,"&lt;"&amp;Diagram!$P96)))</f>
        <v>0</v>
      </c>
      <c r="DK96" s="42">
        <f ca="1">IF(OR($I$10="",$O96="",$P96="",$J$40&lt;&gt;"Yes"),0,IF($K$10=0,SUMIFS(INDIRECT(ADDRESS(12,3+18*0+(5),,,"J1 C - (South) Bishopthorpe Roa")&amp;":"&amp;ADDRESS(130,3+18*0+(5))),'J1 C - (South) Bishopthorpe Roa'!$A$12:$A$130,"&gt;="&amp;Diagram!$O96,'J1 C - (South) Bishopthorpe Roa'!$A$12:$A$130,"&lt;"&amp;Diagram!$P96),SUMIFS(INDIRECT(ADDRESS(12,3+18*0+(13),,,"J1 C - (South) Bishopthorpe Roa")&amp;":"&amp;ADDRESS(130,3+18*0+(13))),'J1 C - (South) Bishopthorpe Roa'!$A$12:$A$130,"&gt;="&amp;Diagram!$O96,'J1 C - (South) Bishopthorpe Roa'!$A$12:$A$130,"&lt;"&amp;Diagram!$P96)))</f>
        <v>0</v>
      </c>
      <c r="DL96" s="42">
        <f ca="1">IF(OR($I$10="",$O96="",$P96="",$J$40&lt;&gt;"Yes"),0,IF($K$10=0,SUMIFS(INDIRECT(ADDRESS(12,3+18*0+(5),,,"J1 D - South Bank Avenue")&amp;":"&amp;ADDRESS(130,3+18*0+(5))),'J1 D - South Bank Avenue'!$A$12:$A$130,"&gt;="&amp;Diagram!$O96,'J1 D - South Bank Avenue'!$A$12:$A$130,"&lt;"&amp;Diagram!$P96),SUMIFS(INDIRECT(ADDRESS(12,3+18*0+(13),,,"J1 D - South Bank Avenue")&amp;":"&amp;ADDRESS(130,3+18*0+(13))),'J1 D - South Bank Avenue'!$A$12:$A$130,"&gt;="&amp;Diagram!$O96,'J1 D - South Bank Avenue'!$A$12:$A$130,"&lt;"&amp;Diagram!$P96)))</f>
        <v>0</v>
      </c>
      <c r="DM96" s="42">
        <f ca="1">IF(OR($I$10="",$O96="",$P96="",$J$40&lt;&gt;"Yes"),0,IF($K$10=0,SUMIFS(INDIRECT(ADDRESS(12,3+18*1+(5),,,"J1 D - South Bank Avenue")&amp;":"&amp;ADDRESS(130,3+18*1+(5))),'J1 D - South Bank Avenue'!$A$12:$A$130,"&gt;="&amp;Diagram!$O96,'J1 D - South Bank Avenue'!$A$12:$A$130,"&lt;"&amp;Diagram!$P96),SUMIFS(INDIRECT(ADDRESS(12,3+18*1+(13),,,"J1 D - South Bank Avenue")&amp;":"&amp;ADDRESS(130,3+18*1+(13))),'J1 D - South Bank Avenue'!$A$12:$A$130,"&gt;="&amp;Diagram!$O96,'J1 D - South Bank Avenue'!$A$12:$A$130,"&lt;"&amp;Diagram!$P96)))</f>
        <v>2</v>
      </c>
      <c r="DN96" s="42">
        <f ca="1">IF(OR($I$10="",$O96="",$P96="",$J$40&lt;&gt;"Yes"),0,IF($K$10=0,SUMIFS(INDIRECT(ADDRESS(12,3+18*2+(5),,,"J1 D - South Bank Avenue")&amp;":"&amp;ADDRESS(130,3+18*2+(5))),'J1 D - South Bank Avenue'!$A$12:$A$130,"&gt;="&amp;Diagram!$O96,'J1 D - South Bank Avenue'!$A$12:$A$130,"&lt;"&amp;Diagram!$P96),SUMIFS(INDIRECT(ADDRESS(12,3+18*2+(13),,,"J1 D - South Bank Avenue")&amp;":"&amp;ADDRESS(130,3+18*2+(13))),'J1 D - South Bank Avenue'!$A$12:$A$130,"&gt;="&amp;Diagram!$O96,'J1 D - South Bank Avenue'!$A$12:$A$130,"&lt;"&amp;Diagram!$P96)))</f>
        <v>0</v>
      </c>
      <c r="DO96" s="42">
        <f ca="1">IF(OR($I$10="",$O96="",$P96="",$J$40&lt;&gt;"Yes"),0,IF($K$10=0,SUMIFS(INDIRECT(ADDRESS(12,3+18*3+(5),,,"J1 D - South Bank Avenue")&amp;":"&amp;ADDRESS(130,3+18*3+(5))),'J1 D - South Bank Avenue'!$A$12:$A$130,"&gt;="&amp;Diagram!$O96,'J1 D - South Bank Avenue'!$A$12:$A$130,"&lt;"&amp;Diagram!$P96),SUMIFS(INDIRECT(ADDRESS(12,3+18*3+(13),,,"J1 D - South Bank Avenue")&amp;":"&amp;ADDRESS(130,3+18*3+(13))),'J1 D - South Bank Avenue'!$A$12:$A$130,"&gt;="&amp;Diagram!$O96,'J1 D - South Bank Avenue'!$A$12:$A$130,"&lt;"&amp;Diagram!$P96)))</f>
        <v>0</v>
      </c>
      <c r="DP96" s="42">
        <f t="shared" ca="1" si="17"/>
        <v>0</v>
      </c>
      <c r="DQ96" s="42">
        <f ca="1">IF(OR($I$10="",$O96="",$P96="",$J$41&lt;&gt;"Yes"),0,IF($K$10=0,SUMIFS(INDIRECT(ADDRESS(12,3+18*3+(6),,,"J1 A - (North) Bishopthorpe Roa")&amp;":"&amp;ADDRESS(130,3+18*3+(6))),'J1 A - (North) Bishopthorpe Roa'!$A$12:$A$130,"&gt;="&amp;Diagram!$O96,'J1 A - (North) Bishopthorpe Roa'!$A$12:$A$130,"&lt;"&amp;Diagram!$P96),SUMIFS(INDIRECT(ADDRESS(12,3+18*3+(14),,,"J1 A - (North) Bishopthorpe Roa")&amp;":"&amp;ADDRESS(130,3+18*3+(14))),'J1 A - (North) Bishopthorpe Roa'!$A$12:$A$130,"&gt;="&amp;Diagram!$O96,'J1 A - (North) Bishopthorpe Roa'!$A$12:$A$130,"&lt;"&amp;Diagram!$P96)))</f>
        <v>0</v>
      </c>
      <c r="DR96" s="42">
        <f ca="1">IF(OR($I$10="",$O96="",$P96="",$J$41&lt;&gt;"Yes"),0,IF($K$10=0,SUMIFS(INDIRECT(ADDRESS(12,3+18*0+(6),,,"J1 A - (North) Bishopthorpe Roa")&amp;":"&amp;ADDRESS(130,3+18*0+(6))),'J1 A - (North) Bishopthorpe Roa'!$A$12:$A$130,"&gt;="&amp;Diagram!$O96,'J1 A - (North) Bishopthorpe Roa'!$A$12:$A$130,"&lt;"&amp;Diagram!$P96),SUMIFS(INDIRECT(ADDRESS(12,3+18*0+(14),,,"J1 A - (North) Bishopthorpe Roa")&amp;":"&amp;ADDRESS(130,3+18*0+(14))),'J1 A - (North) Bishopthorpe Roa'!$A$12:$A$130,"&gt;="&amp;Diagram!$O96,'J1 A - (North) Bishopthorpe Roa'!$A$12:$A$130,"&lt;"&amp;Diagram!$P96)))</f>
        <v>0</v>
      </c>
      <c r="DS96" s="42">
        <f ca="1">IF(OR($I$10="",$O96="",$P96="",$J$41&lt;&gt;"Yes"),0,IF($K$10=0,SUMIFS(INDIRECT(ADDRESS(12,3+18*1+(6),,,"J1 A - (North) Bishopthorpe Roa")&amp;":"&amp;ADDRESS(130,3+18*1+(6))),'J1 A - (North) Bishopthorpe Roa'!$A$12:$A$130,"&gt;="&amp;Diagram!$O96,'J1 A - (North) Bishopthorpe Roa'!$A$12:$A$130,"&lt;"&amp;Diagram!$P96),SUMIFS(INDIRECT(ADDRESS(12,3+18*1+(14),,,"J1 A - (North) Bishopthorpe Roa")&amp;":"&amp;ADDRESS(130,3+18*1+(14))),'J1 A - (North) Bishopthorpe Roa'!$A$12:$A$130,"&gt;="&amp;Diagram!$O96,'J1 A - (North) Bishopthorpe Roa'!$A$12:$A$130,"&lt;"&amp;Diagram!$P96)))</f>
        <v>0</v>
      </c>
      <c r="DT96" s="42">
        <f ca="1">IF(OR($I$10="",$O96="",$P96="",$J$41&lt;&gt;"Yes"),0,IF($K$10=0,SUMIFS(INDIRECT(ADDRESS(12,3+18*2+(6),,,"J1 A - (North) Bishopthorpe Roa")&amp;":"&amp;ADDRESS(130,3+18*2+(6))),'J1 A - (North) Bishopthorpe Roa'!$A$12:$A$130,"&gt;="&amp;Diagram!$O96,'J1 A - (North) Bishopthorpe Roa'!$A$12:$A$130,"&lt;"&amp;Diagram!$P96),SUMIFS(INDIRECT(ADDRESS(12,3+18*2+(14),,,"J1 A - (North) Bishopthorpe Roa")&amp;":"&amp;ADDRESS(130,3+18*2+(14))),'J1 A - (North) Bishopthorpe Roa'!$A$12:$A$130,"&gt;="&amp;Diagram!$O96,'J1 A - (North) Bishopthorpe Roa'!$A$12:$A$130,"&lt;"&amp;Diagram!$P96)))</f>
        <v>0</v>
      </c>
      <c r="DU96" s="42">
        <f ca="1">IF(OR($I$10="",$O96="",$P96="",$J$41&lt;&gt;"Yes"),0,IF($K$10=0,SUMIFS(INDIRECT(ADDRESS(12,3+18*2+(6),,,"J1 B - Butcher Terrace")&amp;":"&amp;ADDRESS(130,3+18*2+(6))),'J1 B - Butcher Terrace'!$A$12:$A$130,"&gt;="&amp;Diagram!$O96,'J1 B - Butcher Terrace'!$A$12:$A$130,"&lt;"&amp;Diagram!$P96),SUMIFS(INDIRECT(ADDRESS(12,3+18*2+(14),,,"J1 B - Butcher Terrace")&amp;":"&amp;ADDRESS(130,3+18*2+(14))),'J1 B - Butcher Terrace'!$A$12:$A$130,"&gt;="&amp;Diagram!$O96,'J1 B - Butcher Terrace'!$A$12:$A$130,"&lt;"&amp;Diagram!$P96)))</f>
        <v>0</v>
      </c>
      <c r="DV96" s="42">
        <f ca="1">IF(OR($I$10="",$O96="",$P96="",$J$41&lt;&gt;"Yes"),0,IF($K$10=0,SUMIFS(INDIRECT(ADDRESS(12,3+18*3+(6),,,"J1 B - Butcher Terrace")&amp;":"&amp;ADDRESS(130,3+18*3+(6))),'J1 B - Butcher Terrace'!$A$12:$A$130,"&gt;="&amp;Diagram!$O96,'J1 B - Butcher Terrace'!$A$12:$A$130,"&lt;"&amp;Diagram!$P96),SUMIFS(INDIRECT(ADDRESS(12,3+18*3+(14),,,"J1 B - Butcher Terrace")&amp;":"&amp;ADDRESS(130,3+18*3+(14))),'J1 B - Butcher Terrace'!$A$12:$A$130,"&gt;="&amp;Diagram!$O96,'J1 B - Butcher Terrace'!$A$12:$A$130,"&lt;"&amp;Diagram!$P96)))</f>
        <v>0</v>
      </c>
      <c r="DW96" s="42">
        <f ca="1">IF(OR($I$10="",$O96="",$P96="",$J$41&lt;&gt;"Yes"),0,IF($K$10=0,SUMIFS(INDIRECT(ADDRESS(12,3+18*0+(6),,,"J1 B - Butcher Terrace")&amp;":"&amp;ADDRESS(130,3+18*0+(6))),'J1 B - Butcher Terrace'!$A$12:$A$130,"&gt;="&amp;Diagram!$O96,'J1 B - Butcher Terrace'!$A$12:$A$130,"&lt;"&amp;Diagram!$P96),SUMIFS(INDIRECT(ADDRESS(12,3+18*0+(14),,,"J1 B - Butcher Terrace")&amp;":"&amp;ADDRESS(130,3+18*0+(14))),'J1 B - Butcher Terrace'!$A$12:$A$130,"&gt;="&amp;Diagram!$O96,'J1 B - Butcher Terrace'!$A$12:$A$130,"&lt;"&amp;Diagram!$P96)))</f>
        <v>0</v>
      </c>
      <c r="DX96" s="42">
        <f ca="1">IF(OR($I$10="",$O96="",$P96="",$J$41&lt;&gt;"Yes"),0,IF($K$10=0,SUMIFS(INDIRECT(ADDRESS(12,3+18*1+(6),,,"J1 B - Butcher Terrace")&amp;":"&amp;ADDRESS(130,3+18*1+(6))),'J1 B - Butcher Terrace'!$A$12:$A$130,"&gt;="&amp;Diagram!$O96,'J1 B - Butcher Terrace'!$A$12:$A$130,"&lt;"&amp;Diagram!$P96),SUMIFS(INDIRECT(ADDRESS(12,3+18*1+(14),,,"J1 B - Butcher Terrace")&amp;":"&amp;ADDRESS(130,3+18*1+(14))),'J1 B - Butcher Terrace'!$A$12:$A$130,"&gt;="&amp;Diagram!$O96,'J1 B - Butcher Terrace'!$A$12:$A$130,"&lt;"&amp;Diagram!$P96)))</f>
        <v>0</v>
      </c>
      <c r="DY96" s="42">
        <f ca="1">IF(OR($I$10="",$O96="",$P96="",$J$41&lt;&gt;"Yes"),0,IF($K$10=0,SUMIFS(INDIRECT(ADDRESS(12,3+18*1+(6),,,"J1 C - (South) Bishopthorpe Roa")&amp;":"&amp;ADDRESS(130,3+18*1+(6))),'J1 C - (South) Bishopthorpe Roa'!$A$12:$A$130,"&gt;="&amp;Diagram!$O96,'J1 C - (South) Bishopthorpe Roa'!$A$12:$A$130,"&lt;"&amp;Diagram!$P96),SUMIFS(INDIRECT(ADDRESS(12,3+18*1+(14),,,"J1 C - (South) Bishopthorpe Roa")&amp;":"&amp;ADDRESS(130,3+18*1+(14))),'J1 C - (South) Bishopthorpe Roa'!$A$12:$A$130,"&gt;="&amp;Diagram!$O96,'J1 C - (South) Bishopthorpe Roa'!$A$12:$A$130,"&lt;"&amp;Diagram!$P96)))</f>
        <v>0</v>
      </c>
      <c r="DZ96" s="42">
        <f ca="1">IF(OR($I$10="",$O96="",$P96="",$J$41&lt;&gt;"Yes"),0,IF($K$10=0,SUMIFS(INDIRECT(ADDRESS(12,3+18*2+(6),,,"J1 C - (South) Bishopthorpe Roa")&amp;":"&amp;ADDRESS(130,3+18*2+(6))),'J1 C - (South) Bishopthorpe Roa'!$A$12:$A$130,"&gt;="&amp;Diagram!$O96,'J1 C - (South) Bishopthorpe Roa'!$A$12:$A$130,"&lt;"&amp;Diagram!$P96),SUMIFS(INDIRECT(ADDRESS(12,3+18*2+(14),,,"J1 C - (South) Bishopthorpe Roa")&amp;":"&amp;ADDRESS(130,3+18*2+(14))),'J1 C - (South) Bishopthorpe Roa'!$A$12:$A$130,"&gt;="&amp;Diagram!$O96,'J1 C - (South) Bishopthorpe Roa'!$A$12:$A$130,"&lt;"&amp;Diagram!$P96)))</f>
        <v>0</v>
      </c>
      <c r="EA96" s="42">
        <f ca="1">IF(OR($I$10="",$O96="",$P96="",$J$41&lt;&gt;"Yes"),0,IF($K$10=0,SUMIFS(INDIRECT(ADDRESS(12,3+18*3+(6),,,"J1 C - (South) Bishopthorpe Roa")&amp;":"&amp;ADDRESS(130,3+18*3+(6))),'J1 C - (South) Bishopthorpe Roa'!$A$12:$A$130,"&gt;="&amp;Diagram!$O96,'J1 C - (South) Bishopthorpe Roa'!$A$12:$A$130,"&lt;"&amp;Diagram!$P96),SUMIFS(INDIRECT(ADDRESS(12,3+18*3+(14),,,"J1 C - (South) Bishopthorpe Roa")&amp;":"&amp;ADDRESS(130,3+18*3+(14))),'J1 C - (South) Bishopthorpe Roa'!$A$12:$A$130,"&gt;="&amp;Diagram!$O96,'J1 C - (South) Bishopthorpe Roa'!$A$12:$A$130,"&lt;"&amp;Diagram!$P96)))</f>
        <v>0</v>
      </c>
      <c r="EB96" s="42">
        <f ca="1">IF(OR($I$10="",$O96="",$P96="",$J$41&lt;&gt;"Yes"),0,IF($K$10=0,SUMIFS(INDIRECT(ADDRESS(12,3+18*0+(6),,,"J1 C - (South) Bishopthorpe Roa")&amp;":"&amp;ADDRESS(130,3+18*0+(6))),'J1 C - (South) Bishopthorpe Roa'!$A$12:$A$130,"&gt;="&amp;Diagram!$O96,'J1 C - (South) Bishopthorpe Roa'!$A$12:$A$130,"&lt;"&amp;Diagram!$P96),SUMIFS(INDIRECT(ADDRESS(12,3+18*0+(14),,,"J1 C - (South) Bishopthorpe Roa")&amp;":"&amp;ADDRESS(130,3+18*0+(14))),'J1 C - (South) Bishopthorpe Roa'!$A$12:$A$130,"&gt;="&amp;Diagram!$O96,'J1 C - (South) Bishopthorpe Roa'!$A$12:$A$130,"&lt;"&amp;Diagram!$P96)))</f>
        <v>0</v>
      </c>
      <c r="EC96" s="42">
        <f ca="1">IF(OR($I$10="",$O96="",$P96="",$J$41&lt;&gt;"Yes"),0,IF($K$10=0,SUMIFS(INDIRECT(ADDRESS(12,3+18*0+(6),,,"J1 D - South Bank Avenue")&amp;":"&amp;ADDRESS(130,3+18*0+(6))),'J1 D - South Bank Avenue'!$A$12:$A$130,"&gt;="&amp;Diagram!$O96,'J1 D - South Bank Avenue'!$A$12:$A$130,"&lt;"&amp;Diagram!$P96),SUMIFS(INDIRECT(ADDRESS(12,3+18*0+(14),,,"J1 D - South Bank Avenue")&amp;":"&amp;ADDRESS(130,3+18*0+(14))),'J1 D - South Bank Avenue'!$A$12:$A$130,"&gt;="&amp;Diagram!$O96,'J1 D - South Bank Avenue'!$A$12:$A$130,"&lt;"&amp;Diagram!$P96)))</f>
        <v>0</v>
      </c>
      <c r="ED96" s="42">
        <f ca="1">IF(OR($I$10="",$O96="",$P96="",$J$41&lt;&gt;"Yes"),0,IF($K$10=0,SUMIFS(INDIRECT(ADDRESS(12,3+18*1+(6),,,"J1 D - South Bank Avenue")&amp;":"&amp;ADDRESS(130,3+18*1+(6))),'J1 D - South Bank Avenue'!$A$12:$A$130,"&gt;="&amp;Diagram!$O96,'J1 D - South Bank Avenue'!$A$12:$A$130,"&lt;"&amp;Diagram!$P96),SUMIFS(INDIRECT(ADDRESS(12,3+18*1+(14),,,"J1 D - South Bank Avenue")&amp;":"&amp;ADDRESS(130,3+18*1+(14))),'J1 D - South Bank Avenue'!$A$12:$A$130,"&gt;="&amp;Diagram!$O96,'J1 D - South Bank Avenue'!$A$12:$A$130,"&lt;"&amp;Diagram!$P96)))</f>
        <v>0</v>
      </c>
      <c r="EE96" s="42">
        <f ca="1">IF(OR($I$10="",$O96="",$P96="",$J$41&lt;&gt;"Yes"),0,IF($K$10=0,SUMIFS(INDIRECT(ADDRESS(12,3+18*2+(6),,,"J1 D - South Bank Avenue")&amp;":"&amp;ADDRESS(130,3+18*2+(6))),'J1 D - South Bank Avenue'!$A$12:$A$130,"&gt;="&amp;Diagram!$O96,'J1 D - South Bank Avenue'!$A$12:$A$130,"&lt;"&amp;Diagram!$P96),SUMIFS(INDIRECT(ADDRESS(12,3+18*2+(14),,,"J1 D - South Bank Avenue")&amp;":"&amp;ADDRESS(130,3+18*2+(14))),'J1 D - South Bank Avenue'!$A$12:$A$130,"&gt;="&amp;Diagram!$O96,'J1 D - South Bank Avenue'!$A$12:$A$130,"&lt;"&amp;Diagram!$P96)))</f>
        <v>0</v>
      </c>
      <c r="EF96" s="42">
        <f ca="1">IF(OR($I$10="",$O96="",$P96="",$J$41&lt;&gt;"Yes"),0,IF($K$10=0,SUMIFS(INDIRECT(ADDRESS(12,3+18*3+(6),,,"J1 D - South Bank Avenue")&amp;":"&amp;ADDRESS(130,3+18*3+(6))),'J1 D - South Bank Avenue'!$A$12:$A$130,"&gt;="&amp;Diagram!$O96,'J1 D - South Bank Avenue'!$A$12:$A$130,"&lt;"&amp;Diagram!$P96),SUMIFS(INDIRECT(ADDRESS(12,3+18*3+(14),,,"J1 D - South Bank Avenue")&amp;":"&amp;ADDRESS(130,3+18*3+(14))),'J1 D - South Bank Avenue'!$A$12:$A$130,"&gt;="&amp;Diagram!$O96,'J1 D - South Bank Avenue'!$A$12:$A$130,"&lt;"&amp;Diagram!$P96)))</f>
        <v>0</v>
      </c>
      <c r="EG96" s="42">
        <f t="shared" ca="1" si="18"/>
        <v>0</v>
      </c>
      <c r="EH96" s="42">
        <f ca="1">IF(OR($I$10="",$O96="",$P96="",$J$42&lt;&gt;"Yes"),0,IF($K$10=0,SUMIFS(INDIRECT(ADDRESS(12,3+18*3+(7),,,"J1 A - (North) Bishopthorpe Roa")&amp;":"&amp;ADDRESS(130,3+18*3+(7))),'J1 A - (North) Bishopthorpe Roa'!$A$12:$A$130,"&gt;="&amp;Diagram!$O96,'J1 A - (North) Bishopthorpe Roa'!$A$12:$A$130,"&lt;"&amp;Diagram!$P96),SUMIFS(INDIRECT(ADDRESS(12,3+18*3+(15),,,"J1 A - (North) Bishopthorpe Roa")&amp;":"&amp;ADDRESS(130,3+18*3+(15))),'J1 A - (North) Bishopthorpe Roa'!$A$12:$A$130,"&gt;="&amp;Diagram!$O96,'J1 A - (North) Bishopthorpe Roa'!$A$12:$A$130,"&lt;"&amp;Diagram!$P96)))</f>
        <v>0</v>
      </c>
      <c r="EI96" s="42">
        <f ca="1">IF(OR($I$10="",$O96="",$P96="",$J$42&lt;&gt;"Yes"),0,IF($K$10=0,SUMIFS(INDIRECT(ADDRESS(12,3+18*0+(7),,,"J1 A - (North) Bishopthorpe Roa")&amp;":"&amp;ADDRESS(130,3+18*0+(7))),'J1 A - (North) Bishopthorpe Roa'!$A$12:$A$130,"&gt;="&amp;Diagram!$O96,'J1 A - (North) Bishopthorpe Roa'!$A$12:$A$130,"&lt;"&amp;Diagram!$P96),SUMIFS(INDIRECT(ADDRESS(12,3+18*0+(15),,,"J1 A - (North) Bishopthorpe Roa")&amp;":"&amp;ADDRESS(130,3+18*0+(15))),'J1 A - (North) Bishopthorpe Roa'!$A$12:$A$130,"&gt;="&amp;Diagram!$O96,'J1 A - (North) Bishopthorpe Roa'!$A$12:$A$130,"&lt;"&amp;Diagram!$P96)))</f>
        <v>0</v>
      </c>
      <c r="EJ96" s="42">
        <f ca="1">IF(OR($I$10="",$O96="",$P96="",$J$42&lt;&gt;"Yes"),0,IF($K$10=0,SUMIFS(INDIRECT(ADDRESS(12,3+18*1+(7),,,"J1 A - (North) Bishopthorpe Roa")&amp;":"&amp;ADDRESS(130,3+18*1+(7))),'J1 A - (North) Bishopthorpe Roa'!$A$12:$A$130,"&gt;="&amp;Diagram!$O96,'J1 A - (North) Bishopthorpe Roa'!$A$12:$A$130,"&lt;"&amp;Diagram!$P96),SUMIFS(INDIRECT(ADDRESS(12,3+18*1+(15),,,"J1 A - (North) Bishopthorpe Roa")&amp;":"&amp;ADDRESS(130,3+18*1+(15))),'J1 A - (North) Bishopthorpe Roa'!$A$12:$A$130,"&gt;="&amp;Diagram!$O96,'J1 A - (North) Bishopthorpe Roa'!$A$12:$A$130,"&lt;"&amp;Diagram!$P96)))</f>
        <v>0</v>
      </c>
      <c r="EK96" s="42">
        <f ca="1">IF(OR($I$10="",$O96="",$P96="",$J$42&lt;&gt;"Yes"),0,IF($K$10=0,SUMIFS(INDIRECT(ADDRESS(12,3+18*2+(7),,,"J1 A - (North) Bishopthorpe Roa")&amp;":"&amp;ADDRESS(130,3+18*2+(7))),'J1 A - (North) Bishopthorpe Roa'!$A$12:$A$130,"&gt;="&amp;Diagram!$O96,'J1 A - (North) Bishopthorpe Roa'!$A$12:$A$130,"&lt;"&amp;Diagram!$P96),SUMIFS(INDIRECT(ADDRESS(12,3+18*2+(15),,,"J1 A - (North) Bishopthorpe Roa")&amp;":"&amp;ADDRESS(130,3+18*2+(15))),'J1 A - (North) Bishopthorpe Roa'!$A$12:$A$130,"&gt;="&amp;Diagram!$O96,'J1 A - (North) Bishopthorpe Roa'!$A$12:$A$130,"&lt;"&amp;Diagram!$P96)))</f>
        <v>0</v>
      </c>
      <c r="EL96" s="42">
        <f ca="1">IF(OR($I$10="",$O96="",$P96="",$J$42&lt;&gt;"Yes"),0,IF($K$10=0,SUMIFS(INDIRECT(ADDRESS(12,3+18*2+(7),,,"J1 B - Butcher Terrace")&amp;":"&amp;ADDRESS(130,3+18*2+(7))),'J1 B - Butcher Terrace'!$A$12:$A$130,"&gt;="&amp;Diagram!$O96,'J1 B - Butcher Terrace'!$A$12:$A$130,"&lt;"&amp;Diagram!$P96),SUMIFS(INDIRECT(ADDRESS(12,3+18*2+(15),,,"J1 B - Butcher Terrace")&amp;":"&amp;ADDRESS(130,3+18*2+(15))),'J1 B - Butcher Terrace'!$A$12:$A$130,"&gt;="&amp;Diagram!$O96,'J1 B - Butcher Terrace'!$A$12:$A$130,"&lt;"&amp;Diagram!$P96)))</f>
        <v>0</v>
      </c>
      <c r="EM96" s="42">
        <f ca="1">IF(OR($I$10="",$O96="",$P96="",$J$42&lt;&gt;"Yes"),0,IF($K$10=0,SUMIFS(INDIRECT(ADDRESS(12,3+18*3+(7),,,"J1 B - Butcher Terrace")&amp;":"&amp;ADDRESS(130,3+18*3+(7))),'J1 B - Butcher Terrace'!$A$12:$A$130,"&gt;="&amp;Diagram!$O96,'J1 B - Butcher Terrace'!$A$12:$A$130,"&lt;"&amp;Diagram!$P96),SUMIFS(INDIRECT(ADDRESS(12,3+18*3+(15),,,"J1 B - Butcher Terrace")&amp;":"&amp;ADDRESS(130,3+18*3+(15))),'J1 B - Butcher Terrace'!$A$12:$A$130,"&gt;="&amp;Diagram!$O96,'J1 B - Butcher Terrace'!$A$12:$A$130,"&lt;"&amp;Diagram!$P96)))</f>
        <v>0</v>
      </c>
      <c r="EN96" s="42">
        <f ca="1">IF(OR($I$10="",$O96="",$P96="",$J$42&lt;&gt;"Yes"),0,IF($K$10=0,SUMIFS(INDIRECT(ADDRESS(12,3+18*0+(7),,,"J1 B - Butcher Terrace")&amp;":"&amp;ADDRESS(130,3+18*0+(7))),'J1 B - Butcher Terrace'!$A$12:$A$130,"&gt;="&amp;Diagram!$O96,'J1 B - Butcher Terrace'!$A$12:$A$130,"&lt;"&amp;Diagram!$P96),SUMIFS(INDIRECT(ADDRESS(12,3+18*0+(15),,,"J1 B - Butcher Terrace")&amp;":"&amp;ADDRESS(130,3+18*0+(15))),'J1 B - Butcher Terrace'!$A$12:$A$130,"&gt;="&amp;Diagram!$O96,'J1 B - Butcher Terrace'!$A$12:$A$130,"&lt;"&amp;Diagram!$P96)))</f>
        <v>0</v>
      </c>
      <c r="EO96" s="42">
        <f ca="1">IF(OR($I$10="",$O96="",$P96="",$J$42&lt;&gt;"Yes"),0,IF($K$10=0,SUMIFS(INDIRECT(ADDRESS(12,3+18*1+(7),,,"J1 B - Butcher Terrace")&amp;":"&amp;ADDRESS(130,3+18*1+(7))),'J1 B - Butcher Terrace'!$A$12:$A$130,"&gt;="&amp;Diagram!$O96,'J1 B - Butcher Terrace'!$A$12:$A$130,"&lt;"&amp;Diagram!$P96),SUMIFS(INDIRECT(ADDRESS(12,3+18*1+(15),,,"J1 B - Butcher Terrace")&amp;":"&amp;ADDRESS(130,3+18*1+(15))),'J1 B - Butcher Terrace'!$A$12:$A$130,"&gt;="&amp;Diagram!$O96,'J1 B - Butcher Terrace'!$A$12:$A$130,"&lt;"&amp;Diagram!$P96)))</f>
        <v>0</v>
      </c>
      <c r="EP96" s="42">
        <f ca="1">IF(OR($I$10="",$O96="",$P96="",$J$42&lt;&gt;"Yes"),0,IF($K$10=0,SUMIFS(INDIRECT(ADDRESS(12,3+18*1+(7),,,"J1 C - (South) Bishopthorpe Roa")&amp;":"&amp;ADDRESS(130,3+18*1+(7))),'J1 C - (South) Bishopthorpe Roa'!$A$12:$A$130,"&gt;="&amp;Diagram!$O96,'J1 C - (South) Bishopthorpe Roa'!$A$12:$A$130,"&lt;"&amp;Diagram!$P96),SUMIFS(INDIRECT(ADDRESS(12,3+18*1+(15),,,"J1 C - (South) Bishopthorpe Roa")&amp;":"&amp;ADDRESS(130,3+18*1+(15))),'J1 C - (South) Bishopthorpe Roa'!$A$12:$A$130,"&gt;="&amp;Diagram!$O96,'J1 C - (South) Bishopthorpe Roa'!$A$12:$A$130,"&lt;"&amp;Diagram!$P96)))</f>
        <v>0</v>
      </c>
      <c r="EQ96" s="42">
        <f ca="1">IF(OR($I$10="",$O96="",$P96="",$J$42&lt;&gt;"Yes"),0,IF($K$10=0,SUMIFS(INDIRECT(ADDRESS(12,3+18*2+(7),,,"J1 C - (South) Bishopthorpe Roa")&amp;":"&amp;ADDRESS(130,3+18*2+(7))),'J1 C - (South) Bishopthorpe Roa'!$A$12:$A$130,"&gt;="&amp;Diagram!$O96,'J1 C - (South) Bishopthorpe Roa'!$A$12:$A$130,"&lt;"&amp;Diagram!$P96),SUMIFS(INDIRECT(ADDRESS(12,3+18*2+(15),,,"J1 C - (South) Bishopthorpe Roa")&amp;":"&amp;ADDRESS(130,3+18*2+(15))),'J1 C - (South) Bishopthorpe Roa'!$A$12:$A$130,"&gt;="&amp;Diagram!$O96,'J1 C - (South) Bishopthorpe Roa'!$A$12:$A$130,"&lt;"&amp;Diagram!$P96)))</f>
        <v>0</v>
      </c>
      <c r="ER96" s="42">
        <f ca="1">IF(OR($I$10="",$O96="",$P96="",$J$42&lt;&gt;"Yes"),0,IF($K$10=0,SUMIFS(INDIRECT(ADDRESS(12,3+18*3+(7),,,"J1 C - (South) Bishopthorpe Roa")&amp;":"&amp;ADDRESS(130,3+18*3+(7))),'J1 C - (South) Bishopthorpe Roa'!$A$12:$A$130,"&gt;="&amp;Diagram!$O96,'J1 C - (South) Bishopthorpe Roa'!$A$12:$A$130,"&lt;"&amp;Diagram!$P96),SUMIFS(INDIRECT(ADDRESS(12,3+18*3+(15),,,"J1 C - (South) Bishopthorpe Roa")&amp;":"&amp;ADDRESS(130,3+18*3+(15))),'J1 C - (South) Bishopthorpe Roa'!$A$12:$A$130,"&gt;="&amp;Diagram!$O96,'J1 C - (South) Bishopthorpe Roa'!$A$12:$A$130,"&lt;"&amp;Diagram!$P96)))</f>
        <v>0</v>
      </c>
      <c r="ES96" s="42">
        <f ca="1">IF(OR($I$10="",$O96="",$P96="",$J$42&lt;&gt;"Yes"),0,IF($K$10=0,SUMIFS(INDIRECT(ADDRESS(12,3+18*0+(7),,,"J1 C - (South) Bishopthorpe Roa")&amp;":"&amp;ADDRESS(130,3+18*0+(7))),'J1 C - (South) Bishopthorpe Roa'!$A$12:$A$130,"&gt;="&amp;Diagram!$O96,'J1 C - (South) Bishopthorpe Roa'!$A$12:$A$130,"&lt;"&amp;Diagram!$P96),SUMIFS(INDIRECT(ADDRESS(12,3+18*0+(15),,,"J1 C - (South) Bishopthorpe Roa")&amp;":"&amp;ADDRESS(130,3+18*0+(15))),'J1 C - (South) Bishopthorpe Roa'!$A$12:$A$130,"&gt;="&amp;Diagram!$O96,'J1 C - (South) Bishopthorpe Roa'!$A$12:$A$130,"&lt;"&amp;Diagram!$P96)))</f>
        <v>0</v>
      </c>
      <c r="ET96" s="42">
        <f ca="1">IF(OR($I$10="",$O96="",$P96="",$J$42&lt;&gt;"Yes"),0,IF($K$10=0,SUMIFS(INDIRECT(ADDRESS(12,3+18*0+(7),,,"J1 D - South Bank Avenue")&amp;":"&amp;ADDRESS(130,3+18*0+(7))),'J1 D - South Bank Avenue'!$A$12:$A$130,"&gt;="&amp;Diagram!$O96,'J1 D - South Bank Avenue'!$A$12:$A$130,"&lt;"&amp;Diagram!$P96),SUMIFS(INDIRECT(ADDRESS(12,3+18*0+(15),,,"J1 D - South Bank Avenue")&amp;":"&amp;ADDRESS(130,3+18*0+(15))),'J1 D - South Bank Avenue'!$A$12:$A$130,"&gt;="&amp;Diagram!$O96,'J1 D - South Bank Avenue'!$A$12:$A$130,"&lt;"&amp;Diagram!$P96)))</f>
        <v>0</v>
      </c>
      <c r="EU96" s="42">
        <f ca="1">IF(OR($I$10="",$O96="",$P96="",$J$42&lt;&gt;"Yes"),0,IF($K$10=0,SUMIFS(INDIRECT(ADDRESS(12,3+18*1+(7),,,"J1 D - South Bank Avenue")&amp;":"&amp;ADDRESS(130,3+18*1+(7))),'J1 D - South Bank Avenue'!$A$12:$A$130,"&gt;="&amp;Diagram!$O96,'J1 D - South Bank Avenue'!$A$12:$A$130,"&lt;"&amp;Diagram!$P96),SUMIFS(INDIRECT(ADDRESS(12,3+18*1+(15),,,"J1 D - South Bank Avenue")&amp;":"&amp;ADDRESS(130,3+18*1+(15))),'J1 D - South Bank Avenue'!$A$12:$A$130,"&gt;="&amp;Diagram!$O96,'J1 D - South Bank Avenue'!$A$12:$A$130,"&lt;"&amp;Diagram!$P96)))</f>
        <v>0</v>
      </c>
      <c r="EV96" s="42">
        <f ca="1">IF(OR($I$10="",$O96="",$P96="",$J$42&lt;&gt;"Yes"),0,IF($K$10=0,SUMIFS(INDIRECT(ADDRESS(12,3+18*2+(7),,,"J1 D - South Bank Avenue")&amp;":"&amp;ADDRESS(130,3+18*2+(7))),'J1 D - South Bank Avenue'!$A$12:$A$130,"&gt;="&amp;Diagram!$O96,'J1 D - South Bank Avenue'!$A$12:$A$130,"&lt;"&amp;Diagram!$P96),SUMIFS(INDIRECT(ADDRESS(12,3+18*2+(15),,,"J1 D - South Bank Avenue")&amp;":"&amp;ADDRESS(130,3+18*2+(15))),'J1 D - South Bank Avenue'!$A$12:$A$130,"&gt;="&amp;Diagram!$O96,'J1 D - South Bank Avenue'!$A$12:$A$130,"&lt;"&amp;Diagram!$P96)))</f>
        <v>0</v>
      </c>
      <c r="EW96" s="42">
        <f ca="1">IF(OR($I$10="",$O96="",$P96="",$J$42&lt;&gt;"Yes"),0,IF($K$10=0,SUMIFS(INDIRECT(ADDRESS(12,3+18*3+(7),,,"J1 D - South Bank Avenue")&amp;":"&amp;ADDRESS(130,3+18*3+(7))),'J1 D - South Bank Avenue'!$A$12:$A$130,"&gt;="&amp;Diagram!$O96,'J1 D - South Bank Avenue'!$A$12:$A$130,"&lt;"&amp;Diagram!$P96),SUMIFS(INDIRECT(ADDRESS(12,3+18*3+(15),,,"J1 D - South Bank Avenue")&amp;":"&amp;ADDRESS(130,3+18*3+(15))),'J1 D - South Bank Avenue'!$A$12:$A$130,"&gt;="&amp;Diagram!$O96,'J1 D - South Bank Avenue'!$A$12:$A$130,"&lt;"&amp;Diagram!$P96)))</f>
        <v>0</v>
      </c>
    </row>
    <row r="99" spans="18:81">
      <c r="R99">
        <f ca="1">IF(OR($I$10="",$K$15="",$L$15="",$J$35&lt;&gt;"Yes"),0,IF($K$10=0,SUMIFS(INDIRECT(ADDRESS(12,3+18*3+(0),,,"J1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24</v>
      </c>
      <c r="S99">
        <f ca="1">IF(OR($I$10="",$K$15="",$L$15="",$J$35&lt;&gt;"Yes"),0,IF($K$10=0,SUMIFS(INDIRECT(ADDRESS(12,3+18*0+(0),,,"J1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235</v>
      </c>
      <c r="T99">
        <f ca="1">IF(OR($I$10="",$K$15="",$L$15="",$J$35&lt;&gt;"Yes"),0,IF($K$10=0,SUMIFS(INDIRECT(ADDRESS(12,3+18*1+(0),,,"J1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2994</v>
      </c>
      <c r="U99">
        <f ca="1">IF(OR($I$10="",$K$15="",$L$15="",$J$35&lt;&gt;"Yes"),0,IF($K$10=0,SUMIFS(INDIRECT(ADDRESS(12,3+18*2+(0),,,"J1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345</v>
      </c>
      <c r="V99">
        <f ca="1">IF(OR($I$10="",$K$15="",$L$15=""),0,IF($K$10=0,SUMIFS(INDIRECT(ADDRESS(12,3+18*3+(0),,,"J1 A - (North) Bishopthorpe Roa")&amp;":"&amp;ADDRESS(130,3+18*3+(0))),'J1 A - (North) Bishopthorpe Roa'!$A$12:$A$130,"&gt;="&amp;Diagram!$K$15,'J1 A - (North) Bishopthorpe Roa'!$A$12:$A$130,"&lt;="&amp;Diagram!$L$15),SUMIFS(INDIRECT(ADDRESS(12,3+18*3+(8),,,"J1 A - (North) Bishopthorpe Roa")&amp;":"&amp;ADDRESS(130,3+18*3+(8))),'J1 A - (North) Bishopthorpe Roa'!$A$12:$A$130,"&gt;="&amp;Diagram!$K$15,'J1 A - (North) Bishopthorpe Roa'!$A$12:$A$130,"&lt;="&amp;Diagram!$L$15)))</f>
        <v>24</v>
      </c>
      <c r="W99">
        <f ca="1">IF(OR($I$10="",$K$15="",$L$15=""),0,IF($K$10=0,SUMIFS(INDIRECT(ADDRESS(12,3+18*0+(0),,,"J1 A - (North) Bishopthorpe Roa")&amp;":"&amp;ADDRESS(130,3+18*0+(0))),'J1 A - (North) Bishopthorpe Roa'!$A$12:$A$130,"&gt;="&amp;Diagram!$K$15,'J1 A - (North) Bishopthorpe Roa'!$A$12:$A$130,"&lt;="&amp;Diagram!$L$15),SUMIFS(INDIRECT(ADDRESS(12,3+18*0+(8),,,"J1 A - (North) Bishopthorpe Roa")&amp;":"&amp;ADDRESS(130,3+18*0+(8))),'J1 A - (North) Bishopthorpe Roa'!$A$12:$A$130,"&gt;="&amp;Diagram!$K$15,'J1 A - (North) Bishopthorpe Roa'!$A$12:$A$130,"&lt;="&amp;Diagram!$L$15)))</f>
        <v>235</v>
      </c>
      <c r="X99">
        <f ca="1">IF(OR($I$10="",$K$15="",$L$15=""),0,IF($K$10=0,SUMIFS(INDIRECT(ADDRESS(12,3+18*1+(0),,,"J1 A - (North) Bishopthorpe Roa")&amp;":"&amp;ADDRESS(130,3+18*1+(0))),'J1 A - (North) Bishopthorpe Roa'!$A$12:$A$130,"&gt;="&amp;Diagram!$K$15,'J1 A - (North) Bishopthorpe Roa'!$A$12:$A$130,"&lt;="&amp;Diagram!$L$15),SUMIFS(INDIRECT(ADDRESS(12,3+18*1+(8),,,"J1 A - (North) Bishopthorpe Roa")&amp;":"&amp;ADDRESS(130,3+18*1+(8))),'J1 A - (North) Bishopthorpe Roa'!$A$12:$A$130,"&gt;="&amp;Diagram!$K$15,'J1 A - (North) Bishopthorpe Roa'!$A$12:$A$130,"&lt;="&amp;Diagram!$L$15)))</f>
        <v>2994</v>
      </c>
      <c r="Y99">
        <f ca="1">IF(OR($I$10="",$K$15="",$L$15=""),0,IF($K$10=0,SUMIFS(INDIRECT(ADDRESS(12,3+18*2+(0),,,"J1 A - (North) Bishopthorpe Roa")&amp;":"&amp;ADDRESS(130,3+18*2+(0))),'J1 A - (North) Bishopthorpe Roa'!$A$12:$A$130,"&gt;="&amp;Diagram!$K$15,'J1 A - (North) Bishopthorpe Roa'!$A$12:$A$130,"&lt;="&amp;Diagram!$L$15),SUMIFS(INDIRECT(ADDRESS(12,3+18*2+(8),,,"J1 A - (North) Bishopthorpe Roa")&amp;":"&amp;ADDRESS(130,3+18*2+(8))),'J1 A - (North) Bishopthorpe Roa'!$A$12:$A$130,"&gt;="&amp;Diagram!$K$15,'J1 A - (North) Bishopthorpe Roa'!$A$12:$A$130,"&lt;="&amp;Diagram!$L$15)))</f>
        <v>345</v>
      </c>
      <c r="Z99">
        <f ca="1">IF(OR($I$10="",$K$15="",$L$15="",$J$36&lt;&gt;"Yes"),0,IF($K$10=0,SUMIFS(INDIRECT(ADDRESS(12,3+18*3+(1),,,"J1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1</v>
      </c>
      <c r="AA99">
        <f ca="1">IF(OR($I$10="",$K$15="",$L$15="",$J$36&lt;&gt;"Yes"),0,IF($K$10=0,SUMIFS(INDIRECT(ADDRESS(12,3+18*0+(1),,,"J1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44</v>
      </c>
      <c r="AB99">
        <f ca="1">IF(OR($I$10="",$K$15="",$L$15="",$J$36&lt;&gt;"Yes"),0,IF($K$10=0,SUMIFS(INDIRECT(ADDRESS(12,3+18*1+(1),,,"J1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317</v>
      </c>
      <c r="AC99">
        <f ca="1">IF(OR($I$10="",$K$15="",$L$15="",$J$36&lt;&gt;"Yes"),0,IF($K$10=0,SUMIFS(INDIRECT(ADDRESS(12,3+18*2+(1),,,"J1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44</v>
      </c>
      <c r="AD99">
        <f ca="1">IF(OR($I$10="",$K$15="",$L$15=""),0,IF($K$10=0,SUMIFS(INDIRECT(ADDRESS(12,3+18*3+(1),,,"J1 A - (North) Bishopthorpe Roa")&amp;":"&amp;ADDRESS(130,3+18*3+(1))),'J1 A - (North) Bishopthorpe Roa'!$A$12:$A$130,"&gt;="&amp;Diagram!$K$15,'J1 A - (North) Bishopthorpe Roa'!$A$12:$A$130,"&lt;="&amp;Diagram!$L$15),SUMIFS(INDIRECT(ADDRESS(12,3+18*3+(9),,,"J1 A - (North) Bishopthorpe Roa")&amp;":"&amp;ADDRESS(130,3+18*3+(9))),'J1 A - (North) Bishopthorpe Roa'!$A$12:$A$130,"&gt;="&amp;Diagram!$K$15,'J1 A - (North) Bishopthorpe Roa'!$A$12:$A$130,"&lt;="&amp;Diagram!$L$15)))</f>
        <v>1</v>
      </c>
      <c r="AE99">
        <f ca="1">IF(OR($I$10="",$K$15="",$L$15=""),0,IF($K$10=0,SUMIFS(INDIRECT(ADDRESS(12,3+18*0+(1),,,"J1 A - (North) Bishopthorpe Roa")&amp;":"&amp;ADDRESS(130,3+18*0+(1))),'J1 A - (North) Bishopthorpe Roa'!$A$12:$A$130,"&gt;="&amp;Diagram!$K$15,'J1 A - (North) Bishopthorpe Roa'!$A$12:$A$130,"&lt;="&amp;Diagram!$L$15),SUMIFS(INDIRECT(ADDRESS(12,3+18*0+(9),,,"J1 A - (North) Bishopthorpe Roa")&amp;":"&amp;ADDRESS(130,3+18*0+(9))),'J1 A - (North) Bishopthorpe Roa'!$A$12:$A$130,"&gt;="&amp;Diagram!$K$15,'J1 A - (North) Bishopthorpe Roa'!$A$12:$A$130,"&lt;="&amp;Diagram!$L$15)))</f>
        <v>44</v>
      </c>
      <c r="AF99">
        <f ca="1">IF(OR($I$10="",$K$15="",$L$15=""),0,IF($K$10=0,SUMIFS(INDIRECT(ADDRESS(12,3+18*1+(1),,,"J1 A - (North) Bishopthorpe Roa")&amp;":"&amp;ADDRESS(130,3+18*1+(1))),'J1 A - (North) Bishopthorpe Roa'!$A$12:$A$130,"&gt;="&amp;Diagram!$K$15,'J1 A - (North) Bishopthorpe Roa'!$A$12:$A$130,"&lt;="&amp;Diagram!$L$15),SUMIFS(INDIRECT(ADDRESS(12,3+18*1+(9),,,"J1 A - (North) Bishopthorpe Roa")&amp;":"&amp;ADDRESS(130,3+18*1+(9))),'J1 A - (North) Bishopthorpe Roa'!$A$12:$A$130,"&gt;="&amp;Diagram!$K$15,'J1 A - (North) Bishopthorpe Roa'!$A$12:$A$130,"&lt;="&amp;Diagram!$L$15)))</f>
        <v>317</v>
      </c>
      <c r="AG99">
        <f ca="1">IF(OR($I$10="",$K$15="",$L$15=""),0,IF($K$10=0,SUMIFS(INDIRECT(ADDRESS(12,3+18*2+(1),,,"J1 A - (North) Bishopthorpe Roa")&amp;":"&amp;ADDRESS(130,3+18*2+(1))),'J1 A - (North) Bishopthorpe Roa'!$A$12:$A$130,"&gt;="&amp;Diagram!$K$15,'J1 A - (North) Bishopthorpe Roa'!$A$12:$A$130,"&lt;="&amp;Diagram!$L$15),SUMIFS(INDIRECT(ADDRESS(12,3+18*2+(9),,,"J1 A - (North) Bishopthorpe Roa")&amp;":"&amp;ADDRESS(130,3+18*2+(9))),'J1 A - (North) Bishopthorpe Roa'!$A$12:$A$130,"&gt;="&amp;Diagram!$K$15,'J1 A - (North) Bishopthorpe Roa'!$A$12:$A$130,"&lt;="&amp;Diagram!$L$15)))</f>
        <v>44</v>
      </c>
      <c r="AH99">
        <f ca="1">IF(OR($I$10="",$K$15="",$L$15="",$J$37&lt;&gt;"Yes"),0,IF($K$10=0,SUMIFS(INDIRECT(ADDRESS(12,3+18*3+(2),,,"J1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I99">
        <f ca="1">IF(OR($I$10="",$K$15="",$L$15="",$J$37&lt;&gt;"Yes"),0,IF($K$10=0,SUMIFS(INDIRECT(ADDRESS(12,3+18*0+(2),,,"J1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9</v>
      </c>
      <c r="AJ99">
        <f ca="1">IF(OR($I$10="",$K$15="",$L$15="",$J$37&lt;&gt;"Yes"),0,IF($K$10=0,SUMIFS(INDIRECT(ADDRESS(12,3+18*1+(2),,,"J1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35</v>
      </c>
      <c r="AK99">
        <f ca="1">IF(OR($I$10="",$K$15="",$L$15="",$J$37&lt;&gt;"Yes"),0,IF($K$10=0,SUMIFS(INDIRECT(ADDRESS(12,3+18*2+(2),,,"J1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3</v>
      </c>
      <c r="AL99">
        <f ca="1">IF(OR($I$10="",$K$15="",$L$15=""),0,IF($K$10=0,SUMIFS(INDIRECT(ADDRESS(12,3+18*3+(2),,,"J1 A - (North) Bishopthorpe Roa")&amp;":"&amp;ADDRESS(130,3+18*3+(2))),'J1 A - (North) Bishopthorpe Roa'!$A$12:$A$130,"&gt;="&amp;Diagram!$K$15,'J1 A - (North) Bishopthorpe Roa'!$A$12:$A$130,"&lt;="&amp;Diagram!$L$15),SUMIFS(INDIRECT(ADDRESS(12,3+18*3+(10),,,"J1 A - (North) Bishopthorpe Roa")&amp;":"&amp;ADDRESS(130,3+18*3+(10))),'J1 A - (North) Bishopthorpe Roa'!$A$12:$A$130,"&gt;="&amp;Diagram!$K$15,'J1 A - (North) Bishopthorpe Roa'!$A$12:$A$130,"&lt;="&amp;Diagram!$L$15)))</f>
        <v>0</v>
      </c>
      <c r="AM99">
        <f ca="1">IF(OR($I$10="",$K$15="",$L$15=""),0,IF($K$10=0,SUMIFS(INDIRECT(ADDRESS(12,3+18*0+(2),,,"J1 A - (North) Bishopthorpe Roa")&amp;":"&amp;ADDRESS(130,3+18*0+(2))),'J1 A - (North) Bishopthorpe Roa'!$A$12:$A$130,"&gt;="&amp;Diagram!$K$15,'J1 A - (North) Bishopthorpe Roa'!$A$12:$A$130,"&lt;="&amp;Diagram!$L$15),SUMIFS(INDIRECT(ADDRESS(12,3+18*0+(10),,,"J1 A - (North) Bishopthorpe Roa")&amp;":"&amp;ADDRESS(130,3+18*0+(10))),'J1 A - (North) Bishopthorpe Roa'!$A$12:$A$130,"&gt;="&amp;Diagram!$K$15,'J1 A - (North) Bishopthorpe Roa'!$A$12:$A$130,"&lt;="&amp;Diagram!$L$15)))</f>
        <v>9</v>
      </c>
      <c r="AN99">
        <f ca="1">IF(OR($I$10="",$K$15="",$L$15=""),0,IF($K$10=0,SUMIFS(INDIRECT(ADDRESS(12,3+18*1+(2),,,"J1 A - (North) Bishopthorpe Roa")&amp;":"&amp;ADDRESS(130,3+18*1+(2))),'J1 A - (North) Bishopthorpe Roa'!$A$12:$A$130,"&gt;="&amp;Diagram!$K$15,'J1 A - (North) Bishopthorpe Roa'!$A$12:$A$130,"&lt;="&amp;Diagram!$L$15),SUMIFS(INDIRECT(ADDRESS(12,3+18*1+(10),,,"J1 A - (North) Bishopthorpe Roa")&amp;":"&amp;ADDRESS(130,3+18*1+(10))),'J1 A - (North) Bishopthorpe Roa'!$A$12:$A$130,"&gt;="&amp;Diagram!$K$15,'J1 A - (North) Bishopthorpe Roa'!$A$12:$A$130,"&lt;="&amp;Diagram!$L$15)))</f>
        <v>35</v>
      </c>
      <c r="AO99">
        <f ca="1">IF(OR($I$10="",$K$15="",$L$15=""),0,IF($K$10=0,SUMIFS(INDIRECT(ADDRESS(12,3+18*2+(2),,,"J1 A - (North) Bishopthorpe Roa")&amp;":"&amp;ADDRESS(130,3+18*2+(2))),'J1 A - (North) Bishopthorpe Roa'!$A$12:$A$130,"&gt;="&amp;Diagram!$K$15,'J1 A - (North) Bishopthorpe Roa'!$A$12:$A$130,"&lt;="&amp;Diagram!$L$15),SUMIFS(INDIRECT(ADDRESS(12,3+18*2+(10),,,"J1 A - (North) Bishopthorpe Roa")&amp;":"&amp;ADDRESS(130,3+18*2+(10))),'J1 A - (North) Bishopthorpe Roa'!$A$12:$A$130,"&gt;="&amp;Diagram!$K$15,'J1 A - (North) Bishopthorpe Roa'!$A$12:$A$130,"&lt;="&amp;Diagram!$L$15)))</f>
        <v>3</v>
      </c>
      <c r="AP99">
        <f ca="1">IF(OR($I$10="",$K$15="",$L$15="",$J$38&lt;&gt;"Yes"),0,IF($K$10=0,SUMIFS(INDIRECT(ADDRESS(12,3+18*3+(3),,,"J1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Q99">
        <f ca="1">IF(OR($I$10="",$K$15="",$L$15="",$J$38&lt;&gt;"Yes"),0,IF($K$10=0,SUMIFS(INDIRECT(ADDRESS(12,3+18*0+(3),,,"J1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1</v>
      </c>
      <c r="AR99">
        <f ca="1">IF(OR($I$10="",$K$15="",$L$15="",$J$38&lt;&gt;"Yes"),0,IF($K$10=0,SUMIFS(INDIRECT(ADDRESS(12,3+18*1+(3),,,"J1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3</v>
      </c>
      <c r="AS99">
        <f ca="1">IF(OR($I$10="",$K$15="",$L$15="",$J$38&lt;&gt;"Yes"),0,IF($K$10=0,SUMIFS(INDIRECT(ADDRESS(12,3+18*2+(3),,,"J1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T99">
        <f ca="1">IF(OR($I$10="",$K$15="",$L$15=""),0,IF($K$10=0,SUMIFS(INDIRECT(ADDRESS(12,3+18*3+(3),,,"J1 A - (North) Bishopthorpe Roa")&amp;":"&amp;ADDRESS(130,3+18*3+(3))),'J1 A - (North) Bishopthorpe Roa'!$A$12:$A$130,"&gt;="&amp;Diagram!$K$15,'J1 A - (North) Bishopthorpe Roa'!$A$12:$A$130,"&lt;="&amp;Diagram!$L$15),SUMIFS(INDIRECT(ADDRESS(12,3+18*3+(11),,,"J1 A - (North) Bishopthorpe Roa")&amp;":"&amp;ADDRESS(130,3+18*3+(11))),'J1 A - (North) Bishopthorpe Roa'!$A$12:$A$130,"&gt;="&amp;Diagram!$K$15,'J1 A - (North) Bishopthorpe Roa'!$A$12:$A$130,"&lt;="&amp;Diagram!$L$15)))</f>
        <v>0</v>
      </c>
      <c r="AU99">
        <f ca="1">IF(OR($I$10="",$K$15="",$L$15=""),0,IF($K$10=0,SUMIFS(INDIRECT(ADDRESS(12,3+18*0+(3),,,"J1 A - (North) Bishopthorpe Roa")&amp;":"&amp;ADDRESS(130,3+18*0+(3))),'J1 A - (North) Bishopthorpe Roa'!$A$12:$A$130,"&gt;="&amp;Diagram!$K$15,'J1 A - (North) Bishopthorpe Roa'!$A$12:$A$130,"&lt;="&amp;Diagram!$L$15),SUMIFS(INDIRECT(ADDRESS(12,3+18*0+(11),,,"J1 A - (North) Bishopthorpe Roa")&amp;":"&amp;ADDRESS(130,3+18*0+(11))),'J1 A - (North) Bishopthorpe Roa'!$A$12:$A$130,"&gt;="&amp;Diagram!$K$15,'J1 A - (North) Bishopthorpe Roa'!$A$12:$A$130,"&lt;="&amp;Diagram!$L$15)))</f>
        <v>1</v>
      </c>
      <c r="AV99">
        <f ca="1">IF(OR($I$10="",$K$15="",$L$15=""),0,IF($K$10=0,SUMIFS(INDIRECT(ADDRESS(12,3+18*1+(3),,,"J1 A - (North) Bishopthorpe Roa")&amp;":"&amp;ADDRESS(130,3+18*1+(3))),'J1 A - (North) Bishopthorpe Roa'!$A$12:$A$130,"&gt;="&amp;Diagram!$K$15,'J1 A - (North) Bishopthorpe Roa'!$A$12:$A$130,"&lt;="&amp;Diagram!$L$15),SUMIFS(INDIRECT(ADDRESS(12,3+18*1+(11),,,"J1 A - (North) Bishopthorpe Roa")&amp;":"&amp;ADDRESS(130,3+18*1+(11))),'J1 A - (North) Bishopthorpe Roa'!$A$12:$A$130,"&gt;="&amp;Diagram!$K$15,'J1 A - (North) Bishopthorpe Roa'!$A$12:$A$130,"&lt;="&amp;Diagram!$L$15)))</f>
        <v>3</v>
      </c>
      <c r="AW99">
        <f ca="1">IF(OR($I$10="",$K$15="",$L$15=""),0,IF($K$10=0,SUMIFS(INDIRECT(ADDRESS(12,3+18*2+(3),,,"J1 A - (North) Bishopthorpe Roa")&amp;":"&amp;ADDRESS(130,3+18*2+(3))),'J1 A - (North) Bishopthorpe Roa'!$A$12:$A$130,"&gt;="&amp;Diagram!$K$15,'J1 A - (North) Bishopthorpe Roa'!$A$12:$A$130,"&lt;="&amp;Diagram!$L$15),SUMIFS(INDIRECT(ADDRESS(12,3+18*2+(11),,,"J1 A - (North) Bishopthorpe Roa")&amp;":"&amp;ADDRESS(130,3+18*2+(11))),'J1 A - (North) Bishopthorpe Roa'!$A$12:$A$130,"&gt;="&amp;Diagram!$K$15,'J1 A - (North) Bishopthorpe Roa'!$A$12:$A$130,"&lt;="&amp;Diagram!$L$15)))</f>
        <v>0</v>
      </c>
      <c r="AX99">
        <f ca="1">IF(OR($I$10="",$K$15="",$L$15="",$J$39&lt;&gt;"Yes"),0,IF($K$10=0,SUMIFS(INDIRECT(ADDRESS(12,3+18*3+(4),,,"J1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AY99">
        <f ca="1">IF(OR($I$10="",$K$15="",$L$15="",$J$39&lt;&gt;"Yes"),0,IF($K$10=0,SUMIFS(INDIRECT(ADDRESS(12,3+18*0+(4),,,"J1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AZ99">
        <f ca="1">IF(OR($I$10="",$K$15="",$L$15="",$J$39&lt;&gt;"Yes"),0,IF($K$10=0,SUMIFS(INDIRECT(ADDRESS(12,3+18*1+(4),,,"J1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49</v>
      </c>
      <c r="BA99">
        <f ca="1">IF(OR($I$10="",$K$15="",$L$15="",$J$39&lt;&gt;"Yes"),0,IF($K$10=0,SUMIFS(INDIRECT(ADDRESS(12,3+18*2+(4),,,"J1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B99">
        <f ca="1">IF(OR($I$10="",$K$15="",$L$15=""),0,IF($K$10=0,SUMIFS(INDIRECT(ADDRESS(12,3+18*3+(4),,,"J1 A - (North) Bishopthorpe Roa")&amp;":"&amp;ADDRESS(130,3+18*3+(4))),'J1 A - (North) Bishopthorpe Roa'!$A$12:$A$130,"&gt;="&amp;Diagram!$K$15,'J1 A - (North) Bishopthorpe Roa'!$A$12:$A$130,"&lt;="&amp;Diagram!$L$15),SUMIFS(INDIRECT(ADDRESS(12,3+18*3+(12),,,"J1 A - (North) Bishopthorpe Roa")&amp;":"&amp;ADDRESS(130,3+18*3+(12))),'J1 A - (North) Bishopthorpe Roa'!$A$12:$A$130,"&gt;="&amp;Diagram!$K$15,'J1 A - (North) Bishopthorpe Roa'!$A$12:$A$130,"&lt;="&amp;Diagram!$L$15)))</f>
        <v>0</v>
      </c>
      <c r="BC99">
        <f ca="1">IF(OR($I$10="",$K$15="",$L$15=""),0,IF($K$10=0,SUMIFS(INDIRECT(ADDRESS(12,3+18*0+(4),,,"J1 A - (North) Bishopthorpe Roa")&amp;":"&amp;ADDRESS(130,3+18*0+(4))),'J1 A - (North) Bishopthorpe Roa'!$A$12:$A$130,"&gt;="&amp;Diagram!$K$15,'J1 A - (North) Bishopthorpe Roa'!$A$12:$A$130,"&lt;="&amp;Diagram!$L$15),SUMIFS(INDIRECT(ADDRESS(12,3+18*0+(12),,,"J1 A - (North) Bishopthorpe Roa")&amp;":"&amp;ADDRESS(130,3+18*0+(12))),'J1 A - (North) Bishopthorpe Roa'!$A$12:$A$130,"&gt;="&amp;Diagram!$K$15,'J1 A - (North) Bishopthorpe Roa'!$A$12:$A$130,"&lt;="&amp;Diagram!$L$15)))</f>
        <v>0</v>
      </c>
      <c r="BD99">
        <f ca="1">IF(OR($I$10="",$K$15="",$L$15=""),0,IF($K$10=0,SUMIFS(INDIRECT(ADDRESS(12,3+18*1+(4),,,"J1 A - (North) Bishopthorpe Roa")&amp;":"&amp;ADDRESS(130,3+18*1+(4))),'J1 A - (North) Bishopthorpe Roa'!$A$12:$A$130,"&gt;="&amp;Diagram!$K$15,'J1 A - (North) Bishopthorpe Roa'!$A$12:$A$130,"&lt;="&amp;Diagram!$L$15),SUMIFS(INDIRECT(ADDRESS(12,3+18*1+(12),,,"J1 A - (North) Bishopthorpe Roa")&amp;":"&amp;ADDRESS(130,3+18*1+(12))),'J1 A - (North) Bishopthorpe Roa'!$A$12:$A$130,"&gt;="&amp;Diagram!$K$15,'J1 A - (North) Bishopthorpe Roa'!$A$12:$A$130,"&lt;="&amp;Diagram!$L$15)))</f>
        <v>49</v>
      </c>
      <c r="BE99">
        <f ca="1">IF(OR($I$10="",$K$15="",$L$15=""),0,IF($K$10=0,SUMIFS(INDIRECT(ADDRESS(12,3+18*2+(4),,,"J1 A - (North) Bishopthorpe Roa")&amp;":"&amp;ADDRESS(130,3+18*2+(4))),'J1 A - (North) Bishopthorpe Roa'!$A$12:$A$130,"&gt;="&amp;Diagram!$K$15,'J1 A - (North) Bishopthorpe Roa'!$A$12:$A$130,"&lt;="&amp;Diagram!$L$15),SUMIFS(INDIRECT(ADDRESS(12,3+18*2+(12),,,"J1 A - (North) Bishopthorpe Roa")&amp;":"&amp;ADDRESS(130,3+18*2+(12))),'J1 A - (North) Bishopthorpe Roa'!$A$12:$A$130,"&gt;="&amp;Diagram!$K$15,'J1 A - (North) Bishopthorpe Roa'!$A$12:$A$130,"&lt;="&amp;Diagram!$L$15)))</f>
        <v>0</v>
      </c>
      <c r="BF99">
        <f ca="1">IF(OR($I$10="",$K$15="",$L$15="",$J$40&lt;&gt;"Yes"),0,IF($K$10=0,SUMIFS(INDIRECT(ADDRESS(12,3+18*3+(5),,,"J1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G99">
        <f ca="1">IF(OR($I$10="",$K$15="",$L$15="",$J$40&lt;&gt;"Yes"),0,IF($K$10=0,SUMIFS(INDIRECT(ADDRESS(12,3+18*0+(5),,,"J1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170</v>
      </c>
      <c r="BH99">
        <f ca="1">IF(OR($I$10="",$K$15="",$L$15="",$J$40&lt;&gt;"Yes"),0,IF($K$10=0,SUMIFS(INDIRECT(ADDRESS(12,3+18*1+(5),,,"J1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217</v>
      </c>
      <c r="BI99">
        <f ca="1">IF(OR($I$10="",$K$15="",$L$15="",$J$40&lt;&gt;"Yes"),0,IF($K$10=0,SUMIFS(INDIRECT(ADDRESS(12,3+18*2+(5),,,"J1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48</v>
      </c>
      <c r="BJ99">
        <f ca="1">IF(OR($I$10="",$K$15="",$L$15=""),0,IF($K$10=0,SUMIFS(INDIRECT(ADDRESS(12,3+18*3+(5),,,"J1 A - (North) Bishopthorpe Roa")&amp;":"&amp;ADDRESS(130,3+18*3+(5))),'J1 A - (North) Bishopthorpe Roa'!$A$12:$A$130,"&gt;="&amp;Diagram!$K$15,'J1 A - (North) Bishopthorpe Roa'!$A$12:$A$130,"&lt;="&amp;Diagram!$L$15),SUMIFS(INDIRECT(ADDRESS(12,3+18*3+(13),,,"J1 A - (North) Bishopthorpe Roa")&amp;":"&amp;ADDRESS(130,3+18*3+(13))),'J1 A - (North) Bishopthorpe Roa'!$A$12:$A$130,"&gt;="&amp;Diagram!$K$15,'J1 A - (North) Bishopthorpe Roa'!$A$12:$A$130,"&lt;="&amp;Diagram!$L$15)))</f>
        <v>0</v>
      </c>
      <c r="BK99">
        <f ca="1">IF(OR($I$10="",$K$15="",$L$15=""),0,IF($K$10=0,SUMIFS(INDIRECT(ADDRESS(12,3+18*0+(5),,,"J1 A - (North) Bishopthorpe Roa")&amp;":"&amp;ADDRESS(130,3+18*0+(5))),'J1 A - (North) Bishopthorpe Roa'!$A$12:$A$130,"&gt;="&amp;Diagram!$K$15,'J1 A - (North) Bishopthorpe Roa'!$A$12:$A$130,"&lt;="&amp;Diagram!$L$15),SUMIFS(INDIRECT(ADDRESS(12,3+18*0+(13),,,"J1 A - (North) Bishopthorpe Roa")&amp;":"&amp;ADDRESS(130,3+18*0+(13))),'J1 A - (North) Bishopthorpe Roa'!$A$12:$A$130,"&gt;="&amp;Diagram!$K$15,'J1 A - (North) Bishopthorpe Roa'!$A$12:$A$130,"&lt;="&amp;Diagram!$L$15)))</f>
        <v>170</v>
      </c>
      <c r="BL99">
        <f ca="1">IF(OR($I$10="",$K$15="",$L$15=""),0,IF($K$10=0,SUMIFS(INDIRECT(ADDRESS(12,3+18*1+(5),,,"J1 A - (North) Bishopthorpe Roa")&amp;":"&amp;ADDRESS(130,3+18*1+(5))),'J1 A - (North) Bishopthorpe Roa'!$A$12:$A$130,"&gt;="&amp;Diagram!$K$15,'J1 A - (North) Bishopthorpe Roa'!$A$12:$A$130,"&lt;="&amp;Diagram!$L$15),SUMIFS(INDIRECT(ADDRESS(12,3+18*1+(13),,,"J1 A - (North) Bishopthorpe Roa")&amp;":"&amp;ADDRESS(130,3+18*1+(13))),'J1 A - (North) Bishopthorpe Roa'!$A$12:$A$130,"&gt;="&amp;Diagram!$K$15,'J1 A - (North) Bishopthorpe Roa'!$A$12:$A$130,"&lt;="&amp;Diagram!$L$15)))</f>
        <v>217</v>
      </c>
      <c r="BM99">
        <f ca="1">IF(OR($I$10="",$K$15="",$L$15=""),0,IF($K$10=0,SUMIFS(INDIRECT(ADDRESS(12,3+18*2+(5),,,"J1 A - (North) Bishopthorpe Roa")&amp;":"&amp;ADDRESS(130,3+18*2+(5))),'J1 A - (North) Bishopthorpe Roa'!$A$12:$A$130,"&gt;="&amp;Diagram!$K$15,'J1 A - (North) Bishopthorpe Roa'!$A$12:$A$130,"&lt;="&amp;Diagram!$L$15),SUMIFS(INDIRECT(ADDRESS(12,3+18*2+(13),,,"J1 A - (North) Bishopthorpe Roa")&amp;":"&amp;ADDRESS(130,3+18*2+(13))),'J1 A - (North) Bishopthorpe Roa'!$A$12:$A$130,"&gt;="&amp;Diagram!$K$15,'J1 A - (North) Bishopthorpe Roa'!$A$12:$A$130,"&lt;="&amp;Diagram!$L$15)))</f>
        <v>48</v>
      </c>
      <c r="BN99">
        <f ca="1">IF(OR($I$10="",$K$15="",$L$15="",$J$41&lt;&gt;"Yes"),0,IF($K$10=0,SUMIFS(INDIRECT(ADDRESS(12,3+18*3+(6),,,"J1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O99">
        <f ca="1">IF(OR($I$10="",$K$15="",$L$15="",$J$41&lt;&gt;"Yes"),0,IF($K$10=0,SUMIFS(INDIRECT(ADDRESS(12,3+18*0+(6),,,"J1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8</v>
      </c>
      <c r="BP99">
        <f ca="1">IF(OR($I$10="",$K$15="",$L$15="",$J$41&lt;&gt;"Yes"),0,IF($K$10=0,SUMIFS(INDIRECT(ADDRESS(12,3+18*1+(6),,,"J1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43</v>
      </c>
      <c r="BQ99">
        <f ca="1">IF(OR($I$10="",$K$15="",$L$15="",$J$41&lt;&gt;"Yes"),0,IF($K$10=0,SUMIFS(INDIRECT(ADDRESS(12,3+18*2+(6),,,"J1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11</v>
      </c>
      <c r="BR99">
        <f ca="1">IF(OR($I$10="",$K$15="",$L$15=""),0,IF($K$10=0,SUMIFS(INDIRECT(ADDRESS(12,3+18*3+(6),,,"J1 A - (North) Bishopthorpe Roa")&amp;":"&amp;ADDRESS(130,3+18*3+(6))),'J1 A - (North) Bishopthorpe Roa'!$A$12:$A$130,"&gt;="&amp;Diagram!$K$15,'J1 A - (North) Bishopthorpe Roa'!$A$12:$A$130,"&lt;="&amp;Diagram!$L$15),SUMIFS(INDIRECT(ADDRESS(12,3+18*3+(14),,,"J1 A - (North) Bishopthorpe Roa")&amp;":"&amp;ADDRESS(130,3+18*3+(14))),'J1 A - (North) Bishopthorpe Roa'!$A$12:$A$130,"&gt;="&amp;Diagram!$K$15,'J1 A - (North) Bishopthorpe Roa'!$A$12:$A$130,"&lt;="&amp;Diagram!$L$15)))</f>
        <v>0</v>
      </c>
      <c r="BS99">
        <f ca="1">IF(OR($I$10="",$K$15="",$L$15=""),0,IF($K$10=0,SUMIFS(INDIRECT(ADDRESS(12,3+18*0+(6),,,"J1 A - (North) Bishopthorpe Roa")&amp;":"&amp;ADDRESS(130,3+18*0+(6))),'J1 A - (North) Bishopthorpe Roa'!$A$12:$A$130,"&gt;="&amp;Diagram!$K$15,'J1 A - (North) Bishopthorpe Roa'!$A$12:$A$130,"&lt;="&amp;Diagram!$L$15),SUMIFS(INDIRECT(ADDRESS(12,3+18*0+(14),,,"J1 A - (North) Bishopthorpe Roa")&amp;":"&amp;ADDRESS(130,3+18*0+(14))),'J1 A - (North) Bishopthorpe Roa'!$A$12:$A$130,"&gt;="&amp;Diagram!$K$15,'J1 A - (North) Bishopthorpe Roa'!$A$12:$A$130,"&lt;="&amp;Diagram!$L$15)))</f>
        <v>8</v>
      </c>
      <c r="BT99">
        <f ca="1">IF(OR($I$10="",$K$15="",$L$15=""),0,IF($K$10=0,SUMIFS(INDIRECT(ADDRESS(12,3+18*1+(6),,,"J1 A - (North) Bishopthorpe Roa")&amp;":"&amp;ADDRESS(130,3+18*1+(6))),'J1 A - (North) Bishopthorpe Roa'!$A$12:$A$130,"&gt;="&amp;Diagram!$K$15,'J1 A - (North) Bishopthorpe Roa'!$A$12:$A$130,"&lt;="&amp;Diagram!$L$15),SUMIFS(INDIRECT(ADDRESS(12,3+18*1+(14),,,"J1 A - (North) Bishopthorpe Roa")&amp;":"&amp;ADDRESS(130,3+18*1+(14))),'J1 A - (North) Bishopthorpe Roa'!$A$12:$A$130,"&gt;="&amp;Diagram!$K$15,'J1 A - (North) Bishopthorpe Roa'!$A$12:$A$130,"&lt;="&amp;Diagram!$L$15)))</f>
        <v>43</v>
      </c>
      <c r="BU99">
        <f ca="1">IF(OR($I$10="",$K$15="",$L$15=""),0,IF($K$10=0,SUMIFS(INDIRECT(ADDRESS(12,3+18*2+(6),,,"J1 A - (North) Bishopthorpe Roa")&amp;":"&amp;ADDRESS(130,3+18*2+(6))),'J1 A - (North) Bishopthorpe Roa'!$A$12:$A$130,"&gt;="&amp;Diagram!$K$15,'J1 A - (North) Bishopthorpe Roa'!$A$12:$A$130,"&lt;="&amp;Diagram!$L$15),SUMIFS(INDIRECT(ADDRESS(12,3+18*2+(14),,,"J1 A - (North) Bishopthorpe Roa")&amp;":"&amp;ADDRESS(130,3+18*2+(14))),'J1 A - (North) Bishopthorpe Roa'!$A$12:$A$130,"&gt;="&amp;Diagram!$K$15,'J1 A - (North) Bishopthorpe Roa'!$A$12:$A$130,"&lt;="&amp;Diagram!$L$15)))</f>
        <v>11</v>
      </c>
      <c r="BV99">
        <f ca="1">IF(OR($I$10="",$K$15="",$L$15="",$J$42&lt;&gt;"Yes"),0,IF($K$10=0,SUMIFS(INDIRECT(ADDRESS(12,3+18*3+(7),,,"J1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BW99">
        <f ca="1">IF(OR($I$10="",$K$15="",$L$15="",$J$42&lt;&gt;"Yes"),0,IF($K$10=0,SUMIFS(INDIRECT(ADDRESS(12,3+18*0+(7),,,"J1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16</v>
      </c>
      <c r="BX99">
        <f ca="1">IF(OR($I$10="",$K$15="",$L$15="",$J$42&lt;&gt;"Yes"),0,IF($K$10=0,SUMIFS(INDIRECT(ADDRESS(12,3+18*1+(7),,,"J1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1</v>
      </c>
      <c r="BY99">
        <f ca="1">IF(OR($I$10="",$K$15="",$L$15="",$J$42&lt;&gt;"Yes"),0,IF($K$10=0,SUMIFS(INDIRECT(ADDRESS(12,3+18*2+(7),,,"J1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  <c r="BZ99">
        <f ca="1">IF(OR($I$10="",$K$15="",$L$15=""),0,IF($K$10=0,SUMIFS(INDIRECT(ADDRESS(12,3+18*3+(7),,,"J1 A - (North) Bishopthorpe Roa")&amp;":"&amp;ADDRESS(130,3+18*3+(7))),'J1 A - (North) Bishopthorpe Roa'!$A$12:$A$130,"&gt;="&amp;Diagram!$K$15,'J1 A - (North) Bishopthorpe Roa'!$A$12:$A$130,"&lt;="&amp;Diagram!$L$15),SUMIFS(INDIRECT(ADDRESS(12,3+18*3+(15),,,"J1 A - (North) Bishopthorpe Roa")&amp;":"&amp;ADDRESS(130,3+18*3+(15))),'J1 A - (North) Bishopthorpe Roa'!$A$12:$A$130,"&gt;="&amp;Diagram!$K$15,'J1 A - (North) Bishopthorpe Roa'!$A$12:$A$130,"&lt;="&amp;Diagram!$L$15)))</f>
        <v>0</v>
      </c>
      <c r="CA99">
        <f ca="1">IF(OR($I$10="",$K$15="",$L$15=""),0,IF($K$10=0,SUMIFS(INDIRECT(ADDRESS(12,3+18*0+(7),,,"J1 A - (North) Bishopthorpe Roa")&amp;":"&amp;ADDRESS(130,3+18*0+(7))),'J1 A - (North) Bishopthorpe Roa'!$A$12:$A$130,"&gt;="&amp;Diagram!$K$15,'J1 A - (North) Bishopthorpe Roa'!$A$12:$A$130,"&lt;="&amp;Diagram!$L$15),SUMIFS(INDIRECT(ADDRESS(12,3+18*0+(15),,,"J1 A - (North) Bishopthorpe Roa")&amp;":"&amp;ADDRESS(130,3+18*0+(15))),'J1 A - (North) Bishopthorpe Roa'!$A$12:$A$130,"&gt;="&amp;Diagram!$K$15,'J1 A - (North) Bishopthorpe Roa'!$A$12:$A$130,"&lt;="&amp;Diagram!$L$15)))</f>
        <v>16</v>
      </c>
      <c r="CB99">
        <f ca="1">IF(OR($I$10="",$K$15="",$L$15=""),0,IF($K$10=0,SUMIFS(INDIRECT(ADDRESS(12,3+18*1+(7),,,"J1 A - (North) Bishopthorpe Roa")&amp;":"&amp;ADDRESS(130,3+18*1+(7))),'J1 A - (North) Bishopthorpe Roa'!$A$12:$A$130,"&gt;="&amp;Diagram!$K$15,'J1 A - (North) Bishopthorpe Roa'!$A$12:$A$130,"&lt;="&amp;Diagram!$L$15),SUMIFS(INDIRECT(ADDRESS(12,3+18*1+(15),,,"J1 A - (North) Bishopthorpe Roa")&amp;":"&amp;ADDRESS(130,3+18*1+(15))),'J1 A - (North) Bishopthorpe Roa'!$A$12:$A$130,"&gt;="&amp;Diagram!$K$15,'J1 A - (North) Bishopthorpe Roa'!$A$12:$A$130,"&lt;="&amp;Diagram!$L$15)))</f>
        <v>1</v>
      </c>
      <c r="CC99">
        <f ca="1">IF(OR($I$10="",$K$15="",$L$15=""),0,IF($K$10=0,SUMIFS(INDIRECT(ADDRESS(12,3+18*2+(7),,,"J1 A - (North) Bishopthorpe Roa")&amp;":"&amp;ADDRESS(130,3+18*2+(7))),'J1 A - (North) Bishopthorpe Roa'!$A$12:$A$130,"&gt;="&amp;Diagram!$K$15,'J1 A - (North) Bishopthorpe Roa'!$A$12:$A$130,"&lt;="&amp;Diagram!$L$15),SUMIFS(INDIRECT(ADDRESS(12,3+18*2+(15),,,"J1 A - (North) Bishopthorpe Roa")&amp;":"&amp;ADDRESS(130,3+18*2+(15))),'J1 A - (North) Bishopthorpe Roa'!$A$12:$A$130,"&gt;="&amp;Diagram!$K$15,'J1 A - (North) Bishopthorpe Roa'!$A$12:$A$130,"&lt;="&amp;Diagram!$L$15)))</f>
        <v>0</v>
      </c>
    </row>
    <row r="100" spans="18:81">
      <c r="R100">
        <f ca="1">IF(OR($I$10="",$K$15="",$L$15="",$J$35&lt;&gt;"Yes"),0,IF($K$10=0,SUMIFS(INDIRECT(ADDRESS(12,3+18*2+(0),,,"J1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198</v>
      </c>
      <c r="S100">
        <f ca="1">IF(OR($I$10="",$K$15="",$L$15="",$J$35&lt;&gt;"Yes"),0,IF($K$10=0,SUMIFS(INDIRECT(ADDRESS(12,3+18*3+(0),,,"J1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T100">
        <f ca="1">IF(OR($I$10="",$K$15="",$L$15="",$J$35&lt;&gt;"Yes"),0,IF($K$10=0,SUMIFS(INDIRECT(ADDRESS(12,3+18*0+(0),,,"J1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111</v>
      </c>
      <c r="U100">
        <f ca="1">IF(OR($I$10="",$K$15="",$L$15="",$J$35&lt;&gt;"Yes"),0,IF($K$10=0,SUMIFS(INDIRECT(ADDRESS(12,3+18*1+(0),,,"J1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19</v>
      </c>
      <c r="V100">
        <f ca="1">IF(OR($I$10="",$K$15="",$L$15=""),0,IF($K$10=0,SUMIFS(INDIRECT(ADDRESS(12,3+18*2+(0),,,"J1 B - Butcher Terrace")&amp;":"&amp;ADDRESS(130,3+18*2+(0))),'J1 B - Butcher Terrace'!$A$12:$A$130,"&gt;="&amp;Diagram!$K$15,'J1 B - Butcher Terrace'!$A$12:$A$130,"&lt;="&amp;Diagram!$L$15),SUMIFS(INDIRECT(ADDRESS(12,3+18*2+(8),,,"J1 B - Butcher Terrace")&amp;":"&amp;ADDRESS(130,3+18*2+(8))),'J1 B - Butcher Terrace'!$A$12:$A$130,"&gt;="&amp;Diagram!$K$15,'J1 B - Butcher Terrace'!$A$12:$A$130,"&lt;="&amp;Diagram!$L$15)))</f>
        <v>198</v>
      </c>
      <c r="W100">
        <f ca="1">IF(OR($I$10="",$K$15="",$L$15=""),0,IF($K$10=0,SUMIFS(INDIRECT(ADDRESS(12,3+18*3+(0),,,"J1 B - Butcher Terrace")&amp;":"&amp;ADDRESS(130,3+18*3+(0))),'J1 B - Butcher Terrace'!$A$12:$A$130,"&gt;="&amp;Diagram!$K$15,'J1 B - Butcher Terrace'!$A$12:$A$130,"&lt;="&amp;Diagram!$L$15),SUMIFS(INDIRECT(ADDRESS(12,3+18*3+(8),,,"J1 B - Butcher Terrace")&amp;":"&amp;ADDRESS(130,3+18*3+(8))),'J1 B - Butcher Terrace'!$A$12:$A$130,"&gt;="&amp;Diagram!$K$15,'J1 B - Butcher Terrace'!$A$12:$A$130,"&lt;="&amp;Diagram!$L$15)))</f>
        <v>0</v>
      </c>
      <c r="X100">
        <f ca="1">IF(OR($I$10="",$K$15="",$L$15=""),0,IF($K$10=0,SUMIFS(INDIRECT(ADDRESS(12,3+18*0+(0),,,"J1 B - Butcher Terrace")&amp;":"&amp;ADDRESS(130,3+18*0+(0))),'J1 B - Butcher Terrace'!$A$12:$A$130,"&gt;="&amp;Diagram!$K$15,'J1 B - Butcher Terrace'!$A$12:$A$130,"&lt;="&amp;Diagram!$L$15),SUMIFS(INDIRECT(ADDRESS(12,3+18*0+(8),,,"J1 B - Butcher Terrace")&amp;":"&amp;ADDRESS(130,3+18*0+(8))),'J1 B - Butcher Terrace'!$A$12:$A$130,"&gt;="&amp;Diagram!$K$15,'J1 B - Butcher Terrace'!$A$12:$A$130,"&lt;="&amp;Diagram!$L$15)))</f>
        <v>111</v>
      </c>
      <c r="Y100">
        <f ca="1">IF(OR($I$10="",$K$15="",$L$15=""),0,IF($K$10=0,SUMIFS(INDIRECT(ADDRESS(12,3+18*1+(0),,,"J1 B - Butcher Terrace")&amp;":"&amp;ADDRESS(130,3+18*1+(0))),'J1 B - Butcher Terrace'!$A$12:$A$130,"&gt;="&amp;Diagram!$K$15,'J1 B - Butcher Terrace'!$A$12:$A$130,"&lt;="&amp;Diagram!$L$15),SUMIFS(INDIRECT(ADDRESS(12,3+18*1+(8),,,"J1 B - Butcher Terrace")&amp;":"&amp;ADDRESS(130,3+18*1+(8))),'J1 B - Butcher Terrace'!$A$12:$A$130,"&gt;="&amp;Diagram!$K$15,'J1 B - Butcher Terrace'!$A$12:$A$130,"&lt;="&amp;Diagram!$L$15)))</f>
        <v>19</v>
      </c>
      <c r="Z100">
        <f ca="1">IF(OR($I$10="",$K$15="",$L$15="",$J$36&lt;&gt;"Yes"),0,IF($K$10=0,SUMIFS(INDIRECT(ADDRESS(12,3+18*2+(1),,,"J1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38</v>
      </c>
      <c r="AA100">
        <f ca="1">IF(OR($I$10="",$K$15="",$L$15="",$J$36&lt;&gt;"Yes"),0,IF($K$10=0,SUMIFS(INDIRECT(ADDRESS(12,3+18*3+(1),,,"J1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B100">
        <f ca="1">IF(OR($I$10="",$K$15="",$L$15="",$J$36&lt;&gt;"Yes"),0,IF($K$10=0,SUMIFS(INDIRECT(ADDRESS(12,3+18*0+(1),,,"J1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28</v>
      </c>
      <c r="AC100">
        <f ca="1">IF(OR($I$10="",$K$15="",$L$15="",$J$36&lt;&gt;"Yes"),0,IF($K$10=0,SUMIFS(INDIRECT(ADDRESS(12,3+18*1+(1),,,"J1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5</v>
      </c>
      <c r="AD100">
        <f ca="1">IF(OR($I$10="",$K$15="",$L$15=""),0,IF($K$10=0,SUMIFS(INDIRECT(ADDRESS(12,3+18*2+(1),,,"J1 B - Butcher Terrace")&amp;":"&amp;ADDRESS(130,3+18*2+(1))),'J1 B - Butcher Terrace'!$A$12:$A$130,"&gt;="&amp;Diagram!$K$15,'J1 B - Butcher Terrace'!$A$12:$A$130,"&lt;="&amp;Diagram!$L$15),SUMIFS(INDIRECT(ADDRESS(12,3+18*2+(9),,,"J1 B - Butcher Terrace")&amp;":"&amp;ADDRESS(130,3+18*2+(9))),'J1 B - Butcher Terrace'!$A$12:$A$130,"&gt;="&amp;Diagram!$K$15,'J1 B - Butcher Terrace'!$A$12:$A$130,"&lt;="&amp;Diagram!$L$15)))</f>
        <v>38</v>
      </c>
      <c r="AE100">
        <f ca="1">IF(OR($I$10="",$K$15="",$L$15=""),0,IF($K$10=0,SUMIFS(INDIRECT(ADDRESS(12,3+18*3+(1),,,"J1 B - Butcher Terrace")&amp;":"&amp;ADDRESS(130,3+18*3+(1))),'J1 B - Butcher Terrace'!$A$12:$A$130,"&gt;="&amp;Diagram!$K$15,'J1 B - Butcher Terrace'!$A$12:$A$130,"&lt;="&amp;Diagram!$L$15),SUMIFS(INDIRECT(ADDRESS(12,3+18*3+(9),,,"J1 B - Butcher Terrace")&amp;":"&amp;ADDRESS(130,3+18*3+(9))),'J1 B - Butcher Terrace'!$A$12:$A$130,"&gt;="&amp;Diagram!$K$15,'J1 B - Butcher Terrace'!$A$12:$A$130,"&lt;="&amp;Diagram!$L$15)))</f>
        <v>0</v>
      </c>
      <c r="AF100">
        <f ca="1">IF(OR($I$10="",$K$15="",$L$15=""),0,IF($K$10=0,SUMIFS(INDIRECT(ADDRESS(12,3+18*0+(1),,,"J1 B - Butcher Terrace")&amp;":"&amp;ADDRESS(130,3+18*0+(1))),'J1 B - Butcher Terrace'!$A$12:$A$130,"&gt;="&amp;Diagram!$K$15,'J1 B - Butcher Terrace'!$A$12:$A$130,"&lt;="&amp;Diagram!$L$15),SUMIFS(INDIRECT(ADDRESS(12,3+18*0+(9),,,"J1 B - Butcher Terrace")&amp;":"&amp;ADDRESS(130,3+18*0+(9))),'J1 B - Butcher Terrace'!$A$12:$A$130,"&gt;="&amp;Diagram!$K$15,'J1 B - Butcher Terrace'!$A$12:$A$130,"&lt;="&amp;Diagram!$L$15)))</f>
        <v>28</v>
      </c>
      <c r="AG100">
        <f ca="1">IF(OR($I$10="",$K$15="",$L$15=""),0,IF($K$10=0,SUMIFS(INDIRECT(ADDRESS(12,3+18*1+(1),,,"J1 B - Butcher Terrace")&amp;":"&amp;ADDRESS(130,3+18*1+(1))),'J1 B - Butcher Terrace'!$A$12:$A$130,"&gt;="&amp;Diagram!$K$15,'J1 B - Butcher Terrace'!$A$12:$A$130,"&lt;="&amp;Diagram!$L$15),SUMIFS(INDIRECT(ADDRESS(12,3+18*1+(9),,,"J1 B - Butcher Terrace")&amp;":"&amp;ADDRESS(130,3+18*1+(9))),'J1 B - Butcher Terrace'!$A$12:$A$130,"&gt;="&amp;Diagram!$K$15,'J1 B - Butcher Terrace'!$A$12:$A$130,"&lt;="&amp;Diagram!$L$15)))</f>
        <v>5</v>
      </c>
      <c r="AH100">
        <f ca="1">IF(OR($I$10="",$K$15="",$L$15="",$J$37&lt;&gt;"Yes"),0,IF($K$10=0,SUMIFS(INDIRECT(ADDRESS(12,3+18*2+(2),,,"J1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7</v>
      </c>
      <c r="AI100">
        <f ca="1">IF(OR($I$10="",$K$15="",$L$15="",$J$37&lt;&gt;"Yes"),0,IF($K$10=0,SUMIFS(INDIRECT(ADDRESS(12,3+18*3+(2),,,"J1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J100">
        <f ca="1">IF(OR($I$10="",$K$15="",$L$15="",$J$37&lt;&gt;"Yes"),0,IF($K$10=0,SUMIFS(INDIRECT(ADDRESS(12,3+18*0+(2),,,"J1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1</v>
      </c>
      <c r="AK100">
        <f ca="1">IF(OR($I$10="",$K$15="",$L$15="",$J$37&lt;&gt;"Yes"),0,IF($K$10=0,SUMIFS(INDIRECT(ADDRESS(12,3+18*1+(2),,,"J1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0</v>
      </c>
      <c r="AL100">
        <f ca="1">IF(OR($I$10="",$K$15="",$L$15=""),0,IF($K$10=0,SUMIFS(INDIRECT(ADDRESS(12,3+18*2+(2),,,"J1 B - Butcher Terrace")&amp;":"&amp;ADDRESS(130,3+18*2+(2))),'J1 B - Butcher Terrace'!$A$12:$A$130,"&gt;="&amp;Diagram!$K$15,'J1 B - Butcher Terrace'!$A$12:$A$130,"&lt;="&amp;Diagram!$L$15),SUMIFS(INDIRECT(ADDRESS(12,3+18*2+(10),,,"J1 B - Butcher Terrace")&amp;":"&amp;ADDRESS(130,3+18*2+(10))),'J1 B - Butcher Terrace'!$A$12:$A$130,"&gt;="&amp;Diagram!$K$15,'J1 B - Butcher Terrace'!$A$12:$A$130,"&lt;="&amp;Diagram!$L$15)))</f>
        <v>7</v>
      </c>
      <c r="AM100">
        <f ca="1">IF(OR($I$10="",$K$15="",$L$15=""),0,IF($K$10=0,SUMIFS(INDIRECT(ADDRESS(12,3+18*3+(2),,,"J1 B - Butcher Terrace")&amp;":"&amp;ADDRESS(130,3+18*3+(2))),'J1 B - Butcher Terrace'!$A$12:$A$130,"&gt;="&amp;Diagram!$K$15,'J1 B - Butcher Terrace'!$A$12:$A$130,"&lt;="&amp;Diagram!$L$15),SUMIFS(INDIRECT(ADDRESS(12,3+18*3+(10),,,"J1 B - Butcher Terrace")&amp;":"&amp;ADDRESS(130,3+18*3+(10))),'J1 B - Butcher Terrace'!$A$12:$A$130,"&gt;="&amp;Diagram!$K$15,'J1 B - Butcher Terrace'!$A$12:$A$130,"&lt;="&amp;Diagram!$L$15)))</f>
        <v>0</v>
      </c>
      <c r="AN100">
        <f ca="1">IF(OR($I$10="",$K$15="",$L$15=""),0,IF($K$10=0,SUMIFS(INDIRECT(ADDRESS(12,3+18*0+(2),,,"J1 B - Butcher Terrace")&amp;":"&amp;ADDRESS(130,3+18*0+(2))),'J1 B - Butcher Terrace'!$A$12:$A$130,"&gt;="&amp;Diagram!$K$15,'J1 B - Butcher Terrace'!$A$12:$A$130,"&lt;="&amp;Diagram!$L$15),SUMIFS(INDIRECT(ADDRESS(12,3+18*0+(10),,,"J1 B - Butcher Terrace")&amp;":"&amp;ADDRESS(130,3+18*0+(10))),'J1 B - Butcher Terrace'!$A$12:$A$130,"&gt;="&amp;Diagram!$K$15,'J1 B - Butcher Terrace'!$A$12:$A$130,"&lt;="&amp;Diagram!$L$15)))</f>
        <v>1</v>
      </c>
      <c r="AO100">
        <f ca="1">IF(OR($I$10="",$K$15="",$L$15=""),0,IF($K$10=0,SUMIFS(INDIRECT(ADDRESS(12,3+18*1+(2),,,"J1 B - Butcher Terrace")&amp;":"&amp;ADDRESS(130,3+18*1+(2))),'J1 B - Butcher Terrace'!$A$12:$A$130,"&gt;="&amp;Diagram!$K$15,'J1 B - Butcher Terrace'!$A$12:$A$130,"&lt;="&amp;Diagram!$L$15),SUMIFS(INDIRECT(ADDRESS(12,3+18*1+(10),,,"J1 B - Butcher Terrace")&amp;":"&amp;ADDRESS(130,3+18*1+(10))),'J1 B - Butcher Terrace'!$A$12:$A$130,"&gt;="&amp;Diagram!$K$15,'J1 B - Butcher Terrace'!$A$12:$A$130,"&lt;="&amp;Diagram!$L$15)))</f>
        <v>0</v>
      </c>
      <c r="AP100">
        <f ca="1">IF(OR($I$10="",$K$15="",$L$15="",$J$38&lt;&gt;"Yes"),0,IF($K$10=0,SUMIFS(INDIRECT(ADDRESS(12,3+18*2+(3),,,"J1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1</v>
      </c>
      <c r="AQ100">
        <f ca="1">IF(OR($I$10="",$K$15="",$L$15="",$J$38&lt;&gt;"Yes"),0,IF($K$10=0,SUMIFS(INDIRECT(ADDRESS(12,3+18*3+(3),,,"J1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R100">
        <f ca="1">IF(OR($I$10="",$K$15="",$L$15="",$J$38&lt;&gt;"Yes"),0,IF($K$10=0,SUMIFS(INDIRECT(ADDRESS(12,3+18*0+(3),,,"J1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S100">
        <f ca="1">IF(OR($I$10="",$K$15="",$L$15="",$J$38&lt;&gt;"Yes"),0,IF($K$10=0,SUMIFS(INDIRECT(ADDRESS(12,3+18*1+(3),,,"J1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T100">
        <f ca="1">IF(OR($I$10="",$K$15="",$L$15=""),0,IF($K$10=0,SUMIFS(INDIRECT(ADDRESS(12,3+18*2+(3),,,"J1 B - Butcher Terrace")&amp;":"&amp;ADDRESS(130,3+18*2+(3))),'J1 B - Butcher Terrace'!$A$12:$A$130,"&gt;="&amp;Diagram!$K$15,'J1 B - Butcher Terrace'!$A$12:$A$130,"&lt;="&amp;Diagram!$L$15),SUMIFS(INDIRECT(ADDRESS(12,3+18*2+(11),,,"J1 B - Butcher Terrace")&amp;":"&amp;ADDRESS(130,3+18*2+(11))),'J1 B - Butcher Terrace'!$A$12:$A$130,"&gt;="&amp;Diagram!$K$15,'J1 B - Butcher Terrace'!$A$12:$A$130,"&lt;="&amp;Diagram!$L$15)))</f>
        <v>1</v>
      </c>
      <c r="AU100">
        <f ca="1">IF(OR($I$10="",$K$15="",$L$15=""),0,IF($K$10=0,SUMIFS(INDIRECT(ADDRESS(12,3+18*3+(3),,,"J1 B - Butcher Terrace")&amp;":"&amp;ADDRESS(130,3+18*3+(3))),'J1 B - Butcher Terrace'!$A$12:$A$130,"&gt;="&amp;Diagram!$K$15,'J1 B - Butcher Terrace'!$A$12:$A$130,"&lt;="&amp;Diagram!$L$15),SUMIFS(INDIRECT(ADDRESS(12,3+18*3+(11),,,"J1 B - Butcher Terrace")&amp;":"&amp;ADDRESS(130,3+18*3+(11))),'J1 B - Butcher Terrace'!$A$12:$A$130,"&gt;="&amp;Diagram!$K$15,'J1 B - Butcher Terrace'!$A$12:$A$130,"&lt;="&amp;Diagram!$L$15)))</f>
        <v>0</v>
      </c>
      <c r="AV100">
        <f ca="1">IF(OR($I$10="",$K$15="",$L$15=""),0,IF($K$10=0,SUMIFS(INDIRECT(ADDRESS(12,3+18*0+(3),,,"J1 B - Butcher Terrace")&amp;":"&amp;ADDRESS(130,3+18*0+(3))),'J1 B - Butcher Terrace'!$A$12:$A$130,"&gt;="&amp;Diagram!$K$15,'J1 B - Butcher Terrace'!$A$12:$A$130,"&lt;="&amp;Diagram!$L$15),SUMIFS(INDIRECT(ADDRESS(12,3+18*0+(11),,,"J1 B - Butcher Terrace")&amp;":"&amp;ADDRESS(130,3+18*0+(11))),'J1 B - Butcher Terrace'!$A$12:$A$130,"&gt;="&amp;Diagram!$K$15,'J1 B - Butcher Terrace'!$A$12:$A$130,"&lt;="&amp;Diagram!$L$15)))</f>
        <v>0</v>
      </c>
      <c r="AW100">
        <f ca="1">IF(OR($I$10="",$K$15="",$L$15=""),0,IF($K$10=0,SUMIFS(INDIRECT(ADDRESS(12,3+18*1+(3),,,"J1 B - Butcher Terrace")&amp;":"&amp;ADDRESS(130,3+18*1+(3))),'J1 B - Butcher Terrace'!$A$12:$A$130,"&gt;="&amp;Diagram!$K$15,'J1 B - Butcher Terrace'!$A$12:$A$130,"&lt;="&amp;Diagram!$L$15),SUMIFS(INDIRECT(ADDRESS(12,3+18*1+(11),,,"J1 B - Butcher Terrace")&amp;":"&amp;ADDRESS(130,3+18*1+(11))),'J1 B - Butcher Terrace'!$A$12:$A$130,"&gt;="&amp;Diagram!$K$15,'J1 B - Butcher Terrace'!$A$12:$A$130,"&lt;="&amp;Diagram!$L$15)))</f>
        <v>0</v>
      </c>
      <c r="AX100">
        <f ca="1">IF(OR($I$10="",$K$15="",$L$15="",$J$39&lt;&gt;"Yes"),0,IF($K$10=0,SUMIFS(INDIRECT(ADDRESS(12,3+18*2+(4),,,"J1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AY100">
        <f ca="1">IF(OR($I$10="",$K$15="",$L$15="",$J$39&lt;&gt;"Yes"),0,IF($K$10=0,SUMIFS(INDIRECT(ADDRESS(12,3+18*3+(4),,,"J1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AZ100">
        <f ca="1">IF(OR($I$10="",$K$15="",$L$15="",$J$39&lt;&gt;"Yes"),0,IF($K$10=0,SUMIFS(INDIRECT(ADDRESS(12,3+18*0+(4),,,"J1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A100">
        <f ca="1">IF(OR($I$10="",$K$15="",$L$15="",$J$39&lt;&gt;"Yes"),0,IF($K$10=0,SUMIFS(INDIRECT(ADDRESS(12,3+18*1+(4),,,"J1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B100">
        <f ca="1">IF(OR($I$10="",$K$15="",$L$15=""),0,IF($K$10=0,SUMIFS(INDIRECT(ADDRESS(12,3+18*2+(4),,,"J1 B - Butcher Terrace")&amp;":"&amp;ADDRESS(130,3+18*2+(4))),'J1 B - Butcher Terrace'!$A$12:$A$130,"&gt;="&amp;Diagram!$K$15,'J1 B - Butcher Terrace'!$A$12:$A$130,"&lt;="&amp;Diagram!$L$15),SUMIFS(INDIRECT(ADDRESS(12,3+18*2+(12),,,"J1 B - Butcher Terrace")&amp;":"&amp;ADDRESS(130,3+18*2+(12))),'J1 B - Butcher Terrace'!$A$12:$A$130,"&gt;="&amp;Diagram!$K$15,'J1 B - Butcher Terrace'!$A$12:$A$130,"&lt;="&amp;Diagram!$L$15)))</f>
        <v>0</v>
      </c>
      <c r="BC100">
        <f ca="1">IF(OR($I$10="",$K$15="",$L$15=""),0,IF($K$10=0,SUMIFS(INDIRECT(ADDRESS(12,3+18*3+(4),,,"J1 B - Butcher Terrace")&amp;":"&amp;ADDRESS(130,3+18*3+(4))),'J1 B - Butcher Terrace'!$A$12:$A$130,"&gt;="&amp;Diagram!$K$15,'J1 B - Butcher Terrace'!$A$12:$A$130,"&lt;="&amp;Diagram!$L$15),SUMIFS(INDIRECT(ADDRESS(12,3+18*3+(12),,,"J1 B - Butcher Terrace")&amp;":"&amp;ADDRESS(130,3+18*3+(12))),'J1 B - Butcher Terrace'!$A$12:$A$130,"&gt;="&amp;Diagram!$K$15,'J1 B - Butcher Terrace'!$A$12:$A$130,"&lt;="&amp;Diagram!$L$15)))</f>
        <v>0</v>
      </c>
      <c r="BD100">
        <f ca="1">IF(OR($I$10="",$K$15="",$L$15=""),0,IF($K$10=0,SUMIFS(INDIRECT(ADDRESS(12,3+18*0+(4),,,"J1 B - Butcher Terrace")&amp;":"&amp;ADDRESS(130,3+18*0+(4))),'J1 B - Butcher Terrace'!$A$12:$A$130,"&gt;="&amp;Diagram!$K$15,'J1 B - Butcher Terrace'!$A$12:$A$130,"&lt;="&amp;Diagram!$L$15),SUMIFS(INDIRECT(ADDRESS(12,3+18*0+(12),,,"J1 B - Butcher Terrace")&amp;":"&amp;ADDRESS(130,3+18*0+(12))),'J1 B - Butcher Terrace'!$A$12:$A$130,"&gt;="&amp;Diagram!$K$15,'J1 B - Butcher Terrace'!$A$12:$A$130,"&lt;="&amp;Diagram!$L$15)))</f>
        <v>0</v>
      </c>
      <c r="BE100">
        <f ca="1">IF(OR($I$10="",$K$15="",$L$15=""),0,IF($K$10=0,SUMIFS(INDIRECT(ADDRESS(12,3+18*1+(4),,,"J1 B - Butcher Terrace")&amp;":"&amp;ADDRESS(130,3+18*1+(4))),'J1 B - Butcher Terrace'!$A$12:$A$130,"&gt;="&amp;Diagram!$K$15,'J1 B - Butcher Terrace'!$A$12:$A$130,"&lt;="&amp;Diagram!$L$15),SUMIFS(INDIRECT(ADDRESS(12,3+18*1+(12),,,"J1 B - Butcher Terrace")&amp;":"&amp;ADDRESS(130,3+18*1+(12))),'J1 B - Butcher Terrace'!$A$12:$A$130,"&gt;="&amp;Diagram!$K$15,'J1 B - Butcher Terrace'!$A$12:$A$130,"&lt;="&amp;Diagram!$L$15)))</f>
        <v>0</v>
      </c>
      <c r="BF100">
        <f ca="1">IF(OR($I$10="",$K$15="",$L$15="",$J$40&lt;&gt;"Yes"),0,IF($K$10=0,SUMIFS(INDIRECT(ADDRESS(12,3+18*2+(5),,,"J1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128</v>
      </c>
      <c r="BG100">
        <f ca="1">IF(OR($I$10="",$K$15="",$L$15="",$J$40&lt;&gt;"Yes"),0,IF($K$10=0,SUMIFS(INDIRECT(ADDRESS(12,3+18*3+(5),,,"J1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0</v>
      </c>
      <c r="BH100">
        <f ca="1">IF(OR($I$10="",$K$15="",$L$15="",$J$40&lt;&gt;"Yes"),0,IF($K$10=0,SUMIFS(INDIRECT(ADDRESS(12,3+18*0+(5),,,"J1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107</v>
      </c>
      <c r="BI100">
        <f ca="1">IF(OR($I$10="",$K$15="",$L$15="",$J$40&lt;&gt;"Yes"),0,IF($K$10=0,SUMIFS(INDIRECT(ADDRESS(12,3+18*1+(5),,,"J1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337</v>
      </c>
      <c r="BJ100">
        <f ca="1">IF(OR($I$10="",$K$15="",$L$15=""),0,IF($K$10=0,SUMIFS(INDIRECT(ADDRESS(12,3+18*2+(5),,,"J1 B - Butcher Terrace")&amp;":"&amp;ADDRESS(130,3+18*2+(5))),'J1 B - Butcher Terrace'!$A$12:$A$130,"&gt;="&amp;Diagram!$K$15,'J1 B - Butcher Terrace'!$A$12:$A$130,"&lt;="&amp;Diagram!$L$15),SUMIFS(INDIRECT(ADDRESS(12,3+18*2+(13),,,"J1 B - Butcher Terrace")&amp;":"&amp;ADDRESS(130,3+18*2+(13))),'J1 B - Butcher Terrace'!$A$12:$A$130,"&gt;="&amp;Diagram!$K$15,'J1 B - Butcher Terrace'!$A$12:$A$130,"&lt;="&amp;Diagram!$L$15)))</f>
        <v>128</v>
      </c>
      <c r="BK100">
        <f ca="1">IF(OR($I$10="",$K$15="",$L$15=""),0,IF($K$10=0,SUMIFS(INDIRECT(ADDRESS(12,3+18*3+(5),,,"J1 B - Butcher Terrace")&amp;":"&amp;ADDRESS(130,3+18*3+(5))),'J1 B - Butcher Terrace'!$A$12:$A$130,"&gt;="&amp;Diagram!$K$15,'J1 B - Butcher Terrace'!$A$12:$A$130,"&lt;="&amp;Diagram!$L$15),SUMIFS(INDIRECT(ADDRESS(12,3+18*3+(13),,,"J1 B - Butcher Terrace")&amp;":"&amp;ADDRESS(130,3+18*3+(13))),'J1 B - Butcher Terrace'!$A$12:$A$130,"&gt;="&amp;Diagram!$K$15,'J1 B - Butcher Terrace'!$A$12:$A$130,"&lt;="&amp;Diagram!$L$15)))</f>
        <v>0</v>
      </c>
      <c r="BL100">
        <f ca="1">IF(OR($I$10="",$K$15="",$L$15=""),0,IF($K$10=0,SUMIFS(INDIRECT(ADDRESS(12,3+18*0+(5),,,"J1 B - Butcher Terrace")&amp;":"&amp;ADDRESS(130,3+18*0+(5))),'J1 B - Butcher Terrace'!$A$12:$A$130,"&gt;="&amp;Diagram!$K$15,'J1 B - Butcher Terrace'!$A$12:$A$130,"&lt;="&amp;Diagram!$L$15),SUMIFS(INDIRECT(ADDRESS(12,3+18*0+(13),,,"J1 B - Butcher Terrace")&amp;":"&amp;ADDRESS(130,3+18*0+(13))),'J1 B - Butcher Terrace'!$A$12:$A$130,"&gt;="&amp;Diagram!$K$15,'J1 B - Butcher Terrace'!$A$12:$A$130,"&lt;="&amp;Diagram!$L$15)))</f>
        <v>107</v>
      </c>
      <c r="BM100">
        <f ca="1">IF(OR($I$10="",$K$15="",$L$15=""),0,IF($K$10=0,SUMIFS(INDIRECT(ADDRESS(12,3+18*1+(5),,,"J1 B - Butcher Terrace")&amp;":"&amp;ADDRESS(130,3+18*1+(5))),'J1 B - Butcher Terrace'!$A$12:$A$130,"&gt;="&amp;Diagram!$K$15,'J1 B - Butcher Terrace'!$A$12:$A$130,"&lt;="&amp;Diagram!$L$15),SUMIFS(INDIRECT(ADDRESS(12,3+18*1+(13),,,"J1 B - Butcher Terrace")&amp;":"&amp;ADDRESS(130,3+18*1+(13))),'J1 B - Butcher Terrace'!$A$12:$A$130,"&gt;="&amp;Diagram!$K$15,'J1 B - Butcher Terrace'!$A$12:$A$130,"&lt;="&amp;Diagram!$L$15)))</f>
        <v>337</v>
      </c>
      <c r="BN100">
        <f ca="1">IF(OR($I$10="",$K$15="",$L$15="",$J$41&lt;&gt;"Yes"),0,IF($K$10=0,SUMIFS(INDIRECT(ADDRESS(12,3+18*2+(6),,,"J1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7</v>
      </c>
      <c r="BO100">
        <f ca="1">IF(OR($I$10="",$K$15="",$L$15="",$J$41&lt;&gt;"Yes"),0,IF($K$10=0,SUMIFS(INDIRECT(ADDRESS(12,3+18*3+(6),,,"J1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P100">
        <f ca="1">IF(OR($I$10="",$K$15="",$L$15="",$J$41&lt;&gt;"Yes"),0,IF($K$10=0,SUMIFS(INDIRECT(ADDRESS(12,3+18*0+(6),,,"J1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3</v>
      </c>
      <c r="BQ100">
        <f ca="1">IF(OR($I$10="",$K$15="",$L$15="",$J$41&lt;&gt;"Yes"),0,IF($K$10=0,SUMIFS(INDIRECT(ADDRESS(12,3+18*1+(6),,,"J1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4</v>
      </c>
      <c r="BR100">
        <f ca="1">IF(OR($I$10="",$K$15="",$L$15=""),0,IF($K$10=0,SUMIFS(INDIRECT(ADDRESS(12,3+18*2+(6),,,"J1 B - Butcher Terrace")&amp;":"&amp;ADDRESS(130,3+18*2+(6))),'J1 B - Butcher Terrace'!$A$12:$A$130,"&gt;="&amp;Diagram!$K$15,'J1 B - Butcher Terrace'!$A$12:$A$130,"&lt;="&amp;Diagram!$L$15),SUMIFS(INDIRECT(ADDRESS(12,3+18*2+(14),,,"J1 B - Butcher Terrace")&amp;":"&amp;ADDRESS(130,3+18*2+(14))),'J1 B - Butcher Terrace'!$A$12:$A$130,"&gt;="&amp;Diagram!$K$15,'J1 B - Butcher Terrace'!$A$12:$A$130,"&lt;="&amp;Diagram!$L$15)))</f>
        <v>7</v>
      </c>
      <c r="BS100">
        <f ca="1">IF(OR($I$10="",$K$15="",$L$15=""),0,IF($K$10=0,SUMIFS(INDIRECT(ADDRESS(12,3+18*3+(6),,,"J1 B - Butcher Terrace")&amp;":"&amp;ADDRESS(130,3+18*3+(6))),'J1 B - Butcher Terrace'!$A$12:$A$130,"&gt;="&amp;Diagram!$K$15,'J1 B - Butcher Terrace'!$A$12:$A$130,"&lt;="&amp;Diagram!$L$15),SUMIFS(INDIRECT(ADDRESS(12,3+18*3+(14),,,"J1 B - Butcher Terrace")&amp;":"&amp;ADDRESS(130,3+18*3+(14))),'J1 B - Butcher Terrace'!$A$12:$A$130,"&gt;="&amp;Diagram!$K$15,'J1 B - Butcher Terrace'!$A$12:$A$130,"&lt;="&amp;Diagram!$L$15)))</f>
        <v>0</v>
      </c>
      <c r="BT100">
        <f ca="1">IF(OR($I$10="",$K$15="",$L$15=""),0,IF($K$10=0,SUMIFS(INDIRECT(ADDRESS(12,3+18*0+(6),,,"J1 B - Butcher Terrace")&amp;":"&amp;ADDRESS(130,3+18*0+(6))),'J1 B - Butcher Terrace'!$A$12:$A$130,"&gt;="&amp;Diagram!$K$15,'J1 B - Butcher Terrace'!$A$12:$A$130,"&lt;="&amp;Diagram!$L$15),SUMIFS(INDIRECT(ADDRESS(12,3+18*0+(14),,,"J1 B - Butcher Terrace")&amp;":"&amp;ADDRESS(130,3+18*0+(14))),'J1 B - Butcher Terrace'!$A$12:$A$130,"&gt;="&amp;Diagram!$K$15,'J1 B - Butcher Terrace'!$A$12:$A$130,"&lt;="&amp;Diagram!$L$15)))</f>
        <v>3</v>
      </c>
      <c r="BU100">
        <f ca="1">IF(OR($I$10="",$K$15="",$L$15=""),0,IF($K$10=0,SUMIFS(INDIRECT(ADDRESS(12,3+18*1+(6),,,"J1 B - Butcher Terrace")&amp;":"&amp;ADDRESS(130,3+18*1+(6))),'J1 B - Butcher Terrace'!$A$12:$A$130,"&gt;="&amp;Diagram!$K$15,'J1 B - Butcher Terrace'!$A$12:$A$130,"&lt;="&amp;Diagram!$L$15),SUMIFS(INDIRECT(ADDRESS(12,3+18*1+(14),,,"J1 B - Butcher Terrace")&amp;":"&amp;ADDRESS(130,3+18*1+(14))),'J1 B - Butcher Terrace'!$A$12:$A$130,"&gt;="&amp;Diagram!$K$15,'J1 B - Butcher Terrace'!$A$12:$A$130,"&lt;="&amp;Diagram!$L$15)))</f>
        <v>4</v>
      </c>
      <c r="BV100">
        <f ca="1">IF(OR($I$10="",$K$15="",$L$15="",$J$42&lt;&gt;"Yes"),0,IF($K$10=0,SUMIFS(INDIRECT(ADDRESS(12,3+18*2+(7),,,"J1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11</v>
      </c>
      <c r="BW100">
        <f ca="1">IF(OR($I$10="",$K$15="",$L$15="",$J$42&lt;&gt;"Yes"),0,IF($K$10=0,SUMIFS(INDIRECT(ADDRESS(12,3+18*3+(7),,,"J1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BX100">
        <f ca="1">IF(OR($I$10="",$K$15="",$L$15="",$J$42&lt;&gt;"Yes"),0,IF($K$10=0,SUMIFS(INDIRECT(ADDRESS(12,3+18*0+(7),,,"J1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6</v>
      </c>
      <c r="BY100">
        <f ca="1">IF(OR($I$10="",$K$15="",$L$15="",$J$42&lt;&gt;"Yes"),0,IF($K$10=0,SUMIFS(INDIRECT(ADDRESS(12,3+18*1+(7),,,"J1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  <c r="BZ100">
        <f ca="1">IF(OR($I$10="",$K$15="",$L$15=""),0,IF($K$10=0,SUMIFS(INDIRECT(ADDRESS(12,3+18*2+(7),,,"J1 B - Butcher Terrace")&amp;":"&amp;ADDRESS(130,3+18*2+(7))),'J1 B - Butcher Terrace'!$A$12:$A$130,"&gt;="&amp;Diagram!$K$15,'J1 B - Butcher Terrace'!$A$12:$A$130,"&lt;="&amp;Diagram!$L$15),SUMIFS(INDIRECT(ADDRESS(12,3+18*2+(15),,,"J1 B - Butcher Terrace")&amp;":"&amp;ADDRESS(130,3+18*2+(15))),'J1 B - Butcher Terrace'!$A$12:$A$130,"&gt;="&amp;Diagram!$K$15,'J1 B - Butcher Terrace'!$A$12:$A$130,"&lt;="&amp;Diagram!$L$15)))</f>
        <v>11</v>
      </c>
      <c r="CA100">
        <f ca="1">IF(OR($I$10="",$K$15="",$L$15=""),0,IF($K$10=0,SUMIFS(INDIRECT(ADDRESS(12,3+18*3+(7),,,"J1 B - Butcher Terrace")&amp;":"&amp;ADDRESS(130,3+18*3+(7))),'J1 B - Butcher Terrace'!$A$12:$A$130,"&gt;="&amp;Diagram!$K$15,'J1 B - Butcher Terrace'!$A$12:$A$130,"&lt;="&amp;Diagram!$L$15),SUMIFS(INDIRECT(ADDRESS(12,3+18*3+(15),,,"J1 B - Butcher Terrace")&amp;":"&amp;ADDRESS(130,3+18*3+(15))),'J1 B - Butcher Terrace'!$A$12:$A$130,"&gt;="&amp;Diagram!$K$15,'J1 B - Butcher Terrace'!$A$12:$A$130,"&lt;="&amp;Diagram!$L$15)))</f>
        <v>0</v>
      </c>
      <c r="CB100">
        <f ca="1">IF(OR($I$10="",$K$15="",$L$15=""),0,IF($K$10=0,SUMIFS(INDIRECT(ADDRESS(12,3+18*0+(7),,,"J1 B - Butcher Terrace")&amp;":"&amp;ADDRESS(130,3+18*0+(7))),'J1 B - Butcher Terrace'!$A$12:$A$130,"&gt;="&amp;Diagram!$K$15,'J1 B - Butcher Terrace'!$A$12:$A$130,"&lt;="&amp;Diagram!$L$15),SUMIFS(INDIRECT(ADDRESS(12,3+18*0+(15),,,"J1 B - Butcher Terrace")&amp;":"&amp;ADDRESS(130,3+18*0+(15))),'J1 B - Butcher Terrace'!$A$12:$A$130,"&gt;="&amp;Diagram!$K$15,'J1 B - Butcher Terrace'!$A$12:$A$130,"&lt;="&amp;Diagram!$L$15)))</f>
        <v>6</v>
      </c>
      <c r="CC100">
        <f ca="1">IF(OR($I$10="",$K$15="",$L$15=""),0,IF($K$10=0,SUMIFS(INDIRECT(ADDRESS(12,3+18*1+(7),,,"J1 B - Butcher Terrace")&amp;":"&amp;ADDRESS(130,3+18*1+(7))),'J1 B - Butcher Terrace'!$A$12:$A$130,"&gt;="&amp;Diagram!$K$15,'J1 B - Butcher Terrace'!$A$12:$A$130,"&lt;="&amp;Diagram!$L$15),SUMIFS(INDIRECT(ADDRESS(12,3+18*1+(15),,,"J1 B - Butcher Terrace")&amp;":"&amp;ADDRESS(130,3+18*1+(15))),'J1 B - Butcher Terrace'!$A$12:$A$130,"&gt;="&amp;Diagram!$K$15,'J1 B - Butcher Terrace'!$A$12:$A$130,"&lt;="&amp;Diagram!$L$15)))</f>
        <v>0</v>
      </c>
    </row>
    <row r="101" spans="18:81">
      <c r="R101">
        <f ca="1">IF(OR($I$10="",$K$15="",$L$15="",$J$35&lt;&gt;"Yes"),0,IF($K$10=0,SUMIFS(INDIRECT(ADDRESS(12,3+18*1+(0),,,"J1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2841</v>
      </c>
      <c r="S101">
        <f ca="1">IF(OR($I$10="",$K$15="",$L$15="",$J$35&lt;&gt;"Yes"),0,IF($K$10=0,SUMIFS(INDIRECT(ADDRESS(12,3+18*2+(0),,,"J1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85</v>
      </c>
      <c r="T101">
        <f ca="1">IF(OR($I$10="",$K$15="",$L$15="",$J$35&lt;&gt;"Yes"),0,IF($K$10=0,SUMIFS(INDIRECT(ADDRESS(12,3+18*3+(0),,,"J1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5</v>
      </c>
      <c r="U101">
        <f ca="1">IF(OR($I$10="",$K$15="",$L$15="",$J$35&lt;&gt;"Yes"),0,IF($K$10=0,SUMIFS(INDIRECT(ADDRESS(12,3+18*0+(0),,,"J1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91</v>
      </c>
      <c r="V101">
        <f ca="1">IF(OR($I$10="",$K$15="",$L$15=""),0,IF($K$10=0,SUMIFS(INDIRECT(ADDRESS(12,3+18*1+(0),,,"J1 C - (South) Bishopthorpe Roa")&amp;":"&amp;ADDRESS(130,3+18*1+(0))),'J1 C - (South) Bishopthorpe Roa'!$A$12:$A$130,"&gt;="&amp;Diagram!$K$15,'J1 C - (South) Bishopthorpe Roa'!$A$12:$A$130,"&lt;="&amp;Diagram!$L$15),SUMIFS(INDIRECT(ADDRESS(12,3+18*1+(8),,,"J1 C - (South) Bishopthorpe Roa")&amp;":"&amp;ADDRESS(130,3+18*1+(8))),'J1 C - (South) Bishopthorpe Roa'!$A$12:$A$130,"&gt;="&amp;Diagram!$K$15,'J1 C - (South) Bishopthorpe Roa'!$A$12:$A$130,"&lt;="&amp;Diagram!$L$15)))</f>
        <v>2841</v>
      </c>
      <c r="W101">
        <f ca="1">IF(OR($I$10="",$K$15="",$L$15=""),0,IF($K$10=0,SUMIFS(INDIRECT(ADDRESS(12,3+18*2+(0),,,"J1 C - (South) Bishopthorpe Roa")&amp;":"&amp;ADDRESS(130,3+18*2+(0))),'J1 C - (South) Bishopthorpe Roa'!$A$12:$A$130,"&gt;="&amp;Diagram!$K$15,'J1 C - (South) Bishopthorpe Roa'!$A$12:$A$130,"&lt;="&amp;Diagram!$L$15),SUMIFS(INDIRECT(ADDRESS(12,3+18*2+(8),,,"J1 C - (South) Bishopthorpe Roa")&amp;":"&amp;ADDRESS(130,3+18*2+(8))),'J1 C - (South) Bishopthorpe Roa'!$A$12:$A$130,"&gt;="&amp;Diagram!$K$15,'J1 C - (South) Bishopthorpe Roa'!$A$12:$A$130,"&lt;="&amp;Diagram!$L$15)))</f>
        <v>85</v>
      </c>
      <c r="X101">
        <f ca="1">IF(OR($I$10="",$K$15="",$L$15=""),0,IF($K$10=0,SUMIFS(INDIRECT(ADDRESS(12,3+18*3+(0),,,"J1 C - (South) Bishopthorpe Roa")&amp;":"&amp;ADDRESS(130,3+18*3+(0))),'J1 C - (South) Bishopthorpe Roa'!$A$12:$A$130,"&gt;="&amp;Diagram!$K$15,'J1 C - (South) Bishopthorpe Roa'!$A$12:$A$130,"&lt;="&amp;Diagram!$L$15),SUMIFS(INDIRECT(ADDRESS(12,3+18*3+(8),,,"J1 C - (South) Bishopthorpe Roa")&amp;":"&amp;ADDRESS(130,3+18*3+(8))),'J1 C - (South) Bishopthorpe Roa'!$A$12:$A$130,"&gt;="&amp;Diagram!$K$15,'J1 C - (South) Bishopthorpe Roa'!$A$12:$A$130,"&lt;="&amp;Diagram!$L$15)))</f>
        <v>5</v>
      </c>
      <c r="Y101">
        <f ca="1">IF(OR($I$10="",$K$15="",$L$15=""),0,IF($K$10=0,SUMIFS(INDIRECT(ADDRESS(12,3+18*0+(0),,,"J1 C - (South) Bishopthorpe Roa")&amp;":"&amp;ADDRESS(130,3+18*0+(0))),'J1 C - (South) Bishopthorpe Roa'!$A$12:$A$130,"&gt;="&amp;Diagram!$K$15,'J1 C - (South) Bishopthorpe Roa'!$A$12:$A$130,"&lt;="&amp;Diagram!$L$15),SUMIFS(INDIRECT(ADDRESS(12,3+18*0+(8),,,"J1 C - (South) Bishopthorpe Roa")&amp;":"&amp;ADDRESS(130,3+18*0+(8))),'J1 C - (South) Bishopthorpe Roa'!$A$12:$A$130,"&gt;="&amp;Diagram!$K$15,'J1 C - (South) Bishopthorpe Roa'!$A$12:$A$130,"&lt;="&amp;Diagram!$L$15)))</f>
        <v>91</v>
      </c>
      <c r="Z101">
        <f ca="1">IF(OR($I$10="",$K$15="",$L$15="",$J$36&lt;&gt;"Yes"),0,IF($K$10=0,SUMIFS(INDIRECT(ADDRESS(12,3+18*1+(1),,,"J1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296</v>
      </c>
      <c r="AA101">
        <f ca="1">IF(OR($I$10="",$K$15="",$L$15="",$J$36&lt;&gt;"Yes"),0,IF($K$10=0,SUMIFS(INDIRECT(ADDRESS(12,3+18*2+(1),,,"J1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14</v>
      </c>
      <c r="AB101">
        <f ca="1">IF(OR($I$10="",$K$15="",$L$15="",$J$36&lt;&gt;"Yes"),0,IF($K$10=0,SUMIFS(INDIRECT(ADDRESS(12,3+18*3+(1),,,"J1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C101">
        <f ca="1">IF(OR($I$10="",$K$15="",$L$15="",$J$36&lt;&gt;"Yes"),0,IF($K$10=0,SUMIFS(INDIRECT(ADDRESS(12,3+18*0+(1),,,"J1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21</v>
      </c>
      <c r="AD101">
        <f ca="1">IF(OR($I$10="",$K$15="",$L$15=""),0,IF($K$10=0,SUMIFS(INDIRECT(ADDRESS(12,3+18*1+(1),,,"J1 C - (South) Bishopthorpe Roa")&amp;":"&amp;ADDRESS(130,3+18*1+(1))),'J1 C - (South) Bishopthorpe Roa'!$A$12:$A$130,"&gt;="&amp;Diagram!$K$15,'J1 C - (South) Bishopthorpe Roa'!$A$12:$A$130,"&lt;="&amp;Diagram!$L$15),SUMIFS(INDIRECT(ADDRESS(12,3+18*1+(9),,,"J1 C - (South) Bishopthorpe Roa")&amp;":"&amp;ADDRESS(130,3+18*1+(9))),'J1 C - (South) Bishopthorpe Roa'!$A$12:$A$130,"&gt;="&amp;Diagram!$K$15,'J1 C - (South) Bishopthorpe Roa'!$A$12:$A$130,"&lt;="&amp;Diagram!$L$15)))</f>
        <v>296</v>
      </c>
      <c r="AE101">
        <f ca="1">IF(OR($I$10="",$K$15="",$L$15=""),0,IF($K$10=0,SUMIFS(INDIRECT(ADDRESS(12,3+18*2+(1),,,"J1 C - (South) Bishopthorpe Roa")&amp;":"&amp;ADDRESS(130,3+18*2+(1))),'J1 C - (South) Bishopthorpe Roa'!$A$12:$A$130,"&gt;="&amp;Diagram!$K$15,'J1 C - (South) Bishopthorpe Roa'!$A$12:$A$130,"&lt;="&amp;Diagram!$L$15),SUMIFS(INDIRECT(ADDRESS(12,3+18*2+(9),,,"J1 C - (South) Bishopthorpe Roa")&amp;":"&amp;ADDRESS(130,3+18*2+(9))),'J1 C - (South) Bishopthorpe Roa'!$A$12:$A$130,"&gt;="&amp;Diagram!$K$15,'J1 C - (South) Bishopthorpe Roa'!$A$12:$A$130,"&lt;="&amp;Diagram!$L$15)))</f>
        <v>14</v>
      </c>
      <c r="AF101">
        <f ca="1">IF(OR($I$10="",$K$15="",$L$15=""),0,IF($K$10=0,SUMIFS(INDIRECT(ADDRESS(12,3+18*3+(1),,,"J1 C - (South) Bishopthorpe Roa")&amp;":"&amp;ADDRESS(130,3+18*3+(1))),'J1 C - (South) Bishopthorpe Roa'!$A$12:$A$130,"&gt;="&amp;Diagram!$K$15,'J1 C - (South) Bishopthorpe Roa'!$A$12:$A$130,"&lt;="&amp;Diagram!$L$15),SUMIFS(INDIRECT(ADDRESS(12,3+18*3+(9),,,"J1 C - (South) Bishopthorpe Roa")&amp;":"&amp;ADDRESS(130,3+18*3+(9))),'J1 C - (South) Bishopthorpe Roa'!$A$12:$A$130,"&gt;="&amp;Diagram!$K$15,'J1 C - (South) Bishopthorpe Roa'!$A$12:$A$130,"&lt;="&amp;Diagram!$L$15)))</f>
        <v>0</v>
      </c>
      <c r="AG101">
        <f ca="1">IF(OR($I$10="",$K$15="",$L$15=""),0,IF($K$10=0,SUMIFS(INDIRECT(ADDRESS(12,3+18*0+(1),,,"J1 C - (South) Bishopthorpe Roa")&amp;":"&amp;ADDRESS(130,3+18*0+(1))),'J1 C - (South) Bishopthorpe Roa'!$A$12:$A$130,"&gt;="&amp;Diagram!$K$15,'J1 C - (South) Bishopthorpe Roa'!$A$12:$A$130,"&lt;="&amp;Diagram!$L$15),SUMIFS(INDIRECT(ADDRESS(12,3+18*0+(9),,,"J1 C - (South) Bishopthorpe Roa")&amp;":"&amp;ADDRESS(130,3+18*0+(9))),'J1 C - (South) Bishopthorpe Roa'!$A$12:$A$130,"&gt;="&amp;Diagram!$K$15,'J1 C - (South) Bishopthorpe Roa'!$A$12:$A$130,"&lt;="&amp;Diagram!$L$15)))</f>
        <v>21</v>
      </c>
      <c r="AH101">
        <f ca="1">IF(OR($I$10="",$K$15="",$L$15="",$J$37&lt;&gt;"Yes"),0,IF($K$10=0,SUMIFS(INDIRECT(ADDRESS(12,3+18*1+(2),,,"J1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38</v>
      </c>
      <c r="AI101">
        <f ca="1">IF(OR($I$10="",$K$15="",$L$15="",$J$37&lt;&gt;"Yes"),0,IF($K$10=0,SUMIFS(INDIRECT(ADDRESS(12,3+18*2+(2),,,"J1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2</v>
      </c>
      <c r="AJ101">
        <f ca="1">IF(OR($I$10="",$K$15="",$L$15="",$J$37&lt;&gt;"Yes"),0,IF($K$10=0,SUMIFS(INDIRECT(ADDRESS(12,3+18*3+(2),,,"J1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K101">
        <f ca="1">IF(OR($I$10="",$K$15="",$L$15="",$J$37&lt;&gt;"Yes"),0,IF($K$10=0,SUMIFS(INDIRECT(ADDRESS(12,3+18*0+(2),,,"J1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3</v>
      </c>
      <c r="AL101">
        <f ca="1">IF(OR($I$10="",$K$15="",$L$15=""),0,IF($K$10=0,SUMIFS(INDIRECT(ADDRESS(12,3+18*1+(2),,,"J1 C - (South) Bishopthorpe Roa")&amp;":"&amp;ADDRESS(130,3+18*1+(2))),'J1 C - (South) Bishopthorpe Roa'!$A$12:$A$130,"&gt;="&amp;Diagram!$K$15,'J1 C - (South) Bishopthorpe Roa'!$A$12:$A$130,"&lt;="&amp;Diagram!$L$15),SUMIFS(INDIRECT(ADDRESS(12,3+18*1+(10),,,"J1 C - (South) Bishopthorpe Roa")&amp;":"&amp;ADDRESS(130,3+18*1+(10))),'J1 C - (South) Bishopthorpe Roa'!$A$12:$A$130,"&gt;="&amp;Diagram!$K$15,'J1 C - (South) Bishopthorpe Roa'!$A$12:$A$130,"&lt;="&amp;Diagram!$L$15)))</f>
        <v>38</v>
      </c>
      <c r="AM101">
        <f ca="1">IF(OR($I$10="",$K$15="",$L$15=""),0,IF($K$10=0,SUMIFS(INDIRECT(ADDRESS(12,3+18*2+(2),,,"J1 C - (South) Bishopthorpe Roa")&amp;":"&amp;ADDRESS(130,3+18*2+(2))),'J1 C - (South) Bishopthorpe Roa'!$A$12:$A$130,"&gt;="&amp;Diagram!$K$15,'J1 C - (South) Bishopthorpe Roa'!$A$12:$A$130,"&lt;="&amp;Diagram!$L$15),SUMIFS(INDIRECT(ADDRESS(12,3+18*2+(10),,,"J1 C - (South) Bishopthorpe Roa")&amp;":"&amp;ADDRESS(130,3+18*2+(10))),'J1 C - (South) Bishopthorpe Roa'!$A$12:$A$130,"&gt;="&amp;Diagram!$K$15,'J1 C - (South) Bishopthorpe Roa'!$A$12:$A$130,"&lt;="&amp;Diagram!$L$15)))</f>
        <v>2</v>
      </c>
      <c r="AN101">
        <f ca="1">IF(OR($I$10="",$K$15="",$L$15=""),0,IF($K$10=0,SUMIFS(INDIRECT(ADDRESS(12,3+18*3+(2),,,"J1 C - (South) Bishopthorpe Roa")&amp;":"&amp;ADDRESS(130,3+18*3+(2))),'J1 C - (South) Bishopthorpe Roa'!$A$12:$A$130,"&gt;="&amp;Diagram!$K$15,'J1 C - (South) Bishopthorpe Roa'!$A$12:$A$130,"&lt;="&amp;Diagram!$L$15),SUMIFS(INDIRECT(ADDRESS(12,3+18*3+(10),,,"J1 C - (South) Bishopthorpe Roa")&amp;":"&amp;ADDRESS(130,3+18*3+(10))),'J1 C - (South) Bishopthorpe Roa'!$A$12:$A$130,"&gt;="&amp;Diagram!$K$15,'J1 C - (South) Bishopthorpe Roa'!$A$12:$A$130,"&lt;="&amp;Diagram!$L$15)))</f>
        <v>0</v>
      </c>
      <c r="AO101">
        <f ca="1">IF(OR($I$10="",$K$15="",$L$15=""),0,IF($K$10=0,SUMIFS(INDIRECT(ADDRESS(12,3+18*0+(2),,,"J1 C - (South) Bishopthorpe Roa")&amp;":"&amp;ADDRESS(130,3+18*0+(2))),'J1 C - (South) Bishopthorpe Roa'!$A$12:$A$130,"&gt;="&amp;Diagram!$K$15,'J1 C - (South) Bishopthorpe Roa'!$A$12:$A$130,"&lt;="&amp;Diagram!$L$15),SUMIFS(INDIRECT(ADDRESS(12,3+18*0+(10),,,"J1 C - (South) Bishopthorpe Roa")&amp;":"&amp;ADDRESS(130,3+18*0+(10))),'J1 C - (South) Bishopthorpe Roa'!$A$12:$A$130,"&gt;="&amp;Diagram!$K$15,'J1 C - (South) Bishopthorpe Roa'!$A$12:$A$130,"&lt;="&amp;Diagram!$L$15)))</f>
        <v>3</v>
      </c>
      <c r="AP101">
        <f ca="1">IF(OR($I$10="",$K$15="",$L$15="",$J$38&lt;&gt;"Yes"),0,IF($K$10=0,SUMIFS(INDIRECT(ADDRESS(12,3+18*1+(3),,,"J1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4</v>
      </c>
      <c r="AQ101">
        <f ca="1">IF(OR($I$10="",$K$15="",$L$15="",$J$38&lt;&gt;"Yes"),0,IF($K$10=0,SUMIFS(INDIRECT(ADDRESS(12,3+18*2+(3),,,"J1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R101">
        <f ca="1">IF(OR($I$10="",$K$15="",$L$15="",$J$38&lt;&gt;"Yes"),0,IF($K$10=0,SUMIFS(INDIRECT(ADDRESS(12,3+18*3+(3),,,"J1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S101">
        <f ca="1">IF(OR($I$10="",$K$15="",$L$15="",$J$38&lt;&gt;"Yes"),0,IF($K$10=0,SUMIFS(INDIRECT(ADDRESS(12,3+18*0+(3),,,"J1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T101">
        <f ca="1">IF(OR($I$10="",$K$15="",$L$15=""),0,IF($K$10=0,SUMIFS(INDIRECT(ADDRESS(12,3+18*1+(3),,,"J1 C - (South) Bishopthorpe Roa")&amp;":"&amp;ADDRESS(130,3+18*1+(3))),'J1 C - (South) Bishopthorpe Roa'!$A$12:$A$130,"&gt;="&amp;Diagram!$K$15,'J1 C - (South) Bishopthorpe Roa'!$A$12:$A$130,"&lt;="&amp;Diagram!$L$15),SUMIFS(INDIRECT(ADDRESS(12,3+18*1+(11),,,"J1 C - (South) Bishopthorpe Roa")&amp;":"&amp;ADDRESS(130,3+18*1+(11))),'J1 C - (South) Bishopthorpe Roa'!$A$12:$A$130,"&gt;="&amp;Diagram!$K$15,'J1 C - (South) Bishopthorpe Roa'!$A$12:$A$130,"&lt;="&amp;Diagram!$L$15)))</f>
        <v>4</v>
      </c>
      <c r="AU101">
        <f ca="1">IF(OR($I$10="",$K$15="",$L$15=""),0,IF($K$10=0,SUMIFS(INDIRECT(ADDRESS(12,3+18*2+(3),,,"J1 C - (South) Bishopthorpe Roa")&amp;":"&amp;ADDRESS(130,3+18*2+(3))),'J1 C - (South) Bishopthorpe Roa'!$A$12:$A$130,"&gt;="&amp;Diagram!$K$15,'J1 C - (South) Bishopthorpe Roa'!$A$12:$A$130,"&lt;="&amp;Diagram!$L$15),SUMIFS(INDIRECT(ADDRESS(12,3+18*2+(11),,,"J1 C - (South) Bishopthorpe Roa")&amp;":"&amp;ADDRESS(130,3+18*2+(11))),'J1 C - (South) Bishopthorpe Roa'!$A$12:$A$130,"&gt;="&amp;Diagram!$K$15,'J1 C - (South) Bishopthorpe Roa'!$A$12:$A$130,"&lt;="&amp;Diagram!$L$15)))</f>
        <v>0</v>
      </c>
      <c r="AV101">
        <f ca="1">IF(OR($I$10="",$K$15="",$L$15=""),0,IF($K$10=0,SUMIFS(INDIRECT(ADDRESS(12,3+18*3+(3),,,"J1 C - (South) Bishopthorpe Roa")&amp;":"&amp;ADDRESS(130,3+18*3+(3))),'J1 C - (South) Bishopthorpe Roa'!$A$12:$A$130,"&gt;="&amp;Diagram!$K$15,'J1 C - (South) Bishopthorpe Roa'!$A$12:$A$130,"&lt;="&amp;Diagram!$L$15),SUMIFS(INDIRECT(ADDRESS(12,3+18*3+(11),,,"J1 C - (South) Bishopthorpe Roa")&amp;":"&amp;ADDRESS(130,3+18*3+(11))),'J1 C - (South) Bishopthorpe Roa'!$A$12:$A$130,"&gt;="&amp;Diagram!$K$15,'J1 C - (South) Bishopthorpe Roa'!$A$12:$A$130,"&lt;="&amp;Diagram!$L$15)))</f>
        <v>0</v>
      </c>
      <c r="AW101">
        <f ca="1">IF(OR($I$10="",$K$15="",$L$15=""),0,IF($K$10=0,SUMIFS(INDIRECT(ADDRESS(12,3+18*0+(3),,,"J1 C - (South) Bishopthorpe Roa")&amp;":"&amp;ADDRESS(130,3+18*0+(3))),'J1 C - (South) Bishopthorpe Roa'!$A$12:$A$130,"&gt;="&amp;Diagram!$K$15,'J1 C - (South) Bishopthorpe Roa'!$A$12:$A$130,"&lt;="&amp;Diagram!$L$15),SUMIFS(INDIRECT(ADDRESS(12,3+18*0+(11),,,"J1 C - (South) Bishopthorpe Roa")&amp;":"&amp;ADDRESS(130,3+18*0+(11))),'J1 C - (South) Bishopthorpe Roa'!$A$12:$A$130,"&gt;="&amp;Diagram!$K$15,'J1 C - (South) Bishopthorpe Roa'!$A$12:$A$130,"&lt;="&amp;Diagram!$L$15)))</f>
        <v>0</v>
      </c>
      <c r="AX101">
        <f ca="1">IF(OR($I$10="",$K$15="",$L$15="",$J$39&lt;&gt;"Yes"),0,IF($K$10=0,SUMIFS(INDIRECT(ADDRESS(12,3+18*1+(4),,,"J1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51</v>
      </c>
      <c r="AY101">
        <f ca="1">IF(OR($I$10="",$K$15="",$L$15="",$J$39&lt;&gt;"Yes"),0,IF($K$10=0,SUMIFS(INDIRECT(ADDRESS(12,3+18*2+(4),,,"J1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AZ101">
        <f ca="1">IF(OR($I$10="",$K$15="",$L$15="",$J$39&lt;&gt;"Yes"),0,IF($K$10=0,SUMIFS(INDIRECT(ADDRESS(12,3+18*3+(4),,,"J1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A101">
        <f ca="1">IF(OR($I$10="",$K$15="",$L$15="",$J$39&lt;&gt;"Yes"),0,IF($K$10=0,SUMIFS(INDIRECT(ADDRESS(12,3+18*0+(4),,,"J1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B101">
        <f ca="1">IF(OR($I$10="",$K$15="",$L$15=""),0,IF($K$10=0,SUMIFS(INDIRECT(ADDRESS(12,3+18*1+(4),,,"J1 C - (South) Bishopthorpe Roa")&amp;":"&amp;ADDRESS(130,3+18*1+(4))),'J1 C - (South) Bishopthorpe Roa'!$A$12:$A$130,"&gt;="&amp;Diagram!$K$15,'J1 C - (South) Bishopthorpe Roa'!$A$12:$A$130,"&lt;="&amp;Diagram!$L$15),SUMIFS(INDIRECT(ADDRESS(12,3+18*1+(12),,,"J1 C - (South) Bishopthorpe Roa")&amp;":"&amp;ADDRESS(130,3+18*1+(12))),'J1 C - (South) Bishopthorpe Roa'!$A$12:$A$130,"&gt;="&amp;Diagram!$K$15,'J1 C - (South) Bishopthorpe Roa'!$A$12:$A$130,"&lt;="&amp;Diagram!$L$15)))</f>
        <v>51</v>
      </c>
      <c r="BC101">
        <f ca="1">IF(OR($I$10="",$K$15="",$L$15=""),0,IF($K$10=0,SUMIFS(INDIRECT(ADDRESS(12,3+18*2+(4),,,"J1 C - (South) Bishopthorpe Roa")&amp;":"&amp;ADDRESS(130,3+18*2+(4))),'J1 C - (South) Bishopthorpe Roa'!$A$12:$A$130,"&gt;="&amp;Diagram!$K$15,'J1 C - (South) Bishopthorpe Roa'!$A$12:$A$130,"&lt;="&amp;Diagram!$L$15),SUMIFS(INDIRECT(ADDRESS(12,3+18*2+(12),,,"J1 C - (South) Bishopthorpe Roa")&amp;":"&amp;ADDRESS(130,3+18*2+(12))),'J1 C - (South) Bishopthorpe Roa'!$A$12:$A$130,"&gt;="&amp;Diagram!$K$15,'J1 C - (South) Bishopthorpe Roa'!$A$12:$A$130,"&lt;="&amp;Diagram!$L$15)))</f>
        <v>0</v>
      </c>
      <c r="BD101">
        <f ca="1">IF(OR($I$10="",$K$15="",$L$15=""),0,IF($K$10=0,SUMIFS(INDIRECT(ADDRESS(12,3+18*3+(4),,,"J1 C - (South) Bishopthorpe Roa")&amp;":"&amp;ADDRESS(130,3+18*3+(4))),'J1 C - (South) Bishopthorpe Roa'!$A$12:$A$130,"&gt;="&amp;Diagram!$K$15,'J1 C - (South) Bishopthorpe Roa'!$A$12:$A$130,"&lt;="&amp;Diagram!$L$15),SUMIFS(INDIRECT(ADDRESS(12,3+18*3+(12),,,"J1 C - (South) Bishopthorpe Roa")&amp;":"&amp;ADDRESS(130,3+18*3+(12))),'J1 C - (South) Bishopthorpe Roa'!$A$12:$A$130,"&gt;="&amp;Diagram!$K$15,'J1 C - (South) Bishopthorpe Roa'!$A$12:$A$130,"&lt;="&amp;Diagram!$L$15)))</f>
        <v>0</v>
      </c>
      <c r="BE101">
        <f ca="1">IF(OR($I$10="",$K$15="",$L$15=""),0,IF($K$10=0,SUMIFS(INDIRECT(ADDRESS(12,3+18*0+(4),,,"J1 C - (South) Bishopthorpe Roa")&amp;":"&amp;ADDRESS(130,3+18*0+(4))),'J1 C - (South) Bishopthorpe Roa'!$A$12:$A$130,"&gt;="&amp;Diagram!$K$15,'J1 C - (South) Bishopthorpe Roa'!$A$12:$A$130,"&lt;="&amp;Diagram!$L$15),SUMIFS(INDIRECT(ADDRESS(12,3+18*0+(12),,,"J1 C - (South) Bishopthorpe Roa")&amp;":"&amp;ADDRESS(130,3+18*0+(12))),'J1 C - (South) Bishopthorpe Roa'!$A$12:$A$130,"&gt;="&amp;Diagram!$K$15,'J1 C - (South) Bishopthorpe Roa'!$A$12:$A$130,"&lt;="&amp;Diagram!$L$15)))</f>
        <v>0</v>
      </c>
      <c r="BF101">
        <f ca="1">IF(OR($I$10="",$K$15="",$L$15="",$J$40&lt;&gt;"Yes"),0,IF($K$10=0,SUMIFS(INDIRECT(ADDRESS(12,3+18*1+(5),,,"J1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198</v>
      </c>
      <c r="BG101">
        <f ca="1">IF(OR($I$10="",$K$15="",$L$15="",$J$40&lt;&gt;"Yes"),0,IF($K$10=0,SUMIFS(INDIRECT(ADDRESS(12,3+18*2+(5),,,"J1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99</v>
      </c>
      <c r="BH101">
        <f ca="1">IF(OR($I$10="",$K$15="",$L$15="",$J$40&lt;&gt;"Yes"),0,IF($K$10=0,SUMIFS(INDIRECT(ADDRESS(12,3+18*3+(5),,,"J1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I101">
        <f ca="1">IF(OR($I$10="",$K$15="",$L$15="",$J$40&lt;&gt;"Yes"),0,IF($K$10=0,SUMIFS(INDIRECT(ADDRESS(12,3+18*0+(5),,,"J1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13</v>
      </c>
      <c r="BJ101">
        <f ca="1">IF(OR($I$10="",$K$15="",$L$15=""),0,IF($K$10=0,SUMIFS(INDIRECT(ADDRESS(12,3+18*1+(5),,,"J1 C - (South) Bishopthorpe Roa")&amp;":"&amp;ADDRESS(130,3+18*1+(5))),'J1 C - (South) Bishopthorpe Roa'!$A$12:$A$130,"&gt;="&amp;Diagram!$K$15,'J1 C - (South) Bishopthorpe Roa'!$A$12:$A$130,"&lt;="&amp;Diagram!$L$15),SUMIFS(INDIRECT(ADDRESS(12,3+18*1+(13),,,"J1 C - (South) Bishopthorpe Roa")&amp;":"&amp;ADDRESS(130,3+18*1+(13))),'J1 C - (South) Bishopthorpe Roa'!$A$12:$A$130,"&gt;="&amp;Diagram!$K$15,'J1 C - (South) Bishopthorpe Roa'!$A$12:$A$130,"&lt;="&amp;Diagram!$L$15)))</f>
        <v>198</v>
      </c>
      <c r="BK101">
        <f ca="1">IF(OR($I$10="",$K$15="",$L$15=""),0,IF($K$10=0,SUMIFS(INDIRECT(ADDRESS(12,3+18*2+(5),,,"J1 C - (South) Bishopthorpe Roa")&amp;":"&amp;ADDRESS(130,3+18*2+(5))),'J1 C - (South) Bishopthorpe Roa'!$A$12:$A$130,"&gt;="&amp;Diagram!$K$15,'J1 C - (South) Bishopthorpe Roa'!$A$12:$A$130,"&lt;="&amp;Diagram!$L$15),SUMIFS(INDIRECT(ADDRESS(12,3+18*2+(13),,,"J1 C - (South) Bishopthorpe Roa")&amp;":"&amp;ADDRESS(130,3+18*2+(13))),'J1 C - (South) Bishopthorpe Roa'!$A$12:$A$130,"&gt;="&amp;Diagram!$K$15,'J1 C - (South) Bishopthorpe Roa'!$A$12:$A$130,"&lt;="&amp;Diagram!$L$15)))</f>
        <v>99</v>
      </c>
      <c r="BL101">
        <f ca="1">IF(OR($I$10="",$K$15="",$L$15=""),0,IF($K$10=0,SUMIFS(INDIRECT(ADDRESS(12,3+18*3+(5),,,"J1 C - (South) Bishopthorpe Roa")&amp;":"&amp;ADDRESS(130,3+18*3+(5))),'J1 C - (South) Bishopthorpe Roa'!$A$12:$A$130,"&gt;="&amp;Diagram!$K$15,'J1 C - (South) Bishopthorpe Roa'!$A$12:$A$130,"&lt;="&amp;Diagram!$L$15),SUMIFS(INDIRECT(ADDRESS(12,3+18*3+(13),,,"J1 C - (South) Bishopthorpe Roa")&amp;":"&amp;ADDRESS(130,3+18*3+(13))),'J1 C - (South) Bishopthorpe Roa'!$A$12:$A$130,"&gt;="&amp;Diagram!$K$15,'J1 C - (South) Bishopthorpe Roa'!$A$12:$A$130,"&lt;="&amp;Diagram!$L$15)))</f>
        <v>0</v>
      </c>
      <c r="BM101">
        <f ca="1">IF(OR($I$10="",$K$15="",$L$15=""),0,IF($K$10=0,SUMIFS(INDIRECT(ADDRESS(12,3+18*0+(5),,,"J1 C - (South) Bishopthorpe Roa")&amp;":"&amp;ADDRESS(130,3+18*0+(5))),'J1 C - (South) Bishopthorpe Roa'!$A$12:$A$130,"&gt;="&amp;Diagram!$K$15,'J1 C - (South) Bishopthorpe Roa'!$A$12:$A$130,"&lt;="&amp;Diagram!$L$15),SUMIFS(INDIRECT(ADDRESS(12,3+18*0+(13),,,"J1 C - (South) Bishopthorpe Roa")&amp;":"&amp;ADDRESS(130,3+18*0+(13))),'J1 C - (South) Bishopthorpe Roa'!$A$12:$A$130,"&gt;="&amp;Diagram!$K$15,'J1 C - (South) Bishopthorpe Roa'!$A$12:$A$130,"&lt;="&amp;Diagram!$L$15)))</f>
        <v>13</v>
      </c>
      <c r="BN101">
        <f ca="1">IF(OR($I$10="",$K$15="",$L$15="",$J$41&lt;&gt;"Yes"),0,IF($K$10=0,SUMIFS(INDIRECT(ADDRESS(12,3+18*1+(6),,,"J1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31</v>
      </c>
      <c r="BO101">
        <f ca="1">IF(OR($I$10="",$K$15="",$L$15="",$J$41&lt;&gt;"Yes"),0,IF($K$10=0,SUMIFS(INDIRECT(ADDRESS(12,3+18*2+(6),,,"J1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3</v>
      </c>
      <c r="BP101">
        <f ca="1">IF(OR($I$10="",$K$15="",$L$15="",$J$41&lt;&gt;"Yes"),0,IF($K$10=0,SUMIFS(INDIRECT(ADDRESS(12,3+18*3+(6),,,"J1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Q101">
        <f ca="1">IF(OR($I$10="",$K$15="",$L$15="",$J$41&lt;&gt;"Yes"),0,IF($K$10=0,SUMIFS(INDIRECT(ADDRESS(12,3+18*0+(6),,,"J1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R101">
        <f ca="1">IF(OR($I$10="",$K$15="",$L$15=""),0,IF($K$10=0,SUMIFS(INDIRECT(ADDRESS(12,3+18*1+(6),,,"J1 C - (South) Bishopthorpe Roa")&amp;":"&amp;ADDRESS(130,3+18*1+(6))),'J1 C - (South) Bishopthorpe Roa'!$A$12:$A$130,"&gt;="&amp;Diagram!$K$15,'J1 C - (South) Bishopthorpe Roa'!$A$12:$A$130,"&lt;="&amp;Diagram!$L$15),SUMIFS(INDIRECT(ADDRESS(12,3+18*1+(14),,,"J1 C - (South) Bishopthorpe Roa")&amp;":"&amp;ADDRESS(130,3+18*1+(14))),'J1 C - (South) Bishopthorpe Roa'!$A$12:$A$130,"&gt;="&amp;Diagram!$K$15,'J1 C - (South) Bishopthorpe Roa'!$A$12:$A$130,"&lt;="&amp;Diagram!$L$15)))</f>
        <v>31</v>
      </c>
      <c r="BS101">
        <f ca="1">IF(OR($I$10="",$K$15="",$L$15=""),0,IF($K$10=0,SUMIFS(INDIRECT(ADDRESS(12,3+18*2+(6),,,"J1 C - (South) Bishopthorpe Roa")&amp;":"&amp;ADDRESS(130,3+18*2+(6))),'J1 C - (South) Bishopthorpe Roa'!$A$12:$A$130,"&gt;="&amp;Diagram!$K$15,'J1 C - (South) Bishopthorpe Roa'!$A$12:$A$130,"&lt;="&amp;Diagram!$L$15),SUMIFS(INDIRECT(ADDRESS(12,3+18*2+(14),,,"J1 C - (South) Bishopthorpe Roa")&amp;":"&amp;ADDRESS(130,3+18*2+(14))),'J1 C - (South) Bishopthorpe Roa'!$A$12:$A$130,"&gt;="&amp;Diagram!$K$15,'J1 C - (South) Bishopthorpe Roa'!$A$12:$A$130,"&lt;="&amp;Diagram!$L$15)))</f>
        <v>3</v>
      </c>
      <c r="BT101">
        <f ca="1">IF(OR($I$10="",$K$15="",$L$15=""),0,IF($K$10=0,SUMIFS(INDIRECT(ADDRESS(12,3+18*3+(6),,,"J1 C - (South) Bishopthorpe Roa")&amp;":"&amp;ADDRESS(130,3+18*3+(6))),'J1 C - (South) Bishopthorpe Roa'!$A$12:$A$130,"&gt;="&amp;Diagram!$K$15,'J1 C - (South) Bishopthorpe Roa'!$A$12:$A$130,"&lt;="&amp;Diagram!$L$15),SUMIFS(INDIRECT(ADDRESS(12,3+18*3+(14),,,"J1 C - (South) Bishopthorpe Roa")&amp;":"&amp;ADDRESS(130,3+18*3+(14))),'J1 C - (South) Bishopthorpe Roa'!$A$12:$A$130,"&gt;="&amp;Diagram!$K$15,'J1 C - (South) Bishopthorpe Roa'!$A$12:$A$130,"&lt;="&amp;Diagram!$L$15)))</f>
        <v>0</v>
      </c>
      <c r="BU101">
        <f ca="1">IF(OR($I$10="",$K$15="",$L$15=""),0,IF($K$10=0,SUMIFS(INDIRECT(ADDRESS(12,3+18*0+(6),,,"J1 C - (South) Bishopthorpe Roa")&amp;":"&amp;ADDRESS(130,3+18*0+(6))),'J1 C - (South) Bishopthorpe Roa'!$A$12:$A$130,"&gt;="&amp;Diagram!$K$15,'J1 C - (South) Bishopthorpe Roa'!$A$12:$A$130,"&lt;="&amp;Diagram!$L$15),SUMIFS(INDIRECT(ADDRESS(12,3+18*0+(14),,,"J1 C - (South) Bishopthorpe Roa")&amp;":"&amp;ADDRESS(130,3+18*0+(14))),'J1 C - (South) Bishopthorpe Roa'!$A$12:$A$130,"&gt;="&amp;Diagram!$K$15,'J1 C - (South) Bishopthorpe Roa'!$A$12:$A$130,"&lt;="&amp;Diagram!$L$15)))</f>
        <v>0</v>
      </c>
      <c r="BV101">
        <f ca="1">IF(OR($I$10="",$K$15="",$L$15="",$J$42&lt;&gt;"Yes"),0,IF($K$10=0,SUMIFS(INDIRECT(ADDRESS(12,3+18*1+(7),,,"J1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0</v>
      </c>
      <c r="BW101">
        <f ca="1">IF(OR($I$10="",$K$15="",$L$15="",$J$42&lt;&gt;"Yes"),0,IF($K$10=0,SUMIFS(INDIRECT(ADDRESS(12,3+18*2+(7),,,"J1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4</v>
      </c>
      <c r="BX101">
        <f ca="1">IF(OR($I$10="",$K$15="",$L$15="",$J$42&lt;&gt;"Yes"),0,IF($K$10=0,SUMIFS(INDIRECT(ADDRESS(12,3+18*3+(7),,,"J1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BY101">
        <f ca="1">IF(OR($I$10="",$K$15="",$L$15="",$J$42&lt;&gt;"Yes"),0,IF($K$10=0,SUMIFS(INDIRECT(ADDRESS(12,3+18*0+(7),,,"J1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  <c r="BZ101">
        <f ca="1">IF(OR($I$10="",$K$15="",$L$15=""),0,IF($K$10=0,SUMIFS(INDIRECT(ADDRESS(12,3+18*1+(7),,,"J1 C - (South) Bishopthorpe Roa")&amp;":"&amp;ADDRESS(130,3+18*1+(7))),'J1 C - (South) Bishopthorpe Roa'!$A$12:$A$130,"&gt;="&amp;Diagram!$K$15,'J1 C - (South) Bishopthorpe Roa'!$A$12:$A$130,"&lt;="&amp;Diagram!$L$15),SUMIFS(INDIRECT(ADDRESS(12,3+18*1+(15),,,"J1 C - (South) Bishopthorpe Roa")&amp;":"&amp;ADDRESS(130,3+18*1+(15))),'J1 C - (South) Bishopthorpe Roa'!$A$12:$A$130,"&gt;="&amp;Diagram!$K$15,'J1 C - (South) Bishopthorpe Roa'!$A$12:$A$130,"&lt;="&amp;Diagram!$L$15)))</f>
        <v>0</v>
      </c>
      <c r="CA101">
        <f ca="1">IF(OR($I$10="",$K$15="",$L$15=""),0,IF($K$10=0,SUMIFS(INDIRECT(ADDRESS(12,3+18*2+(7),,,"J1 C - (South) Bishopthorpe Roa")&amp;":"&amp;ADDRESS(130,3+18*2+(7))),'J1 C - (South) Bishopthorpe Roa'!$A$12:$A$130,"&gt;="&amp;Diagram!$K$15,'J1 C - (South) Bishopthorpe Roa'!$A$12:$A$130,"&lt;="&amp;Diagram!$L$15),SUMIFS(INDIRECT(ADDRESS(12,3+18*2+(15),,,"J1 C - (South) Bishopthorpe Roa")&amp;":"&amp;ADDRESS(130,3+18*2+(15))),'J1 C - (South) Bishopthorpe Roa'!$A$12:$A$130,"&gt;="&amp;Diagram!$K$15,'J1 C - (South) Bishopthorpe Roa'!$A$12:$A$130,"&lt;="&amp;Diagram!$L$15)))</f>
        <v>4</v>
      </c>
      <c r="CB101">
        <f ca="1">IF(OR($I$10="",$K$15="",$L$15=""),0,IF($K$10=0,SUMIFS(INDIRECT(ADDRESS(12,3+18*3+(7),,,"J1 C - (South) Bishopthorpe Roa")&amp;":"&amp;ADDRESS(130,3+18*3+(7))),'J1 C - (South) Bishopthorpe Roa'!$A$12:$A$130,"&gt;="&amp;Diagram!$K$15,'J1 C - (South) Bishopthorpe Roa'!$A$12:$A$130,"&lt;="&amp;Diagram!$L$15),SUMIFS(INDIRECT(ADDRESS(12,3+18*3+(15),,,"J1 C - (South) Bishopthorpe Roa")&amp;":"&amp;ADDRESS(130,3+18*3+(15))),'J1 C - (South) Bishopthorpe Roa'!$A$12:$A$130,"&gt;="&amp;Diagram!$K$15,'J1 C - (South) Bishopthorpe Roa'!$A$12:$A$130,"&lt;="&amp;Diagram!$L$15)))</f>
        <v>0</v>
      </c>
      <c r="CC101">
        <f ca="1">IF(OR($I$10="",$K$15="",$L$15=""),0,IF($K$10=0,SUMIFS(INDIRECT(ADDRESS(12,3+18*0+(7),,,"J1 C - (South) Bishopthorpe Roa")&amp;":"&amp;ADDRESS(130,3+18*0+(7))),'J1 C - (South) Bishopthorpe Roa'!$A$12:$A$130,"&gt;="&amp;Diagram!$K$15,'J1 C - (South) Bishopthorpe Roa'!$A$12:$A$130,"&lt;="&amp;Diagram!$L$15),SUMIFS(INDIRECT(ADDRESS(12,3+18*0+(15),,,"J1 C - (South) Bishopthorpe Roa")&amp;":"&amp;ADDRESS(130,3+18*0+(15))),'J1 C - (South) Bishopthorpe Roa'!$A$12:$A$130,"&gt;="&amp;Diagram!$K$15,'J1 C - (South) Bishopthorpe Roa'!$A$12:$A$130,"&lt;="&amp;Diagram!$L$15)))</f>
        <v>0</v>
      </c>
    </row>
    <row r="102" spans="18:81">
      <c r="R102">
        <f ca="1">IF(OR($I$10="",$K$15="",$L$15="",$J$35&lt;&gt;"Yes"),0,IF($K$10=0,SUMIFS(INDIRECT(ADDRESS(12,3+18*0+(0),,,"J1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370</v>
      </c>
      <c r="S102">
        <f ca="1">IF(OR($I$10="",$K$15="",$L$15="",$J$35&lt;&gt;"Yes"),0,IF($K$10=0,SUMIFS(INDIRECT(ADDRESS(12,3+18*1+(0),,,"J1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19</v>
      </c>
      <c r="T102">
        <f ca="1">IF(OR($I$10="",$K$15="",$L$15="",$J$35&lt;&gt;"Yes"),0,IF($K$10=0,SUMIFS(INDIRECT(ADDRESS(12,3+18*2+(0),,,"J1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94</v>
      </c>
      <c r="U102">
        <f ca="1">IF(OR($I$10="",$K$15="",$L$15="",$J$35&lt;&gt;"Yes"),0,IF($K$10=0,SUMIFS(INDIRECT(ADDRESS(12,3+18*3+(0),,,"J1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V102">
        <f ca="1">IF(OR($I$10="",$K$15="",$L$15=""),0,IF($K$10=0,SUMIFS(INDIRECT(ADDRESS(12,3+18*0+(0),,,"J1 D - South Bank Avenue")&amp;":"&amp;ADDRESS(130,3+18*0+(0))),'J1 D - South Bank Avenue'!$A$12:$A$130,"&gt;="&amp;Diagram!$K$15,'J1 D - South Bank Avenue'!$A$12:$A$130,"&lt;="&amp;Diagram!$L$15),SUMIFS(INDIRECT(ADDRESS(12,3+18*0+(8),,,"J1 D - South Bank Avenue")&amp;":"&amp;ADDRESS(130,3+18*0+(8))),'J1 D - South Bank Avenue'!$A$12:$A$130,"&gt;="&amp;Diagram!$K$15,'J1 D - South Bank Avenue'!$A$12:$A$130,"&lt;="&amp;Diagram!$L$15)))</f>
        <v>370</v>
      </c>
      <c r="W102">
        <f ca="1">IF(OR($I$10="",$K$15="",$L$15=""),0,IF($K$10=0,SUMIFS(INDIRECT(ADDRESS(12,3+18*1+(0),,,"J1 D - South Bank Avenue")&amp;":"&amp;ADDRESS(130,3+18*1+(0))),'J1 D - South Bank Avenue'!$A$12:$A$130,"&gt;="&amp;Diagram!$K$15,'J1 D - South Bank Avenue'!$A$12:$A$130,"&lt;="&amp;Diagram!$L$15),SUMIFS(INDIRECT(ADDRESS(12,3+18*1+(8),,,"J1 D - South Bank Avenue")&amp;":"&amp;ADDRESS(130,3+18*1+(8))),'J1 D - South Bank Avenue'!$A$12:$A$130,"&gt;="&amp;Diagram!$K$15,'J1 D - South Bank Avenue'!$A$12:$A$130,"&lt;="&amp;Diagram!$L$15)))</f>
        <v>19</v>
      </c>
      <c r="X102">
        <f ca="1">IF(OR($I$10="",$K$15="",$L$15=""),0,IF($K$10=0,SUMIFS(INDIRECT(ADDRESS(12,3+18*2+(0),,,"J1 D - South Bank Avenue")&amp;":"&amp;ADDRESS(130,3+18*2+(0))),'J1 D - South Bank Avenue'!$A$12:$A$130,"&gt;="&amp;Diagram!$K$15,'J1 D - South Bank Avenue'!$A$12:$A$130,"&lt;="&amp;Diagram!$L$15),SUMIFS(INDIRECT(ADDRESS(12,3+18*2+(8),,,"J1 D - South Bank Avenue")&amp;":"&amp;ADDRESS(130,3+18*2+(8))),'J1 D - South Bank Avenue'!$A$12:$A$130,"&gt;="&amp;Diagram!$K$15,'J1 D - South Bank Avenue'!$A$12:$A$130,"&lt;="&amp;Diagram!$L$15)))</f>
        <v>94</v>
      </c>
      <c r="Y102">
        <f ca="1">IF(OR($I$10="",$K$15="",$L$15=""),0,IF($K$10=0,SUMIFS(INDIRECT(ADDRESS(12,3+18*3+(0),,,"J1 D - South Bank Avenue")&amp;":"&amp;ADDRESS(130,3+18*3+(0))),'J1 D - South Bank Avenue'!$A$12:$A$130,"&gt;="&amp;Diagram!$K$15,'J1 D - South Bank Avenue'!$A$12:$A$130,"&lt;="&amp;Diagram!$L$15),SUMIFS(INDIRECT(ADDRESS(12,3+18*3+(8),,,"J1 D - South Bank Avenue")&amp;":"&amp;ADDRESS(130,3+18*3+(8))),'J1 D - South Bank Avenue'!$A$12:$A$130,"&gt;="&amp;Diagram!$K$15,'J1 D - South Bank Avenue'!$A$12:$A$130,"&lt;="&amp;Diagram!$L$15)))</f>
        <v>0</v>
      </c>
      <c r="Z102">
        <f ca="1">IF(OR($I$10="",$K$15="",$L$15="",$J$36&lt;&gt;"Yes"),0,IF($K$10=0,SUMIFS(INDIRECT(ADDRESS(12,3+18*0+(1),,,"J1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47</v>
      </c>
      <c r="AA102">
        <f ca="1">IF(OR($I$10="",$K$15="",$L$15="",$J$36&lt;&gt;"Yes"),0,IF($K$10=0,SUMIFS(INDIRECT(ADDRESS(12,3+18*1+(1),,,"J1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2</v>
      </c>
      <c r="AB102">
        <f ca="1">IF(OR($I$10="",$K$15="",$L$15="",$J$36&lt;&gt;"Yes"),0,IF($K$10=0,SUMIFS(INDIRECT(ADDRESS(12,3+18*2+(1),,,"J1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19</v>
      </c>
      <c r="AC102">
        <f ca="1">IF(OR($I$10="",$K$15="",$L$15="",$J$36&lt;&gt;"Yes"),0,IF($K$10=0,SUMIFS(INDIRECT(ADDRESS(12,3+18*3+(1),,,"J1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D102">
        <f ca="1">IF(OR($I$10="",$K$15="",$L$15=""),0,IF($K$10=0,SUMIFS(INDIRECT(ADDRESS(12,3+18*0+(1),,,"J1 D - South Bank Avenue")&amp;":"&amp;ADDRESS(130,3+18*0+(1))),'J1 D - South Bank Avenue'!$A$12:$A$130,"&gt;="&amp;Diagram!$K$15,'J1 D - South Bank Avenue'!$A$12:$A$130,"&lt;="&amp;Diagram!$L$15),SUMIFS(INDIRECT(ADDRESS(12,3+18*0+(9),,,"J1 D - South Bank Avenue")&amp;":"&amp;ADDRESS(130,3+18*0+(9))),'J1 D - South Bank Avenue'!$A$12:$A$130,"&gt;="&amp;Diagram!$K$15,'J1 D - South Bank Avenue'!$A$12:$A$130,"&lt;="&amp;Diagram!$L$15)))</f>
        <v>47</v>
      </c>
      <c r="AE102">
        <f ca="1">IF(OR($I$10="",$K$15="",$L$15=""),0,IF($K$10=0,SUMIFS(INDIRECT(ADDRESS(12,3+18*1+(1),,,"J1 D - South Bank Avenue")&amp;":"&amp;ADDRESS(130,3+18*1+(1))),'J1 D - South Bank Avenue'!$A$12:$A$130,"&gt;="&amp;Diagram!$K$15,'J1 D - South Bank Avenue'!$A$12:$A$130,"&lt;="&amp;Diagram!$L$15),SUMIFS(INDIRECT(ADDRESS(12,3+18*1+(9),,,"J1 D - South Bank Avenue")&amp;":"&amp;ADDRESS(130,3+18*1+(9))),'J1 D - South Bank Avenue'!$A$12:$A$130,"&gt;="&amp;Diagram!$K$15,'J1 D - South Bank Avenue'!$A$12:$A$130,"&lt;="&amp;Diagram!$L$15)))</f>
        <v>2</v>
      </c>
      <c r="AF102">
        <f ca="1">IF(OR($I$10="",$K$15="",$L$15=""),0,IF($K$10=0,SUMIFS(INDIRECT(ADDRESS(12,3+18*2+(1),,,"J1 D - South Bank Avenue")&amp;":"&amp;ADDRESS(130,3+18*2+(1))),'J1 D - South Bank Avenue'!$A$12:$A$130,"&gt;="&amp;Diagram!$K$15,'J1 D - South Bank Avenue'!$A$12:$A$130,"&lt;="&amp;Diagram!$L$15),SUMIFS(INDIRECT(ADDRESS(12,3+18*2+(9),,,"J1 D - South Bank Avenue")&amp;":"&amp;ADDRESS(130,3+18*2+(9))),'J1 D - South Bank Avenue'!$A$12:$A$130,"&gt;="&amp;Diagram!$K$15,'J1 D - South Bank Avenue'!$A$12:$A$130,"&lt;="&amp;Diagram!$L$15)))</f>
        <v>19</v>
      </c>
      <c r="AG102">
        <f ca="1">IF(OR($I$10="",$K$15="",$L$15=""),0,IF($K$10=0,SUMIFS(INDIRECT(ADDRESS(12,3+18*3+(1),,,"J1 D - South Bank Avenue")&amp;":"&amp;ADDRESS(130,3+18*3+(1))),'J1 D - South Bank Avenue'!$A$12:$A$130,"&gt;="&amp;Diagram!$K$15,'J1 D - South Bank Avenue'!$A$12:$A$130,"&lt;="&amp;Diagram!$L$15),SUMIFS(INDIRECT(ADDRESS(12,3+18*3+(9),,,"J1 D - South Bank Avenue")&amp;":"&amp;ADDRESS(130,3+18*3+(9))),'J1 D - South Bank Avenue'!$A$12:$A$130,"&gt;="&amp;Diagram!$K$15,'J1 D - South Bank Avenue'!$A$12:$A$130,"&lt;="&amp;Diagram!$L$15)))</f>
        <v>0</v>
      </c>
      <c r="AH102">
        <f ca="1">IF(OR($I$10="",$K$15="",$L$15="",$J$37&lt;&gt;"Yes"),0,IF($K$10=0,SUMIFS(INDIRECT(ADDRESS(12,3+18*0+(2),,,"J1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7</v>
      </c>
      <c r="AI102">
        <f ca="1">IF(OR($I$10="",$K$15="",$L$15="",$J$37&lt;&gt;"Yes"),0,IF($K$10=0,SUMIFS(INDIRECT(ADDRESS(12,3+18*1+(2),,,"J1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J102">
        <f ca="1">IF(OR($I$10="",$K$15="",$L$15="",$J$37&lt;&gt;"Yes"),0,IF($K$10=0,SUMIFS(INDIRECT(ADDRESS(12,3+18*2+(2),,,"J1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1</v>
      </c>
      <c r="AK102">
        <f ca="1">IF(OR($I$10="",$K$15="",$L$15="",$J$37&lt;&gt;"Yes"),0,IF($K$10=0,SUMIFS(INDIRECT(ADDRESS(12,3+18*3+(2),,,"J1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L102">
        <f ca="1">IF(OR($I$10="",$K$15="",$L$15=""),0,IF($K$10=0,SUMIFS(INDIRECT(ADDRESS(12,3+18*0+(2),,,"J1 D - South Bank Avenue")&amp;":"&amp;ADDRESS(130,3+18*0+(2))),'J1 D - South Bank Avenue'!$A$12:$A$130,"&gt;="&amp;Diagram!$K$15,'J1 D - South Bank Avenue'!$A$12:$A$130,"&lt;="&amp;Diagram!$L$15),SUMIFS(INDIRECT(ADDRESS(12,3+18*0+(10),,,"J1 D - South Bank Avenue")&amp;":"&amp;ADDRESS(130,3+18*0+(10))),'J1 D - South Bank Avenue'!$A$12:$A$130,"&gt;="&amp;Diagram!$K$15,'J1 D - South Bank Avenue'!$A$12:$A$130,"&lt;="&amp;Diagram!$L$15)))</f>
        <v>7</v>
      </c>
      <c r="AM102">
        <f ca="1">IF(OR($I$10="",$K$15="",$L$15=""),0,IF($K$10=0,SUMIFS(INDIRECT(ADDRESS(12,3+18*1+(2),,,"J1 D - South Bank Avenue")&amp;":"&amp;ADDRESS(130,3+18*1+(2))),'J1 D - South Bank Avenue'!$A$12:$A$130,"&gt;="&amp;Diagram!$K$15,'J1 D - South Bank Avenue'!$A$12:$A$130,"&lt;="&amp;Diagram!$L$15),SUMIFS(INDIRECT(ADDRESS(12,3+18*1+(10),,,"J1 D - South Bank Avenue")&amp;":"&amp;ADDRESS(130,3+18*1+(10))),'J1 D - South Bank Avenue'!$A$12:$A$130,"&gt;="&amp;Diagram!$K$15,'J1 D - South Bank Avenue'!$A$12:$A$130,"&lt;="&amp;Diagram!$L$15)))</f>
        <v>0</v>
      </c>
      <c r="AN102">
        <f ca="1">IF(OR($I$10="",$K$15="",$L$15=""),0,IF($K$10=0,SUMIFS(INDIRECT(ADDRESS(12,3+18*2+(2),,,"J1 D - South Bank Avenue")&amp;":"&amp;ADDRESS(130,3+18*2+(2))),'J1 D - South Bank Avenue'!$A$12:$A$130,"&gt;="&amp;Diagram!$K$15,'J1 D - South Bank Avenue'!$A$12:$A$130,"&lt;="&amp;Diagram!$L$15),SUMIFS(INDIRECT(ADDRESS(12,3+18*2+(10),,,"J1 D - South Bank Avenue")&amp;":"&amp;ADDRESS(130,3+18*2+(10))),'J1 D - South Bank Avenue'!$A$12:$A$130,"&gt;="&amp;Diagram!$K$15,'J1 D - South Bank Avenue'!$A$12:$A$130,"&lt;="&amp;Diagram!$L$15)))</f>
        <v>1</v>
      </c>
      <c r="AO102">
        <f ca="1">IF(OR($I$10="",$K$15="",$L$15=""),0,IF($K$10=0,SUMIFS(INDIRECT(ADDRESS(12,3+18*3+(2),,,"J1 D - South Bank Avenue")&amp;":"&amp;ADDRESS(130,3+18*3+(2))),'J1 D - South Bank Avenue'!$A$12:$A$130,"&gt;="&amp;Diagram!$K$15,'J1 D - South Bank Avenue'!$A$12:$A$130,"&lt;="&amp;Diagram!$L$15),SUMIFS(INDIRECT(ADDRESS(12,3+18*3+(10),,,"J1 D - South Bank Avenue")&amp;":"&amp;ADDRESS(130,3+18*3+(10))),'J1 D - South Bank Avenue'!$A$12:$A$130,"&gt;="&amp;Diagram!$K$15,'J1 D - South Bank Avenue'!$A$12:$A$130,"&lt;="&amp;Diagram!$L$15)))</f>
        <v>0</v>
      </c>
      <c r="AP102">
        <f ca="1">IF(OR($I$10="",$K$15="",$L$15="",$J$38&lt;&gt;"Yes"),0,IF($K$10=0,SUMIFS(INDIRECT(ADDRESS(12,3+18*0+(3),,,"J1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Q102">
        <f ca="1">IF(OR($I$10="",$K$15="",$L$15="",$J$38&lt;&gt;"Yes"),0,IF($K$10=0,SUMIFS(INDIRECT(ADDRESS(12,3+18*1+(3),,,"J1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R102">
        <f ca="1">IF(OR($I$10="",$K$15="",$L$15="",$J$38&lt;&gt;"Yes"),0,IF($K$10=0,SUMIFS(INDIRECT(ADDRESS(12,3+18*2+(3),,,"J1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S102">
        <f ca="1">IF(OR($I$10="",$K$15="",$L$15="",$J$38&lt;&gt;"Yes"),0,IF($K$10=0,SUMIFS(INDIRECT(ADDRESS(12,3+18*3+(3),,,"J1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T102">
        <f ca="1">IF(OR($I$10="",$K$15="",$L$15=""),0,IF($K$10=0,SUMIFS(INDIRECT(ADDRESS(12,3+18*0+(3),,,"J1 D - South Bank Avenue")&amp;":"&amp;ADDRESS(130,3+18*0+(3))),'J1 D - South Bank Avenue'!$A$12:$A$130,"&gt;="&amp;Diagram!$K$15,'J1 D - South Bank Avenue'!$A$12:$A$130,"&lt;="&amp;Diagram!$L$15),SUMIFS(INDIRECT(ADDRESS(12,3+18*0+(11),,,"J1 D - South Bank Avenue")&amp;":"&amp;ADDRESS(130,3+18*0+(11))),'J1 D - South Bank Avenue'!$A$12:$A$130,"&gt;="&amp;Diagram!$K$15,'J1 D - South Bank Avenue'!$A$12:$A$130,"&lt;="&amp;Diagram!$L$15)))</f>
        <v>0</v>
      </c>
      <c r="AU102">
        <f ca="1">IF(OR($I$10="",$K$15="",$L$15=""),0,IF($K$10=0,SUMIFS(INDIRECT(ADDRESS(12,3+18*1+(3),,,"J1 D - South Bank Avenue")&amp;":"&amp;ADDRESS(130,3+18*1+(3))),'J1 D - South Bank Avenue'!$A$12:$A$130,"&gt;="&amp;Diagram!$K$15,'J1 D - South Bank Avenue'!$A$12:$A$130,"&lt;="&amp;Diagram!$L$15),SUMIFS(INDIRECT(ADDRESS(12,3+18*1+(11),,,"J1 D - South Bank Avenue")&amp;":"&amp;ADDRESS(130,3+18*1+(11))),'J1 D - South Bank Avenue'!$A$12:$A$130,"&gt;="&amp;Diagram!$K$15,'J1 D - South Bank Avenue'!$A$12:$A$130,"&lt;="&amp;Diagram!$L$15)))</f>
        <v>0</v>
      </c>
      <c r="AV102">
        <f ca="1">IF(OR($I$10="",$K$15="",$L$15=""),0,IF($K$10=0,SUMIFS(INDIRECT(ADDRESS(12,3+18*2+(3),,,"J1 D - South Bank Avenue")&amp;":"&amp;ADDRESS(130,3+18*2+(3))),'J1 D - South Bank Avenue'!$A$12:$A$130,"&gt;="&amp;Diagram!$K$15,'J1 D - South Bank Avenue'!$A$12:$A$130,"&lt;="&amp;Diagram!$L$15),SUMIFS(INDIRECT(ADDRESS(12,3+18*2+(11),,,"J1 D - South Bank Avenue")&amp;":"&amp;ADDRESS(130,3+18*2+(11))),'J1 D - South Bank Avenue'!$A$12:$A$130,"&gt;="&amp;Diagram!$K$15,'J1 D - South Bank Avenue'!$A$12:$A$130,"&lt;="&amp;Diagram!$L$15)))</f>
        <v>0</v>
      </c>
      <c r="AW102">
        <f ca="1">IF(OR($I$10="",$K$15="",$L$15=""),0,IF($K$10=0,SUMIFS(INDIRECT(ADDRESS(12,3+18*3+(3),,,"J1 D - South Bank Avenue")&amp;":"&amp;ADDRESS(130,3+18*3+(3))),'J1 D - South Bank Avenue'!$A$12:$A$130,"&gt;="&amp;Diagram!$K$15,'J1 D - South Bank Avenue'!$A$12:$A$130,"&lt;="&amp;Diagram!$L$15),SUMIFS(INDIRECT(ADDRESS(12,3+18*3+(11),,,"J1 D - South Bank Avenue")&amp;":"&amp;ADDRESS(130,3+18*3+(11))),'J1 D - South Bank Avenue'!$A$12:$A$130,"&gt;="&amp;Diagram!$K$15,'J1 D - South Bank Avenue'!$A$12:$A$130,"&lt;="&amp;Diagram!$L$15)))</f>
        <v>0</v>
      </c>
      <c r="AX102">
        <f ca="1">IF(OR($I$10="",$K$15="",$L$15="",$J$39&lt;&gt;"Yes"),0,IF($K$10=0,SUMIFS(INDIRECT(ADDRESS(12,3+18*0+(4),,,"J1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AY102">
        <f ca="1">IF(OR($I$10="",$K$15="",$L$15="",$J$39&lt;&gt;"Yes"),0,IF($K$10=0,SUMIFS(INDIRECT(ADDRESS(12,3+18*1+(4),,,"J1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AZ102">
        <f ca="1">IF(OR($I$10="",$K$15="",$L$15="",$J$39&lt;&gt;"Yes"),0,IF($K$10=0,SUMIFS(INDIRECT(ADDRESS(12,3+18*2+(4),,,"J1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A102">
        <f ca="1">IF(OR($I$10="",$K$15="",$L$15="",$J$39&lt;&gt;"Yes"),0,IF($K$10=0,SUMIFS(INDIRECT(ADDRESS(12,3+18*3+(4),,,"J1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B102">
        <f ca="1">IF(OR($I$10="",$K$15="",$L$15=""),0,IF($K$10=0,SUMIFS(INDIRECT(ADDRESS(12,3+18*0+(4),,,"J1 D - South Bank Avenue")&amp;":"&amp;ADDRESS(130,3+18*0+(4))),'J1 D - South Bank Avenue'!$A$12:$A$130,"&gt;="&amp;Diagram!$K$15,'J1 D - South Bank Avenue'!$A$12:$A$130,"&lt;="&amp;Diagram!$L$15),SUMIFS(INDIRECT(ADDRESS(12,3+18*0+(12),,,"J1 D - South Bank Avenue")&amp;":"&amp;ADDRESS(130,3+18*0+(12))),'J1 D - South Bank Avenue'!$A$12:$A$130,"&gt;="&amp;Diagram!$K$15,'J1 D - South Bank Avenue'!$A$12:$A$130,"&lt;="&amp;Diagram!$L$15)))</f>
        <v>0</v>
      </c>
      <c r="BC102">
        <f ca="1">IF(OR($I$10="",$K$15="",$L$15=""),0,IF($K$10=0,SUMIFS(INDIRECT(ADDRESS(12,3+18*1+(4),,,"J1 D - South Bank Avenue")&amp;":"&amp;ADDRESS(130,3+18*1+(4))),'J1 D - South Bank Avenue'!$A$12:$A$130,"&gt;="&amp;Diagram!$K$15,'J1 D - South Bank Avenue'!$A$12:$A$130,"&lt;="&amp;Diagram!$L$15),SUMIFS(INDIRECT(ADDRESS(12,3+18*1+(12),,,"J1 D - South Bank Avenue")&amp;":"&amp;ADDRESS(130,3+18*1+(12))),'J1 D - South Bank Avenue'!$A$12:$A$130,"&gt;="&amp;Diagram!$K$15,'J1 D - South Bank Avenue'!$A$12:$A$130,"&lt;="&amp;Diagram!$L$15)))</f>
        <v>0</v>
      </c>
      <c r="BD102">
        <f ca="1">IF(OR($I$10="",$K$15="",$L$15=""),0,IF($K$10=0,SUMIFS(INDIRECT(ADDRESS(12,3+18*2+(4),,,"J1 D - South Bank Avenue")&amp;":"&amp;ADDRESS(130,3+18*2+(4))),'J1 D - South Bank Avenue'!$A$12:$A$130,"&gt;="&amp;Diagram!$K$15,'J1 D - South Bank Avenue'!$A$12:$A$130,"&lt;="&amp;Diagram!$L$15),SUMIFS(INDIRECT(ADDRESS(12,3+18*2+(12),,,"J1 D - South Bank Avenue")&amp;":"&amp;ADDRESS(130,3+18*2+(12))),'J1 D - South Bank Avenue'!$A$12:$A$130,"&gt;="&amp;Diagram!$K$15,'J1 D - South Bank Avenue'!$A$12:$A$130,"&lt;="&amp;Diagram!$L$15)))</f>
        <v>0</v>
      </c>
      <c r="BE102">
        <f ca="1">IF(OR($I$10="",$K$15="",$L$15=""),0,IF($K$10=0,SUMIFS(INDIRECT(ADDRESS(12,3+18*3+(4),,,"J1 D - South Bank Avenue")&amp;":"&amp;ADDRESS(130,3+18*3+(4))),'J1 D - South Bank Avenue'!$A$12:$A$130,"&gt;="&amp;Diagram!$K$15,'J1 D - South Bank Avenue'!$A$12:$A$130,"&lt;="&amp;Diagram!$L$15),SUMIFS(INDIRECT(ADDRESS(12,3+18*3+(12),,,"J1 D - South Bank Avenue")&amp;":"&amp;ADDRESS(130,3+18*3+(12))),'J1 D - South Bank Avenue'!$A$12:$A$130,"&gt;="&amp;Diagram!$K$15,'J1 D - South Bank Avenue'!$A$12:$A$130,"&lt;="&amp;Diagram!$L$15)))</f>
        <v>0</v>
      </c>
      <c r="BF102">
        <f ca="1">IF(OR($I$10="",$K$15="",$L$15="",$J$40&lt;&gt;"Yes"),0,IF($K$10=0,SUMIFS(INDIRECT(ADDRESS(12,3+18*0+(5),,,"J1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62</v>
      </c>
      <c r="BG102">
        <f ca="1">IF(OR($I$10="",$K$15="",$L$15="",$J$40&lt;&gt;"Yes"),0,IF($K$10=0,SUMIFS(INDIRECT(ADDRESS(12,3+18*1+(5),,,"J1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240</v>
      </c>
      <c r="BH102">
        <f ca="1">IF(OR($I$10="",$K$15="",$L$15="",$J$40&lt;&gt;"Yes"),0,IF($K$10=0,SUMIFS(INDIRECT(ADDRESS(12,3+18*2+(5),,,"J1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7</v>
      </c>
      <c r="BI102">
        <f ca="1">IF(OR($I$10="",$K$15="",$L$15="",$J$40&lt;&gt;"Yes"),0,IF($K$10=0,SUMIFS(INDIRECT(ADDRESS(12,3+18*3+(5),,,"J1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J102">
        <f ca="1">IF(OR($I$10="",$K$15="",$L$15=""),0,IF($K$10=0,SUMIFS(INDIRECT(ADDRESS(12,3+18*0+(5),,,"J1 D - South Bank Avenue")&amp;":"&amp;ADDRESS(130,3+18*0+(5))),'J1 D - South Bank Avenue'!$A$12:$A$130,"&gt;="&amp;Diagram!$K$15,'J1 D - South Bank Avenue'!$A$12:$A$130,"&lt;="&amp;Diagram!$L$15),SUMIFS(INDIRECT(ADDRESS(12,3+18*0+(13),,,"J1 D - South Bank Avenue")&amp;":"&amp;ADDRESS(130,3+18*0+(13))),'J1 D - South Bank Avenue'!$A$12:$A$130,"&gt;="&amp;Diagram!$K$15,'J1 D - South Bank Avenue'!$A$12:$A$130,"&lt;="&amp;Diagram!$L$15)))</f>
        <v>62</v>
      </c>
      <c r="BK102">
        <f ca="1">IF(OR($I$10="",$K$15="",$L$15=""),0,IF($K$10=0,SUMIFS(INDIRECT(ADDRESS(12,3+18*1+(5),,,"J1 D - South Bank Avenue")&amp;":"&amp;ADDRESS(130,3+18*1+(5))),'J1 D - South Bank Avenue'!$A$12:$A$130,"&gt;="&amp;Diagram!$K$15,'J1 D - South Bank Avenue'!$A$12:$A$130,"&lt;="&amp;Diagram!$L$15),SUMIFS(INDIRECT(ADDRESS(12,3+18*1+(13),,,"J1 D - South Bank Avenue")&amp;":"&amp;ADDRESS(130,3+18*1+(13))),'J1 D - South Bank Avenue'!$A$12:$A$130,"&gt;="&amp;Diagram!$K$15,'J1 D - South Bank Avenue'!$A$12:$A$130,"&lt;="&amp;Diagram!$L$15)))</f>
        <v>240</v>
      </c>
      <c r="BL102">
        <f ca="1">IF(OR($I$10="",$K$15="",$L$15=""),0,IF($K$10=0,SUMIFS(INDIRECT(ADDRESS(12,3+18*2+(5),,,"J1 D - South Bank Avenue")&amp;":"&amp;ADDRESS(130,3+18*2+(5))),'J1 D - South Bank Avenue'!$A$12:$A$130,"&gt;="&amp;Diagram!$K$15,'J1 D - South Bank Avenue'!$A$12:$A$130,"&lt;="&amp;Diagram!$L$15),SUMIFS(INDIRECT(ADDRESS(12,3+18*2+(13),,,"J1 D - South Bank Avenue")&amp;":"&amp;ADDRESS(130,3+18*2+(13))),'J1 D - South Bank Avenue'!$A$12:$A$130,"&gt;="&amp;Diagram!$K$15,'J1 D - South Bank Avenue'!$A$12:$A$130,"&lt;="&amp;Diagram!$L$15)))</f>
        <v>7</v>
      </c>
      <c r="BM102">
        <f ca="1">IF(OR($I$10="",$K$15="",$L$15=""),0,IF($K$10=0,SUMIFS(INDIRECT(ADDRESS(12,3+18*3+(5),,,"J1 D - South Bank Avenue")&amp;":"&amp;ADDRESS(130,3+18*3+(5))),'J1 D - South Bank Avenue'!$A$12:$A$130,"&gt;="&amp;Diagram!$K$15,'J1 D - South Bank Avenue'!$A$12:$A$130,"&lt;="&amp;Diagram!$L$15),SUMIFS(INDIRECT(ADDRESS(12,3+18*3+(13),,,"J1 D - South Bank Avenue")&amp;":"&amp;ADDRESS(130,3+18*3+(13))),'J1 D - South Bank Avenue'!$A$12:$A$130,"&gt;="&amp;Diagram!$K$15,'J1 D - South Bank Avenue'!$A$12:$A$130,"&lt;="&amp;Diagram!$L$15)))</f>
        <v>0</v>
      </c>
      <c r="BN102">
        <f ca="1">IF(OR($I$10="",$K$15="",$L$15="",$J$41&lt;&gt;"Yes"),0,IF($K$10=0,SUMIFS(INDIRECT(ADDRESS(12,3+18*0+(6),,,"J1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10</v>
      </c>
      <c r="BO102">
        <f ca="1">IF(OR($I$10="",$K$15="",$L$15="",$J$41&lt;&gt;"Yes"),0,IF($K$10=0,SUMIFS(INDIRECT(ADDRESS(12,3+18*1+(6),,,"J1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3</v>
      </c>
      <c r="BP102">
        <f ca="1">IF(OR($I$10="",$K$15="",$L$15="",$J$41&lt;&gt;"Yes"),0,IF($K$10=0,SUMIFS(INDIRECT(ADDRESS(12,3+18*2+(6),,,"J1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Q102">
        <f ca="1">IF(OR($I$10="",$K$15="",$L$15="",$J$41&lt;&gt;"Yes"),0,IF($K$10=0,SUMIFS(INDIRECT(ADDRESS(12,3+18*3+(6),,,"J1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R102">
        <f ca="1">IF(OR($I$10="",$K$15="",$L$15=""),0,IF($K$10=0,SUMIFS(INDIRECT(ADDRESS(12,3+18*0+(6),,,"J1 D - South Bank Avenue")&amp;":"&amp;ADDRESS(130,3+18*0+(6))),'J1 D - South Bank Avenue'!$A$12:$A$130,"&gt;="&amp;Diagram!$K$15,'J1 D - South Bank Avenue'!$A$12:$A$130,"&lt;="&amp;Diagram!$L$15),SUMIFS(INDIRECT(ADDRESS(12,3+18*0+(14),,,"J1 D - South Bank Avenue")&amp;":"&amp;ADDRESS(130,3+18*0+(14))),'J1 D - South Bank Avenue'!$A$12:$A$130,"&gt;="&amp;Diagram!$K$15,'J1 D - South Bank Avenue'!$A$12:$A$130,"&lt;="&amp;Diagram!$L$15)))</f>
        <v>10</v>
      </c>
      <c r="BS102">
        <f ca="1">IF(OR($I$10="",$K$15="",$L$15=""),0,IF($K$10=0,SUMIFS(INDIRECT(ADDRESS(12,3+18*1+(6),,,"J1 D - South Bank Avenue")&amp;":"&amp;ADDRESS(130,3+18*1+(6))),'J1 D - South Bank Avenue'!$A$12:$A$130,"&gt;="&amp;Diagram!$K$15,'J1 D - South Bank Avenue'!$A$12:$A$130,"&lt;="&amp;Diagram!$L$15),SUMIFS(INDIRECT(ADDRESS(12,3+18*1+(14),,,"J1 D - South Bank Avenue")&amp;":"&amp;ADDRESS(130,3+18*1+(14))),'J1 D - South Bank Avenue'!$A$12:$A$130,"&gt;="&amp;Diagram!$K$15,'J1 D - South Bank Avenue'!$A$12:$A$130,"&lt;="&amp;Diagram!$L$15)))</f>
        <v>3</v>
      </c>
      <c r="BT102">
        <f ca="1">IF(OR($I$10="",$K$15="",$L$15=""),0,IF($K$10=0,SUMIFS(INDIRECT(ADDRESS(12,3+18*2+(6),,,"J1 D - South Bank Avenue")&amp;":"&amp;ADDRESS(130,3+18*2+(6))),'J1 D - South Bank Avenue'!$A$12:$A$130,"&gt;="&amp;Diagram!$K$15,'J1 D - South Bank Avenue'!$A$12:$A$130,"&lt;="&amp;Diagram!$L$15),SUMIFS(INDIRECT(ADDRESS(12,3+18*2+(14),,,"J1 D - South Bank Avenue")&amp;":"&amp;ADDRESS(130,3+18*2+(14))),'J1 D - South Bank Avenue'!$A$12:$A$130,"&gt;="&amp;Diagram!$K$15,'J1 D - South Bank Avenue'!$A$12:$A$130,"&lt;="&amp;Diagram!$L$15)))</f>
        <v>0</v>
      </c>
      <c r="BU102">
        <f ca="1">IF(OR($I$10="",$K$15="",$L$15=""),0,IF($K$10=0,SUMIFS(INDIRECT(ADDRESS(12,3+18*3+(6),,,"J1 D - South Bank Avenue")&amp;":"&amp;ADDRESS(130,3+18*3+(6))),'J1 D - South Bank Avenue'!$A$12:$A$130,"&gt;="&amp;Diagram!$K$15,'J1 D - South Bank Avenue'!$A$12:$A$130,"&lt;="&amp;Diagram!$L$15),SUMIFS(INDIRECT(ADDRESS(12,3+18*3+(14),,,"J1 D - South Bank Avenue")&amp;":"&amp;ADDRESS(130,3+18*3+(14))),'J1 D - South Bank Avenue'!$A$12:$A$130,"&gt;="&amp;Diagram!$K$15,'J1 D - South Bank Avenue'!$A$12:$A$130,"&lt;="&amp;Diagram!$L$15)))</f>
        <v>0</v>
      </c>
      <c r="BV102">
        <f ca="1">IF(OR($I$10="",$K$15="",$L$15="",$J$42&lt;&gt;"Yes"),0,IF($K$10=0,SUMIFS(INDIRECT(ADDRESS(12,3+18*0+(7),,,"J1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BW102">
        <f ca="1">IF(OR($I$10="",$K$15="",$L$15="",$J$42&lt;&gt;"Yes"),0,IF($K$10=0,SUMIFS(INDIRECT(ADDRESS(12,3+18*1+(7),,,"J1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BX102">
        <f ca="1">IF(OR($I$10="",$K$15="",$L$15="",$J$42&lt;&gt;"Yes"),0,IF($K$10=0,SUMIFS(INDIRECT(ADDRESS(12,3+18*2+(7),,,"J1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BY102">
        <f ca="1">IF(OR($I$10="",$K$15="",$L$15="",$J$42&lt;&gt;"Yes"),0,IF($K$10=0,SUMIFS(INDIRECT(ADDRESS(12,3+18*3+(7),,,"J1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  <c r="BZ102">
        <f ca="1">IF(OR($I$10="",$K$15="",$L$15=""),0,IF($K$10=0,SUMIFS(INDIRECT(ADDRESS(12,3+18*0+(7),,,"J1 D - South Bank Avenue")&amp;":"&amp;ADDRESS(130,3+18*0+(7))),'J1 D - South Bank Avenue'!$A$12:$A$130,"&gt;="&amp;Diagram!$K$15,'J1 D - South Bank Avenue'!$A$12:$A$130,"&lt;="&amp;Diagram!$L$15),SUMIFS(INDIRECT(ADDRESS(12,3+18*0+(15),,,"J1 D - South Bank Avenue")&amp;":"&amp;ADDRESS(130,3+18*0+(15))),'J1 D - South Bank Avenue'!$A$12:$A$130,"&gt;="&amp;Diagram!$K$15,'J1 D - South Bank Avenue'!$A$12:$A$130,"&lt;="&amp;Diagram!$L$15)))</f>
        <v>0</v>
      </c>
      <c r="CA102">
        <f ca="1">IF(OR($I$10="",$K$15="",$L$15=""),0,IF($K$10=0,SUMIFS(INDIRECT(ADDRESS(12,3+18*1+(7),,,"J1 D - South Bank Avenue")&amp;":"&amp;ADDRESS(130,3+18*1+(7))),'J1 D - South Bank Avenue'!$A$12:$A$130,"&gt;="&amp;Diagram!$K$15,'J1 D - South Bank Avenue'!$A$12:$A$130,"&lt;="&amp;Diagram!$L$15),SUMIFS(INDIRECT(ADDRESS(12,3+18*1+(15),,,"J1 D - South Bank Avenue")&amp;":"&amp;ADDRESS(130,3+18*1+(15))),'J1 D - South Bank Avenue'!$A$12:$A$130,"&gt;="&amp;Diagram!$K$15,'J1 D - South Bank Avenue'!$A$12:$A$130,"&lt;="&amp;Diagram!$L$15)))</f>
        <v>0</v>
      </c>
      <c r="CB102">
        <f ca="1">IF(OR($I$10="",$K$15="",$L$15=""),0,IF($K$10=0,SUMIFS(INDIRECT(ADDRESS(12,3+18*2+(7),,,"J1 D - South Bank Avenue")&amp;":"&amp;ADDRESS(130,3+18*2+(7))),'J1 D - South Bank Avenue'!$A$12:$A$130,"&gt;="&amp;Diagram!$K$15,'J1 D - South Bank Avenue'!$A$12:$A$130,"&lt;="&amp;Diagram!$L$15),SUMIFS(INDIRECT(ADDRESS(12,3+18*2+(15),,,"J1 D - South Bank Avenue")&amp;":"&amp;ADDRESS(130,3+18*2+(15))),'J1 D - South Bank Avenue'!$A$12:$A$130,"&gt;="&amp;Diagram!$K$15,'J1 D - South Bank Avenue'!$A$12:$A$130,"&lt;="&amp;Diagram!$L$15)))</f>
        <v>0</v>
      </c>
      <c r="CC102">
        <f ca="1">IF(OR($I$10="",$K$15="",$L$15=""),0,IF($K$10=0,SUMIFS(INDIRECT(ADDRESS(12,3+18*3+(7),,,"J1 D - South Bank Avenue")&amp;":"&amp;ADDRESS(130,3+18*3+(7))),'J1 D - South Bank Avenue'!$A$12:$A$130,"&gt;="&amp;Diagram!$K$15,'J1 D - South Bank Avenue'!$A$12:$A$130,"&lt;="&amp;Diagram!$L$15),SUMIFS(INDIRECT(ADDRESS(12,3+18*3+(15),,,"J1 D - South Bank Avenue")&amp;":"&amp;ADDRESS(130,3+18*3+(15))),'J1 D - South Bank Avenue'!$A$12:$A$130,"&gt;="&amp;Diagram!$K$15,'J1 D - South Bank Avenue'!$A$12:$A$130,"&lt;="&amp;Diagram!$L$15)))</f>
        <v>0</v>
      </c>
    </row>
  </sheetData>
  <sheetProtection sheet="1" objects="1" scenarios="1" selectLockedCells="1"/>
  <mergeCells count="5">
    <mergeCell ref="I10:J10"/>
    <mergeCell ref="I13:J13"/>
    <mergeCell ref="I18:J18"/>
    <mergeCell ref="I20:L20"/>
    <mergeCell ref="G22:G25"/>
  </mergeCells>
  <conditionalFormatting sqref="I13">
    <cfRule type="expression" dxfId="3" priority="1" stopIfTrue="1">
      <formula>($I$12="Yes")</formula>
    </cfRule>
  </conditionalFormatting>
  <conditionalFormatting sqref="I15">
    <cfRule type="expression" dxfId="2" priority="2" stopIfTrue="1">
      <formula>($I$12="No")</formula>
    </cfRule>
  </conditionalFormatting>
  <conditionalFormatting sqref="J15">
    <cfRule type="expression" dxfId="1" priority="3" stopIfTrue="1">
      <formula>($I$12="No")</formula>
    </cfRule>
  </conditionalFormatting>
  <conditionalFormatting sqref="I18:J18">
    <cfRule type="expression" dxfId="0" priority="4" stopIfTrue="1">
      <formula>($I$18&lt;&gt;"")</formula>
    </cfRule>
  </conditionalFormatting>
  <dataValidations count="5">
    <dataValidation type="list" allowBlank="1" showInputMessage="1" showErrorMessage="1" sqref="I10">
      <formula1>"Counts,PCU values"</formula1>
    </dataValidation>
    <dataValidation type="list" allowBlank="1" showInputMessage="1" showErrorMessage="1" sqref="I12 I17 J35 J36 J37 J38 J39 J40 J41 J42">
      <formula1>"Yes,No"</formula1>
    </dataValidation>
    <dataValidation type="list" allowBlank="1" showInputMessage="1" showErrorMessage="1" sqref="I13">
      <formula1>Presets</formula1>
    </dataValidation>
    <dataValidation type="list" allowBlank="1" showInputMessage="1" showErrorMessage="1" sqref="I15">
      <formula1>Start</formula1>
    </dataValidation>
    <dataValidation type="list" allowBlank="1" showInputMessage="1" showErrorMessage="1" sqref="J15">
      <formula1>End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3</vt:i4>
      </vt:variant>
    </vt:vector>
  </HeadingPairs>
  <TitlesOfParts>
    <vt:vector size="10" baseType="lpstr">
      <vt:lpstr>About</vt:lpstr>
      <vt:lpstr>PCU Values</vt:lpstr>
      <vt:lpstr>J1 A - (North) Bishopthorpe Roa</vt:lpstr>
      <vt:lpstr>J1 B - Butcher Terrace</vt:lpstr>
      <vt:lpstr>J1 C - (South) Bishopthorpe Roa</vt:lpstr>
      <vt:lpstr>J1 D - South Bank Avenue</vt:lpstr>
      <vt:lpstr>Diagram</vt:lpstr>
      <vt:lpstr>End</vt:lpstr>
      <vt:lpstr>Presets</vt:lpstr>
      <vt:lpstr>Start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 Curtis</dc:creator>
  <cp:lastModifiedBy>Athanasios AP. Papageorgiou</cp:lastModifiedBy>
  <dcterms:created xsi:type="dcterms:W3CDTF">2021-06-04T15:48:00Z</dcterms:created>
  <dcterms:modified xsi:type="dcterms:W3CDTF">2021-08-03T13:11:05Z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1033-11.2.0.8668</vt:lpwstr>
  </property>
</Properties>
</file>